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via Almeida\OneDrive - GERA EB\Área de Trabalho\Lívia Almeida\12 - Dezembro\EGS\"/>
    </mc:Choice>
  </mc:AlternateContent>
  <xr:revisionPtr revIDLastSave="0" documentId="13_ncr:1_{C19C64AD-E72C-48FE-8CF2-30E2FBEA074A}" xr6:coauthVersionLast="47" xr6:coauthVersionMax="47" xr10:uidLastSave="{00000000-0000-0000-0000-000000000000}"/>
  <bookViews>
    <workbookView xWindow="-108" yWindow="-108" windowWidth="23256" windowHeight="12456" activeTab="1" xr2:uid="{E718B35C-8857-4DC3-83D6-079AF18E99AC}"/>
  </bookViews>
  <sheets>
    <sheet name="Infos Clientes" sheetId="1" r:id="rId1"/>
    <sheet name="Detalhe Por UC" sheetId="2" r:id="rId2"/>
    <sheet name="Resumo Operacional" sheetId="3" r:id="rId3"/>
    <sheet name="Resumo Gerencial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1" hidden="1">'Detalhe Por UC'!$A$8:$CG$1097</definedName>
    <definedName name="_xlnm._FilterDatabase" localSheetId="0" hidden="1">'Infos Clientes'!$B$2:$AR$102</definedName>
    <definedName name="_xlnm.Print_Area" localSheetId="3">'Resumo Gerencial'!$B$2:$N$137</definedName>
    <definedName name="_xlnm.Print_Area" localSheetId="2">'Resumo Operacional'!$B$1:$N$147</definedName>
    <definedName name="Arrendamento_total">#REF!</definedName>
    <definedName name="Porcentagem_Gestão">#REF!</definedName>
    <definedName name="TUSDg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4" l="1"/>
  <c r="E85" i="4"/>
  <c r="D22" i="4"/>
  <c r="D21" i="4" s="1"/>
  <c r="D4" i="4"/>
  <c r="E1" i="4"/>
  <c r="D1" i="4"/>
  <c r="C1" i="4"/>
  <c r="K127" i="3"/>
  <c r="J126" i="3"/>
  <c r="N125" i="3"/>
  <c r="M125" i="3"/>
  <c r="L125" i="3"/>
  <c r="K125" i="3"/>
  <c r="J125" i="3"/>
  <c r="I125" i="3"/>
  <c r="H125" i="3"/>
  <c r="G125" i="3"/>
  <c r="F125" i="3"/>
  <c r="E125" i="3"/>
  <c r="D125" i="3"/>
  <c r="G118" i="3"/>
  <c r="G119" i="3" s="1"/>
  <c r="F118" i="3"/>
  <c r="F119" i="3" s="1"/>
  <c r="E117" i="3"/>
  <c r="E118" i="3" s="1"/>
  <c r="N116" i="3"/>
  <c r="K116" i="3"/>
  <c r="N115" i="3"/>
  <c r="N118" i="3" s="1"/>
  <c r="M115" i="3"/>
  <c r="M118" i="3" s="1"/>
  <c r="L115" i="3"/>
  <c r="L118" i="3" s="1"/>
  <c r="K115" i="3"/>
  <c r="K118" i="3" s="1"/>
  <c r="J115" i="3"/>
  <c r="J118" i="3" s="1"/>
  <c r="I115" i="3"/>
  <c r="I118" i="3" s="1"/>
  <c r="H115" i="3"/>
  <c r="H118" i="3" s="1"/>
  <c r="H120" i="3" s="1"/>
  <c r="E115" i="3"/>
  <c r="D115" i="3"/>
  <c r="D118" i="3" s="1"/>
  <c r="N111" i="3"/>
  <c r="M111" i="3"/>
  <c r="L111" i="3"/>
  <c r="K111" i="3"/>
  <c r="J111" i="3"/>
  <c r="I111" i="3"/>
  <c r="H111" i="3"/>
  <c r="G111" i="3"/>
  <c r="F111" i="3"/>
  <c r="E111" i="3"/>
  <c r="D111" i="3"/>
  <c r="N103" i="3"/>
  <c r="N108" i="3" s="1"/>
  <c r="M103" i="3"/>
  <c r="L103" i="3"/>
  <c r="K103" i="3"/>
  <c r="J103" i="3"/>
  <c r="I103" i="3"/>
  <c r="H103" i="3"/>
  <c r="G103" i="3"/>
  <c r="F103" i="3"/>
  <c r="E103" i="3"/>
  <c r="D103" i="3"/>
  <c r="N102" i="3"/>
  <c r="M102" i="3"/>
  <c r="L102" i="3"/>
  <c r="K102" i="3"/>
  <c r="H102" i="3"/>
  <c r="H108" i="3" s="1"/>
  <c r="G102" i="3"/>
  <c r="F102" i="3"/>
  <c r="D102" i="3"/>
  <c r="D108" i="3" s="1"/>
  <c r="N97" i="3"/>
  <c r="M97" i="3"/>
  <c r="L97" i="3"/>
  <c r="K97" i="3"/>
  <c r="J97" i="3"/>
  <c r="I97" i="3"/>
  <c r="H97" i="3"/>
  <c r="G97" i="3"/>
  <c r="F97" i="3"/>
  <c r="E97" i="3"/>
  <c r="D97" i="3"/>
  <c r="N94" i="3"/>
  <c r="M94" i="3"/>
  <c r="L94" i="3"/>
  <c r="K94" i="3"/>
  <c r="J94" i="3"/>
  <c r="I94" i="3"/>
  <c r="H94" i="3"/>
  <c r="H96" i="3" s="1"/>
  <c r="G94" i="3"/>
  <c r="F94" i="3"/>
  <c r="E94" i="3"/>
  <c r="D94" i="3"/>
  <c r="N92" i="3"/>
  <c r="M92" i="3"/>
  <c r="L92" i="3"/>
  <c r="K92" i="3"/>
  <c r="J92" i="3"/>
  <c r="I92" i="3"/>
  <c r="H92" i="3"/>
  <c r="G92" i="3"/>
  <c r="F92" i="3"/>
  <c r="E92" i="3"/>
  <c r="D92" i="3"/>
  <c r="N88" i="3"/>
  <c r="M88" i="3"/>
  <c r="L88" i="3"/>
  <c r="K88" i="3"/>
  <c r="J88" i="3"/>
  <c r="I88" i="3"/>
  <c r="H88" i="3"/>
  <c r="G88" i="3"/>
  <c r="F88" i="3"/>
  <c r="E88" i="3"/>
  <c r="D88" i="3"/>
  <c r="N83" i="3"/>
  <c r="M83" i="3"/>
  <c r="L83" i="3"/>
  <c r="K83" i="3"/>
  <c r="J83" i="3"/>
  <c r="I83" i="3"/>
  <c r="H83" i="3"/>
  <c r="G83" i="3"/>
  <c r="F83" i="3"/>
  <c r="E83" i="3"/>
  <c r="D83" i="3"/>
  <c r="N82" i="3"/>
  <c r="M82" i="3"/>
  <c r="L82" i="3"/>
  <c r="K82" i="3"/>
  <c r="J82" i="3"/>
  <c r="I82" i="3"/>
  <c r="H82" i="3"/>
  <c r="G82" i="3"/>
  <c r="F82" i="3"/>
  <c r="E82" i="3"/>
  <c r="D82" i="3"/>
  <c r="N81" i="3"/>
  <c r="M81" i="3"/>
  <c r="L81" i="3"/>
  <c r="K81" i="3"/>
  <c r="J81" i="3"/>
  <c r="H81" i="3"/>
  <c r="G81" i="3"/>
  <c r="F81" i="3"/>
  <c r="E81" i="3"/>
  <c r="D81" i="3"/>
  <c r="G22" i="4" s="1"/>
  <c r="N72" i="3"/>
  <c r="M72" i="3"/>
  <c r="L72" i="3"/>
  <c r="K72" i="3"/>
  <c r="E72" i="3"/>
  <c r="D72" i="3"/>
  <c r="N71" i="3"/>
  <c r="N77" i="3" s="1"/>
  <c r="M71" i="3"/>
  <c r="L71" i="3"/>
  <c r="K71" i="3"/>
  <c r="D71" i="3"/>
  <c r="N66" i="3"/>
  <c r="M66" i="3"/>
  <c r="L66" i="3"/>
  <c r="K66" i="3"/>
  <c r="E66" i="3"/>
  <c r="D66" i="3"/>
  <c r="N63" i="3"/>
  <c r="M63" i="3"/>
  <c r="L63" i="3"/>
  <c r="K63" i="3"/>
  <c r="J63" i="3"/>
  <c r="I63" i="3"/>
  <c r="H63" i="3"/>
  <c r="G63" i="3"/>
  <c r="F63" i="3"/>
  <c r="E63" i="3"/>
  <c r="D63" i="3"/>
  <c r="N61" i="3"/>
  <c r="M61" i="3"/>
  <c r="L61" i="3"/>
  <c r="K61" i="3"/>
  <c r="E61" i="3"/>
  <c r="D61" i="3"/>
  <c r="N59" i="3"/>
  <c r="M59" i="3"/>
  <c r="L59" i="3"/>
  <c r="K59" i="3"/>
  <c r="J59" i="3"/>
  <c r="I59" i="3"/>
  <c r="H59" i="3"/>
  <c r="G59" i="3"/>
  <c r="F59" i="3"/>
  <c r="E59" i="3"/>
  <c r="D59" i="3"/>
  <c r="N53" i="3"/>
  <c r="N127" i="3" s="1"/>
  <c r="M53" i="3"/>
  <c r="L53" i="3"/>
  <c r="K53" i="3"/>
  <c r="K89" i="3" s="1"/>
  <c r="K90" i="3" s="1"/>
  <c r="J53" i="3"/>
  <c r="J127" i="3" s="1"/>
  <c r="I53" i="3"/>
  <c r="I127" i="3" s="1"/>
  <c r="H53" i="3"/>
  <c r="G53" i="3"/>
  <c r="F53" i="3"/>
  <c r="E53" i="3"/>
  <c r="D53" i="3"/>
  <c r="N47" i="3"/>
  <c r="M47" i="3"/>
  <c r="L47" i="3"/>
  <c r="K47" i="3"/>
  <c r="E47" i="3"/>
  <c r="D47" i="3"/>
  <c r="N46" i="3"/>
  <c r="M46" i="3"/>
  <c r="L46" i="3"/>
  <c r="K46" i="3"/>
  <c r="E46" i="3"/>
  <c r="D46" i="3"/>
  <c r="N45" i="3"/>
  <c r="M45" i="3"/>
  <c r="L45" i="3"/>
  <c r="K45" i="3"/>
  <c r="E45" i="3"/>
  <c r="D45" i="3"/>
  <c r="N36" i="3"/>
  <c r="M36" i="3"/>
  <c r="L36" i="3"/>
  <c r="K36" i="3"/>
  <c r="E36" i="3"/>
  <c r="D36" i="3"/>
  <c r="N35" i="3"/>
  <c r="M35" i="3"/>
  <c r="L35" i="3"/>
  <c r="K35" i="3"/>
  <c r="E35" i="3"/>
  <c r="D35" i="3"/>
  <c r="N30" i="3"/>
  <c r="M30" i="3"/>
  <c r="L30" i="3"/>
  <c r="K30" i="3"/>
  <c r="E30" i="3"/>
  <c r="D30" i="3"/>
  <c r="N27" i="3"/>
  <c r="M27" i="3"/>
  <c r="L27" i="3"/>
  <c r="K27" i="3"/>
  <c r="J27" i="3"/>
  <c r="I27" i="3"/>
  <c r="H27" i="3"/>
  <c r="G27" i="3"/>
  <c r="F27" i="3"/>
  <c r="E27" i="3"/>
  <c r="D27" i="3"/>
  <c r="N25" i="3"/>
  <c r="N29" i="3" s="1"/>
  <c r="M25" i="3"/>
  <c r="L25" i="3"/>
  <c r="K25" i="3"/>
  <c r="E25" i="3"/>
  <c r="D25" i="3"/>
  <c r="N23" i="3"/>
  <c r="M23" i="3"/>
  <c r="L23" i="3"/>
  <c r="K23" i="3"/>
  <c r="J23" i="3"/>
  <c r="I23" i="3"/>
  <c r="H23" i="3"/>
  <c r="G23" i="3"/>
  <c r="F23" i="3"/>
  <c r="E23" i="3"/>
  <c r="D23" i="3"/>
  <c r="N17" i="3"/>
  <c r="N126" i="3" s="1"/>
  <c r="M17" i="3"/>
  <c r="M126" i="3" s="1"/>
  <c r="L17" i="3"/>
  <c r="L126" i="3" s="1"/>
  <c r="K17" i="3"/>
  <c r="K126" i="3" s="1"/>
  <c r="J17" i="3"/>
  <c r="I17" i="3"/>
  <c r="I126" i="3" s="1"/>
  <c r="H17" i="3"/>
  <c r="H126" i="3" s="1"/>
  <c r="G17" i="3"/>
  <c r="G126" i="3" s="1"/>
  <c r="F17" i="3"/>
  <c r="F126" i="3" s="1"/>
  <c r="E17" i="3"/>
  <c r="E126" i="3" s="1"/>
  <c r="D17" i="3"/>
  <c r="D126" i="3" s="1"/>
  <c r="N11" i="3"/>
  <c r="M11" i="3"/>
  <c r="L11" i="3"/>
  <c r="K11" i="3"/>
  <c r="E11" i="3"/>
  <c r="D11" i="3"/>
  <c r="N10" i="3"/>
  <c r="M10" i="3"/>
  <c r="L10" i="3"/>
  <c r="K10" i="3"/>
  <c r="E10" i="3"/>
  <c r="D10" i="3"/>
  <c r="N9" i="3"/>
  <c r="N39" i="3" s="1"/>
  <c r="M9" i="3"/>
  <c r="M39" i="3" s="1"/>
  <c r="L9" i="3"/>
  <c r="K9" i="3"/>
  <c r="E9" i="3"/>
  <c r="E39" i="3" s="1"/>
  <c r="D9" i="3"/>
  <c r="N6" i="3"/>
  <c r="M6" i="3"/>
  <c r="L6" i="3"/>
  <c r="K6" i="3"/>
  <c r="J6" i="3"/>
  <c r="I6" i="3"/>
  <c r="H6" i="3"/>
  <c r="G6" i="3"/>
  <c r="F6" i="3"/>
  <c r="E6" i="3"/>
  <c r="D6" i="3"/>
  <c r="N5" i="3"/>
  <c r="M5" i="3"/>
  <c r="L5" i="3"/>
  <c r="K5" i="3"/>
  <c r="J5" i="3"/>
  <c r="I5" i="3"/>
  <c r="H5" i="3"/>
  <c r="G5" i="3"/>
  <c r="F5" i="3"/>
  <c r="E5" i="3"/>
  <c r="D5" i="3"/>
  <c r="N4" i="3"/>
  <c r="M4" i="3"/>
  <c r="L4" i="3"/>
  <c r="K4" i="3"/>
  <c r="J4" i="3"/>
  <c r="I4" i="3"/>
  <c r="H4" i="3"/>
  <c r="G4" i="3"/>
  <c r="F4" i="3"/>
  <c r="E4" i="3"/>
  <c r="D4" i="3"/>
  <c r="F22" i="4" s="1"/>
  <c r="N3" i="3"/>
  <c r="M3" i="3"/>
  <c r="L3" i="3"/>
  <c r="K3" i="3"/>
  <c r="J3" i="3"/>
  <c r="I3" i="3"/>
  <c r="H3" i="3"/>
  <c r="G3" i="3"/>
  <c r="F3" i="3"/>
  <c r="E3" i="3"/>
  <c r="D3" i="3"/>
  <c r="AA1118" i="2"/>
  <c r="AA1119" i="2" s="1"/>
  <c r="AA1122" i="2" s="1"/>
  <c r="AA1109" i="2"/>
  <c r="AA1114" i="2" s="1"/>
  <c r="AA1105" i="2"/>
  <c r="CB1097" i="2"/>
  <c r="BZ1097" i="2"/>
  <c r="BW1097" i="2"/>
  <c r="BX1097" i="2" s="1"/>
  <c r="BS1097" i="2"/>
  <c r="BU1097" i="2" s="1"/>
  <c r="BR1097" i="2"/>
  <c r="BT1097" i="2" s="1"/>
  <c r="BH1097" i="2"/>
  <c r="BD1097" i="2"/>
  <c r="BC1097" i="2"/>
  <c r="AV1097" i="2"/>
  <c r="AU1097" i="2"/>
  <c r="AQ1097" i="2"/>
  <c r="AN1097" i="2"/>
  <c r="T1097" i="2"/>
  <c r="I1097" i="2"/>
  <c r="G1097" i="2"/>
  <c r="F1097" i="2"/>
  <c r="CB1096" i="2"/>
  <c r="BZ1096" i="2"/>
  <c r="BW1096" i="2"/>
  <c r="BX1096" i="2" s="1"/>
  <c r="BS1096" i="2"/>
  <c r="BU1096" i="2" s="1"/>
  <c r="BR1096" i="2"/>
  <c r="BT1096" i="2" s="1"/>
  <c r="BH1096" i="2"/>
  <c r="BD1096" i="2"/>
  <c r="BC1096" i="2"/>
  <c r="AV1096" i="2"/>
  <c r="AU1096" i="2"/>
  <c r="AQ1096" i="2"/>
  <c r="AN1096" i="2"/>
  <c r="T1096" i="2"/>
  <c r="I1096" i="2"/>
  <c r="G1096" i="2"/>
  <c r="F1096" i="2"/>
  <c r="CB1095" i="2"/>
  <c r="BZ1095" i="2"/>
  <c r="BW1095" i="2"/>
  <c r="BX1095" i="2" s="1"/>
  <c r="BS1095" i="2"/>
  <c r="BU1095" i="2" s="1"/>
  <c r="BR1095" i="2"/>
  <c r="BT1095" i="2" s="1"/>
  <c r="BH1095" i="2"/>
  <c r="BD1095" i="2"/>
  <c r="BC1095" i="2"/>
  <c r="AV1095" i="2"/>
  <c r="AU1095" i="2"/>
  <c r="AQ1095" i="2"/>
  <c r="AN1095" i="2"/>
  <c r="T1095" i="2"/>
  <c r="I1095" i="2"/>
  <c r="G1095" i="2"/>
  <c r="F1095" i="2"/>
  <c r="AS1095" i="2" s="1"/>
  <c r="CB1094" i="2"/>
  <c r="BZ1094" i="2"/>
  <c r="BW1094" i="2"/>
  <c r="BX1094" i="2" s="1"/>
  <c r="BS1094" i="2"/>
  <c r="BU1094" i="2" s="1"/>
  <c r="BR1094" i="2"/>
  <c r="BT1094" i="2" s="1"/>
  <c r="BH1094" i="2"/>
  <c r="BD1094" i="2"/>
  <c r="BC1094" i="2"/>
  <c r="AV1094" i="2"/>
  <c r="AU1094" i="2"/>
  <c r="AQ1094" i="2"/>
  <c r="AN1094" i="2"/>
  <c r="T1094" i="2"/>
  <c r="I1094" i="2"/>
  <c r="G1094" i="2"/>
  <c r="F1094" i="2"/>
  <c r="CB1093" i="2"/>
  <c r="BZ1093" i="2"/>
  <c r="BW1093" i="2"/>
  <c r="BX1093" i="2" s="1"/>
  <c r="BS1093" i="2"/>
  <c r="BU1093" i="2" s="1"/>
  <c r="BR1093" i="2"/>
  <c r="BT1093" i="2" s="1"/>
  <c r="BH1093" i="2"/>
  <c r="BD1093" i="2"/>
  <c r="BC1093" i="2"/>
  <c r="AV1093" i="2"/>
  <c r="AU1093" i="2"/>
  <c r="AQ1093" i="2"/>
  <c r="AN1093" i="2"/>
  <c r="T1093" i="2"/>
  <c r="I1093" i="2"/>
  <c r="G1093" i="2"/>
  <c r="F1093" i="2"/>
  <c r="CB1092" i="2"/>
  <c r="BZ1092" i="2"/>
  <c r="BW1092" i="2"/>
  <c r="BX1092" i="2" s="1"/>
  <c r="BS1092" i="2"/>
  <c r="BU1092" i="2" s="1"/>
  <c r="BR1092" i="2"/>
  <c r="BT1092" i="2" s="1"/>
  <c r="BH1092" i="2"/>
  <c r="BD1092" i="2"/>
  <c r="BC1092" i="2"/>
  <c r="AV1092" i="2"/>
  <c r="AU1092" i="2"/>
  <c r="AQ1092" i="2"/>
  <c r="AN1092" i="2"/>
  <c r="T1092" i="2"/>
  <c r="I1092" i="2"/>
  <c r="G1092" i="2"/>
  <c r="F1092" i="2"/>
  <c r="CB1091" i="2"/>
  <c r="BZ1091" i="2"/>
  <c r="BW1091" i="2"/>
  <c r="BX1091" i="2" s="1"/>
  <c r="BS1091" i="2"/>
  <c r="BU1091" i="2" s="1"/>
  <c r="BR1091" i="2"/>
  <c r="BT1091" i="2" s="1"/>
  <c r="BH1091" i="2"/>
  <c r="BD1091" i="2"/>
  <c r="BC1091" i="2"/>
  <c r="AV1091" i="2"/>
  <c r="AU1091" i="2"/>
  <c r="AN1091" i="2"/>
  <c r="T1091" i="2"/>
  <c r="I1091" i="2"/>
  <c r="G1091" i="2"/>
  <c r="F1091" i="2"/>
  <c r="CB1090" i="2"/>
  <c r="BZ1090" i="2"/>
  <c r="BW1090" i="2"/>
  <c r="BX1090" i="2" s="1"/>
  <c r="BS1090" i="2"/>
  <c r="BU1090" i="2" s="1"/>
  <c r="BR1090" i="2"/>
  <c r="BT1090" i="2" s="1"/>
  <c r="BH1090" i="2"/>
  <c r="BD1090" i="2"/>
  <c r="BC1090" i="2"/>
  <c r="AV1090" i="2"/>
  <c r="AU1090" i="2"/>
  <c r="AQ1090" i="2"/>
  <c r="AN1090" i="2"/>
  <c r="T1090" i="2"/>
  <c r="I1090" i="2"/>
  <c r="G1090" i="2"/>
  <c r="F1090" i="2"/>
  <c r="CB1089" i="2"/>
  <c r="BZ1089" i="2"/>
  <c r="BW1089" i="2"/>
  <c r="BX1089" i="2" s="1"/>
  <c r="BS1089" i="2"/>
  <c r="BU1089" i="2" s="1"/>
  <c r="BR1089" i="2"/>
  <c r="BT1089" i="2" s="1"/>
  <c r="BH1089" i="2"/>
  <c r="BD1089" i="2"/>
  <c r="BC1089" i="2"/>
  <c r="AV1089" i="2"/>
  <c r="AU1089" i="2"/>
  <c r="AN1089" i="2"/>
  <c r="T1089" i="2"/>
  <c r="I1089" i="2"/>
  <c r="G1089" i="2"/>
  <c r="F1089" i="2"/>
  <c r="CB1088" i="2"/>
  <c r="BZ1088" i="2"/>
  <c r="BW1088" i="2"/>
  <c r="BX1088" i="2" s="1"/>
  <c r="BS1088" i="2"/>
  <c r="BU1088" i="2" s="1"/>
  <c r="BR1088" i="2"/>
  <c r="BT1088" i="2" s="1"/>
  <c r="BH1088" i="2"/>
  <c r="BD1088" i="2"/>
  <c r="BC1088" i="2"/>
  <c r="AV1088" i="2"/>
  <c r="AU1088" i="2"/>
  <c r="AQ1088" i="2"/>
  <c r="AN1088" i="2"/>
  <c r="T1088" i="2"/>
  <c r="I1088" i="2"/>
  <c r="G1088" i="2"/>
  <c r="F1088" i="2"/>
  <c r="CB1087" i="2"/>
  <c r="BZ1087" i="2"/>
  <c r="BW1087" i="2"/>
  <c r="BX1087" i="2" s="1"/>
  <c r="BS1087" i="2"/>
  <c r="BU1087" i="2" s="1"/>
  <c r="BR1087" i="2"/>
  <c r="BT1087" i="2" s="1"/>
  <c r="BH1087" i="2"/>
  <c r="BD1087" i="2"/>
  <c r="BC1087" i="2"/>
  <c r="AV1087" i="2"/>
  <c r="AU1087" i="2"/>
  <c r="AQ1087" i="2"/>
  <c r="AN1087" i="2"/>
  <c r="T1087" i="2"/>
  <c r="I1087" i="2"/>
  <c r="G1087" i="2"/>
  <c r="F1087" i="2"/>
  <c r="CB1086" i="2"/>
  <c r="BZ1086" i="2"/>
  <c r="BW1086" i="2"/>
  <c r="BX1086" i="2" s="1"/>
  <c r="BS1086" i="2"/>
  <c r="BU1086" i="2" s="1"/>
  <c r="BR1086" i="2"/>
  <c r="BT1086" i="2" s="1"/>
  <c r="BH1086" i="2"/>
  <c r="BD1086" i="2"/>
  <c r="BC1086" i="2"/>
  <c r="AV1086" i="2"/>
  <c r="AU1086" i="2"/>
  <c r="AQ1086" i="2"/>
  <c r="AO1086" i="2"/>
  <c r="AN1086" i="2"/>
  <c r="T1086" i="2"/>
  <c r="I1086" i="2"/>
  <c r="G1086" i="2"/>
  <c r="F1086" i="2"/>
  <c r="CB1085" i="2"/>
  <c r="BZ1085" i="2"/>
  <c r="BW1085" i="2"/>
  <c r="BX1085" i="2" s="1"/>
  <c r="BS1085" i="2"/>
  <c r="BU1085" i="2" s="1"/>
  <c r="BR1085" i="2"/>
  <c r="BT1085" i="2" s="1"/>
  <c r="BH1085" i="2"/>
  <c r="BD1085" i="2"/>
  <c r="BC1085" i="2"/>
  <c r="AV1085" i="2"/>
  <c r="AU1085" i="2"/>
  <c r="AN1085" i="2"/>
  <c r="T1085" i="2"/>
  <c r="I1085" i="2"/>
  <c r="G1085" i="2"/>
  <c r="F1085" i="2"/>
  <c r="CB1084" i="2"/>
  <c r="BZ1084" i="2"/>
  <c r="BW1084" i="2"/>
  <c r="BX1084" i="2" s="1"/>
  <c r="BS1084" i="2"/>
  <c r="BU1084" i="2" s="1"/>
  <c r="BR1084" i="2"/>
  <c r="BT1084" i="2" s="1"/>
  <c r="BH1084" i="2"/>
  <c r="BD1084" i="2"/>
  <c r="BC1084" i="2"/>
  <c r="AV1084" i="2"/>
  <c r="AU1084" i="2"/>
  <c r="AQ1084" i="2"/>
  <c r="AN1084" i="2"/>
  <c r="T1084" i="2"/>
  <c r="I1084" i="2"/>
  <c r="G1084" i="2"/>
  <c r="F1084" i="2"/>
  <c r="CB1083" i="2"/>
  <c r="BZ1083" i="2"/>
  <c r="BW1083" i="2"/>
  <c r="BX1083" i="2" s="1"/>
  <c r="BS1083" i="2"/>
  <c r="BU1083" i="2" s="1"/>
  <c r="BR1083" i="2"/>
  <c r="BT1083" i="2" s="1"/>
  <c r="BH1083" i="2"/>
  <c r="BD1083" i="2"/>
  <c r="BC1083" i="2"/>
  <c r="AV1083" i="2"/>
  <c r="AU1083" i="2"/>
  <c r="AQ1083" i="2"/>
  <c r="AN1083" i="2"/>
  <c r="T1083" i="2"/>
  <c r="I1083" i="2"/>
  <c r="G1083" i="2"/>
  <c r="F1083" i="2"/>
  <c r="CB1082" i="2"/>
  <c r="BZ1082" i="2"/>
  <c r="BW1082" i="2"/>
  <c r="BX1082" i="2" s="1"/>
  <c r="BS1082" i="2"/>
  <c r="BU1082" i="2" s="1"/>
  <c r="BR1082" i="2"/>
  <c r="BT1082" i="2" s="1"/>
  <c r="BH1082" i="2"/>
  <c r="BD1082" i="2"/>
  <c r="BC1082" i="2"/>
  <c r="AV1082" i="2"/>
  <c r="AU1082" i="2"/>
  <c r="AQ1082" i="2"/>
  <c r="AN1082" i="2"/>
  <c r="T1082" i="2"/>
  <c r="I1082" i="2"/>
  <c r="G1082" i="2"/>
  <c r="F1082" i="2"/>
  <c r="CB1081" i="2"/>
  <c r="BZ1081" i="2"/>
  <c r="BW1081" i="2"/>
  <c r="BX1081" i="2" s="1"/>
  <c r="BS1081" i="2"/>
  <c r="BU1081" i="2" s="1"/>
  <c r="BR1081" i="2"/>
  <c r="BT1081" i="2" s="1"/>
  <c r="BH1081" i="2"/>
  <c r="BD1081" i="2"/>
  <c r="BC1081" i="2"/>
  <c r="AV1081" i="2"/>
  <c r="AU1081" i="2"/>
  <c r="AQ1081" i="2"/>
  <c r="AN1081" i="2"/>
  <c r="T1081" i="2"/>
  <c r="I1081" i="2"/>
  <c r="G1081" i="2"/>
  <c r="F1081" i="2"/>
  <c r="CB1080" i="2"/>
  <c r="BZ1080" i="2"/>
  <c r="BW1080" i="2"/>
  <c r="BX1080" i="2" s="1"/>
  <c r="BS1080" i="2"/>
  <c r="BU1080" i="2" s="1"/>
  <c r="BR1080" i="2"/>
  <c r="BT1080" i="2" s="1"/>
  <c r="BH1080" i="2"/>
  <c r="BD1080" i="2"/>
  <c r="BC1080" i="2"/>
  <c r="AV1080" i="2"/>
  <c r="AU1080" i="2"/>
  <c r="AQ1080" i="2"/>
  <c r="AN1080" i="2"/>
  <c r="T1080" i="2"/>
  <c r="I1080" i="2"/>
  <c r="G1080" i="2"/>
  <c r="F1080" i="2"/>
  <c r="CB1079" i="2"/>
  <c r="BZ1079" i="2"/>
  <c r="BW1079" i="2"/>
  <c r="BX1079" i="2" s="1"/>
  <c r="BS1079" i="2"/>
  <c r="BU1079" i="2" s="1"/>
  <c r="BR1079" i="2"/>
  <c r="BT1079" i="2" s="1"/>
  <c r="BH1079" i="2"/>
  <c r="BD1079" i="2"/>
  <c r="BC1079" i="2"/>
  <c r="AV1079" i="2"/>
  <c r="AU1079" i="2"/>
  <c r="AQ1079" i="2"/>
  <c r="AN1079" i="2"/>
  <c r="T1079" i="2"/>
  <c r="I1079" i="2"/>
  <c r="G1079" i="2"/>
  <c r="F1079" i="2"/>
  <c r="CB1078" i="2"/>
  <c r="BZ1078" i="2"/>
  <c r="BX1078" i="2"/>
  <c r="BW1078" i="2"/>
  <c r="BS1078" i="2"/>
  <c r="BU1078" i="2" s="1"/>
  <c r="BR1078" i="2"/>
  <c r="BT1078" i="2" s="1"/>
  <c r="BH1078" i="2"/>
  <c r="BD1078" i="2"/>
  <c r="BC1078" i="2"/>
  <c r="AV1078" i="2"/>
  <c r="AU1078" i="2"/>
  <c r="AQ1078" i="2"/>
  <c r="AN1078" i="2"/>
  <c r="T1078" i="2"/>
  <c r="I1078" i="2"/>
  <c r="G1078" i="2"/>
  <c r="F1078" i="2"/>
  <c r="AS1078" i="2" s="1"/>
  <c r="CB1077" i="2"/>
  <c r="BZ1077" i="2"/>
  <c r="BW1077" i="2"/>
  <c r="BX1077" i="2" s="1"/>
  <c r="BS1077" i="2"/>
  <c r="BU1077" i="2" s="1"/>
  <c r="BR1077" i="2"/>
  <c r="BT1077" i="2" s="1"/>
  <c r="BH1077" i="2"/>
  <c r="BD1077" i="2"/>
  <c r="BC1077" i="2"/>
  <c r="AV1077" i="2"/>
  <c r="AU1077" i="2"/>
  <c r="AQ1077" i="2"/>
  <c r="AN1077" i="2"/>
  <c r="T1077" i="2"/>
  <c r="I1077" i="2"/>
  <c r="G1077" i="2"/>
  <c r="F1077" i="2"/>
  <c r="CB1076" i="2"/>
  <c r="BZ1076" i="2"/>
  <c r="BW1076" i="2"/>
  <c r="BX1076" i="2" s="1"/>
  <c r="BS1076" i="2"/>
  <c r="BU1076" i="2" s="1"/>
  <c r="BR1076" i="2"/>
  <c r="BT1076" i="2" s="1"/>
  <c r="BH1076" i="2"/>
  <c r="BD1076" i="2"/>
  <c r="BC1076" i="2"/>
  <c r="AV1076" i="2"/>
  <c r="AU1076" i="2"/>
  <c r="AQ1076" i="2"/>
  <c r="AN1076" i="2"/>
  <c r="T1076" i="2"/>
  <c r="I1076" i="2"/>
  <c r="G1076" i="2"/>
  <c r="F1076" i="2"/>
  <c r="CB1075" i="2"/>
  <c r="BZ1075" i="2"/>
  <c r="BW1075" i="2"/>
  <c r="BX1075" i="2" s="1"/>
  <c r="BU1075" i="2"/>
  <c r="BS1075" i="2"/>
  <c r="BR1075" i="2"/>
  <c r="BT1075" i="2" s="1"/>
  <c r="BH1075" i="2"/>
  <c r="BD1075" i="2"/>
  <c r="BC1075" i="2"/>
  <c r="AV1075" i="2"/>
  <c r="AU1075" i="2"/>
  <c r="AQ1075" i="2"/>
  <c r="AN1075" i="2"/>
  <c r="T1075" i="2"/>
  <c r="I1075" i="2"/>
  <c r="G1075" i="2"/>
  <c r="F1075" i="2"/>
  <c r="CB1074" i="2"/>
  <c r="BZ1074" i="2"/>
  <c r="BW1074" i="2"/>
  <c r="BX1074" i="2" s="1"/>
  <c r="BT1074" i="2"/>
  <c r="BS1074" i="2"/>
  <c r="BU1074" i="2" s="1"/>
  <c r="BR1074" i="2"/>
  <c r="BH1074" i="2"/>
  <c r="BD1074" i="2"/>
  <c r="BC1074" i="2"/>
  <c r="AV1074" i="2"/>
  <c r="AU1074" i="2"/>
  <c r="AQ1074" i="2"/>
  <c r="AN1074" i="2"/>
  <c r="T1074" i="2"/>
  <c r="I1074" i="2"/>
  <c r="G1074" i="2"/>
  <c r="F1074" i="2"/>
  <c r="CB1073" i="2"/>
  <c r="BZ1073" i="2"/>
  <c r="BW1073" i="2"/>
  <c r="BX1073" i="2" s="1"/>
  <c r="BS1073" i="2"/>
  <c r="BU1073" i="2" s="1"/>
  <c r="BR1073" i="2"/>
  <c r="BT1073" i="2" s="1"/>
  <c r="BH1073" i="2"/>
  <c r="BD1073" i="2"/>
  <c r="BC1073" i="2"/>
  <c r="AV1073" i="2"/>
  <c r="AU1073" i="2"/>
  <c r="AQ1073" i="2"/>
  <c r="AN1073" i="2"/>
  <c r="T1073" i="2"/>
  <c r="I1073" i="2"/>
  <c r="G1073" i="2"/>
  <c r="F1073" i="2"/>
  <c r="CB1072" i="2"/>
  <c r="BZ1072" i="2"/>
  <c r="BW1072" i="2"/>
  <c r="BX1072" i="2" s="1"/>
  <c r="BS1072" i="2"/>
  <c r="BU1072" i="2" s="1"/>
  <c r="BR1072" i="2"/>
  <c r="BT1072" i="2" s="1"/>
  <c r="BH1072" i="2"/>
  <c r="BD1072" i="2"/>
  <c r="BC1072" i="2"/>
  <c r="AV1072" i="2"/>
  <c r="AU1072" i="2"/>
  <c r="AQ1072" i="2"/>
  <c r="AN1072" i="2"/>
  <c r="T1072" i="2"/>
  <c r="I1072" i="2"/>
  <c r="G1072" i="2"/>
  <c r="F1072" i="2"/>
  <c r="CB1071" i="2"/>
  <c r="BZ1071" i="2"/>
  <c r="BW1071" i="2"/>
  <c r="BX1071" i="2" s="1"/>
  <c r="BS1071" i="2"/>
  <c r="BU1071" i="2" s="1"/>
  <c r="BR1071" i="2"/>
  <c r="BT1071" i="2" s="1"/>
  <c r="BH1071" i="2"/>
  <c r="BD1071" i="2"/>
  <c r="BC1071" i="2"/>
  <c r="AV1071" i="2"/>
  <c r="AU1071" i="2"/>
  <c r="AQ1071" i="2"/>
  <c r="AN1071" i="2"/>
  <c r="T1071" i="2"/>
  <c r="I1071" i="2"/>
  <c r="G1071" i="2"/>
  <c r="F1071" i="2"/>
  <c r="CB1070" i="2"/>
  <c r="BZ1070" i="2"/>
  <c r="BW1070" i="2"/>
  <c r="BX1070" i="2" s="1"/>
  <c r="BS1070" i="2"/>
  <c r="BU1070" i="2" s="1"/>
  <c r="BR1070" i="2"/>
  <c r="BT1070" i="2" s="1"/>
  <c r="BH1070" i="2"/>
  <c r="BD1070" i="2"/>
  <c r="BC1070" i="2"/>
  <c r="AV1070" i="2"/>
  <c r="AU1070" i="2"/>
  <c r="AQ1070" i="2"/>
  <c r="AN1070" i="2"/>
  <c r="T1070" i="2"/>
  <c r="I1070" i="2"/>
  <c r="G1070" i="2"/>
  <c r="F1070" i="2"/>
  <c r="CB1069" i="2"/>
  <c r="BZ1069" i="2"/>
  <c r="BW1069" i="2"/>
  <c r="BX1069" i="2" s="1"/>
  <c r="BU1069" i="2"/>
  <c r="BS1069" i="2"/>
  <c r="BR1069" i="2"/>
  <c r="BT1069" i="2" s="1"/>
  <c r="BH1069" i="2"/>
  <c r="BD1069" i="2"/>
  <c r="BC1069" i="2"/>
  <c r="AV1069" i="2"/>
  <c r="AU1069" i="2"/>
  <c r="AQ1069" i="2"/>
  <c r="AN1069" i="2"/>
  <c r="T1069" i="2"/>
  <c r="I1069" i="2"/>
  <c r="G1069" i="2"/>
  <c r="F1069" i="2"/>
  <c r="CB1068" i="2"/>
  <c r="BZ1068" i="2"/>
  <c r="BW1068" i="2"/>
  <c r="BX1068" i="2" s="1"/>
  <c r="BS1068" i="2"/>
  <c r="BU1068" i="2" s="1"/>
  <c r="BR1068" i="2"/>
  <c r="BT1068" i="2" s="1"/>
  <c r="BH1068" i="2"/>
  <c r="BD1068" i="2"/>
  <c r="BC1068" i="2"/>
  <c r="AV1068" i="2"/>
  <c r="AU1068" i="2"/>
  <c r="AQ1068" i="2"/>
  <c r="AN1068" i="2"/>
  <c r="T1068" i="2"/>
  <c r="I1068" i="2"/>
  <c r="G1068" i="2"/>
  <c r="F1068" i="2"/>
  <c r="CB1067" i="2"/>
  <c r="BZ1067" i="2"/>
  <c r="BW1067" i="2"/>
  <c r="BX1067" i="2" s="1"/>
  <c r="BS1067" i="2"/>
  <c r="BU1067" i="2" s="1"/>
  <c r="BR1067" i="2"/>
  <c r="BT1067" i="2" s="1"/>
  <c r="BH1067" i="2"/>
  <c r="BD1067" i="2"/>
  <c r="BC1067" i="2"/>
  <c r="AV1067" i="2"/>
  <c r="AU1067" i="2"/>
  <c r="AQ1067" i="2"/>
  <c r="AO1067" i="2"/>
  <c r="AN1067" i="2"/>
  <c r="T1067" i="2"/>
  <c r="I1067" i="2"/>
  <c r="G1067" i="2"/>
  <c r="F1067" i="2"/>
  <c r="CB1066" i="2"/>
  <c r="BZ1066" i="2"/>
  <c r="BW1066" i="2"/>
  <c r="BX1066" i="2" s="1"/>
  <c r="BS1066" i="2"/>
  <c r="BU1066" i="2" s="1"/>
  <c r="BR1066" i="2"/>
  <c r="BT1066" i="2" s="1"/>
  <c r="BH1066" i="2"/>
  <c r="BD1066" i="2"/>
  <c r="BC1066" i="2"/>
  <c r="AV1066" i="2"/>
  <c r="AU1066" i="2"/>
  <c r="AQ1066" i="2"/>
  <c r="AN1066" i="2"/>
  <c r="T1066" i="2"/>
  <c r="I1066" i="2"/>
  <c r="G1066" i="2"/>
  <c r="F1066" i="2"/>
  <c r="CB1065" i="2"/>
  <c r="BZ1065" i="2"/>
  <c r="BW1065" i="2"/>
  <c r="BX1065" i="2" s="1"/>
  <c r="BS1065" i="2"/>
  <c r="BU1065" i="2" s="1"/>
  <c r="BR1065" i="2"/>
  <c r="BT1065" i="2" s="1"/>
  <c r="BH1065" i="2"/>
  <c r="BD1065" i="2"/>
  <c r="BC1065" i="2"/>
  <c r="AV1065" i="2"/>
  <c r="AU1065" i="2"/>
  <c r="AQ1065" i="2"/>
  <c r="AN1065" i="2"/>
  <c r="T1065" i="2"/>
  <c r="I1065" i="2"/>
  <c r="G1065" i="2"/>
  <c r="F1065" i="2"/>
  <c r="CB1064" i="2"/>
  <c r="BZ1064" i="2"/>
  <c r="BW1064" i="2"/>
  <c r="BX1064" i="2" s="1"/>
  <c r="BS1064" i="2"/>
  <c r="BU1064" i="2" s="1"/>
  <c r="BR1064" i="2"/>
  <c r="BT1064" i="2" s="1"/>
  <c r="BH1064" i="2"/>
  <c r="BD1064" i="2"/>
  <c r="BC1064" i="2"/>
  <c r="AV1064" i="2"/>
  <c r="AU1064" i="2"/>
  <c r="AQ1064" i="2"/>
  <c r="AN1064" i="2"/>
  <c r="T1064" i="2"/>
  <c r="I1064" i="2"/>
  <c r="G1064" i="2"/>
  <c r="F1064" i="2"/>
  <c r="CB1063" i="2"/>
  <c r="BZ1063" i="2"/>
  <c r="BW1063" i="2"/>
  <c r="BX1063" i="2" s="1"/>
  <c r="BS1063" i="2"/>
  <c r="BU1063" i="2" s="1"/>
  <c r="BR1063" i="2"/>
  <c r="BT1063" i="2" s="1"/>
  <c r="BH1063" i="2"/>
  <c r="BD1063" i="2"/>
  <c r="BC1063" i="2"/>
  <c r="AV1063" i="2"/>
  <c r="AU1063" i="2"/>
  <c r="AQ1063" i="2"/>
  <c r="AN1063" i="2"/>
  <c r="T1063" i="2"/>
  <c r="I1063" i="2"/>
  <c r="G1063" i="2"/>
  <c r="F1063" i="2"/>
  <c r="CB1062" i="2"/>
  <c r="BZ1062" i="2"/>
  <c r="BW1062" i="2"/>
  <c r="BX1062" i="2" s="1"/>
  <c r="BS1062" i="2"/>
  <c r="BU1062" i="2" s="1"/>
  <c r="BR1062" i="2"/>
  <c r="BT1062" i="2" s="1"/>
  <c r="BH1062" i="2"/>
  <c r="BD1062" i="2"/>
  <c r="BC1062" i="2"/>
  <c r="AV1062" i="2"/>
  <c r="AU1062" i="2"/>
  <c r="AQ1062" i="2"/>
  <c r="AN1062" i="2"/>
  <c r="T1062" i="2"/>
  <c r="I1062" i="2"/>
  <c r="G1062" i="2"/>
  <c r="F1062" i="2"/>
  <c r="CB1061" i="2"/>
  <c r="BZ1061" i="2"/>
  <c r="BW1061" i="2"/>
  <c r="BX1061" i="2" s="1"/>
  <c r="BS1061" i="2"/>
  <c r="BU1061" i="2" s="1"/>
  <c r="BR1061" i="2"/>
  <c r="BT1061" i="2" s="1"/>
  <c r="BH1061" i="2"/>
  <c r="BD1061" i="2"/>
  <c r="BC1061" i="2"/>
  <c r="AV1061" i="2"/>
  <c r="AU1061" i="2"/>
  <c r="AQ1061" i="2"/>
  <c r="AN1061" i="2"/>
  <c r="T1061" i="2"/>
  <c r="I1061" i="2"/>
  <c r="G1061" i="2"/>
  <c r="F1061" i="2"/>
  <c r="CB1060" i="2"/>
  <c r="BZ1060" i="2"/>
  <c r="BW1060" i="2"/>
  <c r="BX1060" i="2" s="1"/>
  <c r="BS1060" i="2"/>
  <c r="BU1060" i="2" s="1"/>
  <c r="BR1060" i="2"/>
  <c r="BT1060" i="2" s="1"/>
  <c r="BH1060" i="2"/>
  <c r="BD1060" i="2"/>
  <c r="BC1060" i="2"/>
  <c r="AV1060" i="2"/>
  <c r="AU1060" i="2"/>
  <c r="AQ1060" i="2"/>
  <c r="AN1060" i="2"/>
  <c r="T1060" i="2"/>
  <c r="I1060" i="2"/>
  <c r="G1060" i="2"/>
  <c r="F1060" i="2"/>
  <c r="AS1060" i="2" s="1"/>
  <c r="AT1060" i="2" s="1"/>
  <c r="CF1060" i="2" s="1"/>
  <c r="CB1059" i="2"/>
  <c r="BZ1059" i="2"/>
  <c r="BW1059" i="2"/>
  <c r="BX1059" i="2" s="1"/>
  <c r="BS1059" i="2"/>
  <c r="BU1059" i="2" s="1"/>
  <c r="BR1059" i="2"/>
  <c r="BT1059" i="2" s="1"/>
  <c r="BH1059" i="2"/>
  <c r="BD1059" i="2"/>
  <c r="BC1059" i="2"/>
  <c r="AV1059" i="2"/>
  <c r="AU1059" i="2"/>
  <c r="AQ1059" i="2"/>
  <c r="AN1059" i="2"/>
  <c r="T1059" i="2"/>
  <c r="I1059" i="2"/>
  <c r="G1059" i="2"/>
  <c r="F1059" i="2"/>
  <c r="CB1058" i="2"/>
  <c r="BZ1058" i="2"/>
  <c r="BW1058" i="2"/>
  <c r="BX1058" i="2" s="1"/>
  <c r="BS1058" i="2"/>
  <c r="BU1058" i="2" s="1"/>
  <c r="BR1058" i="2"/>
  <c r="BT1058" i="2" s="1"/>
  <c r="BH1058" i="2"/>
  <c r="BD1058" i="2"/>
  <c r="BC1058" i="2"/>
  <c r="AV1058" i="2"/>
  <c r="AU1058" i="2"/>
  <c r="AS1058" i="2"/>
  <c r="AQ1058" i="2"/>
  <c r="AN1058" i="2"/>
  <c r="T1058" i="2"/>
  <c r="I1058" i="2"/>
  <c r="G1058" i="2"/>
  <c r="F1058" i="2"/>
  <c r="CB1057" i="2"/>
  <c r="BZ1057" i="2"/>
  <c r="BW1057" i="2"/>
  <c r="BX1057" i="2" s="1"/>
  <c r="BS1057" i="2"/>
  <c r="BU1057" i="2" s="1"/>
  <c r="BR1057" i="2"/>
  <c r="BT1057" i="2" s="1"/>
  <c r="BH1057" i="2"/>
  <c r="BD1057" i="2"/>
  <c r="BC1057" i="2"/>
  <c r="AV1057" i="2"/>
  <c r="AU1057" i="2"/>
  <c r="AQ1057" i="2"/>
  <c r="AN1057" i="2"/>
  <c r="T1057" i="2"/>
  <c r="I1057" i="2"/>
  <c r="G1057" i="2"/>
  <c r="F1057" i="2"/>
  <c r="CB1056" i="2"/>
  <c r="BZ1056" i="2"/>
  <c r="BW1056" i="2"/>
  <c r="BX1056" i="2" s="1"/>
  <c r="BS1056" i="2"/>
  <c r="BU1056" i="2" s="1"/>
  <c r="BR1056" i="2"/>
  <c r="BT1056" i="2" s="1"/>
  <c r="BH1056" i="2"/>
  <c r="BD1056" i="2"/>
  <c r="BC1056" i="2"/>
  <c r="AV1056" i="2"/>
  <c r="AU1056" i="2"/>
  <c r="AQ1056" i="2"/>
  <c r="AN1056" i="2"/>
  <c r="T1056" i="2"/>
  <c r="I1056" i="2"/>
  <c r="G1056" i="2"/>
  <c r="F1056" i="2"/>
  <c r="CB1055" i="2"/>
  <c r="BZ1055" i="2"/>
  <c r="BW1055" i="2"/>
  <c r="BX1055" i="2" s="1"/>
  <c r="BS1055" i="2"/>
  <c r="BU1055" i="2" s="1"/>
  <c r="BR1055" i="2"/>
  <c r="BT1055" i="2" s="1"/>
  <c r="BH1055" i="2"/>
  <c r="BD1055" i="2"/>
  <c r="BC1055" i="2"/>
  <c r="AV1055" i="2"/>
  <c r="AU1055" i="2"/>
  <c r="AQ1055" i="2"/>
  <c r="AN1055" i="2"/>
  <c r="T1055" i="2"/>
  <c r="I1055" i="2"/>
  <c r="G1055" i="2"/>
  <c r="F1055" i="2"/>
  <c r="CB1054" i="2"/>
  <c r="BZ1054" i="2"/>
  <c r="BW1054" i="2"/>
  <c r="BX1054" i="2" s="1"/>
  <c r="BS1054" i="2"/>
  <c r="BU1054" i="2" s="1"/>
  <c r="BR1054" i="2"/>
  <c r="BT1054" i="2" s="1"/>
  <c r="BH1054" i="2"/>
  <c r="BD1054" i="2"/>
  <c r="BC1054" i="2"/>
  <c r="AV1054" i="2"/>
  <c r="AU1054" i="2"/>
  <c r="AQ1054" i="2"/>
  <c r="AN1054" i="2"/>
  <c r="T1054" i="2"/>
  <c r="I1054" i="2"/>
  <c r="G1054" i="2"/>
  <c r="F1054" i="2"/>
  <c r="CB1053" i="2"/>
  <c r="BZ1053" i="2"/>
  <c r="BW1053" i="2"/>
  <c r="BX1053" i="2" s="1"/>
  <c r="BS1053" i="2"/>
  <c r="BU1053" i="2" s="1"/>
  <c r="BR1053" i="2"/>
  <c r="BT1053" i="2" s="1"/>
  <c r="BH1053" i="2"/>
  <c r="BD1053" i="2"/>
  <c r="BC1053" i="2"/>
  <c r="AV1053" i="2"/>
  <c r="AU1053" i="2"/>
  <c r="AQ1053" i="2"/>
  <c r="AN1053" i="2"/>
  <c r="T1053" i="2"/>
  <c r="I1053" i="2"/>
  <c r="G1053" i="2"/>
  <c r="F1053" i="2"/>
  <c r="CB1052" i="2"/>
  <c r="BZ1052" i="2"/>
  <c r="BW1052" i="2"/>
  <c r="BX1052" i="2" s="1"/>
  <c r="BS1052" i="2"/>
  <c r="BU1052" i="2" s="1"/>
  <c r="BR1052" i="2"/>
  <c r="BT1052" i="2" s="1"/>
  <c r="BH1052" i="2"/>
  <c r="BD1052" i="2"/>
  <c r="BC1052" i="2"/>
  <c r="AV1052" i="2"/>
  <c r="AU1052" i="2"/>
  <c r="AQ1052" i="2"/>
  <c r="AN1052" i="2"/>
  <c r="T1052" i="2"/>
  <c r="I1052" i="2"/>
  <c r="G1052" i="2"/>
  <c r="F1052" i="2"/>
  <c r="AS1052" i="2" s="1"/>
  <c r="AT1052" i="2" s="1"/>
  <c r="CF1052" i="2" s="1"/>
  <c r="CB1051" i="2"/>
  <c r="BZ1051" i="2"/>
  <c r="BW1051" i="2"/>
  <c r="BS1051" i="2"/>
  <c r="BU1051" i="2" s="1"/>
  <c r="BR1051" i="2"/>
  <c r="BT1051" i="2" s="1"/>
  <c r="BH1051" i="2"/>
  <c r="BD1051" i="2"/>
  <c r="BC1051" i="2"/>
  <c r="AV1051" i="2"/>
  <c r="AU1051" i="2"/>
  <c r="AQ1051" i="2"/>
  <c r="AN1051" i="2"/>
  <c r="T1051" i="2"/>
  <c r="I1051" i="2"/>
  <c r="G1051" i="2"/>
  <c r="F1051" i="2"/>
  <c r="CB1050" i="2"/>
  <c r="BZ1050" i="2"/>
  <c r="BW1050" i="2"/>
  <c r="BX1050" i="2" s="1"/>
  <c r="BS1050" i="2"/>
  <c r="BU1050" i="2" s="1"/>
  <c r="BR1050" i="2"/>
  <c r="BT1050" i="2" s="1"/>
  <c r="BH1050" i="2"/>
  <c r="BD1050" i="2"/>
  <c r="BC1050" i="2"/>
  <c r="AV1050" i="2"/>
  <c r="AU1050" i="2"/>
  <c r="AQ1050" i="2"/>
  <c r="AN1050" i="2"/>
  <c r="U1050" i="2"/>
  <c r="I1050" i="2"/>
  <c r="G1050" i="2"/>
  <c r="F1050" i="2"/>
  <c r="CB1049" i="2"/>
  <c r="BZ1049" i="2"/>
  <c r="BW1049" i="2"/>
  <c r="BX1049" i="2" s="1"/>
  <c r="BS1049" i="2"/>
  <c r="BU1049" i="2" s="1"/>
  <c r="BR1049" i="2"/>
  <c r="BT1049" i="2" s="1"/>
  <c r="BH1049" i="2"/>
  <c r="BD1049" i="2"/>
  <c r="BC1049" i="2"/>
  <c r="AV1049" i="2"/>
  <c r="AU1049" i="2"/>
  <c r="AQ1049" i="2"/>
  <c r="AO1049" i="2"/>
  <c r="AN1049" i="2"/>
  <c r="U1049" i="2"/>
  <c r="I1049" i="2"/>
  <c r="G1049" i="2"/>
  <c r="F1049" i="2"/>
  <c r="CB1048" i="2"/>
  <c r="BZ1048" i="2"/>
  <c r="BW1048" i="2"/>
  <c r="BX1048" i="2" s="1"/>
  <c r="BS1048" i="2"/>
  <c r="BU1048" i="2" s="1"/>
  <c r="BR1048" i="2"/>
  <c r="BT1048" i="2" s="1"/>
  <c r="BH1048" i="2"/>
  <c r="BD1048" i="2"/>
  <c r="BC1048" i="2"/>
  <c r="AV1048" i="2"/>
  <c r="AU1048" i="2"/>
  <c r="AO1048" i="2"/>
  <c r="AN1048" i="2"/>
  <c r="U1048" i="2"/>
  <c r="I1048" i="2"/>
  <c r="G1048" i="2"/>
  <c r="F1048" i="2"/>
  <c r="CB1047" i="2"/>
  <c r="BZ1047" i="2"/>
  <c r="BW1047" i="2"/>
  <c r="BX1047" i="2" s="1"/>
  <c r="BS1047" i="2"/>
  <c r="BU1047" i="2" s="1"/>
  <c r="BR1047" i="2"/>
  <c r="BT1047" i="2" s="1"/>
  <c r="BH1047" i="2"/>
  <c r="BD1047" i="2"/>
  <c r="BC1047" i="2"/>
  <c r="AV1047" i="2"/>
  <c r="AU1047" i="2"/>
  <c r="AQ1047" i="2"/>
  <c r="AO1047" i="2"/>
  <c r="AN1047" i="2"/>
  <c r="U1047" i="2"/>
  <c r="I1047" i="2"/>
  <c r="G1047" i="2"/>
  <c r="F1047" i="2"/>
  <c r="CB1046" i="2"/>
  <c r="BZ1046" i="2"/>
  <c r="BW1046" i="2"/>
  <c r="BX1046" i="2" s="1"/>
  <c r="BS1046" i="2"/>
  <c r="BU1046" i="2" s="1"/>
  <c r="BR1046" i="2"/>
  <c r="BT1046" i="2" s="1"/>
  <c r="BH1046" i="2"/>
  <c r="BD1046" i="2"/>
  <c r="BC1046" i="2"/>
  <c r="AV1046" i="2"/>
  <c r="AU1046" i="2"/>
  <c r="AQ1046" i="2"/>
  <c r="AO1046" i="2"/>
  <c r="AN1046" i="2"/>
  <c r="U1046" i="2"/>
  <c r="I1046" i="2"/>
  <c r="G1046" i="2"/>
  <c r="F1046" i="2"/>
  <c r="CB1045" i="2"/>
  <c r="BZ1045" i="2"/>
  <c r="BW1045" i="2"/>
  <c r="BX1045" i="2" s="1"/>
  <c r="BS1045" i="2"/>
  <c r="BU1045" i="2" s="1"/>
  <c r="BR1045" i="2"/>
  <c r="BT1045" i="2" s="1"/>
  <c r="BH1045" i="2"/>
  <c r="BD1045" i="2"/>
  <c r="BC1045" i="2"/>
  <c r="AV1045" i="2"/>
  <c r="AU1045" i="2"/>
  <c r="AO1045" i="2"/>
  <c r="AN1045" i="2"/>
  <c r="U1045" i="2"/>
  <c r="I1045" i="2"/>
  <c r="G1045" i="2"/>
  <c r="F1045" i="2"/>
  <c r="AS1045" i="2" s="1"/>
  <c r="CB1044" i="2"/>
  <c r="BZ1044" i="2"/>
  <c r="BW1044" i="2"/>
  <c r="BX1044" i="2" s="1"/>
  <c r="BS1044" i="2"/>
  <c r="BU1044" i="2" s="1"/>
  <c r="BR1044" i="2"/>
  <c r="BT1044" i="2" s="1"/>
  <c r="BH1044" i="2"/>
  <c r="BD1044" i="2"/>
  <c r="BC1044" i="2"/>
  <c r="AV1044" i="2"/>
  <c r="AU1044" i="2"/>
  <c r="AQ1044" i="2"/>
  <c r="AO1044" i="2"/>
  <c r="AN1044" i="2"/>
  <c r="U1044" i="2"/>
  <c r="I1044" i="2"/>
  <c r="G1044" i="2"/>
  <c r="F1044" i="2"/>
  <c r="CB1043" i="2"/>
  <c r="BZ1043" i="2"/>
  <c r="BW1043" i="2"/>
  <c r="BX1043" i="2" s="1"/>
  <c r="BS1043" i="2"/>
  <c r="BU1043" i="2" s="1"/>
  <c r="BR1043" i="2"/>
  <c r="BT1043" i="2" s="1"/>
  <c r="BH1043" i="2"/>
  <c r="BD1043" i="2"/>
  <c r="BC1043" i="2"/>
  <c r="AV1043" i="2"/>
  <c r="AU1043" i="2"/>
  <c r="AQ1043" i="2"/>
  <c r="AO1043" i="2"/>
  <c r="AN1043" i="2"/>
  <c r="U1043" i="2"/>
  <c r="I1043" i="2"/>
  <c r="G1043" i="2"/>
  <c r="F1043" i="2"/>
  <c r="CB1042" i="2"/>
  <c r="BZ1042" i="2"/>
  <c r="BW1042" i="2"/>
  <c r="BX1042" i="2" s="1"/>
  <c r="BS1042" i="2"/>
  <c r="BU1042" i="2" s="1"/>
  <c r="BR1042" i="2"/>
  <c r="BT1042" i="2" s="1"/>
  <c r="BH1042" i="2"/>
  <c r="BD1042" i="2"/>
  <c r="BC1042" i="2"/>
  <c r="AV1042" i="2"/>
  <c r="AU1042" i="2"/>
  <c r="AQ1042" i="2"/>
  <c r="AO1042" i="2"/>
  <c r="AN1042" i="2"/>
  <c r="U1042" i="2"/>
  <c r="I1042" i="2"/>
  <c r="G1042" i="2"/>
  <c r="F1042" i="2"/>
  <c r="CB1041" i="2"/>
  <c r="BZ1041" i="2"/>
  <c r="BW1041" i="2"/>
  <c r="BX1041" i="2" s="1"/>
  <c r="BS1041" i="2"/>
  <c r="BU1041" i="2" s="1"/>
  <c r="BR1041" i="2"/>
  <c r="BT1041" i="2" s="1"/>
  <c r="BH1041" i="2"/>
  <c r="BD1041" i="2"/>
  <c r="BC1041" i="2"/>
  <c r="AV1041" i="2"/>
  <c r="AU1041" i="2"/>
  <c r="AO1041" i="2"/>
  <c r="AN1041" i="2"/>
  <c r="U1041" i="2"/>
  <c r="I1041" i="2"/>
  <c r="G1041" i="2"/>
  <c r="F1041" i="2"/>
  <c r="AS1041" i="2" s="1"/>
  <c r="CB1040" i="2"/>
  <c r="BZ1040" i="2"/>
  <c r="BX1040" i="2"/>
  <c r="BW1040" i="2"/>
  <c r="BS1040" i="2"/>
  <c r="BU1040" i="2" s="1"/>
  <c r="BR1040" i="2"/>
  <c r="BT1040" i="2" s="1"/>
  <c r="BH1040" i="2"/>
  <c r="BD1040" i="2"/>
  <c r="BC1040" i="2"/>
  <c r="AV1040" i="2"/>
  <c r="AU1040" i="2"/>
  <c r="AQ1040" i="2"/>
  <c r="AO1040" i="2"/>
  <c r="AN1040" i="2"/>
  <c r="U1040" i="2"/>
  <c r="I1040" i="2"/>
  <c r="G1040" i="2"/>
  <c r="F1040" i="2"/>
  <c r="CB1039" i="2"/>
  <c r="BZ1039" i="2"/>
  <c r="BW1039" i="2"/>
  <c r="BX1039" i="2" s="1"/>
  <c r="BS1039" i="2"/>
  <c r="BU1039" i="2" s="1"/>
  <c r="BR1039" i="2"/>
  <c r="BT1039" i="2" s="1"/>
  <c r="BH1039" i="2"/>
  <c r="BD1039" i="2"/>
  <c r="BC1039" i="2"/>
  <c r="AV1039" i="2"/>
  <c r="AU1039" i="2"/>
  <c r="AQ1039" i="2"/>
  <c r="AO1039" i="2"/>
  <c r="AN1039" i="2"/>
  <c r="U1039" i="2"/>
  <c r="I1039" i="2"/>
  <c r="G1039" i="2"/>
  <c r="F1039" i="2"/>
  <c r="CB1038" i="2"/>
  <c r="BZ1038" i="2"/>
  <c r="BW1038" i="2"/>
  <c r="BX1038" i="2" s="1"/>
  <c r="BS1038" i="2"/>
  <c r="BU1038" i="2" s="1"/>
  <c r="BR1038" i="2"/>
  <c r="BT1038" i="2" s="1"/>
  <c r="BH1038" i="2"/>
  <c r="BD1038" i="2"/>
  <c r="BC1038" i="2"/>
  <c r="AV1038" i="2"/>
  <c r="AU1038" i="2"/>
  <c r="AQ1038" i="2"/>
  <c r="AO1038" i="2"/>
  <c r="AN1038" i="2"/>
  <c r="U1038" i="2"/>
  <c r="I1038" i="2"/>
  <c r="G1038" i="2"/>
  <c r="F1038" i="2"/>
  <c r="CB1037" i="2"/>
  <c r="BZ1037" i="2"/>
  <c r="BW1037" i="2"/>
  <c r="BX1037" i="2" s="1"/>
  <c r="BS1037" i="2"/>
  <c r="BU1037" i="2" s="1"/>
  <c r="BR1037" i="2"/>
  <c r="BT1037" i="2" s="1"/>
  <c r="BH1037" i="2"/>
  <c r="BD1037" i="2"/>
  <c r="BC1037" i="2"/>
  <c r="AV1037" i="2"/>
  <c r="AU1037" i="2"/>
  <c r="AQ1037" i="2"/>
  <c r="AO1037" i="2"/>
  <c r="AN1037" i="2"/>
  <c r="U1037" i="2"/>
  <c r="I1037" i="2"/>
  <c r="G1037" i="2"/>
  <c r="F1037" i="2"/>
  <c r="AS1037" i="2" s="1"/>
  <c r="AT1037" i="2" s="1"/>
  <c r="CF1037" i="2" s="1"/>
  <c r="CB1036" i="2"/>
  <c r="BZ1036" i="2"/>
  <c r="BW1036" i="2"/>
  <c r="BX1036" i="2" s="1"/>
  <c r="BU1036" i="2"/>
  <c r="BS1036" i="2"/>
  <c r="BR1036" i="2"/>
  <c r="BT1036" i="2" s="1"/>
  <c r="BH1036" i="2"/>
  <c r="BD1036" i="2"/>
  <c r="BC1036" i="2"/>
  <c r="AV1036" i="2"/>
  <c r="AU1036" i="2"/>
  <c r="AO1036" i="2"/>
  <c r="AN1036" i="2"/>
  <c r="U1036" i="2"/>
  <c r="I1036" i="2"/>
  <c r="G1036" i="2"/>
  <c r="AS1036" i="2" s="1"/>
  <c r="F1036" i="2"/>
  <c r="CB1035" i="2"/>
  <c r="BZ1035" i="2"/>
  <c r="BW1035" i="2"/>
  <c r="BX1035" i="2" s="1"/>
  <c r="BS1035" i="2"/>
  <c r="BU1035" i="2" s="1"/>
  <c r="BR1035" i="2"/>
  <c r="BT1035" i="2" s="1"/>
  <c r="BH1035" i="2"/>
  <c r="BD1035" i="2"/>
  <c r="BC1035" i="2"/>
  <c r="AV1035" i="2"/>
  <c r="AU1035" i="2"/>
  <c r="AQ1035" i="2"/>
  <c r="AO1035" i="2"/>
  <c r="AN1035" i="2"/>
  <c r="U1035" i="2"/>
  <c r="I1035" i="2"/>
  <c r="G1035" i="2"/>
  <c r="F1035" i="2"/>
  <c r="CB1034" i="2"/>
  <c r="BZ1034" i="2"/>
  <c r="BW1034" i="2"/>
  <c r="BX1034" i="2" s="1"/>
  <c r="BT1034" i="2"/>
  <c r="BS1034" i="2"/>
  <c r="BU1034" i="2" s="1"/>
  <c r="BR1034" i="2"/>
  <c r="BH1034" i="2"/>
  <c r="BD1034" i="2"/>
  <c r="BC1034" i="2"/>
  <c r="AV1034" i="2"/>
  <c r="AU1034" i="2"/>
  <c r="AQ1034" i="2"/>
  <c r="AO1034" i="2"/>
  <c r="AN1034" i="2"/>
  <c r="U1034" i="2"/>
  <c r="I1034" i="2"/>
  <c r="G1034" i="2"/>
  <c r="F1034" i="2"/>
  <c r="CB1033" i="2"/>
  <c r="BZ1033" i="2"/>
  <c r="BW1033" i="2"/>
  <c r="BX1033" i="2" s="1"/>
  <c r="BS1033" i="2"/>
  <c r="BU1033" i="2" s="1"/>
  <c r="BR1033" i="2"/>
  <c r="BT1033" i="2" s="1"/>
  <c r="BH1033" i="2"/>
  <c r="BD1033" i="2"/>
  <c r="BC1033" i="2"/>
  <c r="AV1033" i="2"/>
  <c r="AU1033" i="2"/>
  <c r="AQ1033" i="2"/>
  <c r="AO1033" i="2"/>
  <c r="AN1033" i="2"/>
  <c r="U1033" i="2"/>
  <c r="I1033" i="2"/>
  <c r="G1033" i="2"/>
  <c r="F1033" i="2"/>
  <c r="CB1032" i="2"/>
  <c r="BZ1032" i="2"/>
  <c r="BW1032" i="2"/>
  <c r="BX1032" i="2" s="1"/>
  <c r="BS1032" i="2"/>
  <c r="BU1032" i="2" s="1"/>
  <c r="BR1032" i="2"/>
  <c r="BT1032" i="2" s="1"/>
  <c r="BH1032" i="2"/>
  <c r="BD1032" i="2"/>
  <c r="BC1032" i="2"/>
  <c r="AV1032" i="2"/>
  <c r="AU1032" i="2"/>
  <c r="AO1032" i="2"/>
  <c r="AN1032" i="2"/>
  <c r="U1032" i="2"/>
  <c r="I1032" i="2"/>
  <c r="G1032" i="2"/>
  <c r="F1032" i="2"/>
  <c r="CB1031" i="2"/>
  <c r="BZ1031" i="2"/>
  <c r="BW1031" i="2"/>
  <c r="BX1031" i="2" s="1"/>
  <c r="BS1031" i="2"/>
  <c r="BU1031" i="2" s="1"/>
  <c r="BR1031" i="2"/>
  <c r="BT1031" i="2" s="1"/>
  <c r="BH1031" i="2"/>
  <c r="BD1031" i="2"/>
  <c r="BC1031" i="2"/>
  <c r="AV1031" i="2"/>
  <c r="AU1031" i="2"/>
  <c r="AQ1031" i="2"/>
  <c r="AO1031" i="2"/>
  <c r="AN1031" i="2"/>
  <c r="U1031" i="2"/>
  <c r="I1031" i="2"/>
  <c r="G1031" i="2"/>
  <c r="F1031" i="2"/>
  <c r="CB1030" i="2"/>
  <c r="BZ1030" i="2"/>
  <c r="BW1030" i="2"/>
  <c r="BX1030" i="2" s="1"/>
  <c r="BS1030" i="2"/>
  <c r="BU1030" i="2" s="1"/>
  <c r="BR1030" i="2"/>
  <c r="BT1030" i="2" s="1"/>
  <c r="BH1030" i="2"/>
  <c r="BD1030" i="2"/>
  <c r="BC1030" i="2"/>
  <c r="AV1030" i="2"/>
  <c r="AU1030" i="2"/>
  <c r="AQ1030" i="2"/>
  <c r="AO1030" i="2"/>
  <c r="AN1030" i="2"/>
  <c r="U1030" i="2"/>
  <c r="I1030" i="2"/>
  <c r="G1030" i="2"/>
  <c r="F1030" i="2"/>
  <c r="CB1029" i="2"/>
  <c r="BZ1029" i="2"/>
  <c r="BW1029" i="2"/>
  <c r="BX1029" i="2" s="1"/>
  <c r="BS1029" i="2"/>
  <c r="BU1029" i="2" s="1"/>
  <c r="BR1029" i="2"/>
  <c r="BT1029" i="2" s="1"/>
  <c r="BH1029" i="2"/>
  <c r="BD1029" i="2"/>
  <c r="BC1029" i="2"/>
  <c r="AV1029" i="2"/>
  <c r="AU1029" i="2"/>
  <c r="AO1029" i="2"/>
  <c r="AN1029" i="2"/>
  <c r="U1029" i="2"/>
  <c r="I1029" i="2"/>
  <c r="G1029" i="2"/>
  <c r="F1029" i="2"/>
  <c r="CB1028" i="2"/>
  <c r="BZ1028" i="2"/>
  <c r="BW1028" i="2"/>
  <c r="BX1028" i="2" s="1"/>
  <c r="BS1028" i="2"/>
  <c r="BU1028" i="2" s="1"/>
  <c r="BR1028" i="2"/>
  <c r="BT1028" i="2" s="1"/>
  <c r="BH1028" i="2"/>
  <c r="BD1028" i="2"/>
  <c r="BC1028" i="2"/>
  <c r="AV1028" i="2"/>
  <c r="AU1028" i="2"/>
  <c r="AQ1028" i="2"/>
  <c r="AO1028" i="2"/>
  <c r="AN1028" i="2"/>
  <c r="U1028" i="2"/>
  <c r="I1028" i="2"/>
  <c r="G1028" i="2"/>
  <c r="F1028" i="2"/>
  <c r="CB1027" i="2"/>
  <c r="BZ1027" i="2"/>
  <c r="BW1027" i="2"/>
  <c r="BX1027" i="2" s="1"/>
  <c r="BS1027" i="2"/>
  <c r="BU1027" i="2" s="1"/>
  <c r="BR1027" i="2"/>
  <c r="BT1027" i="2" s="1"/>
  <c r="BH1027" i="2"/>
  <c r="BD1027" i="2"/>
  <c r="BC1027" i="2"/>
  <c r="AV1027" i="2"/>
  <c r="AU1027" i="2"/>
  <c r="AQ1027" i="2"/>
  <c r="AO1027" i="2"/>
  <c r="AN1027" i="2"/>
  <c r="U1027" i="2"/>
  <c r="I1027" i="2"/>
  <c r="G1027" i="2"/>
  <c r="F1027" i="2"/>
  <c r="CB1026" i="2"/>
  <c r="BZ1026" i="2"/>
  <c r="BW1026" i="2"/>
  <c r="BX1026" i="2" s="1"/>
  <c r="BS1026" i="2"/>
  <c r="BU1026" i="2" s="1"/>
  <c r="BR1026" i="2"/>
  <c r="BT1026" i="2" s="1"/>
  <c r="BH1026" i="2"/>
  <c r="BD1026" i="2"/>
  <c r="BC1026" i="2"/>
  <c r="AV1026" i="2"/>
  <c r="AU1026" i="2"/>
  <c r="AQ1026" i="2"/>
  <c r="AO1026" i="2"/>
  <c r="AN1026" i="2"/>
  <c r="U1026" i="2"/>
  <c r="I1026" i="2"/>
  <c r="G1026" i="2"/>
  <c r="F1026" i="2"/>
  <c r="CB1025" i="2"/>
  <c r="BZ1025" i="2"/>
  <c r="BW1025" i="2"/>
  <c r="BX1025" i="2" s="1"/>
  <c r="BS1025" i="2"/>
  <c r="BU1025" i="2" s="1"/>
  <c r="BR1025" i="2"/>
  <c r="BT1025" i="2" s="1"/>
  <c r="BH1025" i="2"/>
  <c r="BD1025" i="2"/>
  <c r="BC1025" i="2"/>
  <c r="AV1025" i="2"/>
  <c r="AU1025" i="2"/>
  <c r="AQ1025" i="2"/>
  <c r="AO1025" i="2"/>
  <c r="AN1025" i="2"/>
  <c r="U1025" i="2"/>
  <c r="I1025" i="2"/>
  <c r="G1025" i="2"/>
  <c r="F1025" i="2"/>
  <c r="AS1025" i="2" s="1"/>
  <c r="CB1024" i="2"/>
  <c r="BZ1024" i="2"/>
  <c r="BW1024" i="2"/>
  <c r="BX1024" i="2" s="1"/>
  <c r="BT1024" i="2"/>
  <c r="BS1024" i="2"/>
  <c r="BU1024" i="2" s="1"/>
  <c r="BR1024" i="2"/>
  <c r="BH1024" i="2"/>
  <c r="BD1024" i="2"/>
  <c r="BC1024" i="2"/>
  <c r="AV1024" i="2"/>
  <c r="AU1024" i="2"/>
  <c r="AQ1024" i="2"/>
  <c r="AN1024" i="2"/>
  <c r="U1024" i="2"/>
  <c r="I1024" i="2"/>
  <c r="G1024" i="2"/>
  <c r="F1024" i="2"/>
  <c r="AS1024" i="2" s="1"/>
  <c r="CB1023" i="2"/>
  <c r="BZ1023" i="2"/>
  <c r="BW1023" i="2"/>
  <c r="BX1023" i="2" s="1"/>
  <c r="BS1023" i="2"/>
  <c r="BU1023" i="2" s="1"/>
  <c r="BR1023" i="2"/>
  <c r="BT1023" i="2" s="1"/>
  <c r="BH1023" i="2"/>
  <c r="BD1023" i="2"/>
  <c r="BC1023" i="2"/>
  <c r="AV1023" i="2"/>
  <c r="AU1023" i="2"/>
  <c r="AQ1023" i="2"/>
  <c r="AO1023" i="2"/>
  <c r="AN1023" i="2"/>
  <c r="U1023" i="2"/>
  <c r="I1023" i="2"/>
  <c r="G1023" i="2"/>
  <c r="F1023" i="2"/>
  <c r="CB1022" i="2"/>
  <c r="BZ1022" i="2"/>
  <c r="BW1022" i="2"/>
  <c r="BX1022" i="2" s="1"/>
  <c r="BT1022" i="2"/>
  <c r="BS1022" i="2"/>
  <c r="BU1022" i="2" s="1"/>
  <c r="BR1022" i="2"/>
  <c r="BH1022" i="2"/>
  <c r="BD1022" i="2"/>
  <c r="BC1022" i="2"/>
  <c r="AV1022" i="2"/>
  <c r="AU1022" i="2"/>
  <c r="AQ1022" i="2"/>
  <c r="AO1022" i="2"/>
  <c r="AN1022" i="2"/>
  <c r="U1022" i="2"/>
  <c r="I1022" i="2"/>
  <c r="G1022" i="2"/>
  <c r="F1022" i="2"/>
  <c r="CB1021" i="2"/>
  <c r="BZ1021" i="2"/>
  <c r="BW1021" i="2"/>
  <c r="BX1021" i="2" s="1"/>
  <c r="BS1021" i="2"/>
  <c r="BU1021" i="2" s="1"/>
  <c r="BR1021" i="2"/>
  <c r="BT1021" i="2" s="1"/>
  <c r="BH1021" i="2"/>
  <c r="BD1021" i="2"/>
  <c r="BC1021" i="2"/>
  <c r="AV1021" i="2"/>
  <c r="AU1021" i="2"/>
  <c r="AQ1021" i="2"/>
  <c r="AO1021" i="2"/>
  <c r="AN1021" i="2"/>
  <c r="U1021" i="2"/>
  <c r="I1021" i="2"/>
  <c r="G1021" i="2"/>
  <c r="F1021" i="2"/>
  <c r="CB1020" i="2"/>
  <c r="BZ1020" i="2"/>
  <c r="BW1020" i="2"/>
  <c r="BX1020" i="2" s="1"/>
  <c r="BS1020" i="2"/>
  <c r="BU1020" i="2" s="1"/>
  <c r="BR1020" i="2"/>
  <c r="BT1020" i="2" s="1"/>
  <c r="BH1020" i="2"/>
  <c r="BD1020" i="2"/>
  <c r="BC1020" i="2"/>
  <c r="AV1020" i="2"/>
  <c r="AU1020" i="2"/>
  <c r="AQ1020" i="2"/>
  <c r="AO1020" i="2"/>
  <c r="AN1020" i="2"/>
  <c r="U1020" i="2"/>
  <c r="I1020" i="2"/>
  <c r="G1020" i="2"/>
  <c r="F1020" i="2"/>
  <c r="CB1019" i="2"/>
  <c r="BZ1019" i="2"/>
  <c r="BW1019" i="2"/>
  <c r="BX1019" i="2" s="1"/>
  <c r="BS1019" i="2"/>
  <c r="BU1019" i="2" s="1"/>
  <c r="BR1019" i="2"/>
  <c r="BT1019" i="2" s="1"/>
  <c r="BH1019" i="2"/>
  <c r="BD1019" i="2"/>
  <c r="BC1019" i="2"/>
  <c r="AV1019" i="2"/>
  <c r="AU1019" i="2"/>
  <c r="AQ1019" i="2"/>
  <c r="AO1019" i="2"/>
  <c r="AN1019" i="2"/>
  <c r="U1019" i="2"/>
  <c r="I1019" i="2"/>
  <c r="G1019" i="2"/>
  <c r="F1019" i="2"/>
  <c r="CB1018" i="2"/>
  <c r="BZ1018" i="2"/>
  <c r="BW1018" i="2"/>
  <c r="BX1018" i="2" s="1"/>
  <c r="BS1018" i="2"/>
  <c r="BU1018" i="2" s="1"/>
  <c r="BR1018" i="2"/>
  <c r="BT1018" i="2" s="1"/>
  <c r="BH1018" i="2"/>
  <c r="BD1018" i="2"/>
  <c r="BC1018" i="2"/>
  <c r="AV1018" i="2"/>
  <c r="AU1018" i="2"/>
  <c r="AQ1018" i="2"/>
  <c r="AO1018" i="2"/>
  <c r="AN1018" i="2"/>
  <c r="U1018" i="2"/>
  <c r="I1018" i="2"/>
  <c r="G1018" i="2"/>
  <c r="F1018" i="2"/>
  <c r="CB1017" i="2"/>
  <c r="BZ1017" i="2"/>
  <c r="BW1017" i="2"/>
  <c r="BX1017" i="2" s="1"/>
  <c r="BS1017" i="2"/>
  <c r="BU1017" i="2" s="1"/>
  <c r="BR1017" i="2"/>
  <c r="BT1017" i="2" s="1"/>
  <c r="BH1017" i="2"/>
  <c r="BD1017" i="2"/>
  <c r="BC1017" i="2"/>
  <c r="AV1017" i="2"/>
  <c r="AU1017" i="2"/>
  <c r="AQ1017" i="2"/>
  <c r="AO1017" i="2"/>
  <c r="AN1017" i="2"/>
  <c r="U1017" i="2"/>
  <c r="I1017" i="2"/>
  <c r="G1017" i="2"/>
  <c r="F1017" i="2"/>
  <c r="CB1016" i="2"/>
  <c r="BZ1016" i="2"/>
  <c r="BX1016" i="2"/>
  <c r="BW1016" i="2"/>
  <c r="BS1016" i="2"/>
  <c r="BU1016" i="2" s="1"/>
  <c r="BR1016" i="2"/>
  <c r="BT1016" i="2" s="1"/>
  <c r="BH1016" i="2"/>
  <c r="BD1016" i="2"/>
  <c r="BC1016" i="2"/>
  <c r="AV1016" i="2"/>
  <c r="AU1016" i="2"/>
  <c r="AQ1016" i="2"/>
  <c r="AO1016" i="2"/>
  <c r="AN1016" i="2"/>
  <c r="U1016" i="2"/>
  <c r="I1016" i="2"/>
  <c r="G1016" i="2"/>
  <c r="F1016" i="2"/>
  <c r="CB1015" i="2"/>
  <c r="BZ1015" i="2"/>
  <c r="BW1015" i="2"/>
  <c r="BX1015" i="2" s="1"/>
  <c r="BS1015" i="2"/>
  <c r="BU1015" i="2" s="1"/>
  <c r="BR1015" i="2"/>
  <c r="BT1015" i="2" s="1"/>
  <c r="BH1015" i="2"/>
  <c r="BD1015" i="2"/>
  <c r="BC1015" i="2"/>
  <c r="AV1015" i="2"/>
  <c r="AU1015" i="2"/>
  <c r="AQ1015" i="2"/>
  <c r="AO1015" i="2"/>
  <c r="AN1015" i="2"/>
  <c r="U1015" i="2"/>
  <c r="I1015" i="2"/>
  <c r="G1015" i="2"/>
  <c r="F1015" i="2"/>
  <c r="CB1014" i="2"/>
  <c r="BZ1014" i="2"/>
  <c r="BW1014" i="2"/>
  <c r="BX1014" i="2" s="1"/>
  <c r="BT1014" i="2"/>
  <c r="BS1014" i="2"/>
  <c r="BU1014" i="2" s="1"/>
  <c r="BR1014" i="2"/>
  <c r="BH1014" i="2"/>
  <c r="BD1014" i="2"/>
  <c r="BC1014" i="2"/>
  <c r="AV1014" i="2"/>
  <c r="AU1014" i="2"/>
  <c r="AQ1014" i="2"/>
  <c r="AO1014" i="2"/>
  <c r="AN1014" i="2"/>
  <c r="U1014" i="2"/>
  <c r="I1014" i="2"/>
  <c r="G1014" i="2"/>
  <c r="F1014" i="2"/>
  <c r="CB1013" i="2"/>
  <c r="BZ1013" i="2"/>
  <c r="BW1013" i="2"/>
  <c r="BX1013" i="2" s="1"/>
  <c r="BT1013" i="2"/>
  <c r="BS1013" i="2"/>
  <c r="BU1013" i="2" s="1"/>
  <c r="BR1013" i="2"/>
  <c r="BH1013" i="2"/>
  <c r="BD1013" i="2"/>
  <c r="BC1013" i="2"/>
  <c r="AV1013" i="2"/>
  <c r="AU1013" i="2"/>
  <c r="AQ1013" i="2"/>
  <c r="AO1013" i="2"/>
  <c r="AN1013" i="2"/>
  <c r="U1013" i="2"/>
  <c r="I1013" i="2"/>
  <c r="G1013" i="2"/>
  <c r="F1013" i="2"/>
  <c r="CB1012" i="2"/>
  <c r="BZ1012" i="2"/>
  <c r="BW1012" i="2"/>
  <c r="BX1012" i="2" s="1"/>
  <c r="BS1012" i="2"/>
  <c r="BU1012" i="2" s="1"/>
  <c r="BR1012" i="2"/>
  <c r="BT1012" i="2" s="1"/>
  <c r="BH1012" i="2"/>
  <c r="BD1012" i="2"/>
  <c r="BC1012" i="2"/>
  <c r="AV1012" i="2"/>
  <c r="AU1012" i="2"/>
  <c r="AQ1012" i="2"/>
  <c r="AO1012" i="2"/>
  <c r="AN1012" i="2"/>
  <c r="U1012" i="2"/>
  <c r="I1012" i="2"/>
  <c r="G1012" i="2"/>
  <c r="F1012" i="2"/>
  <c r="CB1011" i="2"/>
  <c r="BZ1011" i="2"/>
  <c r="BW1011" i="2"/>
  <c r="BX1011" i="2" s="1"/>
  <c r="BS1011" i="2"/>
  <c r="BU1011" i="2" s="1"/>
  <c r="BR1011" i="2"/>
  <c r="BT1011" i="2" s="1"/>
  <c r="BH1011" i="2"/>
  <c r="BD1011" i="2"/>
  <c r="BC1011" i="2"/>
  <c r="AV1011" i="2"/>
  <c r="AU1011" i="2"/>
  <c r="AQ1011" i="2"/>
  <c r="AO1011" i="2"/>
  <c r="AN1011" i="2"/>
  <c r="U1011" i="2"/>
  <c r="I1011" i="2"/>
  <c r="G1011" i="2"/>
  <c r="F1011" i="2"/>
  <c r="CB1010" i="2"/>
  <c r="BZ1010" i="2"/>
  <c r="BW1010" i="2"/>
  <c r="BX1010" i="2" s="1"/>
  <c r="BS1010" i="2"/>
  <c r="BU1010" i="2" s="1"/>
  <c r="BR1010" i="2"/>
  <c r="BT1010" i="2" s="1"/>
  <c r="BH1010" i="2"/>
  <c r="BD1010" i="2"/>
  <c r="BC1010" i="2"/>
  <c r="AV1010" i="2"/>
  <c r="AU1010" i="2"/>
  <c r="AQ1010" i="2"/>
  <c r="AO1010" i="2"/>
  <c r="AN1010" i="2"/>
  <c r="U1010" i="2"/>
  <c r="I1010" i="2"/>
  <c r="G1010" i="2"/>
  <c r="F1010" i="2"/>
  <c r="CB1009" i="2"/>
  <c r="BZ1009" i="2"/>
  <c r="BW1009" i="2"/>
  <c r="BX1009" i="2" s="1"/>
  <c r="BS1009" i="2"/>
  <c r="BU1009" i="2" s="1"/>
  <c r="BR1009" i="2"/>
  <c r="BT1009" i="2" s="1"/>
  <c r="BH1009" i="2"/>
  <c r="BD1009" i="2"/>
  <c r="BC1009" i="2"/>
  <c r="AV1009" i="2"/>
  <c r="AU1009" i="2"/>
  <c r="AQ1009" i="2"/>
  <c r="AO1009" i="2"/>
  <c r="AN1009" i="2"/>
  <c r="U1009" i="2"/>
  <c r="I1009" i="2"/>
  <c r="G1009" i="2"/>
  <c r="F1009" i="2"/>
  <c r="CB1008" i="2"/>
  <c r="BZ1008" i="2"/>
  <c r="BW1008" i="2"/>
  <c r="BX1008" i="2" s="1"/>
  <c r="BS1008" i="2"/>
  <c r="BU1008" i="2" s="1"/>
  <c r="BR1008" i="2"/>
  <c r="BT1008" i="2" s="1"/>
  <c r="BH1008" i="2"/>
  <c r="BD1008" i="2"/>
  <c r="BC1008" i="2"/>
  <c r="AV1008" i="2"/>
  <c r="AU1008" i="2"/>
  <c r="AQ1008" i="2"/>
  <c r="AO1008" i="2"/>
  <c r="AN1008" i="2"/>
  <c r="U1008" i="2"/>
  <c r="I1008" i="2"/>
  <c r="G1008" i="2"/>
  <c r="F1008" i="2"/>
  <c r="CB1007" i="2"/>
  <c r="BZ1007" i="2"/>
  <c r="BW1007" i="2"/>
  <c r="BX1007" i="2" s="1"/>
  <c r="BS1007" i="2"/>
  <c r="BU1007" i="2" s="1"/>
  <c r="BR1007" i="2"/>
  <c r="BT1007" i="2" s="1"/>
  <c r="BH1007" i="2"/>
  <c r="BD1007" i="2"/>
  <c r="BC1007" i="2"/>
  <c r="AV1007" i="2"/>
  <c r="AU1007" i="2"/>
  <c r="AQ1007" i="2"/>
  <c r="AN1007" i="2"/>
  <c r="U1007" i="2"/>
  <c r="I1007" i="2"/>
  <c r="G1007" i="2"/>
  <c r="F1007" i="2"/>
  <c r="B1007" i="2"/>
  <c r="A1007" i="2"/>
  <c r="CB1006" i="2"/>
  <c r="BZ1006" i="2"/>
  <c r="BW1006" i="2"/>
  <c r="BX1006" i="2" s="1"/>
  <c r="BS1006" i="2"/>
  <c r="BU1006" i="2" s="1"/>
  <c r="BR1006" i="2"/>
  <c r="BT1006" i="2" s="1"/>
  <c r="BH1006" i="2"/>
  <c r="BD1006" i="2"/>
  <c r="BC1006" i="2"/>
  <c r="AV1006" i="2"/>
  <c r="AU1006" i="2"/>
  <c r="AQ1006" i="2"/>
  <c r="AN1006" i="2"/>
  <c r="U1006" i="2"/>
  <c r="I1006" i="2"/>
  <c r="G1006" i="2"/>
  <c r="F1006" i="2"/>
  <c r="B1006" i="2"/>
  <c r="A1006" i="2"/>
  <c r="CB1005" i="2"/>
  <c r="BZ1005" i="2"/>
  <c r="BW1005" i="2"/>
  <c r="BX1005" i="2" s="1"/>
  <c r="BS1005" i="2"/>
  <c r="BU1005" i="2" s="1"/>
  <c r="BR1005" i="2"/>
  <c r="BT1005" i="2" s="1"/>
  <c r="BH1005" i="2"/>
  <c r="BD1005" i="2"/>
  <c r="BC1005" i="2"/>
  <c r="AV1005" i="2"/>
  <c r="AU1005" i="2"/>
  <c r="AQ1005" i="2"/>
  <c r="AN1005" i="2"/>
  <c r="U1005" i="2"/>
  <c r="I1005" i="2"/>
  <c r="G1005" i="2"/>
  <c r="F1005" i="2"/>
  <c r="B1005" i="2"/>
  <c r="A1005" i="2"/>
  <c r="CB1004" i="2"/>
  <c r="BZ1004" i="2"/>
  <c r="BW1004" i="2"/>
  <c r="BX1004" i="2" s="1"/>
  <c r="BS1004" i="2"/>
  <c r="BU1004" i="2" s="1"/>
  <c r="BR1004" i="2"/>
  <c r="BT1004" i="2" s="1"/>
  <c r="BH1004" i="2"/>
  <c r="BD1004" i="2"/>
  <c r="BC1004" i="2"/>
  <c r="AV1004" i="2"/>
  <c r="AU1004" i="2"/>
  <c r="AQ1004" i="2"/>
  <c r="AN1004" i="2"/>
  <c r="U1004" i="2"/>
  <c r="I1004" i="2"/>
  <c r="G1004" i="2"/>
  <c r="F1004" i="2"/>
  <c r="B1004" i="2"/>
  <c r="A1004" i="2"/>
  <c r="CB1003" i="2"/>
  <c r="BZ1003" i="2"/>
  <c r="BW1003" i="2"/>
  <c r="BX1003" i="2" s="1"/>
  <c r="BS1003" i="2"/>
  <c r="BU1003" i="2" s="1"/>
  <c r="BR1003" i="2"/>
  <c r="BT1003" i="2" s="1"/>
  <c r="BH1003" i="2"/>
  <c r="BD1003" i="2"/>
  <c r="BC1003" i="2"/>
  <c r="AV1003" i="2"/>
  <c r="AU1003" i="2"/>
  <c r="AQ1003" i="2"/>
  <c r="AN1003" i="2"/>
  <c r="U1003" i="2"/>
  <c r="I1003" i="2"/>
  <c r="G1003" i="2"/>
  <c r="F1003" i="2"/>
  <c r="B1003" i="2"/>
  <c r="A1003" i="2"/>
  <c r="CB1002" i="2"/>
  <c r="BZ1002" i="2"/>
  <c r="BW1002" i="2"/>
  <c r="BX1002" i="2" s="1"/>
  <c r="BS1002" i="2"/>
  <c r="BU1002" i="2" s="1"/>
  <c r="BR1002" i="2"/>
  <c r="BT1002" i="2" s="1"/>
  <c r="BH1002" i="2"/>
  <c r="BD1002" i="2"/>
  <c r="BC1002" i="2"/>
  <c r="AV1002" i="2"/>
  <c r="AU1002" i="2"/>
  <c r="AQ1002" i="2"/>
  <c r="AN1002" i="2"/>
  <c r="U1002" i="2"/>
  <c r="I1002" i="2"/>
  <c r="G1002" i="2"/>
  <c r="F1002" i="2"/>
  <c r="B1002" i="2"/>
  <c r="A1002" i="2"/>
  <c r="CB1001" i="2"/>
  <c r="BZ1001" i="2"/>
  <c r="BW1001" i="2"/>
  <c r="BX1001" i="2" s="1"/>
  <c r="BS1001" i="2"/>
  <c r="BU1001" i="2" s="1"/>
  <c r="BR1001" i="2"/>
  <c r="BT1001" i="2" s="1"/>
  <c r="BH1001" i="2"/>
  <c r="BD1001" i="2"/>
  <c r="BC1001" i="2"/>
  <c r="AV1001" i="2"/>
  <c r="AU1001" i="2"/>
  <c r="AQ1001" i="2"/>
  <c r="AN1001" i="2"/>
  <c r="U1001" i="2"/>
  <c r="I1001" i="2"/>
  <c r="G1001" i="2"/>
  <c r="F1001" i="2"/>
  <c r="B1001" i="2"/>
  <c r="A1001" i="2"/>
  <c r="CB1000" i="2"/>
  <c r="BZ1000" i="2"/>
  <c r="BW1000" i="2"/>
  <c r="BX1000" i="2" s="1"/>
  <c r="BS1000" i="2"/>
  <c r="BU1000" i="2" s="1"/>
  <c r="BR1000" i="2"/>
  <c r="BT1000" i="2" s="1"/>
  <c r="BH1000" i="2"/>
  <c r="BD1000" i="2"/>
  <c r="BC1000" i="2"/>
  <c r="AV1000" i="2"/>
  <c r="AU1000" i="2"/>
  <c r="AQ1000" i="2"/>
  <c r="AN1000" i="2"/>
  <c r="U1000" i="2"/>
  <c r="I1000" i="2"/>
  <c r="G1000" i="2"/>
  <c r="F1000" i="2"/>
  <c r="B1000" i="2"/>
  <c r="A1000" i="2"/>
  <c r="CB999" i="2"/>
  <c r="BZ999" i="2"/>
  <c r="BW999" i="2"/>
  <c r="BX999" i="2" s="1"/>
  <c r="BS999" i="2"/>
  <c r="BU999" i="2" s="1"/>
  <c r="BR999" i="2"/>
  <c r="BT999" i="2" s="1"/>
  <c r="BH999" i="2"/>
  <c r="BD999" i="2"/>
  <c r="BC999" i="2"/>
  <c r="AV999" i="2"/>
  <c r="AU999" i="2"/>
  <c r="AQ999" i="2"/>
  <c r="AN999" i="2"/>
  <c r="U999" i="2"/>
  <c r="I999" i="2"/>
  <c r="G999" i="2"/>
  <c r="F999" i="2"/>
  <c r="B999" i="2"/>
  <c r="A999" i="2"/>
  <c r="CB998" i="2"/>
  <c r="BZ998" i="2"/>
  <c r="BW998" i="2"/>
  <c r="BX998" i="2" s="1"/>
  <c r="BS998" i="2"/>
  <c r="BU998" i="2" s="1"/>
  <c r="BR998" i="2"/>
  <c r="BT998" i="2" s="1"/>
  <c r="BH998" i="2"/>
  <c r="BD998" i="2"/>
  <c r="BC998" i="2"/>
  <c r="AV998" i="2"/>
  <c r="AU998" i="2"/>
  <c r="AQ998" i="2"/>
  <c r="AN998" i="2"/>
  <c r="U998" i="2"/>
  <c r="I998" i="2"/>
  <c r="G998" i="2"/>
  <c r="F998" i="2"/>
  <c r="B998" i="2"/>
  <c r="A998" i="2"/>
  <c r="CB997" i="2"/>
  <c r="BZ997" i="2"/>
  <c r="BW997" i="2"/>
  <c r="BX997" i="2" s="1"/>
  <c r="BS997" i="2"/>
  <c r="BU997" i="2" s="1"/>
  <c r="BR997" i="2"/>
  <c r="BT997" i="2" s="1"/>
  <c r="BH997" i="2"/>
  <c r="BD997" i="2"/>
  <c r="BC997" i="2"/>
  <c r="AV997" i="2"/>
  <c r="AU997" i="2"/>
  <c r="AQ997" i="2"/>
  <c r="AN997" i="2"/>
  <c r="U997" i="2"/>
  <c r="I997" i="2"/>
  <c r="G997" i="2"/>
  <c r="F997" i="2"/>
  <c r="B997" i="2"/>
  <c r="A997" i="2"/>
  <c r="CB996" i="2"/>
  <c r="BZ996" i="2"/>
  <c r="BW996" i="2"/>
  <c r="BX996" i="2" s="1"/>
  <c r="BU996" i="2"/>
  <c r="BS996" i="2"/>
  <c r="BR996" i="2"/>
  <c r="BT996" i="2" s="1"/>
  <c r="BH996" i="2"/>
  <c r="BD996" i="2"/>
  <c r="BC996" i="2"/>
  <c r="AV996" i="2"/>
  <c r="AU996" i="2"/>
  <c r="AQ996" i="2"/>
  <c r="AN996" i="2"/>
  <c r="U996" i="2"/>
  <c r="I996" i="2"/>
  <c r="G996" i="2"/>
  <c r="F996" i="2"/>
  <c r="B996" i="2"/>
  <c r="A996" i="2"/>
  <c r="CB995" i="2"/>
  <c r="BZ995" i="2"/>
  <c r="BW995" i="2"/>
  <c r="BX995" i="2" s="1"/>
  <c r="BS995" i="2"/>
  <c r="BU995" i="2" s="1"/>
  <c r="BR995" i="2"/>
  <c r="BT995" i="2" s="1"/>
  <c r="BH995" i="2"/>
  <c r="BD995" i="2"/>
  <c r="BC995" i="2"/>
  <c r="AV995" i="2"/>
  <c r="AU995" i="2"/>
  <c r="AQ995" i="2"/>
  <c r="AN995" i="2"/>
  <c r="U995" i="2"/>
  <c r="I995" i="2"/>
  <c r="G995" i="2"/>
  <c r="F995" i="2"/>
  <c r="B995" i="2"/>
  <c r="A995" i="2"/>
  <c r="CB994" i="2"/>
  <c r="BZ994" i="2"/>
  <c r="BW994" i="2"/>
  <c r="BX994" i="2" s="1"/>
  <c r="BS994" i="2"/>
  <c r="BU994" i="2" s="1"/>
  <c r="BR994" i="2"/>
  <c r="BT994" i="2" s="1"/>
  <c r="BH994" i="2"/>
  <c r="BD994" i="2"/>
  <c r="BC994" i="2"/>
  <c r="AV994" i="2"/>
  <c r="AU994" i="2"/>
  <c r="AQ994" i="2"/>
  <c r="AN994" i="2"/>
  <c r="U994" i="2"/>
  <c r="I994" i="2"/>
  <c r="G994" i="2"/>
  <c r="F994" i="2"/>
  <c r="B994" i="2"/>
  <c r="A994" i="2"/>
  <c r="CB993" i="2"/>
  <c r="BZ993" i="2"/>
  <c r="BW993" i="2"/>
  <c r="BX993" i="2" s="1"/>
  <c r="BS993" i="2"/>
  <c r="BU993" i="2" s="1"/>
  <c r="BR993" i="2"/>
  <c r="BT993" i="2" s="1"/>
  <c r="BH993" i="2"/>
  <c r="BD993" i="2"/>
  <c r="BC993" i="2"/>
  <c r="AV993" i="2"/>
  <c r="AU993" i="2"/>
  <c r="AQ993" i="2"/>
  <c r="AN993" i="2"/>
  <c r="U993" i="2"/>
  <c r="I993" i="2"/>
  <c r="G993" i="2"/>
  <c r="F993" i="2"/>
  <c r="B993" i="2"/>
  <c r="A993" i="2"/>
  <c r="CB992" i="2"/>
  <c r="BZ992" i="2"/>
  <c r="BW992" i="2"/>
  <c r="BX992" i="2" s="1"/>
  <c r="BS992" i="2"/>
  <c r="BU992" i="2" s="1"/>
  <c r="BR992" i="2"/>
  <c r="BT992" i="2" s="1"/>
  <c r="BH992" i="2"/>
  <c r="BD992" i="2"/>
  <c r="BC992" i="2"/>
  <c r="AV992" i="2"/>
  <c r="AU992" i="2"/>
  <c r="AQ992" i="2"/>
  <c r="AN992" i="2"/>
  <c r="U992" i="2"/>
  <c r="I992" i="2"/>
  <c r="G992" i="2"/>
  <c r="AS992" i="2" s="1"/>
  <c r="F992" i="2"/>
  <c r="B992" i="2"/>
  <c r="A992" i="2"/>
  <c r="CB991" i="2"/>
  <c r="BZ991" i="2"/>
  <c r="BW991" i="2"/>
  <c r="BX991" i="2" s="1"/>
  <c r="BS991" i="2"/>
  <c r="BU991" i="2" s="1"/>
  <c r="BR991" i="2"/>
  <c r="BT991" i="2" s="1"/>
  <c r="BH991" i="2"/>
  <c r="BD991" i="2"/>
  <c r="BC991" i="2"/>
  <c r="AV991" i="2"/>
  <c r="AU991" i="2"/>
  <c r="AQ991" i="2"/>
  <c r="AN991" i="2"/>
  <c r="U991" i="2"/>
  <c r="I991" i="2"/>
  <c r="G991" i="2"/>
  <c r="F991" i="2"/>
  <c r="B991" i="2"/>
  <c r="A991" i="2"/>
  <c r="CB990" i="2"/>
  <c r="BZ990" i="2"/>
  <c r="BW990" i="2"/>
  <c r="BX990" i="2" s="1"/>
  <c r="BS990" i="2"/>
  <c r="BU990" i="2" s="1"/>
  <c r="BR990" i="2"/>
  <c r="BT990" i="2" s="1"/>
  <c r="BH990" i="2"/>
  <c r="BD990" i="2"/>
  <c r="BC990" i="2"/>
  <c r="AV990" i="2"/>
  <c r="AU990" i="2"/>
  <c r="AQ990" i="2"/>
  <c r="AN990" i="2"/>
  <c r="U990" i="2"/>
  <c r="I990" i="2"/>
  <c r="G990" i="2"/>
  <c r="F990" i="2"/>
  <c r="B990" i="2"/>
  <c r="A990" i="2"/>
  <c r="CB989" i="2"/>
  <c r="BZ989" i="2"/>
  <c r="BW989" i="2"/>
  <c r="BX989" i="2" s="1"/>
  <c r="BS989" i="2"/>
  <c r="BU989" i="2" s="1"/>
  <c r="BR989" i="2"/>
  <c r="BT989" i="2" s="1"/>
  <c r="BH989" i="2"/>
  <c r="BD989" i="2"/>
  <c r="BC989" i="2"/>
  <c r="AV989" i="2"/>
  <c r="AU989" i="2"/>
  <c r="AQ989" i="2"/>
  <c r="AN989" i="2"/>
  <c r="U989" i="2"/>
  <c r="I989" i="2"/>
  <c r="G989" i="2"/>
  <c r="F989" i="2"/>
  <c r="AS989" i="2" s="1"/>
  <c r="B989" i="2"/>
  <c r="A989" i="2"/>
  <c r="CB988" i="2"/>
  <c r="BZ988" i="2"/>
  <c r="BW988" i="2"/>
  <c r="BX988" i="2" s="1"/>
  <c r="BS988" i="2"/>
  <c r="BU988" i="2" s="1"/>
  <c r="BR988" i="2"/>
  <c r="BT988" i="2" s="1"/>
  <c r="BH988" i="2"/>
  <c r="BD988" i="2"/>
  <c r="BC988" i="2"/>
  <c r="AV988" i="2"/>
  <c r="AU988" i="2"/>
  <c r="AQ988" i="2"/>
  <c r="AN988" i="2"/>
  <c r="U988" i="2"/>
  <c r="I988" i="2"/>
  <c r="G988" i="2"/>
  <c r="F988" i="2"/>
  <c r="B988" i="2"/>
  <c r="A988" i="2"/>
  <c r="CB987" i="2"/>
  <c r="BZ987" i="2"/>
  <c r="BW987" i="2"/>
  <c r="BX987" i="2" s="1"/>
  <c r="BS987" i="2"/>
  <c r="BU987" i="2" s="1"/>
  <c r="BR987" i="2"/>
  <c r="BT987" i="2" s="1"/>
  <c r="BH987" i="2"/>
  <c r="BD987" i="2"/>
  <c r="BC987" i="2"/>
  <c r="AV987" i="2"/>
  <c r="AU987" i="2"/>
  <c r="AQ987" i="2"/>
  <c r="AN987" i="2"/>
  <c r="U987" i="2"/>
  <c r="I987" i="2"/>
  <c r="G987" i="2"/>
  <c r="F987" i="2"/>
  <c r="B987" i="2"/>
  <c r="A987" i="2"/>
  <c r="CB986" i="2"/>
  <c r="BZ986" i="2"/>
  <c r="BW986" i="2"/>
  <c r="BX986" i="2" s="1"/>
  <c r="BS986" i="2"/>
  <c r="BU986" i="2" s="1"/>
  <c r="BR986" i="2"/>
  <c r="BT986" i="2" s="1"/>
  <c r="BH986" i="2"/>
  <c r="BD986" i="2"/>
  <c r="BC986" i="2"/>
  <c r="AV986" i="2"/>
  <c r="AU986" i="2"/>
  <c r="AQ986" i="2"/>
  <c r="AN986" i="2"/>
  <c r="U986" i="2"/>
  <c r="I986" i="2"/>
  <c r="G986" i="2"/>
  <c r="F986" i="2"/>
  <c r="B986" i="2"/>
  <c r="A986" i="2"/>
  <c r="CB985" i="2"/>
  <c r="BZ985" i="2"/>
  <c r="BW985" i="2"/>
  <c r="BX985" i="2" s="1"/>
  <c r="BS985" i="2"/>
  <c r="BU985" i="2" s="1"/>
  <c r="BR985" i="2"/>
  <c r="BT985" i="2" s="1"/>
  <c r="BH985" i="2"/>
  <c r="BD985" i="2"/>
  <c r="BC985" i="2"/>
  <c r="AV985" i="2"/>
  <c r="AU985" i="2"/>
  <c r="AQ985" i="2"/>
  <c r="AN985" i="2"/>
  <c r="U985" i="2"/>
  <c r="I985" i="2"/>
  <c r="G985" i="2"/>
  <c r="F985" i="2"/>
  <c r="B985" i="2"/>
  <c r="A985" i="2"/>
  <c r="CB984" i="2"/>
  <c r="BZ984" i="2"/>
  <c r="BW984" i="2"/>
  <c r="BX984" i="2" s="1"/>
  <c r="BS984" i="2"/>
  <c r="BU984" i="2" s="1"/>
  <c r="BR984" i="2"/>
  <c r="BT984" i="2" s="1"/>
  <c r="BH984" i="2"/>
  <c r="BD984" i="2"/>
  <c r="BC984" i="2"/>
  <c r="AV984" i="2"/>
  <c r="AU984" i="2"/>
  <c r="AQ984" i="2"/>
  <c r="AN984" i="2"/>
  <c r="U984" i="2"/>
  <c r="I984" i="2"/>
  <c r="G984" i="2"/>
  <c r="AS984" i="2" s="1"/>
  <c r="F984" i="2"/>
  <c r="B984" i="2"/>
  <c r="A984" i="2"/>
  <c r="CB983" i="2"/>
  <c r="BZ983" i="2"/>
  <c r="BW983" i="2"/>
  <c r="BX983" i="2" s="1"/>
  <c r="BS983" i="2"/>
  <c r="BU983" i="2" s="1"/>
  <c r="BR983" i="2"/>
  <c r="BT983" i="2" s="1"/>
  <c r="BH983" i="2"/>
  <c r="BD983" i="2"/>
  <c r="BC983" i="2"/>
  <c r="AV983" i="2"/>
  <c r="AU983" i="2"/>
  <c r="AQ983" i="2"/>
  <c r="AN983" i="2"/>
  <c r="U983" i="2"/>
  <c r="I983" i="2"/>
  <c r="G983" i="2"/>
  <c r="F983" i="2"/>
  <c r="B983" i="2"/>
  <c r="A983" i="2"/>
  <c r="CB982" i="2"/>
  <c r="BZ982" i="2"/>
  <c r="BW982" i="2"/>
  <c r="BX982" i="2" s="1"/>
  <c r="BS982" i="2"/>
  <c r="BU982" i="2" s="1"/>
  <c r="BR982" i="2"/>
  <c r="BT982" i="2" s="1"/>
  <c r="BH982" i="2"/>
  <c r="BD982" i="2"/>
  <c r="BC982" i="2"/>
  <c r="AV982" i="2"/>
  <c r="AU982" i="2"/>
  <c r="AQ982" i="2"/>
  <c r="AN982" i="2"/>
  <c r="U982" i="2"/>
  <c r="I982" i="2"/>
  <c r="G982" i="2"/>
  <c r="AS982" i="2" s="1"/>
  <c r="AT982" i="2" s="1"/>
  <c r="CF982" i="2" s="1"/>
  <c r="F982" i="2"/>
  <c r="B982" i="2"/>
  <c r="A982" i="2"/>
  <c r="CB981" i="2"/>
  <c r="BZ981" i="2"/>
  <c r="BW981" i="2"/>
  <c r="BX981" i="2" s="1"/>
  <c r="BS981" i="2"/>
  <c r="BU981" i="2" s="1"/>
  <c r="BR981" i="2"/>
  <c r="BT981" i="2" s="1"/>
  <c r="BH981" i="2"/>
  <c r="BD981" i="2"/>
  <c r="BC981" i="2"/>
  <c r="AV981" i="2"/>
  <c r="AU981" i="2"/>
  <c r="AQ981" i="2"/>
  <c r="AN981" i="2"/>
  <c r="U981" i="2"/>
  <c r="I981" i="2"/>
  <c r="G981" i="2"/>
  <c r="F981" i="2"/>
  <c r="B981" i="2"/>
  <c r="A981" i="2"/>
  <c r="CB980" i="2"/>
  <c r="BZ980" i="2"/>
  <c r="BW980" i="2"/>
  <c r="BX980" i="2" s="1"/>
  <c r="BS980" i="2"/>
  <c r="BU980" i="2" s="1"/>
  <c r="BR980" i="2"/>
  <c r="BT980" i="2" s="1"/>
  <c r="BH980" i="2"/>
  <c r="BD980" i="2"/>
  <c r="BC980" i="2"/>
  <c r="AV980" i="2"/>
  <c r="AU980" i="2"/>
  <c r="AQ980" i="2"/>
  <c r="AN980" i="2"/>
  <c r="U980" i="2"/>
  <c r="I980" i="2"/>
  <c r="G980" i="2"/>
  <c r="F980" i="2"/>
  <c r="B980" i="2"/>
  <c r="A980" i="2"/>
  <c r="CB979" i="2"/>
  <c r="BZ979" i="2"/>
  <c r="BW979" i="2"/>
  <c r="BX979" i="2" s="1"/>
  <c r="BT979" i="2"/>
  <c r="BS979" i="2"/>
  <c r="BU979" i="2" s="1"/>
  <c r="BR979" i="2"/>
  <c r="BH979" i="2"/>
  <c r="BD979" i="2"/>
  <c r="BC979" i="2"/>
  <c r="AV979" i="2"/>
  <c r="AU979" i="2"/>
  <c r="AQ979" i="2"/>
  <c r="AN979" i="2"/>
  <c r="U979" i="2"/>
  <c r="I979" i="2"/>
  <c r="G979" i="2"/>
  <c r="AS979" i="2" s="1"/>
  <c r="F979" i="2"/>
  <c r="B979" i="2"/>
  <c r="A979" i="2"/>
  <c r="CB978" i="2"/>
  <c r="BZ978" i="2"/>
  <c r="BW978" i="2"/>
  <c r="BX978" i="2" s="1"/>
  <c r="BS978" i="2"/>
  <c r="BU978" i="2" s="1"/>
  <c r="BR978" i="2"/>
  <c r="BT978" i="2" s="1"/>
  <c r="BH978" i="2"/>
  <c r="BD978" i="2"/>
  <c r="BC978" i="2"/>
  <c r="AV978" i="2"/>
  <c r="AU978" i="2"/>
  <c r="AQ978" i="2"/>
  <c r="AN978" i="2"/>
  <c r="U978" i="2"/>
  <c r="I978" i="2"/>
  <c r="G978" i="2"/>
  <c r="F978" i="2"/>
  <c r="AS978" i="2" s="1"/>
  <c r="B978" i="2"/>
  <c r="A978" i="2"/>
  <c r="CB977" i="2"/>
  <c r="BZ977" i="2"/>
  <c r="BW977" i="2"/>
  <c r="BX977" i="2" s="1"/>
  <c r="BS977" i="2"/>
  <c r="BU977" i="2" s="1"/>
  <c r="BR977" i="2"/>
  <c r="BT977" i="2" s="1"/>
  <c r="BH977" i="2"/>
  <c r="BD977" i="2"/>
  <c r="BC977" i="2"/>
  <c r="AV977" i="2"/>
  <c r="AU977" i="2"/>
  <c r="AQ977" i="2"/>
  <c r="AN977" i="2"/>
  <c r="U977" i="2"/>
  <c r="I977" i="2"/>
  <c r="G977" i="2"/>
  <c r="F977" i="2"/>
  <c r="B977" i="2"/>
  <c r="A977" i="2"/>
  <c r="CB976" i="2"/>
  <c r="BZ976" i="2"/>
  <c r="BW976" i="2"/>
  <c r="BX976" i="2" s="1"/>
  <c r="BS976" i="2"/>
  <c r="BU976" i="2" s="1"/>
  <c r="BR976" i="2"/>
  <c r="BT976" i="2" s="1"/>
  <c r="BH976" i="2"/>
  <c r="BD976" i="2"/>
  <c r="BC976" i="2"/>
  <c r="AV976" i="2"/>
  <c r="AU976" i="2"/>
  <c r="AQ976" i="2"/>
  <c r="AN976" i="2"/>
  <c r="U976" i="2"/>
  <c r="I976" i="2"/>
  <c r="G976" i="2"/>
  <c r="F976" i="2"/>
  <c r="B976" i="2"/>
  <c r="A976" i="2"/>
  <c r="CB975" i="2"/>
  <c r="BZ975" i="2"/>
  <c r="BW975" i="2"/>
  <c r="BX975" i="2" s="1"/>
  <c r="BS975" i="2"/>
  <c r="BU975" i="2" s="1"/>
  <c r="BR975" i="2"/>
  <c r="BT975" i="2" s="1"/>
  <c r="BH975" i="2"/>
  <c r="BD975" i="2"/>
  <c r="BC975" i="2"/>
  <c r="AV975" i="2"/>
  <c r="AU975" i="2"/>
  <c r="AQ975" i="2"/>
  <c r="AN975" i="2"/>
  <c r="U975" i="2"/>
  <c r="I975" i="2"/>
  <c r="G975" i="2"/>
  <c r="F975" i="2"/>
  <c r="B975" i="2"/>
  <c r="A975" i="2"/>
  <c r="CB974" i="2"/>
  <c r="BZ974" i="2"/>
  <c r="BW974" i="2"/>
  <c r="BX974" i="2" s="1"/>
  <c r="BS974" i="2"/>
  <c r="BU974" i="2" s="1"/>
  <c r="BR974" i="2"/>
  <c r="BT974" i="2" s="1"/>
  <c r="BH974" i="2"/>
  <c r="BD974" i="2"/>
  <c r="BC974" i="2"/>
  <c r="AV974" i="2"/>
  <c r="AU974" i="2"/>
  <c r="AQ974" i="2"/>
  <c r="AN974" i="2"/>
  <c r="U974" i="2"/>
  <c r="I974" i="2"/>
  <c r="G974" i="2"/>
  <c r="F974" i="2"/>
  <c r="AS974" i="2" s="1"/>
  <c r="B974" i="2"/>
  <c r="A974" i="2"/>
  <c r="CB973" i="2"/>
  <c r="BZ973" i="2"/>
  <c r="BW973" i="2"/>
  <c r="BX973" i="2" s="1"/>
  <c r="BS973" i="2"/>
  <c r="BU973" i="2" s="1"/>
  <c r="BR973" i="2"/>
  <c r="BT973" i="2" s="1"/>
  <c r="BH973" i="2"/>
  <c r="BD973" i="2"/>
  <c r="BC973" i="2"/>
  <c r="AV973" i="2"/>
  <c r="AU973" i="2"/>
  <c r="AQ973" i="2"/>
  <c r="AN973" i="2"/>
  <c r="U973" i="2"/>
  <c r="I973" i="2"/>
  <c r="G973" i="2"/>
  <c r="AS973" i="2" s="1"/>
  <c r="F973" i="2"/>
  <c r="B973" i="2"/>
  <c r="A973" i="2"/>
  <c r="CB972" i="2"/>
  <c r="BZ972" i="2"/>
  <c r="BW972" i="2"/>
  <c r="BX972" i="2" s="1"/>
  <c r="BU972" i="2"/>
  <c r="BS972" i="2"/>
  <c r="BR972" i="2"/>
  <c r="BT972" i="2" s="1"/>
  <c r="BH972" i="2"/>
  <c r="BD972" i="2"/>
  <c r="BC972" i="2"/>
  <c r="AV972" i="2"/>
  <c r="AU972" i="2"/>
  <c r="AQ972" i="2"/>
  <c r="AN972" i="2"/>
  <c r="U972" i="2"/>
  <c r="I972" i="2"/>
  <c r="G972" i="2"/>
  <c r="F972" i="2"/>
  <c r="B972" i="2"/>
  <c r="A972" i="2"/>
  <c r="CB971" i="2"/>
  <c r="BZ971" i="2"/>
  <c r="BW971" i="2"/>
  <c r="BX971" i="2" s="1"/>
  <c r="BS971" i="2"/>
  <c r="BU971" i="2" s="1"/>
  <c r="BR971" i="2"/>
  <c r="BT971" i="2" s="1"/>
  <c r="BH971" i="2"/>
  <c r="BD971" i="2"/>
  <c r="BC971" i="2"/>
  <c r="AV971" i="2"/>
  <c r="AU971" i="2"/>
  <c r="AQ971" i="2"/>
  <c r="AN971" i="2"/>
  <c r="U971" i="2"/>
  <c r="I971" i="2"/>
  <c r="G971" i="2"/>
  <c r="F971" i="2"/>
  <c r="B971" i="2"/>
  <c r="A971" i="2"/>
  <c r="CB970" i="2"/>
  <c r="BZ970" i="2"/>
  <c r="BW970" i="2"/>
  <c r="BX970" i="2" s="1"/>
  <c r="BS970" i="2"/>
  <c r="BU970" i="2" s="1"/>
  <c r="BR970" i="2"/>
  <c r="BT970" i="2" s="1"/>
  <c r="BH970" i="2"/>
  <c r="BD970" i="2"/>
  <c r="BC970" i="2"/>
  <c r="AV970" i="2"/>
  <c r="AU970" i="2"/>
  <c r="AQ970" i="2"/>
  <c r="AN970" i="2"/>
  <c r="U970" i="2"/>
  <c r="I970" i="2"/>
  <c r="G970" i="2"/>
  <c r="F970" i="2"/>
  <c r="B970" i="2"/>
  <c r="A970" i="2"/>
  <c r="CB969" i="2"/>
  <c r="BZ969" i="2"/>
  <c r="BW969" i="2"/>
  <c r="BX969" i="2" s="1"/>
  <c r="BS969" i="2"/>
  <c r="BU969" i="2" s="1"/>
  <c r="BR969" i="2"/>
  <c r="BT969" i="2" s="1"/>
  <c r="BH969" i="2"/>
  <c r="BD969" i="2"/>
  <c r="BC969" i="2"/>
  <c r="AV969" i="2"/>
  <c r="AU969" i="2"/>
  <c r="AQ969" i="2"/>
  <c r="AN969" i="2"/>
  <c r="U969" i="2"/>
  <c r="I969" i="2"/>
  <c r="G969" i="2"/>
  <c r="F969" i="2"/>
  <c r="B969" i="2"/>
  <c r="A969" i="2"/>
  <c r="CB968" i="2"/>
  <c r="BZ968" i="2"/>
  <c r="BW968" i="2"/>
  <c r="BX968" i="2" s="1"/>
  <c r="BS968" i="2"/>
  <c r="BU968" i="2" s="1"/>
  <c r="BR968" i="2"/>
  <c r="BT968" i="2" s="1"/>
  <c r="BH968" i="2"/>
  <c r="BD968" i="2"/>
  <c r="BC968" i="2"/>
  <c r="AV968" i="2"/>
  <c r="AU968" i="2"/>
  <c r="AQ968" i="2"/>
  <c r="AN968" i="2"/>
  <c r="U968" i="2"/>
  <c r="I968" i="2"/>
  <c r="G968" i="2"/>
  <c r="F968" i="2"/>
  <c r="B968" i="2"/>
  <c r="A968" i="2"/>
  <c r="CB967" i="2"/>
  <c r="BZ967" i="2"/>
  <c r="BW967" i="2"/>
  <c r="BX967" i="2" s="1"/>
  <c r="BS967" i="2"/>
  <c r="BU967" i="2" s="1"/>
  <c r="BR967" i="2"/>
  <c r="BT967" i="2" s="1"/>
  <c r="BH967" i="2"/>
  <c r="BD967" i="2"/>
  <c r="BC967" i="2"/>
  <c r="AV967" i="2"/>
  <c r="AU967" i="2"/>
  <c r="AQ967" i="2"/>
  <c r="AN967" i="2"/>
  <c r="U967" i="2"/>
  <c r="I967" i="2"/>
  <c r="G967" i="2"/>
  <c r="AS967" i="2" s="1"/>
  <c r="F967" i="2"/>
  <c r="B967" i="2"/>
  <c r="A967" i="2"/>
  <c r="CB966" i="2"/>
  <c r="BZ966" i="2"/>
  <c r="BW966" i="2"/>
  <c r="BX966" i="2" s="1"/>
  <c r="BS966" i="2"/>
  <c r="BU966" i="2" s="1"/>
  <c r="BR966" i="2"/>
  <c r="BT966" i="2" s="1"/>
  <c r="BH966" i="2"/>
  <c r="BD966" i="2"/>
  <c r="BC966" i="2"/>
  <c r="AV966" i="2"/>
  <c r="AU966" i="2"/>
  <c r="AQ966" i="2"/>
  <c r="AN966" i="2"/>
  <c r="U966" i="2"/>
  <c r="I966" i="2"/>
  <c r="G966" i="2"/>
  <c r="F966" i="2"/>
  <c r="B966" i="2"/>
  <c r="A966" i="2"/>
  <c r="CB965" i="2"/>
  <c r="BZ965" i="2"/>
  <c r="BX965" i="2"/>
  <c r="BW965" i="2"/>
  <c r="BS965" i="2"/>
  <c r="BU965" i="2" s="1"/>
  <c r="BR965" i="2"/>
  <c r="BT965" i="2" s="1"/>
  <c r="BH965" i="2"/>
  <c r="BD965" i="2"/>
  <c r="BC965" i="2"/>
  <c r="AV965" i="2"/>
  <c r="AU965" i="2"/>
  <c r="AQ965" i="2"/>
  <c r="AN965" i="2"/>
  <c r="U965" i="2"/>
  <c r="I965" i="2"/>
  <c r="G965" i="2"/>
  <c r="F965" i="2"/>
  <c r="B965" i="2"/>
  <c r="A965" i="2"/>
  <c r="CB964" i="2"/>
  <c r="CA964" i="2"/>
  <c r="BZ964" i="2"/>
  <c r="BW964" i="2"/>
  <c r="BX964" i="2" s="1"/>
  <c r="BS964" i="2"/>
  <c r="BU964" i="2" s="1"/>
  <c r="BR964" i="2"/>
  <c r="BT964" i="2" s="1"/>
  <c r="BP964" i="2"/>
  <c r="BQ964" i="2" s="1"/>
  <c r="BY964" i="2" s="1"/>
  <c r="BN964" i="2"/>
  <c r="BO964" i="2" s="1"/>
  <c r="BH964" i="2"/>
  <c r="BC964" i="2"/>
  <c r="AV964" i="2"/>
  <c r="AU964" i="2"/>
  <c r="AR964" i="2"/>
  <c r="AQ964" i="2"/>
  <c r="AO964" i="2"/>
  <c r="AN964" i="2"/>
  <c r="T964" i="2"/>
  <c r="I964" i="2"/>
  <c r="G964" i="2"/>
  <c r="BD964" i="2" s="1"/>
  <c r="F964" i="2"/>
  <c r="B964" i="2"/>
  <c r="A964" i="2"/>
  <c r="CB963" i="2"/>
  <c r="CA963" i="2"/>
  <c r="BZ963" i="2"/>
  <c r="BW963" i="2"/>
  <c r="BX963" i="2" s="1"/>
  <c r="BS963" i="2"/>
  <c r="BU963" i="2" s="1"/>
  <c r="BR963" i="2"/>
  <c r="BT963" i="2" s="1"/>
  <c r="BP963" i="2"/>
  <c r="BQ963" i="2" s="1"/>
  <c r="BY963" i="2" s="1"/>
  <c r="BN963" i="2"/>
  <c r="BO963" i="2" s="1"/>
  <c r="BH963" i="2"/>
  <c r="BC963" i="2"/>
  <c r="AW963" i="2"/>
  <c r="AX963" i="2" s="1"/>
  <c r="AV963" i="2"/>
  <c r="AU963" i="2"/>
  <c r="AR963" i="2"/>
  <c r="AQ963" i="2"/>
  <c r="AO963" i="2"/>
  <c r="AN963" i="2"/>
  <c r="T963" i="2"/>
  <c r="I963" i="2"/>
  <c r="G963" i="2"/>
  <c r="BD963" i="2" s="1"/>
  <c r="F963" i="2"/>
  <c r="B963" i="2"/>
  <c r="A963" i="2"/>
  <c r="CB962" i="2"/>
  <c r="CA962" i="2"/>
  <c r="BZ962" i="2"/>
  <c r="BW962" i="2"/>
  <c r="BX962" i="2" s="1"/>
  <c r="BS962" i="2"/>
  <c r="BU962" i="2" s="1"/>
  <c r="BR962" i="2"/>
  <c r="BT962" i="2" s="1"/>
  <c r="BQ962" i="2"/>
  <c r="BY962" i="2" s="1"/>
  <c r="BP962" i="2"/>
  <c r="BN962" i="2"/>
  <c r="BO962" i="2" s="1"/>
  <c r="BH962" i="2"/>
  <c r="BC962" i="2"/>
  <c r="AV962" i="2"/>
  <c r="AU962" i="2"/>
  <c r="AR962" i="2"/>
  <c r="AQ962" i="2"/>
  <c r="AO962" i="2"/>
  <c r="AN962" i="2"/>
  <c r="T962" i="2"/>
  <c r="I962" i="2"/>
  <c r="G962" i="2"/>
  <c r="BD962" i="2" s="1"/>
  <c r="F962" i="2"/>
  <c r="B962" i="2"/>
  <c r="A962" i="2"/>
  <c r="CB961" i="2"/>
  <c r="CA961" i="2"/>
  <c r="BZ961" i="2"/>
  <c r="BW961" i="2"/>
  <c r="BX961" i="2" s="1"/>
  <c r="BS961" i="2"/>
  <c r="BU961" i="2" s="1"/>
  <c r="BR961" i="2"/>
  <c r="BT961" i="2" s="1"/>
  <c r="BP961" i="2"/>
  <c r="BQ961" i="2" s="1"/>
  <c r="BY961" i="2" s="1"/>
  <c r="BN961" i="2"/>
  <c r="BO961" i="2" s="1"/>
  <c r="BH961" i="2"/>
  <c r="BC961" i="2"/>
  <c r="AW961" i="2"/>
  <c r="AX961" i="2" s="1"/>
  <c r="AV961" i="2"/>
  <c r="AU961" i="2"/>
  <c r="AR961" i="2"/>
  <c r="AQ961" i="2"/>
  <c r="AO961" i="2"/>
  <c r="AN961" i="2"/>
  <c r="T961" i="2"/>
  <c r="I961" i="2"/>
  <c r="G961" i="2"/>
  <c r="BD961" i="2" s="1"/>
  <c r="F961" i="2"/>
  <c r="B961" i="2"/>
  <c r="A961" i="2"/>
  <c r="CB960" i="2"/>
  <c r="CA960" i="2"/>
  <c r="BZ960" i="2"/>
  <c r="BW960" i="2"/>
  <c r="BX960" i="2" s="1"/>
  <c r="BS960" i="2"/>
  <c r="BU960" i="2" s="1"/>
  <c r="BR960" i="2"/>
  <c r="BT960" i="2" s="1"/>
  <c r="BH960" i="2"/>
  <c r="BD960" i="2"/>
  <c r="BC960" i="2"/>
  <c r="AW960" i="2"/>
  <c r="AX960" i="2" s="1"/>
  <c r="AV960" i="2"/>
  <c r="AU960" i="2"/>
  <c r="AQ960" i="2"/>
  <c r="AN960" i="2"/>
  <c r="T960" i="2"/>
  <c r="I960" i="2"/>
  <c r="G960" i="2"/>
  <c r="F960" i="2"/>
  <c r="B960" i="2"/>
  <c r="A960" i="2"/>
  <c r="CB959" i="2"/>
  <c r="CA959" i="2"/>
  <c r="BZ959" i="2"/>
  <c r="BW959" i="2"/>
  <c r="BX959" i="2" s="1"/>
  <c r="BS959" i="2"/>
  <c r="BU959" i="2" s="1"/>
  <c r="BR959" i="2"/>
  <c r="BT959" i="2" s="1"/>
  <c r="BP959" i="2"/>
  <c r="BQ959" i="2" s="1"/>
  <c r="BY959" i="2" s="1"/>
  <c r="BN959" i="2"/>
  <c r="BO959" i="2" s="1"/>
  <c r="BH959" i="2"/>
  <c r="BC959" i="2"/>
  <c r="AW959" i="2"/>
  <c r="AX959" i="2" s="1"/>
  <c r="AV959" i="2"/>
  <c r="AY959" i="2" s="1"/>
  <c r="AU959" i="2"/>
  <c r="AR959" i="2"/>
  <c r="AQ959" i="2"/>
  <c r="AO959" i="2"/>
  <c r="AN959" i="2"/>
  <c r="T959" i="2"/>
  <c r="I959" i="2"/>
  <c r="G959" i="2"/>
  <c r="F959" i="2"/>
  <c r="B959" i="2"/>
  <c r="A959" i="2"/>
  <c r="CB958" i="2"/>
  <c r="BZ958" i="2"/>
  <c r="BW958" i="2"/>
  <c r="BX958" i="2" s="1"/>
  <c r="BS958" i="2"/>
  <c r="BU958" i="2" s="1"/>
  <c r="BR958" i="2"/>
  <c r="BT958" i="2" s="1"/>
  <c r="BH958" i="2"/>
  <c r="BD958" i="2"/>
  <c r="BC958" i="2"/>
  <c r="AW958" i="2"/>
  <c r="AX958" i="2" s="1"/>
  <c r="AV958" i="2"/>
  <c r="AY958" i="2" s="1"/>
  <c r="AU958" i="2"/>
  <c r="AQ958" i="2"/>
  <c r="AN958" i="2"/>
  <c r="T958" i="2"/>
  <c r="I958" i="2"/>
  <c r="G958" i="2"/>
  <c r="F958" i="2"/>
  <c r="B958" i="2"/>
  <c r="A958" i="2"/>
  <c r="CB957" i="2"/>
  <c r="BZ957" i="2"/>
  <c r="BW957" i="2"/>
  <c r="BX957" i="2" s="1"/>
  <c r="BS957" i="2"/>
  <c r="BU957" i="2" s="1"/>
  <c r="BR957" i="2"/>
  <c r="BT957" i="2" s="1"/>
  <c r="BP957" i="2"/>
  <c r="BQ957" i="2" s="1"/>
  <c r="BY957" i="2" s="1"/>
  <c r="BH957" i="2"/>
  <c r="BD957" i="2"/>
  <c r="BC957" i="2"/>
  <c r="AW957" i="2"/>
  <c r="AX957" i="2" s="1"/>
  <c r="AV957" i="2"/>
  <c r="AY957" i="2" s="1"/>
  <c r="BN957" i="2" s="1"/>
  <c r="BO957" i="2" s="1"/>
  <c r="AU957" i="2"/>
  <c r="AQ957" i="2"/>
  <c r="AN957" i="2"/>
  <c r="T957" i="2"/>
  <c r="I957" i="2"/>
  <c r="G957" i="2"/>
  <c r="F957" i="2"/>
  <c r="B957" i="2"/>
  <c r="A957" i="2"/>
  <c r="CB956" i="2"/>
  <c r="BZ956" i="2"/>
  <c r="BW956" i="2"/>
  <c r="BX956" i="2" s="1"/>
  <c r="BS956" i="2"/>
  <c r="BU956" i="2" s="1"/>
  <c r="BR956" i="2"/>
  <c r="BT956" i="2" s="1"/>
  <c r="BH956" i="2"/>
  <c r="BD956" i="2"/>
  <c r="BC956" i="2"/>
  <c r="AV956" i="2"/>
  <c r="AU956" i="2"/>
  <c r="AQ956" i="2"/>
  <c r="AN956" i="2"/>
  <c r="T956" i="2"/>
  <c r="I956" i="2"/>
  <c r="G956" i="2"/>
  <c r="F956" i="2"/>
  <c r="B956" i="2"/>
  <c r="A956" i="2"/>
  <c r="CB955" i="2"/>
  <c r="BZ955" i="2"/>
  <c r="BW955" i="2"/>
  <c r="BX955" i="2" s="1"/>
  <c r="BS955" i="2"/>
  <c r="BU955" i="2" s="1"/>
  <c r="BR955" i="2"/>
  <c r="BT955" i="2" s="1"/>
  <c r="BH955" i="2"/>
  <c r="BD955" i="2"/>
  <c r="BC955" i="2"/>
  <c r="AW955" i="2"/>
  <c r="AX955" i="2" s="1"/>
  <c r="AV955" i="2"/>
  <c r="AY955" i="2" s="1"/>
  <c r="AU955" i="2"/>
  <c r="AQ955" i="2"/>
  <c r="AN955" i="2"/>
  <c r="T955" i="2"/>
  <c r="I955" i="2"/>
  <c r="G955" i="2"/>
  <c r="F955" i="2"/>
  <c r="B955" i="2"/>
  <c r="A955" i="2"/>
  <c r="CB954" i="2"/>
  <c r="BZ954" i="2"/>
  <c r="BW954" i="2"/>
  <c r="BX954" i="2" s="1"/>
  <c r="BS954" i="2"/>
  <c r="BU954" i="2" s="1"/>
  <c r="BR954" i="2"/>
  <c r="BT954" i="2" s="1"/>
  <c r="BH954" i="2"/>
  <c r="BD954" i="2"/>
  <c r="BC954" i="2"/>
  <c r="AV954" i="2"/>
  <c r="AU954" i="2"/>
  <c r="AQ954" i="2"/>
  <c r="AN954" i="2"/>
  <c r="T954" i="2"/>
  <c r="I954" i="2"/>
  <c r="G954" i="2"/>
  <c r="F954" i="2"/>
  <c r="B954" i="2"/>
  <c r="A954" i="2"/>
  <c r="CB953" i="2"/>
  <c r="BZ953" i="2"/>
  <c r="BW953" i="2"/>
  <c r="BX953" i="2" s="1"/>
  <c r="BS953" i="2"/>
  <c r="BU953" i="2" s="1"/>
  <c r="BR953" i="2"/>
  <c r="BT953" i="2" s="1"/>
  <c r="BH953" i="2"/>
  <c r="BD953" i="2"/>
  <c r="BC953" i="2"/>
  <c r="AV953" i="2"/>
  <c r="AU953" i="2"/>
  <c r="AQ953" i="2"/>
  <c r="AN953" i="2"/>
  <c r="T953" i="2"/>
  <c r="I953" i="2"/>
  <c r="G953" i="2"/>
  <c r="F953" i="2"/>
  <c r="B953" i="2"/>
  <c r="A953" i="2"/>
  <c r="CB952" i="2"/>
  <c r="BZ952" i="2"/>
  <c r="BW952" i="2"/>
  <c r="BX952" i="2" s="1"/>
  <c r="BS952" i="2"/>
  <c r="BU952" i="2" s="1"/>
  <c r="BR952" i="2"/>
  <c r="BT952" i="2" s="1"/>
  <c r="BH952" i="2"/>
  <c r="BD952" i="2"/>
  <c r="BC952" i="2"/>
  <c r="AV952" i="2"/>
  <c r="AU952" i="2"/>
  <c r="AQ952" i="2"/>
  <c r="AN952" i="2"/>
  <c r="T952" i="2"/>
  <c r="I952" i="2"/>
  <c r="G952" i="2"/>
  <c r="F952" i="2"/>
  <c r="B952" i="2"/>
  <c r="A952" i="2"/>
  <c r="CB951" i="2"/>
  <c r="BZ951" i="2"/>
  <c r="BW951" i="2"/>
  <c r="BX951" i="2" s="1"/>
  <c r="BS951" i="2"/>
  <c r="BU951" i="2" s="1"/>
  <c r="BR951" i="2"/>
  <c r="BT951" i="2" s="1"/>
  <c r="BH951" i="2"/>
  <c r="BD951" i="2"/>
  <c r="BC951" i="2"/>
  <c r="AV951" i="2"/>
  <c r="AU951" i="2"/>
  <c r="AQ951" i="2"/>
  <c r="AN951" i="2"/>
  <c r="T951" i="2"/>
  <c r="I951" i="2"/>
  <c r="G951" i="2"/>
  <c r="F951" i="2"/>
  <c r="B951" i="2"/>
  <c r="A951" i="2"/>
  <c r="CB950" i="2"/>
  <c r="BZ950" i="2"/>
  <c r="BW950" i="2"/>
  <c r="BX950" i="2" s="1"/>
  <c r="BS950" i="2"/>
  <c r="BU950" i="2" s="1"/>
  <c r="BR950" i="2"/>
  <c r="BT950" i="2" s="1"/>
  <c r="BH950" i="2"/>
  <c r="BD950" i="2"/>
  <c r="BC950" i="2"/>
  <c r="AV950" i="2"/>
  <c r="AU950" i="2"/>
  <c r="AQ950" i="2"/>
  <c r="AN950" i="2"/>
  <c r="T950" i="2"/>
  <c r="I950" i="2"/>
  <c r="G950" i="2"/>
  <c r="F950" i="2"/>
  <c r="B950" i="2"/>
  <c r="A950" i="2"/>
  <c r="CB949" i="2"/>
  <c r="BZ949" i="2"/>
  <c r="BW949" i="2"/>
  <c r="BX949" i="2" s="1"/>
  <c r="BS949" i="2"/>
  <c r="BU949" i="2" s="1"/>
  <c r="BR949" i="2"/>
  <c r="BT949" i="2" s="1"/>
  <c r="BH949" i="2"/>
  <c r="BD949" i="2"/>
  <c r="BC949" i="2"/>
  <c r="AV949" i="2"/>
  <c r="AU949" i="2"/>
  <c r="AQ949" i="2"/>
  <c r="AN949" i="2"/>
  <c r="T949" i="2"/>
  <c r="I949" i="2"/>
  <c r="G949" i="2"/>
  <c r="F949" i="2"/>
  <c r="B949" i="2"/>
  <c r="A949" i="2"/>
  <c r="CB948" i="2"/>
  <c r="BZ948" i="2"/>
  <c r="BW948" i="2"/>
  <c r="BX948" i="2" s="1"/>
  <c r="BS948" i="2"/>
  <c r="BU948" i="2" s="1"/>
  <c r="BR948" i="2"/>
  <c r="BT948" i="2" s="1"/>
  <c r="BH948" i="2"/>
  <c r="BD948" i="2"/>
  <c r="BC948" i="2"/>
  <c r="AV948" i="2"/>
  <c r="AU948" i="2"/>
  <c r="AQ948" i="2"/>
  <c r="AN948" i="2"/>
  <c r="T948" i="2"/>
  <c r="I948" i="2"/>
  <c r="G948" i="2"/>
  <c r="F948" i="2"/>
  <c r="B948" i="2"/>
  <c r="A948" i="2"/>
  <c r="CB947" i="2"/>
  <c r="BZ947" i="2"/>
  <c r="BW947" i="2"/>
  <c r="BX947" i="2" s="1"/>
  <c r="BU947" i="2"/>
  <c r="BS947" i="2"/>
  <c r="BR947" i="2"/>
  <c r="BT947" i="2" s="1"/>
  <c r="BH947" i="2"/>
  <c r="BD947" i="2"/>
  <c r="BC947" i="2"/>
  <c r="AV947" i="2"/>
  <c r="AU947" i="2"/>
  <c r="AQ947" i="2"/>
  <c r="AN947" i="2"/>
  <c r="T947" i="2"/>
  <c r="I947" i="2"/>
  <c r="G947" i="2"/>
  <c r="F947" i="2"/>
  <c r="B947" i="2"/>
  <c r="A947" i="2"/>
  <c r="CB946" i="2"/>
  <c r="BZ946" i="2"/>
  <c r="BW946" i="2"/>
  <c r="BX946" i="2" s="1"/>
  <c r="BS946" i="2"/>
  <c r="BU946" i="2" s="1"/>
  <c r="BR946" i="2"/>
  <c r="BT946" i="2" s="1"/>
  <c r="BH946" i="2"/>
  <c r="BD946" i="2"/>
  <c r="BC946" i="2"/>
  <c r="AV946" i="2"/>
  <c r="AU946" i="2"/>
  <c r="AQ946" i="2"/>
  <c r="AN946" i="2"/>
  <c r="T946" i="2"/>
  <c r="I946" i="2"/>
  <c r="G946" i="2"/>
  <c r="F946" i="2"/>
  <c r="B946" i="2"/>
  <c r="A946" i="2"/>
  <c r="CB945" i="2"/>
  <c r="BZ945" i="2"/>
  <c r="BW945" i="2"/>
  <c r="BX945" i="2" s="1"/>
  <c r="BS945" i="2"/>
  <c r="BU945" i="2" s="1"/>
  <c r="BR945" i="2"/>
  <c r="BT945" i="2" s="1"/>
  <c r="BH945" i="2"/>
  <c r="BD945" i="2"/>
  <c r="BC945" i="2"/>
  <c r="AV945" i="2"/>
  <c r="AU945" i="2"/>
  <c r="AQ945" i="2"/>
  <c r="AN945" i="2"/>
  <c r="T945" i="2"/>
  <c r="I945" i="2"/>
  <c r="G945" i="2"/>
  <c r="F945" i="2"/>
  <c r="AS945" i="2" s="1"/>
  <c r="AT945" i="2" s="1"/>
  <c r="CF945" i="2" s="1"/>
  <c r="B945" i="2"/>
  <c r="A945" i="2"/>
  <c r="CB944" i="2"/>
  <c r="BZ944" i="2"/>
  <c r="BW944" i="2"/>
  <c r="BX944" i="2" s="1"/>
  <c r="BS944" i="2"/>
  <c r="BU944" i="2" s="1"/>
  <c r="BR944" i="2"/>
  <c r="BT944" i="2" s="1"/>
  <c r="BH944" i="2"/>
  <c r="BD944" i="2"/>
  <c r="BC944" i="2"/>
  <c r="AV944" i="2"/>
  <c r="AU944" i="2"/>
  <c r="AQ944" i="2"/>
  <c r="AN944" i="2"/>
  <c r="T944" i="2"/>
  <c r="I944" i="2"/>
  <c r="G944" i="2"/>
  <c r="F944" i="2"/>
  <c r="B944" i="2"/>
  <c r="A944" i="2"/>
  <c r="CB943" i="2"/>
  <c r="BZ943" i="2"/>
  <c r="BW943" i="2"/>
  <c r="BX943" i="2" s="1"/>
  <c r="BS943" i="2"/>
  <c r="BU943" i="2" s="1"/>
  <c r="BR943" i="2"/>
  <c r="BT943" i="2" s="1"/>
  <c r="BH943" i="2"/>
  <c r="BD943" i="2"/>
  <c r="BC943" i="2"/>
  <c r="AV943" i="2"/>
  <c r="AU943" i="2"/>
  <c r="AQ943" i="2"/>
  <c r="AN943" i="2"/>
  <c r="T943" i="2"/>
  <c r="I943" i="2"/>
  <c r="G943" i="2"/>
  <c r="F943" i="2"/>
  <c r="B943" i="2"/>
  <c r="A943" i="2"/>
  <c r="CB942" i="2"/>
  <c r="BZ942" i="2"/>
  <c r="BW942" i="2"/>
  <c r="BX942" i="2" s="1"/>
  <c r="BS942" i="2"/>
  <c r="BU942" i="2" s="1"/>
  <c r="BR942" i="2"/>
  <c r="BT942" i="2" s="1"/>
  <c r="BH942" i="2"/>
  <c r="BD942" i="2"/>
  <c r="BC942" i="2"/>
  <c r="AV942" i="2"/>
  <c r="AU942" i="2"/>
  <c r="AQ942" i="2"/>
  <c r="AN942" i="2"/>
  <c r="T942" i="2"/>
  <c r="I942" i="2"/>
  <c r="G942" i="2"/>
  <c r="F942" i="2"/>
  <c r="B942" i="2"/>
  <c r="A942" i="2"/>
  <c r="CB941" i="2"/>
  <c r="BZ941" i="2"/>
  <c r="BW941" i="2"/>
  <c r="BX941" i="2" s="1"/>
  <c r="BS941" i="2"/>
  <c r="BU941" i="2" s="1"/>
  <c r="BR941" i="2"/>
  <c r="BT941" i="2" s="1"/>
  <c r="BH941" i="2"/>
  <c r="BD941" i="2"/>
  <c r="BC941" i="2"/>
  <c r="AV941" i="2"/>
  <c r="AU941" i="2"/>
  <c r="AQ941" i="2"/>
  <c r="AN941" i="2"/>
  <c r="T941" i="2"/>
  <c r="I941" i="2"/>
  <c r="G941" i="2"/>
  <c r="F941" i="2"/>
  <c r="B941" i="2"/>
  <c r="A941" i="2"/>
  <c r="CB940" i="2"/>
  <c r="BZ940" i="2"/>
  <c r="BW940" i="2"/>
  <c r="BX940" i="2" s="1"/>
  <c r="BS940" i="2"/>
  <c r="BU940" i="2" s="1"/>
  <c r="BR940" i="2"/>
  <c r="BT940" i="2" s="1"/>
  <c r="BH940" i="2"/>
  <c r="BD940" i="2"/>
  <c r="BC940" i="2"/>
  <c r="AV940" i="2"/>
  <c r="AU940" i="2"/>
  <c r="AQ940" i="2"/>
  <c r="AN940" i="2"/>
  <c r="T940" i="2"/>
  <c r="I940" i="2"/>
  <c r="G940" i="2"/>
  <c r="F940" i="2"/>
  <c r="B940" i="2"/>
  <c r="A940" i="2"/>
  <c r="CB939" i="2"/>
  <c r="BZ939" i="2"/>
  <c r="BW939" i="2"/>
  <c r="BX939" i="2" s="1"/>
  <c r="BS939" i="2"/>
  <c r="BU939" i="2" s="1"/>
  <c r="BR939" i="2"/>
  <c r="BT939" i="2" s="1"/>
  <c r="BH939" i="2"/>
  <c r="BD939" i="2"/>
  <c r="BC939" i="2"/>
  <c r="AV939" i="2"/>
  <c r="AU939" i="2"/>
  <c r="AQ939" i="2"/>
  <c r="AN939" i="2"/>
  <c r="T939" i="2"/>
  <c r="I939" i="2"/>
  <c r="G939" i="2"/>
  <c r="F939" i="2"/>
  <c r="B939" i="2"/>
  <c r="A939" i="2"/>
  <c r="CB938" i="2"/>
  <c r="BZ938" i="2"/>
  <c r="BW938" i="2"/>
  <c r="BX938" i="2" s="1"/>
  <c r="BS938" i="2"/>
  <c r="BU938" i="2" s="1"/>
  <c r="BR938" i="2"/>
  <c r="BT938" i="2" s="1"/>
  <c r="BH938" i="2"/>
  <c r="BD938" i="2"/>
  <c r="BC938" i="2"/>
  <c r="AV938" i="2"/>
  <c r="AU938" i="2"/>
  <c r="AQ938" i="2"/>
  <c r="AN938" i="2"/>
  <c r="T938" i="2"/>
  <c r="I938" i="2"/>
  <c r="G938" i="2"/>
  <c r="F938" i="2"/>
  <c r="B938" i="2"/>
  <c r="A938" i="2"/>
  <c r="CB937" i="2"/>
  <c r="BZ937" i="2"/>
  <c r="BW937" i="2"/>
  <c r="BX937" i="2" s="1"/>
  <c r="BS937" i="2"/>
  <c r="BU937" i="2" s="1"/>
  <c r="BR937" i="2"/>
  <c r="BT937" i="2" s="1"/>
  <c r="BH937" i="2"/>
  <c r="BD937" i="2"/>
  <c r="BC937" i="2"/>
  <c r="AV937" i="2"/>
  <c r="AU937" i="2"/>
  <c r="AQ937" i="2"/>
  <c r="AN937" i="2"/>
  <c r="T937" i="2"/>
  <c r="I937" i="2"/>
  <c r="G937" i="2"/>
  <c r="F937" i="2"/>
  <c r="B937" i="2"/>
  <c r="A937" i="2"/>
  <c r="CB936" i="2"/>
  <c r="BZ936" i="2"/>
  <c r="BW936" i="2"/>
  <c r="BX936" i="2" s="1"/>
  <c r="BS936" i="2"/>
  <c r="BU936" i="2" s="1"/>
  <c r="BR936" i="2"/>
  <c r="BT936" i="2" s="1"/>
  <c r="BH936" i="2"/>
  <c r="BD936" i="2"/>
  <c r="BC936" i="2"/>
  <c r="AV936" i="2"/>
  <c r="AU936" i="2"/>
  <c r="AQ936" i="2"/>
  <c r="AN936" i="2"/>
  <c r="T936" i="2"/>
  <c r="I936" i="2"/>
  <c r="G936" i="2"/>
  <c r="F936" i="2"/>
  <c r="AS936" i="2" s="1"/>
  <c r="B936" i="2"/>
  <c r="A936" i="2"/>
  <c r="CB935" i="2"/>
  <c r="BZ935" i="2"/>
  <c r="BW935" i="2"/>
  <c r="BX935" i="2" s="1"/>
  <c r="BS935" i="2"/>
  <c r="BU935" i="2" s="1"/>
  <c r="BR935" i="2"/>
  <c r="BT935" i="2" s="1"/>
  <c r="BH935" i="2"/>
  <c r="BD935" i="2"/>
  <c r="BC935" i="2"/>
  <c r="AV935" i="2"/>
  <c r="AU935" i="2"/>
  <c r="AQ935" i="2"/>
  <c r="AN935" i="2"/>
  <c r="T935" i="2"/>
  <c r="I935" i="2"/>
  <c r="G935" i="2"/>
  <c r="F935" i="2"/>
  <c r="B935" i="2"/>
  <c r="A935" i="2"/>
  <c r="CB934" i="2"/>
  <c r="BZ934" i="2"/>
  <c r="BW934" i="2"/>
  <c r="BX934" i="2" s="1"/>
  <c r="BS934" i="2"/>
  <c r="BU934" i="2" s="1"/>
  <c r="BR934" i="2"/>
  <c r="BT934" i="2" s="1"/>
  <c r="BH934" i="2"/>
  <c r="BD934" i="2"/>
  <c r="BC934" i="2"/>
  <c r="AV934" i="2"/>
  <c r="AU934" i="2"/>
  <c r="AQ934" i="2"/>
  <c r="AN934" i="2"/>
  <c r="T934" i="2"/>
  <c r="I934" i="2"/>
  <c r="G934" i="2"/>
  <c r="F934" i="2"/>
  <c r="B934" i="2"/>
  <c r="A934" i="2"/>
  <c r="CB933" i="2"/>
  <c r="BZ933" i="2"/>
  <c r="BW933" i="2"/>
  <c r="BX933" i="2" s="1"/>
  <c r="BS933" i="2"/>
  <c r="BU933" i="2" s="1"/>
  <c r="BR933" i="2"/>
  <c r="BT933" i="2" s="1"/>
  <c r="BH933" i="2"/>
  <c r="BD933" i="2"/>
  <c r="BC933" i="2"/>
  <c r="AV933" i="2"/>
  <c r="AU933" i="2"/>
  <c r="AQ933" i="2"/>
  <c r="AN933" i="2"/>
  <c r="T933" i="2"/>
  <c r="I933" i="2"/>
  <c r="G933" i="2"/>
  <c r="F933" i="2"/>
  <c r="B933" i="2"/>
  <c r="A933" i="2"/>
  <c r="CB932" i="2"/>
  <c r="BZ932" i="2"/>
  <c r="BW932" i="2"/>
  <c r="BX932" i="2" s="1"/>
  <c r="BS932" i="2"/>
  <c r="BU932" i="2" s="1"/>
  <c r="BR932" i="2"/>
  <c r="BT932" i="2" s="1"/>
  <c r="BH932" i="2"/>
  <c r="BD932" i="2"/>
  <c r="BC932" i="2"/>
  <c r="AV932" i="2"/>
  <c r="AU932" i="2"/>
  <c r="AQ932" i="2"/>
  <c r="AN932" i="2"/>
  <c r="T932" i="2"/>
  <c r="I932" i="2"/>
  <c r="G932" i="2"/>
  <c r="F932" i="2"/>
  <c r="AS932" i="2" s="1"/>
  <c r="AT932" i="2" s="1"/>
  <c r="CF932" i="2" s="1"/>
  <c r="B932" i="2"/>
  <c r="A932" i="2"/>
  <c r="CB931" i="2"/>
  <c r="BZ931" i="2"/>
  <c r="BW931" i="2"/>
  <c r="BX931" i="2" s="1"/>
  <c r="BS931" i="2"/>
  <c r="BU931" i="2" s="1"/>
  <c r="BR931" i="2"/>
  <c r="BT931" i="2" s="1"/>
  <c r="BH931" i="2"/>
  <c r="BD931" i="2"/>
  <c r="BC931" i="2"/>
  <c r="AV931" i="2"/>
  <c r="AU931" i="2"/>
  <c r="AQ931" i="2"/>
  <c r="AN931" i="2"/>
  <c r="T931" i="2"/>
  <c r="I931" i="2"/>
  <c r="G931" i="2"/>
  <c r="F931" i="2"/>
  <c r="B931" i="2"/>
  <c r="A931" i="2"/>
  <c r="CB930" i="2"/>
  <c r="BZ930" i="2"/>
  <c r="BW930" i="2"/>
  <c r="BX930" i="2" s="1"/>
  <c r="BS930" i="2"/>
  <c r="BU930" i="2" s="1"/>
  <c r="BR930" i="2"/>
  <c r="BT930" i="2" s="1"/>
  <c r="BH930" i="2"/>
  <c r="BD930" i="2"/>
  <c r="BC930" i="2"/>
  <c r="AV930" i="2"/>
  <c r="AU930" i="2"/>
  <c r="AQ930" i="2"/>
  <c r="AN930" i="2"/>
  <c r="T930" i="2"/>
  <c r="I930" i="2"/>
  <c r="G930" i="2"/>
  <c r="F930" i="2"/>
  <c r="B930" i="2"/>
  <c r="A930" i="2"/>
  <c r="CB929" i="2"/>
  <c r="BZ929" i="2"/>
  <c r="BW929" i="2"/>
  <c r="BX929" i="2" s="1"/>
  <c r="BS929" i="2"/>
  <c r="BU929" i="2" s="1"/>
  <c r="BR929" i="2"/>
  <c r="BT929" i="2" s="1"/>
  <c r="BH929" i="2"/>
  <c r="BD929" i="2"/>
  <c r="BC929" i="2"/>
  <c r="AV929" i="2"/>
  <c r="AU929" i="2"/>
  <c r="AQ929" i="2"/>
  <c r="AN929" i="2"/>
  <c r="T929" i="2"/>
  <c r="I929" i="2"/>
  <c r="G929" i="2"/>
  <c r="F929" i="2"/>
  <c r="B929" i="2"/>
  <c r="A929" i="2"/>
  <c r="CB928" i="2"/>
  <c r="BZ928" i="2"/>
  <c r="BW928" i="2"/>
  <c r="BX928" i="2" s="1"/>
  <c r="BS928" i="2"/>
  <c r="BU928" i="2" s="1"/>
  <c r="BR928" i="2"/>
  <c r="BT928" i="2" s="1"/>
  <c r="BH928" i="2"/>
  <c r="BD928" i="2"/>
  <c r="BC928" i="2"/>
  <c r="AV928" i="2"/>
  <c r="AU928" i="2"/>
  <c r="AQ928" i="2"/>
  <c r="AN928" i="2"/>
  <c r="T928" i="2"/>
  <c r="I928" i="2"/>
  <c r="G928" i="2"/>
  <c r="F928" i="2"/>
  <c r="B928" i="2"/>
  <c r="A928" i="2"/>
  <c r="CB927" i="2"/>
  <c r="BZ927" i="2"/>
  <c r="BW927" i="2"/>
  <c r="BX927" i="2" s="1"/>
  <c r="BS927" i="2"/>
  <c r="BU927" i="2" s="1"/>
  <c r="BR927" i="2"/>
  <c r="BT927" i="2" s="1"/>
  <c r="BH927" i="2"/>
  <c r="BD927" i="2"/>
  <c r="BC927" i="2"/>
  <c r="AV927" i="2"/>
  <c r="AU927" i="2"/>
  <c r="AQ927" i="2"/>
  <c r="AN927" i="2"/>
  <c r="T927" i="2"/>
  <c r="I927" i="2"/>
  <c r="G927" i="2"/>
  <c r="F927" i="2"/>
  <c r="B927" i="2"/>
  <c r="A927" i="2"/>
  <c r="CB926" i="2"/>
  <c r="BZ926" i="2"/>
  <c r="BW926" i="2"/>
  <c r="BX926" i="2" s="1"/>
  <c r="BS926" i="2"/>
  <c r="BU926" i="2" s="1"/>
  <c r="BR926" i="2"/>
  <c r="BT926" i="2" s="1"/>
  <c r="BH926" i="2"/>
  <c r="BD926" i="2"/>
  <c r="BC926" i="2"/>
  <c r="AV926" i="2"/>
  <c r="AU926" i="2"/>
  <c r="AQ926" i="2"/>
  <c r="AN926" i="2"/>
  <c r="T926" i="2"/>
  <c r="I926" i="2"/>
  <c r="G926" i="2"/>
  <c r="F926" i="2"/>
  <c r="B926" i="2"/>
  <c r="A926" i="2"/>
  <c r="CB925" i="2"/>
  <c r="BZ925" i="2"/>
  <c r="BW925" i="2"/>
  <c r="BX925" i="2" s="1"/>
  <c r="BS925" i="2"/>
  <c r="BU925" i="2" s="1"/>
  <c r="BR925" i="2"/>
  <c r="BT925" i="2" s="1"/>
  <c r="BH925" i="2"/>
  <c r="BD925" i="2"/>
  <c r="BC925" i="2"/>
  <c r="AV925" i="2"/>
  <c r="AU925" i="2"/>
  <c r="AQ925" i="2"/>
  <c r="AN925" i="2"/>
  <c r="T925" i="2"/>
  <c r="I925" i="2"/>
  <c r="G925" i="2"/>
  <c r="F925" i="2"/>
  <c r="B925" i="2"/>
  <c r="A925" i="2"/>
  <c r="CB924" i="2"/>
  <c r="BZ924" i="2"/>
  <c r="BW924" i="2"/>
  <c r="BX924" i="2" s="1"/>
  <c r="BS924" i="2"/>
  <c r="BU924" i="2" s="1"/>
  <c r="BR924" i="2"/>
  <c r="BT924" i="2" s="1"/>
  <c r="BH924" i="2"/>
  <c r="BD924" i="2"/>
  <c r="BC924" i="2"/>
  <c r="AV924" i="2"/>
  <c r="AU924" i="2"/>
  <c r="AQ924" i="2"/>
  <c r="AN924" i="2"/>
  <c r="T924" i="2"/>
  <c r="I924" i="2"/>
  <c r="G924" i="2"/>
  <c r="F924" i="2"/>
  <c r="AS924" i="2" s="1"/>
  <c r="B924" i="2"/>
  <c r="A924" i="2"/>
  <c r="CB923" i="2"/>
  <c r="BZ923" i="2"/>
  <c r="BW923" i="2"/>
  <c r="BX923" i="2" s="1"/>
  <c r="BS923" i="2"/>
  <c r="BU923" i="2" s="1"/>
  <c r="BR923" i="2"/>
  <c r="BT923" i="2" s="1"/>
  <c r="BH923" i="2"/>
  <c r="BD923" i="2"/>
  <c r="BA923" i="2"/>
  <c r="BC923" i="2" s="1"/>
  <c r="AV923" i="2"/>
  <c r="AU923" i="2"/>
  <c r="AQ923" i="2"/>
  <c r="AN923" i="2"/>
  <c r="T923" i="2"/>
  <c r="I923" i="2"/>
  <c r="G923" i="2"/>
  <c r="F923" i="2"/>
  <c r="B923" i="2"/>
  <c r="A923" i="2"/>
  <c r="CB922" i="2"/>
  <c r="BZ922" i="2"/>
  <c r="BW922" i="2"/>
  <c r="BX922" i="2" s="1"/>
  <c r="BT922" i="2"/>
  <c r="BS922" i="2"/>
  <c r="BU922" i="2" s="1"/>
  <c r="BR922" i="2"/>
  <c r="BH922" i="2"/>
  <c r="BD922" i="2"/>
  <c r="BC922" i="2"/>
  <c r="AV922" i="2"/>
  <c r="AU922" i="2"/>
  <c r="AQ922" i="2"/>
  <c r="AN922" i="2"/>
  <c r="T922" i="2"/>
  <c r="I922" i="2"/>
  <c r="G922" i="2"/>
  <c r="F922" i="2"/>
  <c r="B922" i="2"/>
  <c r="A922" i="2"/>
  <c r="CB921" i="2"/>
  <c r="BZ921" i="2"/>
  <c r="BW921" i="2"/>
  <c r="BX921" i="2" s="1"/>
  <c r="BS921" i="2"/>
  <c r="BU921" i="2" s="1"/>
  <c r="BR921" i="2"/>
  <c r="BT921" i="2" s="1"/>
  <c r="BH921" i="2"/>
  <c r="BD921" i="2"/>
  <c r="BC921" i="2"/>
  <c r="AV921" i="2"/>
  <c r="AU921" i="2"/>
  <c r="AQ921" i="2"/>
  <c r="AN921" i="2"/>
  <c r="T921" i="2"/>
  <c r="I921" i="2"/>
  <c r="G921" i="2"/>
  <c r="F921" i="2"/>
  <c r="B921" i="2"/>
  <c r="A921" i="2"/>
  <c r="CB920" i="2"/>
  <c r="BZ920" i="2"/>
  <c r="BW920" i="2"/>
  <c r="BX920" i="2" s="1"/>
  <c r="BS920" i="2"/>
  <c r="BU920" i="2" s="1"/>
  <c r="BR920" i="2"/>
  <c r="BT920" i="2" s="1"/>
  <c r="BH920" i="2"/>
  <c r="BD920" i="2"/>
  <c r="BC920" i="2"/>
  <c r="AW920" i="2"/>
  <c r="AX920" i="2" s="1"/>
  <c r="AV920" i="2"/>
  <c r="AY920" i="2" s="1"/>
  <c r="AU920" i="2"/>
  <c r="AQ920" i="2"/>
  <c r="AO920" i="2"/>
  <c r="AN920" i="2"/>
  <c r="T920" i="2"/>
  <c r="I920" i="2"/>
  <c r="G920" i="2"/>
  <c r="F920" i="2"/>
  <c r="B920" i="2"/>
  <c r="A920" i="2"/>
  <c r="CB919" i="2"/>
  <c r="BZ919" i="2"/>
  <c r="BW919" i="2"/>
  <c r="BX919" i="2" s="1"/>
  <c r="BS919" i="2"/>
  <c r="BU919" i="2" s="1"/>
  <c r="BR919" i="2"/>
  <c r="BT919" i="2" s="1"/>
  <c r="BH919" i="2"/>
  <c r="BD919" i="2"/>
  <c r="BC919" i="2"/>
  <c r="AV919" i="2"/>
  <c r="AU919" i="2"/>
  <c r="AQ919" i="2"/>
  <c r="AN919" i="2"/>
  <c r="T919" i="2"/>
  <c r="I919" i="2"/>
  <c r="G919" i="2"/>
  <c r="F919" i="2"/>
  <c r="B919" i="2"/>
  <c r="A919" i="2"/>
  <c r="CB918" i="2"/>
  <c r="BZ918" i="2"/>
  <c r="BW918" i="2"/>
  <c r="BX918" i="2" s="1"/>
  <c r="BS918" i="2"/>
  <c r="BU918" i="2" s="1"/>
  <c r="BR918" i="2"/>
  <c r="BT918" i="2" s="1"/>
  <c r="BH918" i="2"/>
  <c r="BD918" i="2"/>
  <c r="BC918" i="2"/>
  <c r="AV918" i="2"/>
  <c r="AU918" i="2"/>
  <c r="AQ918" i="2"/>
  <c r="AN918" i="2"/>
  <c r="T918" i="2"/>
  <c r="I918" i="2"/>
  <c r="G918" i="2"/>
  <c r="F918" i="2"/>
  <c r="B918" i="2"/>
  <c r="A918" i="2"/>
  <c r="CB917" i="2"/>
  <c r="BZ917" i="2"/>
  <c r="BW917" i="2"/>
  <c r="BX917" i="2" s="1"/>
  <c r="BS917" i="2"/>
  <c r="BU917" i="2" s="1"/>
  <c r="BR917" i="2"/>
  <c r="BT917" i="2" s="1"/>
  <c r="BH917" i="2"/>
  <c r="BD917" i="2"/>
  <c r="BC917" i="2"/>
  <c r="AV917" i="2"/>
  <c r="AU917" i="2"/>
  <c r="AQ917" i="2"/>
  <c r="AN917" i="2"/>
  <c r="T917" i="2"/>
  <c r="I917" i="2"/>
  <c r="G917" i="2"/>
  <c r="F917" i="2"/>
  <c r="B917" i="2"/>
  <c r="A917" i="2"/>
  <c r="CB916" i="2"/>
  <c r="BZ916" i="2"/>
  <c r="BW916" i="2"/>
  <c r="BX916" i="2" s="1"/>
  <c r="BS916" i="2"/>
  <c r="BU916" i="2" s="1"/>
  <c r="BR916" i="2"/>
  <c r="BT916" i="2" s="1"/>
  <c r="BH916" i="2"/>
  <c r="BD916" i="2"/>
  <c r="BC916" i="2"/>
  <c r="AV916" i="2"/>
  <c r="AU916" i="2"/>
  <c r="AQ916" i="2"/>
  <c r="AN916" i="2"/>
  <c r="T916" i="2"/>
  <c r="I916" i="2"/>
  <c r="G916" i="2"/>
  <c r="F916" i="2"/>
  <c r="B916" i="2"/>
  <c r="A916" i="2"/>
  <c r="CB915" i="2"/>
  <c r="BZ915" i="2"/>
  <c r="BW915" i="2"/>
  <c r="BX915" i="2" s="1"/>
  <c r="BS915" i="2"/>
  <c r="BU915" i="2" s="1"/>
  <c r="BR915" i="2"/>
  <c r="BT915" i="2" s="1"/>
  <c r="BH915" i="2"/>
  <c r="BD915" i="2"/>
  <c r="BC915" i="2"/>
  <c r="AV915" i="2"/>
  <c r="AU915" i="2"/>
  <c r="AQ915" i="2"/>
  <c r="AN915" i="2"/>
  <c r="T915" i="2"/>
  <c r="I915" i="2"/>
  <c r="G915" i="2"/>
  <c r="F915" i="2"/>
  <c r="B915" i="2"/>
  <c r="A915" i="2"/>
  <c r="CB914" i="2"/>
  <c r="BZ914" i="2"/>
  <c r="BW914" i="2"/>
  <c r="BX914" i="2" s="1"/>
  <c r="BS914" i="2"/>
  <c r="BU914" i="2" s="1"/>
  <c r="BR914" i="2"/>
  <c r="BT914" i="2" s="1"/>
  <c r="BH914" i="2"/>
  <c r="BD914" i="2"/>
  <c r="BC914" i="2"/>
  <c r="AV914" i="2"/>
  <c r="AU914" i="2"/>
  <c r="AQ914" i="2"/>
  <c r="AN914" i="2"/>
  <c r="T914" i="2"/>
  <c r="I914" i="2"/>
  <c r="G914" i="2"/>
  <c r="F914" i="2"/>
  <c r="B914" i="2"/>
  <c r="A914" i="2"/>
  <c r="CB913" i="2"/>
  <c r="BZ913" i="2"/>
  <c r="BW913" i="2"/>
  <c r="BX913" i="2" s="1"/>
  <c r="BS913" i="2"/>
  <c r="BU913" i="2" s="1"/>
  <c r="BR913" i="2"/>
  <c r="BT913" i="2" s="1"/>
  <c r="BH913" i="2"/>
  <c r="BD913" i="2"/>
  <c r="BC913" i="2"/>
  <c r="AV913" i="2"/>
  <c r="AU913" i="2"/>
  <c r="AQ913" i="2"/>
  <c r="AN913" i="2"/>
  <c r="T913" i="2"/>
  <c r="I913" i="2"/>
  <c r="G913" i="2"/>
  <c r="F913" i="2"/>
  <c r="B913" i="2"/>
  <c r="A913" i="2"/>
  <c r="CB912" i="2"/>
  <c r="BZ912" i="2"/>
  <c r="BW912" i="2"/>
  <c r="BX912" i="2" s="1"/>
  <c r="BS912" i="2"/>
  <c r="BU912" i="2" s="1"/>
  <c r="BR912" i="2"/>
  <c r="BT912" i="2" s="1"/>
  <c r="BH912" i="2"/>
  <c r="BD912" i="2"/>
  <c r="BC912" i="2"/>
  <c r="AV912" i="2"/>
  <c r="AU912" i="2"/>
  <c r="AQ912" i="2"/>
  <c r="AN912" i="2"/>
  <c r="T912" i="2"/>
  <c r="I912" i="2"/>
  <c r="G912" i="2"/>
  <c r="F912" i="2"/>
  <c r="B912" i="2"/>
  <c r="A912" i="2"/>
  <c r="CB911" i="2"/>
  <c r="BZ911" i="2"/>
  <c r="BW911" i="2"/>
  <c r="BX911" i="2" s="1"/>
  <c r="BS911" i="2"/>
  <c r="BU911" i="2" s="1"/>
  <c r="BR911" i="2"/>
  <c r="BT911" i="2" s="1"/>
  <c r="BH911" i="2"/>
  <c r="BD911" i="2"/>
  <c r="BC911" i="2"/>
  <c r="AV911" i="2"/>
  <c r="AU911" i="2"/>
  <c r="AQ911" i="2"/>
  <c r="AN911" i="2"/>
  <c r="T911" i="2"/>
  <c r="I911" i="2"/>
  <c r="G911" i="2"/>
  <c r="F911" i="2"/>
  <c r="B911" i="2"/>
  <c r="A911" i="2"/>
  <c r="CB910" i="2"/>
  <c r="BZ910" i="2"/>
  <c r="BW910" i="2"/>
  <c r="BX910" i="2" s="1"/>
  <c r="BS910" i="2"/>
  <c r="BU910" i="2" s="1"/>
  <c r="BR910" i="2"/>
  <c r="BT910" i="2" s="1"/>
  <c r="BH910" i="2"/>
  <c r="BD910" i="2"/>
  <c r="BC910" i="2"/>
  <c r="AV910" i="2"/>
  <c r="AU910" i="2"/>
  <c r="AQ910" i="2"/>
  <c r="AN910" i="2"/>
  <c r="T910" i="2"/>
  <c r="I910" i="2"/>
  <c r="G910" i="2"/>
  <c r="F910" i="2"/>
  <c r="B910" i="2"/>
  <c r="A910" i="2"/>
  <c r="CB909" i="2"/>
  <c r="BZ909" i="2"/>
  <c r="BW909" i="2"/>
  <c r="BX909" i="2" s="1"/>
  <c r="BS909" i="2"/>
  <c r="BU909" i="2" s="1"/>
  <c r="BR909" i="2"/>
  <c r="BT909" i="2" s="1"/>
  <c r="BH909" i="2"/>
  <c r="BD909" i="2"/>
  <c r="BC909" i="2"/>
  <c r="AV909" i="2"/>
  <c r="AY909" i="2" s="1"/>
  <c r="AU909" i="2"/>
  <c r="AN909" i="2"/>
  <c r="I909" i="2"/>
  <c r="H909" i="2"/>
  <c r="G909" i="2"/>
  <c r="F909" i="2"/>
  <c r="B909" i="2"/>
  <c r="A909" i="2"/>
  <c r="CB908" i="2"/>
  <c r="BZ908" i="2"/>
  <c r="BW908" i="2"/>
  <c r="BX908" i="2" s="1"/>
  <c r="BS908" i="2"/>
  <c r="BU908" i="2" s="1"/>
  <c r="BR908" i="2"/>
  <c r="BT908" i="2" s="1"/>
  <c r="BH908" i="2"/>
  <c r="BD908" i="2"/>
  <c r="BC908" i="2"/>
  <c r="AV908" i="2"/>
  <c r="AU908" i="2"/>
  <c r="AN908" i="2"/>
  <c r="I908" i="2"/>
  <c r="H908" i="2"/>
  <c r="T908" i="2" s="1"/>
  <c r="G908" i="2"/>
  <c r="F908" i="2"/>
  <c r="B908" i="2"/>
  <c r="A908" i="2"/>
  <c r="CB907" i="2"/>
  <c r="CA907" i="2"/>
  <c r="BZ907" i="2"/>
  <c r="BW907" i="2"/>
  <c r="BX907" i="2" s="1"/>
  <c r="BS907" i="2"/>
  <c r="BU907" i="2" s="1"/>
  <c r="BR907" i="2"/>
  <c r="BT907" i="2" s="1"/>
  <c r="BH907" i="2"/>
  <c r="BC907" i="2"/>
  <c r="AV907" i="2"/>
  <c r="AU907" i="2"/>
  <c r="AN907" i="2"/>
  <c r="I907" i="2"/>
  <c r="H907" i="2"/>
  <c r="G907" i="2"/>
  <c r="BD907" i="2" s="1"/>
  <c r="F907" i="2"/>
  <c r="AS907" i="2" s="1"/>
  <c r="B907" i="2"/>
  <c r="A907" i="2"/>
  <c r="CB906" i="2"/>
  <c r="BZ906" i="2"/>
  <c r="BW906" i="2"/>
  <c r="BX906" i="2" s="1"/>
  <c r="BS906" i="2"/>
  <c r="BU906" i="2" s="1"/>
  <c r="BR906" i="2"/>
  <c r="BT906" i="2" s="1"/>
  <c r="BH906" i="2"/>
  <c r="BD906" i="2"/>
  <c r="BC906" i="2"/>
  <c r="AV906" i="2"/>
  <c r="AU906" i="2"/>
  <c r="AN906" i="2"/>
  <c r="I906" i="2"/>
  <c r="H906" i="2"/>
  <c r="G906" i="2"/>
  <c r="F906" i="2"/>
  <c r="B906" i="2"/>
  <c r="A906" i="2"/>
  <c r="CB905" i="2"/>
  <c r="BZ905" i="2"/>
  <c r="BW905" i="2"/>
  <c r="BX905" i="2" s="1"/>
  <c r="BS905" i="2"/>
  <c r="BU905" i="2" s="1"/>
  <c r="BR905" i="2"/>
  <c r="BT905" i="2" s="1"/>
  <c r="BH905" i="2"/>
  <c r="BC905" i="2"/>
  <c r="AV905" i="2"/>
  <c r="AU905" i="2"/>
  <c r="AN905" i="2"/>
  <c r="I905" i="2"/>
  <c r="H905" i="2"/>
  <c r="G905" i="2"/>
  <c r="BD905" i="2" s="1"/>
  <c r="F905" i="2"/>
  <c r="B905" i="2"/>
  <c r="A905" i="2"/>
  <c r="CB904" i="2"/>
  <c r="BZ904" i="2"/>
  <c r="BW904" i="2"/>
  <c r="BX904" i="2" s="1"/>
  <c r="BS904" i="2"/>
  <c r="BU904" i="2" s="1"/>
  <c r="BR904" i="2"/>
  <c r="BT904" i="2" s="1"/>
  <c r="BH904" i="2"/>
  <c r="BD904" i="2"/>
  <c r="BC904" i="2"/>
  <c r="AV904" i="2"/>
  <c r="AY904" i="2" s="1"/>
  <c r="AU904" i="2"/>
  <c r="AN904" i="2"/>
  <c r="I904" i="2"/>
  <c r="H904" i="2"/>
  <c r="T904" i="2" s="1"/>
  <c r="G904" i="2"/>
  <c r="F904" i="2"/>
  <c r="B904" i="2"/>
  <c r="A904" i="2"/>
  <c r="CB903" i="2"/>
  <c r="BZ903" i="2"/>
  <c r="BW903" i="2"/>
  <c r="BX903" i="2" s="1"/>
  <c r="BS903" i="2"/>
  <c r="BU903" i="2" s="1"/>
  <c r="BR903" i="2"/>
  <c r="BT903" i="2" s="1"/>
  <c r="BH903" i="2"/>
  <c r="BD903" i="2"/>
  <c r="BC903" i="2"/>
  <c r="AV903" i="2"/>
  <c r="AU903" i="2"/>
  <c r="AN903" i="2"/>
  <c r="I903" i="2"/>
  <c r="H903" i="2"/>
  <c r="G903" i="2"/>
  <c r="F903" i="2"/>
  <c r="B903" i="2"/>
  <c r="A903" i="2"/>
  <c r="CB902" i="2"/>
  <c r="BZ902" i="2"/>
  <c r="BW902" i="2"/>
  <c r="BX902" i="2" s="1"/>
  <c r="BS902" i="2"/>
  <c r="BU902" i="2" s="1"/>
  <c r="BR902" i="2"/>
  <c r="BT902" i="2" s="1"/>
  <c r="BH902" i="2"/>
  <c r="BD902" i="2"/>
  <c r="BC902" i="2"/>
  <c r="AV902" i="2"/>
  <c r="AU902" i="2"/>
  <c r="AN902" i="2"/>
  <c r="I902" i="2"/>
  <c r="H902" i="2"/>
  <c r="T902" i="2" s="1"/>
  <c r="G902" i="2"/>
  <c r="F902" i="2"/>
  <c r="B902" i="2"/>
  <c r="A902" i="2"/>
  <c r="CB901" i="2"/>
  <c r="BZ901" i="2"/>
  <c r="BW901" i="2"/>
  <c r="BX901" i="2" s="1"/>
  <c r="BS901" i="2"/>
  <c r="BU901" i="2" s="1"/>
  <c r="BR901" i="2"/>
  <c r="BT901" i="2" s="1"/>
  <c r="BH901" i="2"/>
  <c r="BD901" i="2"/>
  <c r="BC901" i="2"/>
  <c r="AV901" i="2"/>
  <c r="AU901" i="2"/>
  <c r="AN901" i="2"/>
  <c r="I901" i="2"/>
  <c r="H901" i="2"/>
  <c r="G901" i="2"/>
  <c r="F901" i="2"/>
  <c r="B901" i="2"/>
  <c r="A901" i="2"/>
  <c r="CB900" i="2"/>
  <c r="BZ900" i="2"/>
  <c r="BW900" i="2"/>
  <c r="BX900" i="2" s="1"/>
  <c r="BS900" i="2"/>
  <c r="BU900" i="2" s="1"/>
  <c r="BR900" i="2"/>
  <c r="BT900" i="2" s="1"/>
  <c r="BP900" i="2"/>
  <c r="BQ900" i="2" s="1"/>
  <c r="BY900" i="2" s="1"/>
  <c r="BN900" i="2"/>
  <c r="BO900" i="2" s="1"/>
  <c r="BH900" i="2"/>
  <c r="BC900" i="2"/>
  <c r="AV900" i="2"/>
  <c r="AU900" i="2"/>
  <c r="AR900" i="2"/>
  <c r="AO900" i="2"/>
  <c r="AN900" i="2"/>
  <c r="I900" i="2"/>
  <c r="H900" i="2"/>
  <c r="AQ900" i="2" s="1"/>
  <c r="G900" i="2"/>
  <c r="BD900" i="2" s="1"/>
  <c r="F900" i="2"/>
  <c r="B900" i="2"/>
  <c r="A900" i="2"/>
  <c r="CB899" i="2"/>
  <c r="BZ899" i="2"/>
  <c r="BW899" i="2"/>
  <c r="BX899" i="2" s="1"/>
  <c r="BS899" i="2"/>
  <c r="BU899" i="2" s="1"/>
  <c r="BR899" i="2"/>
  <c r="BT899" i="2" s="1"/>
  <c r="BH899" i="2"/>
  <c r="BD899" i="2"/>
  <c r="BC899" i="2"/>
  <c r="AV899" i="2"/>
  <c r="AU899" i="2"/>
  <c r="AN899" i="2"/>
  <c r="I899" i="2"/>
  <c r="H899" i="2"/>
  <c r="G899" i="2"/>
  <c r="F899" i="2"/>
  <c r="B899" i="2"/>
  <c r="A899" i="2"/>
  <c r="CB898" i="2"/>
  <c r="BZ898" i="2"/>
  <c r="BW898" i="2"/>
  <c r="BX898" i="2" s="1"/>
  <c r="BS898" i="2"/>
  <c r="BU898" i="2" s="1"/>
  <c r="BR898" i="2"/>
  <c r="BT898" i="2" s="1"/>
  <c r="BH898" i="2"/>
  <c r="BD898" i="2"/>
  <c r="BC898" i="2"/>
  <c r="AV898" i="2"/>
  <c r="AU898" i="2"/>
  <c r="AN898" i="2"/>
  <c r="I898" i="2"/>
  <c r="H898" i="2"/>
  <c r="G898" i="2"/>
  <c r="F898" i="2"/>
  <c r="B898" i="2"/>
  <c r="A898" i="2"/>
  <c r="CB897" i="2"/>
  <c r="BZ897" i="2"/>
  <c r="BW897" i="2"/>
  <c r="BX897" i="2" s="1"/>
  <c r="BS897" i="2"/>
  <c r="BU897" i="2" s="1"/>
  <c r="BR897" i="2"/>
  <c r="BT897" i="2" s="1"/>
  <c r="BH897" i="2"/>
  <c r="BD897" i="2"/>
  <c r="BC897" i="2"/>
  <c r="AV897" i="2"/>
  <c r="AU897" i="2"/>
  <c r="AN897" i="2"/>
  <c r="I897" i="2"/>
  <c r="H897" i="2"/>
  <c r="T897" i="2" s="1"/>
  <c r="G897" i="2"/>
  <c r="F897" i="2"/>
  <c r="B897" i="2"/>
  <c r="A897" i="2"/>
  <c r="CB896" i="2"/>
  <c r="BZ896" i="2"/>
  <c r="BW896" i="2"/>
  <c r="BX896" i="2" s="1"/>
  <c r="BS896" i="2"/>
  <c r="BU896" i="2" s="1"/>
  <c r="BR896" i="2"/>
  <c r="BT896" i="2" s="1"/>
  <c r="BP896" i="2"/>
  <c r="BQ896" i="2" s="1"/>
  <c r="BY896" i="2" s="1"/>
  <c r="BN896" i="2"/>
  <c r="BO896" i="2" s="1"/>
  <c r="BH896" i="2"/>
  <c r="BC896" i="2"/>
  <c r="AV896" i="2"/>
  <c r="AU896" i="2"/>
  <c r="AR896" i="2"/>
  <c r="AO896" i="2"/>
  <c r="AN896" i="2"/>
  <c r="I896" i="2"/>
  <c r="H896" i="2"/>
  <c r="G896" i="2"/>
  <c r="BD896" i="2" s="1"/>
  <c r="F896" i="2"/>
  <c r="B896" i="2"/>
  <c r="A896" i="2"/>
  <c r="CB895" i="2"/>
  <c r="BZ895" i="2"/>
  <c r="BW895" i="2"/>
  <c r="BX895" i="2" s="1"/>
  <c r="BS895" i="2"/>
  <c r="BU895" i="2" s="1"/>
  <c r="BR895" i="2"/>
  <c r="BT895" i="2" s="1"/>
  <c r="BH895" i="2"/>
  <c r="BD895" i="2"/>
  <c r="BC895" i="2"/>
  <c r="AV895" i="2"/>
  <c r="AU895" i="2"/>
  <c r="AN895" i="2"/>
  <c r="I895" i="2"/>
  <c r="H895" i="2"/>
  <c r="T895" i="2" s="1"/>
  <c r="G895" i="2"/>
  <c r="F895" i="2"/>
  <c r="B895" i="2"/>
  <c r="A895" i="2"/>
  <c r="CB894" i="2"/>
  <c r="BZ894" i="2"/>
  <c r="BW894" i="2"/>
  <c r="BX894" i="2" s="1"/>
  <c r="BT894" i="2"/>
  <c r="BS894" i="2"/>
  <c r="BU894" i="2" s="1"/>
  <c r="BR894" i="2"/>
  <c r="BH894" i="2"/>
  <c r="BD894" i="2"/>
  <c r="BC894" i="2"/>
  <c r="AV894" i="2"/>
  <c r="AU894" i="2"/>
  <c r="AN894" i="2"/>
  <c r="I894" i="2"/>
  <c r="H894" i="2"/>
  <c r="G894" i="2"/>
  <c r="F894" i="2"/>
  <c r="B894" i="2"/>
  <c r="A894" i="2"/>
  <c r="CB893" i="2"/>
  <c r="BZ893" i="2"/>
  <c r="BW893" i="2"/>
  <c r="BX893" i="2" s="1"/>
  <c r="BS893" i="2"/>
  <c r="BU893" i="2" s="1"/>
  <c r="BR893" i="2"/>
  <c r="BT893" i="2" s="1"/>
  <c r="BH893" i="2"/>
  <c r="BD893" i="2"/>
  <c r="BC893" i="2"/>
  <c r="AV893" i="2"/>
  <c r="AU893" i="2"/>
  <c r="AN893" i="2"/>
  <c r="I893" i="2"/>
  <c r="H893" i="2"/>
  <c r="G893" i="2"/>
  <c r="F893" i="2"/>
  <c r="B893" i="2"/>
  <c r="A893" i="2"/>
  <c r="CB892" i="2"/>
  <c r="BZ892" i="2"/>
  <c r="BW892" i="2"/>
  <c r="BX892" i="2" s="1"/>
  <c r="BS892" i="2"/>
  <c r="BU892" i="2" s="1"/>
  <c r="BR892" i="2"/>
  <c r="BT892" i="2" s="1"/>
  <c r="BH892" i="2"/>
  <c r="BD892" i="2"/>
  <c r="BC892" i="2"/>
  <c r="AV892" i="2"/>
  <c r="AU892" i="2"/>
  <c r="AN892" i="2"/>
  <c r="I892" i="2"/>
  <c r="H892" i="2"/>
  <c r="T892" i="2" s="1"/>
  <c r="G892" i="2"/>
  <c r="F892" i="2"/>
  <c r="B892" i="2"/>
  <c r="A892" i="2"/>
  <c r="CB891" i="2"/>
  <c r="BZ891" i="2"/>
  <c r="BW891" i="2"/>
  <c r="BX891" i="2" s="1"/>
  <c r="BS891" i="2"/>
  <c r="BU891" i="2" s="1"/>
  <c r="BR891" i="2"/>
  <c r="BT891" i="2" s="1"/>
  <c r="BH891" i="2"/>
  <c r="BD891" i="2"/>
  <c r="BC891" i="2"/>
  <c r="AV891" i="2"/>
  <c r="AU891" i="2"/>
  <c r="AN891" i="2"/>
  <c r="I891" i="2"/>
  <c r="H891" i="2"/>
  <c r="T891" i="2" s="1"/>
  <c r="G891" i="2"/>
  <c r="F891" i="2"/>
  <c r="B891" i="2"/>
  <c r="A891" i="2"/>
  <c r="CB890" i="2"/>
  <c r="BZ890" i="2"/>
  <c r="BW890" i="2"/>
  <c r="BX890" i="2" s="1"/>
  <c r="BS890" i="2"/>
  <c r="BU890" i="2" s="1"/>
  <c r="BR890" i="2"/>
  <c r="BT890" i="2" s="1"/>
  <c r="BH890" i="2"/>
  <c r="BD890" i="2"/>
  <c r="BC890" i="2"/>
  <c r="AV890" i="2"/>
  <c r="AU890" i="2"/>
  <c r="AN890" i="2"/>
  <c r="I890" i="2"/>
  <c r="H890" i="2"/>
  <c r="G890" i="2"/>
  <c r="F890" i="2"/>
  <c r="B890" i="2"/>
  <c r="A890" i="2"/>
  <c r="CB889" i="2"/>
  <c r="BZ889" i="2"/>
  <c r="BW889" i="2"/>
  <c r="BX889" i="2" s="1"/>
  <c r="BS889" i="2"/>
  <c r="BU889" i="2" s="1"/>
  <c r="BR889" i="2"/>
  <c r="BT889" i="2" s="1"/>
  <c r="BH889" i="2"/>
  <c r="BD889" i="2"/>
  <c r="BC889" i="2"/>
  <c r="AV889" i="2"/>
  <c r="AU889" i="2"/>
  <c r="AN889" i="2"/>
  <c r="I889" i="2"/>
  <c r="H889" i="2"/>
  <c r="G889" i="2"/>
  <c r="F889" i="2"/>
  <c r="B889" i="2"/>
  <c r="A889" i="2"/>
  <c r="CB888" i="2"/>
  <c r="BZ888" i="2"/>
  <c r="BW888" i="2"/>
  <c r="BX888" i="2" s="1"/>
  <c r="BS888" i="2"/>
  <c r="BU888" i="2" s="1"/>
  <c r="BR888" i="2"/>
  <c r="BT888" i="2" s="1"/>
  <c r="BH888" i="2"/>
  <c r="BD888" i="2"/>
  <c r="BC888" i="2"/>
  <c r="AV888" i="2"/>
  <c r="AU888" i="2"/>
  <c r="AN888" i="2"/>
  <c r="I888" i="2"/>
  <c r="H888" i="2"/>
  <c r="G888" i="2"/>
  <c r="F888" i="2"/>
  <c r="B888" i="2"/>
  <c r="A888" i="2"/>
  <c r="CB887" i="2"/>
  <c r="BZ887" i="2"/>
  <c r="BW887" i="2"/>
  <c r="BX887" i="2" s="1"/>
  <c r="BS887" i="2"/>
  <c r="BU887" i="2" s="1"/>
  <c r="BR887" i="2"/>
  <c r="BT887" i="2" s="1"/>
  <c r="BH887" i="2"/>
  <c r="BD887" i="2"/>
  <c r="BC887" i="2"/>
  <c r="AV887" i="2"/>
  <c r="AU887" i="2"/>
  <c r="AN887" i="2"/>
  <c r="I887" i="2"/>
  <c r="H887" i="2"/>
  <c r="G887" i="2"/>
  <c r="F887" i="2"/>
  <c r="B887" i="2"/>
  <c r="A887" i="2"/>
  <c r="CB886" i="2"/>
  <c r="BZ886" i="2"/>
  <c r="BW886" i="2"/>
  <c r="BX886" i="2" s="1"/>
  <c r="BS886" i="2"/>
  <c r="BU886" i="2" s="1"/>
  <c r="BR886" i="2"/>
  <c r="BT886" i="2" s="1"/>
  <c r="BH886" i="2"/>
  <c r="BD886" i="2"/>
  <c r="BC886" i="2"/>
  <c r="AV886" i="2"/>
  <c r="AU886" i="2"/>
  <c r="AN886" i="2"/>
  <c r="I886" i="2"/>
  <c r="H886" i="2"/>
  <c r="G886" i="2"/>
  <c r="F886" i="2"/>
  <c r="B886" i="2"/>
  <c r="A886" i="2"/>
  <c r="CB885" i="2"/>
  <c r="BZ885" i="2"/>
  <c r="BW885" i="2"/>
  <c r="BX885" i="2" s="1"/>
  <c r="BS885" i="2"/>
  <c r="BU885" i="2" s="1"/>
  <c r="BR885" i="2"/>
  <c r="BT885" i="2" s="1"/>
  <c r="BH885" i="2"/>
  <c r="BD885" i="2"/>
  <c r="BC885" i="2"/>
  <c r="AV885" i="2"/>
  <c r="AU885" i="2"/>
  <c r="AN885" i="2"/>
  <c r="I885" i="2"/>
  <c r="H885" i="2"/>
  <c r="G885" i="2"/>
  <c r="F885" i="2"/>
  <c r="B885" i="2"/>
  <c r="A885" i="2"/>
  <c r="CB884" i="2"/>
  <c r="BZ884" i="2"/>
  <c r="BW884" i="2"/>
  <c r="BX884" i="2" s="1"/>
  <c r="BS884" i="2"/>
  <c r="BU884" i="2" s="1"/>
  <c r="BR884" i="2"/>
  <c r="BT884" i="2" s="1"/>
  <c r="BH884" i="2"/>
  <c r="BD884" i="2"/>
  <c r="BC884" i="2"/>
  <c r="AV884" i="2"/>
  <c r="AU884" i="2"/>
  <c r="AN884" i="2"/>
  <c r="I884" i="2"/>
  <c r="H884" i="2"/>
  <c r="T884" i="2" s="1"/>
  <c r="G884" i="2"/>
  <c r="F884" i="2"/>
  <c r="AS884" i="2" s="1"/>
  <c r="B884" i="2"/>
  <c r="A884" i="2"/>
  <c r="CB883" i="2"/>
  <c r="BZ883" i="2"/>
  <c r="BW883" i="2"/>
  <c r="BX883" i="2" s="1"/>
  <c r="BS883" i="2"/>
  <c r="BU883" i="2" s="1"/>
  <c r="BR883" i="2"/>
  <c r="BT883" i="2" s="1"/>
  <c r="BH883" i="2"/>
  <c r="BD883" i="2"/>
  <c r="BC883" i="2"/>
  <c r="AV883" i="2"/>
  <c r="AU883" i="2"/>
  <c r="AN883" i="2"/>
  <c r="I883" i="2"/>
  <c r="H883" i="2"/>
  <c r="G883" i="2"/>
  <c r="F883" i="2"/>
  <c r="B883" i="2"/>
  <c r="A883" i="2"/>
  <c r="CB882" i="2"/>
  <c r="BZ882" i="2"/>
  <c r="BW882" i="2"/>
  <c r="BX882" i="2" s="1"/>
  <c r="BS882" i="2"/>
  <c r="BU882" i="2" s="1"/>
  <c r="BR882" i="2"/>
  <c r="BT882" i="2" s="1"/>
  <c r="BH882" i="2"/>
  <c r="BD882" i="2"/>
  <c r="BC882" i="2"/>
  <c r="AV882" i="2"/>
  <c r="AU882" i="2"/>
  <c r="AN882" i="2"/>
  <c r="I882" i="2"/>
  <c r="H882" i="2"/>
  <c r="T882" i="2" s="1"/>
  <c r="G882" i="2"/>
  <c r="F882" i="2"/>
  <c r="B882" i="2"/>
  <c r="A882" i="2"/>
  <c r="CB881" i="2"/>
  <c r="BZ881" i="2"/>
  <c r="BX881" i="2"/>
  <c r="BW881" i="2"/>
  <c r="BS881" i="2"/>
  <c r="BU881" i="2" s="1"/>
  <c r="BR881" i="2"/>
  <c r="BT881" i="2" s="1"/>
  <c r="BH881" i="2"/>
  <c r="BD881" i="2"/>
  <c r="BC881" i="2"/>
  <c r="AV881" i="2"/>
  <c r="AU881" i="2"/>
  <c r="AN881" i="2"/>
  <c r="I881" i="2"/>
  <c r="H881" i="2"/>
  <c r="AQ881" i="2" s="1"/>
  <c r="G881" i="2"/>
  <c r="F881" i="2"/>
  <c r="B881" i="2"/>
  <c r="A881" i="2"/>
  <c r="CB880" i="2"/>
  <c r="BZ880" i="2"/>
  <c r="BW880" i="2"/>
  <c r="BX880" i="2" s="1"/>
  <c r="BS880" i="2"/>
  <c r="BU880" i="2" s="1"/>
  <c r="BR880" i="2"/>
  <c r="BT880" i="2" s="1"/>
  <c r="BH880" i="2"/>
  <c r="BD880" i="2"/>
  <c r="BC880" i="2"/>
  <c r="AV880" i="2"/>
  <c r="AU880" i="2"/>
  <c r="AN880" i="2"/>
  <c r="I880" i="2"/>
  <c r="H880" i="2"/>
  <c r="G880" i="2"/>
  <c r="F880" i="2"/>
  <c r="B880" i="2"/>
  <c r="A880" i="2"/>
  <c r="CB879" i="2"/>
  <c r="BZ879" i="2"/>
  <c r="BW879" i="2"/>
  <c r="BX879" i="2" s="1"/>
  <c r="BS879" i="2"/>
  <c r="BU879" i="2" s="1"/>
  <c r="BR879" i="2"/>
  <c r="BT879" i="2" s="1"/>
  <c r="BH879" i="2"/>
  <c r="BD879" i="2"/>
  <c r="BC879" i="2"/>
  <c r="AV879" i="2"/>
  <c r="AU879" i="2"/>
  <c r="AN879" i="2"/>
  <c r="I879" i="2"/>
  <c r="H879" i="2"/>
  <c r="G879" i="2"/>
  <c r="F879" i="2"/>
  <c r="B879" i="2"/>
  <c r="A879" i="2"/>
  <c r="CB878" i="2"/>
  <c r="BZ878" i="2"/>
  <c r="BW878" i="2"/>
  <c r="BX878" i="2" s="1"/>
  <c r="BU878" i="2"/>
  <c r="BS878" i="2"/>
  <c r="BR878" i="2"/>
  <c r="BT878" i="2" s="1"/>
  <c r="BH878" i="2"/>
  <c r="BD878" i="2"/>
  <c r="BC878" i="2"/>
  <c r="AV878" i="2"/>
  <c r="AU878" i="2"/>
  <c r="AN878" i="2"/>
  <c r="I878" i="2"/>
  <c r="H878" i="2"/>
  <c r="G878" i="2"/>
  <c r="F878" i="2"/>
  <c r="AS878" i="2" s="1"/>
  <c r="B878" i="2"/>
  <c r="A878" i="2"/>
  <c r="CB877" i="2"/>
  <c r="BZ877" i="2"/>
  <c r="BW877" i="2"/>
  <c r="BX877" i="2" s="1"/>
  <c r="BS877" i="2"/>
  <c r="BU877" i="2" s="1"/>
  <c r="BR877" i="2"/>
  <c r="BT877" i="2" s="1"/>
  <c r="BH877" i="2"/>
  <c r="BD877" i="2"/>
  <c r="BC877" i="2"/>
  <c r="AV877" i="2"/>
  <c r="AU877" i="2"/>
  <c r="AN877" i="2"/>
  <c r="I877" i="2"/>
  <c r="H877" i="2"/>
  <c r="G877" i="2"/>
  <c r="F877" i="2"/>
  <c r="B877" i="2"/>
  <c r="A877" i="2"/>
  <c r="CB876" i="2"/>
  <c r="BZ876" i="2"/>
  <c r="BW876" i="2"/>
  <c r="BX876" i="2" s="1"/>
  <c r="BS876" i="2"/>
  <c r="BU876" i="2" s="1"/>
  <c r="BR876" i="2"/>
  <c r="BT876" i="2" s="1"/>
  <c r="BH876" i="2"/>
  <c r="BD876" i="2"/>
  <c r="BC876" i="2"/>
  <c r="AV876" i="2"/>
  <c r="AU876" i="2"/>
  <c r="AN876" i="2"/>
  <c r="I876" i="2"/>
  <c r="H876" i="2"/>
  <c r="T876" i="2" s="1"/>
  <c r="G876" i="2"/>
  <c r="F876" i="2"/>
  <c r="B876" i="2"/>
  <c r="A876" i="2"/>
  <c r="CB875" i="2"/>
  <c r="BZ875" i="2"/>
  <c r="BW875" i="2"/>
  <c r="BX875" i="2" s="1"/>
  <c r="BS875" i="2"/>
  <c r="BU875" i="2" s="1"/>
  <c r="BR875" i="2"/>
  <c r="BT875" i="2" s="1"/>
  <c r="BH875" i="2"/>
  <c r="BD875" i="2"/>
  <c r="BC875" i="2"/>
  <c r="AV875" i="2"/>
  <c r="AU875" i="2"/>
  <c r="AN875" i="2"/>
  <c r="I875" i="2"/>
  <c r="H875" i="2"/>
  <c r="G875" i="2"/>
  <c r="F875" i="2"/>
  <c r="B875" i="2"/>
  <c r="A875" i="2"/>
  <c r="CB874" i="2"/>
  <c r="BZ874" i="2"/>
  <c r="BW874" i="2"/>
  <c r="BX874" i="2" s="1"/>
  <c r="BS874" i="2"/>
  <c r="BU874" i="2" s="1"/>
  <c r="BR874" i="2"/>
  <c r="BT874" i="2" s="1"/>
  <c r="BH874" i="2"/>
  <c r="BD874" i="2"/>
  <c r="BC874" i="2"/>
  <c r="AV874" i="2"/>
  <c r="AU874" i="2"/>
  <c r="AN874" i="2"/>
  <c r="I874" i="2"/>
  <c r="H874" i="2"/>
  <c r="G874" i="2"/>
  <c r="AS874" i="2" s="1"/>
  <c r="F874" i="2"/>
  <c r="B874" i="2"/>
  <c r="A874" i="2"/>
  <c r="CB873" i="2"/>
  <c r="BZ873" i="2"/>
  <c r="BW873" i="2"/>
  <c r="BX873" i="2" s="1"/>
  <c r="BS873" i="2"/>
  <c r="BU873" i="2" s="1"/>
  <c r="BR873" i="2"/>
  <c r="BT873" i="2" s="1"/>
  <c r="BH873" i="2"/>
  <c r="BD873" i="2"/>
  <c r="BC873" i="2"/>
  <c r="AV873" i="2"/>
  <c r="AU873" i="2"/>
  <c r="AN873" i="2"/>
  <c r="I873" i="2"/>
  <c r="H873" i="2"/>
  <c r="G873" i="2"/>
  <c r="F873" i="2"/>
  <c r="B873" i="2"/>
  <c r="A873" i="2"/>
  <c r="CB872" i="2"/>
  <c r="BZ872" i="2"/>
  <c r="BW872" i="2"/>
  <c r="BX872" i="2" s="1"/>
  <c r="BS872" i="2"/>
  <c r="BU872" i="2" s="1"/>
  <c r="BR872" i="2"/>
  <c r="BT872" i="2" s="1"/>
  <c r="BH872" i="2"/>
  <c r="BD872" i="2"/>
  <c r="BC872" i="2"/>
  <c r="AV872" i="2"/>
  <c r="AU872" i="2"/>
  <c r="AN872" i="2"/>
  <c r="I872" i="2"/>
  <c r="H872" i="2"/>
  <c r="G872" i="2"/>
  <c r="F872" i="2"/>
  <c r="B872" i="2"/>
  <c r="A872" i="2"/>
  <c r="CB871" i="2"/>
  <c r="BZ871" i="2"/>
  <c r="BW871" i="2"/>
  <c r="BX871" i="2" s="1"/>
  <c r="BS871" i="2"/>
  <c r="BU871" i="2" s="1"/>
  <c r="BR871" i="2"/>
  <c r="BT871" i="2" s="1"/>
  <c r="BH871" i="2"/>
  <c r="BD871" i="2"/>
  <c r="BC871" i="2"/>
  <c r="AV871" i="2"/>
  <c r="AU871" i="2"/>
  <c r="AN871" i="2"/>
  <c r="I871" i="2"/>
  <c r="H871" i="2"/>
  <c r="G871" i="2"/>
  <c r="F871" i="2"/>
  <c r="B871" i="2"/>
  <c r="A871" i="2"/>
  <c r="CB870" i="2"/>
  <c r="BZ870" i="2"/>
  <c r="BW870" i="2"/>
  <c r="BX870" i="2" s="1"/>
  <c r="BS870" i="2"/>
  <c r="BU870" i="2" s="1"/>
  <c r="BR870" i="2"/>
  <c r="BT870" i="2" s="1"/>
  <c r="BH870" i="2"/>
  <c r="BD870" i="2"/>
  <c r="BC870" i="2"/>
  <c r="AV870" i="2"/>
  <c r="AU870" i="2"/>
  <c r="AN870" i="2"/>
  <c r="I870" i="2"/>
  <c r="H870" i="2"/>
  <c r="T870" i="2" s="1"/>
  <c r="G870" i="2"/>
  <c r="F870" i="2"/>
  <c r="B870" i="2"/>
  <c r="A870" i="2"/>
  <c r="CB869" i="2"/>
  <c r="BZ869" i="2"/>
  <c r="BW869" i="2"/>
  <c r="BX869" i="2" s="1"/>
  <c r="BS869" i="2"/>
  <c r="BU869" i="2" s="1"/>
  <c r="BR869" i="2"/>
  <c r="BT869" i="2" s="1"/>
  <c r="BH869" i="2"/>
  <c r="BD869" i="2"/>
  <c r="BC869" i="2"/>
  <c r="AV869" i="2"/>
  <c r="AU869" i="2"/>
  <c r="AN869" i="2"/>
  <c r="I869" i="2"/>
  <c r="H869" i="2"/>
  <c r="AQ869" i="2" s="1"/>
  <c r="G869" i="2"/>
  <c r="F869" i="2"/>
  <c r="B869" i="2"/>
  <c r="A869" i="2"/>
  <c r="CB868" i="2"/>
  <c r="BZ868" i="2"/>
  <c r="BW868" i="2"/>
  <c r="BX868" i="2" s="1"/>
  <c r="BS868" i="2"/>
  <c r="BU868" i="2" s="1"/>
  <c r="BR868" i="2"/>
  <c r="BT868" i="2" s="1"/>
  <c r="BH868" i="2"/>
  <c r="BD868" i="2"/>
  <c r="BC868" i="2"/>
  <c r="AV868" i="2"/>
  <c r="AU868" i="2"/>
  <c r="AN868" i="2"/>
  <c r="I868" i="2"/>
  <c r="H868" i="2"/>
  <c r="G868" i="2"/>
  <c r="F868" i="2"/>
  <c r="B868" i="2"/>
  <c r="A868" i="2"/>
  <c r="CB867" i="2"/>
  <c r="BZ867" i="2"/>
  <c r="BW867" i="2"/>
  <c r="BX867" i="2" s="1"/>
  <c r="BS867" i="2"/>
  <c r="BU867" i="2" s="1"/>
  <c r="BR867" i="2"/>
  <c r="BT867" i="2" s="1"/>
  <c r="BH867" i="2"/>
  <c r="BD867" i="2"/>
  <c r="BC867" i="2"/>
  <c r="AV867" i="2"/>
  <c r="AU867" i="2"/>
  <c r="AN867" i="2"/>
  <c r="I867" i="2"/>
  <c r="H867" i="2"/>
  <c r="G867" i="2"/>
  <c r="F867" i="2"/>
  <c r="B867" i="2"/>
  <c r="A867" i="2"/>
  <c r="CB866" i="2"/>
  <c r="BZ866" i="2"/>
  <c r="BW866" i="2"/>
  <c r="BX866" i="2" s="1"/>
  <c r="BS866" i="2"/>
  <c r="BU866" i="2" s="1"/>
  <c r="BR866" i="2"/>
  <c r="BT866" i="2" s="1"/>
  <c r="BH866" i="2"/>
  <c r="BD866" i="2"/>
  <c r="BC866" i="2"/>
  <c r="AV866" i="2"/>
  <c r="AU866" i="2"/>
  <c r="AN866" i="2"/>
  <c r="I866" i="2"/>
  <c r="H866" i="2"/>
  <c r="T866" i="2" s="1"/>
  <c r="G866" i="2"/>
  <c r="F866" i="2"/>
  <c r="B866" i="2"/>
  <c r="A866" i="2"/>
  <c r="CB865" i="2"/>
  <c r="BZ865" i="2"/>
  <c r="BW865" i="2"/>
  <c r="BX865" i="2" s="1"/>
  <c r="BS865" i="2"/>
  <c r="BU865" i="2" s="1"/>
  <c r="BR865" i="2"/>
  <c r="BT865" i="2" s="1"/>
  <c r="BH865" i="2"/>
  <c r="BD865" i="2"/>
  <c r="BC865" i="2"/>
  <c r="AV865" i="2"/>
  <c r="AU865" i="2"/>
  <c r="AN865" i="2"/>
  <c r="I865" i="2"/>
  <c r="H865" i="2"/>
  <c r="G865" i="2"/>
  <c r="F865" i="2"/>
  <c r="B865" i="2"/>
  <c r="A865" i="2"/>
  <c r="CB864" i="2"/>
  <c r="BZ864" i="2"/>
  <c r="BW864" i="2"/>
  <c r="BX864" i="2" s="1"/>
  <c r="BS864" i="2"/>
  <c r="BU864" i="2" s="1"/>
  <c r="BR864" i="2"/>
  <c r="BT864" i="2" s="1"/>
  <c r="BH864" i="2"/>
  <c r="BD864" i="2"/>
  <c r="BC864" i="2"/>
  <c r="AV864" i="2"/>
  <c r="AU864" i="2"/>
  <c r="AN864" i="2"/>
  <c r="I864" i="2"/>
  <c r="H864" i="2"/>
  <c r="AQ864" i="2" s="1"/>
  <c r="G864" i="2"/>
  <c r="F864" i="2"/>
  <c r="B864" i="2"/>
  <c r="A864" i="2"/>
  <c r="CB863" i="2"/>
  <c r="BZ863" i="2"/>
  <c r="BW863" i="2"/>
  <c r="BX863" i="2" s="1"/>
  <c r="BS863" i="2"/>
  <c r="BU863" i="2" s="1"/>
  <c r="BR863" i="2"/>
  <c r="BT863" i="2" s="1"/>
  <c r="BH863" i="2"/>
  <c r="BD863" i="2"/>
  <c r="BC863" i="2"/>
  <c r="AV863" i="2"/>
  <c r="AU863" i="2"/>
  <c r="AN863" i="2"/>
  <c r="I863" i="2"/>
  <c r="H863" i="2"/>
  <c r="G863" i="2"/>
  <c r="F863" i="2"/>
  <c r="B863" i="2"/>
  <c r="A863" i="2"/>
  <c r="CB862" i="2"/>
  <c r="BZ862" i="2"/>
  <c r="BW862" i="2"/>
  <c r="BX862" i="2" s="1"/>
  <c r="BS862" i="2"/>
  <c r="BU862" i="2" s="1"/>
  <c r="BR862" i="2"/>
  <c r="BT862" i="2" s="1"/>
  <c r="BH862" i="2"/>
  <c r="BD862" i="2"/>
  <c r="BC862" i="2"/>
  <c r="AV862" i="2"/>
  <c r="AU862" i="2"/>
  <c r="AN862" i="2"/>
  <c r="I862" i="2"/>
  <c r="H862" i="2"/>
  <c r="U862" i="2" s="1"/>
  <c r="G862" i="2"/>
  <c r="F862" i="2"/>
  <c r="B862" i="2"/>
  <c r="A862" i="2"/>
  <c r="CB861" i="2"/>
  <c r="BZ861" i="2"/>
  <c r="BW861" i="2"/>
  <c r="BX861" i="2" s="1"/>
  <c r="BS861" i="2"/>
  <c r="BU861" i="2" s="1"/>
  <c r="BR861" i="2"/>
  <c r="BT861" i="2" s="1"/>
  <c r="BH861" i="2"/>
  <c r="BD861" i="2"/>
  <c r="BC861" i="2"/>
  <c r="AV861" i="2"/>
  <c r="AU861" i="2"/>
  <c r="AN861" i="2"/>
  <c r="I861" i="2"/>
  <c r="H861" i="2"/>
  <c r="U861" i="2" s="1"/>
  <c r="G861" i="2"/>
  <c r="F861" i="2"/>
  <c r="B861" i="2"/>
  <c r="A861" i="2"/>
  <c r="CB860" i="2"/>
  <c r="BZ860" i="2"/>
  <c r="BW860" i="2"/>
  <c r="BX860" i="2" s="1"/>
  <c r="BS860" i="2"/>
  <c r="BU860" i="2" s="1"/>
  <c r="BR860" i="2"/>
  <c r="BT860" i="2" s="1"/>
  <c r="BH860" i="2"/>
  <c r="BD860" i="2"/>
  <c r="BC860" i="2"/>
  <c r="AV860" i="2"/>
  <c r="AU860" i="2"/>
  <c r="AN860" i="2"/>
  <c r="I860" i="2"/>
  <c r="H860" i="2"/>
  <c r="G860" i="2"/>
  <c r="F860" i="2"/>
  <c r="B860" i="2"/>
  <c r="A860" i="2"/>
  <c r="CB859" i="2"/>
  <c r="BZ859" i="2"/>
  <c r="BW859" i="2"/>
  <c r="BX859" i="2" s="1"/>
  <c r="BS859" i="2"/>
  <c r="BU859" i="2" s="1"/>
  <c r="BR859" i="2"/>
  <c r="BT859" i="2" s="1"/>
  <c r="BH859" i="2"/>
  <c r="BC859" i="2"/>
  <c r="AV859" i="2"/>
  <c r="AU859" i="2"/>
  <c r="AN859" i="2"/>
  <c r="I859" i="2"/>
  <c r="H859" i="2"/>
  <c r="AQ859" i="2" s="1"/>
  <c r="G859" i="2"/>
  <c r="BD859" i="2" s="1"/>
  <c r="F859" i="2"/>
  <c r="AS859" i="2" s="1"/>
  <c r="B859" i="2"/>
  <c r="A859" i="2"/>
  <c r="CB858" i="2"/>
  <c r="BZ858" i="2"/>
  <c r="BW858" i="2"/>
  <c r="BX858" i="2" s="1"/>
  <c r="BS858" i="2"/>
  <c r="BU858" i="2" s="1"/>
  <c r="BR858" i="2"/>
  <c r="BT858" i="2" s="1"/>
  <c r="BH858" i="2"/>
  <c r="BD858" i="2"/>
  <c r="BC858" i="2"/>
  <c r="AV858" i="2"/>
  <c r="AU858" i="2"/>
  <c r="AN858" i="2"/>
  <c r="I858" i="2"/>
  <c r="H858" i="2"/>
  <c r="AO1003" i="2" s="1"/>
  <c r="G858" i="2"/>
  <c r="F858" i="2"/>
  <c r="B858" i="2"/>
  <c r="A858" i="2"/>
  <c r="CB857" i="2"/>
  <c r="BZ857" i="2"/>
  <c r="BW857" i="2"/>
  <c r="BX857" i="2" s="1"/>
  <c r="BS857" i="2"/>
  <c r="BU857" i="2" s="1"/>
  <c r="BR857" i="2"/>
  <c r="BT857" i="2" s="1"/>
  <c r="BH857" i="2"/>
  <c r="BD857" i="2"/>
  <c r="BC857" i="2"/>
  <c r="AV857" i="2"/>
  <c r="AU857" i="2"/>
  <c r="AN857" i="2"/>
  <c r="I857" i="2"/>
  <c r="H857" i="2"/>
  <c r="G857" i="2"/>
  <c r="F857" i="2"/>
  <c r="B857" i="2"/>
  <c r="A857" i="2"/>
  <c r="CB856" i="2"/>
  <c r="BZ856" i="2"/>
  <c r="BW856" i="2"/>
  <c r="BX856" i="2" s="1"/>
  <c r="BS856" i="2"/>
  <c r="BU856" i="2" s="1"/>
  <c r="BR856" i="2"/>
  <c r="BT856" i="2" s="1"/>
  <c r="BH856" i="2"/>
  <c r="BD856" i="2"/>
  <c r="BC856" i="2"/>
  <c r="AV856" i="2"/>
  <c r="AU856" i="2"/>
  <c r="AN856" i="2"/>
  <c r="I856" i="2"/>
  <c r="H856" i="2"/>
  <c r="G856" i="2"/>
  <c r="F856" i="2"/>
  <c r="B856" i="2"/>
  <c r="A856" i="2"/>
  <c r="CB855" i="2"/>
  <c r="BZ855" i="2"/>
  <c r="BW855" i="2"/>
  <c r="BX855" i="2" s="1"/>
  <c r="BS855" i="2"/>
  <c r="BU855" i="2" s="1"/>
  <c r="BR855" i="2"/>
  <c r="BT855" i="2" s="1"/>
  <c r="BH855" i="2"/>
  <c r="BD855" i="2"/>
  <c r="BC855" i="2"/>
  <c r="AV855" i="2"/>
  <c r="AU855" i="2"/>
  <c r="AN855" i="2"/>
  <c r="I855" i="2"/>
  <c r="H855" i="2"/>
  <c r="G855" i="2"/>
  <c r="F855" i="2"/>
  <c r="B855" i="2"/>
  <c r="A855" i="2"/>
  <c r="CB854" i="2"/>
  <c r="BZ854" i="2"/>
  <c r="BW854" i="2"/>
  <c r="BX854" i="2" s="1"/>
  <c r="BU854" i="2"/>
  <c r="BS854" i="2"/>
  <c r="BR854" i="2"/>
  <c r="BT854" i="2" s="1"/>
  <c r="BH854" i="2"/>
  <c r="BD854" i="2"/>
  <c r="BC854" i="2"/>
  <c r="AV854" i="2"/>
  <c r="AU854" i="2"/>
  <c r="AN854" i="2"/>
  <c r="I854" i="2"/>
  <c r="H854" i="2"/>
  <c r="AQ854" i="2" s="1"/>
  <c r="G854" i="2"/>
  <c r="F854" i="2"/>
  <c r="B854" i="2"/>
  <c r="A854" i="2"/>
  <c r="CB853" i="2"/>
  <c r="BZ853" i="2"/>
  <c r="BW853" i="2"/>
  <c r="BX853" i="2" s="1"/>
  <c r="BS853" i="2"/>
  <c r="BU853" i="2" s="1"/>
  <c r="BR853" i="2"/>
  <c r="BT853" i="2" s="1"/>
  <c r="BH853" i="2"/>
  <c r="BC853" i="2"/>
  <c r="AV853" i="2"/>
  <c r="AU853" i="2"/>
  <c r="AN853" i="2"/>
  <c r="I853" i="2"/>
  <c r="H853" i="2"/>
  <c r="AO998" i="2" s="1"/>
  <c r="AP998" i="2" s="1"/>
  <c r="G853" i="2"/>
  <c r="F853" i="2"/>
  <c r="B853" i="2"/>
  <c r="A853" i="2"/>
  <c r="CB852" i="2"/>
  <c r="BZ852" i="2"/>
  <c r="BW852" i="2"/>
  <c r="BX852" i="2" s="1"/>
  <c r="BS852" i="2"/>
  <c r="BU852" i="2" s="1"/>
  <c r="BR852" i="2"/>
  <c r="BT852" i="2" s="1"/>
  <c r="BH852" i="2"/>
  <c r="BD852" i="2"/>
  <c r="BC852" i="2"/>
  <c r="AV852" i="2"/>
  <c r="AU852" i="2"/>
  <c r="AN852" i="2"/>
  <c r="I852" i="2"/>
  <c r="H852" i="2"/>
  <c r="AQ852" i="2" s="1"/>
  <c r="G852" i="2"/>
  <c r="F852" i="2"/>
  <c r="B852" i="2"/>
  <c r="A852" i="2"/>
  <c r="CB851" i="2"/>
  <c r="BZ851" i="2"/>
  <c r="BW851" i="2"/>
  <c r="BX851" i="2" s="1"/>
  <c r="BS851" i="2"/>
  <c r="BU851" i="2" s="1"/>
  <c r="BR851" i="2"/>
  <c r="BT851" i="2" s="1"/>
  <c r="BH851" i="2"/>
  <c r="BD851" i="2"/>
  <c r="BC851" i="2"/>
  <c r="AV851" i="2"/>
  <c r="AU851" i="2"/>
  <c r="AN851" i="2"/>
  <c r="I851" i="2"/>
  <c r="H851" i="2"/>
  <c r="G851" i="2"/>
  <c r="F851" i="2"/>
  <c r="B851" i="2"/>
  <c r="A851" i="2"/>
  <c r="CB850" i="2"/>
  <c r="BZ850" i="2"/>
  <c r="BW850" i="2"/>
  <c r="BX850" i="2" s="1"/>
  <c r="BS850" i="2"/>
  <c r="BU850" i="2" s="1"/>
  <c r="BR850" i="2"/>
  <c r="BT850" i="2" s="1"/>
  <c r="BH850" i="2"/>
  <c r="BD850" i="2"/>
  <c r="BC850" i="2"/>
  <c r="AV850" i="2"/>
  <c r="AU850" i="2"/>
  <c r="AN850" i="2"/>
  <c r="I850" i="2"/>
  <c r="H850" i="2"/>
  <c r="G850" i="2"/>
  <c r="F850" i="2"/>
  <c r="B850" i="2"/>
  <c r="A850" i="2"/>
  <c r="CB849" i="2"/>
  <c r="BZ849" i="2"/>
  <c r="BW849" i="2"/>
  <c r="BX849" i="2" s="1"/>
  <c r="BS849" i="2"/>
  <c r="BU849" i="2" s="1"/>
  <c r="BR849" i="2"/>
  <c r="BT849" i="2" s="1"/>
  <c r="BH849" i="2"/>
  <c r="BD849" i="2"/>
  <c r="BC849" i="2"/>
  <c r="AV849" i="2"/>
  <c r="AU849" i="2"/>
  <c r="AN849" i="2"/>
  <c r="I849" i="2"/>
  <c r="H849" i="2"/>
  <c r="AQ849" i="2" s="1"/>
  <c r="G849" i="2"/>
  <c r="F849" i="2"/>
  <c r="B849" i="2"/>
  <c r="A849" i="2"/>
  <c r="CB848" i="2"/>
  <c r="BZ848" i="2"/>
  <c r="BW848" i="2"/>
  <c r="BX848" i="2" s="1"/>
  <c r="BS848" i="2"/>
  <c r="BU848" i="2" s="1"/>
  <c r="BR848" i="2"/>
  <c r="BT848" i="2" s="1"/>
  <c r="BH848" i="2"/>
  <c r="BD848" i="2"/>
  <c r="BC848" i="2"/>
  <c r="AV848" i="2"/>
  <c r="AU848" i="2"/>
  <c r="AN848" i="2"/>
  <c r="I848" i="2"/>
  <c r="H848" i="2"/>
  <c r="G848" i="2"/>
  <c r="F848" i="2"/>
  <c r="B848" i="2"/>
  <c r="A848" i="2"/>
  <c r="CB847" i="2"/>
  <c r="BZ847" i="2"/>
  <c r="BW847" i="2"/>
  <c r="BX847" i="2" s="1"/>
  <c r="BS847" i="2"/>
  <c r="BU847" i="2" s="1"/>
  <c r="BR847" i="2"/>
  <c r="BT847" i="2" s="1"/>
  <c r="BH847" i="2"/>
  <c r="BD847" i="2"/>
  <c r="BC847" i="2"/>
  <c r="AV847" i="2"/>
  <c r="AU847" i="2"/>
  <c r="AN847" i="2"/>
  <c r="I847" i="2"/>
  <c r="H847" i="2"/>
  <c r="G847" i="2"/>
  <c r="F847" i="2"/>
  <c r="AS847" i="2" s="1"/>
  <c r="B847" i="2"/>
  <c r="A847" i="2"/>
  <c r="CB846" i="2"/>
  <c r="BZ846" i="2"/>
  <c r="BW846" i="2"/>
  <c r="BX846" i="2" s="1"/>
  <c r="BS846" i="2"/>
  <c r="BU846" i="2" s="1"/>
  <c r="BR846" i="2"/>
  <c r="BT846" i="2" s="1"/>
  <c r="BH846" i="2"/>
  <c r="BD846" i="2"/>
  <c r="BC846" i="2"/>
  <c r="AV846" i="2"/>
  <c r="AU846" i="2"/>
  <c r="AN846" i="2"/>
  <c r="I846" i="2"/>
  <c r="H846" i="2"/>
  <c r="AQ846" i="2" s="1"/>
  <c r="G846" i="2"/>
  <c r="F846" i="2"/>
  <c r="AS846" i="2" s="1"/>
  <c r="B846" i="2"/>
  <c r="A846" i="2"/>
  <c r="CB845" i="2"/>
  <c r="BZ845" i="2"/>
  <c r="BW845" i="2"/>
  <c r="BX845" i="2" s="1"/>
  <c r="BS845" i="2"/>
  <c r="BU845" i="2" s="1"/>
  <c r="BR845" i="2"/>
  <c r="BT845" i="2" s="1"/>
  <c r="BH845" i="2"/>
  <c r="BD845" i="2"/>
  <c r="BC845" i="2"/>
  <c r="AV845" i="2"/>
  <c r="AY845" i="2" s="1"/>
  <c r="AU845" i="2"/>
  <c r="AN845" i="2"/>
  <c r="I845" i="2"/>
  <c r="H845" i="2"/>
  <c r="AQ845" i="2" s="1"/>
  <c r="G845" i="2"/>
  <c r="F845" i="2"/>
  <c r="B845" i="2"/>
  <c r="A845" i="2"/>
  <c r="CB844" i="2"/>
  <c r="BZ844" i="2"/>
  <c r="BW844" i="2"/>
  <c r="BX844" i="2" s="1"/>
  <c r="BS844" i="2"/>
  <c r="BU844" i="2" s="1"/>
  <c r="BR844" i="2"/>
  <c r="BT844" i="2" s="1"/>
  <c r="BH844" i="2"/>
  <c r="BD844" i="2"/>
  <c r="BC844" i="2"/>
  <c r="AV844" i="2"/>
  <c r="AU844" i="2"/>
  <c r="AN844" i="2"/>
  <c r="I844" i="2"/>
  <c r="H844" i="2"/>
  <c r="AQ844" i="2" s="1"/>
  <c r="G844" i="2"/>
  <c r="F844" i="2"/>
  <c r="B844" i="2"/>
  <c r="A844" i="2"/>
  <c r="CB843" i="2"/>
  <c r="BZ843" i="2"/>
  <c r="BW843" i="2"/>
  <c r="BX843" i="2" s="1"/>
  <c r="BS843" i="2"/>
  <c r="BU843" i="2" s="1"/>
  <c r="BR843" i="2"/>
  <c r="BT843" i="2" s="1"/>
  <c r="BH843" i="2"/>
  <c r="BD843" i="2"/>
  <c r="BC843" i="2"/>
  <c r="AV843" i="2"/>
  <c r="AU843" i="2"/>
  <c r="AN843" i="2"/>
  <c r="I843" i="2"/>
  <c r="H843" i="2"/>
  <c r="U843" i="2" s="1"/>
  <c r="G843" i="2"/>
  <c r="F843" i="2"/>
  <c r="B843" i="2"/>
  <c r="A843" i="2"/>
  <c r="CB842" i="2"/>
  <c r="BZ842" i="2"/>
  <c r="BW842" i="2"/>
  <c r="BX842" i="2" s="1"/>
  <c r="BS842" i="2"/>
  <c r="BU842" i="2" s="1"/>
  <c r="BR842" i="2"/>
  <c r="BT842" i="2" s="1"/>
  <c r="BH842" i="2"/>
  <c r="BD842" i="2"/>
  <c r="BC842" i="2"/>
  <c r="AV842" i="2"/>
  <c r="AU842" i="2"/>
  <c r="AN842" i="2"/>
  <c r="I842" i="2"/>
  <c r="H842" i="2"/>
  <c r="G842" i="2"/>
  <c r="F842" i="2"/>
  <c r="B842" i="2"/>
  <c r="A842" i="2"/>
  <c r="CB841" i="2"/>
  <c r="BZ841" i="2"/>
  <c r="BW841" i="2"/>
  <c r="BX841" i="2" s="1"/>
  <c r="BS841" i="2"/>
  <c r="BU841" i="2" s="1"/>
  <c r="BR841" i="2"/>
  <c r="BT841" i="2" s="1"/>
  <c r="BH841" i="2"/>
  <c r="BD841" i="2"/>
  <c r="BC841" i="2"/>
  <c r="AV841" i="2"/>
  <c r="AU841" i="2"/>
  <c r="AN841" i="2"/>
  <c r="I841" i="2"/>
  <c r="H841" i="2"/>
  <c r="AQ841" i="2" s="1"/>
  <c r="G841" i="2"/>
  <c r="F841" i="2"/>
  <c r="B841" i="2"/>
  <c r="A841" i="2"/>
  <c r="CB840" i="2"/>
  <c r="BZ840" i="2"/>
  <c r="BW840" i="2"/>
  <c r="BX840" i="2" s="1"/>
  <c r="BS840" i="2"/>
  <c r="BU840" i="2" s="1"/>
  <c r="BR840" i="2"/>
  <c r="BT840" i="2" s="1"/>
  <c r="BH840" i="2"/>
  <c r="BD840" i="2"/>
  <c r="BC840" i="2"/>
  <c r="AV840" i="2"/>
  <c r="AY840" i="2" s="1"/>
  <c r="AU840" i="2"/>
  <c r="AN840" i="2"/>
  <c r="I840" i="2"/>
  <c r="H840" i="2"/>
  <c r="G840" i="2"/>
  <c r="F840" i="2"/>
  <c r="B840" i="2"/>
  <c r="A840" i="2"/>
  <c r="CB839" i="2"/>
  <c r="BZ839" i="2"/>
  <c r="BW839" i="2"/>
  <c r="BX839" i="2" s="1"/>
  <c r="BT839" i="2"/>
  <c r="BS839" i="2"/>
  <c r="BU839" i="2" s="1"/>
  <c r="BR839" i="2"/>
  <c r="BH839" i="2"/>
  <c r="BD839" i="2"/>
  <c r="BC839" i="2"/>
  <c r="AV839" i="2"/>
  <c r="AU839" i="2"/>
  <c r="AN839" i="2"/>
  <c r="I839" i="2"/>
  <c r="H839" i="2"/>
  <c r="AQ839" i="2" s="1"/>
  <c r="G839" i="2"/>
  <c r="F839" i="2"/>
  <c r="B839" i="2"/>
  <c r="A839" i="2"/>
  <c r="CB838" i="2"/>
  <c r="BZ838" i="2"/>
  <c r="BW838" i="2"/>
  <c r="BX838" i="2" s="1"/>
  <c r="BS838" i="2"/>
  <c r="BU838" i="2" s="1"/>
  <c r="BR838" i="2"/>
  <c r="BT838" i="2" s="1"/>
  <c r="BH838" i="2"/>
  <c r="BD838" i="2"/>
  <c r="BC838" i="2"/>
  <c r="AV838" i="2"/>
  <c r="AU838" i="2"/>
  <c r="AN838" i="2"/>
  <c r="I838" i="2"/>
  <c r="H838" i="2"/>
  <c r="G838" i="2"/>
  <c r="F838" i="2"/>
  <c r="B838" i="2"/>
  <c r="A838" i="2"/>
  <c r="CB837" i="2"/>
  <c r="BZ837" i="2"/>
  <c r="BW837" i="2"/>
  <c r="BX837" i="2" s="1"/>
  <c r="BS837" i="2"/>
  <c r="BU837" i="2" s="1"/>
  <c r="BR837" i="2"/>
  <c r="BT837" i="2" s="1"/>
  <c r="BH837" i="2"/>
  <c r="BD837" i="2"/>
  <c r="BC837" i="2"/>
  <c r="AV837" i="2"/>
  <c r="AU837" i="2"/>
  <c r="AN837" i="2"/>
  <c r="I837" i="2"/>
  <c r="H837" i="2"/>
  <c r="G837" i="2"/>
  <c r="F837" i="2"/>
  <c r="B837" i="2"/>
  <c r="A837" i="2"/>
  <c r="CB836" i="2"/>
  <c r="BZ836" i="2"/>
  <c r="BW836" i="2"/>
  <c r="BX836" i="2" s="1"/>
  <c r="BU836" i="2"/>
  <c r="BS836" i="2"/>
  <c r="BR836" i="2"/>
  <c r="BT836" i="2" s="1"/>
  <c r="BH836" i="2"/>
  <c r="BD836" i="2"/>
  <c r="BC836" i="2"/>
  <c r="AV836" i="2"/>
  <c r="AU836" i="2"/>
  <c r="AN836" i="2"/>
  <c r="I836" i="2"/>
  <c r="H836" i="2"/>
  <c r="G836" i="2"/>
  <c r="F836" i="2"/>
  <c r="B836" i="2"/>
  <c r="A836" i="2"/>
  <c r="CB835" i="2"/>
  <c r="BZ835" i="2"/>
  <c r="BW835" i="2"/>
  <c r="BX835" i="2" s="1"/>
  <c r="BS835" i="2"/>
  <c r="BU835" i="2" s="1"/>
  <c r="BR835" i="2"/>
  <c r="BT835" i="2" s="1"/>
  <c r="BH835" i="2"/>
  <c r="BD835" i="2"/>
  <c r="BC835" i="2"/>
  <c r="AV835" i="2"/>
  <c r="AU835" i="2"/>
  <c r="AN835" i="2"/>
  <c r="I835" i="2"/>
  <c r="H835" i="2"/>
  <c r="G835" i="2"/>
  <c r="F835" i="2"/>
  <c r="B835" i="2"/>
  <c r="A835" i="2"/>
  <c r="CB834" i="2"/>
  <c r="BZ834" i="2"/>
  <c r="BW834" i="2"/>
  <c r="BX834" i="2" s="1"/>
  <c r="BS834" i="2"/>
  <c r="BU834" i="2" s="1"/>
  <c r="BR834" i="2"/>
  <c r="BT834" i="2" s="1"/>
  <c r="BH834" i="2"/>
  <c r="BD834" i="2"/>
  <c r="BC834" i="2"/>
  <c r="AV834" i="2"/>
  <c r="AU834" i="2"/>
  <c r="AN834" i="2"/>
  <c r="I834" i="2"/>
  <c r="H834" i="2"/>
  <c r="AQ834" i="2" s="1"/>
  <c r="G834" i="2"/>
  <c r="F834" i="2"/>
  <c r="B834" i="2"/>
  <c r="A834" i="2"/>
  <c r="CB833" i="2"/>
  <c r="BZ833" i="2"/>
  <c r="BW833" i="2"/>
  <c r="BX833" i="2" s="1"/>
  <c r="BS833" i="2"/>
  <c r="BU833" i="2" s="1"/>
  <c r="BR833" i="2"/>
  <c r="BT833" i="2" s="1"/>
  <c r="BH833" i="2"/>
  <c r="BD833" i="2"/>
  <c r="BC833" i="2"/>
  <c r="AV833" i="2"/>
  <c r="AU833" i="2"/>
  <c r="AN833" i="2"/>
  <c r="I833" i="2"/>
  <c r="H833" i="2"/>
  <c r="U833" i="2" s="1"/>
  <c r="G833" i="2"/>
  <c r="F833" i="2"/>
  <c r="AS833" i="2" s="1"/>
  <c r="B833" i="2"/>
  <c r="A833" i="2"/>
  <c r="CB832" i="2"/>
  <c r="BZ832" i="2"/>
  <c r="BW832" i="2"/>
  <c r="BX832" i="2" s="1"/>
  <c r="BU832" i="2"/>
  <c r="BS832" i="2"/>
  <c r="BR832" i="2"/>
  <c r="BT832" i="2" s="1"/>
  <c r="BH832" i="2"/>
  <c r="BD832" i="2"/>
  <c r="BC832" i="2"/>
  <c r="AV832" i="2"/>
  <c r="AU832" i="2"/>
  <c r="AN832" i="2"/>
  <c r="I832" i="2"/>
  <c r="H832" i="2"/>
  <c r="AO977" i="2" s="1"/>
  <c r="AP977" i="2" s="1"/>
  <c r="G832" i="2"/>
  <c r="F832" i="2"/>
  <c r="B832" i="2"/>
  <c r="A832" i="2"/>
  <c r="CB831" i="2"/>
  <c r="BZ831" i="2"/>
  <c r="BW831" i="2"/>
  <c r="BX831" i="2" s="1"/>
  <c r="BS831" i="2"/>
  <c r="BU831" i="2" s="1"/>
  <c r="BR831" i="2"/>
  <c r="BT831" i="2" s="1"/>
  <c r="BH831" i="2"/>
  <c r="BD831" i="2"/>
  <c r="BC831" i="2"/>
  <c r="AV831" i="2"/>
  <c r="AU831" i="2"/>
  <c r="AN831" i="2"/>
  <c r="I831" i="2"/>
  <c r="H831" i="2"/>
  <c r="G831" i="2"/>
  <c r="F831" i="2"/>
  <c r="B831" i="2"/>
  <c r="A831" i="2"/>
  <c r="CB830" i="2"/>
  <c r="BZ830" i="2"/>
  <c r="BW830" i="2"/>
  <c r="BX830" i="2" s="1"/>
  <c r="BU830" i="2"/>
  <c r="BS830" i="2"/>
  <c r="BR830" i="2"/>
  <c r="BT830" i="2" s="1"/>
  <c r="BH830" i="2"/>
  <c r="BD830" i="2"/>
  <c r="BC830" i="2"/>
  <c r="AV830" i="2"/>
  <c r="AU830" i="2"/>
  <c r="AN830" i="2"/>
  <c r="I830" i="2"/>
  <c r="H830" i="2"/>
  <c r="U830" i="2" s="1"/>
  <c r="G830" i="2"/>
  <c r="F830" i="2"/>
  <c r="B830" i="2"/>
  <c r="A830" i="2"/>
  <c r="CB829" i="2"/>
  <c r="BZ829" i="2"/>
  <c r="BW829" i="2"/>
  <c r="BX829" i="2" s="1"/>
  <c r="BS829" i="2"/>
  <c r="BU829" i="2" s="1"/>
  <c r="BR829" i="2"/>
  <c r="BT829" i="2" s="1"/>
  <c r="BH829" i="2"/>
  <c r="BD829" i="2"/>
  <c r="BC829" i="2"/>
  <c r="AV829" i="2"/>
  <c r="AU829" i="2"/>
  <c r="AN829" i="2"/>
  <c r="I829" i="2"/>
  <c r="H829" i="2"/>
  <c r="G829" i="2"/>
  <c r="F829" i="2"/>
  <c r="B829" i="2"/>
  <c r="A829" i="2"/>
  <c r="CB828" i="2"/>
  <c r="BZ828" i="2"/>
  <c r="BW828" i="2"/>
  <c r="BX828" i="2" s="1"/>
  <c r="BS828" i="2"/>
  <c r="BU828" i="2" s="1"/>
  <c r="BR828" i="2"/>
  <c r="BT828" i="2" s="1"/>
  <c r="BH828" i="2"/>
  <c r="BD828" i="2"/>
  <c r="BC828" i="2"/>
  <c r="AV828" i="2"/>
  <c r="AU828" i="2"/>
  <c r="AN828" i="2"/>
  <c r="I828" i="2"/>
  <c r="H828" i="2"/>
  <c r="G828" i="2"/>
  <c r="F828" i="2"/>
  <c r="B828" i="2"/>
  <c r="A828" i="2"/>
  <c r="CB827" i="2"/>
  <c r="BZ827" i="2"/>
  <c r="BW827" i="2"/>
  <c r="BX827" i="2" s="1"/>
  <c r="BS827" i="2"/>
  <c r="BU827" i="2" s="1"/>
  <c r="BR827" i="2"/>
  <c r="BT827" i="2" s="1"/>
  <c r="BH827" i="2"/>
  <c r="BD827" i="2"/>
  <c r="BC827" i="2"/>
  <c r="AV827" i="2"/>
  <c r="AU827" i="2"/>
  <c r="AN827" i="2"/>
  <c r="I827" i="2"/>
  <c r="H827" i="2"/>
  <c r="G827" i="2"/>
  <c r="F827" i="2"/>
  <c r="B827" i="2"/>
  <c r="A827" i="2"/>
  <c r="CB826" i="2"/>
  <c r="BZ826" i="2"/>
  <c r="BW826" i="2"/>
  <c r="BX826" i="2" s="1"/>
  <c r="BS826" i="2"/>
  <c r="BU826" i="2" s="1"/>
  <c r="BR826" i="2"/>
  <c r="BT826" i="2" s="1"/>
  <c r="BH826" i="2"/>
  <c r="BD826" i="2"/>
  <c r="BC826" i="2"/>
  <c r="AV826" i="2"/>
  <c r="AU826" i="2"/>
  <c r="AN826" i="2"/>
  <c r="I826" i="2"/>
  <c r="H826" i="2"/>
  <c r="G826" i="2"/>
  <c r="F826" i="2"/>
  <c r="B826" i="2"/>
  <c r="A826" i="2"/>
  <c r="CB825" i="2"/>
  <c r="BZ825" i="2"/>
  <c r="BW825" i="2"/>
  <c r="BX825" i="2" s="1"/>
  <c r="BS825" i="2"/>
  <c r="BU825" i="2" s="1"/>
  <c r="BR825" i="2"/>
  <c r="BT825" i="2" s="1"/>
  <c r="BH825" i="2"/>
  <c r="BD825" i="2"/>
  <c r="BC825" i="2"/>
  <c r="AV825" i="2"/>
  <c r="AU825" i="2"/>
  <c r="AN825" i="2"/>
  <c r="I825" i="2"/>
  <c r="H825" i="2"/>
  <c r="G825" i="2"/>
  <c r="F825" i="2"/>
  <c r="B825" i="2"/>
  <c r="A825" i="2"/>
  <c r="CB824" i="2"/>
  <c r="BZ824" i="2"/>
  <c r="BW824" i="2"/>
  <c r="BX824" i="2" s="1"/>
  <c r="BS824" i="2"/>
  <c r="BU824" i="2" s="1"/>
  <c r="BR824" i="2"/>
  <c r="BT824" i="2" s="1"/>
  <c r="BH824" i="2"/>
  <c r="BD824" i="2"/>
  <c r="BC824" i="2"/>
  <c r="AV824" i="2"/>
  <c r="AU824" i="2"/>
  <c r="AN824" i="2"/>
  <c r="I824" i="2"/>
  <c r="H824" i="2"/>
  <c r="G824" i="2"/>
  <c r="F824" i="2"/>
  <c r="B824" i="2"/>
  <c r="A824" i="2"/>
  <c r="CB823" i="2"/>
  <c r="BZ823" i="2"/>
  <c r="BW823" i="2"/>
  <c r="BX823" i="2" s="1"/>
  <c r="BS823" i="2"/>
  <c r="BU823" i="2" s="1"/>
  <c r="BR823" i="2"/>
  <c r="BT823" i="2" s="1"/>
  <c r="BH823" i="2"/>
  <c r="BD823" i="2"/>
  <c r="BC823" i="2"/>
  <c r="AV823" i="2"/>
  <c r="AU823" i="2"/>
  <c r="AN823" i="2"/>
  <c r="I823" i="2"/>
  <c r="H823" i="2"/>
  <c r="AQ823" i="2" s="1"/>
  <c r="G823" i="2"/>
  <c r="F823" i="2"/>
  <c r="B823" i="2"/>
  <c r="A823" i="2"/>
  <c r="CB822" i="2"/>
  <c r="BZ822" i="2"/>
  <c r="BW822" i="2"/>
  <c r="BX822" i="2" s="1"/>
  <c r="BS822" i="2"/>
  <c r="BU822" i="2" s="1"/>
  <c r="BR822" i="2"/>
  <c r="BT822" i="2" s="1"/>
  <c r="BH822" i="2"/>
  <c r="BD822" i="2"/>
  <c r="BC822" i="2"/>
  <c r="AV822" i="2"/>
  <c r="AU822" i="2"/>
  <c r="AN822" i="2"/>
  <c r="I822" i="2"/>
  <c r="H822" i="2"/>
  <c r="G822" i="2"/>
  <c r="F822" i="2"/>
  <c r="B822" i="2"/>
  <c r="A822" i="2"/>
  <c r="CB821" i="2"/>
  <c r="BZ821" i="2"/>
  <c r="BW821" i="2"/>
  <c r="BX821" i="2" s="1"/>
  <c r="BS821" i="2"/>
  <c r="BU821" i="2" s="1"/>
  <c r="BR821" i="2"/>
  <c r="BT821" i="2" s="1"/>
  <c r="BH821" i="2"/>
  <c r="BD821" i="2"/>
  <c r="BC821" i="2"/>
  <c r="AV821" i="2"/>
  <c r="AU821" i="2"/>
  <c r="AQ821" i="2"/>
  <c r="AN821" i="2"/>
  <c r="I821" i="2"/>
  <c r="H821" i="2"/>
  <c r="G821" i="2"/>
  <c r="F821" i="2"/>
  <c r="B821" i="2"/>
  <c r="A821" i="2"/>
  <c r="CB820" i="2"/>
  <c r="BZ820" i="2"/>
  <c r="BW820" i="2"/>
  <c r="BS820" i="2"/>
  <c r="BU820" i="2" s="1"/>
  <c r="BR820" i="2"/>
  <c r="BT820" i="2" s="1"/>
  <c r="BH820" i="2"/>
  <c r="BD820" i="2"/>
  <c r="BC820" i="2"/>
  <c r="AV820" i="2"/>
  <c r="AU820" i="2"/>
  <c r="AN820" i="2"/>
  <c r="I820" i="2"/>
  <c r="H820" i="2"/>
  <c r="AQ820" i="2" s="1"/>
  <c r="G820" i="2"/>
  <c r="F820" i="2"/>
  <c r="B820" i="2"/>
  <c r="A820" i="2"/>
  <c r="CB819" i="2"/>
  <c r="CA819" i="2"/>
  <c r="BZ819" i="2"/>
  <c r="BW819" i="2"/>
  <c r="BX819" i="2" s="1"/>
  <c r="BS819" i="2"/>
  <c r="BU819" i="2" s="1"/>
  <c r="BR819" i="2"/>
  <c r="BT819" i="2" s="1"/>
  <c r="BH819" i="2"/>
  <c r="BD819" i="2"/>
  <c r="BC819" i="2"/>
  <c r="AV819" i="2"/>
  <c r="AU819" i="2"/>
  <c r="AN819" i="2"/>
  <c r="I819" i="2"/>
  <c r="H819" i="2"/>
  <c r="AQ819" i="2" s="1"/>
  <c r="G819" i="2"/>
  <c r="F819" i="2"/>
  <c r="B819" i="2"/>
  <c r="A819" i="2"/>
  <c r="CB818" i="2"/>
  <c r="CA818" i="2"/>
  <c r="BZ818" i="2"/>
  <c r="BW818" i="2"/>
  <c r="BX818" i="2" s="1"/>
  <c r="BS818" i="2"/>
  <c r="BU818" i="2" s="1"/>
  <c r="BR818" i="2"/>
  <c r="BT818" i="2" s="1"/>
  <c r="BH818" i="2"/>
  <c r="BD818" i="2"/>
  <c r="BC818" i="2"/>
  <c r="AV818" i="2"/>
  <c r="AU818" i="2"/>
  <c r="AN818" i="2"/>
  <c r="I818" i="2"/>
  <c r="H818" i="2"/>
  <c r="G818" i="2"/>
  <c r="F818" i="2"/>
  <c r="B818" i="2"/>
  <c r="A818" i="2"/>
  <c r="CB817" i="2"/>
  <c r="BZ817" i="2"/>
  <c r="BW817" i="2"/>
  <c r="BX817" i="2" s="1"/>
  <c r="BS817" i="2"/>
  <c r="BU817" i="2" s="1"/>
  <c r="BR817" i="2"/>
  <c r="BT817" i="2" s="1"/>
  <c r="BH817" i="2"/>
  <c r="BD817" i="2"/>
  <c r="BC817" i="2"/>
  <c r="AV817" i="2"/>
  <c r="AY817" i="2" s="1"/>
  <c r="AU817" i="2"/>
  <c r="AN817" i="2"/>
  <c r="I817" i="2"/>
  <c r="H817" i="2"/>
  <c r="G817" i="2"/>
  <c r="F817" i="2"/>
  <c r="B817" i="2"/>
  <c r="A817" i="2"/>
  <c r="CB816" i="2"/>
  <c r="CA816" i="2"/>
  <c r="BZ816" i="2"/>
  <c r="BW816" i="2"/>
  <c r="BX816" i="2" s="1"/>
  <c r="BS816" i="2"/>
  <c r="BU816" i="2" s="1"/>
  <c r="BR816" i="2"/>
  <c r="BT816" i="2" s="1"/>
  <c r="BH816" i="2"/>
  <c r="BD816" i="2"/>
  <c r="BC816" i="2"/>
  <c r="AV816" i="2"/>
  <c r="AU816" i="2"/>
  <c r="AN816" i="2"/>
  <c r="I816" i="2"/>
  <c r="H816" i="2"/>
  <c r="AQ816" i="2" s="1"/>
  <c r="G816" i="2"/>
  <c r="F816" i="2"/>
  <c r="B816" i="2"/>
  <c r="A816" i="2"/>
  <c r="CB815" i="2"/>
  <c r="BZ815" i="2"/>
  <c r="BW815" i="2"/>
  <c r="BX815" i="2" s="1"/>
  <c r="BS815" i="2"/>
  <c r="BU815" i="2" s="1"/>
  <c r="BR815" i="2"/>
  <c r="BT815" i="2" s="1"/>
  <c r="BH815" i="2"/>
  <c r="BD815" i="2"/>
  <c r="BC815" i="2"/>
  <c r="AV815" i="2"/>
  <c r="AU815" i="2"/>
  <c r="AN815" i="2"/>
  <c r="I815" i="2"/>
  <c r="H815" i="2"/>
  <c r="T815" i="2" s="1"/>
  <c r="G815" i="2"/>
  <c r="F815" i="2"/>
  <c r="B815" i="2"/>
  <c r="A815" i="2"/>
  <c r="CB814" i="2"/>
  <c r="CA814" i="2"/>
  <c r="BZ814" i="2"/>
  <c r="BW814" i="2"/>
  <c r="BX814" i="2" s="1"/>
  <c r="BS814" i="2"/>
  <c r="BU814" i="2" s="1"/>
  <c r="BR814" i="2"/>
  <c r="BT814" i="2" s="1"/>
  <c r="BH814" i="2"/>
  <c r="BD814" i="2"/>
  <c r="BC814" i="2"/>
  <c r="AW814" i="2"/>
  <c r="AX814" i="2" s="1"/>
  <c r="AV814" i="2"/>
  <c r="AU814" i="2"/>
  <c r="AN814" i="2"/>
  <c r="I814" i="2"/>
  <c r="H814" i="2"/>
  <c r="G814" i="2"/>
  <c r="F814" i="2"/>
  <c r="B814" i="2"/>
  <c r="A814" i="2"/>
  <c r="CB813" i="2"/>
  <c r="CA813" i="2"/>
  <c r="BZ813" i="2"/>
  <c r="BW813" i="2"/>
  <c r="BX813" i="2" s="1"/>
  <c r="BS813" i="2"/>
  <c r="BU813" i="2" s="1"/>
  <c r="BR813" i="2"/>
  <c r="BT813" i="2" s="1"/>
  <c r="BH813" i="2"/>
  <c r="BD813" i="2"/>
  <c r="BC813" i="2"/>
  <c r="AV813" i="2"/>
  <c r="AU813" i="2"/>
  <c r="AN813" i="2"/>
  <c r="I813" i="2"/>
  <c r="H813" i="2"/>
  <c r="T813" i="2" s="1"/>
  <c r="G813" i="2"/>
  <c r="F813" i="2"/>
  <c r="B813" i="2"/>
  <c r="A813" i="2"/>
  <c r="CB812" i="2"/>
  <c r="BZ812" i="2"/>
  <c r="BW812" i="2"/>
  <c r="BX812" i="2" s="1"/>
  <c r="BS812" i="2"/>
  <c r="BU812" i="2" s="1"/>
  <c r="BR812" i="2"/>
  <c r="BT812" i="2" s="1"/>
  <c r="BH812" i="2"/>
  <c r="BD812" i="2"/>
  <c r="BC812" i="2"/>
  <c r="AV812" i="2"/>
  <c r="AU812" i="2"/>
  <c r="AN812" i="2"/>
  <c r="I812" i="2"/>
  <c r="H812" i="2"/>
  <c r="G812" i="2"/>
  <c r="F812" i="2"/>
  <c r="B812" i="2"/>
  <c r="A812" i="2"/>
  <c r="CB811" i="2"/>
  <c r="BZ811" i="2"/>
  <c r="BW811" i="2"/>
  <c r="BX811" i="2" s="1"/>
  <c r="BS811" i="2"/>
  <c r="BU811" i="2" s="1"/>
  <c r="BR811" i="2"/>
  <c r="BT811" i="2" s="1"/>
  <c r="BP811" i="2"/>
  <c r="BQ811" i="2" s="1"/>
  <c r="BY811" i="2" s="1"/>
  <c r="BN811" i="2"/>
  <c r="BO811" i="2" s="1"/>
  <c r="BH811" i="2"/>
  <c r="BC811" i="2"/>
  <c r="AV811" i="2"/>
  <c r="AU811" i="2"/>
  <c r="AR811" i="2"/>
  <c r="AO811" i="2"/>
  <c r="AN811" i="2"/>
  <c r="I811" i="2"/>
  <c r="H811" i="2"/>
  <c r="G811" i="2"/>
  <c r="BD811" i="2" s="1"/>
  <c r="F811" i="2"/>
  <c r="B811" i="2"/>
  <c r="A811" i="2"/>
  <c r="CB810" i="2"/>
  <c r="BZ810" i="2"/>
  <c r="BW810" i="2"/>
  <c r="BX810" i="2" s="1"/>
  <c r="BS810" i="2"/>
  <c r="BU810" i="2" s="1"/>
  <c r="BR810" i="2"/>
  <c r="BT810" i="2" s="1"/>
  <c r="BH810" i="2"/>
  <c r="BD810" i="2"/>
  <c r="BC810" i="2"/>
  <c r="AV810" i="2"/>
  <c r="AU810" i="2"/>
  <c r="AQ810" i="2"/>
  <c r="AN810" i="2"/>
  <c r="I810" i="2"/>
  <c r="H810" i="2"/>
  <c r="T810" i="2" s="1"/>
  <c r="G810" i="2"/>
  <c r="F810" i="2"/>
  <c r="B810" i="2"/>
  <c r="A810" i="2"/>
  <c r="CB809" i="2"/>
  <c r="BZ809" i="2"/>
  <c r="BW809" i="2"/>
  <c r="BX809" i="2" s="1"/>
  <c r="BS809" i="2"/>
  <c r="BU809" i="2" s="1"/>
  <c r="BR809" i="2"/>
  <c r="BT809" i="2" s="1"/>
  <c r="BH809" i="2"/>
  <c r="BD809" i="2"/>
  <c r="BC809" i="2"/>
  <c r="AV809" i="2"/>
  <c r="AU809" i="2"/>
  <c r="AN809" i="2"/>
  <c r="I809" i="2"/>
  <c r="H809" i="2"/>
  <c r="AQ809" i="2" s="1"/>
  <c r="G809" i="2"/>
  <c r="F809" i="2"/>
  <c r="B809" i="2"/>
  <c r="A809" i="2"/>
  <c r="CB808" i="2"/>
  <c r="BZ808" i="2"/>
  <c r="BW808" i="2"/>
  <c r="BX808" i="2" s="1"/>
  <c r="BS808" i="2"/>
  <c r="BU808" i="2" s="1"/>
  <c r="BR808" i="2"/>
  <c r="BT808" i="2" s="1"/>
  <c r="BH808" i="2"/>
  <c r="BC808" i="2"/>
  <c r="AV808" i="2"/>
  <c r="AU808" i="2"/>
  <c r="AN808" i="2"/>
  <c r="I808" i="2"/>
  <c r="H808" i="2"/>
  <c r="T808" i="2" s="1"/>
  <c r="G808" i="2"/>
  <c r="BD808" i="2" s="1"/>
  <c r="F808" i="2"/>
  <c r="B808" i="2"/>
  <c r="A808" i="2"/>
  <c r="CB807" i="2"/>
  <c r="BZ807" i="2"/>
  <c r="BW807" i="2"/>
  <c r="BX807" i="2" s="1"/>
  <c r="BS807" i="2"/>
  <c r="BU807" i="2" s="1"/>
  <c r="BR807" i="2"/>
  <c r="BT807" i="2" s="1"/>
  <c r="BH807" i="2"/>
  <c r="BD807" i="2"/>
  <c r="BC807" i="2"/>
  <c r="AV807" i="2"/>
  <c r="AU807" i="2"/>
  <c r="AN807" i="2"/>
  <c r="I807" i="2"/>
  <c r="H807" i="2"/>
  <c r="G807" i="2"/>
  <c r="F807" i="2"/>
  <c r="AS807" i="2" s="1"/>
  <c r="B807" i="2"/>
  <c r="A807" i="2"/>
  <c r="CB806" i="2"/>
  <c r="BZ806" i="2"/>
  <c r="BW806" i="2"/>
  <c r="BX806" i="2" s="1"/>
  <c r="BS806" i="2"/>
  <c r="BU806" i="2" s="1"/>
  <c r="BR806" i="2"/>
  <c r="BT806" i="2" s="1"/>
  <c r="BP806" i="2"/>
  <c r="BQ806" i="2" s="1"/>
  <c r="BY806" i="2" s="1"/>
  <c r="BN806" i="2"/>
  <c r="BO806" i="2" s="1"/>
  <c r="BH806" i="2"/>
  <c r="BC806" i="2"/>
  <c r="AV806" i="2"/>
  <c r="AU806" i="2"/>
  <c r="AR806" i="2"/>
  <c r="AO806" i="2"/>
  <c r="AN806" i="2"/>
  <c r="I806" i="2"/>
  <c r="H806" i="2"/>
  <c r="T806" i="2" s="1"/>
  <c r="G806" i="2"/>
  <c r="BD806" i="2" s="1"/>
  <c r="F806" i="2"/>
  <c r="B806" i="2"/>
  <c r="A806" i="2"/>
  <c r="CB805" i="2"/>
  <c r="BZ805" i="2"/>
  <c r="BW805" i="2"/>
  <c r="BX805" i="2" s="1"/>
  <c r="BS805" i="2"/>
  <c r="BU805" i="2" s="1"/>
  <c r="BR805" i="2"/>
  <c r="BT805" i="2" s="1"/>
  <c r="BH805" i="2"/>
  <c r="BD805" i="2"/>
  <c r="BC805" i="2"/>
  <c r="AV805" i="2"/>
  <c r="AU805" i="2"/>
  <c r="AN805" i="2"/>
  <c r="I805" i="2"/>
  <c r="H805" i="2"/>
  <c r="AQ805" i="2" s="1"/>
  <c r="G805" i="2"/>
  <c r="F805" i="2"/>
  <c r="B805" i="2"/>
  <c r="A805" i="2"/>
  <c r="CB804" i="2"/>
  <c r="BZ804" i="2"/>
  <c r="BW804" i="2"/>
  <c r="BX804" i="2" s="1"/>
  <c r="BS804" i="2"/>
  <c r="BU804" i="2" s="1"/>
  <c r="BR804" i="2"/>
  <c r="BT804" i="2" s="1"/>
  <c r="BH804" i="2"/>
  <c r="BD804" i="2"/>
  <c r="BC804" i="2"/>
  <c r="AV804" i="2"/>
  <c r="AU804" i="2"/>
  <c r="AN804" i="2"/>
  <c r="I804" i="2"/>
  <c r="H804" i="2"/>
  <c r="G804" i="2"/>
  <c r="F804" i="2"/>
  <c r="B804" i="2"/>
  <c r="A804" i="2"/>
  <c r="CB803" i="2"/>
  <c r="BZ803" i="2"/>
  <c r="BW803" i="2"/>
  <c r="BX803" i="2" s="1"/>
  <c r="BS803" i="2"/>
  <c r="BU803" i="2" s="1"/>
  <c r="BR803" i="2"/>
  <c r="BT803" i="2" s="1"/>
  <c r="BH803" i="2"/>
  <c r="BD803" i="2"/>
  <c r="BC803" i="2"/>
  <c r="AV803" i="2"/>
  <c r="AU803" i="2"/>
  <c r="AN803" i="2"/>
  <c r="I803" i="2"/>
  <c r="H803" i="2"/>
  <c r="AQ803" i="2" s="1"/>
  <c r="G803" i="2"/>
  <c r="F803" i="2"/>
  <c r="B803" i="2"/>
  <c r="A803" i="2"/>
  <c r="CB802" i="2"/>
  <c r="BZ802" i="2"/>
  <c r="BW802" i="2"/>
  <c r="BX802" i="2" s="1"/>
  <c r="BS802" i="2"/>
  <c r="BU802" i="2" s="1"/>
  <c r="BR802" i="2"/>
  <c r="BT802" i="2" s="1"/>
  <c r="BH802" i="2"/>
  <c r="BD802" i="2"/>
  <c r="BC802" i="2"/>
  <c r="AV802" i="2"/>
  <c r="AU802" i="2"/>
  <c r="AN802" i="2"/>
  <c r="I802" i="2"/>
  <c r="H802" i="2"/>
  <c r="AQ802" i="2" s="1"/>
  <c r="G802" i="2"/>
  <c r="F802" i="2"/>
  <c r="B802" i="2"/>
  <c r="A802" i="2"/>
  <c r="CB801" i="2"/>
  <c r="BZ801" i="2"/>
  <c r="BW801" i="2"/>
  <c r="BX801" i="2" s="1"/>
  <c r="BS801" i="2"/>
  <c r="BU801" i="2" s="1"/>
  <c r="BR801" i="2"/>
  <c r="BT801" i="2" s="1"/>
  <c r="BH801" i="2"/>
  <c r="BD801" i="2"/>
  <c r="BC801" i="2"/>
  <c r="AV801" i="2"/>
  <c r="AU801" i="2"/>
  <c r="AN801" i="2"/>
  <c r="I801" i="2"/>
  <c r="H801" i="2"/>
  <c r="T801" i="2" s="1"/>
  <c r="G801" i="2"/>
  <c r="F801" i="2"/>
  <c r="B801" i="2"/>
  <c r="A801" i="2"/>
  <c r="CB800" i="2"/>
  <c r="BZ800" i="2"/>
  <c r="BW800" i="2"/>
  <c r="BX800" i="2" s="1"/>
  <c r="BS800" i="2"/>
  <c r="BU800" i="2" s="1"/>
  <c r="BR800" i="2"/>
  <c r="BT800" i="2" s="1"/>
  <c r="BH800" i="2"/>
  <c r="BD800" i="2"/>
  <c r="BC800" i="2"/>
  <c r="AV800" i="2"/>
  <c r="AU800" i="2"/>
  <c r="AN800" i="2"/>
  <c r="I800" i="2"/>
  <c r="H800" i="2"/>
  <c r="AO527" i="2" s="1"/>
  <c r="G800" i="2"/>
  <c r="F800" i="2"/>
  <c r="B800" i="2"/>
  <c r="A800" i="2"/>
  <c r="CB799" i="2"/>
  <c r="BZ799" i="2"/>
  <c r="BW799" i="2"/>
  <c r="BX799" i="2" s="1"/>
  <c r="BS799" i="2"/>
  <c r="BU799" i="2" s="1"/>
  <c r="BR799" i="2"/>
  <c r="BT799" i="2" s="1"/>
  <c r="BH799" i="2"/>
  <c r="BD799" i="2"/>
  <c r="BC799" i="2"/>
  <c r="AV799" i="2"/>
  <c r="AU799" i="2"/>
  <c r="AN799" i="2"/>
  <c r="I799" i="2"/>
  <c r="H799" i="2"/>
  <c r="G799" i="2"/>
  <c r="F799" i="2"/>
  <c r="B799" i="2"/>
  <c r="A799" i="2"/>
  <c r="CB798" i="2"/>
  <c r="BZ798" i="2"/>
  <c r="BW798" i="2"/>
  <c r="BX798" i="2" s="1"/>
  <c r="BS798" i="2"/>
  <c r="BU798" i="2" s="1"/>
  <c r="BR798" i="2"/>
  <c r="BT798" i="2" s="1"/>
  <c r="BH798" i="2"/>
  <c r="BD798" i="2"/>
  <c r="BC798" i="2"/>
  <c r="AV798" i="2"/>
  <c r="AU798" i="2"/>
  <c r="AN798" i="2"/>
  <c r="I798" i="2"/>
  <c r="H798" i="2"/>
  <c r="T798" i="2" s="1"/>
  <c r="G798" i="2"/>
  <c r="F798" i="2"/>
  <c r="B798" i="2"/>
  <c r="A798" i="2"/>
  <c r="CB797" i="2"/>
  <c r="BZ797" i="2"/>
  <c r="BW797" i="2"/>
  <c r="BX797" i="2" s="1"/>
  <c r="BS797" i="2"/>
  <c r="BU797" i="2" s="1"/>
  <c r="BR797" i="2"/>
  <c r="BT797" i="2" s="1"/>
  <c r="BH797" i="2"/>
  <c r="BD797" i="2"/>
  <c r="BC797" i="2"/>
  <c r="AV797" i="2"/>
  <c r="AU797" i="2"/>
  <c r="AQ797" i="2"/>
  <c r="AN797" i="2"/>
  <c r="I797" i="2"/>
  <c r="H797" i="2"/>
  <c r="T797" i="2" s="1"/>
  <c r="G797" i="2"/>
  <c r="F797" i="2"/>
  <c r="B797" i="2"/>
  <c r="A797" i="2"/>
  <c r="CB796" i="2"/>
  <c r="BZ796" i="2"/>
  <c r="BW796" i="2"/>
  <c r="BX796" i="2" s="1"/>
  <c r="BS796" i="2"/>
  <c r="BU796" i="2" s="1"/>
  <c r="BR796" i="2"/>
  <c r="BT796" i="2" s="1"/>
  <c r="BH796" i="2"/>
  <c r="BD796" i="2"/>
  <c r="BC796" i="2"/>
  <c r="AV796" i="2"/>
  <c r="AU796" i="2"/>
  <c r="AN796" i="2"/>
  <c r="I796" i="2"/>
  <c r="H796" i="2"/>
  <c r="T796" i="2" s="1"/>
  <c r="G796" i="2"/>
  <c r="F796" i="2"/>
  <c r="B796" i="2"/>
  <c r="A796" i="2"/>
  <c r="CB795" i="2"/>
  <c r="BZ795" i="2"/>
  <c r="BW795" i="2"/>
  <c r="BX795" i="2" s="1"/>
  <c r="BS795" i="2"/>
  <c r="BU795" i="2" s="1"/>
  <c r="BR795" i="2"/>
  <c r="BT795" i="2" s="1"/>
  <c r="BH795" i="2"/>
  <c r="BD795" i="2"/>
  <c r="BC795" i="2"/>
  <c r="AV795" i="2"/>
  <c r="AU795" i="2"/>
  <c r="AN795" i="2"/>
  <c r="I795" i="2"/>
  <c r="H795" i="2"/>
  <c r="AQ795" i="2" s="1"/>
  <c r="G795" i="2"/>
  <c r="F795" i="2"/>
  <c r="B795" i="2"/>
  <c r="A795" i="2"/>
  <c r="CB794" i="2"/>
  <c r="BZ794" i="2"/>
  <c r="BW794" i="2"/>
  <c r="BX794" i="2" s="1"/>
  <c r="BS794" i="2"/>
  <c r="BU794" i="2" s="1"/>
  <c r="BR794" i="2"/>
  <c r="BT794" i="2" s="1"/>
  <c r="BH794" i="2"/>
  <c r="BD794" i="2"/>
  <c r="BC794" i="2"/>
  <c r="AV794" i="2"/>
  <c r="AU794" i="2"/>
  <c r="AN794" i="2"/>
  <c r="I794" i="2"/>
  <c r="H794" i="2"/>
  <c r="G794" i="2"/>
  <c r="F794" i="2"/>
  <c r="B794" i="2"/>
  <c r="A794" i="2"/>
  <c r="CB793" i="2"/>
  <c r="BZ793" i="2"/>
  <c r="BW793" i="2"/>
  <c r="BX793" i="2" s="1"/>
  <c r="BS793" i="2"/>
  <c r="BU793" i="2" s="1"/>
  <c r="BR793" i="2"/>
  <c r="BT793" i="2" s="1"/>
  <c r="BH793" i="2"/>
  <c r="BD793" i="2"/>
  <c r="BC793" i="2"/>
  <c r="AV793" i="2"/>
  <c r="AU793" i="2"/>
  <c r="AN793" i="2"/>
  <c r="I793" i="2"/>
  <c r="H793" i="2"/>
  <c r="AQ793" i="2" s="1"/>
  <c r="G793" i="2"/>
  <c r="F793" i="2"/>
  <c r="B793" i="2"/>
  <c r="A793" i="2"/>
  <c r="CB792" i="2"/>
  <c r="BZ792" i="2"/>
  <c r="BW792" i="2"/>
  <c r="BX792" i="2" s="1"/>
  <c r="BS792" i="2"/>
  <c r="BU792" i="2" s="1"/>
  <c r="BR792" i="2"/>
  <c r="BT792" i="2" s="1"/>
  <c r="BH792" i="2"/>
  <c r="BD792" i="2"/>
  <c r="BC792" i="2"/>
  <c r="AV792" i="2"/>
  <c r="AU792" i="2"/>
  <c r="AN792" i="2"/>
  <c r="I792" i="2"/>
  <c r="H792" i="2"/>
  <c r="AQ792" i="2" s="1"/>
  <c r="G792" i="2"/>
  <c r="F792" i="2"/>
  <c r="B792" i="2"/>
  <c r="A792" i="2"/>
  <c r="CB791" i="2"/>
  <c r="BZ791" i="2"/>
  <c r="BW791" i="2"/>
  <c r="BX791" i="2" s="1"/>
  <c r="BS791" i="2"/>
  <c r="BU791" i="2" s="1"/>
  <c r="BR791" i="2"/>
  <c r="BT791" i="2" s="1"/>
  <c r="BH791" i="2"/>
  <c r="BD791" i="2"/>
  <c r="BC791" i="2"/>
  <c r="AV791" i="2"/>
  <c r="AU791" i="2"/>
  <c r="AN791" i="2"/>
  <c r="I791" i="2"/>
  <c r="H791" i="2"/>
  <c r="T791" i="2" s="1"/>
  <c r="G791" i="2"/>
  <c r="F791" i="2"/>
  <c r="B791" i="2"/>
  <c r="A791" i="2"/>
  <c r="CB790" i="2"/>
  <c r="BZ790" i="2"/>
  <c r="BW790" i="2"/>
  <c r="BX790" i="2" s="1"/>
  <c r="BS790" i="2"/>
  <c r="BU790" i="2" s="1"/>
  <c r="BR790" i="2"/>
  <c r="BT790" i="2" s="1"/>
  <c r="BH790" i="2"/>
  <c r="BD790" i="2"/>
  <c r="BC790" i="2"/>
  <c r="AV790" i="2"/>
  <c r="AY790" i="2" s="1"/>
  <c r="AW892" i="2" s="1"/>
  <c r="AX892" i="2" s="1"/>
  <c r="AU790" i="2"/>
  <c r="AN790" i="2"/>
  <c r="I790" i="2"/>
  <c r="H790" i="2"/>
  <c r="AQ790" i="2" s="1"/>
  <c r="G790" i="2"/>
  <c r="F790" i="2"/>
  <c r="B790" i="2"/>
  <c r="A790" i="2"/>
  <c r="CB789" i="2"/>
  <c r="BZ789" i="2"/>
  <c r="BW789" i="2"/>
  <c r="BX789" i="2" s="1"/>
  <c r="BS789" i="2"/>
  <c r="BU789" i="2" s="1"/>
  <c r="BR789" i="2"/>
  <c r="BT789" i="2" s="1"/>
  <c r="BH789" i="2"/>
  <c r="BD789" i="2"/>
  <c r="BC789" i="2"/>
  <c r="AV789" i="2"/>
  <c r="AU789" i="2"/>
  <c r="AN789" i="2"/>
  <c r="I789" i="2"/>
  <c r="H789" i="2"/>
  <c r="AQ789" i="2" s="1"/>
  <c r="G789" i="2"/>
  <c r="F789" i="2"/>
  <c r="B789" i="2"/>
  <c r="A789" i="2"/>
  <c r="CB788" i="2"/>
  <c r="BZ788" i="2"/>
  <c r="BW788" i="2"/>
  <c r="BX788" i="2" s="1"/>
  <c r="BS788" i="2"/>
  <c r="BU788" i="2" s="1"/>
  <c r="BR788" i="2"/>
  <c r="BT788" i="2" s="1"/>
  <c r="BH788" i="2"/>
  <c r="BD788" i="2"/>
  <c r="BC788" i="2"/>
  <c r="AV788" i="2"/>
  <c r="AU788" i="2"/>
  <c r="AN788" i="2"/>
  <c r="I788" i="2"/>
  <c r="H788" i="2"/>
  <c r="G788" i="2"/>
  <c r="F788" i="2"/>
  <c r="B788" i="2"/>
  <c r="A788" i="2"/>
  <c r="CB787" i="2"/>
  <c r="BZ787" i="2"/>
  <c r="BW787" i="2"/>
  <c r="BX787" i="2" s="1"/>
  <c r="BS787" i="2"/>
  <c r="BU787" i="2" s="1"/>
  <c r="BR787" i="2"/>
  <c r="BT787" i="2" s="1"/>
  <c r="BH787" i="2"/>
  <c r="BD787" i="2"/>
  <c r="BC787" i="2"/>
  <c r="AV787" i="2"/>
  <c r="AU787" i="2"/>
  <c r="AN787" i="2"/>
  <c r="I787" i="2"/>
  <c r="H787" i="2"/>
  <c r="T787" i="2" s="1"/>
  <c r="G787" i="2"/>
  <c r="F787" i="2"/>
  <c r="B787" i="2"/>
  <c r="A787" i="2"/>
  <c r="CB786" i="2"/>
  <c r="BZ786" i="2"/>
  <c r="BW786" i="2"/>
  <c r="BX786" i="2" s="1"/>
  <c r="BS786" i="2"/>
  <c r="BU786" i="2" s="1"/>
  <c r="BR786" i="2"/>
  <c r="BT786" i="2" s="1"/>
  <c r="BH786" i="2"/>
  <c r="BD786" i="2"/>
  <c r="BC786" i="2"/>
  <c r="AV786" i="2"/>
  <c r="AU786" i="2"/>
  <c r="AN786" i="2"/>
  <c r="I786" i="2"/>
  <c r="H786" i="2"/>
  <c r="T786" i="2" s="1"/>
  <c r="G786" i="2"/>
  <c r="F786" i="2"/>
  <c r="AS786" i="2" s="1"/>
  <c r="AT786" i="2" s="1"/>
  <c r="B786" i="2"/>
  <c r="A786" i="2"/>
  <c r="CB785" i="2"/>
  <c r="BZ785" i="2"/>
  <c r="BW785" i="2"/>
  <c r="BX785" i="2" s="1"/>
  <c r="BS785" i="2"/>
  <c r="BU785" i="2" s="1"/>
  <c r="BR785" i="2"/>
  <c r="BT785" i="2" s="1"/>
  <c r="BH785" i="2"/>
  <c r="BD785" i="2"/>
  <c r="BC785" i="2"/>
  <c r="AV785" i="2"/>
  <c r="AU785" i="2"/>
  <c r="AN785" i="2"/>
  <c r="I785" i="2"/>
  <c r="H785" i="2"/>
  <c r="AQ785" i="2" s="1"/>
  <c r="G785" i="2"/>
  <c r="F785" i="2"/>
  <c r="B785" i="2"/>
  <c r="A785" i="2"/>
  <c r="CB784" i="2"/>
  <c r="BZ784" i="2"/>
  <c r="BW784" i="2"/>
  <c r="BX784" i="2" s="1"/>
  <c r="BS784" i="2"/>
  <c r="BU784" i="2" s="1"/>
  <c r="BR784" i="2"/>
  <c r="BT784" i="2" s="1"/>
  <c r="BH784" i="2"/>
  <c r="BD784" i="2"/>
  <c r="BC784" i="2"/>
  <c r="AV784" i="2"/>
  <c r="AU784" i="2"/>
  <c r="AQ784" i="2"/>
  <c r="AN784" i="2"/>
  <c r="I784" i="2"/>
  <c r="H784" i="2"/>
  <c r="T784" i="2" s="1"/>
  <c r="G784" i="2"/>
  <c r="F784" i="2"/>
  <c r="AS784" i="2" s="1"/>
  <c r="B784" i="2"/>
  <c r="A784" i="2"/>
  <c r="CB783" i="2"/>
  <c r="BZ783" i="2"/>
  <c r="BW783" i="2"/>
  <c r="BX783" i="2" s="1"/>
  <c r="BT783" i="2"/>
  <c r="BS783" i="2"/>
  <c r="BU783" i="2" s="1"/>
  <c r="BR783" i="2"/>
  <c r="BH783" i="2"/>
  <c r="BD783" i="2"/>
  <c r="BC783" i="2"/>
  <c r="AV783" i="2"/>
  <c r="AU783" i="2"/>
  <c r="AN783" i="2"/>
  <c r="I783" i="2"/>
  <c r="H783" i="2"/>
  <c r="G783" i="2"/>
  <c r="F783" i="2"/>
  <c r="B783" i="2"/>
  <c r="A783" i="2"/>
  <c r="CB782" i="2"/>
  <c r="BZ782" i="2"/>
  <c r="BW782" i="2"/>
  <c r="BX782" i="2" s="1"/>
  <c r="BS782" i="2"/>
  <c r="BU782" i="2" s="1"/>
  <c r="BR782" i="2"/>
  <c r="BT782" i="2" s="1"/>
  <c r="BH782" i="2"/>
  <c r="BD782" i="2"/>
  <c r="BC782" i="2"/>
  <c r="AV782" i="2"/>
  <c r="AU782" i="2"/>
  <c r="AN782" i="2"/>
  <c r="I782" i="2"/>
  <c r="H782" i="2"/>
  <c r="AO207" i="2" s="1"/>
  <c r="G782" i="2"/>
  <c r="F782" i="2"/>
  <c r="B782" i="2"/>
  <c r="A782" i="2"/>
  <c r="CB781" i="2"/>
  <c r="BZ781" i="2"/>
  <c r="BW781" i="2"/>
  <c r="BX781" i="2" s="1"/>
  <c r="BS781" i="2"/>
  <c r="BU781" i="2" s="1"/>
  <c r="BR781" i="2"/>
  <c r="BT781" i="2" s="1"/>
  <c r="BH781" i="2"/>
  <c r="BD781" i="2"/>
  <c r="BC781" i="2"/>
  <c r="AV781" i="2"/>
  <c r="AU781" i="2"/>
  <c r="AN781" i="2"/>
  <c r="I781" i="2"/>
  <c r="H781" i="2"/>
  <c r="T781" i="2" s="1"/>
  <c r="G781" i="2"/>
  <c r="F781" i="2"/>
  <c r="B781" i="2"/>
  <c r="A781" i="2"/>
  <c r="CB780" i="2"/>
  <c r="BZ780" i="2"/>
  <c r="BX780" i="2"/>
  <c r="BW780" i="2"/>
  <c r="BS780" i="2"/>
  <c r="BU780" i="2" s="1"/>
  <c r="BR780" i="2"/>
  <c r="BT780" i="2" s="1"/>
  <c r="BH780" i="2"/>
  <c r="BD780" i="2"/>
  <c r="BC780" i="2"/>
  <c r="AV780" i="2"/>
  <c r="AU780" i="2"/>
  <c r="AN780" i="2"/>
  <c r="I780" i="2"/>
  <c r="H780" i="2"/>
  <c r="AQ780" i="2" s="1"/>
  <c r="G780" i="2"/>
  <c r="F780" i="2"/>
  <c r="B780" i="2"/>
  <c r="A780" i="2"/>
  <c r="CB779" i="2"/>
  <c r="BZ779" i="2"/>
  <c r="BW779" i="2"/>
  <c r="BX779" i="2" s="1"/>
  <c r="BS779" i="2"/>
  <c r="BU779" i="2" s="1"/>
  <c r="BR779" i="2"/>
  <c r="BT779" i="2" s="1"/>
  <c r="BH779" i="2"/>
  <c r="BD779" i="2"/>
  <c r="BC779" i="2"/>
  <c r="AV779" i="2"/>
  <c r="AU779" i="2"/>
  <c r="AN779" i="2"/>
  <c r="I779" i="2"/>
  <c r="H779" i="2"/>
  <c r="G779" i="2"/>
  <c r="F779" i="2"/>
  <c r="B779" i="2"/>
  <c r="A779" i="2"/>
  <c r="CB778" i="2"/>
  <c r="BZ778" i="2"/>
  <c r="BW778" i="2"/>
  <c r="BX778" i="2" s="1"/>
  <c r="BS778" i="2"/>
  <c r="BU778" i="2" s="1"/>
  <c r="BR778" i="2"/>
  <c r="BT778" i="2" s="1"/>
  <c r="BH778" i="2"/>
  <c r="BD778" i="2"/>
  <c r="BC778" i="2"/>
  <c r="AV778" i="2"/>
  <c r="AU778" i="2"/>
  <c r="AN778" i="2"/>
  <c r="I778" i="2"/>
  <c r="H778" i="2"/>
  <c r="G778" i="2"/>
  <c r="AS778" i="2" s="1"/>
  <c r="F778" i="2"/>
  <c r="B778" i="2"/>
  <c r="A778" i="2"/>
  <c r="CB777" i="2"/>
  <c r="BZ777" i="2"/>
  <c r="BW777" i="2"/>
  <c r="BX777" i="2" s="1"/>
  <c r="BS777" i="2"/>
  <c r="BU777" i="2" s="1"/>
  <c r="BR777" i="2"/>
  <c r="BT777" i="2" s="1"/>
  <c r="BH777" i="2"/>
  <c r="BD777" i="2"/>
  <c r="BC777" i="2"/>
  <c r="AV777" i="2"/>
  <c r="AU777" i="2"/>
  <c r="AN777" i="2"/>
  <c r="I777" i="2"/>
  <c r="H777" i="2"/>
  <c r="AQ777" i="2" s="1"/>
  <c r="G777" i="2"/>
  <c r="F777" i="2"/>
  <c r="B777" i="2"/>
  <c r="A777" i="2"/>
  <c r="CB776" i="2"/>
  <c r="BZ776" i="2"/>
  <c r="BW776" i="2"/>
  <c r="BX776" i="2" s="1"/>
  <c r="BS776" i="2"/>
  <c r="BU776" i="2" s="1"/>
  <c r="BR776" i="2"/>
  <c r="BT776" i="2" s="1"/>
  <c r="BH776" i="2"/>
  <c r="BD776" i="2"/>
  <c r="BC776" i="2"/>
  <c r="AV776" i="2"/>
  <c r="AU776" i="2"/>
  <c r="AN776" i="2"/>
  <c r="I776" i="2"/>
  <c r="H776" i="2"/>
  <c r="G776" i="2"/>
  <c r="F776" i="2"/>
  <c r="B776" i="2"/>
  <c r="A776" i="2"/>
  <c r="CB775" i="2"/>
  <c r="BZ775" i="2"/>
  <c r="BW775" i="2"/>
  <c r="BX775" i="2" s="1"/>
  <c r="BS775" i="2"/>
  <c r="BU775" i="2" s="1"/>
  <c r="BR775" i="2"/>
  <c r="BT775" i="2" s="1"/>
  <c r="BH775" i="2"/>
  <c r="BD775" i="2"/>
  <c r="BC775" i="2"/>
  <c r="AV775" i="2"/>
  <c r="AU775" i="2"/>
  <c r="AN775" i="2"/>
  <c r="I775" i="2"/>
  <c r="H775" i="2"/>
  <c r="AO208" i="2" s="1"/>
  <c r="G775" i="2"/>
  <c r="F775" i="2"/>
  <c r="B775" i="2"/>
  <c r="A775" i="2"/>
  <c r="CB774" i="2"/>
  <c r="BZ774" i="2"/>
  <c r="BW774" i="2"/>
  <c r="BX774" i="2" s="1"/>
  <c r="BS774" i="2"/>
  <c r="BU774" i="2" s="1"/>
  <c r="BR774" i="2"/>
  <c r="BT774" i="2" s="1"/>
  <c r="BH774" i="2"/>
  <c r="BD774" i="2"/>
  <c r="BC774" i="2"/>
  <c r="AV774" i="2"/>
  <c r="AU774" i="2"/>
  <c r="AN774" i="2"/>
  <c r="I774" i="2"/>
  <c r="H774" i="2"/>
  <c r="AQ774" i="2" s="1"/>
  <c r="G774" i="2"/>
  <c r="AS774" i="2" s="1"/>
  <c r="F774" i="2"/>
  <c r="B774" i="2"/>
  <c r="A774" i="2"/>
  <c r="CB773" i="2"/>
  <c r="BZ773" i="2"/>
  <c r="BW773" i="2"/>
  <c r="BX773" i="2" s="1"/>
  <c r="BS773" i="2"/>
  <c r="BU773" i="2" s="1"/>
  <c r="BR773" i="2"/>
  <c r="BT773" i="2" s="1"/>
  <c r="BH773" i="2"/>
  <c r="BD773" i="2"/>
  <c r="BC773" i="2"/>
  <c r="AV773" i="2"/>
  <c r="AU773" i="2"/>
  <c r="AN773" i="2"/>
  <c r="I773" i="2"/>
  <c r="H773" i="2"/>
  <c r="G773" i="2"/>
  <c r="F773" i="2"/>
  <c r="B773" i="2"/>
  <c r="A773" i="2"/>
  <c r="CB772" i="2"/>
  <c r="BZ772" i="2"/>
  <c r="BW772" i="2"/>
  <c r="BX772" i="2" s="1"/>
  <c r="BS772" i="2"/>
  <c r="BU772" i="2" s="1"/>
  <c r="BR772" i="2"/>
  <c r="BT772" i="2" s="1"/>
  <c r="BH772" i="2"/>
  <c r="BD772" i="2"/>
  <c r="BC772" i="2"/>
  <c r="AV772" i="2"/>
  <c r="AU772" i="2"/>
  <c r="AN772" i="2"/>
  <c r="I772" i="2"/>
  <c r="H772" i="2"/>
  <c r="G772" i="2"/>
  <c r="F772" i="2"/>
  <c r="B772" i="2"/>
  <c r="A772" i="2"/>
  <c r="CB771" i="2"/>
  <c r="BZ771" i="2"/>
  <c r="BW771" i="2"/>
  <c r="BX771" i="2" s="1"/>
  <c r="BS771" i="2"/>
  <c r="BU771" i="2" s="1"/>
  <c r="BR771" i="2"/>
  <c r="BT771" i="2" s="1"/>
  <c r="BH771" i="2"/>
  <c r="BD771" i="2"/>
  <c r="BC771" i="2"/>
  <c r="AV771" i="2"/>
  <c r="AU771" i="2"/>
  <c r="AN771" i="2"/>
  <c r="I771" i="2"/>
  <c r="H771" i="2"/>
  <c r="T771" i="2" s="1"/>
  <c r="G771" i="2"/>
  <c r="F771" i="2"/>
  <c r="B771" i="2"/>
  <c r="A771" i="2"/>
  <c r="CB770" i="2"/>
  <c r="BZ770" i="2"/>
  <c r="BX770" i="2"/>
  <c r="BW770" i="2"/>
  <c r="BS770" i="2"/>
  <c r="BU770" i="2" s="1"/>
  <c r="BR770" i="2"/>
  <c r="BT770" i="2" s="1"/>
  <c r="BH770" i="2"/>
  <c r="BD770" i="2"/>
  <c r="BC770" i="2"/>
  <c r="AV770" i="2"/>
  <c r="AU770" i="2"/>
  <c r="AN770" i="2"/>
  <c r="I770" i="2"/>
  <c r="H770" i="2"/>
  <c r="AO770" i="2" s="1"/>
  <c r="G770" i="2"/>
  <c r="F770" i="2"/>
  <c r="B770" i="2"/>
  <c r="A770" i="2"/>
  <c r="CB769" i="2"/>
  <c r="BZ769" i="2"/>
  <c r="BW769" i="2"/>
  <c r="BX769" i="2" s="1"/>
  <c r="BS769" i="2"/>
  <c r="BU769" i="2" s="1"/>
  <c r="BR769" i="2"/>
  <c r="BT769" i="2" s="1"/>
  <c r="BH769" i="2"/>
  <c r="BD769" i="2"/>
  <c r="BC769" i="2"/>
  <c r="AV769" i="2"/>
  <c r="AU769" i="2"/>
  <c r="AN769" i="2"/>
  <c r="I769" i="2"/>
  <c r="H769" i="2"/>
  <c r="AQ769" i="2" s="1"/>
  <c r="G769" i="2"/>
  <c r="F769" i="2"/>
  <c r="B769" i="2"/>
  <c r="A769" i="2"/>
  <c r="CB768" i="2"/>
  <c r="BZ768" i="2"/>
  <c r="BW768" i="2"/>
  <c r="BX768" i="2" s="1"/>
  <c r="BS768" i="2"/>
  <c r="BU768" i="2" s="1"/>
  <c r="BR768" i="2"/>
  <c r="BT768" i="2" s="1"/>
  <c r="BH768" i="2"/>
  <c r="BD768" i="2"/>
  <c r="BC768" i="2"/>
  <c r="AV768" i="2"/>
  <c r="AU768" i="2"/>
  <c r="AN768" i="2"/>
  <c r="I768" i="2"/>
  <c r="H768" i="2"/>
  <c r="G768" i="2"/>
  <c r="F768" i="2"/>
  <c r="B768" i="2"/>
  <c r="A768" i="2"/>
  <c r="CB767" i="2"/>
  <c r="BZ767" i="2"/>
  <c r="BW767" i="2"/>
  <c r="BX767" i="2" s="1"/>
  <c r="BS767" i="2"/>
  <c r="BU767" i="2" s="1"/>
  <c r="BR767" i="2"/>
  <c r="BT767" i="2" s="1"/>
  <c r="BH767" i="2"/>
  <c r="BD767" i="2"/>
  <c r="BC767" i="2"/>
  <c r="AV767" i="2"/>
  <c r="AU767" i="2"/>
  <c r="AN767" i="2"/>
  <c r="I767" i="2"/>
  <c r="H767" i="2"/>
  <c r="G767" i="2"/>
  <c r="F767" i="2"/>
  <c r="B767" i="2"/>
  <c r="A767" i="2"/>
  <c r="CB766" i="2"/>
  <c r="BZ766" i="2"/>
  <c r="BW766" i="2"/>
  <c r="BX766" i="2" s="1"/>
  <c r="BS766" i="2"/>
  <c r="BU766" i="2" s="1"/>
  <c r="BR766" i="2"/>
  <c r="BT766" i="2" s="1"/>
  <c r="BH766" i="2"/>
  <c r="BD766" i="2"/>
  <c r="BC766" i="2"/>
  <c r="AV766" i="2"/>
  <c r="AU766" i="2"/>
  <c r="AN766" i="2"/>
  <c r="I766" i="2"/>
  <c r="H766" i="2"/>
  <c r="AQ766" i="2" s="1"/>
  <c r="G766" i="2"/>
  <c r="F766" i="2"/>
  <c r="B766" i="2"/>
  <c r="A766" i="2"/>
  <c r="CB765" i="2"/>
  <c r="BZ765" i="2"/>
  <c r="BW765" i="2"/>
  <c r="BX765" i="2" s="1"/>
  <c r="BS765" i="2"/>
  <c r="BU765" i="2" s="1"/>
  <c r="BR765" i="2"/>
  <c r="BT765" i="2" s="1"/>
  <c r="BH765" i="2"/>
  <c r="BD765" i="2"/>
  <c r="BC765" i="2"/>
  <c r="AV765" i="2"/>
  <c r="AU765" i="2"/>
  <c r="AN765" i="2"/>
  <c r="I765" i="2"/>
  <c r="H765" i="2"/>
  <c r="G765" i="2"/>
  <c r="F765" i="2"/>
  <c r="B765" i="2"/>
  <c r="A765" i="2"/>
  <c r="CB764" i="2"/>
  <c r="CA764" i="2"/>
  <c r="BZ764" i="2"/>
  <c r="BW764" i="2"/>
  <c r="BX764" i="2" s="1"/>
  <c r="BS764" i="2"/>
  <c r="BU764" i="2" s="1"/>
  <c r="BR764" i="2"/>
  <c r="BT764" i="2" s="1"/>
  <c r="BH764" i="2"/>
  <c r="BD764" i="2"/>
  <c r="BC764" i="2"/>
  <c r="AV764" i="2"/>
  <c r="AU764" i="2"/>
  <c r="AQ764" i="2"/>
  <c r="AN764" i="2"/>
  <c r="I764" i="2"/>
  <c r="H764" i="2"/>
  <c r="U764" i="2" s="1"/>
  <c r="G764" i="2"/>
  <c r="F764" i="2"/>
  <c r="B764" i="2"/>
  <c r="A764" i="2"/>
  <c r="CB763" i="2"/>
  <c r="BZ763" i="2"/>
  <c r="BW763" i="2"/>
  <c r="BX763" i="2" s="1"/>
  <c r="BS763" i="2"/>
  <c r="BU763" i="2" s="1"/>
  <c r="BR763" i="2"/>
  <c r="BT763" i="2" s="1"/>
  <c r="BH763" i="2"/>
  <c r="BD763" i="2"/>
  <c r="BC763" i="2"/>
  <c r="AV763" i="2"/>
  <c r="AY763" i="2" s="1"/>
  <c r="AU763" i="2"/>
  <c r="AN763" i="2"/>
  <c r="I763" i="2"/>
  <c r="H763" i="2"/>
  <c r="G763" i="2"/>
  <c r="F763" i="2"/>
  <c r="B763" i="2"/>
  <c r="A763" i="2"/>
  <c r="CB762" i="2"/>
  <c r="BZ762" i="2"/>
  <c r="BW762" i="2"/>
  <c r="BX762" i="2" s="1"/>
  <c r="BS762" i="2"/>
  <c r="BU762" i="2" s="1"/>
  <c r="BR762" i="2"/>
  <c r="BT762" i="2" s="1"/>
  <c r="BH762" i="2"/>
  <c r="BD762" i="2"/>
  <c r="BC762" i="2"/>
  <c r="AV762" i="2"/>
  <c r="AU762" i="2"/>
  <c r="AN762" i="2"/>
  <c r="I762" i="2"/>
  <c r="H762" i="2"/>
  <c r="U762" i="2" s="1"/>
  <c r="G762" i="2"/>
  <c r="F762" i="2"/>
  <c r="B762" i="2"/>
  <c r="A762" i="2"/>
  <c r="CB761" i="2"/>
  <c r="BZ761" i="2"/>
  <c r="BW761" i="2"/>
  <c r="BX761" i="2" s="1"/>
  <c r="BS761" i="2"/>
  <c r="BU761" i="2" s="1"/>
  <c r="BR761" i="2"/>
  <c r="BT761" i="2" s="1"/>
  <c r="BH761" i="2"/>
  <c r="BD761" i="2"/>
  <c r="BC761" i="2"/>
  <c r="AV761" i="2"/>
  <c r="AU761" i="2"/>
  <c r="AN761" i="2"/>
  <c r="I761" i="2"/>
  <c r="H761" i="2"/>
  <c r="AQ761" i="2" s="1"/>
  <c r="G761" i="2"/>
  <c r="F761" i="2"/>
  <c r="B761" i="2"/>
  <c r="A761" i="2"/>
  <c r="CB760" i="2"/>
  <c r="CA760" i="2"/>
  <c r="BZ760" i="2"/>
  <c r="BW760" i="2"/>
  <c r="BX760" i="2" s="1"/>
  <c r="BS760" i="2"/>
  <c r="BU760" i="2" s="1"/>
  <c r="BR760" i="2"/>
  <c r="BT760" i="2" s="1"/>
  <c r="BH760" i="2"/>
  <c r="BD760" i="2"/>
  <c r="BC760" i="2"/>
  <c r="AV760" i="2"/>
  <c r="AU760" i="2"/>
  <c r="AN760" i="2"/>
  <c r="I760" i="2"/>
  <c r="H760" i="2"/>
  <c r="AQ760" i="2" s="1"/>
  <c r="G760" i="2"/>
  <c r="F760" i="2"/>
  <c r="AS760" i="2" s="1"/>
  <c r="B760" i="2"/>
  <c r="A760" i="2"/>
  <c r="CB759" i="2"/>
  <c r="BZ759" i="2"/>
  <c r="BW759" i="2"/>
  <c r="BX759" i="2" s="1"/>
  <c r="BU759" i="2"/>
  <c r="BS759" i="2"/>
  <c r="BR759" i="2"/>
  <c r="BT759" i="2" s="1"/>
  <c r="BH759" i="2"/>
  <c r="BD759" i="2"/>
  <c r="BC759" i="2"/>
  <c r="AV759" i="2"/>
  <c r="AU759" i="2"/>
  <c r="AN759" i="2"/>
  <c r="I759" i="2"/>
  <c r="H759" i="2"/>
  <c r="AO759" i="2" s="1"/>
  <c r="G759" i="2"/>
  <c r="F759" i="2"/>
  <c r="B759" i="2"/>
  <c r="A759" i="2"/>
  <c r="CB758" i="2"/>
  <c r="BZ758" i="2"/>
  <c r="BW758" i="2"/>
  <c r="BX758" i="2" s="1"/>
  <c r="BS758" i="2"/>
  <c r="BU758" i="2" s="1"/>
  <c r="BR758" i="2"/>
  <c r="BT758" i="2" s="1"/>
  <c r="BH758" i="2"/>
  <c r="BD758" i="2"/>
  <c r="BC758" i="2"/>
  <c r="AV758" i="2"/>
  <c r="AU758" i="2"/>
  <c r="AN758" i="2"/>
  <c r="I758" i="2"/>
  <c r="H758" i="2"/>
  <c r="G758" i="2"/>
  <c r="AS758" i="2" s="1"/>
  <c r="AT758" i="2" s="1"/>
  <c r="F758" i="2"/>
  <c r="B758" i="2"/>
  <c r="A758" i="2"/>
  <c r="CB757" i="2"/>
  <c r="BZ757" i="2"/>
  <c r="BW757" i="2"/>
  <c r="BX757" i="2" s="1"/>
  <c r="BS757" i="2"/>
  <c r="BU757" i="2" s="1"/>
  <c r="BR757" i="2"/>
  <c r="BT757" i="2" s="1"/>
  <c r="BH757" i="2"/>
  <c r="BD757" i="2"/>
  <c r="BC757" i="2"/>
  <c r="AV757" i="2"/>
  <c r="AU757" i="2"/>
  <c r="AN757" i="2"/>
  <c r="I757" i="2"/>
  <c r="H757" i="2"/>
  <c r="AQ757" i="2" s="1"/>
  <c r="G757" i="2"/>
  <c r="F757" i="2"/>
  <c r="B757" i="2"/>
  <c r="A757" i="2"/>
  <c r="CB756" i="2"/>
  <c r="BZ756" i="2"/>
  <c r="BW756" i="2"/>
  <c r="BS756" i="2"/>
  <c r="BU756" i="2" s="1"/>
  <c r="BR756" i="2"/>
  <c r="BT756" i="2" s="1"/>
  <c r="BH756" i="2"/>
  <c r="BD756" i="2"/>
  <c r="BC756" i="2"/>
  <c r="AV756" i="2"/>
  <c r="AY756" i="2" s="1"/>
  <c r="AU756" i="2"/>
  <c r="AN756" i="2"/>
  <c r="Q756" i="2"/>
  <c r="O756" i="2"/>
  <c r="N756" i="2"/>
  <c r="M756" i="2"/>
  <c r="I756" i="2"/>
  <c r="H756" i="2"/>
  <c r="G756" i="2"/>
  <c r="F756" i="2"/>
  <c r="B756" i="2"/>
  <c r="A756" i="2"/>
  <c r="CB755" i="2"/>
  <c r="BZ755" i="2"/>
  <c r="BW755" i="2"/>
  <c r="BS755" i="2"/>
  <c r="BU755" i="2" s="1"/>
  <c r="BR755" i="2"/>
  <c r="BT755" i="2" s="1"/>
  <c r="BH755" i="2"/>
  <c r="BD755" i="2"/>
  <c r="BC755" i="2"/>
  <c r="AV755" i="2"/>
  <c r="AU755" i="2"/>
  <c r="AN755" i="2"/>
  <c r="Q755" i="2"/>
  <c r="O755" i="2"/>
  <c r="N755" i="2"/>
  <c r="M755" i="2"/>
  <c r="I755" i="2"/>
  <c r="H755" i="2"/>
  <c r="AQ755" i="2" s="1"/>
  <c r="G755" i="2"/>
  <c r="F755" i="2"/>
  <c r="B755" i="2"/>
  <c r="A755" i="2"/>
  <c r="CB754" i="2"/>
  <c r="BZ754" i="2"/>
  <c r="BW754" i="2"/>
  <c r="BS754" i="2"/>
  <c r="BU754" i="2" s="1"/>
  <c r="BR754" i="2"/>
  <c r="BT754" i="2" s="1"/>
  <c r="BH754" i="2"/>
  <c r="BD754" i="2"/>
  <c r="BC754" i="2"/>
  <c r="AV754" i="2"/>
  <c r="AU754" i="2"/>
  <c r="AN754" i="2"/>
  <c r="Q754" i="2"/>
  <c r="O754" i="2"/>
  <c r="N754" i="2"/>
  <c r="M754" i="2"/>
  <c r="I754" i="2"/>
  <c r="H754" i="2"/>
  <c r="AQ754" i="2" s="1"/>
  <c r="G754" i="2"/>
  <c r="F754" i="2"/>
  <c r="B754" i="2"/>
  <c r="A754" i="2"/>
  <c r="CB753" i="2"/>
  <c r="BZ753" i="2"/>
  <c r="BW753" i="2"/>
  <c r="BX753" i="2" s="1"/>
  <c r="BS753" i="2"/>
  <c r="BU753" i="2" s="1"/>
  <c r="BR753" i="2"/>
  <c r="BT753" i="2" s="1"/>
  <c r="BH753" i="2"/>
  <c r="BD753" i="2"/>
  <c r="BC753" i="2"/>
  <c r="AV753" i="2"/>
  <c r="AU753" i="2"/>
  <c r="AN753" i="2"/>
  <c r="Q753" i="2"/>
  <c r="O753" i="2"/>
  <c r="N753" i="2"/>
  <c r="M753" i="2"/>
  <c r="I753" i="2"/>
  <c r="H753" i="2"/>
  <c r="G753" i="2"/>
  <c r="AS753" i="2" s="1"/>
  <c r="F753" i="2"/>
  <c r="B753" i="2"/>
  <c r="A753" i="2"/>
  <c r="CB752" i="2"/>
  <c r="BZ752" i="2"/>
  <c r="BW752" i="2"/>
  <c r="BS752" i="2"/>
  <c r="BU752" i="2" s="1"/>
  <c r="BR752" i="2"/>
  <c r="BT752" i="2" s="1"/>
  <c r="BH752" i="2"/>
  <c r="BD752" i="2"/>
  <c r="BC752" i="2"/>
  <c r="AV752" i="2"/>
  <c r="AU752" i="2"/>
  <c r="AN752" i="2"/>
  <c r="Q752" i="2"/>
  <c r="O752" i="2"/>
  <c r="N752" i="2"/>
  <c r="M752" i="2"/>
  <c r="I752" i="2"/>
  <c r="H752" i="2"/>
  <c r="G752" i="2"/>
  <c r="F752" i="2"/>
  <c r="B752" i="2"/>
  <c r="A752" i="2"/>
  <c r="CB751" i="2"/>
  <c r="BZ751" i="2"/>
  <c r="BW751" i="2"/>
  <c r="BS751" i="2"/>
  <c r="BU751" i="2" s="1"/>
  <c r="BR751" i="2"/>
  <c r="BT751" i="2" s="1"/>
  <c r="BH751" i="2"/>
  <c r="BC751" i="2"/>
  <c r="AV751" i="2"/>
  <c r="AU751" i="2"/>
  <c r="AN751" i="2"/>
  <c r="Q751" i="2"/>
  <c r="O751" i="2"/>
  <c r="N751" i="2"/>
  <c r="M751" i="2"/>
  <c r="I751" i="2"/>
  <c r="H751" i="2"/>
  <c r="AO840" i="2" s="1"/>
  <c r="G751" i="2"/>
  <c r="BD751" i="2" s="1"/>
  <c r="F751" i="2"/>
  <c r="B751" i="2"/>
  <c r="A751" i="2"/>
  <c r="CB750" i="2"/>
  <c r="BZ750" i="2"/>
  <c r="BW750" i="2"/>
  <c r="BS750" i="2"/>
  <c r="BU750" i="2" s="1"/>
  <c r="BR750" i="2"/>
  <c r="BT750" i="2" s="1"/>
  <c r="BH750" i="2"/>
  <c r="BD750" i="2"/>
  <c r="BC750" i="2"/>
  <c r="AV750" i="2"/>
  <c r="AU750" i="2"/>
  <c r="AN750" i="2"/>
  <c r="Q750" i="2"/>
  <c r="O750" i="2"/>
  <c r="N750" i="2"/>
  <c r="M750" i="2"/>
  <c r="P750" i="2" s="1"/>
  <c r="I750" i="2"/>
  <c r="H750" i="2"/>
  <c r="G750" i="2"/>
  <c r="F750" i="2"/>
  <c r="B750" i="2"/>
  <c r="A750" i="2"/>
  <c r="CB749" i="2"/>
  <c r="BZ749" i="2"/>
  <c r="BW749" i="2"/>
  <c r="BX749" i="2" s="1"/>
  <c r="BS749" i="2"/>
  <c r="BU749" i="2" s="1"/>
  <c r="BR749" i="2"/>
  <c r="BT749" i="2" s="1"/>
  <c r="BH749" i="2"/>
  <c r="BD749" i="2"/>
  <c r="BC749" i="2"/>
  <c r="AV749" i="2"/>
  <c r="AU749" i="2"/>
  <c r="AN749" i="2"/>
  <c r="Q749" i="2"/>
  <c r="O749" i="2"/>
  <c r="N749" i="2"/>
  <c r="M749" i="2"/>
  <c r="I749" i="2"/>
  <c r="H749" i="2"/>
  <c r="AQ749" i="2" s="1"/>
  <c r="G749" i="2"/>
  <c r="F749" i="2"/>
  <c r="B749" i="2"/>
  <c r="A749" i="2"/>
  <c r="CB748" i="2"/>
  <c r="BZ748" i="2"/>
  <c r="BW748" i="2"/>
  <c r="BS748" i="2"/>
  <c r="BU748" i="2" s="1"/>
  <c r="BR748" i="2"/>
  <c r="BT748" i="2" s="1"/>
  <c r="BH748" i="2"/>
  <c r="BD748" i="2"/>
  <c r="BC748" i="2"/>
  <c r="AV748" i="2"/>
  <c r="AU748" i="2"/>
  <c r="AN748" i="2"/>
  <c r="Q748" i="2"/>
  <c r="O748" i="2"/>
  <c r="N748" i="2"/>
  <c r="M748" i="2"/>
  <c r="I748" i="2"/>
  <c r="H748" i="2"/>
  <c r="AO748" i="2" s="1"/>
  <c r="G748" i="2"/>
  <c r="F748" i="2"/>
  <c r="B748" i="2"/>
  <c r="A748" i="2"/>
  <c r="CB747" i="2"/>
  <c r="BZ747" i="2"/>
  <c r="BW747" i="2"/>
  <c r="BS747" i="2"/>
  <c r="BU747" i="2" s="1"/>
  <c r="BR747" i="2"/>
  <c r="BT747" i="2" s="1"/>
  <c r="BH747" i="2"/>
  <c r="BD747" i="2"/>
  <c r="BC747" i="2"/>
  <c r="AV747" i="2"/>
  <c r="AU747" i="2"/>
  <c r="AN747" i="2"/>
  <c r="Q747" i="2"/>
  <c r="O747" i="2"/>
  <c r="N747" i="2"/>
  <c r="M747" i="2"/>
  <c r="I747" i="2"/>
  <c r="H747" i="2"/>
  <c r="G747" i="2"/>
  <c r="F747" i="2"/>
  <c r="B747" i="2"/>
  <c r="A747" i="2"/>
  <c r="CB746" i="2"/>
  <c r="BZ746" i="2"/>
  <c r="BW746" i="2"/>
  <c r="BS746" i="2"/>
  <c r="BU746" i="2" s="1"/>
  <c r="BR746" i="2"/>
  <c r="BT746" i="2" s="1"/>
  <c r="BH746" i="2"/>
  <c r="BD746" i="2"/>
  <c r="BC746" i="2"/>
  <c r="AV746" i="2"/>
  <c r="AU746" i="2"/>
  <c r="AN746" i="2"/>
  <c r="Q746" i="2"/>
  <c r="O746" i="2"/>
  <c r="N746" i="2"/>
  <c r="M746" i="2"/>
  <c r="I746" i="2"/>
  <c r="H746" i="2"/>
  <c r="G746" i="2"/>
  <c r="F746" i="2"/>
  <c r="B746" i="2"/>
  <c r="A746" i="2"/>
  <c r="CB745" i="2"/>
  <c r="BZ745" i="2"/>
  <c r="BW745" i="2"/>
  <c r="BS745" i="2"/>
  <c r="BU745" i="2" s="1"/>
  <c r="BR745" i="2"/>
  <c r="BT745" i="2" s="1"/>
  <c r="BH745" i="2"/>
  <c r="BD745" i="2"/>
  <c r="BC745" i="2"/>
  <c r="AV745" i="2"/>
  <c r="AU745" i="2"/>
  <c r="AN745" i="2"/>
  <c r="Q745" i="2"/>
  <c r="O745" i="2"/>
  <c r="N745" i="2"/>
  <c r="M745" i="2"/>
  <c r="I745" i="2"/>
  <c r="H745" i="2"/>
  <c r="U745" i="2" s="1"/>
  <c r="G745" i="2"/>
  <c r="F745" i="2"/>
  <c r="B745" i="2"/>
  <c r="A745" i="2"/>
  <c r="CB744" i="2"/>
  <c r="BZ744" i="2"/>
  <c r="BW744" i="2"/>
  <c r="BS744" i="2"/>
  <c r="BU744" i="2" s="1"/>
  <c r="BR744" i="2"/>
  <c r="BT744" i="2" s="1"/>
  <c r="BH744" i="2"/>
  <c r="BD744" i="2"/>
  <c r="BC744" i="2"/>
  <c r="AV744" i="2"/>
  <c r="AU744" i="2"/>
  <c r="AN744" i="2"/>
  <c r="Q744" i="2"/>
  <c r="O744" i="2"/>
  <c r="N744" i="2"/>
  <c r="M744" i="2"/>
  <c r="I744" i="2"/>
  <c r="H744" i="2"/>
  <c r="G744" i="2"/>
  <c r="F744" i="2"/>
  <c r="B744" i="2"/>
  <c r="A744" i="2"/>
  <c r="CB743" i="2"/>
  <c r="BZ743" i="2"/>
  <c r="BW743" i="2"/>
  <c r="BS743" i="2"/>
  <c r="BU743" i="2" s="1"/>
  <c r="BR743" i="2"/>
  <c r="BT743" i="2" s="1"/>
  <c r="BH743" i="2"/>
  <c r="BD743" i="2"/>
  <c r="BC743" i="2"/>
  <c r="AV743" i="2"/>
  <c r="AU743" i="2"/>
  <c r="AQ743" i="2"/>
  <c r="AN743" i="2"/>
  <c r="Q743" i="2"/>
  <c r="O743" i="2"/>
  <c r="N743" i="2"/>
  <c r="M743" i="2"/>
  <c r="I743" i="2"/>
  <c r="H743" i="2"/>
  <c r="G743" i="2"/>
  <c r="F743" i="2"/>
  <c r="B743" i="2"/>
  <c r="A743" i="2"/>
  <c r="CB742" i="2"/>
  <c r="BZ742" i="2"/>
  <c r="BW742" i="2"/>
  <c r="BT742" i="2"/>
  <c r="BS742" i="2"/>
  <c r="BU742" i="2" s="1"/>
  <c r="BR742" i="2"/>
  <c r="BH742" i="2"/>
  <c r="BD742" i="2"/>
  <c r="BC742" i="2"/>
  <c r="AV742" i="2"/>
  <c r="AU742" i="2"/>
  <c r="AN742" i="2"/>
  <c r="Q742" i="2"/>
  <c r="O742" i="2"/>
  <c r="N742" i="2"/>
  <c r="M742" i="2"/>
  <c r="P742" i="2" s="1"/>
  <c r="I742" i="2"/>
  <c r="H742" i="2"/>
  <c r="U742" i="2" s="1"/>
  <c r="G742" i="2"/>
  <c r="F742" i="2"/>
  <c r="AS742" i="2" s="1"/>
  <c r="B742" i="2"/>
  <c r="A742" i="2"/>
  <c r="CB741" i="2"/>
  <c r="BZ741" i="2"/>
  <c r="BW741" i="2"/>
  <c r="BS741" i="2"/>
  <c r="BU741" i="2" s="1"/>
  <c r="BR741" i="2"/>
  <c r="BT741" i="2" s="1"/>
  <c r="BH741" i="2"/>
  <c r="BD741" i="2"/>
  <c r="BC741" i="2"/>
  <c r="AV741" i="2"/>
  <c r="AU741" i="2"/>
  <c r="AN741" i="2"/>
  <c r="Q741" i="2"/>
  <c r="O741" i="2"/>
  <c r="N741" i="2"/>
  <c r="M741" i="2"/>
  <c r="I741" i="2"/>
  <c r="H741" i="2"/>
  <c r="AO741" i="2" s="1"/>
  <c r="G741" i="2"/>
  <c r="F741" i="2"/>
  <c r="B741" i="2"/>
  <c r="A741" i="2"/>
  <c r="CB740" i="2"/>
  <c r="BZ740" i="2"/>
  <c r="BW740" i="2"/>
  <c r="BS740" i="2"/>
  <c r="BU740" i="2" s="1"/>
  <c r="BR740" i="2"/>
  <c r="BT740" i="2" s="1"/>
  <c r="BH740" i="2"/>
  <c r="BD740" i="2"/>
  <c r="BC740" i="2"/>
  <c r="AV740" i="2"/>
  <c r="AU740" i="2"/>
  <c r="AN740" i="2"/>
  <c r="Q740" i="2"/>
  <c r="O740" i="2"/>
  <c r="N740" i="2"/>
  <c r="M740" i="2"/>
  <c r="I740" i="2"/>
  <c r="H740" i="2"/>
  <c r="U740" i="2" s="1"/>
  <c r="G740" i="2"/>
  <c r="F740" i="2"/>
  <c r="B740" i="2"/>
  <c r="A740" i="2"/>
  <c r="CB739" i="2"/>
  <c r="BZ739" i="2"/>
  <c r="BW739" i="2"/>
  <c r="BS739" i="2"/>
  <c r="BU739" i="2" s="1"/>
  <c r="BR739" i="2"/>
  <c r="BT739" i="2" s="1"/>
  <c r="BH739" i="2"/>
  <c r="BD739" i="2"/>
  <c r="BC739" i="2"/>
  <c r="AV739" i="2"/>
  <c r="AU739" i="2"/>
  <c r="AN739" i="2"/>
  <c r="Q739" i="2"/>
  <c r="O739" i="2"/>
  <c r="N739" i="2"/>
  <c r="M739" i="2"/>
  <c r="I739" i="2"/>
  <c r="H739" i="2"/>
  <c r="AQ739" i="2" s="1"/>
  <c r="G739" i="2"/>
  <c r="F739" i="2"/>
  <c r="B739" i="2"/>
  <c r="A739" i="2"/>
  <c r="CB738" i="2"/>
  <c r="BZ738" i="2"/>
  <c r="BW738" i="2"/>
  <c r="BS738" i="2"/>
  <c r="BU738" i="2" s="1"/>
  <c r="BR738" i="2"/>
  <c r="BT738" i="2" s="1"/>
  <c r="BH738" i="2"/>
  <c r="BD738" i="2"/>
  <c r="BC738" i="2"/>
  <c r="AV738" i="2"/>
  <c r="AU738" i="2"/>
  <c r="AN738" i="2"/>
  <c r="Q738" i="2"/>
  <c r="O738" i="2"/>
  <c r="N738" i="2"/>
  <c r="M738" i="2"/>
  <c r="I738" i="2"/>
  <c r="H738" i="2"/>
  <c r="G738" i="2"/>
  <c r="F738" i="2"/>
  <c r="B738" i="2"/>
  <c r="A738" i="2"/>
  <c r="CB737" i="2"/>
  <c r="BZ737" i="2"/>
  <c r="BW737" i="2"/>
  <c r="BX737" i="2" s="1"/>
  <c r="BS737" i="2"/>
  <c r="BU737" i="2" s="1"/>
  <c r="BR737" i="2"/>
  <c r="BT737" i="2" s="1"/>
  <c r="BH737" i="2"/>
  <c r="BD737" i="2"/>
  <c r="BC737" i="2"/>
  <c r="AV737" i="2"/>
  <c r="AY737" i="2" s="1"/>
  <c r="AU737" i="2"/>
  <c r="AN737" i="2"/>
  <c r="Q737" i="2"/>
  <c r="O737" i="2"/>
  <c r="N737" i="2"/>
  <c r="M737" i="2"/>
  <c r="I737" i="2"/>
  <c r="H737" i="2"/>
  <c r="AQ737" i="2" s="1"/>
  <c r="G737" i="2"/>
  <c r="AS737" i="2" s="1"/>
  <c r="AT737" i="2" s="1"/>
  <c r="F737" i="2"/>
  <c r="B737" i="2"/>
  <c r="A737" i="2"/>
  <c r="CB736" i="2"/>
  <c r="BZ736" i="2"/>
  <c r="BW736" i="2"/>
  <c r="BS736" i="2"/>
  <c r="BU736" i="2" s="1"/>
  <c r="BR736" i="2"/>
  <c r="BT736" i="2" s="1"/>
  <c r="BH736" i="2"/>
  <c r="BD736" i="2"/>
  <c r="BC736" i="2"/>
  <c r="AV736" i="2"/>
  <c r="AU736" i="2"/>
  <c r="AN736" i="2"/>
  <c r="Q736" i="2"/>
  <c r="O736" i="2"/>
  <c r="N736" i="2"/>
  <c r="M736" i="2"/>
  <c r="I736" i="2"/>
  <c r="H736" i="2"/>
  <c r="U736" i="2" s="1"/>
  <c r="G736" i="2"/>
  <c r="F736" i="2"/>
  <c r="B736" i="2"/>
  <c r="A736" i="2"/>
  <c r="CB735" i="2"/>
  <c r="BZ735" i="2"/>
  <c r="BW735" i="2"/>
  <c r="BS735" i="2"/>
  <c r="BU735" i="2" s="1"/>
  <c r="BR735" i="2"/>
  <c r="BT735" i="2" s="1"/>
  <c r="BH735" i="2"/>
  <c r="BD735" i="2"/>
  <c r="BC735" i="2"/>
  <c r="AV735" i="2"/>
  <c r="AU735" i="2"/>
  <c r="AN735" i="2"/>
  <c r="Q735" i="2"/>
  <c r="O735" i="2"/>
  <c r="N735" i="2"/>
  <c r="M735" i="2"/>
  <c r="I735" i="2"/>
  <c r="H735" i="2"/>
  <c r="G735" i="2"/>
  <c r="F735" i="2"/>
  <c r="B735" i="2"/>
  <c r="A735" i="2"/>
  <c r="CB734" i="2"/>
  <c r="BZ734" i="2"/>
  <c r="BW734" i="2"/>
  <c r="BS734" i="2"/>
  <c r="BU734" i="2" s="1"/>
  <c r="BR734" i="2"/>
  <c r="BT734" i="2" s="1"/>
  <c r="BH734" i="2"/>
  <c r="BD734" i="2"/>
  <c r="BC734" i="2"/>
  <c r="AV734" i="2"/>
  <c r="AU734" i="2"/>
  <c r="AN734" i="2"/>
  <c r="Q734" i="2"/>
  <c r="O734" i="2"/>
  <c r="N734" i="2"/>
  <c r="M734" i="2"/>
  <c r="I734" i="2"/>
  <c r="H734" i="2"/>
  <c r="G734" i="2"/>
  <c r="F734" i="2"/>
  <c r="B734" i="2"/>
  <c r="A734" i="2"/>
  <c r="CB733" i="2"/>
  <c r="BZ733" i="2"/>
  <c r="BW733" i="2"/>
  <c r="BS733" i="2"/>
  <c r="BU733" i="2" s="1"/>
  <c r="BR733" i="2"/>
  <c r="BT733" i="2" s="1"/>
  <c r="BH733" i="2"/>
  <c r="BD733" i="2"/>
  <c r="BC733" i="2"/>
  <c r="AV733" i="2"/>
  <c r="AU733" i="2"/>
  <c r="AN733" i="2"/>
  <c r="Q733" i="2"/>
  <c r="O733" i="2"/>
  <c r="N733" i="2"/>
  <c r="P733" i="2" s="1"/>
  <c r="M733" i="2"/>
  <c r="I733" i="2"/>
  <c r="H733" i="2"/>
  <c r="U733" i="2" s="1"/>
  <c r="G733" i="2"/>
  <c r="F733" i="2"/>
  <c r="B733" i="2"/>
  <c r="A733" i="2"/>
  <c r="CB732" i="2"/>
  <c r="BZ732" i="2"/>
  <c r="BW732" i="2"/>
  <c r="BT732" i="2"/>
  <c r="BS732" i="2"/>
  <c r="BU732" i="2" s="1"/>
  <c r="BR732" i="2"/>
  <c r="BH732" i="2"/>
  <c r="BD732" i="2"/>
  <c r="BC732" i="2"/>
  <c r="AV732" i="2"/>
  <c r="AU732" i="2"/>
  <c r="AN732" i="2"/>
  <c r="Q732" i="2"/>
  <c r="O732" i="2"/>
  <c r="N732" i="2"/>
  <c r="M732" i="2"/>
  <c r="I732" i="2"/>
  <c r="H732" i="2"/>
  <c r="AO732" i="2" s="1"/>
  <c r="G732" i="2"/>
  <c r="F732" i="2"/>
  <c r="B732" i="2"/>
  <c r="A732" i="2"/>
  <c r="CB731" i="2"/>
  <c r="BZ731" i="2"/>
  <c r="BW731" i="2"/>
  <c r="BU731" i="2"/>
  <c r="BS731" i="2"/>
  <c r="BR731" i="2"/>
  <c r="BT731" i="2" s="1"/>
  <c r="BH731" i="2"/>
  <c r="BD731" i="2"/>
  <c r="BC731" i="2"/>
  <c r="AV731" i="2"/>
  <c r="AU731" i="2"/>
  <c r="AN731" i="2"/>
  <c r="Q731" i="2"/>
  <c r="O731" i="2"/>
  <c r="N731" i="2"/>
  <c r="M731" i="2"/>
  <c r="P731" i="2" s="1"/>
  <c r="I731" i="2"/>
  <c r="H731" i="2"/>
  <c r="AQ731" i="2" s="1"/>
  <c r="G731" i="2"/>
  <c r="F731" i="2"/>
  <c r="B731" i="2"/>
  <c r="A731" i="2"/>
  <c r="CB730" i="2"/>
  <c r="BZ730" i="2"/>
  <c r="BW730" i="2"/>
  <c r="BS730" i="2"/>
  <c r="BU730" i="2" s="1"/>
  <c r="BR730" i="2"/>
  <c r="BT730" i="2" s="1"/>
  <c r="BH730" i="2"/>
  <c r="BD730" i="2"/>
  <c r="BC730" i="2"/>
  <c r="AV730" i="2"/>
  <c r="AU730" i="2"/>
  <c r="AN730" i="2"/>
  <c r="Q730" i="2"/>
  <c r="O730" i="2"/>
  <c r="N730" i="2"/>
  <c r="M730" i="2"/>
  <c r="I730" i="2"/>
  <c r="H730" i="2"/>
  <c r="G730" i="2"/>
  <c r="F730" i="2"/>
  <c r="B730" i="2"/>
  <c r="A730" i="2"/>
  <c r="CB729" i="2"/>
  <c r="BZ729" i="2"/>
  <c r="BW729" i="2"/>
  <c r="BS729" i="2"/>
  <c r="BU729" i="2" s="1"/>
  <c r="BR729" i="2"/>
  <c r="BT729" i="2" s="1"/>
  <c r="BH729" i="2"/>
  <c r="BD729" i="2"/>
  <c r="BC729" i="2"/>
  <c r="AV729" i="2"/>
  <c r="AU729" i="2"/>
  <c r="AN729" i="2"/>
  <c r="Q729" i="2"/>
  <c r="O729" i="2"/>
  <c r="N729" i="2"/>
  <c r="M729" i="2"/>
  <c r="I729" i="2"/>
  <c r="H729" i="2"/>
  <c r="AQ729" i="2" s="1"/>
  <c r="G729" i="2"/>
  <c r="F729" i="2"/>
  <c r="B729" i="2"/>
  <c r="A729" i="2"/>
  <c r="CB728" i="2"/>
  <c r="BZ728" i="2"/>
  <c r="BW728" i="2"/>
  <c r="BS728" i="2"/>
  <c r="BU728" i="2" s="1"/>
  <c r="BR728" i="2"/>
  <c r="BT728" i="2" s="1"/>
  <c r="BH728" i="2"/>
  <c r="BD728" i="2"/>
  <c r="BC728" i="2"/>
  <c r="AV728" i="2"/>
  <c r="AU728" i="2"/>
  <c r="AN728" i="2"/>
  <c r="Q728" i="2"/>
  <c r="O728" i="2"/>
  <c r="N728" i="2"/>
  <c r="M728" i="2"/>
  <c r="I728" i="2"/>
  <c r="H728" i="2"/>
  <c r="AQ728" i="2" s="1"/>
  <c r="G728" i="2"/>
  <c r="AS728" i="2" s="1"/>
  <c r="F728" i="2"/>
  <c r="B728" i="2"/>
  <c r="A728" i="2"/>
  <c r="CB727" i="2"/>
  <c r="BZ727" i="2"/>
  <c r="BW727" i="2"/>
  <c r="BS727" i="2"/>
  <c r="BU727" i="2" s="1"/>
  <c r="BR727" i="2"/>
  <c r="BT727" i="2" s="1"/>
  <c r="BH727" i="2"/>
  <c r="BD727" i="2"/>
  <c r="BC727" i="2"/>
  <c r="AV727" i="2"/>
  <c r="AU727" i="2"/>
  <c r="AQ727" i="2"/>
  <c r="AN727" i="2"/>
  <c r="T727" i="2"/>
  <c r="Q727" i="2"/>
  <c r="O727" i="2"/>
  <c r="N727" i="2"/>
  <c r="M727" i="2"/>
  <c r="I727" i="2"/>
  <c r="G727" i="2"/>
  <c r="F727" i="2"/>
  <c r="B727" i="2"/>
  <c r="A727" i="2"/>
  <c r="CB726" i="2"/>
  <c r="CA726" i="2"/>
  <c r="BZ726" i="2"/>
  <c r="BW726" i="2"/>
  <c r="BS726" i="2"/>
  <c r="BU726" i="2" s="1"/>
  <c r="BR726" i="2"/>
  <c r="BT726" i="2" s="1"/>
  <c r="BH726" i="2"/>
  <c r="BC726" i="2"/>
  <c r="AV726" i="2"/>
  <c r="AU726" i="2"/>
  <c r="AN726" i="2"/>
  <c r="Q726" i="2"/>
  <c r="O726" i="2"/>
  <c r="N726" i="2"/>
  <c r="M726" i="2"/>
  <c r="I726" i="2"/>
  <c r="H726" i="2"/>
  <c r="AQ726" i="2" s="1"/>
  <c r="G726" i="2"/>
  <c r="F726" i="2"/>
  <c r="B726" i="2"/>
  <c r="A726" i="2"/>
  <c r="CB725" i="2"/>
  <c r="BZ725" i="2"/>
  <c r="BW725" i="2"/>
  <c r="BS725" i="2"/>
  <c r="BU725" i="2" s="1"/>
  <c r="BR725" i="2"/>
  <c r="BT725" i="2" s="1"/>
  <c r="BH725" i="2"/>
  <c r="BD725" i="2"/>
  <c r="BC725" i="2"/>
  <c r="AV725" i="2"/>
  <c r="AU725" i="2"/>
  <c r="AQ725" i="2"/>
  <c r="AN725" i="2"/>
  <c r="T725" i="2"/>
  <c r="Q725" i="2"/>
  <c r="O725" i="2"/>
  <c r="N725" i="2"/>
  <c r="M725" i="2"/>
  <c r="I725" i="2"/>
  <c r="G725" i="2"/>
  <c r="F725" i="2"/>
  <c r="B725" i="2"/>
  <c r="A725" i="2"/>
  <c r="CB724" i="2"/>
  <c r="BZ724" i="2"/>
  <c r="BW724" i="2"/>
  <c r="BS724" i="2"/>
  <c r="BU724" i="2" s="1"/>
  <c r="BR724" i="2"/>
  <c r="BT724" i="2" s="1"/>
  <c r="BH724" i="2"/>
  <c r="BD724" i="2"/>
  <c r="BC724" i="2"/>
  <c r="AV724" i="2"/>
  <c r="AU724" i="2"/>
  <c r="AQ724" i="2"/>
  <c r="AN724" i="2"/>
  <c r="T724" i="2"/>
  <c r="Q724" i="2"/>
  <c r="O724" i="2"/>
  <c r="N724" i="2"/>
  <c r="M724" i="2"/>
  <c r="I724" i="2"/>
  <c r="G724" i="2"/>
  <c r="F724" i="2"/>
  <c r="B724" i="2"/>
  <c r="A724" i="2"/>
  <c r="CB723" i="2"/>
  <c r="BZ723" i="2"/>
  <c r="BW723" i="2"/>
  <c r="BS723" i="2"/>
  <c r="BU723" i="2" s="1"/>
  <c r="BR723" i="2"/>
  <c r="BT723" i="2" s="1"/>
  <c r="BH723" i="2"/>
  <c r="BD723" i="2"/>
  <c r="BC723" i="2"/>
  <c r="AV723" i="2"/>
  <c r="AU723" i="2"/>
  <c r="AN723" i="2"/>
  <c r="Q723" i="2"/>
  <c r="O723" i="2"/>
  <c r="N723" i="2"/>
  <c r="M723" i="2"/>
  <c r="I723" i="2"/>
  <c r="H723" i="2"/>
  <c r="G723" i="2"/>
  <c r="F723" i="2"/>
  <c r="B723" i="2"/>
  <c r="A723" i="2"/>
  <c r="CB722" i="2"/>
  <c r="BZ722" i="2"/>
  <c r="BW722" i="2"/>
  <c r="BS722" i="2"/>
  <c r="BU722" i="2" s="1"/>
  <c r="BR722" i="2"/>
  <c r="BT722" i="2" s="1"/>
  <c r="BH722" i="2"/>
  <c r="BD722" i="2"/>
  <c r="BC722" i="2"/>
  <c r="AV722" i="2"/>
  <c r="AU722" i="2"/>
  <c r="AQ722" i="2"/>
  <c r="AN722" i="2"/>
  <c r="U722" i="2"/>
  <c r="Q722" i="2"/>
  <c r="O722" i="2"/>
  <c r="N722" i="2"/>
  <c r="M722" i="2"/>
  <c r="I722" i="2"/>
  <c r="G722" i="2"/>
  <c r="F722" i="2"/>
  <c r="B722" i="2"/>
  <c r="A722" i="2"/>
  <c r="CB721" i="2"/>
  <c r="BZ721" i="2"/>
  <c r="BW721" i="2"/>
  <c r="BS721" i="2"/>
  <c r="BU721" i="2" s="1"/>
  <c r="BR721" i="2"/>
  <c r="BT721" i="2" s="1"/>
  <c r="BH721" i="2"/>
  <c r="BD721" i="2"/>
  <c r="BC721" i="2"/>
  <c r="AV721" i="2"/>
  <c r="AU721" i="2"/>
  <c r="AQ721" i="2"/>
  <c r="AN721" i="2"/>
  <c r="U721" i="2"/>
  <c r="Q721" i="2"/>
  <c r="O721" i="2"/>
  <c r="N721" i="2"/>
  <c r="M721" i="2"/>
  <c r="I721" i="2"/>
  <c r="G721" i="2"/>
  <c r="F721" i="2"/>
  <c r="B721" i="2"/>
  <c r="A721" i="2"/>
  <c r="CB720" i="2"/>
  <c r="BZ720" i="2"/>
  <c r="BW720" i="2"/>
  <c r="BS720" i="2"/>
  <c r="BU720" i="2" s="1"/>
  <c r="BR720" i="2"/>
  <c r="BT720" i="2" s="1"/>
  <c r="BH720" i="2"/>
  <c r="BD720" i="2"/>
  <c r="BC720" i="2"/>
  <c r="AV720" i="2"/>
  <c r="AY720" i="2" s="1"/>
  <c r="AU720" i="2"/>
  <c r="AQ720" i="2"/>
  <c r="AN720" i="2"/>
  <c r="U720" i="2"/>
  <c r="Q720" i="2"/>
  <c r="O720" i="2"/>
  <c r="N720" i="2"/>
  <c r="M720" i="2"/>
  <c r="I720" i="2"/>
  <c r="G720" i="2"/>
  <c r="F720" i="2"/>
  <c r="B720" i="2"/>
  <c r="A720" i="2"/>
  <c r="CB719" i="2"/>
  <c r="BZ719" i="2"/>
  <c r="BW719" i="2"/>
  <c r="BS719" i="2"/>
  <c r="BU719" i="2" s="1"/>
  <c r="BR719" i="2"/>
  <c r="BT719" i="2" s="1"/>
  <c r="BH719" i="2"/>
  <c r="BD719" i="2"/>
  <c r="BC719" i="2"/>
  <c r="AV719" i="2"/>
  <c r="AU719" i="2"/>
  <c r="AN719" i="2"/>
  <c r="Q719" i="2"/>
  <c r="O719" i="2"/>
  <c r="N719" i="2"/>
  <c r="M719" i="2"/>
  <c r="I719" i="2"/>
  <c r="H719" i="2"/>
  <c r="U719" i="2" s="1"/>
  <c r="G719" i="2"/>
  <c r="F719" i="2"/>
  <c r="AS719" i="2" s="1"/>
  <c r="B719" i="2"/>
  <c r="A719" i="2"/>
  <c r="CB718" i="2"/>
  <c r="CA718" i="2"/>
  <c r="BZ718" i="2"/>
  <c r="BW718" i="2"/>
  <c r="BS718" i="2"/>
  <c r="BU718" i="2" s="1"/>
  <c r="BR718" i="2"/>
  <c r="BT718" i="2" s="1"/>
  <c r="BH718" i="2"/>
  <c r="BC718" i="2"/>
  <c r="AV718" i="2"/>
  <c r="AU718" i="2"/>
  <c r="AN718" i="2"/>
  <c r="Q718" i="2"/>
  <c r="O718" i="2"/>
  <c r="N718" i="2"/>
  <c r="M718" i="2"/>
  <c r="I718" i="2"/>
  <c r="H718" i="2"/>
  <c r="AQ718" i="2" s="1"/>
  <c r="G718" i="2"/>
  <c r="BD718" i="2" s="1"/>
  <c r="F718" i="2"/>
  <c r="B718" i="2"/>
  <c r="A718" i="2"/>
  <c r="CB717" i="2"/>
  <c r="CA717" i="2"/>
  <c r="BZ717" i="2"/>
  <c r="BW717" i="2"/>
  <c r="BX717" i="2" s="1"/>
  <c r="BS717" i="2"/>
  <c r="BU717" i="2" s="1"/>
  <c r="BR717" i="2"/>
  <c r="BT717" i="2" s="1"/>
  <c r="BH717" i="2"/>
  <c r="BC717" i="2"/>
  <c r="AV717" i="2"/>
  <c r="AU717" i="2"/>
  <c r="AN717" i="2"/>
  <c r="Q717" i="2"/>
  <c r="O717" i="2"/>
  <c r="N717" i="2"/>
  <c r="M717" i="2"/>
  <c r="I717" i="2"/>
  <c r="H717" i="2"/>
  <c r="G717" i="2"/>
  <c r="BD717" i="2" s="1"/>
  <c r="F717" i="2"/>
  <c r="B717" i="2"/>
  <c r="A717" i="2"/>
  <c r="CB716" i="2"/>
  <c r="BZ716" i="2"/>
  <c r="BW716" i="2"/>
  <c r="BS716" i="2"/>
  <c r="BU716" i="2" s="1"/>
  <c r="BR716" i="2"/>
  <c r="BT716" i="2" s="1"/>
  <c r="BH716" i="2"/>
  <c r="BD716" i="2"/>
  <c r="BC716" i="2"/>
  <c r="AV716" i="2"/>
  <c r="AU716" i="2"/>
  <c r="AQ716" i="2"/>
  <c r="AN716" i="2"/>
  <c r="U716" i="2"/>
  <c r="Q716" i="2"/>
  <c r="O716" i="2"/>
  <c r="N716" i="2"/>
  <c r="M716" i="2"/>
  <c r="P716" i="2" s="1"/>
  <c r="I716" i="2"/>
  <c r="G716" i="2"/>
  <c r="AS716" i="2" s="1"/>
  <c r="F716" i="2"/>
  <c r="B716" i="2"/>
  <c r="A716" i="2"/>
  <c r="CB715" i="2"/>
  <c r="BZ715" i="2"/>
  <c r="BW715" i="2"/>
  <c r="BS715" i="2"/>
  <c r="BU715" i="2" s="1"/>
  <c r="BR715" i="2"/>
  <c r="BT715" i="2" s="1"/>
  <c r="BH715" i="2"/>
  <c r="BD715" i="2"/>
  <c r="BC715" i="2"/>
  <c r="AV715" i="2"/>
  <c r="AU715" i="2"/>
  <c r="AQ715" i="2"/>
  <c r="AN715" i="2"/>
  <c r="U715" i="2"/>
  <c r="Q715" i="2"/>
  <c r="O715" i="2"/>
  <c r="N715" i="2"/>
  <c r="M715" i="2"/>
  <c r="I715" i="2"/>
  <c r="G715" i="2"/>
  <c r="F715" i="2"/>
  <c r="B715" i="2"/>
  <c r="A715" i="2"/>
  <c r="CB714" i="2"/>
  <c r="CA714" i="2"/>
  <c r="BZ714" i="2"/>
  <c r="BW714" i="2"/>
  <c r="BS714" i="2"/>
  <c r="BU714" i="2" s="1"/>
  <c r="BR714" i="2"/>
  <c r="BT714" i="2" s="1"/>
  <c r="BH714" i="2"/>
  <c r="BC714" i="2"/>
  <c r="AV714" i="2"/>
  <c r="AU714" i="2"/>
  <c r="AQ714" i="2"/>
  <c r="AN714" i="2"/>
  <c r="Q714" i="2"/>
  <c r="BX714" i="2" s="1"/>
  <c r="O714" i="2"/>
  <c r="N714" i="2"/>
  <c r="M714" i="2"/>
  <c r="I714" i="2"/>
  <c r="H714" i="2"/>
  <c r="AO764" i="2" s="1"/>
  <c r="AP764" i="2" s="1"/>
  <c r="G714" i="2"/>
  <c r="BD714" i="2" s="1"/>
  <c r="F714" i="2"/>
  <c r="B714" i="2"/>
  <c r="A714" i="2"/>
  <c r="CB713" i="2"/>
  <c r="BZ713" i="2"/>
  <c r="BW713" i="2"/>
  <c r="BS713" i="2"/>
  <c r="BU713" i="2" s="1"/>
  <c r="BR713" i="2"/>
  <c r="BT713" i="2" s="1"/>
  <c r="BH713" i="2"/>
  <c r="BD713" i="2"/>
  <c r="BC713" i="2"/>
  <c r="AV713" i="2"/>
  <c r="AU713" i="2"/>
  <c r="AQ713" i="2"/>
  <c r="AN713" i="2"/>
  <c r="U713" i="2"/>
  <c r="Q713" i="2"/>
  <c r="O713" i="2"/>
  <c r="N713" i="2"/>
  <c r="M713" i="2"/>
  <c r="I713" i="2"/>
  <c r="G713" i="2"/>
  <c r="F713" i="2"/>
  <c r="B713" i="2"/>
  <c r="A713" i="2"/>
  <c r="CB712" i="2"/>
  <c r="BZ712" i="2"/>
  <c r="BW712" i="2"/>
  <c r="BS712" i="2"/>
  <c r="BU712" i="2" s="1"/>
  <c r="BR712" i="2"/>
  <c r="BT712" i="2" s="1"/>
  <c r="BH712" i="2"/>
  <c r="BD712" i="2"/>
  <c r="BC712" i="2"/>
  <c r="AV712" i="2"/>
  <c r="AU712" i="2"/>
  <c r="AN712" i="2"/>
  <c r="Q712" i="2"/>
  <c r="O712" i="2"/>
  <c r="N712" i="2"/>
  <c r="M712" i="2"/>
  <c r="I712" i="2"/>
  <c r="H712" i="2"/>
  <c r="G712" i="2"/>
  <c r="F712" i="2"/>
  <c r="B712" i="2"/>
  <c r="A712" i="2"/>
  <c r="CB711" i="2"/>
  <c r="BZ711" i="2"/>
  <c r="BW711" i="2"/>
  <c r="BS711" i="2"/>
  <c r="BU711" i="2" s="1"/>
  <c r="BR711" i="2"/>
  <c r="BT711" i="2" s="1"/>
  <c r="BH711" i="2"/>
  <c r="BD711" i="2"/>
  <c r="BC711" i="2"/>
  <c r="AV711" i="2"/>
  <c r="AU711" i="2"/>
  <c r="AQ711" i="2"/>
  <c r="AN711" i="2"/>
  <c r="U711" i="2"/>
  <c r="Q711" i="2"/>
  <c r="O711" i="2"/>
  <c r="N711" i="2"/>
  <c r="M711" i="2"/>
  <c r="I711" i="2"/>
  <c r="G711" i="2"/>
  <c r="F711" i="2"/>
  <c r="B711" i="2"/>
  <c r="A711" i="2"/>
  <c r="CB710" i="2"/>
  <c r="BZ710" i="2"/>
  <c r="BW710" i="2"/>
  <c r="BS710" i="2"/>
  <c r="BU710" i="2" s="1"/>
  <c r="BR710" i="2"/>
  <c r="BT710" i="2" s="1"/>
  <c r="BH710" i="2"/>
  <c r="BD710" i="2"/>
  <c r="BC710" i="2"/>
  <c r="AV710" i="2"/>
  <c r="AU710" i="2"/>
  <c r="AQ710" i="2"/>
  <c r="AN710" i="2"/>
  <c r="U710" i="2"/>
  <c r="Q710" i="2"/>
  <c r="O710" i="2"/>
  <c r="N710" i="2"/>
  <c r="M710" i="2"/>
  <c r="I710" i="2"/>
  <c r="G710" i="2"/>
  <c r="F710" i="2"/>
  <c r="B710" i="2"/>
  <c r="A710" i="2"/>
  <c r="CB709" i="2"/>
  <c r="BZ709" i="2"/>
  <c r="BW709" i="2"/>
  <c r="BS709" i="2"/>
  <c r="BU709" i="2" s="1"/>
  <c r="BR709" i="2"/>
  <c r="BT709" i="2" s="1"/>
  <c r="BH709" i="2"/>
  <c r="BD709" i="2"/>
  <c r="BC709" i="2"/>
  <c r="AV709" i="2"/>
  <c r="AU709" i="2"/>
  <c r="AQ709" i="2"/>
  <c r="AN709" i="2"/>
  <c r="U709" i="2"/>
  <c r="Q709" i="2"/>
  <c r="O709" i="2"/>
  <c r="N709" i="2"/>
  <c r="M709" i="2"/>
  <c r="I709" i="2"/>
  <c r="G709" i="2"/>
  <c r="F709" i="2"/>
  <c r="B709" i="2"/>
  <c r="A709" i="2"/>
  <c r="CB708" i="2"/>
  <c r="BZ708" i="2"/>
  <c r="BW708" i="2"/>
  <c r="BX708" i="2" s="1"/>
  <c r="BS708" i="2"/>
  <c r="BU708" i="2" s="1"/>
  <c r="BR708" i="2"/>
  <c r="BT708" i="2" s="1"/>
  <c r="BH708" i="2"/>
  <c r="BD708" i="2"/>
  <c r="BC708" i="2"/>
  <c r="AV708" i="2"/>
  <c r="AU708" i="2"/>
  <c r="AQ708" i="2"/>
  <c r="AN708" i="2"/>
  <c r="T708" i="2"/>
  <c r="Q708" i="2"/>
  <c r="O708" i="2"/>
  <c r="N708" i="2"/>
  <c r="M708" i="2"/>
  <c r="I708" i="2"/>
  <c r="G708" i="2"/>
  <c r="F708" i="2"/>
  <c r="B708" i="2"/>
  <c r="A708" i="2"/>
  <c r="CB707" i="2"/>
  <c r="BZ707" i="2"/>
  <c r="BW707" i="2"/>
  <c r="BX707" i="2" s="1"/>
  <c r="BS707" i="2"/>
  <c r="BU707" i="2" s="1"/>
  <c r="BR707" i="2"/>
  <c r="BT707" i="2" s="1"/>
  <c r="BH707" i="2"/>
  <c r="BC707" i="2"/>
  <c r="AV707" i="2"/>
  <c r="AU707" i="2"/>
  <c r="AQ707" i="2"/>
  <c r="AN707" i="2"/>
  <c r="T707" i="2"/>
  <c r="Q707" i="2"/>
  <c r="O707" i="2"/>
  <c r="N707" i="2"/>
  <c r="M707" i="2"/>
  <c r="I707" i="2"/>
  <c r="G707" i="2"/>
  <c r="BD707" i="2" s="1"/>
  <c r="F707" i="2"/>
  <c r="B707" i="2"/>
  <c r="A707" i="2"/>
  <c r="CB706" i="2"/>
  <c r="BZ706" i="2"/>
  <c r="BW706" i="2"/>
  <c r="BS706" i="2"/>
  <c r="BU706" i="2" s="1"/>
  <c r="BR706" i="2"/>
  <c r="BT706" i="2" s="1"/>
  <c r="BH706" i="2"/>
  <c r="BC706" i="2"/>
  <c r="AV706" i="2"/>
  <c r="AU706" i="2"/>
  <c r="AQ706" i="2"/>
  <c r="AN706" i="2"/>
  <c r="T706" i="2"/>
  <c r="Q706" i="2"/>
  <c r="O706" i="2"/>
  <c r="N706" i="2"/>
  <c r="M706" i="2"/>
  <c r="I706" i="2"/>
  <c r="G706" i="2"/>
  <c r="BD706" i="2" s="1"/>
  <c r="F706" i="2"/>
  <c r="B706" i="2"/>
  <c r="A706" i="2"/>
  <c r="CB705" i="2"/>
  <c r="BZ705" i="2"/>
  <c r="BW705" i="2"/>
  <c r="BS705" i="2"/>
  <c r="BU705" i="2" s="1"/>
  <c r="BR705" i="2"/>
  <c r="BT705" i="2" s="1"/>
  <c r="BH705" i="2"/>
  <c r="BC705" i="2"/>
  <c r="AV705" i="2"/>
  <c r="AU705" i="2"/>
  <c r="AQ705" i="2"/>
  <c r="AN705" i="2"/>
  <c r="T705" i="2"/>
  <c r="Q705" i="2"/>
  <c r="O705" i="2"/>
  <c r="N705" i="2"/>
  <c r="M705" i="2"/>
  <c r="I705" i="2"/>
  <c r="G705" i="2"/>
  <c r="BD705" i="2" s="1"/>
  <c r="F705" i="2"/>
  <c r="B705" i="2"/>
  <c r="A705" i="2"/>
  <c r="CB704" i="2"/>
  <c r="BZ704" i="2"/>
  <c r="BW704" i="2"/>
  <c r="BS704" i="2"/>
  <c r="BU704" i="2" s="1"/>
  <c r="BR704" i="2"/>
  <c r="BT704" i="2" s="1"/>
  <c r="BH704" i="2"/>
  <c r="BD704" i="2"/>
  <c r="BC704" i="2"/>
  <c r="AV704" i="2"/>
  <c r="AY704" i="2" s="1"/>
  <c r="AU704" i="2"/>
  <c r="AQ704" i="2"/>
  <c r="AN704" i="2"/>
  <c r="T704" i="2"/>
  <c r="Q704" i="2"/>
  <c r="O704" i="2"/>
  <c r="N704" i="2"/>
  <c r="M704" i="2"/>
  <c r="I704" i="2"/>
  <c r="G704" i="2"/>
  <c r="F704" i="2"/>
  <c r="B704" i="2"/>
  <c r="A704" i="2"/>
  <c r="CB703" i="2"/>
  <c r="BZ703" i="2"/>
  <c r="BW703" i="2"/>
  <c r="BS703" i="2"/>
  <c r="BU703" i="2" s="1"/>
  <c r="BR703" i="2"/>
  <c r="BT703" i="2" s="1"/>
  <c r="BP703" i="2"/>
  <c r="BQ703" i="2" s="1"/>
  <c r="BY703" i="2" s="1"/>
  <c r="BN703" i="2"/>
  <c r="BO703" i="2" s="1"/>
  <c r="BH703" i="2"/>
  <c r="BC703" i="2"/>
  <c r="AV703" i="2"/>
  <c r="AU703" i="2"/>
  <c r="AR703" i="2"/>
  <c r="AQ703" i="2"/>
  <c r="AO703" i="2"/>
  <c r="AN703" i="2"/>
  <c r="T703" i="2"/>
  <c r="Q703" i="2"/>
  <c r="O703" i="2"/>
  <c r="N703" i="2"/>
  <c r="M703" i="2"/>
  <c r="I703" i="2"/>
  <c r="G703" i="2"/>
  <c r="BD703" i="2" s="1"/>
  <c r="F703" i="2"/>
  <c r="B703" i="2"/>
  <c r="A703" i="2"/>
  <c r="CB702" i="2"/>
  <c r="BZ702" i="2"/>
  <c r="BW702" i="2"/>
  <c r="BT702" i="2"/>
  <c r="BS702" i="2"/>
  <c r="BU702" i="2" s="1"/>
  <c r="BR702" i="2"/>
  <c r="BH702" i="2"/>
  <c r="BD702" i="2"/>
  <c r="BC702" i="2"/>
  <c r="AV702" i="2"/>
  <c r="AU702" i="2"/>
  <c r="AQ702" i="2"/>
  <c r="AN702" i="2"/>
  <c r="T702" i="2"/>
  <c r="Q702" i="2"/>
  <c r="BX702" i="2" s="1"/>
  <c r="O702" i="2"/>
  <c r="N702" i="2"/>
  <c r="M702" i="2"/>
  <c r="I702" i="2"/>
  <c r="G702" i="2"/>
  <c r="F702" i="2"/>
  <c r="B702" i="2"/>
  <c r="A702" i="2"/>
  <c r="CB701" i="2"/>
  <c r="BZ701" i="2"/>
  <c r="BW701" i="2"/>
  <c r="BS701" i="2"/>
  <c r="BU701" i="2" s="1"/>
  <c r="BR701" i="2"/>
  <c r="BT701" i="2" s="1"/>
  <c r="BH701" i="2"/>
  <c r="BD701" i="2"/>
  <c r="BC701" i="2"/>
  <c r="AV701" i="2"/>
  <c r="AU701" i="2"/>
  <c r="AQ701" i="2"/>
  <c r="AN701" i="2"/>
  <c r="T701" i="2"/>
  <c r="Q701" i="2"/>
  <c r="O701" i="2"/>
  <c r="N701" i="2"/>
  <c r="M701" i="2"/>
  <c r="I701" i="2"/>
  <c r="G701" i="2"/>
  <c r="F701" i="2"/>
  <c r="B701" i="2"/>
  <c r="A701" i="2"/>
  <c r="CB700" i="2"/>
  <c r="BZ700" i="2"/>
  <c r="BW700" i="2"/>
  <c r="BS700" i="2"/>
  <c r="BU700" i="2" s="1"/>
  <c r="BR700" i="2"/>
  <c r="BT700" i="2" s="1"/>
  <c r="BH700" i="2"/>
  <c r="BD700" i="2"/>
  <c r="BC700" i="2"/>
  <c r="AV700" i="2"/>
  <c r="AU700" i="2"/>
  <c r="AQ700" i="2"/>
  <c r="AN700" i="2"/>
  <c r="T700" i="2"/>
  <c r="Q700" i="2"/>
  <c r="O700" i="2"/>
  <c r="N700" i="2"/>
  <c r="M700" i="2"/>
  <c r="I700" i="2"/>
  <c r="G700" i="2"/>
  <c r="F700" i="2"/>
  <c r="B700" i="2"/>
  <c r="A700" i="2"/>
  <c r="CB699" i="2"/>
  <c r="BZ699" i="2"/>
  <c r="BW699" i="2"/>
  <c r="BS699" i="2"/>
  <c r="BU699" i="2" s="1"/>
  <c r="BR699" i="2"/>
  <c r="BT699" i="2" s="1"/>
  <c r="BH699" i="2"/>
  <c r="BD699" i="2"/>
  <c r="BC699" i="2"/>
  <c r="AV699" i="2"/>
  <c r="AU699" i="2"/>
  <c r="AQ699" i="2"/>
  <c r="AN699" i="2"/>
  <c r="T699" i="2"/>
  <c r="Q699" i="2"/>
  <c r="O699" i="2"/>
  <c r="N699" i="2"/>
  <c r="M699" i="2"/>
  <c r="I699" i="2"/>
  <c r="G699" i="2"/>
  <c r="F699" i="2"/>
  <c r="AS699" i="2" s="1"/>
  <c r="B699" i="2"/>
  <c r="A699" i="2"/>
  <c r="CB698" i="2"/>
  <c r="BZ698" i="2"/>
  <c r="BW698" i="2"/>
  <c r="BS698" i="2"/>
  <c r="BU698" i="2" s="1"/>
  <c r="BR698" i="2"/>
  <c r="BT698" i="2" s="1"/>
  <c r="BP698" i="2"/>
  <c r="BQ698" i="2" s="1"/>
  <c r="BY698" i="2" s="1"/>
  <c r="BN698" i="2"/>
  <c r="BO698" i="2" s="1"/>
  <c r="BH698" i="2"/>
  <c r="BC698" i="2"/>
  <c r="AV698" i="2"/>
  <c r="AU698" i="2"/>
  <c r="AR698" i="2"/>
  <c r="AQ698" i="2"/>
  <c r="AO698" i="2"/>
  <c r="AN698" i="2"/>
  <c r="T698" i="2"/>
  <c r="Q698" i="2"/>
  <c r="BX698" i="2" s="1"/>
  <c r="O698" i="2"/>
  <c r="N698" i="2"/>
  <c r="M698" i="2"/>
  <c r="I698" i="2"/>
  <c r="G698" i="2"/>
  <c r="BD698" i="2" s="1"/>
  <c r="F698" i="2"/>
  <c r="B698" i="2"/>
  <c r="A698" i="2"/>
  <c r="CB697" i="2"/>
  <c r="BZ697" i="2"/>
  <c r="BW697" i="2"/>
  <c r="BS697" i="2"/>
  <c r="BU697" i="2" s="1"/>
  <c r="BR697" i="2"/>
  <c r="BT697" i="2" s="1"/>
  <c r="BH697" i="2"/>
  <c r="BD697" i="2"/>
  <c r="BC697" i="2"/>
  <c r="AV697" i="2"/>
  <c r="AU697" i="2"/>
  <c r="AQ697" i="2"/>
  <c r="AN697" i="2"/>
  <c r="T697" i="2"/>
  <c r="Q697" i="2"/>
  <c r="O697" i="2"/>
  <c r="N697" i="2"/>
  <c r="M697" i="2"/>
  <c r="I697" i="2"/>
  <c r="G697" i="2"/>
  <c r="F697" i="2"/>
  <c r="B697" i="2"/>
  <c r="A697" i="2"/>
  <c r="CB696" i="2"/>
  <c r="BZ696" i="2"/>
  <c r="BW696" i="2"/>
  <c r="BS696" i="2"/>
  <c r="BU696" i="2" s="1"/>
  <c r="BR696" i="2"/>
  <c r="BT696" i="2" s="1"/>
  <c r="BH696" i="2"/>
  <c r="BD696" i="2"/>
  <c r="BC696" i="2"/>
  <c r="AV696" i="2"/>
  <c r="AU696" i="2"/>
  <c r="AQ696" i="2"/>
  <c r="AN696" i="2"/>
  <c r="T696" i="2"/>
  <c r="Q696" i="2"/>
  <c r="O696" i="2"/>
  <c r="N696" i="2"/>
  <c r="M696" i="2"/>
  <c r="I696" i="2"/>
  <c r="G696" i="2"/>
  <c r="F696" i="2"/>
  <c r="B696" i="2"/>
  <c r="A696" i="2"/>
  <c r="CB695" i="2"/>
  <c r="BZ695" i="2"/>
  <c r="BW695" i="2"/>
  <c r="BS695" i="2"/>
  <c r="BU695" i="2" s="1"/>
  <c r="BR695" i="2"/>
  <c r="BT695" i="2" s="1"/>
  <c r="BH695" i="2"/>
  <c r="BD695" i="2"/>
  <c r="BC695" i="2"/>
  <c r="AV695" i="2"/>
  <c r="AY695" i="2" s="1"/>
  <c r="AU695" i="2"/>
  <c r="AQ695" i="2"/>
  <c r="AN695" i="2"/>
  <c r="T695" i="2"/>
  <c r="Q695" i="2"/>
  <c r="O695" i="2"/>
  <c r="N695" i="2"/>
  <c r="M695" i="2"/>
  <c r="I695" i="2"/>
  <c r="G695" i="2"/>
  <c r="F695" i="2"/>
  <c r="B695" i="2"/>
  <c r="A695" i="2"/>
  <c r="CB694" i="2"/>
  <c r="BZ694" i="2"/>
  <c r="BW694" i="2"/>
  <c r="BS694" i="2"/>
  <c r="BU694" i="2" s="1"/>
  <c r="BR694" i="2"/>
  <c r="BT694" i="2" s="1"/>
  <c r="BH694" i="2"/>
  <c r="BD694" i="2"/>
  <c r="BC694" i="2"/>
  <c r="AV694" i="2"/>
  <c r="AU694" i="2"/>
  <c r="AQ694" i="2"/>
  <c r="AN694" i="2"/>
  <c r="T694" i="2"/>
  <c r="Q694" i="2"/>
  <c r="O694" i="2"/>
  <c r="N694" i="2"/>
  <c r="M694" i="2"/>
  <c r="I694" i="2"/>
  <c r="G694" i="2"/>
  <c r="F694" i="2"/>
  <c r="B694" i="2"/>
  <c r="A694" i="2"/>
  <c r="CB693" i="2"/>
  <c r="BZ693" i="2"/>
  <c r="BW693" i="2"/>
  <c r="BS693" i="2"/>
  <c r="BU693" i="2" s="1"/>
  <c r="BR693" i="2"/>
  <c r="BT693" i="2" s="1"/>
  <c r="BH693" i="2"/>
  <c r="BD693" i="2"/>
  <c r="BC693" i="2"/>
  <c r="AV693" i="2"/>
  <c r="AU693" i="2"/>
  <c r="AQ693" i="2"/>
  <c r="AN693" i="2"/>
  <c r="T693" i="2"/>
  <c r="Q693" i="2"/>
  <c r="O693" i="2"/>
  <c r="N693" i="2"/>
  <c r="M693" i="2"/>
  <c r="P693" i="2" s="1"/>
  <c r="I693" i="2"/>
  <c r="G693" i="2"/>
  <c r="F693" i="2"/>
  <c r="B693" i="2"/>
  <c r="A693" i="2"/>
  <c r="CB692" i="2"/>
  <c r="BZ692" i="2"/>
  <c r="BW692" i="2"/>
  <c r="BT692" i="2"/>
  <c r="BS692" i="2"/>
  <c r="BU692" i="2" s="1"/>
  <c r="BR692" i="2"/>
  <c r="BH692" i="2"/>
  <c r="BD692" i="2"/>
  <c r="BC692" i="2"/>
  <c r="AV692" i="2"/>
  <c r="AU692" i="2"/>
  <c r="AQ692" i="2"/>
  <c r="AN692" i="2"/>
  <c r="T692" i="2"/>
  <c r="Q692" i="2"/>
  <c r="O692" i="2"/>
  <c r="N692" i="2"/>
  <c r="M692" i="2"/>
  <c r="I692" i="2"/>
  <c r="G692" i="2"/>
  <c r="F692" i="2"/>
  <c r="B692" i="2"/>
  <c r="A692" i="2"/>
  <c r="CB691" i="2"/>
  <c r="BZ691" i="2"/>
  <c r="BW691" i="2"/>
  <c r="BS691" i="2"/>
  <c r="BU691" i="2" s="1"/>
  <c r="BR691" i="2"/>
  <c r="BT691" i="2" s="1"/>
  <c r="BH691" i="2"/>
  <c r="BD691" i="2"/>
  <c r="BC691" i="2"/>
  <c r="AV691" i="2"/>
  <c r="AU691" i="2"/>
  <c r="AN691" i="2"/>
  <c r="Q691" i="2"/>
  <c r="O691" i="2"/>
  <c r="N691" i="2"/>
  <c r="M691" i="2"/>
  <c r="I691" i="2"/>
  <c r="H691" i="2"/>
  <c r="T691" i="2" s="1"/>
  <c r="G691" i="2"/>
  <c r="F691" i="2"/>
  <c r="B691" i="2"/>
  <c r="A691" i="2"/>
  <c r="CB690" i="2"/>
  <c r="BZ690" i="2"/>
  <c r="BW690" i="2"/>
  <c r="BS690" i="2"/>
  <c r="BU690" i="2" s="1"/>
  <c r="BR690" i="2"/>
  <c r="BT690" i="2" s="1"/>
  <c r="BH690" i="2"/>
  <c r="BD690" i="2"/>
  <c r="BC690" i="2"/>
  <c r="AV690" i="2"/>
  <c r="AU690" i="2"/>
  <c r="AQ690" i="2"/>
  <c r="AN690" i="2"/>
  <c r="T690" i="2"/>
  <c r="Q690" i="2"/>
  <c r="O690" i="2"/>
  <c r="N690" i="2"/>
  <c r="M690" i="2"/>
  <c r="I690" i="2"/>
  <c r="G690" i="2"/>
  <c r="F690" i="2"/>
  <c r="B690" i="2"/>
  <c r="A690" i="2"/>
  <c r="CB689" i="2"/>
  <c r="BZ689" i="2"/>
  <c r="BW689" i="2"/>
  <c r="BS689" i="2"/>
  <c r="BU689" i="2" s="1"/>
  <c r="BR689" i="2"/>
  <c r="BT689" i="2" s="1"/>
  <c r="BH689" i="2"/>
  <c r="BD689" i="2"/>
  <c r="BC689" i="2"/>
  <c r="AV689" i="2"/>
  <c r="AU689" i="2"/>
  <c r="AQ689" i="2"/>
  <c r="AN689" i="2"/>
  <c r="T689" i="2"/>
  <c r="Q689" i="2"/>
  <c r="O689" i="2"/>
  <c r="N689" i="2"/>
  <c r="M689" i="2"/>
  <c r="I689" i="2"/>
  <c r="G689" i="2"/>
  <c r="F689" i="2"/>
  <c r="B689" i="2"/>
  <c r="A689" i="2"/>
  <c r="CB688" i="2"/>
  <c r="BZ688" i="2"/>
  <c r="BW688" i="2"/>
  <c r="BT688" i="2"/>
  <c r="BS688" i="2"/>
  <c r="BU688" i="2" s="1"/>
  <c r="BR688" i="2"/>
  <c r="BH688" i="2"/>
  <c r="BC688" i="2"/>
  <c r="AV688" i="2"/>
  <c r="AU688" i="2"/>
  <c r="AQ688" i="2"/>
  <c r="AN688" i="2"/>
  <c r="T688" i="2"/>
  <c r="Q688" i="2"/>
  <c r="O688" i="2"/>
  <c r="N688" i="2"/>
  <c r="M688" i="2"/>
  <c r="I688" i="2"/>
  <c r="G688" i="2"/>
  <c r="BD688" i="2" s="1"/>
  <c r="F688" i="2"/>
  <c r="AS688" i="2" s="1"/>
  <c r="B688" i="2"/>
  <c r="A688" i="2"/>
  <c r="CB687" i="2"/>
  <c r="BZ687" i="2"/>
  <c r="BW687" i="2"/>
  <c r="BS687" i="2"/>
  <c r="BU687" i="2" s="1"/>
  <c r="BR687" i="2"/>
  <c r="BT687" i="2" s="1"/>
  <c r="BH687" i="2"/>
  <c r="BD687" i="2"/>
  <c r="BC687" i="2"/>
  <c r="AV687" i="2"/>
  <c r="AY687" i="2" s="1"/>
  <c r="BN687" i="2" s="1"/>
  <c r="BO687" i="2" s="1"/>
  <c r="AU687" i="2"/>
  <c r="AQ687" i="2"/>
  <c r="AN687" i="2"/>
  <c r="T687" i="2"/>
  <c r="Q687" i="2"/>
  <c r="O687" i="2"/>
  <c r="N687" i="2"/>
  <c r="M687" i="2"/>
  <c r="I687" i="2"/>
  <c r="G687" i="2"/>
  <c r="F687" i="2"/>
  <c r="B687" i="2"/>
  <c r="A687" i="2"/>
  <c r="CB686" i="2"/>
  <c r="BZ686" i="2"/>
  <c r="BW686" i="2"/>
  <c r="BS686" i="2"/>
  <c r="BU686" i="2" s="1"/>
  <c r="BR686" i="2"/>
  <c r="BT686" i="2" s="1"/>
  <c r="BH686" i="2"/>
  <c r="BD686" i="2"/>
  <c r="BC686" i="2"/>
  <c r="AV686" i="2"/>
  <c r="AY686" i="2" s="1"/>
  <c r="AU686" i="2"/>
  <c r="AQ686" i="2"/>
  <c r="AN686" i="2"/>
  <c r="T686" i="2"/>
  <c r="Q686" i="2"/>
  <c r="O686" i="2"/>
  <c r="N686" i="2"/>
  <c r="M686" i="2"/>
  <c r="I686" i="2"/>
  <c r="G686" i="2"/>
  <c r="F686" i="2"/>
  <c r="B686" i="2"/>
  <c r="A686" i="2"/>
  <c r="CB685" i="2"/>
  <c r="BZ685" i="2"/>
  <c r="BW685" i="2"/>
  <c r="BS685" i="2"/>
  <c r="BU685" i="2" s="1"/>
  <c r="BR685" i="2"/>
  <c r="BT685" i="2" s="1"/>
  <c r="BH685" i="2"/>
  <c r="BD685" i="2"/>
  <c r="BC685" i="2"/>
  <c r="AV685" i="2"/>
  <c r="AU685" i="2"/>
  <c r="AQ685" i="2"/>
  <c r="AN685" i="2"/>
  <c r="T685" i="2"/>
  <c r="Q685" i="2"/>
  <c r="O685" i="2"/>
  <c r="N685" i="2"/>
  <c r="M685" i="2"/>
  <c r="I685" i="2"/>
  <c r="G685" i="2"/>
  <c r="F685" i="2"/>
  <c r="B685" i="2"/>
  <c r="A685" i="2"/>
  <c r="CB684" i="2"/>
  <c r="BZ684" i="2"/>
  <c r="BW684" i="2"/>
  <c r="BS684" i="2"/>
  <c r="BU684" i="2" s="1"/>
  <c r="BR684" i="2"/>
  <c r="BT684" i="2" s="1"/>
  <c r="BH684" i="2"/>
  <c r="BD684" i="2"/>
  <c r="BC684" i="2"/>
  <c r="AV684" i="2"/>
  <c r="AU684" i="2"/>
  <c r="AQ684" i="2"/>
  <c r="AN684" i="2"/>
  <c r="T684" i="2"/>
  <c r="Q684" i="2"/>
  <c r="O684" i="2"/>
  <c r="N684" i="2"/>
  <c r="M684" i="2"/>
  <c r="I684" i="2"/>
  <c r="G684" i="2"/>
  <c r="F684" i="2"/>
  <c r="B684" i="2"/>
  <c r="A684" i="2"/>
  <c r="CB683" i="2"/>
  <c r="BZ683" i="2"/>
  <c r="BW683" i="2"/>
  <c r="BS683" i="2"/>
  <c r="BU683" i="2" s="1"/>
  <c r="BR683" i="2"/>
  <c r="BT683" i="2" s="1"/>
  <c r="BH683" i="2"/>
  <c r="BD683" i="2"/>
  <c r="BC683" i="2"/>
  <c r="AV683" i="2"/>
  <c r="AU683" i="2"/>
  <c r="AQ683" i="2"/>
  <c r="AN683" i="2"/>
  <c r="T683" i="2"/>
  <c r="Q683" i="2"/>
  <c r="O683" i="2"/>
  <c r="N683" i="2"/>
  <c r="M683" i="2"/>
  <c r="I683" i="2"/>
  <c r="G683" i="2"/>
  <c r="F683" i="2"/>
  <c r="B683" i="2"/>
  <c r="A683" i="2"/>
  <c r="CB682" i="2"/>
  <c r="BZ682" i="2"/>
  <c r="BW682" i="2"/>
  <c r="BS682" i="2"/>
  <c r="BU682" i="2" s="1"/>
  <c r="BR682" i="2"/>
  <c r="BT682" i="2" s="1"/>
  <c r="BH682" i="2"/>
  <c r="BD682" i="2"/>
  <c r="BC682" i="2"/>
  <c r="AV682" i="2"/>
  <c r="AU682" i="2"/>
  <c r="AQ682" i="2"/>
  <c r="AN682" i="2"/>
  <c r="T682" i="2"/>
  <c r="Q682" i="2"/>
  <c r="O682" i="2"/>
  <c r="N682" i="2"/>
  <c r="M682" i="2"/>
  <c r="I682" i="2"/>
  <c r="G682" i="2"/>
  <c r="F682" i="2"/>
  <c r="B682" i="2"/>
  <c r="A682" i="2"/>
  <c r="CB681" i="2"/>
  <c r="BZ681" i="2"/>
  <c r="BW681" i="2"/>
  <c r="BS681" i="2"/>
  <c r="BU681" i="2" s="1"/>
  <c r="BR681" i="2"/>
  <c r="BT681" i="2" s="1"/>
  <c r="BH681" i="2"/>
  <c r="BD681" i="2"/>
  <c r="BC681" i="2"/>
  <c r="AV681" i="2"/>
  <c r="AU681" i="2"/>
  <c r="AQ681" i="2"/>
  <c r="AN681" i="2"/>
  <c r="T681" i="2"/>
  <c r="Q681" i="2"/>
  <c r="O681" i="2"/>
  <c r="N681" i="2"/>
  <c r="M681" i="2"/>
  <c r="P681" i="2" s="1"/>
  <c r="I681" i="2"/>
  <c r="G681" i="2"/>
  <c r="F681" i="2"/>
  <c r="B681" i="2"/>
  <c r="A681" i="2"/>
  <c r="CB680" i="2"/>
  <c r="BZ680" i="2"/>
  <c r="BW680" i="2"/>
  <c r="BS680" i="2"/>
  <c r="BU680" i="2" s="1"/>
  <c r="BR680" i="2"/>
  <c r="BT680" i="2" s="1"/>
  <c r="BH680" i="2"/>
  <c r="BD680" i="2"/>
  <c r="BC680" i="2"/>
  <c r="AV680" i="2"/>
  <c r="AY680" i="2" s="1"/>
  <c r="AU680" i="2"/>
  <c r="AQ680" i="2"/>
  <c r="AN680" i="2"/>
  <c r="T680" i="2"/>
  <c r="Q680" i="2"/>
  <c r="O680" i="2"/>
  <c r="N680" i="2"/>
  <c r="M680" i="2"/>
  <c r="I680" i="2"/>
  <c r="G680" i="2"/>
  <c r="F680" i="2"/>
  <c r="B680" i="2"/>
  <c r="A680" i="2"/>
  <c r="CB679" i="2"/>
  <c r="BZ679" i="2"/>
  <c r="BW679" i="2"/>
  <c r="BS679" i="2"/>
  <c r="BU679" i="2" s="1"/>
  <c r="BR679" i="2"/>
  <c r="BT679" i="2" s="1"/>
  <c r="BH679" i="2"/>
  <c r="BD679" i="2"/>
  <c r="BC679" i="2"/>
  <c r="AV679" i="2"/>
  <c r="AY679" i="2" s="1"/>
  <c r="AW801" i="2" s="1"/>
  <c r="AU679" i="2"/>
  <c r="AQ679" i="2"/>
  <c r="AN679" i="2"/>
  <c r="T679" i="2"/>
  <c r="Q679" i="2"/>
  <c r="O679" i="2"/>
  <c r="N679" i="2"/>
  <c r="M679" i="2"/>
  <c r="I679" i="2"/>
  <c r="G679" i="2"/>
  <c r="F679" i="2"/>
  <c r="B679" i="2"/>
  <c r="A679" i="2"/>
  <c r="CB678" i="2"/>
  <c r="BZ678" i="2"/>
  <c r="BW678" i="2"/>
  <c r="BS678" i="2"/>
  <c r="BU678" i="2" s="1"/>
  <c r="BR678" i="2"/>
  <c r="BT678" i="2" s="1"/>
  <c r="BH678" i="2"/>
  <c r="BD678" i="2"/>
  <c r="BC678" i="2"/>
  <c r="AV678" i="2"/>
  <c r="AU678" i="2"/>
  <c r="AQ678" i="2"/>
  <c r="AN678" i="2"/>
  <c r="T678" i="2"/>
  <c r="Q678" i="2"/>
  <c r="O678" i="2"/>
  <c r="N678" i="2"/>
  <c r="M678" i="2"/>
  <c r="I678" i="2"/>
  <c r="G678" i="2"/>
  <c r="F678" i="2"/>
  <c r="B678" i="2"/>
  <c r="A678" i="2"/>
  <c r="CB677" i="2"/>
  <c r="BZ677" i="2"/>
  <c r="BW677" i="2"/>
  <c r="BS677" i="2"/>
  <c r="BU677" i="2" s="1"/>
  <c r="BR677" i="2"/>
  <c r="BT677" i="2" s="1"/>
  <c r="BH677" i="2"/>
  <c r="BD677" i="2"/>
  <c r="BC677" i="2"/>
  <c r="AV677" i="2"/>
  <c r="AU677" i="2"/>
  <c r="AQ677" i="2"/>
  <c r="AN677" i="2"/>
  <c r="T677" i="2"/>
  <c r="Q677" i="2"/>
  <c r="O677" i="2"/>
  <c r="N677" i="2"/>
  <c r="M677" i="2"/>
  <c r="I677" i="2"/>
  <c r="G677" i="2"/>
  <c r="F677" i="2"/>
  <c r="B677" i="2"/>
  <c r="A677" i="2"/>
  <c r="CB676" i="2"/>
  <c r="BZ676" i="2"/>
  <c r="BW676" i="2"/>
  <c r="BS676" i="2"/>
  <c r="BU676" i="2" s="1"/>
  <c r="BR676" i="2"/>
  <c r="BT676" i="2" s="1"/>
  <c r="BH676" i="2"/>
  <c r="BD676" i="2"/>
  <c r="BC676" i="2"/>
  <c r="AV676" i="2"/>
  <c r="AY676" i="2" s="1"/>
  <c r="AU676" i="2"/>
  <c r="AQ676" i="2"/>
  <c r="AN676" i="2"/>
  <c r="T676" i="2"/>
  <c r="Q676" i="2"/>
  <c r="O676" i="2"/>
  <c r="N676" i="2"/>
  <c r="M676" i="2"/>
  <c r="I676" i="2"/>
  <c r="G676" i="2"/>
  <c r="F676" i="2"/>
  <c r="B676" i="2"/>
  <c r="A676" i="2"/>
  <c r="CB675" i="2"/>
  <c r="BZ675" i="2"/>
  <c r="BW675" i="2"/>
  <c r="BS675" i="2"/>
  <c r="BU675" i="2" s="1"/>
  <c r="BR675" i="2"/>
  <c r="BT675" i="2" s="1"/>
  <c r="BH675" i="2"/>
  <c r="BD675" i="2"/>
  <c r="BC675" i="2"/>
  <c r="AV675" i="2"/>
  <c r="AY675" i="2" s="1"/>
  <c r="AU675" i="2"/>
  <c r="AQ675" i="2"/>
  <c r="AN675" i="2"/>
  <c r="T675" i="2"/>
  <c r="Q675" i="2"/>
  <c r="O675" i="2"/>
  <c r="N675" i="2"/>
  <c r="M675" i="2"/>
  <c r="I675" i="2"/>
  <c r="G675" i="2"/>
  <c r="F675" i="2"/>
  <c r="B675" i="2"/>
  <c r="A675" i="2"/>
  <c r="CB674" i="2"/>
  <c r="BZ674" i="2"/>
  <c r="BW674" i="2"/>
  <c r="BS674" i="2"/>
  <c r="BU674" i="2" s="1"/>
  <c r="BR674" i="2"/>
  <c r="BT674" i="2" s="1"/>
  <c r="BH674" i="2"/>
  <c r="BD674" i="2"/>
  <c r="BC674" i="2"/>
  <c r="AV674" i="2"/>
  <c r="AU674" i="2"/>
  <c r="AQ674" i="2"/>
  <c r="AN674" i="2"/>
  <c r="T674" i="2"/>
  <c r="Q674" i="2"/>
  <c r="O674" i="2"/>
  <c r="N674" i="2"/>
  <c r="M674" i="2"/>
  <c r="I674" i="2"/>
  <c r="G674" i="2"/>
  <c r="F674" i="2"/>
  <c r="B674" i="2"/>
  <c r="A674" i="2"/>
  <c r="CB673" i="2"/>
  <c r="BZ673" i="2"/>
  <c r="BW673" i="2"/>
  <c r="BS673" i="2"/>
  <c r="BU673" i="2" s="1"/>
  <c r="BR673" i="2"/>
  <c r="BT673" i="2" s="1"/>
  <c r="BH673" i="2"/>
  <c r="BD673" i="2"/>
  <c r="BC673" i="2"/>
  <c r="AV673" i="2"/>
  <c r="AY673" i="2" s="1"/>
  <c r="AW779" i="2" s="1"/>
  <c r="AX779" i="2" s="1"/>
  <c r="AU673" i="2"/>
  <c r="AQ673" i="2"/>
  <c r="AN673" i="2"/>
  <c r="T673" i="2"/>
  <c r="Q673" i="2"/>
  <c r="O673" i="2"/>
  <c r="N673" i="2"/>
  <c r="M673" i="2"/>
  <c r="I673" i="2"/>
  <c r="G673" i="2"/>
  <c r="F673" i="2"/>
  <c r="B673" i="2"/>
  <c r="A673" i="2"/>
  <c r="CB672" i="2"/>
  <c r="BZ672" i="2"/>
  <c r="BW672" i="2"/>
  <c r="BS672" i="2"/>
  <c r="BU672" i="2" s="1"/>
  <c r="BR672" i="2"/>
  <c r="BT672" i="2" s="1"/>
  <c r="BH672" i="2"/>
  <c r="BD672" i="2"/>
  <c r="BC672" i="2"/>
  <c r="AV672" i="2"/>
  <c r="AU672" i="2"/>
  <c r="AQ672" i="2"/>
  <c r="AN672" i="2"/>
  <c r="T672" i="2"/>
  <c r="Q672" i="2"/>
  <c r="O672" i="2"/>
  <c r="N672" i="2"/>
  <c r="M672" i="2"/>
  <c r="I672" i="2"/>
  <c r="G672" i="2"/>
  <c r="F672" i="2"/>
  <c r="B672" i="2"/>
  <c r="A672" i="2"/>
  <c r="CB671" i="2"/>
  <c r="BZ671" i="2"/>
  <c r="BW671" i="2"/>
  <c r="BS671" i="2"/>
  <c r="BU671" i="2" s="1"/>
  <c r="BR671" i="2"/>
  <c r="BT671" i="2" s="1"/>
  <c r="BH671" i="2"/>
  <c r="BD671" i="2"/>
  <c r="BC671" i="2"/>
  <c r="AV671" i="2"/>
  <c r="AU671" i="2"/>
  <c r="AQ671" i="2"/>
  <c r="AN671" i="2"/>
  <c r="T671" i="2"/>
  <c r="Q671" i="2"/>
  <c r="O671" i="2"/>
  <c r="N671" i="2"/>
  <c r="M671" i="2"/>
  <c r="I671" i="2"/>
  <c r="G671" i="2"/>
  <c r="F671" i="2"/>
  <c r="B671" i="2"/>
  <c r="A671" i="2"/>
  <c r="CB670" i="2"/>
  <c r="BZ670" i="2"/>
  <c r="BW670" i="2"/>
  <c r="BX670" i="2" s="1"/>
  <c r="BS670" i="2"/>
  <c r="BU670" i="2" s="1"/>
  <c r="BR670" i="2"/>
  <c r="BT670" i="2" s="1"/>
  <c r="BH670" i="2"/>
  <c r="BD670" i="2"/>
  <c r="BC670" i="2"/>
  <c r="AV670" i="2"/>
  <c r="AU670" i="2"/>
  <c r="AQ670" i="2"/>
  <c r="AN670" i="2"/>
  <c r="T670" i="2"/>
  <c r="Q670" i="2"/>
  <c r="O670" i="2"/>
  <c r="N670" i="2"/>
  <c r="M670" i="2"/>
  <c r="I670" i="2"/>
  <c r="G670" i="2"/>
  <c r="F670" i="2"/>
  <c r="B670" i="2"/>
  <c r="A670" i="2"/>
  <c r="CB669" i="2"/>
  <c r="BZ669" i="2"/>
  <c r="BW669" i="2"/>
  <c r="BS669" i="2"/>
  <c r="BU669" i="2" s="1"/>
  <c r="BR669" i="2"/>
  <c r="BT669" i="2" s="1"/>
  <c r="BH669" i="2"/>
  <c r="BD669" i="2"/>
  <c r="BC669" i="2"/>
  <c r="AV669" i="2"/>
  <c r="AU669" i="2"/>
  <c r="AQ669" i="2"/>
  <c r="AN669" i="2"/>
  <c r="T669" i="2"/>
  <c r="Q669" i="2"/>
  <c r="O669" i="2"/>
  <c r="N669" i="2"/>
  <c r="M669" i="2"/>
  <c r="I669" i="2"/>
  <c r="G669" i="2"/>
  <c r="F669" i="2"/>
  <c r="B669" i="2"/>
  <c r="A669" i="2"/>
  <c r="CB668" i="2"/>
  <c r="BZ668" i="2"/>
  <c r="BW668" i="2"/>
  <c r="BS668" i="2"/>
  <c r="BU668" i="2" s="1"/>
  <c r="BR668" i="2"/>
  <c r="BT668" i="2" s="1"/>
  <c r="BH668" i="2"/>
  <c r="BD668" i="2"/>
  <c r="BC668" i="2"/>
  <c r="AV668" i="2"/>
  <c r="AU668" i="2"/>
  <c r="AQ668" i="2"/>
  <c r="AN668" i="2"/>
  <c r="T668" i="2"/>
  <c r="Q668" i="2"/>
  <c r="O668" i="2"/>
  <c r="N668" i="2"/>
  <c r="M668" i="2"/>
  <c r="I668" i="2"/>
  <c r="G668" i="2"/>
  <c r="F668" i="2"/>
  <c r="B668" i="2"/>
  <c r="A668" i="2"/>
  <c r="CB667" i="2"/>
  <c r="BZ667" i="2"/>
  <c r="BW667" i="2"/>
  <c r="BS667" i="2"/>
  <c r="BU667" i="2" s="1"/>
  <c r="BR667" i="2"/>
  <c r="BT667" i="2" s="1"/>
  <c r="BH667" i="2"/>
  <c r="BD667" i="2"/>
  <c r="BC667" i="2"/>
  <c r="AV667" i="2"/>
  <c r="AU667" i="2"/>
  <c r="AQ667" i="2"/>
  <c r="AN667" i="2"/>
  <c r="T667" i="2"/>
  <c r="Q667" i="2"/>
  <c r="O667" i="2"/>
  <c r="N667" i="2"/>
  <c r="M667" i="2"/>
  <c r="I667" i="2"/>
  <c r="G667" i="2"/>
  <c r="F667" i="2"/>
  <c r="B667" i="2"/>
  <c r="A667" i="2"/>
  <c r="CB666" i="2"/>
  <c r="BZ666" i="2"/>
  <c r="BW666" i="2"/>
  <c r="BS666" i="2"/>
  <c r="BU666" i="2" s="1"/>
  <c r="BR666" i="2"/>
  <c r="BT666" i="2" s="1"/>
  <c r="BH666" i="2"/>
  <c r="BD666" i="2"/>
  <c r="BC666" i="2"/>
  <c r="AV666" i="2"/>
  <c r="AU666" i="2"/>
  <c r="AQ666" i="2"/>
  <c r="AN666" i="2"/>
  <c r="T666" i="2"/>
  <c r="Q666" i="2"/>
  <c r="O666" i="2"/>
  <c r="N666" i="2"/>
  <c r="M666" i="2"/>
  <c r="I666" i="2"/>
  <c r="G666" i="2"/>
  <c r="F666" i="2"/>
  <c r="B666" i="2"/>
  <c r="A666" i="2"/>
  <c r="CB665" i="2"/>
  <c r="BZ665" i="2"/>
  <c r="BW665" i="2"/>
  <c r="BS665" i="2"/>
  <c r="BU665" i="2" s="1"/>
  <c r="BR665" i="2"/>
  <c r="BT665" i="2" s="1"/>
  <c r="BH665" i="2"/>
  <c r="BD665" i="2"/>
  <c r="BC665" i="2"/>
  <c r="AV665" i="2"/>
  <c r="AU665" i="2"/>
  <c r="AQ665" i="2"/>
  <c r="AN665" i="2"/>
  <c r="T665" i="2"/>
  <c r="Q665" i="2"/>
  <c r="O665" i="2"/>
  <c r="N665" i="2"/>
  <c r="M665" i="2"/>
  <c r="I665" i="2"/>
  <c r="G665" i="2"/>
  <c r="F665" i="2"/>
  <c r="AS665" i="2" s="1"/>
  <c r="B665" i="2"/>
  <c r="A665" i="2"/>
  <c r="CB664" i="2"/>
  <c r="BZ664" i="2"/>
  <c r="BW664" i="2"/>
  <c r="BS664" i="2"/>
  <c r="BU664" i="2" s="1"/>
  <c r="BR664" i="2"/>
  <c r="BT664" i="2" s="1"/>
  <c r="BH664" i="2"/>
  <c r="BD664" i="2"/>
  <c r="BC664" i="2"/>
  <c r="AV664" i="2"/>
  <c r="AY664" i="2" s="1"/>
  <c r="AU664" i="2"/>
  <c r="AQ664" i="2"/>
  <c r="AN664" i="2"/>
  <c r="T664" i="2"/>
  <c r="Q664" i="2"/>
  <c r="O664" i="2"/>
  <c r="N664" i="2"/>
  <c r="M664" i="2"/>
  <c r="I664" i="2"/>
  <c r="G664" i="2"/>
  <c r="F664" i="2"/>
  <c r="B664" i="2"/>
  <c r="A664" i="2"/>
  <c r="CB663" i="2"/>
  <c r="BZ663" i="2"/>
  <c r="BW663" i="2"/>
  <c r="BS663" i="2"/>
  <c r="BU663" i="2" s="1"/>
  <c r="BR663" i="2"/>
  <c r="BT663" i="2" s="1"/>
  <c r="BH663" i="2"/>
  <c r="BD663" i="2"/>
  <c r="BC663" i="2"/>
  <c r="AV663" i="2"/>
  <c r="AU663" i="2"/>
  <c r="AN663" i="2"/>
  <c r="Q663" i="2"/>
  <c r="O663" i="2"/>
  <c r="N663" i="2"/>
  <c r="M663" i="2"/>
  <c r="I663" i="2"/>
  <c r="H663" i="2"/>
  <c r="G663" i="2"/>
  <c r="F663" i="2"/>
  <c r="B663" i="2"/>
  <c r="A663" i="2"/>
  <c r="CB662" i="2"/>
  <c r="BZ662" i="2"/>
  <c r="BW662" i="2"/>
  <c r="BS662" i="2"/>
  <c r="BU662" i="2" s="1"/>
  <c r="BR662" i="2"/>
  <c r="BT662" i="2" s="1"/>
  <c r="BH662" i="2"/>
  <c r="BD662" i="2"/>
  <c r="BC662" i="2"/>
  <c r="AV662" i="2"/>
  <c r="AU662" i="2"/>
  <c r="AQ662" i="2"/>
  <c r="AN662" i="2"/>
  <c r="U662" i="2"/>
  <c r="Q662" i="2"/>
  <c r="O662" i="2"/>
  <c r="N662" i="2"/>
  <c r="M662" i="2"/>
  <c r="I662" i="2"/>
  <c r="G662" i="2"/>
  <c r="F662" i="2"/>
  <c r="B662" i="2"/>
  <c r="A662" i="2"/>
  <c r="CB661" i="2"/>
  <c r="BZ661" i="2"/>
  <c r="BW661" i="2"/>
  <c r="BS661" i="2"/>
  <c r="BU661" i="2" s="1"/>
  <c r="BR661" i="2"/>
  <c r="BT661" i="2" s="1"/>
  <c r="BH661" i="2"/>
  <c r="BD661" i="2"/>
  <c r="BC661" i="2"/>
  <c r="AV661" i="2"/>
  <c r="AU661" i="2"/>
  <c r="AQ661" i="2"/>
  <c r="AN661" i="2"/>
  <c r="U661" i="2"/>
  <c r="Q661" i="2"/>
  <c r="O661" i="2"/>
  <c r="N661" i="2"/>
  <c r="M661" i="2"/>
  <c r="I661" i="2"/>
  <c r="G661" i="2"/>
  <c r="F661" i="2"/>
  <c r="B661" i="2"/>
  <c r="A661" i="2"/>
  <c r="CB660" i="2"/>
  <c r="BZ660" i="2"/>
  <c r="BW660" i="2"/>
  <c r="BS660" i="2"/>
  <c r="BU660" i="2" s="1"/>
  <c r="BR660" i="2"/>
  <c r="BT660" i="2" s="1"/>
  <c r="BH660" i="2"/>
  <c r="BD660" i="2"/>
  <c r="BC660" i="2"/>
  <c r="AV660" i="2"/>
  <c r="AU660" i="2"/>
  <c r="AN660" i="2"/>
  <c r="Q660" i="2"/>
  <c r="O660" i="2"/>
  <c r="N660" i="2"/>
  <c r="M660" i="2"/>
  <c r="I660" i="2"/>
  <c r="H660" i="2"/>
  <c r="G660" i="2"/>
  <c r="F660" i="2"/>
  <c r="B660" i="2"/>
  <c r="A660" i="2"/>
  <c r="CB659" i="2"/>
  <c r="BZ659" i="2"/>
  <c r="BW659" i="2"/>
  <c r="BS659" i="2"/>
  <c r="BU659" i="2" s="1"/>
  <c r="BR659" i="2"/>
  <c r="BT659" i="2" s="1"/>
  <c r="BH659" i="2"/>
  <c r="BD659" i="2"/>
  <c r="BC659" i="2"/>
  <c r="AV659" i="2"/>
  <c r="AU659" i="2"/>
  <c r="AQ659" i="2"/>
  <c r="AN659" i="2"/>
  <c r="U659" i="2"/>
  <c r="Q659" i="2"/>
  <c r="O659" i="2"/>
  <c r="N659" i="2"/>
  <c r="M659" i="2"/>
  <c r="I659" i="2"/>
  <c r="G659" i="2"/>
  <c r="F659" i="2"/>
  <c r="B659" i="2"/>
  <c r="A659" i="2"/>
  <c r="CB658" i="2"/>
  <c r="BZ658" i="2"/>
  <c r="BW658" i="2"/>
  <c r="BS658" i="2"/>
  <c r="BU658" i="2" s="1"/>
  <c r="BR658" i="2"/>
  <c r="BT658" i="2" s="1"/>
  <c r="BH658" i="2"/>
  <c r="BD658" i="2"/>
  <c r="BC658" i="2"/>
  <c r="AV658" i="2"/>
  <c r="AU658" i="2"/>
  <c r="AN658" i="2"/>
  <c r="Q658" i="2"/>
  <c r="O658" i="2"/>
  <c r="N658" i="2"/>
  <c r="P658" i="2" s="1"/>
  <c r="M658" i="2"/>
  <c r="I658" i="2"/>
  <c r="H658" i="2"/>
  <c r="U658" i="2" s="1"/>
  <c r="G658" i="2"/>
  <c r="F658" i="2"/>
  <c r="B658" i="2"/>
  <c r="A658" i="2"/>
  <c r="CB657" i="2"/>
  <c r="BZ657" i="2"/>
  <c r="BW657" i="2"/>
  <c r="BS657" i="2"/>
  <c r="BU657" i="2" s="1"/>
  <c r="BR657" i="2"/>
  <c r="BT657" i="2" s="1"/>
  <c r="BP657" i="2"/>
  <c r="BQ657" i="2" s="1"/>
  <c r="BY657" i="2" s="1"/>
  <c r="BN657" i="2"/>
  <c r="BO657" i="2" s="1"/>
  <c r="BH657" i="2"/>
  <c r="BC657" i="2"/>
  <c r="AV657" i="2"/>
  <c r="AU657" i="2"/>
  <c r="AR657" i="2"/>
  <c r="AQ657" i="2"/>
  <c r="AO657" i="2"/>
  <c r="AN657" i="2"/>
  <c r="U657" i="2"/>
  <c r="Q657" i="2"/>
  <c r="O657" i="2"/>
  <c r="N657" i="2"/>
  <c r="M657" i="2"/>
  <c r="P657" i="2" s="1"/>
  <c r="I657" i="2"/>
  <c r="G657" i="2"/>
  <c r="BD657" i="2" s="1"/>
  <c r="F657" i="2"/>
  <c r="AS657" i="2" s="1"/>
  <c r="B657" i="2"/>
  <c r="A657" i="2"/>
  <c r="CB656" i="2"/>
  <c r="BZ656" i="2"/>
  <c r="BW656" i="2"/>
  <c r="BS656" i="2"/>
  <c r="BU656" i="2" s="1"/>
  <c r="BR656" i="2"/>
  <c r="BT656" i="2" s="1"/>
  <c r="BH656" i="2"/>
  <c r="BC656" i="2"/>
  <c r="AV656" i="2"/>
  <c r="AU656" i="2"/>
  <c r="AQ656" i="2"/>
  <c r="AN656" i="2"/>
  <c r="U656" i="2"/>
  <c r="Q656" i="2"/>
  <c r="O656" i="2"/>
  <c r="N656" i="2"/>
  <c r="M656" i="2"/>
  <c r="I656" i="2"/>
  <c r="G656" i="2"/>
  <c r="BD656" i="2" s="1"/>
  <c r="F656" i="2"/>
  <c r="AS656" i="2" s="1"/>
  <c r="B656" i="2"/>
  <c r="A656" i="2"/>
  <c r="CB655" i="2"/>
  <c r="BZ655" i="2"/>
  <c r="BW655" i="2"/>
  <c r="BS655" i="2"/>
  <c r="BU655" i="2" s="1"/>
  <c r="BR655" i="2"/>
  <c r="BT655" i="2" s="1"/>
  <c r="BH655" i="2"/>
  <c r="BD655" i="2"/>
  <c r="BC655" i="2"/>
  <c r="AV655" i="2"/>
  <c r="AU655" i="2"/>
  <c r="AQ655" i="2"/>
  <c r="AN655" i="2"/>
  <c r="U655" i="2"/>
  <c r="Q655" i="2"/>
  <c r="O655" i="2"/>
  <c r="N655" i="2"/>
  <c r="M655" i="2"/>
  <c r="P655" i="2" s="1"/>
  <c r="I655" i="2"/>
  <c r="G655" i="2"/>
  <c r="F655" i="2"/>
  <c r="B655" i="2"/>
  <c r="A655" i="2"/>
  <c r="CB654" i="2"/>
  <c r="BZ654" i="2"/>
  <c r="BW654" i="2"/>
  <c r="BX654" i="2" s="1"/>
  <c r="BS654" i="2"/>
  <c r="BU654" i="2" s="1"/>
  <c r="BR654" i="2"/>
  <c r="BT654" i="2" s="1"/>
  <c r="BH654" i="2"/>
  <c r="BD654" i="2"/>
  <c r="BC654" i="2"/>
  <c r="AV654" i="2"/>
  <c r="AY654" i="2" s="1"/>
  <c r="BN654" i="2" s="1"/>
  <c r="BO654" i="2" s="1"/>
  <c r="AU654" i="2"/>
  <c r="AQ654" i="2"/>
  <c r="AN654" i="2"/>
  <c r="U654" i="2"/>
  <c r="Q654" i="2"/>
  <c r="O654" i="2"/>
  <c r="N654" i="2"/>
  <c r="M654" i="2"/>
  <c r="I654" i="2"/>
  <c r="G654" i="2"/>
  <c r="F654" i="2"/>
  <c r="B654" i="2"/>
  <c r="A654" i="2"/>
  <c r="CB653" i="2"/>
  <c r="BZ653" i="2"/>
  <c r="BW653" i="2"/>
  <c r="BS653" i="2"/>
  <c r="BU653" i="2" s="1"/>
  <c r="BR653" i="2"/>
  <c r="BT653" i="2" s="1"/>
  <c r="BH653" i="2"/>
  <c r="BD653" i="2"/>
  <c r="BC653" i="2"/>
  <c r="AV653" i="2"/>
  <c r="AU653" i="2"/>
  <c r="AQ653" i="2"/>
  <c r="AN653" i="2"/>
  <c r="Q653" i="2"/>
  <c r="O653" i="2"/>
  <c r="N653" i="2"/>
  <c r="M653" i="2"/>
  <c r="I653" i="2"/>
  <c r="H653" i="2"/>
  <c r="U653" i="2" s="1"/>
  <c r="G653" i="2"/>
  <c r="F653" i="2"/>
  <c r="B653" i="2"/>
  <c r="A653" i="2"/>
  <c r="CB652" i="2"/>
  <c r="BZ652" i="2"/>
  <c r="BW652" i="2"/>
  <c r="BS652" i="2"/>
  <c r="BU652" i="2" s="1"/>
  <c r="BR652" i="2"/>
  <c r="BT652" i="2" s="1"/>
  <c r="BH652" i="2"/>
  <c r="BD652" i="2"/>
  <c r="BC652" i="2"/>
  <c r="AV652" i="2"/>
  <c r="AU652" i="2"/>
  <c r="AQ652" i="2"/>
  <c r="AN652" i="2"/>
  <c r="U652" i="2"/>
  <c r="Q652" i="2"/>
  <c r="BX652" i="2" s="1"/>
  <c r="O652" i="2"/>
  <c r="N652" i="2"/>
  <c r="M652" i="2"/>
  <c r="I652" i="2"/>
  <c r="G652" i="2"/>
  <c r="F652" i="2"/>
  <c r="B652" i="2"/>
  <c r="A652" i="2"/>
  <c r="CB651" i="2"/>
  <c r="BZ651" i="2"/>
  <c r="BW651" i="2"/>
  <c r="BS651" i="2"/>
  <c r="BU651" i="2" s="1"/>
  <c r="BR651" i="2"/>
  <c r="BT651" i="2" s="1"/>
  <c r="BH651" i="2"/>
  <c r="BC651" i="2"/>
  <c r="AV651" i="2"/>
  <c r="AU651" i="2"/>
  <c r="AQ651" i="2"/>
  <c r="AN651" i="2"/>
  <c r="U651" i="2"/>
  <c r="Q651" i="2"/>
  <c r="BX651" i="2" s="1"/>
  <c r="O651" i="2"/>
  <c r="N651" i="2"/>
  <c r="M651" i="2"/>
  <c r="I651" i="2"/>
  <c r="G651" i="2"/>
  <c r="BD651" i="2" s="1"/>
  <c r="F651" i="2"/>
  <c r="B651" i="2"/>
  <c r="A651" i="2"/>
  <c r="CB650" i="2"/>
  <c r="BZ650" i="2"/>
  <c r="BW650" i="2"/>
  <c r="BX650" i="2" s="1"/>
  <c r="BT650" i="2"/>
  <c r="BS650" i="2"/>
  <c r="BU650" i="2" s="1"/>
  <c r="BR650" i="2"/>
  <c r="BH650" i="2"/>
  <c r="BD650" i="2"/>
  <c r="BC650" i="2"/>
  <c r="AV650" i="2"/>
  <c r="AU650" i="2"/>
  <c r="AN650" i="2"/>
  <c r="Q650" i="2"/>
  <c r="O650" i="2"/>
  <c r="N650" i="2"/>
  <c r="M650" i="2"/>
  <c r="I650" i="2"/>
  <c r="H650" i="2"/>
  <c r="AQ650" i="2" s="1"/>
  <c r="G650" i="2"/>
  <c r="F650" i="2"/>
  <c r="B650" i="2"/>
  <c r="A650" i="2"/>
  <c r="CB649" i="2"/>
  <c r="BZ649" i="2"/>
  <c r="BW649" i="2"/>
  <c r="BS649" i="2"/>
  <c r="BU649" i="2" s="1"/>
  <c r="BR649" i="2"/>
  <c r="BT649" i="2" s="1"/>
  <c r="BH649" i="2"/>
  <c r="BD649" i="2"/>
  <c r="BC649" i="2"/>
  <c r="AW649" i="2"/>
  <c r="AX649" i="2" s="1"/>
  <c r="AV649" i="2"/>
  <c r="AY649" i="2" s="1"/>
  <c r="AU649" i="2"/>
  <c r="AQ649" i="2"/>
  <c r="AO649" i="2"/>
  <c r="AN649" i="2"/>
  <c r="U649" i="2"/>
  <c r="Q649" i="2"/>
  <c r="O649" i="2"/>
  <c r="N649" i="2"/>
  <c r="M649" i="2"/>
  <c r="I649" i="2"/>
  <c r="G649" i="2"/>
  <c r="F649" i="2"/>
  <c r="B649" i="2"/>
  <c r="A649" i="2"/>
  <c r="CB648" i="2"/>
  <c r="BZ648" i="2"/>
  <c r="BW648" i="2"/>
  <c r="BS648" i="2"/>
  <c r="BU648" i="2" s="1"/>
  <c r="BR648" i="2"/>
  <c r="BT648" i="2" s="1"/>
  <c r="BH648" i="2"/>
  <c r="BD648" i="2"/>
  <c r="BC648" i="2"/>
  <c r="AV648" i="2"/>
  <c r="AU648" i="2"/>
  <c r="AQ648" i="2"/>
  <c r="AN648" i="2"/>
  <c r="U648" i="2"/>
  <c r="Q648" i="2"/>
  <c r="O648" i="2"/>
  <c r="N648" i="2"/>
  <c r="M648" i="2"/>
  <c r="I648" i="2"/>
  <c r="G648" i="2"/>
  <c r="F648" i="2"/>
  <c r="B648" i="2"/>
  <c r="A648" i="2"/>
  <c r="CB647" i="2"/>
  <c r="BZ647" i="2"/>
  <c r="BW647" i="2"/>
  <c r="BS647" i="2"/>
  <c r="BU647" i="2" s="1"/>
  <c r="BR647" i="2"/>
  <c r="BT647" i="2" s="1"/>
  <c r="BH647" i="2"/>
  <c r="BD647" i="2"/>
  <c r="BC647" i="2"/>
  <c r="AV647" i="2"/>
  <c r="AU647" i="2"/>
  <c r="AN647" i="2"/>
  <c r="Q647" i="2"/>
  <c r="O647" i="2"/>
  <c r="N647" i="2"/>
  <c r="M647" i="2"/>
  <c r="I647" i="2"/>
  <c r="H647" i="2"/>
  <c r="G647" i="2"/>
  <c r="F647" i="2"/>
  <c r="B647" i="2"/>
  <c r="A647" i="2"/>
  <c r="CB646" i="2"/>
  <c r="BZ646" i="2"/>
  <c r="BW646" i="2"/>
  <c r="BS646" i="2"/>
  <c r="BU646" i="2" s="1"/>
  <c r="BR646" i="2"/>
  <c r="BT646" i="2" s="1"/>
  <c r="BH646" i="2"/>
  <c r="BD646" i="2"/>
  <c r="BC646" i="2"/>
  <c r="AV646" i="2"/>
  <c r="AU646" i="2"/>
  <c r="AN646" i="2"/>
  <c r="Q646" i="2"/>
  <c r="O646" i="2"/>
  <c r="N646" i="2"/>
  <c r="P646" i="2" s="1"/>
  <c r="M646" i="2"/>
  <c r="I646" i="2"/>
  <c r="H646" i="2"/>
  <c r="G646" i="2"/>
  <c r="F646" i="2"/>
  <c r="B646" i="2"/>
  <c r="A646" i="2"/>
  <c r="CB645" i="2"/>
  <c r="BZ645" i="2"/>
  <c r="BW645" i="2"/>
  <c r="BS645" i="2"/>
  <c r="BU645" i="2" s="1"/>
  <c r="BR645" i="2"/>
  <c r="BT645" i="2" s="1"/>
  <c r="BH645" i="2"/>
  <c r="BD645" i="2"/>
  <c r="BC645" i="2"/>
  <c r="AW645" i="2"/>
  <c r="AX645" i="2" s="1"/>
  <c r="AV645" i="2"/>
  <c r="AY645" i="2" s="1"/>
  <c r="AU645" i="2"/>
  <c r="AN645" i="2"/>
  <c r="Q645" i="2"/>
  <c r="O645" i="2"/>
  <c r="N645" i="2"/>
  <c r="M645" i="2"/>
  <c r="I645" i="2"/>
  <c r="H645" i="2"/>
  <c r="U645" i="2" s="1"/>
  <c r="G645" i="2"/>
  <c r="F645" i="2"/>
  <c r="AS645" i="2" s="1"/>
  <c r="B645" i="2"/>
  <c r="A645" i="2"/>
  <c r="CB644" i="2"/>
  <c r="BZ644" i="2"/>
  <c r="BW644" i="2"/>
  <c r="BS644" i="2"/>
  <c r="BU644" i="2" s="1"/>
  <c r="BR644" i="2"/>
  <c r="BT644" i="2" s="1"/>
  <c r="BH644" i="2"/>
  <c r="BD644" i="2"/>
  <c r="BC644" i="2"/>
  <c r="AV644" i="2"/>
  <c r="AU644" i="2"/>
  <c r="AQ644" i="2"/>
  <c r="AN644" i="2"/>
  <c r="U644" i="2"/>
  <c r="Q644" i="2"/>
  <c r="O644" i="2"/>
  <c r="N644" i="2"/>
  <c r="M644" i="2"/>
  <c r="I644" i="2"/>
  <c r="G644" i="2"/>
  <c r="F644" i="2"/>
  <c r="B644" i="2"/>
  <c r="A644" i="2"/>
  <c r="CB643" i="2"/>
  <c r="BZ643" i="2"/>
  <c r="BW643" i="2"/>
  <c r="BS643" i="2"/>
  <c r="BU643" i="2" s="1"/>
  <c r="BR643" i="2"/>
  <c r="BT643" i="2" s="1"/>
  <c r="BH643" i="2"/>
  <c r="BD643" i="2"/>
  <c r="BC643" i="2"/>
  <c r="AV643" i="2"/>
  <c r="AY643" i="2" s="1"/>
  <c r="BP643" i="2" s="1"/>
  <c r="BQ643" i="2" s="1"/>
  <c r="BY643" i="2" s="1"/>
  <c r="AU643" i="2"/>
  <c r="AQ643" i="2"/>
  <c r="AN643" i="2"/>
  <c r="U643" i="2"/>
  <c r="Q643" i="2"/>
  <c r="O643" i="2"/>
  <c r="N643" i="2"/>
  <c r="M643" i="2"/>
  <c r="I643" i="2"/>
  <c r="G643" i="2"/>
  <c r="F643" i="2"/>
  <c r="B643" i="2"/>
  <c r="A643" i="2"/>
  <c r="CB642" i="2"/>
  <c r="BZ642" i="2"/>
  <c r="BW642" i="2"/>
  <c r="BS642" i="2"/>
  <c r="BU642" i="2" s="1"/>
  <c r="BR642" i="2"/>
  <c r="BT642" i="2" s="1"/>
  <c r="BH642" i="2"/>
  <c r="BD642" i="2"/>
  <c r="BC642" i="2"/>
  <c r="AV642" i="2"/>
  <c r="AU642" i="2"/>
  <c r="AQ642" i="2"/>
  <c r="AN642" i="2"/>
  <c r="U642" i="2"/>
  <c r="Q642" i="2"/>
  <c r="O642" i="2"/>
  <c r="N642" i="2"/>
  <c r="M642" i="2"/>
  <c r="I642" i="2"/>
  <c r="G642" i="2"/>
  <c r="F642" i="2"/>
  <c r="B642" i="2"/>
  <c r="A642" i="2"/>
  <c r="CB641" i="2"/>
  <c r="BZ641" i="2"/>
  <c r="BW641" i="2"/>
  <c r="BS641" i="2"/>
  <c r="BU641" i="2" s="1"/>
  <c r="BR641" i="2"/>
  <c r="BT641" i="2" s="1"/>
  <c r="BH641" i="2"/>
  <c r="BD641" i="2"/>
  <c r="BC641" i="2"/>
  <c r="AV641" i="2"/>
  <c r="AU641" i="2"/>
  <c r="AQ641" i="2"/>
  <c r="AN641" i="2"/>
  <c r="U641" i="2"/>
  <c r="Q641" i="2"/>
  <c r="O641" i="2"/>
  <c r="N641" i="2"/>
  <c r="M641" i="2"/>
  <c r="I641" i="2"/>
  <c r="G641" i="2"/>
  <c r="F641" i="2"/>
  <c r="B641" i="2"/>
  <c r="A641" i="2"/>
  <c r="CB640" i="2"/>
  <c r="BZ640" i="2"/>
  <c r="BW640" i="2"/>
  <c r="BS640" i="2"/>
  <c r="BU640" i="2" s="1"/>
  <c r="BR640" i="2"/>
  <c r="BT640" i="2" s="1"/>
  <c r="BH640" i="2"/>
  <c r="BD640" i="2"/>
  <c r="BC640" i="2"/>
  <c r="AV640" i="2"/>
  <c r="AU640" i="2"/>
  <c r="AQ640" i="2"/>
  <c r="AN640" i="2"/>
  <c r="U640" i="2"/>
  <c r="Q640" i="2"/>
  <c r="BX640" i="2" s="1"/>
  <c r="O640" i="2"/>
  <c r="N640" i="2"/>
  <c r="M640" i="2"/>
  <c r="I640" i="2"/>
  <c r="G640" i="2"/>
  <c r="F640" i="2"/>
  <c r="B640" i="2"/>
  <c r="A640" i="2"/>
  <c r="CB639" i="2"/>
  <c r="BZ639" i="2"/>
  <c r="BW639" i="2"/>
  <c r="BS639" i="2"/>
  <c r="BU639" i="2" s="1"/>
  <c r="BR639" i="2"/>
  <c r="BT639" i="2" s="1"/>
  <c r="BH639" i="2"/>
  <c r="BD639" i="2"/>
  <c r="BC639" i="2"/>
  <c r="AV639" i="2"/>
  <c r="AU639" i="2"/>
  <c r="AN639" i="2"/>
  <c r="Q639" i="2"/>
  <c r="O639" i="2"/>
  <c r="N639" i="2"/>
  <c r="M639" i="2"/>
  <c r="I639" i="2"/>
  <c r="H639" i="2"/>
  <c r="G639" i="2"/>
  <c r="F639" i="2"/>
  <c r="B639" i="2"/>
  <c r="A639" i="2"/>
  <c r="CB638" i="2"/>
  <c r="BZ638" i="2"/>
  <c r="BW638" i="2"/>
  <c r="BT638" i="2"/>
  <c r="BS638" i="2"/>
  <c r="BU638" i="2" s="1"/>
  <c r="BR638" i="2"/>
  <c r="BH638" i="2"/>
  <c r="BD638" i="2"/>
  <c r="BC638" i="2"/>
  <c r="AV638" i="2"/>
  <c r="AU638" i="2"/>
  <c r="AQ638" i="2"/>
  <c r="AN638" i="2"/>
  <c r="U638" i="2"/>
  <c r="Q638" i="2"/>
  <c r="O638" i="2"/>
  <c r="N638" i="2"/>
  <c r="M638" i="2"/>
  <c r="I638" i="2"/>
  <c r="G638" i="2"/>
  <c r="F638" i="2"/>
  <c r="B638" i="2"/>
  <c r="A638" i="2"/>
  <c r="CB637" i="2"/>
  <c r="BZ637" i="2"/>
  <c r="BW637" i="2"/>
  <c r="BS637" i="2"/>
  <c r="BU637" i="2" s="1"/>
  <c r="BR637" i="2"/>
  <c r="BT637" i="2" s="1"/>
  <c r="BH637" i="2"/>
  <c r="BD637" i="2"/>
  <c r="BC637" i="2"/>
  <c r="AV637" i="2"/>
  <c r="AY637" i="2" s="1"/>
  <c r="AU637" i="2"/>
  <c r="AQ637" i="2"/>
  <c r="AN637" i="2"/>
  <c r="U637" i="2"/>
  <c r="Q637" i="2"/>
  <c r="O637" i="2"/>
  <c r="N637" i="2"/>
  <c r="M637" i="2"/>
  <c r="I637" i="2"/>
  <c r="G637" i="2"/>
  <c r="F637" i="2"/>
  <c r="B637" i="2"/>
  <c r="A637" i="2"/>
  <c r="CB636" i="2"/>
  <c r="BZ636" i="2"/>
  <c r="BW636" i="2"/>
  <c r="BS636" i="2"/>
  <c r="BU636" i="2" s="1"/>
  <c r="BR636" i="2"/>
  <c r="BT636" i="2" s="1"/>
  <c r="BH636" i="2"/>
  <c r="BD636" i="2"/>
  <c r="BC636" i="2"/>
  <c r="AV636" i="2"/>
  <c r="AU636" i="2"/>
  <c r="AN636" i="2"/>
  <c r="Q636" i="2"/>
  <c r="O636" i="2"/>
  <c r="N636" i="2"/>
  <c r="M636" i="2"/>
  <c r="I636" i="2"/>
  <c r="H636" i="2"/>
  <c r="U636" i="2" s="1"/>
  <c r="G636" i="2"/>
  <c r="F636" i="2"/>
  <c r="B636" i="2"/>
  <c r="A636" i="2"/>
  <c r="CB635" i="2"/>
  <c r="BZ635" i="2"/>
  <c r="BW635" i="2"/>
  <c r="BS635" i="2"/>
  <c r="BU635" i="2" s="1"/>
  <c r="BR635" i="2"/>
  <c r="BT635" i="2" s="1"/>
  <c r="BH635" i="2"/>
  <c r="BD635" i="2"/>
  <c r="BC635" i="2"/>
  <c r="AV635" i="2"/>
  <c r="AU635" i="2"/>
  <c r="AQ635" i="2"/>
  <c r="AN635" i="2"/>
  <c r="U635" i="2"/>
  <c r="Q635" i="2"/>
  <c r="O635" i="2"/>
  <c r="N635" i="2"/>
  <c r="M635" i="2"/>
  <c r="I635" i="2"/>
  <c r="G635" i="2"/>
  <c r="F635" i="2"/>
  <c r="B635" i="2"/>
  <c r="A635" i="2"/>
  <c r="CB634" i="2"/>
  <c r="BZ634" i="2"/>
  <c r="BW634" i="2"/>
  <c r="BS634" i="2"/>
  <c r="BU634" i="2" s="1"/>
  <c r="BR634" i="2"/>
  <c r="BT634" i="2" s="1"/>
  <c r="BH634" i="2"/>
  <c r="BD634" i="2"/>
  <c r="BC634" i="2"/>
  <c r="AV634" i="2"/>
  <c r="AU634" i="2"/>
  <c r="AQ634" i="2"/>
  <c r="AN634" i="2"/>
  <c r="U634" i="2"/>
  <c r="Q634" i="2"/>
  <c r="O634" i="2"/>
  <c r="N634" i="2"/>
  <c r="M634" i="2"/>
  <c r="I634" i="2"/>
  <c r="G634" i="2"/>
  <c r="F634" i="2"/>
  <c r="B634" i="2"/>
  <c r="A634" i="2"/>
  <c r="CB633" i="2"/>
  <c r="BZ633" i="2"/>
  <c r="BW633" i="2"/>
  <c r="BS633" i="2"/>
  <c r="BU633" i="2" s="1"/>
  <c r="BR633" i="2"/>
  <c r="BT633" i="2" s="1"/>
  <c r="BH633" i="2"/>
  <c r="BC633" i="2"/>
  <c r="AV633" i="2"/>
  <c r="AU633" i="2"/>
  <c r="AN633" i="2"/>
  <c r="Q633" i="2"/>
  <c r="O633" i="2"/>
  <c r="N633" i="2"/>
  <c r="M633" i="2"/>
  <c r="K633" i="2"/>
  <c r="I633" i="2"/>
  <c r="H633" i="2"/>
  <c r="AQ633" i="2" s="1"/>
  <c r="G633" i="2"/>
  <c r="BD633" i="2" s="1"/>
  <c r="F633" i="2"/>
  <c r="B633" i="2"/>
  <c r="A633" i="2"/>
  <c r="CB632" i="2"/>
  <c r="BZ632" i="2"/>
  <c r="BW632" i="2"/>
  <c r="BS632" i="2"/>
  <c r="BU632" i="2" s="1"/>
  <c r="BR632" i="2"/>
  <c r="BT632" i="2" s="1"/>
  <c r="BH632" i="2"/>
  <c r="BD632" i="2"/>
  <c r="BC632" i="2"/>
  <c r="AV632" i="2"/>
  <c r="AU632" i="2"/>
  <c r="AN632" i="2"/>
  <c r="Q632" i="2"/>
  <c r="O632" i="2"/>
  <c r="N632" i="2"/>
  <c r="M632" i="2"/>
  <c r="K632" i="2"/>
  <c r="I632" i="2"/>
  <c r="H632" i="2"/>
  <c r="AO632" i="2" s="1"/>
  <c r="G632" i="2"/>
  <c r="F632" i="2"/>
  <c r="B632" i="2"/>
  <c r="A632" i="2"/>
  <c r="CB631" i="2"/>
  <c r="BZ631" i="2"/>
  <c r="BW631" i="2"/>
  <c r="BS631" i="2"/>
  <c r="BU631" i="2" s="1"/>
  <c r="BR631" i="2"/>
  <c r="BT631" i="2" s="1"/>
  <c r="BH631" i="2"/>
  <c r="BD631" i="2"/>
  <c r="BC631" i="2"/>
  <c r="AV631" i="2"/>
  <c r="AU631" i="2"/>
  <c r="AN631" i="2"/>
  <c r="Q631" i="2"/>
  <c r="O631" i="2"/>
  <c r="N631" i="2"/>
  <c r="M631" i="2"/>
  <c r="K631" i="2"/>
  <c r="I631" i="2"/>
  <c r="H631" i="2"/>
  <c r="AO340" i="2" s="1"/>
  <c r="G631" i="2"/>
  <c r="F631" i="2"/>
  <c r="B631" i="2"/>
  <c r="A631" i="2"/>
  <c r="CB630" i="2"/>
  <c r="BZ630" i="2"/>
  <c r="BW630" i="2"/>
  <c r="BS630" i="2"/>
  <c r="BU630" i="2" s="1"/>
  <c r="BR630" i="2"/>
  <c r="BT630" i="2" s="1"/>
  <c r="BP630" i="2"/>
  <c r="BQ630" i="2" s="1"/>
  <c r="BY630" i="2" s="1"/>
  <c r="BN630" i="2"/>
  <c r="BO630" i="2" s="1"/>
  <c r="BH630" i="2"/>
  <c r="BC630" i="2"/>
  <c r="AV630" i="2"/>
  <c r="AU630" i="2"/>
  <c r="AR630" i="2"/>
  <c r="AQ630" i="2"/>
  <c r="AO630" i="2"/>
  <c r="AN630" i="2"/>
  <c r="T630" i="2"/>
  <c r="Q630" i="2"/>
  <c r="O630" i="2"/>
  <c r="N630" i="2"/>
  <c r="M630" i="2"/>
  <c r="P630" i="2" s="1"/>
  <c r="K630" i="2"/>
  <c r="I630" i="2"/>
  <c r="G630" i="2"/>
  <c r="BD630" i="2" s="1"/>
  <c r="F630" i="2"/>
  <c r="B630" i="2"/>
  <c r="A630" i="2"/>
  <c r="CB629" i="2"/>
  <c r="CA629" i="2"/>
  <c r="BZ629" i="2"/>
  <c r="BW629" i="2"/>
  <c r="BS629" i="2"/>
  <c r="BU629" i="2" s="1"/>
  <c r="BR629" i="2"/>
  <c r="BT629" i="2" s="1"/>
  <c r="BP629" i="2"/>
  <c r="BQ629" i="2" s="1"/>
  <c r="BY629" i="2" s="1"/>
  <c r="BN629" i="2"/>
  <c r="BO629" i="2" s="1"/>
  <c r="BH629" i="2"/>
  <c r="BC629" i="2"/>
  <c r="AV629" i="2"/>
  <c r="AU629" i="2"/>
  <c r="AR629" i="2"/>
  <c r="AQ629" i="2"/>
  <c r="AO629" i="2"/>
  <c r="AN629" i="2"/>
  <c r="T629" i="2"/>
  <c r="Q629" i="2"/>
  <c r="O629" i="2"/>
  <c r="N629" i="2"/>
  <c r="M629" i="2"/>
  <c r="K629" i="2"/>
  <c r="I629" i="2"/>
  <c r="G629" i="2"/>
  <c r="F629" i="2"/>
  <c r="B629" i="2"/>
  <c r="A629" i="2"/>
  <c r="CB628" i="2"/>
  <c r="BZ628" i="2"/>
  <c r="BW628" i="2"/>
  <c r="BS628" i="2"/>
  <c r="BU628" i="2" s="1"/>
  <c r="BR628" i="2"/>
  <c r="BT628" i="2" s="1"/>
  <c r="BH628" i="2"/>
  <c r="BD628" i="2"/>
  <c r="BC628" i="2"/>
  <c r="AV628" i="2"/>
  <c r="AU628" i="2"/>
  <c r="AN628" i="2"/>
  <c r="Q628" i="2"/>
  <c r="O628" i="2"/>
  <c r="N628" i="2"/>
  <c r="M628" i="2"/>
  <c r="P628" i="2" s="1"/>
  <c r="K628" i="2"/>
  <c r="I628" i="2"/>
  <c r="H628" i="2"/>
  <c r="G628" i="2"/>
  <c r="F628" i="2"/>
  <c r="B628" i="2"/>
  <c r="A628" i="2"/>
  <c r="CB627" i="2"/>
  <c r="BZ627" i="2"/>
  <c r="BW627" i="2"/>
  <c r="BS627" i="2"/>
  <c r="BU627" i="2" s="1"/>
  <c r="BR627" i="2"/>
  <c r="BT627" i="2" s="1"/>
  <c r="BH627" i="2"/>
  <c r="BD627" i="2"/>
  <c r="BC627" i="2"/>
  <c r="AV627" i="2"/>
  <c r="AU627" i="2"/>
  <c r="AN627" i="2"/>
  <c r="Q627" i="2"/>
  <c r="O627" i="2"/>
  <c r="N627" i="2"/>
  <c r="M627" i="2"/>
  <c r="K627" i="2"/>
  <c r="I627" i="2"/>
  <c r="H627" i="2"/>
  <c r="AO627" i="2" s="1"/>
  <c r="G627" i="2"/>
  <c r="F627" i="2"/>
  <c r="B627" i="2"/>
  <c r="A627" i="2"/>
  <c r="CB626" i="2"/>
  <c r="BZ626" i="2"/>
  <c r="BW626" i="2"/>
  <c r="BS626" i="2"/>
  <c r="BU626" i="2" s="1"/>
  <c r="BR626" i="2"/>
  <c r="BT626" i="2" s="1"/>
  <c r="BH626" i="2"/>
  <c r="BD626" i="2"/>
  <c r="BC626" i="2"/>
  <c r="AV626" i="2"/>
  <c r="AU626" i="2"/>
  <c r="AN626" i="2"/>
  <c r="Q626" i="2"/>
  <c r="BX626" i="2" s="1"/>
  <c r="O626" i="2"/>
  <c r="N626" i="2"/>
  <c r="M626" i="2"/>
  <c r="K626" i="2"/>
  <c r="I626" i="2"/>
  <c r="H626" i="2"/>
  <c r="T626" i="2" s="1"/>
  <c r="G626" i="2"/>
  <c r="F626" i="2"/>
  <c r="B626" i="2"/>
  <c r="A626" i="2"/>
  <c r="CB625" i="2"/>
  <c r="BZ625" i="2"/>
  <c r="BW625" i="2"/>
  <c r="BS625" i="2"/>
  <c r="BU625" i="2" s="1"/>
  <c r="BR625" i="2"/>
  <c r="BT625" i="2" s="1"/>
  <c r="BH625" i="2"/>
  <c r="BD625" i="2"/>
  <c r="BC625" i="2"/>
  <c r="AV625" i="2"/>
  <c r="AU625" i="2"/>
  <c r="AO625" i="2"/>
  <c r="AN625" i="2"/>
  <c r="Q625" i="2"/>
  <c r="O625" i="2"/>
  <c r="N625" i="2"/>
  <c r="M625" i="2"/>
  <c r="K625" i="2"/>
  <c r="I625" i="2"/>
  <c r="H625" i="2"/>
  <c r="T625" i="2" s="1"/>
  <c r="G625" i="2"/>
  <c r="F625" i="2"/>
  <c r="B625" i="2"/>
  <c r="A625" i="2"/>
  <c r="CB624" i="2"/>
  <c r="BZ624" i="2"/>
  <c r="BW624" i="2"/>
  <c r="BS624" i="2"/>
  <c r="BU624" i="2" s="1"/>
  <c r="BR624" i="2"/>
  <c r="BT624" i="2" s="1"/>
  <c r="BH624" i="2"/>
  <c r="BD624" i="2"/>
  <c r="BC624" i="2"/>
  <c r="AV624" i="2"/>
  <c r="AU624" i="2"/>
  <c r="AN624" i="2"/>
  <c r="Q624" i="2"/>
  <c r="O624" i="2"/>
  <c r="N624" i="2"/>
  <c r="M624" i="2"/>
  <c r="K624" i="2"/>
  <c r="I624" i="2"/>
  <c r="H624" i="2"/>
  <c r="AO430" i="2" s="1"/>
  <c r="G624" i="2"/>
  <c r="F624" i="2"/>
  <c r="AS624" i="2" s="1"/>
  <c r="B624" i="2"/>
  <c r="A624" i="2"/>
  <c r="CB623" i="2"/>
  <c r="BZ623" i="2"/>
  <c r="BW623" i="2"/>
  <c r="BS623" i="2"/>
  <c r="BU623" i="2" s="1"/>
  <c r="BR623" i="2"/>
  <c r="BT623" i="2" s="1"/>
  <c r="BH623" i="2"/>
  <c r="BD623" i="2"/>
  <c r="BC623" i="2"/>
  <c r="AV623" i="2"/>
  <c r="AU623" i="2"/>
  <c r="AN623" i="2"/>
  <c r="Q623" i="2"/>
  <c r="O623" i="2"/>
  <c r="N623" i="2"/>
  <c r="M623" i="2"/>
  <c r="K623" i="2"/>
  <c r="I623" i="2"/>
  <c r="H623" i="2"/>
  <c r="AO687" i="2" s="1"/>
  <c r="G623" i="2"/>
  <c r="F623" i="2"/>
  <c r="B623" i="2"/>
  <c r="A623" i="2"/>
  <c r="CB622" i="2"/>
  <c r="BZ622" i="2"/>
  <c r="BW622" i="2"/>
  <c r="BS622" i="2"/>
  <c r="BU622" i="2" s="1"/>
  <c r="BR622" i="2"/>
  <c r="BT622" i="2" s="1"/>
  <c r="BH622" i="2"/>
  <c r="BD622" i="2"/>
  <c r="BC622" i="2"/>
  <c r="AV622" i="2"/>
  <c r="AU622" i="2"/>
  <c r="AN622" i="2"/>
  <c r="Q622" i="2"/>
  <c r="O622" i="2"/>
  <c r="N622" i="2"/>
  <c r="M622" i="2"/>
  <c r="K622" i="2"/>
  <c r="I622" i="2"/>
  <c r="H622" i="2"/>
  <c r="AO622" i="2" s="1"/>
  <c r="G622" i="2"/>
  <c r="F622" i="2"/>
  <c r="B622" i="2"/>
  <c r="A622" i="2"/>
  <c r="CB621" i="2"/>
  <c r="BZ621" i="2"/>
  <c r="BW621" i="2"/>
  <c r="BS621" i="2"/>
  <c r="BU621" i="2" s="1"/>
  <c r="BR621" i="2"/>
  <c r="BT621" i="2" s="1"/>
  <c r="BH621" i="2"/>
  <c r="BC621" i="2"/>
  <c r="AV621" i="2"/>
  <c r="AU621" i="2"/>
  <c r="AN621" i="2"/>
  <c r="Q621" i="2"/>
  <c r="O621" i="2"/>
  <c r="N621" i="2"/>
  <c r="M621" i="2"/>
  <c r="K621" i="2"/>
  <c r="I621" i="2"/>
  <c r="H621" i="2"/>
  <c r="G621" i="2"/>
  <c r="BD621" i="2" s="1"/>
  <c r="F621" i="2"/>
  <c r="B621" i="2"/>
  <c r="A621" i="2"/>
  <c r="CB620" i="2"/>
  <c r="BZ620" i="2"/>
  <c r="BW620" i="2"/>
  <c r="BS620" i="2"/>
  <c r="BU620" i="2" s="1"/>
  <c r="BR620" i="2"/>
  <c r="BT620" i="2" s="1"/>
  <c r="BH620" i="2"/>
  <c r="BD620" i="2"/>
  <c r="BC620" i="2"/>
  <c r="AV620" i="2"/>
  <c r="AU620" i="2"/>
  <c r="AN620" i="2"/>
  <c r="Q620" i="2"/>
  <c r="O620" i="2"/>
  <c r="N620" i="2"/>
  <c r="M620" i="2"/>
  <c r="K620" i="2"/>
  <c r="I620" i="2"/>
  <c r="H620" i="2"/>
  <c r="AQ620" i="2" s="1"/>
  <c r="G620" i="2"/>
  <c r="F620" i="2"/>
  <c r="B620" i="2"/>
  <c r="A620" i="2"/>
  <c r="CB619" i="2"/>
  <c r="BZ619" i="2"/>
  <c r="BW619" i="2"/>
  <c r="BS619" i="2"/>
  <c r="BU619" i="2" s="1"/>
  <c r="BR619" i="2"/>
  <c r="BT619" i="2" s="1"/>
  <c r="BH619" i="2"/>
  <c r="BD619" i="2"/>
  <c r="BC619" i="2"/>
  <c r="AV619" i="2"/>
  <c r="AU619" i="2"/>
  <c r="AN619" i="2"/>
  <c r="Q619" i="2"/>
  <c r="O619" i="2"/>
  <c r="N619" i="2"/>
  <c r="M619" i="2"/>
  <c r="K619" i="2"/>
  <c r="I619" i="2"/>
  <c r="H619" i="2"/>
  <c r="T619" i="2" s="1"/>
  <c r="G619" i="2"/>
  <c r="F619" i="2"/>
  <c r="B619" i="2"/>
  <c r="A619" i="2"/>
  <c r="CB618" i="2"/>
  <c r="BZ618" i="2"/>
  <c r="BW618" i="2"/>
  <c r="BS618" i="2"/>
  <c r="BU618" i="2" s="1"/>
  <c r="BR618" i="2"/>
  <c r="BT618" i="2" s="1"/>
  <c r="BP618" i="2"/>
  <c r="BQ618" i="2" s="1"/>
  <c r="BY618" i="2" s="1"/>
  <c r="BN618" i="2"/>
  <c r="BO618" i="2" s="1"/>
  <c r="BH618" i="2"/>
  <c r="BD618" i="2"/>
  <c r="BC618" i="2"/>
  <c r="AV618" i="2"/>
  <c r="AU618" i="2"/>
  <c r="AR618" i="2"/>
  <c r="AQ618" i="2"/>
  <c r="AO618" i="2"/>
  <c r="AN618" i="2"/>
  <c r="T618" i="2"/>
  <c r="Q618" i="2"/>
  <c r="O618" i="2"/>
  <c r="N618" i="2"/>
  <c r="M618" i="2"/>
  <c r="P618" i="2" s="1"/>
  <c r="K618" i="2"/>
  <c r="I618" i="2"/>
  <c r="G618" i="2"/>
  <c r="F618" i="2"/>
  <c r="B618" i="2"/>
  <c r="A618" i="2"/>
  <c r="CB617" i="2"/>
  <c r="BZ617" i="2"/>
  <c r="BW617" i="2"/>
  <c r="BS617" i="2"/>
  <c r="BU617" i="2" s="1"/>
  <c r="BR617" i="2"/>
  <c r="BT617" i="2" s="1"/>
  <c r="BH617" i="2"/>
  <c r="BD617" i="2"/>
  <c r="BC617" i="2"/>
  <c r="AV617" i="2"/>
  <c r="AU617" i="2"/>
  <c r="AN617" i="2"/>
  <c r="Q617" i="2"/>
  <c r="O617" i="2"/>
  <c r="N617" i="2"/>
  <c r="M617" i="2"/>
  <c r="K617" i="2"/>
  <c r="I617" i="2"/>
  <c r="H617" i="2"/>
  <c r="AQ617" i="2" s="1"/>
  <c r="G617" i="2"/>
  <c r="F617" i="2"/>
  <c r="B617" i="2"/>
  <c r="A617" i="2"/>
  <c r="CB616" i="2"/>
  <c r="BZ616" i="2"/>
  <c r="BW616" i="2"/>
  <c r="BS616" i="2"/>
  <c r="BU616" i="2" s="1"/>
  <c r="BR616" i="2"/>
  <c r="BT616" i="2" s="1"/>
  <c r="BH616" i="2"/>
  <c r="BD616" i="2"/>
  <c r="BC616" i="2"/>
  <c r="AV616" i="2"/>
  <c r="AU616" i="2"/>
  <c r="AN616" i="2"/>
  <c r="Q616" i="2"/>
  <c r="O616" i="2"/>
  <c r="N616" i="2"/>
  <c r="M616" i="2"/>
  <c r="K616" i="2"/>
  <c r="I616" i="2"/>
  <c r="H616" i="2"/>
  <c r="AO325" i="2" s="1"/>
  <c r="G616" i="2"/>
  <c r="F616" i="2"/>
  <c r="AS616" i="2" s="1"/>
  <c r="B616" i="2"/>
  <c r="A616" i="2"/>
  <c r="CB615" i="2"/>
  <c r="BZ615" i="2"/>
  <c r="BW615" i="2"/>
  <c r="BS615" i="2"/>
  <c r="BU615" i="2" s="1"/>
  <c r="BR615" i="2"/>
  <c r="BT615" i="2" s="1"/>
  <c r="BH615" i="2"/>
  <c r="BD615" i="2"/>
  <c r="BC615" i="2"/>
  <c r="AV615" i="2"/>
  <c r="AU615" i="2"/>
  <c r="AN615" i="2"/>
  <c r="Q615" i="2"/>
  <c r="O615" i="2"/>
  <c r="N615" i="2"/>
  <c r="M615" i="2"/>
  <c r="K615" i="2"/>
  <c r="I615" i="2"/>
  <c r="H615" i="2"/>
  <c r="AO421" i="2" s="1"/>
  <c r="G615" i="2"/>
  <c r="F615" i="2"/>
  <c r="AS615" i="2" s="1"/>
  <c r="B615" i="2"/>
  <c r="A615" i="2"/>
  <c r="CB614" i="2"/>
  <c r="CA614" i="2"/>
  <c r="BZ614" i="2"/>
  <c r="BW614" i="2"/>
  <c r="BX614" i="2" s="1"/>
  <c r="BS614" i="2"/>
  <c r="BU614" i="2" s="1"/>
  <c r="BR614" i="2"/>
  <c r="BT614" i="2" s="1"/>
  <c r="BP614" i="2"/>
  <c r="BQ614" i="2" s="1"/>
  <c r="BY614" i="2" s="1"/>
  <c r="BN614" i="2"/>
  <c r="BO614" i="2" s="1"/>
  <c r="BH614" i="2"/>
  <c r="BC614" i="2"/>
  <c r="AV614" i="2"/>
  <c r="AU614" i="2"/>
  <c r="AR614" i="2"/>
  <c r="AQ614" i="2"/>
  <c r="AO614" i="2"/>
  <c r="AN614" i="2"/>
  <c r="AP614" i="2" s="1"/>
  <c r="U614" i="2" s="1"/>
  <c r="T614" i="2"/>
  <c r="Q614" i="2"/>
  <c r="O614" i="2"/>
  <c r="N614" i="2"/>
  <c r="M614" i="2"/>
  <c r="K614" i="2"/>
  <c r="I614" i="2"/>
  <c r="G614" i="2"/>
  <c r="F614" i="2"/>
  <c r="B614" i="2"/>
  <c r="A614" i="2"/>
  <c r="CB613" i="2"/>
  <c r="BZ613" i="2"/>
  <c r="BW613" i="2"/>
  <c r="BS613" i="2"/>
  <c r="BU613" i="2" s="1"/>
  <c r="BR613" i="2"/>
  <c r="BT613" i="2" s="1"/>
  <c r="BH613" i="2"/>
  <c r="BD613" i="2"/>
  <c r="BC613" i="2"/>
  <c r="AV613" i="2"/>
  <c r="AU613" i="2"/>
  <c r="AN613" i="2"/>
  <c r="Q613" i="2"/>
  <c r="O613" i="2"/>
  <c r="N613" i="2"/>
  <c r="M613" i="2"/>
  <c r="K613" i="2"/>
  <c r="I613" i="2"/>
  <c r="H613" i="2"/>
  <c r="T613" i="2" s="1"/>
  <c r="G613" i="2"/>
  <c r="F613" i="2"/>
  <c r="B613" i="2"/>
  <c r="A613" i="2"/>
  <c r="CB612" i="2"/>
  <c r="BZ612" i="2"/>
  <c r="BW612" i="2"/>
  <c r="BS612" i="2"/>
  <c r="BU612" i="2" s="1"/>
  <c r="BR612" i="2"/>
  <c r="BT612" i="2" s="1"/>
  <c r="BH612" i="2"/>
  <c r="BD612" i="2"/>
  <c r="BC612" i="2"/>
  <c r="AV612" i="2"/>
  <c r="AU612" i="2"/>
  <c r="AN612" i="2"/>
  <c r="Q612" i="2"/>
  <c r="O612" i="2"/>
  <c r="N612" i="2"/>
  <c r="M612" i="2"/>
  <c r="P612" i="2" s="1"/>
  <c r="K612" i="2"/>
  <c r="I612" i="2"/>
  <c r="H612" i="2"/>
  <c r="AQ612" i="2" s="1"/>
  <c r="G612" i="2"/>
  <c r="F612" i="2"/>
  <c r="B612" i="2"/>
  <c r="A612" i="2"/>
  <c r="CB611" i="2"/>
  <c r="BZ611" i="2"/>
  <c r="BW611" i="2"/>
  <c r="BS611" i="2"/>
  <c r="BU611" i="2" s="1"/>
  <c r="BR611" i="2"/>
  <c r="BT611" i="2" s="1"/>
  <c r="BH611" i="2"/>
  <c r="BD611" i="2"/>
  <c r="BC611" i="2"/>
  <c r="AV611" i="2"/>
  <c r="AU611" i="2"/>
  <c r="AN611" i="2"/>
  <c r="Q611" i="2"/>
  <c r="O611" i="2"/>
  <c r="N611" i="2"/>
  <c r="M611" i="2"/>
  <c r="K611" i="2"/>
  <c r="I611" i="2"/>
  <c r="H611" i="2"/>
  <c r="T611" i="2" s="1"/>
  <c r="G611" i="2"/>
  <c r="F611" i="2"/>
  <c r="B611" i="2"/>
  <c r="A611" i="2"/>
  <c r="CB610" i="2"/>
  <c r="BZ610" i="2"/>
  <c r="BW610" i="2"/>
  <c r="BS610" i="2"/>
  <c r="BU610" i="2" s="1"/>
  <c r="BR610" i="2"/>
  <c r="BT610" i="2" s="1"/>
  <c r="BH610" i="2"/>
  <c r="BD610" i="2"/>
  <c r="BC610" i="2"/>
  <c r="AV610" i="2"/>
  <c r="AU610" i="2"/>
  <c r="AN610" i="2"/>
  <c r="Q610" i="2"/>
  <c r="O610" i="2"/>
  <c r="N610" i="2"/>
  <c r="M610" i="2"/>
  <c r="K610" i="2"/>
  <c r="I610" i="2"/>
  <c r="H610" i="2"/>
  <c r="AQ610" i="2" s="1"/>
  <c r="G610" i="2"/>
  <c r="F610" i="2"/>
  <c r="B610" i="2"/>
  <c r="A610" i="2"/>
  <c r="CB609" i="2"/>
  <c r="BZ609" i="2"/>
  <c r="BW609" i="2"/>
  <c r="BS609" i="2"/>
  <c r="BU609" i="2" s="1"/>
  <c r="BR609" i="2"/>
  <c r="BT609" i="2" s="1"/>
  <c r="BH609" i="2"/>
  <c r="BD609" i="2"/>
  <c r="BC609" i="2"/>
  <c r="AV609" i="2"/>
  <c r="AU609" i="2"/>
  <c r="AN609" i="2"/>
  <c r="Q609" i="2"/>
  <c r="O609" i="2"/>
  <c r="N609" i="2"/>
  <c r="M609" i="2"/>
  <c r="K609" i="2"/>
  <c r="I609" i="2"/>
  <c r="H609" i="2"/>
  <c r="G609" i="2"/>
  <c r="F609" i="2"/>
  <c r="AS609" i="2" s="1"/>
  <c r="AT609" i="2" s="1"/>
  <c r="CF609" i="2" s="1"/>
  <c r="B609" i="2"/>
  <c r="A609" i="2"/>
  <c r="CB608" i="2"/>
  <c r="BZ608" i="2"/>
  <c r="BW608" i="2"/>
  <c r="BS608" i="2"/>
  <c r="BU608" i="2" s="1"/>
  <c r="BR608" i="2"/>
  <c r="BT608" i="2" s="1"/>
  <c r="BH608" i="2"/>
  <c r="BD608" i="2"/>
  <c r="BC608" i="2"/>
  <c r="AV608" i="2"/>
  <c r="AU608" i="2"/>
  <c r="AN608" i="2"/>
  <c r="T608" i="2"/>
  <c r="Q608" i="2"/>
  <c r="BX608" i="2" s="1"/>
  <c r="O608" i="2"/>
  <c r="N608" i="2"/>
  <c r="M608" i="2"/>
  <c r="K608" i="2"/>
  <c r="I608" i="2"/>
  <c r="H608" i="2"/>
  <c r="AQ608" i="2" s="1"/>
  <c r="G608" i="2"/>
  <c r="F608" i="2"/>
  <c r="B608" i="2"/>
  <c r="A608" i="2"/>
  <c r="CB607" i="2"/>
  <c r="BZ607" i="2"/>
  <c r="BW607" i="2"/>
  <c r="BS607" i="2"/>
  <c r="BU607" i="2" s="1"/>
  <c r="BR607" i="2"/>
  <c r="BT607" i="2" s="1"/>
  <c r="BH607" i="2"/>
  <c r="BD607" i="2"/>
  <c r="BC607" i="2"/>
  <c r="AV607" i="2"/>
  <c r="AU607" i="2"/>
  <c r="AN607" i="2"/>
  <c r="Q607" i="2"/>
  <c r="O607" i="2"/>
  <c r="N607" i="2"/>
  <c r="M607" i="2"/>
  <c r="K607" i="2"/>
  <c r="I607" i="2"/>
  <c r="H607" i="2"/>
  <c r="AQ607" i="2" s="1"/>
  <c r="G607" i="2"/>
  <c r="F607" i="2"/>
  <c r="B607" i="2"/>
  <c r="A607" i="2"/>
  <c r="CB606" i="2"/>
  <c r="BZ606" i="2"/>
  <c r="BW606" i="2"/>
  <c r="BS606" i="2"/>
  <c r="BU606" i="2" s="1"/>
  <c r="BR606" i="2"/>
  <c r="BT606" i="2" s="1"/>
  <c r="BH606" i="2"/>
  <c r="BC606" i="2"/>
  <c r="AV606" i="2"/>
  <c r="AU606" i="2"/>
  <c r="AN606" i="2"/>
  <c r="Q606" i="2"/>
  <c r="O606" i="2"/>
  <c r="N606" i="2"/>
  <c r="M606" i="2"/>
  <c r="K606" i="2"/>
  <c r="I606" i="2"/>
  <c r="H606" i="2"/>
  <c r="T606" i="2" s="1"/>
  <c r="G606" i="2"/>
  <c r="F606" i="2"/>
  <c r="B606" i="2"/>
  <c r="A606" i="2"/>
  <c r="CB605" i="2"/>
  <c r="BZ605" i="2"/>
  <c r="BW605" i="2"/>
  <c r="BS605" i="2"/>
  <c r="BU605" i="2" s="1"/>
  <c r="BR605" i="2"/>
  <c r="BT605" i="2" s="1"/>
  <c r="BH605" i="2"/>
  <c r="BD605" i="2"/>
  <c r="BC605" i="2"/>
  <c r="AV605" i="2"/>
  <c r="AU605" i="2"/>
  <c r="AN605" i="2"/>
  <c r="Q605" i="2"/>
  <c r="O605" i="2"/>
  <c r="N605" i="2"/>
  <c r="M605" i="2"/>
  <c r="K605" i="2"/>
  <c r="I605" i="2"/>
  <c r="H605" i="2"/>
  <c r="AO100" i="2" s="1"/>
  <c r="G605" i="2"/>
  <c r="F605" i="2"/>
  <c r="B605" i="2"/>
  <c r="A605" i="2"/>
  <c r="CB604" i="2"/>
  <c r="BZ604" i="2"/>
  <c r="BW604" i="2"/>
  <c r="BS604" i="2"/>
  <c r="BU604" i="2" s="1"/>
  <c r="BR604" i="2"/>
  <c r="BT604" i="2" s="1"/>
  <c r="BH604" i="2"/>
  <c r="BD604" i="2"/>
  <c r="BC604" i="2"/>
  <c r="AV604" i="2"/>
  <c r="AU604" i="2"/>
  <c r="AN604" i="2"/>
  <c r="Q604" i="2"/>
  <c r="O604" i="2"/>
  <c r="N604" i="2"/>
  <c r="M604" i="2"/>
  <c r="K604" i="2"/>
  <c r="I604" i="2"/>
  <c r="H604" i="2"/>
  <c r="AQ604" i="2" s="1"/>
  <c r="G604" i="2"/>
  <c r="F604" i="2"/>
  <c r="B604" i="2"/>
  <c r="A604" i="2"/>
  <c r="CB603" i="2"/>
  <c r="BZ603" i="2"/>
  <c r="BW603" i="2"/>
  <c r="BS603" i="2"/>
  <c r="BU603" i="2" s="1"/>
  <c r="BR603" i="2"/>
  <c r="BT603" i="2" s="1"/>
  <c r="BH603" i="2"/>
  <c r="BD603" i="2"/>
  <c r="BC603" i="2"/>
  <c r="AV603" i="2"/>
  <c r="AU603" i="2"/>
  <c r="AN603" i="2"/>
  <c r="AP603" i="2" s="1"/>
  <c r="Q603" i="2"/>
  <c r="O603" i="2"/>
  <c r="N603" i="2"/>
  <c r="M603" i="2"/>
  <c r="K603" i="2"/>
  <c r="I603" i="2"/>
  <c r="H603" i="2"/>
  <c r="AO603" i="2" s="1"/>
  <c r="G603" i="2"/>
  <c r="F603" i="2"/>
  <c r="B603" i="2"/>
  <c r="A603" i="2"/>
  <c r="CB602" i="2"/>
  <c r="BZ602" i="2"/>
  <c r="BW602" i="2"/>
  <c r="BS602" i="2"/>
  <c r="BU602" i="2" s="1"/>
  <c r="BR602" i="2"/>
  <c r="BT602" i="2" s="1"/>
  <c r="BH602" i="2"/>
  <c r="BD602" i="2"/>
  <c r="BC602" i="2"/>
  <c r="AV602" i="2"/>
  <c r="AU602" i="2"/>
  <c r="AN602" i="2"/>
  <c r="Q602" i="2"/>
  <c r="O602" i="2"/>
  <c r="N602" i="2"/>
  <c r="M602" i="2"/>
  <c r="K602" i="2"/>
  <c r="I602" i="2"/>
  <c r="H602" i="2"/>
  <c r="AQ602" i="2" s="1"/>
  <c r="G602" i="2"/>
  <c r="F602" i="2"/>
  <c r="B602" i="2"/>
  <c r="A602" i="2"/>
  <c r="CB601" i="2"/>
  <c r="BZ601" i="2"/>
  <c r="BW601" i="2"/>
  <c r="BX601" i="2" s="1"/>
  <c r="BU601" i="2"/>
  <c r="BS601" i="2"/>
  <c r="BR601" i="2"/>
  <c r="BT601" i="2" s="1"/>
  <c r="BH601" i="2"/>
  <c r="BD601" i="2"/>
  <c r="BC601" i="2"/>
  <c r="AV601" i="2"/>
  <c r="AU601" i="2"/>
  <c r="AN601" i="2"/>
  <c r="Q601" i="2"/>
  <c r="O601" i="2"/>
  <c r="N601" i="2"/>
  <c r="M601" i="2"/>
  <c r="K601" i="2"/>
  <c r="I601" i="2"/>
  <c r="H601" i="2"/>
  <c r="G601" i="2"/>
  <c r="F601" i="2"/>
  <c r="B601" i="2"/>
  <c r="A601" i="2"/>
  <c r="CB600" i="2"/>
  <c r="BZ600" i="2"/>
  <c r="BW600" i="2"/>
  <c r="BS600" i="2"/>
  <c r="BU600" i="2" s="1"/>
  <c r="BR600" i="2"/>
  <c r="BT600" i="2" s="1"/>
  <c r="BH600" i="2"/>
  <c r="BD600" i="2"/>
  <c r="BC600" i="2"/>
  <c r="AV600" i="2"/>
  <c r="AU600" i="2"/>
  <c r="AN600" i="2"/>
  <c r="Q600" i="2"/>
  <c r="O600" i="2"/>
  <c r="N600" i="2"/>
  <c r="M600" i="2"/>
  <c r="P600" i="2" s="1"/>
  <c r="K600" i="2"/>
  <c r="I600" i="2"/>
  <c r="H600" i="2"/>
  <c r="AQ600" i="2" s="1"/>
  <c r="G600" i="2"/>
  <c r="F600" i="2"/>
  <c r="AS600" i="2" s="1"/>
  <c r="B600" i="2"/>
  <c r="A600" i="2"/>
  <c r="CB599" i="2"/>
  <c r="BZ599" i="2"/>
  <c r="BW599" i="2"/>
  <c r="BS599" i="2"/>
  <c r="BU599" i="2" s="1"/>
  <c r="BR599" i="2"/>
  <c r="BT599" i="2" s="1"/>
  <c r="BH599" i="2"/>
  <c r="BD599" i="2"/>
  <c r="BC599" i="2"/>
  <c r="AV599" i="2"/>
  <c r="AU599" i="2"/>
  <c r="AN599" i="2"/>
  <c r="Q599" i="2"/>
  <c r="O599" i="2"/>
  <c r="N599" i="2"/>
  <c r="M599" i="2"/>
  <c r="K599" i="2"/>
  <c r="I599" i="2"/>
  <c r="H599" i="2"/>
  <c r="G599" i="2"/>
  <c r="F599" i="2"/>
  <c r="B599" i="2"/>
  <c r="A599" i="2"/>
  <c r="CB598" i="2"/>
  <c r="BZ598" i="2"/>
  <c r="BW598" i="2"/>
  <c r="BS598" i="2"/>
  <c r="BU598" i="2" s="1"/>
  <c r="BR598" i="2"/>
  <c r="BT598" i="2" s="1"/>
  <c r="BH598" i="2"/>
  <c r="BD598" i="2"/>
  <c r="BC598" i="2"/>
  <c r="AV598" i="2"/>
  <c r="AU598" i="2"/>
  <c r="AN598" i="2"/>
  <c r="Q598" i="2"/>
  <c r="O598" i="2"/>
  <c r="N598" i="2"/>
  <c r="M598" i="2"/>
  <c r="K598" i="2"/>
  <c r="I598" i="2"/>
  <c r="H598" i="2"/>
  <c r="AO501" i="2" s="1"/>
  <c r="G598" i="2"/>
  <c r="F598" i="2"/>
  <c r="B598" i="2"/>
  <c r="A598" i="2"/>
  <c r="CB597" i="2"/>
  <c r="BZ597" i="2"/>
  <c r="BW597" i="2"/>
  <c r="BS597" i="2"/>
  <c r="BU597" i="2" s="1"/>
  <c r="BR597" i="2"/>
  <c r="BT597" i="2" s="1"/>
  <c r="BH597" i="2"/>
  <c r="BD597" i="2"/>
  <c r="BC597" i="2"/>
  <c r="AV597" i="2"/>
  <c r="AU597" i="2"/>
  <c r="AN597" i="2"/>
  <c r="Q597" i="2"/>
  <c r="O597" i="2"/>
  <c r="N597" i="2"/>
  <c r="M597" i="2"/>
  <c r="K597" i="2"/>
  <c r="I597" i="2"/>
  <c r="H597" i="2"/>
  <c r="G597" i="2"/>
  <c r="F597" i="2"/>
  <c r="B597" i="2"/>
  <c r="A597" i="2"/>
  <c r="CB596" i="2"/>
  <c r="BZ596" i="2"/>
  <c r="BW596" i="2"/>
  <c r="BS596" i="2"/>
  <c r="BU596" i="2" s="1"/>
  <c r="BR596" i="2"/>
  <c r="BT596" i="2" s="1"/>
  <c r="BH596" i="2"/>
  <c r="BD596" i="2"/>
  <c r="BC596" i="2"/>
  <c r="AV596" i="2"/>
  <c r="AU596" i="2"/>
  <c r="AN596" i="2"/>
  <c r="Q596" i="2"/>
  <c r="O596" i="2"/>
  <c r="N596" i="2"/>
  <c r="M596" i="2"/>
  <c r="K596" i="2"/>
  <c r="I596" i="2"/>
  <c r="H596" i="2"/>
  <c r="G596" i="2"/>
  <c r="F596" i="2"/>
  <c r="B596" i="2"/>
  <c r="A596" i="2"/>
  <c r="CB595" i="2"/>
  <c r="BZ595" i="2"/>
  <c r="BW595" i="2"/>
  <c r="BS595" i="2"/>
  <c r="BU595" i="2" s="1"/>
  <c r="BR595" i="2"/>
  <c r="BT595" i="2" s="1"/>
  <c r="BH595" i="2"/>
  <c r="BD595" i="2"/>
  <c r="BC595" i="2"/>
  <c r="AV595" i="2"/>
  <c r="AU595" i="2"/>
  <c r="AN595" i="2"/>
  <c r="Q595" i="2"/>
  <c r="O595" i="2"/>
  <c r="N595" i="2"/>
  <c r="M595" i="2"/>
  <c r="K595" i="2"/>
  <c r="I595" i="2"/>
  <c r="H595" i="2"/>
  <c r="AQ595" i="2" s="1"/>
  <c r="G595" i="2"/>
  <c r="F595" i="2"/>
  <c r="B595" i="2"/>
  <c r="A595" i="2"/>
  <c r="CB594" i="2"/>
  <c r="BZ594" i="2"/>
  <c r="BW594" i="2"/>
  <c r="BX594" i="2" s="1"/>
  <c r="BS594" i="2"/>
  <c r="BU594" i="2" s="1"/>
  <c r="BR594" i="2"/>
  <c r="BT594" i="2" s="1"/>
  <c r="BH594" i="2"/>
  <c r="BD594" i="2"/>
  <c r="BC594" i="2"/>
  <c r="AV594" i="2"/>
  <c r="AU594" i="2"/>
  <c r="AN594" i="2"/>
  <c r="Q594" i="2"/>
  <c r="O594" i="2"/>
  <c r="N594" i="2"/>
  <c r="M594" i="2"/>
  <c r="K594" i="2"/>
  <c r="I594" i="2"/>
  <c r="H594" i="2"/>
  <c r="AO594" i="2" s="1"/>
  <c r="G594" i="2"/>
  <c r="F594" i="2"/>
  <c r="B594" i="2"/>
  <c r="A594" i="2"/>
  <c r="CB593" i="2"/>
  <c r="BZ593" i="2"/>
  <c r="BW593" i="2"/>
  <c r="BS593" i="2"/>
  <c r="BU593" i="2" s="1"/>
  <c r="BR593" i="2"/>
  <c r="BT593" i="2" s="1"/>
  <c r="BH593" i="2"/>
  <c r="BD593" i="2"/>
  <c r="BC593" i="2"/>
  <c r="AV593" i="2"/>
  <c r="AU593" i="2"/>
  <c r="AN593" i="2"/>
  <c r="Q593" i="2"/>
  <c r="O593" i="2"/>
  <c r="N593" i="2"/>
  <c r="M593" i="2"/>
  <c r="K593" i="2"/>
  <c r="I593" i="2"/>
  <c r="H593" i="2"/>
  <c r="AO593" i="2" s="1"/>
  <c r="G593" i="2"/>
  <c r="F593" i="2"/>
  <c r="B593" i="2"/>
  <c r="A593" i="2"/>
  <c r="CB592" i="2"/>
  <c r="BZ592" i="2"/>
  <c r="BW592" i="2"/>
  <c r="BS592" i="2"/>
  <c r="BU592" i="2" s="1"/>
  <c r="BR592" i="2"/>
  <c r="BT592" i="2" s="1"/>
  <c r="BH592" i="2"/>
  <c r="BD592" i="2"/>
  <c r="BC592" i="2"/>
  <c r="AV592" i="2"/>
  <c r="AU592" i="2"/>
  <c r="AN592" i="2"/>
  <c r="Q592" i="2"/>
  <c r="O592" i="2"/>
  <c r="N592" i="2"/>
  <c r="M592" i="2"/>
  <c r="K592" i="2"/>
  <c r="I592" i="2"/>
  <c r="H592" i="2"/>
  <c r="AQ592" i="2" s="1"/>
  <c r="G592" i="2"/>
  <c r="F592" i="2"/>
  <c r="B592" i="2"/>
  <c r="A592" i="2"/>
  <c r="CB591" i="2"/>
  <c r="BZ591" i="2"/>
  <c r="BW591" i="2"/>
  <c r="BS591" i="2"/>
  <c r="BU591" i="2" s="1"/>
  <c r="BR591" i="2"/>
  <c r="BT591" i="2" s="1"/>
  <c r="BH591" i="2"/>
  <c r="BD591" i="2"/>
  <c r="BC591" i="2"/>
  <c r="AV591" i="2"/>
  <c r="AU591" i="2"/>
  <c r="AN591" i="2"/>
  <c r="Q591" i="2"/>
  <c r="O591" i="2"/>
  <c r="N591" i="2"/>
  <c r="M591" i="2"/>
  <c r="K591" i="2"/>
  <c r="I591" i="2"/>
  <c r="H591" i="2"/>
  <c r="AO591" i="2" s="1"/>
  <c r="G591" i="2"/>
  <c r="F591" i="2"/>
  <c r="B591" i="2"/>
  <c r="A591" i="2"/>
  <c r="CB590" i="2"/>
  <c r="BZ590" i="2"/>
  <c r="BW590" i="2"/>
  <c r="BS590" i="2"/>
  <c r="BU590" i="2" s="1"/>
  <c r="BR590" i="2"/>
  <c r="BT590" i="2" s="1"/>
  <c r="BH590" i="2"/>
  <c r="BD590" i="2"/>
  <c r="BC590" i="2"/>
  <c r="AV590" i="2"/>
  <c r="AU590" i="2"/>
  <c r="AN590" i="2"/>
  <c r="Q590" i="2"/>
  <c r="O590" i="2"/>
  <c r="N590" i="2"/>
  <c r="M590" i="2"/>
  <c r="K590" i="2"/>
  <c r="I590" i="2"/>
  <c r="H590" i="2"/>
  <c r="AO590" i="2" s="1"/>
  <c r="G590" i="2"/>
  <c r="F590" i="2"/>
  <c r="B590" i="2"/>
  <c r="A590" i="2"/>
  <c r="CB589" i="2"/>
  <c r="BZ589" i="2"/>
  <c r="BW589" i="2"/>
  <c r="BS589" i="2"/>
  <c r="BU589" i="2" s="1"/>
  <c r="BR589" i="2"/>
  <c r="BT589" i="2" s="1"/>
  <c r="BH589" i="2"/>
  <c r="BD589" i="2"/>
  <c r="BC589" i="2"/>
  <c r="AV589" i="2"/>
  <c r="AU589" i="2"/>
  <c r="AN589" i="2"/>
  <c r="Q589" i="2"/>
  <c r="BX589" i="2" s="1"/>
  <c r="O589" i="2"/>
  <c r="N589" i="2"/>
  <c r="M589" i="2"/>
  <c r="K589" i="2"/>
  <c r="I589" i="2"/>
  <c r="H589" i="2"/>
  <c r="AO492" i="2" s="1"/>
  <c r="G589" i="2"/>
  <c r="F589" i="2"/>
  <c r="B589" i="2"/>
  <c r="A589" i="2"/>
  <c r="CB588" i="2"/>
  <c r="BZ588" i="2"/>
  <c r="BW588" i="2"/>
  <c r="BS588" i="2"/>
  <c r="BU588" i="2" s="1"/>
  <c r="BR588" i="2"/>
  <c r="BT588" i="2" s="1"/>
  <c r="BH588" i="2"/>
  <c r="BD588" i="2"/>
  <c r="BC588" i="2"/>
  <c r="AV588" i="2"/>
  <c r="AU588" i="2"/>
  <c r="AN588" i="2"/>
  <c r="Q588" i="2"/>
  <c r="O588" i="2"/>
  <c r="N588" i="2"/>
  <c r="M588" i="2"/>
  <c r="K588" i="2"/>
  <c r="I588" i="2"/>
  <c r="H588" i="2"/>
  <c r="G588" i="2"/>
  <c r="F588" i="2"/>
  <c r="B588" i="2"/>
  <c r="A588" i="2"/>
  <c r="CB587" i="2"/>
  <c r="BZ587" i="2"/>
  <c r="BW587" i="2"/>
  <c r="BS587" i="2"/>
  <c r="BU587" i="2" s="1"/>
  <c r="BR587" i="2"/>
  <c r="BT587" i="2" s="1"/>
  <c r="BH587" i="2"/>
  <c r="BD587" i="2"/>
  <c r="BC587" i="2"/>
  <c r="AV587" i="2"/>
  <c r="AU587" i="2"/>
  <c r="AN587" i="2"/>
  <c r="Q587" i="2"/>
  <c r="O587" i="2"/>
  <c r="N587" i="2"/>
  <c r="M587" i="2"/>
  <c r="K587" i="2"/>
  <c r="I587" i="2"/>
  <c r="H587" i="2"/>
  <c r="AO587" i="2" s="1"/>
  <c r="G587" i="2"/>
  <c r="F587" i="2"/>
  <c r="B587" i="2"/>
  <c r="A587" i="2"/>
  <c r="CB586" i="2"/>
  <c r="BZ586" i="2"/>
  <c r="BW586" i="2"/>
  <c r="BU586" i="2"/>
  <c r="BS586" i="2"/>
  <c r="BR586" i="2"/>
  <c r="BT586" i="2" s="1"/>
  <c r="BH586" i="2"/>
  <c r="BD586" i="2"/>
  <c r="BC586" i="2"/>
  <c r="AV586" i="2"/>
  <c r="AU586" i="2"/>
  <c r="AN586" i="2"/>
  <c r="Q586" i="2"/>
  <c r="O586" i="2"/>
  <c r="N586" i="2"/>
  <c r="M586" i="2"/>
  <c r="K586" i="2"/>
  <c r="I586" i="2"/>
  <c r="H586" i="2"/>
  <c r="AO586" i="2" s="1"/>
  <c r="G586" i="2"/>
  <c r="F586" i="2"/>
  <c r="B586" i="2"/>
  <c r="A586" i="2"/>
  <c r="CB585" i="2"/>
  <c r="BZ585" i="2"/>
  <c r="BW585" i="2"/>
  <c r="BS585" i="2"/>
  <c r="BU585" i="2" s="1"/>
  <c r="BR585" i="2"/>
  <c r="BT585" i="2" s="1"/>
  <c r="BH585" i="2"/>
  <c r="BD585" i="2"/>
  <c r="BC585" i="2"/>
  <c r="AV585" i="2"/>
  <c r="AU585" i="2"/>
  <c r="AN585" i="2"/>
  <c r="Q585" i="2"/>
  <c r="O585" i="2"/>
  <c r="N585" i="2"/>
  <c r="M585" i="2"/>
  <c r="K585" i="2"/>
  <c r="I585" i="2"/>
  <c r="H585" i="2"/>
  <c r="AO585" i="2" s="1"/>
  <c r="G585" i="2"/>
  <c r="F585" i="2"/>
  <c r="AS585" i="2" s="1"/>
  <c r="B585" i="2"/>
  <c r="A585" i="2"/>
  <c r="CB584" i="2"/>
  <c r="BZ584" i="2"/>
  <c r="BW584" i="2"/>
  <c r="BS584" i="2"/>
  <c r="BU584" i="2" s="1"/>
  <c r="BR584" i="2"/>
  <c r="BT584" i="2" s="1"/>
  <c r="BH584" i="2"/>
  <c r="BD584" i="2"/>
  <c r="BC584" i="2"/>
  <c r="AV584" i="2"/>
  <c r="AU584" i="2"/>
  <c r="AN584" i="2"/>
  <c r="Q584" i="2"/>
  <c r="O584" i="2"/>
  <c r="N584" i="2"/>
  <c r="M584" i="2"/>
  <c r="K584" i="2"/>
  <c r="I584" i="2"/>
  <c r="H584" i="2"/>
  <c r="AO584" i="2" s="1"/>
  <c r="G584" i="2"/>
  <c r="F584" i="2"/>
  <c r="B584" i="2"/>
  <c r="A584" i="2"/>
  <c r="CB583" i="2"/>
  <c r="CA583" i="2"/>
  <c r="BZ583" i="2"/>
  <c r="BW583" i="2"/>
  <c r="BS583" i="2"/>
  <c r="BU583" i="2" s="1"/>
  <c r="BR583" i="2"/>
  <c r="BT583" i="2" s="1"/>
  <c r="BP583" i="2"/>
  <c r="BQ583" i="2" s="1"/>
  <c r="BY583" i="2" s="1"/>
  <c r="BN583" i="2"/>
  <c r="BO583" i="2" s="1"/>
  <c r="BH583" i="2"/>
  <c r="BC583" i="2"/>
  <c r="AV583" i="2"/>
  <c r="AU583" i="2"/>
  <c r="AR583" i="2"/>
  <c r="AQ583" i="2"/>
  <c r="AO583" i="2"/>
  <c r="AN583" i="2"/>
  <c r="AP583" i="2" s="1"/>
  <c r="U583" i="2" s="1"/>
  <c r="T583" i="2"/>
  <c r="Q583" i="2"/>
  <c r="O583" i="2"/>
  <c r="N583" i="2"/>
  <c r="M583" i="2"/>
  <c r="K583" i="2"/>
  <c r="I583" i="2"/>
  <c r="G583" i="2"/>
  <c r="BD583" i="2" s="1"/>
  <c r="F583" i="2"/>
  <c r="B583" i="2"/>
  <c r="A583" i="2"/>
  <c r="CB582" i="2"/>
  <c r="BZ582" i="2"/>
  <c r="BW582" i="2"/>
  <c r="BS582" i="2"/>
  <c r="BU582" i="2" s="1"/>
  <c r="BR582" i="2"/>
  <c r="BT582" i="2" s="1"/>
  <c r="BH582" i="2"/>
  <c r="BD582" i="2"/>
  <c r="BC582" i="2"/>
  <c r="AV582" i="2"/>
  <c r="AU582" i="2"/>
  <c r="AN582" i="2"/>
  <c r="Q582" i="2"/>
  <c r="O582" i="2"/>
  <c r="N582" i="2"/>
  <c r="M582" i="2"/>
  <c r="K582" i="2"/>
  <c r="I582" i="2"/>
  <c r="H582" i="2"/>
  <c r="AO388" i="2" s="1"/>
  <c r="G582" i="2"/>
  <c r="F582" i="2"/>
  <c r="B582" i="2"/>
  <c r="A582" i="2"/>
  <c r="CB581" i="2"/>
  <c r="CA581" i="2"/>
  <c r="BZ581" i="2"/>
  <c r="BW581" i="2"/>
  <c r="BS581" i="2"/>
  <c r="BU581" i="2" s="1"/>
  <c r="BR581" i="2"/>
  <c r="BT581" i="2" s="1"/>
  <c r="BH581" i="2"/>
  <c r="BD581" i="2"/>
  <c r="BC581" i="2"/>
  <c r="AV581" i="2"/>
  <c r="AU581" i="2"/>
  <c r="AN581" i="2"/>
  <c r="Q581" i="2"/>
  <c r="O581" i="2"/>
  <c r="N581" i="2"/>
  <c r="M581" i="2"/>
  <c r="K581" i="2"/>
  <c r="I581" i="2"/>
  <c r="H581" i="2"/>
  <c r="AQ581" i="2" s="1"/>
  <c r="G581" i="2"/>
  <c r="F581" i="2"/>
  <c r="B581" i="2"/>
  <c r="A581" i="2"/>
  <c r="CB580" i="2"/>
  <c r="CA580" i="2"/>
  <c r="BZ580" i="2"/>
  <c r="BW580" i="2"/>
  <c r="BS580" i="2"/>
  <c r="BU580" i="2" s="1"/>
  <c r="BR580" i="2"/>
  <c r="BT580" i="2" s="1"/>
  <c r="BH580" i="2"/>
  <c r="BD580" i="2"/>
  <c r="BC580" i="2"/>
  <c r="AV580" i="2"/>
  <c r="AU580" i="2"/>
  <c r="AN580" i="2"/>
  <c r="Q580" i="2"/>
  <c r="O580" i="2"/>
  <c r="N580" i="2"/>
  <c r="M580" i="2"/>
  <c r="K580" i="2"/>
  <c r="I580" i="2"/>
  <c r="H580" i="2"/>
  <c r="AO580" i="2" s="1"/>
  <c r="G580" i="2"/>
  <c r="F580" i="2"/>
  <c r="B580" i="2"/>
  <c r="A580" i="2"/>
  <c r="CB579" i="2"/>
  <c r="BZ579" i="2"/>
  <c r="BW579" i="2"/>
  <c r="BT579" i="2"/>
  <c r="BS579" i="2"/>
  <c r="BU579" i="2" s="1"/>
  <c r="BR579" i="2"/>
  <c r="BH579" i="2"/>
  <c r="BD579" i="2"/>
  <c r="BC579" i="2"/>
  <c r="AV579" i="2"/>
  <c r="AU579" i="2"/>
  <c r="AN579" i="2"/>
  <c r="Q579" i="2"/>
  <c r="O579" i="2"/>
  <c r="N579" i="2"/>
  <c r="M579" i="2"/>
  <c r="K579" i="2"/>
  <c r="I579" i="2"/>
  <c r="H579" i="2"/>
  <c r="AO579" i="2" s="1"/>
  <c r="G579" i="2"/>
  <c r="F579" i="2"/>
  <c r="B579" i="2"/>
  <c r="A579" i="2"/>
  <c r="CB578" i="2"/>
  <c r="BZ578" i="2"/>
  <c r="BW578" i="2"/>
  <c r="BS578" i="2"/>
  <c r="BU578" i="2" s="1"/>
  <c r="BR578" i="2"/>
  <c r="BT578" i="2" s="1"/>
  <c r="BH578" i="2"/>
  <c r="BD578" i="2"/>
  <c r="BC578" i="2"/>
  <c r="AV578" i="2"/>
  <c r="AU578" i="2"/>
  <c r="AN578" i="2"/>
  <c r="Q578" i="2"/>
  <c r="O578" i="2"/>
  <c r="N578" i="2"/>
  <c r="M578" i="2"/>
  <c r="K578" i="2"/>
  <c r="I578" i="2"/>
  <c r="H578" i="2"/>
  <c r="G578" i="2"/>
  <c r="F578" i="2"/>
  <c r="B578" i="2"/>
  <c r="A578" i="2"/>
  <c r="CB577" i="2"/>
  <c r="BZ577" i="2"/>
  <c r="BW577" i="2"/>
  <c r="BS577" i="2"/>
  <c r="BU577" i="2" s="1"/>
  <c r="BR577" i="2"/>
  <c r="BT577" i="2" s="1"/>
  <c r="BH577" i="2"/>
  <c r="BD577" i="2"/>
  <c r="BC577" i="2"/>
  <c r="AV577" i="2"/>
  <c r="AU577" i="2"/>
  <c r="AN577" i="2"/>
  <c r="Q577" i="2"/>
  <c r="O577" i="2"/>
  <c r="N577" i="2"/>
  <c r="M577" i="2"/>
  <c r="K577" i="2"/>
  <c r="I577" i="2"/>
  <c r="H577" i="2"/>
  <c r="G577" i="2"/>
  <c r="F577" i="2"/>
  <c r="B577" i="2"/>
  <c r="A577" i="2"/>
  <c r="CB576" i="2"/>
  <c r="BZ576" i="2"/>
  <c r="BW576" i="2"/>
  <c r="BS576" i="2"/>
  <c r="BU576" i="2" s="1"/>
  <c r="BR576" i="2"/>
  <c r="BT576" i="2" s="1"/>
  <c r="BH576" i="2"/>
  <c r="BD576" i="2"/>
  <c r="BC576" i="2"/>
  <c r="AV576" i="2"/>
  <c r="AU576" i="2"/>
  <c r="AN576" i="2"/>
  <c r="Q576" i="2"/>
  <c r="O576" i="2"/>
  <c r="N576" i="2"/>
  <c r="M576" i="2"/>
  <c r="K576" i="2"/>
  <c r="I576" i="2"/>
  <c r="H576" i="2"/>
  <c r="U576" i="2" s="1"/>
  <c r="G576" i="2"/>
  <c r="F576" i="2"/>
  <c r="B576" i="2"/>
  <c r="A576" i="2"/>
  <c r="CB575" i="2"/>
  <c r="BZ575" i="2"/>
  <c r="BW575" i="2"/>
  <c r="BS575" i="2"/>
  <c r="BU575" i="2" s="1"/>
  <c r="BR575" i="2"/>
  <c r="BT575" i="2" s="1"/>
  <c r="BH575" i="2"/>
  <c r="BD575" i="2"/>
  <c r="BC575" i="2"/>
  <c r="AV575" i="2"/>
  <c r="AU575" i="2"/>
  <c r="AN575" i="2"/>
  <c r="Q575" i="2"/>
  <c r="O575" i="2"/>
  <c r="N575" i="2"/>
  <c r="M575" i="2"/>
  <c r="K575" i="2"/>
  <c r="I575" i="2"/>
  <c r="H575" i="2"/>
  <c r="AQ575" i="2" s="1"/>
  <c r="G575" i="2"/>
  <c r="F575" i="2"/>
  <c r="B575" i="2"/>
  <c r="A575" i="2"/>
  <c r="CB574" i="2"/>
  <c r="BZ574" i="2"/>
  <c r="BW574" i="2"/>
  <c r="BS574" i="2"/>
  <c r="BU574" i="2" s="1"/>
  <c r="BR574" i="2"/>
  <c r="BT574" i="2" s="1"/>
  <c r="BH574" i="2"/>
  <c r="BD574" i="2"/>
  <c r="BC574" i="2"/>
  <c r="AV574" i="2"/>
  <c r="AU574" i="2"/>
  <c r="AN574" i="2"/>
  <c r="Q574" i="2"/>
  <c r="O574" i="2"/>
  <c r="N574" i="2"/>
  <c r="M574" i="2"/>
  <c r="K574" i="2"/>
  <c r="I574" i="2"/>
  <c r="H574" i="2"/>
  <c r="AO574" i="2" s="1"/>
  <c r="G574" i="2"/>
  <c r="F574" i="2"/>
  <c r="B574" i="2"/>
  <c r="A574" i="2"/>
  <c r="CB573" i="2"/>
  <c r="BZ573" i="2"/>
  <c r="BW573" i="2"/>
  <c r="BT573" i="2"/>
  <c r="BS573" i="2"/>
  <c r="BU573" i="2" s="1"/>
  <c r="BR573" i="2"/>
  <c r="BH573" i="2"/>
  <c r="BD573" i="2"/>
  <c r="BC573" i="2"/>
  <c r="AV573" i="2"/>
  <c r="AU573" i="2"/>
  <c r="AN573" i="2"/>
  <c r="Q573" i="2"/>
  <c r="O573" i="2"/>
  <c r="N573" i="2"/>
  <c r="M573" i="2"/>
  <c r="K573" i="2"/>
  <c r="I573" i="2"/>
  <c r="H573" i="2"/>
  <c r="AO722" i="2" s="1"/>
  <c r="G573" i="2"/>
  <c r="F573" i="2"/>
  <c r="B573" i="2"/>
  <c r="A573" i="2"/>
  <c r="CB572" i="2"/>
  <c r="BZ572" i="2"/>
  <c r="BW572" i="2"/>
  <c r="BS572" i="2"/>
  <c r="BU572" i="2" s="1"/>
  <c r="BR572" i="2"/>
  <c r="BT572" i="2" s="1"/>
  <c r="BH572" i="2"/>
  <c r="BD572" i="2"/>
  <c r="BC572" i="2"/>
  <c r="AV572" i="2"/>
  <c r="AU572" i="2"/>
  <c r="AN572" i="2"/>
  <c r="Q572" i="2"/>
  <c r="O572" i="2"/>
  <c r="N572" i="2"/>
  <c r="M572" i="2"/>
  <c r="K572" i="2"/>
  <c r="I572" i="2"/>
  <c r="H572" i="2"/>
  <c r="AQ572" i="2" s="1"/>
  <c r="G572" i="2"/>
  <c r="F572" i="2"/>
  <c r="B572" i="2"/>
  <c r="A572" i="2"/>
  <c r="CB571" i="2"/>
  <c r="BZ571" i="2"/>
  <c r="BW571" i="2"/>
  <c r="BS571" i="2"/>
  <c r="BU571" i="2" s="1"/>
  <c r="BR571" i="2"/>
  <c r="BT571" i="2" s="1"/>
  <c r="BH571" i="2"/>
  <c r="BD571" i="2"/>
  <c r="BC571" i="2"/>
  <c r="AV571" i="2"/>
  <c r="AU571" i="2"/>
  <c r="AN571" i="2"/>
  <c r="Q571" i="2"/>
  <c r="O571" i="2"/>
  <c r="N571" i="2"/>
  <c r="M571" i="2"/>
  <c r="K571" i="2"/>
  <c r="I571" i="2"/>
  <c r="H571" i="2"/>
  <c r="AO571" i="2" s="1"/>
  <c r="G571" i="2"/>
  <c r="F571" i="2"/>
  <c r="B571" i="2"/>
  <c r="A571" i="2"/>
  <c r="CB570" i="2"/>
  <c r="BZ570" i="2"/>
  <c r="BW570" i="2"/>
  <c r="BS570" i="2"/>
  <c r="BU570" i="2" s="1"/>
  <c r="BR570" i="2"/>
  <c r="BT570" i="2" s="1"/>
  <c r="BH570" i="2"/>
  <c r="BC570" i="2"/>
  <c r="AV570" i="2"/>
  <c r="AU570" i="2"/>
  <c r="AN570" i="2"/>
  <c r="Q570" i="2"/>
  <c r="O570" i="2"/>
  <c r="N570" i="2"/>
  <c r="M570" i="2"/>
  <c r="K570" i="2"/>
  <c r="I570" i="2"/>
  <c r="H570" i="2"/>
  <c r="AO570" i="2" s="1"/>
  <c r="G570" i="2"/>
  <c r="BD570" i="2" s="1"/>
  <c r="F570" i="2"/>
  <c r="B570" i="2"/>
  <c r="A570" i="2"/>
  <c r="CB569" i="2"/>
  <c r="BZ569" i="2"/>
  <c r="BW569" i="2"/>
  <c r="BT569" i="2"/>
  <c r="BS569" i="2"/>
  <c r="BU569" i="2" s="1"/>
  <c r="BR569" i="2"/>
  <c r="BH569" i="2"/>
  <c r="BD569" i="2"/>
  <c r="BC569" i="2"/>
  <c r="AV569" i="2"/>
  <c r="AU569" i="2"/>
  <c r="AN569" i="2"/>
  <c r="Q569" i="2"/>
  <c r="O569" i="2"/>
  <c r="N569" i="2"/>
  <c r="M569" i="2"/>
  <c r="K569" i="2"/>
  <c r="I569" i="2"/>
  <c r="H569" i="2"/>
  <c r="AQ569" i="2" s="1"/>
  <c r="G569" i="2"/>
  <c r="F569" i="2"/>
  <c r="B569" i="2"/>
  <c r="A569" i="2"/>
  <c r="CB568" i="2"/>
  <c r="BZ568" i="2"/>
  <c r="BW568" i="2"/>
  <c r="BS568" i="2"/>
  <c r="BU568" i="2" s="1"/>
  <c r="BR568" i="2"/>
  <c r="BT568" i="2" s="1"/>
  <c r="BH568" i="2"/>
  <c r="BD568" i="2"/>
  <c r="BC568" i="2"/>
  <c r="AV568" i="2"/>
  <c r="AU568" i="2"/>
  <c r="AN568" i="2"/>
  <c r="Q568" i="2"/>
  <c r="O568" i="2"/>
  <c r="N568" i="2"/>
  <c r="M568" i="2"/>
  <c r="K568" i="2"/>
  <c r="I568" i="2"/>
  <c r="H568" i="2"/>
  <c r="AO568" i="2" s="1"/>
  <c r="G568" i="2"/>
  <c r="F568" i="2"/>
  <c r="B568" i="2"/>
  <c r="A568" i="2"/>
  <c r="CB567" i="2"/>
  <c r="BZ567" i="2"/>
  <c r="BW567" i="2"/>
  <c r="BS567" i="2"/>
  <c r="BU567" i="2" s="1"/>
  <c r="BR567" i="2"/>
  <c r="BT567" i="2" s="1"/>
  <c r="BH567" i="2"/>
  <c r="BC567" i="2"/>
  <c r="AV567" i="2"/>
  <c r="AU567" i="2"/>
  <c r="AN567" i="2"/>
  <c r="Q567" i="2"/>
  <c r="O567" i="2"/>
  <c r="N567" i="2"/>
  <c r="M567" i="2"/>
  <c r="K567" i="2"/>
  <c r="I567" i="2"/>
  <c r="H567" i="2"/>
  <c r="AQ567" i="2" s="1"/>
  <c r="G567" i="2"/>
  <c r="BD567" i="2" s="1"/>
  <c r="F567" i="2"/>
  <c r="B567" i="2"/>
  <c r="A567" i="2"/>
  <c r="CB566" i="2"/>
  <c r="BZ566" i="2"/>
  <c r="BW566" i="2"/>
  <c r="BS566" i="2"/>
  <c r="BU566" i="2" s="1"/>
  <c r="BR566" i="2"/>
  <c r="BT566" i="2" s="1"/>
  <c r="BH566" i="2"/>
  <c r="BD566" i="2"/>
  <c r="BC566" i="2"/>
  <c r="AV566" i="2"/>
  <c r="AU566" i="2"/>
  <c r="AN566" i="2"/>
  <c r="Q566" i="2"/>
  <c r="O566" i="2"/>
  <c r="N566" i="2"/>
  <c r="M566" i="2"/>
  <c r="K566" i="2"/>
  <c r="I566" i="2"/>
  <c r="H566" i="2"/>
  <c r="AQ566" i="2" s="1"/>
  <c r="G566" i="2"/>
  <c r="F566" i="2"/>
  <c r="B566" i="2"/>
  <c r="A566" i="2"/>
  <c r="CB565" i="2"/>
  <c r="BZ565" i="2"/>
  <c r="BW565" i="2"/>
  <c r="BU565" i="2"/>
  <c r="BS565" i="2"/>
  <c r="BR565" i="2"/>
  <c r="BT565" i="2" s="1"/>
  <c r="BH565" i="2"/>
  <c r="BD565" i="2"/>
  <c r="BC565" i="2"/>
  <c r="AV565" i="2"/>
  <c r="AU565" i="2"/>
  <c r="AN565" i="2"/>
  <c r="Q565" i="2"/>
  <c r="O565" i="2"/>
  <c r="N565" i="2"/>
  <c r="M565" i="2"/>
  <c r="K565" i="2"/>
  <c r="I565" i="2"/>
  <c r="H565" i="2"/>
  <c r="G565" i="2"/>
  <c r="F565" i="2"/>
  <c r="B565" i="2"/>
  <c r="A565" i="2"/>
  <c r="CB564" i="2"/>
  <c r="BZ564" i="2"/>
  <c r="BW564" i="2"/>
  <c r="BT564" i="2"/>
  <c r="BS564" i="2"/>
  <c r="BU564" i="2" s="1"/>
  <c r="BR564" i="2"/>
  <c r="BH564" i="2"/>
  <c r="BD564" i="2"/>
  <c r="BC564" i="2"/>
  <c r="AV564" i="2"/>
  <c r="AU564" i="2"/>
  <c r="AO564" i="2"/>
  <c r="AN564" i="2"/>
  <c r="Q564" i="2"/>
  <c r="O564" i="2"/>
  <c r="N564" i="2"/>
  <c r="M564" i="2"/>
  <c r="K564" i="2"/>
  <c r="I564" i="2"/>
  <c r="H564" i="2"/>
  <c r="AO716" i="2" s="1"/>
  <c r="AP716" i="2" s="1"/>
  <c r="G564" i="2"/>
  <c r="F564" i="2"/>
  <c r="B564" i="2"/>
  <c r="A564" i="2"/>
  <c r="CB563" i="2"/>
  <c r="BZ563" i="2"/>
  <c r="BW563" i="2"/>
  <c r="BS563" i="2"/>
  <c r="BU563" i="2" s="1"/>
  <c r="BR563" i="2"/>
  <c r="BT563" i="2" s="1"/>
  <c r="BH563" i="2"/>
  <c r="BD563" i="2"/>
  <c r="BC563" i="2"/>
  <c r="AV563" i="2"/>
  <c r="AU563" i="2"/>
  <c r="AN563" i="2"/>
  <c r="Q563" i="2"/>
  <c r="O563" i="2"/>
  <c r="N563" i="2"/>
  <c r="M563" i="2"/>
  <c r="K563" i="2"/>
  <c r="I563" i="2"/>
  <c r="H563" i="2"/>
  <c r="G563" i="2"/>
  <c r="F563" i="2"/>
  <c r="B563" i="2"/>
  <c r="A563" i="2"/>
  <c r="CB562" i="2"/>
  <c r="BZ562" i="2"/>
  <c r="BW562" i="2"/>
  <c r="BT562" i="2"/>
  <c r="BS562" i="2"/>
  <c r="BU562" i="2" s="1"/>
  <c r="BR562" i="2"/>
  <c r="BH562" i="2"/>
  <c r="BD562" i="2"/>
  <c r="BC562" i="2"/>
  <c r="AV562" i="2"/>
  <c r="AU562" i="2"/>
  <c r="AN562" i="2"/>
  <c r="U562" i="2"/>
  <c r="Q562" i="2"/>
  <c r="O562" i="2"/>
  <c r="N562" i="2"/>
  <c r="M562" i="2"/>
  <c r="K562" i="2"/>
  <c r="I562" i="2"/>
  <c r="H562" i="2"/>
  <c r="G562" i="2"/>
  <c r="F562" i="2"/>
  <c r="B562" i="2"/>
  <c r="A562" i="2"/>
  <c r="CB561" i="2"/>
  <c r="CA561" i="2"/>
  <c r="BZ561" i="2"/>
  <c r="BW561" i="2"/>
  <c r="BS561" i="2"/>
  <c r="BU561" i="2" s="1"/>
  <c r="BR561" i="2"/>
  <c r="BT561" i="2" s="1"/>
  <c r="BH561" i="2"/>
  <c r="BD561" i="2"/>
  <c r="BC561" i="2"/>
  <c r="AV561" i="2"/>
  <c r="AU561" i="2"/>
  <c r="AN561" i="2"/>
  <c r="Q561" i="2"/>
  <c r="O561" i="2"/>
  <c r="N561" i="2"/>
  <c r="M561" i="2"/>
  <c r="K561" i="2"/>
  <c r="I561" i="2"/>
  <c r="H561" i="2"/>
  <c r="AO464" i="2" s="1"/>
  <c r="G561" i="2"/>
  <c r="F561" i="2"/>
  <c r="B561" i="2"/>
  <c r="A561" i="2"/>
  <c r="CB560" i="2"/>
  <c r="BZ560" i="2"/>
  <c r="BW560" i="2"/>
  <c r="BU560" i="2"/>
  <c r="BS560" i="2"/>
  <c r="BR560" i="2"/>
  <c r="BT560" i="2" s="1"/>
  <c r="BH560" i="2"/>
  <c r="BD560" i="2"/>
  <c r="BC560" i="2"/>
  <c r="AV560" i="2"/>
  <c r="AU560" i="2"/>
  <c r="AN560" i="2"/>
  <c r="Q560" i="2"/>
  <c r="O560" i="2"/>
  <c r="N560" i="2"/>
  <c r="M560" i="2"/>
  <c r="K560" i="2"/>
  <c r="I560" i="2"/>
  <c r="H560" i="2"/>
  <c r="AQ560" i="2" s="1"/>
  <c r="G560" i="2"/>
  <c r="F560" i="2"/>
  <c r="B560" i="2"/>
  <c r="A560" i="2"/>
  <c r="CB559" i="2"/>
  <c r="BZ559" i="2"/>
  <c r="BW559" i="2"/>
  <c r="BS559" i="2"/>
  <c r="BU559" i="2" s="1"/>
  <c r="BR559" i="2"/>
  <c r="BT559" i="2" s="1"/>
  <c r="BH559" i="2"/>
  <c r="BC559" i="2"/>
  <c r="AV559" i="2"/>
  <c r="AU559" i="2"/>
  <c r="AN559" i="2"/>
  <c r="Q559" i="2"/>
  <c r="O559" i="2"/>
  <c r="N559" i="2"/>
  <c r="M559" i="2"/>
  <c r="K559" i="2"/>
  <c r="I559" i="2"/>
  <c r="H559" i="2"/>
  <c r="G559" i="2"/>
  <c r="BD559" i="2" s="1"/>
  <c r="F559" i="2"/>
  <c r="B559" i="2"/>
  <c r="A559" i="2"/>
  <c r="CB558" i="2"/>
  <c r="BZ558" i="2"/>
  <c r="BW558" i="2"/>
  <c r="BS558" i="2"/>
  <c r="BU558" i="2" s="1"/>
  <c r="BR558" i="2"/>
  <c r="BT558" i="2" s="1"/>
  <c r="BH558" i="2"/>
  <c r="BD558" i="2"/>
  <c r="BC558" i="2"/>
  <c r="BA558" i="2"/>
  <c r="AV558" i="2"/>
  <c r="AU558" i="2"/>
  <c r="AN558" i="2"/>
  <c r="Q558" i="2"/>
  <c r="O558" i="2"/>
  <c r="N558" i="2"/>
  <c r="M558" i="2"/>
  <c r="K558" i="2"/>
  <c r="I558" i="2"/>
  <c r="H558" i="2"/>
  <c r="U558" i="2" s="1"/>
  <c r="G558" i="2"/>
  <c r="F558" i="2"/>
  <c r="B558" i="2"/>
  <c r="A558" i="2"/>
  <c r="CB557" i="2"/>
  <c r="CA557" i="2"/>
  <c r="BZ557" i="2"/>
  <c r="BW557" i="2"/>
  <c r="BS557" i="2"/>
  <c r="BU557" i="2" s="1"/>
  <c r="BR557" i="2"/>
  <c r="BT557" i="2" s="1"/>
  <c r="BH557" i="2"/>
  <c r="BD557" i="2"/>
  <c r="BC557" i="2"/>
  <c r="AV557" i="2"/>
  <c r="AU557" i="2"/>
  <c r="AN557" i="2"/>
  <c r="Q557" i="2"/>
  <c r="O557" i="2"/>
  <c r="N557" i="2"/>
  <c r="M557" i="2"/>
  <c r="K557" i="2"/>
  <c r="I557" i="2"/>
  <c r="H557" i="2"/>
  <c r="U557" i="2" s="1"/>
  <c r="G557" i="2"/>
  <c r="F557" i="2"/>
  <c r="B557" i="2"/>
  <c r="A557" i="2"/>
  <c r="CB556" i="2"/>
  <c r="BZ556" i="2"/>
  <c r="BW556" i="2"/>
  <c r="BS556" i="2"/>
  <c r="BU556" i="2" s="1"/>
  <c r="BR556" i="2"/>
  <c r="BT556" i="2" s="1"/>
  <c r="BH556" i="2"/>
  <c r="BD556" i="2"/>
  <c r="BC556" i="2"/>
  <c r="AV556" i="2"/>
  <c r="AU556" i="2"/>
  <c r="AN556" i="2"/>
  <c r="Q556" i="2"/>
  <c r="O556" i="2"/>
  <c r="N556" i="2"/>
  <c r="M556" i="2"/>
  <c r="K556" i="2"/>
  <c r="I556" i="2"/>
  <c r="H556" i="2"/>
  <c r="U556" i="2" s="1"/>
  <c r="G556" i="2"/>
  <c r="F556" i="2"/>
  <c r="B556" i="2"/>
  <c r="A556" i="2"/>
  <c r="CB555" i="2"/>
  <c r="BZ555" i="2"/>
  <c r="BW555" i="2"/>
  <c r="BS555" i="2"/>
  <c r="BU555" i="2" s="1"/>
  <c r="BR555" i="2"/>
  <c r="BT555" i="2" s="1"/>
  <c r="BH555" i="2"/>
  <c r="BD555" i="2"/>
  <c r="BC555" i="2"/>
  <c r="AV555" i="2"/>
  <c r="AU555" i="2"/>
  <c r="AN555" i="2"/>
  <c r="Q555" i="2"/>
  <c r="O555" i="2"/>
  <c r="N555" i="2"/>
  <c r="M555" i="2"/>
  <c r="K555" i="2"/>
  <c r="I555" i="2"/>
  <c r="H555" i="2"/>
  <c r="G555" i="2"/>
  <c r="F555" i="2"/>
  <c r="B555" i="2"/>
  <c r="A555" i="2"/>
  <c r="CB554" i="2"/>
  <c r="BZ554" i="2"/>
  <c r="BW554" i="2"/>
  <c r="BS554" i="2"/>
  <c r="BU554" i="2" s="1"/>
  <c r="BR554" i="2"/>
  <c r="BT554" i="2" s="1"/>
  <c r="BH554" i="2"/>
  <c r="BD554" i="2"/>
  <c r="BC554" i="2"/>
  <c r="AV554" i="2"/>
  <c r="AU554" i="2"/>
  <c r="AN554" i="2"/>
  <c r="Q554" i="2"/>
  <c r="O554" i="2"/>
  <c r="N554" i="2"/>
  <c r="M554" i="2"/>
  <c r="K554" i="2"/>
  <c r="I554" i="2"/>
  <c r="H554" i="2"/>
  <c r="AQ554" i="2" s="1"/>
  <c r="G554" i="2"/>
  <c r="F554" i="2"/>
  <c r="B554" i="2"/>
  <c r="A554" i="2"/>
  <c r="CB553" i="2"/>
  <c r="BZ553" i="2"/>
  <c r="BW553" i="2"/>
  <c r="BU553" i="2"/>
  <c r="BS553" i="2"/>
  <c r="BR553" i="2"/>
  <c r="BT553" i="2" s="1"/>
  <c r="BH553" i="2"/>
  <c r="BD553" i="2"/>
  <c r="BC553" i="2"/>
  <c r="AV553" i="2"/>
  <c r="AU553" i="2"/>
  <c r="AN553" i="2"/>
  <c r="Q553" i="2"/>
  <c r="O553" i="2"/>
  <c r="N553" i="2"/>
  <c r="M553" i="2"/>
  <c r="K553" i="2"/>
  <c r="I553" i="2"/>
  <c r="H553" i="2"/>
  <c r="G553" i="2"/>
  <c r="AS553" i="2" s="1"/>
  <c r="F553" i="2"/>
  <c r="B553" i="2"/>
  <c r="A553" i="2"/>
  <c r="CB552" i="2"/>
  <c r="BZ552" i="2"/>
  <c r="BW552" i="2"/>
  <c r="BS552" i="2"/>
  <c r="BU552" i="2" s="1"/>
  <c r="BR552" i="2"/>
  <c r="BT552" i="2" s="1"/>
  <c r="BP552" i="2"/>
  <c r="BQ552" i="2" s="1"/>
  <c r="BY552" i="2" s="1"/>
  <c r="BN552" i="2"/>
  <c r="BO552" i="2" s="1"/>
  <c r="BH552" i="2"/>
  <c r="BC552" i="2"/>
  <c r="AV552" i="2"/>
  <c r="AU552" i="2"/>
  <c r="AR552" i="2"/>
  <c r="AQ552" i="2"/>
  <c r="AO552" i="2"/>
  <c r="AN552" i="2"/>
  <c r="U552" i="2"/>
  <c r="Q552" i="2"/>
  <c r="O552" i="2"/>
  <c r="N552" i="2"/>
  <c r="M552" i="2"/>
  <c r="K552" i="2"/>
  <c r="I552" i="2"/>
  <c r="G552" i="2"/>
  <c r="BD552" i="2" s="1"/>
  <c r="F552" i="2"/>
  <c r="AS552" i="2" s="1"/>
  <c r="AT552" i="2" s="1"/>
  <c r="CF552" i="2" s="1"/>
  <c r="B552" i="2"/>
  <c r="A552" i="2"/>
  <c r="CB551" i="2"/>
  <c r="BZ551" i="2"/>
  <c r="BW551" i="2"/>
  <c r="BS551" i="2"/>
  <c r="BU551" i="2" s="1"/>
  <c r="BR551" i="2"/>
  <c r="BT551" i="2" s="1"/>
  <c r="BH551" i="2"/>
  <c r="BD551" i="2"/>
  <c r="BC551" i="2"/>
  <c r="AV551" i="2"/>
  <c r="AU551" i="2"/>
  <c r="AN551" i="2"/>
  <c r="Q551" i="2"/>
  <c r="O551" i="2"/>
  <c r="N551" i="2"/>
  <c r="M551" i="2"/>
  <c r="K551" i="2"/>
  <c r="I551" i="2"/>
  <c r="H551" i="2"/>
  <c r="G551" i="2"/>
  <c r="F551" i="2"/>
  <c r="B551" i="2"/>
  <c r="A551" i="2"/>
  <c r="CB550" i="2"/>
  <c r="BZ550" i="2"/>
  <c r="BW550" i="2"/>
  <c r="BS550" i="2"/>
  <c r="BU550" i="2" s="1"/>
  <c r="BR550" i="2"/>
  <c r="BT550" i="2" s="1"/>
  <c r="BH550" i="2"/>
  <c r="BD550" i="2"/>
  <c r="BC550" i="2"/>
  <c r="AV550" i="2"/>
  <c r="AU550" i="2"/>
  <c r="AN550" i="2"/>
  <c r="Q550" i="2"/>
  <c r="O550" i="2"/>
  <c r="N550" i="2"/>
  <c r="M550" i="2"/>
  <c r="K550" i="2"/>
  <c r="I550" i="2"/>
  <c r="H550" i="2"/>
  <c r="G550" i="2"/>
  <c r="F550" i="2"/>
  <c r="B550" i="2"/>
  <c r="A550" i="2"/>
  <c r="CB549" i="2"/>
  <c r="BZ549" i="2"/>
  <c r="BW549" i="2"/>
  <c r="BS549" i="2"/>
  <c r="BU549" i="2" s="1"/>
  <c r="BR549" i="2"/>
  <c r="BT549" i="2" s="1"/>
  <c r="BH549" i="2"/>
  <c r="BD549" i="2"/>
  <c r="BC549" i="2"/>
  <c r="AV549" i="2"/>
  <c r="AU549" i="2"/>
  <c r="AN549" i="2"/>
  <c r="Q549" i="2"/>
  <c r="O549" i="2"/>
  <c r="N549" i="2"/>
  <c r="M549" i="2"/>
  <c r="K549" i="2"/>
  <c r="I549" i="2"/>
  <c r="H549" i="2"/>
  <c r="U549" i="2" s="1"/>
  <c r="G549" i="2"/>
  <c r="F549" i="2"/>
  <c r="B549" i="2"/>
  <c r="A549" i="2"/>
  <c r="CB548" i="2"/>
  <c r="BZ548" i="2"/>
  <c r="BW548" i="2"/>
  <c r="BS548" i="2"/>
  <c r="BU548" i="2" s="1"/>
  <c r="BR548" i="2"/>
  <c r="BT548" i="2" s="1"/>
  <c r="BH548" i="2"/>
  <c r="BD548" i="2"/>
  <c r="BC548" i="2"/>
  <c r="AV548" i="2"/>
  <c r="AU548" i="2"/>
  <c r="AN548" i="2"/>
  <c r="Q548" i="2"/>
  <c r="O548" i="2"/>
  <c r="N548" i="2"/>
  <c r="M548" i="2"/>
  <c r="K548" i="2"/>
  <c r="I548" i="2"/>
  <c r="H548" i="2"/>
  <c r="G548" i="2"/>
  <c r="F548" i="2"/>
  <c r="B548" i="2"/>
  <c r="A548" i="2"/>
  <c r="CB547" i="2"/>
  <c r="BZ547" i="2"/>
  <c r="BW547" i="2"/>
  <c r="BU547" i="2"/>
  <c r="BS547" i="2"/>
  <c r="BR547" i="2"/>
  <c r="BT547" i="2" s="1"/>
  <c r="BH547" i="2"/>
  <c r="BD547" i="2"/>
  <c r="BC547" i="2"/>
  <c r="AV547" i="2"/>
  <c r="AU547" i="2"/>
  <c r="AN547" i="2"/>
  <c r="Q547" i="2"/>
  <c r="BX547" i="2" s="1"/>
  <c r="O547" i="2"/>
  <c r="N547" i="2"/>
  <c r="M547" i="2"/>
  <c r="P547" i="2" s="1"/>
  <c r="K547" i="2"/>
  <c r="I547" i="2"/>
  <c r="H547" i="2"/>
  <c r="U547" i="2" s="1"/>
  <c r="G547" i="2"/>
  <c r="F547" i="2"/>
  <c r="B547" i="2"/>
  <c r="A547" i="2"/>
  <c r="CB546" i="2"/>
  <c r="BZ546" i="2"/>
  <c r="BW546" i="2"/>
  <c r="BS546" i="2"/>
  <c r="BU546" i="2" s="1"/>
  <c r="BR546" i="2"/>
  <c r="BT546" i="2" s="1"/>
  <c r="BH546" i="2"/>
  <c r="BD546" i="2"/>
  <c r="BC546" i="2"/>
  <c r="AV546" i="2"/>
  <c r="AU546" i="2"/>
  <c r="AN546" i="2"/>
  <c r="Q546" i="2"/>
  <c r="O546" i="2"/>
  <c r="N546" i="2"/>
  <c r="M546" i="2"/>
  <c r="K546" i="2"/>
  <c r="I546" i="2"/>
  <c r="H546" i="2"/>
  <c r="AQ546" i="2" s="1"/>
  <c r="G546" i="2"/>
  <c r="F546" i="2"/>
  <c r="B546" i="2"/>
  <c r="A546" i="2"/>
  <c r="CB545" i="2"/>
  <c r="BZ545" i="2"/>
  <c r="BW545" i="2"/>
  <c r="BS545" i="2"/>
  <c r="BU545" i="2" s="1"/>
  <c r="BR545" i="2"/>
  <c r="BT545" i="2" s="1"/>
  <c r="BH545" i="2"/>
  <c r="BD545" i="2"/>
  <c r="BC545" i="2"/>
  <c r="AV545" i="2"/>
  <c r="AU545" i="2"/>
  <c r="AN545" i="2"/>
  <c r="Q545" i="2"/>
  <c r="O545" i="2"/>
  <c r="N545" i="2"/>
  <c r="M545" i="2"/>
  <c r="K545" i="2"/>
  <c r="I545" i="2"/>
  <c r="H545" i="2"/>
  <c r="G545" i="2"/>
  <c r="F545" i="2"/>
  <c r="B545" i="2"/>
  <c r="A545" i="2"/>
  <c r="CB544" i="2"/>
  <c r="BZ544" i="2"/>
  <c r="BW544" i="2"/>
  <c r="BS544" i="2"/>
  <c r="BU544" i="2" s="1"/>
  <c r="BR544" i="2"/>
  <c r="BT544" i="2" s="1"/>
  <c r="BH544" i="2"/>
  <c r="BD544" i="2"/>
  <c r="BC544" i="2"/>
  <c r="AV544" i="2"/>
  <c r="AU544" i="2"/>
  <c r="AN544" i="2"/>
  <c r="Q544" i="2"/>
  <c r="O544" i="2"/>
  <c r="N544" i="2"/>
  <c r="M544" i="2"/>
  <c r="K544" i="2"/>
  <c r="I544" i="2"/>
  <c r="H544" i="2"/>
  <c r="AO642" i="2" s="1"/>
  <c r="G544" i="2"/>
  <c r="F544" i="2"/>
  <c r="AS544" i="2" s="1"/>
  <c r="B544" i="2"/>
  <c r="A544" i="2"/>
  <c r="CB543" i="2"/>
  <c r="CA543" i="2"/>
  <c r="BZ543" i="2"/>
  <c r="BW543" i="2"/>
  <c r="BS543" i="2"/>
  <c r="BU543" i="2" s="1"/>
  <c r="BR543" i="2"/>
  <c r="BT543" i="2" s="1"/>
  <c r="BH543" i="2"/>
  <c r="BD543" i="2"/>
  <c r="BC543" i="2"/>
  <c r="AV543" i="2"/>
  <c r="AU543" i="2"/>
  <c r="AN543" i="2"/>
  <c r="Q543" i="2"/>
  <c r="O543" i="2"/>
  <c r="N543" i="2"/>
  <c r="M543" i="2"/>
  <c r="K543" i="2"/>
  <c r="I543" i="2"/>
  <c r="H543" i="2"/>
  <c r="G543" i="2"/>
  <c r="F543" i="2"/>
  <c r="B543" i="2"/>
  <c r="A543" i="2"/>
  <c r="CB542" i="2"/>
  <c r="BZ542" i="2"/>
  <c r="BW542" i="2"/>
  <c r="BS542" i="2"/>
  <c r="BU542" i="2" s="1"/>
  <c r="BR542" i="2"/>
  <c r="BT542" i="2" s="1"/>
  <c r="BH542" i="2"/>
  <c r="BD542" i="2"/>
  <c r="BC542" i="2"/>
  <c r="AV542" i="2"/>
  <c r="AU542" i="2"/>
  <c r="AN542" i="2"/>
  <c r="Q542" i="2"/>
  <c r="O542" i="2"/>
  <c r="N542" i="2"/>
  <c r="M542" i="2"/>
  <c r="K542" i="2"/>
  <c r="I542" i="2"/>
  <c r="H542" i="2"/>
  <c r="U542" i="2" s="1"/>
  <c r="G542" i="2"/>
  <c r="F542" i="2"/>
  <c r="B542" i="2"/>
  <c r="A542" i="2"/>
  <c r="CB541" i="2"/>
  <c r="BZ541" i="2"/>
  <c r="BW541" i="2"/>
  <c r="BS541" i="2"/>
  <c r="BU541" i="2" s="1"/>
  <c r="BR541" i="2"/>
  <c r="BT541" i="2" s="1"/>
  <c r="BH541" i="2"/>
  <c r="BD541" i="2"/>
  <c r="BC541" i="2"/>
  <c r="AV541" i="2"/>
  <c r="AU541" i="2"/>
  <c r="AN541" i="2"/>
  <c r="Q541" i="2"/>
  <c r="O541" i="2"/>
  <c r="N541" i="2"/>
  <c r="M541" i="2"/>
  <c r="K541" i="2"/>
  <c r="I541" i="2"/>
  <c r="H541" i="2"/>
  <c r="G541" i="2"/>
  <c r="F541" i="2"/>
  <c r="B541" i="2"/>
  <c r="A541" i="2"/>
  <c r="CB540" i="2"/>
  <c r="BZ540" i="2"/>
  <c r="BW540" i="2"/>
  <c r="BS540" i="2"/>
  <c r="BU540" i="2" s="1"/>
  <c r="BR540" i="2"/>
  <c r="BT540" i="2" s="1"/>
  <c r="BH540" i="2"/>
  <c r="BD540" i="2"/>
  <c r="BC540" i="2"/>
  <c r="AV540" i="2"/>
  <c r="AU540" i="2"/>
  <c r="AN540" i="2"/>
  <c r="Q540" i="2"/>
  <c r="O540" i="2"/>
  <c r="N540" i="2"/>
  <c r="M540" i="2"/>
  <c r="K540" i="2"/>
  <c r="I540" i="2"/>
  <c r="H540" i="2"/>
  <c r="AO637" i="2" s="1"/>
  <c r="AP637" i="2" s="1"/>
  <c r="G540" i="2"/>
  <c r="F540" i="2"/>
  <c r="B540" i="2"/>
  <c r="A540" i="2"/>
  <c r="CB539" i="2"/>
  <c r="BZ539" i="2"/>
  <c r="BW539" i="2"/>
  <c r="BS539" i="2"/>
  <c r="BU539" i="2" s="1"/>
  <c r="BR539" i="2"/>
  <c r="BT539" i="2" s="1"/>
  <c r="BH539" i="2"/>
  <c r="BD539" i="2"/>
  <c r="BC539" i="2"/>
  <c r="AV539" i="2"/>
  <c r="AU539" i="2"/>
  <c r="AN539" i="2"/>
  <c r="Q539" i="2"/>
  <c r="O539" i="2"/>
  <c r="N539" i="2"/>
  <c r="M539" i="2"/>
  <c r="K539" i="2"/>
  <c r="I539" i="2"/>
  <c r="H539" i="2"/>
  <c r="U539" i="2" s="1"/>
  <c r="G539" i="2"/>
  <c r="F539" i="2"/>
  <c r="B539" i="2"/>
  <c r="A539" i="2"/>
  <c r="CB538" i="2"/>
  <c r="BZ538" i="2"/>
  <c r="BW538" i="2"/>
  <c r="BS538" i="2"/>
  <c r="BU538" i="2" s="1"/>
  <c r="BR538" i="2"/>
  <c r="BT538" i="2" s="1"/>
  <c r="BH538" i="2"/>
  <c r="BD538" i="2"/>
  <c r="BC538" i="2"/>
  <c r="AV538" i="2"/>
  <c r="AU538" i="2"/>
  <c r="AN538" i="2"/>
  <c r="Q538" i="2"/>
  <c r="O538" i="2"/>
  <c r="N538" i="2"/>
  <c r="M538" i="2"/>
  <c r="K538" i="2"/>
  <c r="I538" i="2"/>
  <c r="H538" i="2"/>
  <c r="AQ538" i="2" s="1"/>
  <c r="G538" i="2"/>
  <c r="F538" i="2"/>
  <c r="AS538" i="2" s="1"/>
  <c r="BE538" i="2" s="1"/>
  <c r="BF538" i="2" s="1"/>
  <c r="B538" i="2"/>
  <c r="A538" i="2"/>
  <c r="CB537" i="2"/>
  <c r="BZ537" i="2"/>
  <c r="BW537" i="2"/>
  <c r="BS537" i="2"/>
  <c r="BU537" i="2" s="1"/>
  <c r="BR537" i="2"/>
  <c r="BT537" i="2" s="1"/>
  <c r="BH537" i="2"/>
  <c r="BD537" i="2"/>
  <c r="BC537" i="2"/>
  <c r="AV537" i="2"/>
  <c r="AU537" i="2"/>
  <c r="AN537" i="2"/>
  <c r="Q537" i="2"/>
  <c r="O537" i="2"/>
  <c r="N537" i="2"/>
  <c r="M537" i="2"/>
  <c r="K537" i="2"/>
  <c r="I537" i="2"/>
  <c r="H537" i="2"/>
  <c r="G537" i="2"/>
  <c r="F537" i="2"/>
  <c r="B537" i="2"/>
  <c r="A537" i="2"/>
  <c r="CB536" i="2"/>
  <c r="BZ536" i="2"/>
  <c r="BW536" i="2"/>
  <c r="BS536" i="2"/>
  <c r="BU536" i="2" s="1"/>
  <c r="BR536" i="2"/>
  <c r="BT536" i="2" s="1"/>
  <c r="BH536" i="2"/>
  <c r="BD536" i="2"/>
  <c r="BC536" i="2"/>
  <c r="AV536" i="2"/>
  <c r="AU536" i="2"/>
  <c r="AQ536" i="2"/>
  <c r="AO536" i="2"/>
  <c r="AN536" i="2"/>
  <c r="T536" i="2"/>
  <c r="Q536" i="2"/>
  <c r="O536" i="2"/>
  <c r="N536" i="2"/>
  <c r="M536" i="2"/>
  <c r="K536" i="2"/>
  <c r="I536" i="2"/>
  <c r="G536" i="2"/>
  <c r="F536" i="2"/>
  <c r="B536" i="2"/>
  <c r="A536" i="2"/>
  <c r="CB535" i="2"/>
  <c r="BZ535" i="2"/>
  <c r="BW535" i="2"/>
  <c r="BS535" i="2"/>
  <c r="BU535" i="2" s="1"/>
  <c r="BR535" i="2"/>
  <c r="BT535" i="2" s="1"/>
  <c r="BH535" i="2"/>
  <c r="BD535" i="2"/>
  <c r="BC535" i="2"/>
  <c r="AV535" i="2"/>
  <c r="AU535" i="2"/>
  <c r="AQ535" i="2"/>
  <c r="AO535" i="2"/>
  <c r="AN535" i="2"/>
  <c r="T535" i="2"/>
  <c r="Q535" i="2"/>
  <c r="O535" i="2"/>
  <c r="N535" i="2"/>
  <c r="M535" i="2"/>
  <c r="K535" i="2"/>
  <c r="I535" i="2"/>
  <c r="G535" i="2"/>
  <c r="F535" i="2"/>
  <c r="B535" i="2"/>
  <c r="A535" i="2"/>
  <c r="CB534" i="2"/>
  <c r="BZ534" i="2"/>
  <c r="BW534" i="2"/>
  <c r="BS534" i="2"/>
  <c r="BU534" i="2" s="1"/>
  <c r="BR534" i="2"/>
  <c r="BT534" i="2" s="1"/>
  <c r="BH534" i="2"/>
  <c r="BD534" i="2"/>
  <c r="BC534" i="2"/>
  <c r="AV534" i="2"/>
  <c r="AU534" i="2"/>
  <c r="AQ534" i="2"/>
  <c r="AN534" i="2"/>
  <c r="T534" i="2"/>
  <c r="Q534" i="2"/>
  <c r="BX534" i="2" s="1"/>
  <c r="O534" i="2"/>
  <c r="N534" i="2"/>
  <c r="M534" i="2"/>
  <c r="K534" i="2"/>
  <c r="I534" i="2"/>
  <c r="G534" i="2"/>
  <c r="F534" i="2"/>
  <c r="B534" i="2"/>
  <c r="A534" i="2"/>
  <c r="CB533" i="2"/>
  <c r="BZ533" i="2"/>
  <c r="BW533" i="2"/>
  <c r="BS533" i="2"/>
  <c r="BU533" i="2" s="1"/>
  <c r="BR533" i="2"/>
  <c r="BT533" i="2" s="1"/>
  <c r="BP533" i="2"/>
  <c r="BQ533" i="2" s="1"/>
  <c r="BY533" i="2" s="1"/>
  <c r="BN533" i="2"/>
  <c r="BO533" i="2" s="1"/>
  <c r="BH533" i="2"/>
  <c r="BC533" i="2"/>
  <c r="AV533" i="2"/>
  <c r="AU533" i="2"/>
  <c r="AR533" i="2"/>
  <c r="AQ533" i="2"/>
  <c r="AO533" i="2"/>
  <c r="AN533" i="2"/>
  <c r="T533" i="2"/>
  <c r="Q533" i="2"/>
  <c r="O533" i="2"/>
  <c r="N533" i="2"/>
  <c r="M533" i="2"/>
  <c r="P533" i="2" s="1"/>
  <c r="K533" i="2"/>
  <c r="I533" i="2"/>
  <c r="G533" i="2"/>
  <c r="BD533" i="2" s="1"/>
  <c r="F533" i="2"/>
  <c r="B533" i="2"/>
  <c r="A533" i="2"/>
  <c r="CB532" i="2"/>
  <c r="CA532" i="2"/>
  <c r="BZ532" i="2"/>
  <c r="BW532" i="2"/>
  <c r="BS532" i="2"/>
  <c r="BU532" i="2" s="1"/>
  <c r="BR532" i="2"/>
  <c r="BT532" i="2" s="1"/>
  <c r="BP532" i="2"/>
  <c r="BQ532" i="2" s="1"/>
  <c r="BY532" i="2" s="1"/>
  <c r="BN532" i="2"/>
  <c r="BO532" i="2" s="1"/>
  <c r="BH532" i="2"/>
  <c r="BC532" i="2"/>
  <c r="AV532" i="2"/>
  <c r="AU532" i="2"/>
  <c r="AR532" i="2"/>
  <c r="AQ532" i="2"/>
  <c r="AO532" i="2"/>
  <c r="AN532" i="2"/>
  <c r="T532" i="2"/>
  <c r="Q532" i="2"/>
  <c r="O532" i="2"/>
  <c r="N532" i="2"/>
  <c r="M532" i="2"/>
  <c r="K532" i="2"/>
  <c r="I532" i="2"/>
  <c r="G532" i="2"/>
  <c r="BD532" i="2" s="1"/>
  <c r="F532" i="2"/>
  <c r="B532" i="2"/>
  <c r="A532" i="2"/>
  <c r="CB531" i="2"/>
  <c r="BZ531" i="2"/>
  <c r="BW531" i="2"/>
  <c r="BS531" i="2"/>
  <c r="BU531" i="2" s="1"/>
  <c r="BR531" i="2"/>
  <c r="BT531" i="2" s="1"/>
  <c r="BH531" i="2"/>
  <c r="BD531" i="2"/>
  <c r="BC531" i="2"/>
  <c r="AV531" i="2"/>
  <c r="AU531" i="2"/>
  <c r="AQ531" i="2"/>
  <c r="AO531" i="2"/>
  <c r="AN531" i="2"/>
  <c r="T531" i="2"/>
  <c r="Q531" i="2"/>
  <c r="O531" i="2"/>
  <c r="N531" i="2"/>
  <c r="M531" i="2"/>
  <c r="K531" i="2"/>
  <c r="I531" i="2"/>
  <c r="G531" i="2"/>
  <c r="F531" i="2"/>
  <c r="B531" i="2"/>
  <c r="A531" i="2"/>
  <c r="CB530" i="2"/>
  <c r="BZ530" i="2"/>
  <c r="BW530" i="2"/>
  <c r="BS530" i="2"/>
  <c r="BU530" i="2" s="1"/>
  <c r="BR530" i="2"/>
  <c r="BT530" i="2" s="1"/>
  <c r="BH530" i="2"/>
  <c r="BD530" i="2"/>
  <c r="BC530" i="2"/>
  <c r="AV530" i="2"/>
  <c r="AU530" i="2"/>
  <c r="AQ530" i="2"/>
  <c r="AO530" i="2"/>
  <c r="AN530" i="2"/>
  <c r="T530" i="2"/>
  <c r="Q530" i="2"/>
  <c r="O530" i="2"/>
  <c r="N530" i="2"/>
  <c r="M530" i="2"/>
  <c r="K530" i="2"/>
  <c r="I530" i="2"/>
  <c r="G530" i="2"/>
  <c r="F530" i="2"/>
  <c r="B530" i="2"/>
  <c r="A530" i="2"/>
  <c r="CB529" i="2"/>
  <c r="BZ529" i="2"/>
  <c r="BW529" i="2"/>
  <c r="BX529" i="2" s="1"/>
  <c r="BS529" i="2"/>
  <c r="BU529" i="2" s="1"/>
  <c r="BR529" i="2"/>
  <c r="BT529" i="2" s="1"/>
  <c r="BH529" i="2"/>
  <c r="BD529" i="2"/>
  <c r="BC529" i="2"/>
  <c r="AV529" i="2"/>
  <c r="AU529" i="2"/>
  <c r="AQ529" i="2"/>
  <c r="AN529" i="2"/>
  <c r="T529" i="2"/>
  <c r="Q529" i="2"/>
  <c r="O529" i="2"/>
  <c r="N529" i="2"/>
  <c r="M529" i="2"/>
  <c r="K529" i="2"/>
  <c r="I529" i="2"/>
  <c r="G529" i="2"/>
  <c r="F529" i="2"/>
  <c r="B529" i="2"/>
  <c r="A529" i="2"/>
  <c r="CB528" i="2"/>
  <c r="BZ528" i="2"/>
  <c r="BW528" i="2"/>
  <c r="BS528" i="2"/>
  <c r="BU528" i="2" s="1"/>
  <c r="BR528" i="2"/>
  <c r="BT528" i="2" s="1"/>
  <c r="BH528" i="2"/>
  <c r="BD528" i="2"/>
  <c r="BC528" i="2"/>
  <c r="AV528" i="2"/>
  <c r="AU528" i="2"/>
  <c r="AQ528" i="2"/>
  <c r="AN528" i="2"/>
  <c r="T528" i="2"/>
  <c r="Q528" i="2"/>
  <c r="O528" i="2"/>
  <c r="N528" i="2"/>
  <c r="M528" i="2"/>
  <c r="K528" i="2"/>
  <c r="I528" i="2"/>
  <c r="G528" i="2"/>
  <c r="F528" i="2"/>
  <c r="B528" i="2"/>
  <c r="A528" i="2"/>
  <c r="CB527" i="2"/>
  <c r="BZ527" i="2"/>
  <c r="BW527" i="2"/>
  <c r="BS527" i="2"/>
  <c r="BU527" i="2" s="1"/>
  <c r="BR527" i="2"/>
  <c r="BT527" i="2" s="1"/>
  <c r="BH527" i="2"/>
  <c r="BD527" i="2"/>
  <c r="BC527" i="2"/>
  <c r="AV527" i="2"/>
  <c r="AU527" i="2"/>
  <c r="AQ527" i="2"/>
  <c r="AN527" i="2"/>
  <c r="T527" i="2"/>
  <c r="Q527" i="2"/>
  <c r="O527" i="2"/>
  <c r="N527" i="2"/>
  <c r="M527" i="2"/>
  <c r="K527" i="2"/>
  <c r="I527" i="2"/>
  <c r="G527" i="2"/>
  <c r="F527" i="2"/>
  <c r="B527" i="2"/>
  <c r="A527" i="2"/>
  <c r="CB526" i="2"/>
  <c r="BZ526" i="2"/>
  <c r="BW526" i="2"/>
  <c r="BX526" i="2" s="1"/>
  <c r="BS526" i="2"/>
  <c r="BU526" i="2" s="1"/>
  <c r="BR526" i="2"/>
  <c r="BT526" i="2" s="1"/>
  <c r="BH526" i="2"/>
  <c r="BD526" i="2"/>
  <c r="BC526" i="2"/>
  <c r="AV526" i="2"/>
  <c r="AU526" i="2"/>
  <c r="AQ526" i="2"/>
  <c r="AN526" i="2"/>
  <c r="T526" i="2"/>
  <c r="Q526" i="2"/>
  <c r="O526" i="2"/>
  <c r="N526" i="2"/>
  <c r="M526" i="2"/>
  <c r="K526" i="2"/>
  <c r="I526" i="2"/>
  <c r="G526" i="2"/>
  <c r="F526" i="2"/>
  <c r="B526" i="2"/>
  <c r="A526" i="2"/>
  <c r="CB525" i="2"/>
  <c r="BZ525" i="2"/>
  <c r="BW525" i="2"/>
  <c r="BS525" i="2"/>
  <c r="BU525" i="2" s="1"/>
  <c r="BR525" i="2"/>
  <c r="BT525" i="2" s="1"/>
  <c r="BH525" i="2"/>
  <c r="BD525" i="2"/>
  <c r="BC525" i="2"/>
  <c r="AV525" i="2"/>
  <c r="AU525" i="2"/>
  <c r="AQ525" i="2"/>
  <c r="AN525" i="2"/>
  <c r="T525" i="2"/>
  <c r="Q525" i="2"/>
  <c r="O525" i="2"/>
  <c r="N525" i="2"/>
  <c r="M525" i="2"/>
  <c r="K525" i="2"/>
  <c r="I525" i="2"/>
  <c r="G525" i="2"/>
  <c r="F525" i="2"/>
  <c r="AS525" i="2" s="1"/>
  <c r="B525" i="2"/>
  <c r="A525" i="2"/>
  <c r="CB524" i="2"/>
  <c r="BZ524" i="2"/>
  <c r="BW524" i="2"/>
  <c r="BS524" i="2"/>
  <c r="BU524" i="2" s="1"/>
  <c r="BR524" i="2"/>
  <c r="BT524" i="2" s="1"/>
  <c r="BH524" i="2"/>
  <c r="BD524" i="2"/>
  <c r="BC524" i="2"/>
  <c r="AV524" i="2"/>
  <c r="AY524" i="2" s="1"/>
  <c r="AU524" i="2"/>
  <c r="AQ524" i="2"/>
  <c r="AN524" i="2"/>
  <c r="T524" i="2"/>
  <c r="Q524" i="2"/>
  <c r="O524" i="2"/>
  <c r="N524" i="2"/>
  <c r="M524" i="2"/>
  <c r="K524" i="2"/>
  <c r="I524" i="2"/>
  <c r="G524" i="2"/>
  <c r="F524" i="2"/>
  <c r="B524" i="2"/>
  <c r="A524" i="2"/>
  <c r="CB523" i="2"/>
  <c r="BZ523" i="2"/>
  <c r="BW523" i="2"/>
  <c r="BT523" i="2"/>
  <c r="BS523" i="2"/>
  <c r="BU523" i="2" s="1"/>
  <c r="BR523" i="2"/>
  <c r="BH523" i="2"/>
  <c r="BD523" i="2"/>
  <c r="BC523" i="2"/>
  <c r="AV523" i="2"/>
  <c r="AU523" i="2"/>
  <c r="AQ523" i="2"/>
  <c r="AN523" i="2"/>
  <c r="T523" i="2"/>
  <c r="Q523" i="2"/>
  <c r="O523" i="2"/>
  <c r="N523" i="2"/>
  <c r="M523" i="2"/>
  <c r="K523" i="2"/>
  <c r="I523" i="2"/>
  <c r="G523" i="2"/>
  <c r="F523" i="2"/>
  <c r="B523" i="2"/>
  <c r="A523" i="2"/>
  <c r="CB522" i="2"/>
  <c r="BZ522" i="2"/>
  <c r="BW522" i="2"/>
  <c r="BS522" i="2"/>
  <c r="BU522" i="2" s="1"/>
  <c r="BR522" i="2"/>
  <c r="BT522" i="2" s="1"/>
  <c r="BH522" i="2"/>
  <c r="BD522" i="2"/>
  <c r="BC522" i="2"/>
  <c r="AV522" i="2"/>
  <c r="AU522" i="2"/>
  <c r="AQ522" i="2"/>
  <c r="AO522" i="2"/>
  <c r="AN522" i="2"/>
  <c r="T522" i="2"/>
  <c r="Q522" i="2"/>
  <c r="O522" i="2"/>
  <c r="N522" i="2"/>
  <c r="M522" i="2"/>
  <c r="K522" i="2"/>
  <c r="I522" i="2"/>
  <c r="G522" i="2"/>
  <c r="F522" i="2"/>
  <c r="B522" i="2"/>
  <c r="A522" i="2"/>
  <c r="CB521" i="2"/>
  <c r="BZ521" i="2"/>
  <c r="BW521" i="2"/>
  <c r="BX521" i="2" s="1"/>
  <c r="BS521" i="2"/>
  <c r="BU521" i="2" s="1"/>
  <c r="BR521" i="2"/>
  <c r="BT521" i="2" s="1"/>
  <c r="BP521" i="2"/>
  <c r="BQ521" i="2" s="1"/>
  <c r="BY521" i="2" s="1"/>
  <c r="BO521" i="2"/>
  <c r="BN521" i="2"/>
  <c r="BH521" i="2"/>
  <c r="BC521" i="2"/>
  <c r="AV521" i="2"/>
  <c r="AU521" i="2"/>
  <c r="AR521" i="2"/>
  <c r="AQ521" i="2"/>
  <c r="AO521" i="2"/>
  <c r="AN521" i="2"/>
  <c r="T521" i="2"/>
  <c r="Q521" i="2"/>
  <c r="O521" i="2"/>
  <c r="N521" i="2"/>
  <c r="M521" i="2"/>
  <c r="K521" i="2"/>
  <c r="I521" i="2"/>
  <c r="G521" i="2"/>
  <c r="BD521" i="2" s="1"/>
  <c r="F521" i="2"/>
  <c r="B521" i="2"/>
  <c r="A521" i="2"/>
  <c r="CB520" i="2"/>
  <c r="BZ520" i="2"/>
  <c r="BW520" i="2"/>
  <c r="BT520" i="2"/>
  <c r="BS520" i="2"/>
  <c r="BU520" i="2" s="1"/>
  <c r="BR520" i="2"/>
  <c r="BH520" i="2"/>
  <c r="BD520" i="2"/>
  <c r="BC520" i="2"/>
  <c r="AV520" i="2"/>
  <c r="AU520" i="2"/>
  <c r="AQ520" i="2"/>
  <c r="AO520" i="2"/>
  <c r="AN520" i="2"/>
  <c r="T520" i="2"/>
  <c r="Q520" i="2"/>
  <c r="O520" i="2"/>
  <c r="N520" i="2"/>
  <c r="M520" i="2"/>
  <c r="K520" i="2"/>
  <c r="I520" i="2"/>
  <c r="G520" i="2"/>
  <c r="AS520" i="2" s="1"/>
  <c r="F520" i="2"/>
  <c r="B520" i="2"/>
  <c r="A520" i="2"/>
  <c r="CB519" i="2"/>
  <c r="BZ519" i="2"/>
  <c r="BW519" i="2"/>
  <c r="BS519" i="2"/>
  <c r="BU519" i="2" s="1"/>
  <c r="BR519" i="2"/>
  <c r="BT519" i="2" s="1"/>
  <c r="BH519" i="2"/>
  <c r="BD519" i="2"/>
  <c r="BC519" i="2"/>
  <c r="AV519" i="2"/>
  <c r="AU519" i="2"/>
  <c r="AQ519" i="2"/>
  <c r="AN519" i="2"/>
  <c r="T519" i="2"/>
  <c r="Q519" i="2"/>
  <c r="O519" i="2"/>
  <c r="N519" i="2"/>
  <c r="M519" i="2"/>
  <c r="K519" i="2"/>
  <c r="I519" i="2"/>
  <c r="G519" i="2"/>
  <c r="F519" i="2"/>
  <c r="B519" i="2"/>
  <c r="A519" i="2"/>
  <c r="CB518" i="2"/>
  <c r="BZ518" i="2"/>
  <c r="BW518" i="2"/>
  <c r="BS518" i="2"/>
  <c r="BU518" i="2" s="1"/>
  <c r="BR518" i="2"/>
  <c r="BT518" i="2" s="1"/>
  <c r="BH518" i="2"/>
  <c r="BD518" i="2"/>
  <c r="BC518" i="2"/>
  <c r="AV518" i="2"/>
  <c r="AU518" i="2"/>
  <c r="AQ518" i="2"/>
  <c r="AN518" i="2"/>
  <c r="T518" i="2"/>
  <c r="Q518" i="2"/>
  <c r="O518" i="2"/>
  <c r="N518" i="2"/>
  <c r="M518" i="2"/>
  <c r="K518" i="2"/>
  <c r="I518" i="2"/>
  <c r="G518" i="2"/>
  <c r="F518" i="2"/>
  <c r="B518" i="2"/>
  <c r="A518" i="2"/>
  <c r="CB517" i="2"/>
  <c r="CA517" i="2"/>
  <c r="BZ517" i="2"/>
  <c r="BW517" i="2"/>
  <c r="BS517" i="2"/>
  <c r="BU517" i="2" s="1"/>
  <c r="BR517" i="2"/>
  <c r="BT517" i="2" s="1"/>
  <c r="BP517" i="2"/>
  <c r="BQ517" i="2" s="1"/>
  <c r="BY517" i="2" s="1"/>
  <c r="BN517" i="2"/>
  <c r="BO517" i="2" s="1"/>
  <c r="BH517" i="2"/>
  <c r="BC517" i="2"/>
  <c r="AV517" i="2"/>
  <c r="AU517" i="2"/>
  <c r="AR517" i="2"/>
  <c r="AQ517" i="2"/>
  <c r="AO517" i="2"/>
  <c r="AN517" i="2"/>
  <c r="T517" i="2"/>
  <c r="Q517" i="2"/>
  <c r="O517" i="2"/>
  <c r="N517" i="2"/>
  <c r="M517" i="2"/>
  <c r="K517" i="2"/>
  <c r="I517" i="2"/>
  <c r="G517" i="2"/>
  <c r="BD517" i="2" s="1"/>
  <c r="F517" i="2"/>
  <c r="B517" i="2"/>
  <c r="A517" i="2"/>
  <c r="CB516" i="2"/>
  <c r="BZ516" i="2"/>
  <c r="BW516" i="2"/>
  <c r="BS516" i="2"/>
  <c r="BU516" i="2" s="1"/>
  <c r="BR516" i="2"/>
  <c r="BT516" i="2" s="1"/>
  <c r="BH516" i="2"/>
  <c r="BD516" i="2"/>
  <c r="BC516" i="2"/>
  <c r="AV516" i="2"/>
  <c r="AU516" i="2"/>
  <c r="AQ516" i="2"/>
  <c r="AN516" i="2"/>
  <c r="T516" i="2"/>
  <c r="Q516" i="2"/>
  <c r="BX516" i="2" s="1"/>
  <c r="O516" i="2"/>
  <c r="N516" i="2"/>
  <c r="P516" i="2" s="1"/>
  <c r="M516" i="2"/>
  <c r="K516" i="2"/>
  <c r="I516" i="2"/>
  <c r="G516" i="2"/>
  <c r="F516" i="2"/>
  <c r="B516" i="2"/>
  <c r="A516" i="2"/>
  <c r="CB515" i="2"/>
  <c r="BZ515" i="2"/>
  <c r="BW515" i="2"/>
  <c r="BS515" i="2"/>
  <c r="BU515" i="2" s="1"/>
  <c r="BR515" i="2"/>
  <c r="BT515" i="2" s="1"/>
  <c r="BH515" i="2"/>
  <c r="BD515" i="2"/>
  <c r="BC515" i="2"/>
  <c r="AV515" i="2"/>
  <c r="AU515" i="2"/>
  <c r="AQ515" i="2"/>
  <c r="AN515" i="2"/>
  <c r="T515" i="2"/>
  <c r="Q515" i="2"/>
  <c r="O515" i="2"/>
  <c r="N515" i="2"/>
  <c r="M515" i="2"/>
  <c r="K515" i="2"/>
  <c r="I515" i="2"/>
  <c r="G515" i="2"/>
  <c r="F515" i="2"/>
  <c r="B515" i="2"/>
  <c r="A515" i="2"/>
  <c r="CB514" i="2"/>
  <c r="BZ514" i="2"/>
  <c r="BW514" i="2"/>
  <c r="BX514" i="2" s="1"/>
  <c r="BS514" i="2"/>
  <c r="BU514" i="2" s="1"/>
  <c r="BR514" i="2"/>
  <c r="BT514" i="2" s="1"/>
  <c r="BH514" i="2"/>
  <c r="BD514" i="2"/>
  <c r="BC514" i="2"/>
  <c r="AV514" i="2"/>
  <c r="AU514" i="2"/>
  <c r="AQ514" i="2"/>
  <c r="AN514" i="2"/>
  <c r="T514" i="2"/>
  <c r="Q514" i="2"/>
  <c r="O514" i="2"/>
  <c r="N514" i="2"/>
  <c r="M514" i="2"/>
  <c r="K514" i="2"/>
  <c r="I514" i="2"/>
  <c r="G514" i="2"/>
  <c r="F514" i="2"/>
  <c r="B514" i="2"/>
  <c r="A514" i="2"/>
  <c r="CB513" i="2"/>
  <c r="BZ513" i="2"/>
  <c r="BW513" i="2"/>
  <c r="BS513" i="2"/>
  <c r="BU513" i="2" s="1"/>
  <c r="BR513" i="2"/>
  <c r="BT513" i="2" s="1"/>
  <c r="BH513" i="2"/>
  <c r="BD513" i="2"/>
  <c r="BC513" i="2"/>
  <c r="AV513" i="2"/>
  <c r="AU513" i="2"/>
  <c r="AQ513" i="2"/>
  <c r="AO513" i="2"/>
  <c r="AN513" i="2"/>
  <c r="T513" i="2"/>
  <c r="Q513" i="2"/>
  <c r="O513" i="2"/>
  <c r="N513" i="2"/>
  <c r="P513" i="2" s="1"/>
  <c r="M513" i="2"/>
  <c r="K513" i="2"/>
  <c r="I513" i="2"/>
  <c r="G513" i="2"/>
  <c r="F513" i="2"/>
  <c r="B513" i="2"/>
  <c r="A513" i="2"/>
  <c r="CB512" i="2"/>
  <c r="BZ512" i="2"/>
  <c r="BW512" i="2"/>
  <c r="BS512" i="2"/>
  <c r="BU512" i="2" s="1"/>
  <c r="BR512" i="2"/>
  <c r="BT512" i="2" s="1"/>
  <c r="BH512" i="2"/>
  <c r="BD512" i="2"/>
  <c r="BC512" i="2"/>
  <c r="AV512" i="2"/>
  <c r="AU512" i="2"/>
  <c r="AQ512" i="2"/>
  <c r="AO512" i="2"/>
  <c r="AN512" i="2"/>
  <c r="T512" i="2"/>
  <c r="Q512" i="2"/>
  <c r="O512" i="2"/>
  <c r="N512" i="2"/>
  <c r="M512" i="2"/>
  <c r="K512" i="2"/>
  <c r="I512" i="2"/>
  <c r="G512" i="2"/>
  <c r="F512" i="2"/>
  <c r="B512" i="2"/>
  <c r="A512" i="2"/>
  <c r="CB511" i="2"/>
  <c r="BZ511" i="2"/>
  <c r="BW511" i="2"/>
  <c r="BS511" i="2"/>
  <c r="BU511" i="2" s="1"/>
  <c r="BR511" i="2"/>
  <c r="BT511" i="2" s="1"/>
  <c r="BH511" i="2"/>
  <c r="BD511" i="2"/>
  <c r="BC511" i="2"/>
  <c r="AV511" i="2"/>
  <c r="AU511" i="2"/>
  <c r="AQ511" i="2"/>
  <c r="AO511" i="2"/>
  <c r="AN511" i="2"/>
  <c r="T511" i="2"/>
  <c r="Q511" i="2"/>
  <c r="O511" i="2"/>
  <c r="N511" i="2"/>
  <c r="M511" i="2"/>
  <c r="K511" i="2"/>
  <c r="I511" i="2"/>
  <c r="G511" i="2"/>
  <c r="F511" i="2"/>
  <c r="B511" i="2"/>
  <c r="A511" i="2"/>
  <c r="CB510" i="2"/>
  <c r="BZ510" i="2"/>
  <c r="BW510" i="2"/>
  <c r="BS510" i="2"/>
  <c r="BU510" i="2" s="1"/>
  <c r="BR510" i="2"/>
  <c r="BT510" i="2" s="1"/>
  <c r="BH510" i="2"/>
  <c r="BD510" i="2"/>
  <c r="BC510" i="2"/>
  <c r="AV510" i="2"/>
  <c r="AU510" i="2"/>
  <c r="AQ510" i="2"/>
  <c r="AO510" i="2"/>
  <c r="AN510" i="2"/>
  <c r="T510" i="2"/>
  <c r="Q510" i="2"/>
  <c r="O510" i="2"/>
  <c r="N510" i="2"/>
  <c r="M510" i="2"/>
  <c r="K510" i="2"/>
  <c r="I510" i="2"/>
  <c r="G510" i="2"/>
  <c r="F510" i="2"/>
  <c r="B510" i="2"/>
  <c r="A510" i="2"/>
  <c r="CB509" i="2"/>
  <c r="BZ509" i="2"/>
  <c r="BW509" i="2"/>
  <c r="BS509" i="2"/>
  <c r="BU509" i="2" s="1"/>
  <c r="BR509" i="2"/>
  <c r="BT509" i="2" s="1"/>
  <c r="BH509" i="2"/>
  <c r="BC509" i="2"/>
  <c r="AV509" i="2"/>
  <c r="AU509" i="2"/>
  <c r="AQ509" i="2"/>
  <c r="AO509" i="2"/>
  <c r="AN509" i="2"/>
  <c r="T509" i="2"/>
  <c r="Q509" i="2"/>
  <c r="O509" i="2"/>
  <c r="N509" i="2"/>
  <c r="M509" i="2"/>
  <c r="K509" i="2"/>
  <c r="I509" i="2"/>
  <c r="G509" i="2"/>
  <c r="BD509" i="2" s="1"/>
  <c r="F509" i="2"/>
  <c r="B509" i="2"/>
  <c r="A509" i="2"/>
  <c r="CB508" i="2"/>
  <c r="BZ508" i="2"/>
  <c r="BW508" i="2"/>
  <c r="BS508" i="2"/>
  <c r="BU508" i="2" s="1"/>
  <c r="BR508" i="2"/>
  <c r="BT508" i="2" s="1"/>
  <c r="BH508" i="2"/>
  <c r="BD508" i="2"/>
  <c r="BC508" i="2"/>
  <c r="AV508" i="2"/>
  <c r="AU508" i="2"/>
  <c r="AQ508" i="2"/>
  <c r="AO508" i="2"/>
  <c r="AN508" i="2"/>
  <c r="T508" i="2"/>
  <c r="Q508" i="2"/>
  <c r="O508" i="2"/>
  <c r="N508" i="2"/>
  <c r="M508" i="2"/>
  <c r="K508" i="2"/>
  <c r="I508" i="2"/>
  <c r="G508" i="2"/>
  <c r="F508" i="2"/>
  <c r="B508" i="2"/>
  <c r="A508" i="2"/>
  <c r="CB507" i="2"/>
  <c r="BZ507" i="2"/>
  <c r="BW507" i="2"/>
  <c r="BS507" i="2"/>
  <c r="BU507" i="2" s="1"/>
  <c r="BR507" i="2"/>
  <c r="BT507" i="2" s="1"/>
  <c r="BH507" i="2"/>
  <c r="BD507" i="2"/>
  <c r="BC507" i="2"/>
  <c r="AV507" i="2"/>
  <c r="AU507" i="2"/>
  <c r="AQ507" i="2"/>
  <c r="AN507" i="2"/>
  <c r="T507" i="2"/>
  <c r="Q507" i="2"/>
  <c r="O507" i="2"/>
  <c r="N507" i="2"/>
  <c r="M507" i="2"/>
  <c r="K507" i="2"/>
  <c r="I507" i="2"/>
  <c r="G507" i="2"/>
  <c r="F507" i="2"/>
  <c r="B507" i="2"/>
  <c r="A507" i="2"/>
  <c r="CB506" i="2"/>
  <c r="BZ506" i="2"/>
  <c r="BW506" i="2"/>
  <c r="BU506" i="2"/>
  <c r="BS506" i="2"/>
  <c r="BR506" i="2"/>
  <c r="BT506" i="2" s="1"/>
  <c r="BH506" i="2"/>
  <c r="BD506" i="2"/>
  <c r="BC506" i="2"/>
  <c r="AV506" i="2"/>
  <c r="AU506" i="2"/>
  <c r="AQ506" i="2"/>
  <c r="AO506" i="2"/>
  <c r="AN506" i="2"/>
  <c r="T506" i="2"/>
  <c r="Q506" i="2"/>
  <c r="O506" i="2"/>
  <c r="N506" i="2"/>
  <c r="M506" i="2"/>
  <c r="K506" i="2"/>
  <c r="I506" i="2"/>
  <c r="G506" i="2"/>
  <c r="F506" i="2"/>
  <c r="B506" i="2"/>
  <c r="A506" i="2"/>
  <c r="CB505" i="2"/>
  <c r="BZ505" i="2"/>
  <c r="BW505" i="2"/>
  <c r="BS505" i="2"/>
  <c r="BU505" i="2" s="1"/>
  <c r="BR505" i="2"/>
  <c r="BT505" i="2" s="1"/>
  <c r="BH505" i="2"/>
  <c r="BD505" i="2"/>
  <c r="BC505" i="2"/>
  <c r="AV505" i="2"/>
  <c r="AU505" i="2"/>
  <c r="AQ505" i="2"/>
  <c r="AO505" i="2"/>
  <c r="AN505" i="2"/>
  <c r="T505" i="2"/>
  <c r="Q505" i="2"/>
  <c r="O505" i="2"/>
  <c r="N505" i="2"/>
  <c r="M505" i="2"/>
  <c r="K505" i="2"/>
  <c r="I505" i="2"/>
  <c r="G505" i="2"/>
  <c r="F505" i="2"/>
  <c r="B505" i="2"/>
  <c r="A505" i="2"/>
  <c r="CB504" i="2"/>
  <c r="BZ504" i="2"/>
  <c r="BW504" i="2"/>
  <c r="BS504" i="2"/>
  <c r="BU504" i="2" s="1"/>
  <c r="BR504" i="2"/>
  <c r="BT504" i="2" s="1"/>
  <c r="BH504" i="2"/>
  <c r="BD504" i="2"/>
  <c r="BC504" i="2"/>
  <c r="AV504" i="2"/>
  <c r="AU504" i="2"/>
  <c r="AQ504" i="2"/>
  <c r="AN504" i="2"/>
  <c r="T504" i="2"/>
  <c r="Q504" i="2"/>
  <c r="BX504" i="2" s="1"/>
  <c r="O504" i="2"/>
  <c r="N504" i="2"/>
  <c r="M504" i="2"/>
  <c r="K504" i="2"/>
  <c r="I504" i="2"/>
  <c r="G504" i="2"/>
  <c r="F504" i="2"/>
  <c r="B504" i="2"/>
  <c r="A504" i="2"/>
  <c r="CB503" i="2"/>
  <c r="BZ503" i="2"/>
  <c r="BW503" i="2"/>
  <c r="BT503" i="2"/>
  <c r="BS503" i="2"/>
  <c r="BU503" i="2" s="1"/>
  <c r="BR503" i="2"/>
  <c r="BH503" i="2"/>
  <c r="BD503" i="2"/>
  <c r="BC503" i="2"/>
  <c r="AV503" i="2"/>
  <c r="AU503" i="2"/>
  <c r="AQ503" i="2"/>
  <c r="AN503" i="2"/>
  <c r="T503" i="2"/>
  <c r="Q503" i="2"/>
  <c r="O503" i="2"/>
  <c r="N503" i="2"/>
  <c r="M503" i="2"/>
  <c r="K503" i="2"/>
  <c r="I503" i="2"/>
  <c r="G503" i="2"/>
  <c r="F503" i="2"/>
  <c r="B503" i="2"/>
  <c r="A503" i="2"/>
  <c r="CB502" i="2"/>
  <c r="BZ502" i="2"/>
  <c r="BW502" i="2"/>
  <c r="BS502" i="2"/>
  <c r="BU502" i="2" s="1"/>
  <c r="BR502" i="2"/>
  <c r="BT502" i="2" s="1"/>
  <c r="BH502" i="2"/>
  <c r="BD502" i="2"/>
  <c r="BC502" i="2"/>
  <c r="AV502" i="2"/>
  <c r="AU502" i="2"/>
  <c r="AQ502" i="2"/>
  <c r="AN502" i="2"/>
  <c r="T502" i="2"/>
  <c r="Q502" i="2"/>
  <c r="O502" i="2"/>
  <c r="N502" i="2"/>
  <c r="M502" i="2"/>
  <c r="K502" i="2"/>
  <c r="I502" i="2"/>
  <c r="G502" i="2"/>
  <c r="F502" i="2"/>
  <c r="B502" i="2"/>
  <c r="A502" i="2"/>
  <c r="CB501" i="2"/>
  <c r="BZ501" i="2"/>
  <c r="BW501" i="2"/>
  <c r="BS501" i="2"/>
  <c r="BU501" i="2" s="1"/>
  <c r="BR501" i="2"/>
  <c r="BT501" i="2" s="1"/>
  <c r="BH501" i="2"/>
  <c r="BD501" i="2"/>
  <c r="BC501" i="2"/>
  <c r="AV501" i="2"/>
  <c r="AU501" i="2"/>
  <c r="AQ501" i="2"/>
  <c r="AN501" i="2"/>
  <c r="T501" i="2"/>
  <c r="Q501" i="2"/>
  <c r="O501" i="2"/>
  <c r="N501" i="2"/>
  <c r="P501" i="2" s="1"/>
  <c r="M501" i="2"/>
  <c r="K501" i="2"/>
  <c r="I501" i="2"/>
  <c r="G501" i="2"/>
  <c r="F501" i="2"/>
  <c r="B501" i="2"/>
  <c r="A501" i="2"/>
  <c r="CB500" i="2"/>
  <c r="BZ500" i="2"/>
  <c r="BW500" i="2"/>
  <c r="BS500" i="2"/>
  <c r="BU500" i="2" s="1"/>
  <c r="BR500" i="2"/>
  <c r="BT500" i="2" s="1"/>
  <c r="BH500" i="2"/>
  <c r="BD500" i="2"/>
  <c r="BC500" i="2"/>
  <c r="AV500" i="2"/>
  <c r="AU500" i="2"/>
  <c r="AQ500" i="2"/>
  <c r="AN500" i="2"/>
  <c r="T500" i="2"/>
  <c r="Q500" i="2"/>
  <c r="O500" i="2"/>
  <c r="N500" i="2"/>
  <c r="M500" i="2"/>
  <c r="K500" i="2"/>
  <c r="I500" i="2"/>
  <c r="G500" i="2"/>
  <c r="F500" i="2"/>
  <c r="B500" i="2"/>
  <c r="A500" i="2"/>
  <c r="CB499" i="2"/>
  <c r="BZ499" i="2"/>
  <c r="BW499" i="2"/>
  <c r="BS499" i="2"/>
  <c r="BU499" i="2" s="1"/>
  <c r="BR499" i="2"/>
  <c r="BT499" i="2" s="1"/>
  <c r="BH499" i="2"/>
  <c r="BD499" i="2"/>
  <c r="BC499" i="2"/>
  <c r="AV499" i="2"/>
  <c r="AU499" i="2"/>
  <c r="AQ499" i="2"/>
  <c r="AN499" i="2"/>
  <c r="T499" i="2"/>
  <c r="Q499" i="2"/>
  <c r="O499" i="2"/>
  <c r="N499" i="2"/>
  <c r="M499" i="2"/>
  <c r="K499" i="2"/>
  <c r="I499" i="2"/>
  <c r="G499" i="2"/>
  <c r="F499" i="2"/>
  <c r="B499" i="2"/>
  <c r="A499" i="2"/>
  <c r="CB498" i="2"/>
  <c r="BZ498" i="2"/>
  <c r="BW498" i="2"/>
  <c r="BS498" i="2"/>
  <c r="BU498" i="2" s="1"/>
  <c r="BR498" i="2"/>
  <c r="BT498" i="2" s="1"/>
  <c r="BH498" i="2"/>
  <c r="BD498" i="2"/>
  <c r="BC498" i="2"/>
  <c r="AV498" i="2"/>
  <c r="AU498" i="2"/>
  <c r="AQ498" i="2"/>
  <c r="AN498" i="2"/>
  <c r="T498" i="2"/>
  <c r="Q498" i="2"/>
  <c r="O498" i="2"/>
  <c r="N498" i="2"/>
  <c r="M498" i="2"/>
  <c r="K498" i="2"/>
  <c r="I498" i="2"/>
  <c r="G498" i="2"/>
  <c r="F498" i="2"/>
  <c r="B498" i="2"/>
  <c r="A498" i="2"/>
  <c r="CB497" i="2"/>
  <c r="BZ497" i="2"/>
  <c r="BW497" i="2"/>
  <c r="BS497" i="2"/>
  <c r="BU497" i="2" s="1"/>
  <c r="BR497" i="2"/>
  <c r="BT497" i="2" s="1"/>
  <c r="BH497" i="2"/>
  <c r="BD497" i="2"/>
  <c r="BC497" i="2"/>
  <c r="AV497" i="2"/>
  <c r="AU497" i="2"/>
  <c r="AQ497" i="2"/>
  <c r="AO497" i="2"/>
  <c r="AN497" i="2"/>
  <c r="T497" i="2"/>
  <c r="Q497" i="2"/>
  <c r="O497" i="2"/>
  <c r="N497" i="2"/>
  <c r="M497" i="2"/>
  <c r="K497" i="2"/>
  <c r="I497" i="2"/>
  <c r="G497" i="2"/>
  <c r="F497" i="2"/>
  <c r="B497" i="2"/>
  <c r="A497" i="2"/>
  <c r="CB496" i="2"/>
  <c r="BZ496" i="2"/>
  <c r="BW496" i="2"/>
  <c r="BS496" i="2"/>
  <c r="BU496" i="2" s="1"/>
  <c r="BR496" i="2"/>
  <c r="BT496" i="2" s="1"/>
  <c r="BH496" i="2"/>
  <c r="BD496" i="2"/>
  <c r="BC496" i="2"/>
  <c r="AV496" i="2"/>
  <c r="AU496" i="2"/>
  <c r="AQ496" i="2"/>
  <c r="AN496" i="2"/>
  <c r="T496" i="2"/>
  <c r="Q496" i="2"/>
  <c r="O496" i="2"/>
  <c r="N496" i="2"/>
  <c r="M496" i="2"/>
  <c r="K496" i="2"/>
  <c r="I496" i="2"/>
  <c r="G496" i="2"/>
  <c r="F496" i="2"/>
  <c r="B496" i="2"/>
  <c r="A496" i="2"/>
  <c r="CB495" i="2"/>
  <c r="BZ495" i="2"/>
  <c r="BW495" i="2"/>
  <c r="BS495" i="2"/>
  <c r="BU495" i="2" s="1"/>
  <c r="BR495" i="2"/>
  <c r="BT495" i="2" s="1"/>
  <c r="BH495" i="2"/>
  <c r="BD495" i="2"/>
  <c r="BC495" i="2"/>
  <c r="AV495" i="2"/>
  <c r="AU495" i="2"/>
  <c r="AQ495" i="2"/>
  <c r="AN495" i="2"/>
  <c r="T495" i="2"/>
  <c r="Q495" i="2"/>
  <c r="O495" i="2"/>
  <c r="N495" i="2"/>
  <c r="M495" i="2"/>
  <c r="K495" i="2"/>
  <c r="I495" i="2"/>
  <c r="G495" i="2"/>
  <c r="F495" i="2"/>
  <c r="B495" i="2"/>
  <c r="A495" i="2"/>
  <c r="CB494" i="2"/>
  <c r="BZ494" i="2"/>
  <c r="BW494" i="2"/>
  <c r="BT494" i="2"/>
  <c r="BS494" i="2"/>
  <c r="BU494" i="2" s="1"/>
  <c r="BR494" i="2"/>
  <c r="BH494" i="2"/>
  <c r="BD494" i="2"/>
  <c r="BC494" i="2"/>
  <c r="AV494" i="2"/>
  <c r="AU494" i="2"/>
  <c r="AQ494" i="2"/>
  <c r="AN494" i="2"/>
  <c r="T494" i="2"/>
  <c r="Q494" i="2"/>
  <c r="O494" i="2"/>
  <c r="N494" i="2"/>
  <c r="M494" i="2"/>
  <c r="K494" i="2"/>
  <c r="I494" i="2"/>
  <c r="G494" i="2"/>
  <c r="F494" i="2"/>
  <c r="B494" i="2"/>
  <c r="A494" i="2"/>
  <c r="CB493" i="2"/>
  <c r="BZ493" i="2"/>
  <c r="BW493" i="2"/>
  <c r="BS493" i="2"/>
  <c r="BU493" i="2" s="1"/>
  <c r="BR493" i="2"/>
  <c r="BT493" i="2" s="1"/>
  <c r="BH493" i="2"/>
  <c r="BD493" i="2"/>
  <c r="BC493" i="2"/>
  <c r="AV493" i="2"/>
  <c r="AU493" i="2"/>
  <c r="AQ493" i="2"/>
  <c r="AO493" i="2"/>
  <c r="AN493" i="2"/>
  <c r="T493" i="2"/>
  <c r="Q493" i="2"/>
  <c r="O493" i="2"/>
  <c r="N493" i="2"/>
  <c r="M493" i="2"/>
  <c r="K493" i="2"/>
  <c r="I493" i="2"/>
  <c r="G493" i="2"/>
  <c r="F493" i="2"/>
  <c r="B493" i="2"/>
  <c r="A493" i="2"/>
  <c r="CB492" i="2"/>
  <c r="BZ492" i="2"/>
  <c r="BW492" i="2"/>
  <c r="BS492" i="2"/>
  <c r="BU492" i="2" s="1"/>
  <c r="BR492" i="2"/>
  <c r="BT492" i="2" s="1"/>
  <c r="BH492" i="2"/>
  <c r="BD492" i="2"/>
  <c r="BC492" i="2"/>
  <c r="AV492" i="2"/>
  <c r="AU492" i="2"/>
  <c r="AQ492" i="2"/>
  <c r="AN492" i="2"/>
  <c r="T492" i="2"/>
  <c r="Q492" i="2"/>
  <c r="O492" i="2"/>
  <c r="N492" i="2"/>
  <c r="M492" i="2"/>
  <c r="K492" i="2"/>
  <c r="I492" i="2"/>
  <c r="G492" i="2"/>
  <c r="AS492" i="2" s="1"/>
  <c r="F492" i="2"/>
  <c r="B492" i="2"/>
  <c r="A492" i="2"/>
  <c r="CB491" i="2"/>
  <c r="BZ491" i="2"/>
  <c r="BW491" i="2"/>
  <c r="BS491" i="2"/>
  <c r="BU491" i="2" s="1"/>
  <c r="BR491" i="2"/>
  <c r="BT491" i="2" s="1"/>
  <c r="BH491" i="2"/>
  <c r="BD491" i="2"/>
  <c r="BC491" i="2"/>
  <c r="AV491" i="2"/>
  <c r="AU491" i="2"/>
  <c r="AQ491" i="2"/>
  <c r="AO491" i="2"/>
  <c r="AN491" i="2"/>
  <c r="T491" i="2"/>
  <c r="Q491" i="2"/>
  <c r="O491" i="2"/>
  <c r="N491" i="2"/>
  <c r="M491" i="2"/>
  <c r="K491" i="2"/>
  <c r="I491" i="2"/>
  <c r="G491" i="2"/>
  <c r="F491" i="2"/>
  <c r="B491" i="2"/>
  <c r="A491" i="2"/>
  <c r="CB490" i="2"/>
  <c r="BZ490" i="2"/>
  <c r="BW490" i="2"/>
  <c r="BS490" i="2"/>
  <c r="BU490" i="2" s="1"/>
  <c r="BR490" i="2"/>
  <c r="BT490" i="2" s="1"/>
  <c r="BH490" i="2"/>
  <c r="BD490" i="2"/>
  <c r="BC490" i="2"/>
  <c r="AV490" i="2"/>
  <c r="AU490" i="2"/>
  <c r="AQ490" i="2"/>
  <c r="AN490" i="2"/>
  <c r="T490" i="2"/>
  <c r="Q490" i="2"/>
  <c r="O490" i="2"/>
  <c r="N490" i="2"/>
  <c r="M490" i="2"/>
  <c r="K490" i="2"/>
  <c r="I490" i="2"/>
  <c r="G490" i="2"/>
  <c r="F490" i="2"/>
  <c r="B490" i="2"/>
  <c r="A490" i="2"/>
  <c r="CB489" i="2"/>
  <c r="BZ489" i="2"/>
  <c r="BW489" i="2"/>
  <c r="BS489" i="2"/>
  <c r="BU489" i="2" s="1"/>
  <c r="BR489" i="2"/>
  <c r="BT489" i="2" s="1"/>
  <c r="BH489" i="2"/>
  <c r="BD489" i="2"/>
  <c r="BC489" i="2"/>
  <c r="AV489" i="2"/>
  <c r="AU489" i="2"/>
  <c r="AQ489" i="2"/>
  <c r="AN489" i="2"/>
  <c r="T489" i="2"/>
  <c r="Q489" i="2"/>
  <c r="O489" i="2"/>
  <c r="N489" i="2"/>
  <c r="M489" i="2"/>
  <c r="K489" i="2"/>
  <c r="I489" i="2"/>
  <c r="G489" i="2"/>
  <c r="F489" i="2"/>
  <c r="B489" i="2"/>
  <c r="A489" i="2"/>
  <c r="CB488" i="2"/>
  <c r="BZ488" i="2"/>
  <c r="BW488" i="2"/>
  <c r="BS488" i="2"/>
  <c r="BU488" i="2" s="1"/>
  <c r="BR488" i="2"/>
  <c r="BT488" i="2" s="1"/>
  <c r="BH488" i="2"/>
  <c r="BD488" i="2"/>
  <c r="BC488" i="2"/>
  <c r="AV488" i="2"/>
  <c r="AU488" i="2"/>
  <c r="AQ488" i="2"/>
  <c r="AN488" i="2"/>
  <c r="T488" i="2"/>
  <c r="Q488" i="2"/>
  <c r="O488" i="2"/>
  <c r="N488" i="2"/>
  <c r="M488" i="2"/>
  <c r="K488" i="2"/>
  <c r="I488" i="2"/>
  <c r="G488" i="2"/>
  <c r="F488" i="2"/>
  <c r="B488" i="2"/>
  <c r="A488" i="2"/>
  <c r="CB487" i="2"/>
  <c r="BZ487" i="2"/>
  <c r="BW487" i="2"/>
  <c r="BS487" i="2"/>
  <c r="BU487" i="2" s="1"/>
  <c r="BR487" i="2"/>
  <c r="BT487" i="2" s="1"/>
  <c r="BH487" i="2"/>
  <c r="BD487" i="2"/>
  <c r="BC487" i="2"/>
  <c r="AV487" i="2"/>
  <c r="AU487" i="2"/>
  <c r="AQ487" i="2"/>
  <c r="AO487" i="2"/>
  <c r="AN487" i="2"/>
  <c r="T487" i="2"/>
  <c r="Q487" i="2"/>
  <c r="O487" i="2"/>
  <c r="N487" i="2"/>
  <c r="M487" i="2"/>
  <c r="K487" i="2"/>
  <c r="I487" i="2"/>
  <c r="G487" i="2"/>
  <c r="F487" i="2"/>
  <c r="B487" i="2"/>
  <c r="A487" i="2"/>
  <c r="CB486" i="2"/>
  <c r="CA486" i="2"/>
  <c r="BZ486" i="2"/>
  <c r="BW486" i="2"/>
  <c r="BS486" i="2"/>
  <c r="BU486" i="2" s="1"/>
  <c r="BR486" i="2"/>
  <c r="BT486" i="2" s="1"/>
  <c r="BP486" i="2"/>
  <c r="BQ486" i="2" s="1"/>
  <c r="BY486" i="2" s="1"/>
  <c r="BN486" i="2"/>
  <c r="BO486" i="2" s="1"/>
  <c r="BH486" i="2"/>
  <c r="BC486" i="2"/>
  <c r="AV486" i="2"/>
  <c r="AU486" i="2"/>
  <c r="AR486" i="2"/>
  <c r="AQ486" i="2"/>
  <c r="AO486" i="2"/>
  <c r="AN486" i="2"/>
  <c r="T486" i="2"/>
  <c r="Q486" i="2"/>
  <c r="O486" i="2"/>
  <c r="N486" i="2"/>
  <c r="M486" i="2"/>
  <c r="K486" i="2"/>
  <c r="I486" i="2"/>
  <c r="G486" i="2"/>
  <c r="BD486" i="2" s="1"/>
  <c r="F486" i="2"/>
  <c r="B486" i="2"/>
  <c r="A486" i="2"/>
  <c r="CB485" i="2"/>
  <c r="BZ485" i="2"/>
  <c r="BW485" i="2"/>
  <c r="BS485" i="2"/>
  <c r="BU485" i="2" s="1"/>
  <c r="BR485" i="2"/>
  <c r="BT485" i="2" s="1"/>
  <c r="BH485" i="2"/>
  <c r="BD485" i="2"/>
  <c r="BC485" i="2"/>
  <c r="AV485" i="2"/>
  <c r="AU485" i="2"/>
  <c r="AQ485" i="2"/>
  <c r="AN485" i="2"/>
  <c r="T485" i="2"/>
  <c r="Q485" i="2"/>
  <c r="O485" i="2"/>
  <c r="N485" i="2"/>
  <c r="M485" i="2"/>
  <c r="K485" i="2"/>
  <c r="I485" i="2"/>
  <c r="G485" i="2"/>
  <c r="F485" i="2"/>
  <c r="B485" i="2"/>
  <c r="A485" i="2"/>
  <c r="CB484" i="2"/>
  <c r="CA484" i="2"/>
  <c r="BZ484" i="2"/>
  <c r="BW484" i="2"/>
  <c r="BS484" i="2"/>
  <c r="BU484" i="2" s="1"/>
  <c r="BR484" i="2"/>
  <c r="BT484" i="2" s="1"/>
  <c r="BH484" i="2"/>
  <c r="BD484" i="2"/>
  <c r="BC484" i="2"/>
  <c r="AV484" i="2"/>
  <c r="AU484" i="2"/>
  <c r="AQ484" i="2"/>
  <c r="AO484" i="2"/>
  <c r="AN484" i="2"/>
  <c r="T484" i="2"/>
  <c r="Q484" i="2"/>
  <c r="BX484" i="2" s="1"/>
  <c r="O484" i="2"/>
  <c r="N484" i="2"/>
  <c r="M484" i="2"/>
  <c r="K484" i="2"/>
  <c r="I484" i="2"/>
  <c r="G484" i="2"/>
  <c r="F484" i="2"/>
  <c r="B484" i="2"/>
  <c r="A484" i="2"/>
  <c r="CB483" i="2"/>
  <c r="CA483" i="2"/>
  <c r="BZ483" i="2"/>
  <c r="BW483" i="2"/>
  <c r="BS483" i="2"/>
  <c r="BU483" i="2" s="1"/>
  <c r="BR483" i="2"/>
  <c r="BT483" i="2" s="1"/>
  <c r="BH483" i="2"/>
  <c r="BD483" i="2"/>
  <c r="BC483" i="2"/>
  <c r="AV483" i="2"/>
  <c r="AU483" i="2"/>
  <c r="AQ483" i="2"/>
  <c r="AN483" i="2"/>
  <c r="T483" i="2"/>
  <c r="Q483" i="2"/>
  <c r="O483" i="2"/>
  <c r="N483" i="2"/>
  <c r="M483" i="2"/>
  <c r="K483" i="2"/>
  <c r="I483" i="2"/>
  <c r="G483" i="2"/>
  <c r="F483" i="2"/>
  <c r="B483" i="2"/>
  <c r="A483" i="2"/>
  <c r="CB482" i="2"/>
  <c r="BZ482" i="2"/>
  <c r="BW482" i="2"/>
  <c r="BS482" i="2"/>
  <c r="BU482" i="2" s="1"/>
  <c r="BR482" i="2"/>
  <c r="BT482" i="2" s="1"/>
  <c r="BH482" i="2"/>
  <c r="BD482" i="2"/>
  <c r="BC482" i="2"/>
  <c r="AV482" i="2"/>
  <c r="AU482" i="2"/>
  <c r="AQ482" i="2"/>
  <c r="AO482" i="2"/>
  <c r="AN482" i="2"/>
  <c r="U482" i="2"/>
  <c r="Q482" i="2"/>
  <c r="O482" i="2"/>
  <c r="N482" i="2"/>
  <c r="M482" i="2"/>
  <c r="K482" i="2"/>
  <c r="I482" i="2"/>
  <c r="G482" i="2"/>
  <c r="F482" i="2"/>
  <c r="B482" i="2"/>
  <c r="A482" i="2"/>
  <c r="CB481" i="2"/>
  <c r="BZ481" i="2"/>
  <c r="BW481" i="2"/>
  <c r="BS481" i="2"/>
  <c r="BU481" i="2" s="1"/>
  <c r="BR481" i="2"/>
  <c r="BT481" i="2" s="1"/>
  <c r="BH481" i="2"/>
  <c r="BD481" i="2"/>
  <c r="BC481" i="2"/>
  <c r="AV481" i="2"/>
  <c r="AU481" i="2"/>
  <c r="AQ481" i="2"/>
  <c r="AO481" i="2"/>
  <c r="AN481" i="2"/>
  <c r="U481" i="2"/>
  <c r="Q481" i="2"/>
  <c r="O481" i="2"/>
  <c r="N481" i="2"/>
  <c r="M481" i="2"/>
  <c r="K481" i="2"/>
  <c r="I481" i="2"/>
  <c r="G481" i="2"/>
  <c r="F481" i="2"/>
  <c r="B481" i="2"/>
  <c r="A481" i="2"/>
  <c r="CB480" i="2"/>
  <c r="BZ480" i="2"/>
  <c r="BW480" i="2"/>
  <c r="BS480" i="2"/>
  <c r="BU480" i="2" s="1"/>
  <c r="BR480" i="2"/>
  <c r="BT480" i="2" s="1"/>
  <c r="BH480" i="2"/>
  <c r="BD480" i="2"/>
  <c r="BC480" i="2"/>
  <c r="AV480" i="2"/>
  <c r="AU480" i="2"/>
  <c r="AQ480" i="2"/>
  <c r="AO480" i="2"/>
  <c r="AN480" i="2"/>
  <c r="U480" i="2"/>
  <c r="Q480" i="2"/>
  <c r="O480" i="2"/>
  <c r="N480" i="2"/>
  <c r="M480" i="2"/>
  <c r="K480" i="2"/>
  <c r="I480" i="2"/>
  <c r="G480" i="2"/>
  <c r="F480" i="2"/>
  <c r="B480" i="2"/>
  <c r="A480" i="2"/>
  <c r="CB479" i="2"/>
  <c r="BZ479" i="2"/>
  <c r="BW479" i="2"/>
  <c r="BT479" i="2"/>
  <c r="BS479" i="2"/>
  <c r="BU479" i="2" s="1"/>
  <c r="BR479" i="2"/>
  <c r="BH479" i="2"/>
  <c r="BD479" i="2"/>
  <c r="BC479" i="2"/>
  <c r="AV479" i="2"/>
  <c r="AU479" i="2"/>
  <c r="AQ479" i="2"/>
  <c r="AO479" i="2"/>
  <c r="AN479" i="2"/>
  <c r="U479" i="2"/>
  <c r="Q479" i="2"/>
  <c r="O479" i="2"/>
  <c r="N479" i="2"/>
  <c r="M479" i="2"/>
  <c r="K479" i="2"/>
  <c r="I479" i="2"/>
  <c r="G479" i="2"/>
  <c r="F479" i="2"/>
  <c r="B479" i="2"/>
  <c r="A479" i="2"/>
  <c r="CB478" i="2"/>
  <c r="BZ478" i="2"/>
  <c r="BW478" i="2"/>
  <c r="BS478" i="2"/>
  <c r="BU478" i="2" s="1"/>
  <c r="BR478" i="2"/>
  <c r="BT478" i="2" s="1"/>
  <c r="BH478" i="2"/>
  <c r="BD478" i="2"/>
  <c r="BC478" i="2"/>
  <c r="AV478" i="2"/>
  <c r="AU478" i="2"/>
  <c r="AQ478" i="2"/>
  <c r="AO478" i="2"/>
  <c r="AN478" i="2"/>
  <c r="U478" i="2"/>
  <c r="Q478" i="2"/>
  <c r="O478" i="2"/>
  <c r="N478" i="2"/>
  <c r="M478" i="2"/>
  <c r="K478" i="2"/>
  <c r="I478" i="2"/>
  <c r="G478" i="2"/>
  <c r="F478" i="2"/>
  <c r="B478" i="2"/>
  <c r="A478" i="2"/>
  <c r="CB477" i="2"/>
  <c r="BZ477" i="2"/>
  <c r="BW477" i="2"/>
  <c r="BS477" i="2"/>
  <c r="BU477" i="2" s="1"/>
  <c r="BR477" i="2"/>
  <c r="BT477" i="2" s="1"/>
  <c r="BH477" i="2"/>
  <c r="BD477" i="2"/>
  <c r="BC477" i="2"/>
  <c r="AV477" i="2"/>
  <c r="AU477" i="2"/>
  <c r="AQ477" i="2"/>
  <c r="AO477" i="2"/>
  <c r="AN477" i="2"/>
  <c r="U477" i="2"/>
  <c r="Q477" i="2"/>
  <c r="O477" i="2"/>
  <c r="N477" i="2"/>
  <c r="M477" i="2"/>
  <c r="K477" i="2"/>
  <c r="I477" i="2"/>
  <c r="G477" i="2"/>
  <c r="F477" i="2"/>
  <c r="B477" i="2"/>
  <c r="A477" i="2"/>
  <c r="CB476" i="2"/>
  <c r="BZ476" i="2"/>
  <c r="BW476" i="2"/>
  <c r="BS476" i="2"/>
  <c r="BU476" i="2" s="1"/>
  <c r="BR476" i="2"/>
  <c r="BT476" i="2" s="1"/>
  <c r="BH476" i="2"/>
  <c r="BD476" i="2"/>
  <c r="BC476" i="2"/>
  <c r="AV476" i="2"/>
  <c r="AU476" i="2"/>
  <c r="AQ476" i="2"/>
  <c r="AO476" i="2"/>
  <c r="AN476" i="2"/>
  <c r="U476" i="2"/>
  <c r="Q476" i="2"/>
  <c r="O476" i="2"/>
  <c r="N476" i="2"/>
  <c r="M476" i="2"/>
  <c r="K476" i="2"/>
  <c r="I476" i="2"/>
  <c r="G476" i="2"/>
  <c r="F476" i="2"/>
  <c r="B476" i="2"/>
  <c r="A476" i="2"/>
  <c r="CB475" i="2"/>
  <c r="BZ475" i="2"/>
  <c r="BW475" i="2"/>
  <c r="BS475" i="2"/>
  <c r="BU475" i="2" s="1"/>
  <c r="BR475" i="2"/>
  <c r="BT475" i="2" s="1"/>
  <c r="BH475" i="2"/>
  <c r="BD475" i="2"/>
  <c r="BC475" i="2"/>
  <c r="AV475" i="2"/>
  <c r="AU475" i="2"/>
  <c r="AQ475" i="2"/>
  <c r="AO475" i="2"/>
  <c r="AN475" i="2"/>
  <c r="U475" i="2"/>
  <c r="Q475" i="2"/>
  <c r="O475" i="2"/>
  <c r="N475" i="2"/>
  <c r="M475" i="2"/>
  <c r="K475" i="2"/>
  <c r="I475" i="2"/>
  <c r="G475" i="2"/>
  <c r="F475" i="2"/>
  <c r="B475" i="2"/>
  <c r="A475" i="2"/>
  <c r="CB474" i="2"/>
  <c r="BZ474" i="2"/>
  <c r="BW474" i="2"/>
  <c r="BS474" i="2"/>
  <c r="BU474" i="2" s="1"/>
  <c r="BR474" i="2"/>
  <c r="BT474" i="2" s="1"/>
  <c r="BH474" i="2"/>
  <c r="BD474" i="2"/>
  <c r="BC474" i="2"/>
  <c r="AV474" i="2"/>
  <c r="AU474" i="2"/>
  <c r="AQ474" i="2"/>
  <c r="AO474" i="2"/>
  <c r="AN474" i="2"/>
  <c r="U474" i="2"/>
  <c r="Q474" i="2"/>
  <c r="O474" i="2"/>
  <c r="N474" i="2"/>
  <c r="M474" i="2"/>
  <c r="K474" i="2"/>
  <c r="I474" i="2"/>
  <c r="G474" i="2"/>
  <c r="F474" i="2"/>
  <c r="B474" i="2"/>
  <c r="A474" i="2"/>
  <c r="CB473" i="2"/>
  <c r="BZ473" i="2"/>
  <c r="BW473" i="2"/>
  <c r="BS473" i="2"/>
  <c r="BU473" i="2" s="1"/>
  <c r="BR473" i="2"/>
  <c r="BT473" i="2" s="1"/>
  <c r="BH473" i="2"/>
  <c r="BD473" i="2"/>
  <c r="BC473" i="2"/>
  <c r="AV473" i="2"/>
  <c r="AU473" i="2"/>
  <c r="AQ473" i="2"/>
  <c r="AO473" i="2"/>
  <c r="AN473" i="2"/>
  <c r="U473" i="2"/>
  <c r="Q473" i="2"/>
  <c r="O473" i="2"/>
  <c r="N473" i="2"/>
  <c r="M473" i="2"/>
  <c r="K473" i="2"/>
  <c r="I473" i="2"/>
  <c r="G473" i="2"/>
  <c r="F473" i="2"/>
  <c r="B473" i="2"/>
  <c r="A473" i="2"/>
  <c r="CB472" i="2"/>
  <c r="BZ472" i="2"/>
  <c r="BW472" i="2"/>
  <c r="BS472" i="2"/>
  <c r="BU472" i="2" s="1"/>
  <c r="BR472" i="2"/>
  <c r="BT472" i="2" s="1"/>
  <c r="BH472" i="2"/>
  <c r="BD472" i="2"/>
  <c r="BC472" i="2"/>
  <c r="AV472" i="2"/>
  <c r="AU472" i="2"/>
  <c r="AQ472" i="2"/>
  <c r="AO472" i="2"/>
  <c r="AN472" i="2"/>
  <c r="U472" i="2"/>
  <c r="Q472" i="2"/>
  <c r="O472" i="2"/>
  <c r="N472" i="2"/>
  <c r="M472" i="2"/>
  <c r="K472" i="2"/>
  <c r="I472" i="2"/>
  <c r="G472" i="2"/>
  <c r="F472" i="2"/>
  <c r="B472" i="2"/>
  <c r="A472" i="2"/>
  <c r="CB471" i="2"/>
  <c r="BZ471" i="2"/>
  <c r="BW471" i="2"/>
  <c r="BS471" i="2"/>
  <c r="BU471" i="2" s="1"/>
  <c r="BR471" i="2"/>
  <c r="BT471" i="2" s="1"/>
  <c r="BH471" i="2"/>
  <c r="BD471" i="2"/>
  <c r="BC471" i="2"/>
  <c r="AV471" i="2"/>
  <c r="AU471" i="2"/>
  <c r="AQ471" i="2"/>
  <c r="AO471" i="2"/>
  <c r="AN471" i="2"/>
  <c r="U471" i="2"/>
  <c r="Q471" i="2"/>
  <c r="O471" i="2"/>
  <c r="N471" i="2"/>
  <c r="M471" i="2"/>
  <c r="K471" i="2"/>
  <c r="I471" i="2"/>
  <c r="G471" i="2"/>
  <c r="F471" i="2"/>
  <c r="B471" i="2"/>
  <c r="A471" i="2"/>
  <c r="CB470" i="2"/>
  <c r="BZ470" i="2"/>
  <c r="BW470" i="2"/>
  <c r="BS470" i="2"/>
  <c r="BU470" i="2" s="1"/>
  <c r="BR470" i="2"/>
  <c r="BT470" i="2" s="1"/>
  <c r="BH470" i="2"/>
  <c r="BD470" i="2"/>
  <c r="BC470" i="2"/>
  <c r="AV470" i="2"/>
  <c r="AU470" i="2"/>
  <c r="AQ470" i="2"/>
  <c r="AO470" i="2"/>
  <c r="AN470" i="2"/>
  <c r="U470" i="2"/>
  <c r="Q470" i="2"/>
  <c r="O470" i="2"/>
  <c r="N470" i="2"/>
  <c r="M470" i="2"/>
  <c r="K470" i="2"/>
  <c r="I470" i="2"/>
  <c r="G470" i="2"/>
  <c r="F470" i="2"/>
  <c r="B470" i="2"/>
  <c r="A470" i="2"/>
  <c r="CB469" i="2"/>
  <c r="BZ469" i="2"/>
  <c r="BW469" i="2"/>
  <c r="BS469" i="2"/>
  <c r="BU469" i="2" s="1"/>
  <c r="BR469" i="2"/>
  <c r="BT469" i="2" s="1"/>
  <c r="BH469" i="2"/>
  <c r="BD469" i="2"/>
  <c r="BC469" i="2"/>
  <c r="AV469" i="2"/>
  <c r="AU469" i="2"/>
  <c r="AQ469" i="2"/>
  <c r="AO469" i="2"/>
  <c r="AN469" i="2"/>
  <c r="U469" i="2"/>
  <c r="Q469" i="2"/>
  <c r="O469" i="2"/>
  <c r="N469" i="2"/>
  <c r="M469" i="2"/>
  <c r="K469" i="2"/>
  <c r="I469" i="2"/>
  <c r="G469" i="2"/>
  <c r="F469" i="2"/>
  <c r="B469" i="2"/>
  <c r="A469" i="2"/>
  <c r="CB468" i="2"/>
  <c r="BZ468" i="2"/>
  <c r="BW468" i="2"/>
  <c r="BS468" i="2"/>
  <c r="BU468" i="2" s="1"/>
  <c r="BR468" i="2"/>
  <c r="BT468" i="2" s="1"/>
  <c r="BH468" i="2"/>
  <c r="BD468" i="2"/>
  <c r="BC468" i="2"/>
  <c r="AV468" i="2"/>
  <c r="AU468" i="2"/>
  <c r="AQ468" i="2"/>
  <c r="AO468" i="2"/>
  <c r="AN468" i="2"/>
  <c r="U468" i="2"/>
  <c r="Q468" i="2"/>
  <c r="O468" i="2"/>
  <c r="N468" i="2"/>
  <c r="M468" i="2"/>
  <c r="K468" i="2"/>
  <c r="I468" i="2"/>
  <c r="G468" i="2"/>
  <c r="F468" i="2"/>
  <c r="B468" i="2"/>
  <c r="A468" i="2"/>
  <c r="CB467" i="2"/>
  <c r="BZ467" i="2"/>
  <c r="BW467" i="2"/>
  <c r="BS467" i="2"/>
  <c r="BU467" i="2" s="1"/>
  <c r="BR467" i="2"/>
  <c r="BT467" i="2" s="1"/>
  <c r="BH467" i="2"/>
  <c r="BD467" i="2"/>
  <c r="BC467" i="2"/>
  <c r="AV467" i="2"/>
  <c r="AU467" i="2"/>
  <c r="AQ467" i="2"/>
  <c r="AO467" i="2"/>
  <c r="AN467" i="2"/>
  <c r="U467" i="2"/>
  <c r="Q467" i="2"/>
  <c r="O467" i="2"/>
  <c r="N467" i="2"/>
  <c r="M467" i="2"/>
  <c r="K467" i="2"/>
  <c r="I467" i="2"/>
  <c r="G467" i="2"/>
  <c r="F467" i="2"/>
  <c r="B467" i="2"/>
  <c r="A467" i="2"/>
  <c r="CB466" i="2"/>
  <c r="BZ466" i="2"/>
  <c r="BW466" i="2"/>
  <c r="BS466" i="2"/>
  <c r="BU466" i="2" s="1"/>
  <c r="BR466" i="2"/>
  <c r="BT466" i="2" s="1"/>
  <c r="BH466" i="2"/>
  <c r="BD466" i="2"/>
  <c r="BC466" i="2"/>
  <c r="AV466" i="2"/>
  <c r="AU466" i="2"/>
  <c r="AQ466" i="2"/>
  <c r="AO466" i="2"/>
  <c r="AN466" i="2"/>
  <c r="U466" i="2"/>
  <c r="Q466" i="2"/>
  <c r="O466" i="2"/>
  <c r="N466" i="2"/>
  <c r="M466" i="2"/>
  <c r="K466" i="2"/>
  <c r="I466" i="2"/>
  <c r="G466" i="2"/>
  <c r="F466" i="2"/>
  <c r="B466" i="2"/>
  <c r="A466" i="2"/>
  <c r="CB465" i="2"/>
  <c r="BZ465" i="2"/>
  <c r="BW465" i="2"/>
  <c r="BS465" i="2"/>
  <c r="BU465" i="2" s="1"/>
  <c r="BR465" i="2"/>
  <c r="BT465" i="2" s="1"/>
  <c r="BH465" i="2"/>
  <c r="BD465" i="2"/>
  <c r="BA465" i="2"/>
  <c r="BC465" i="2" s="1"/>
  <c r="AV465" i="2"/>
  <c r="AU465" i="2"/>
  <c r="AQ465" i="2"/>
  <c r="AO465" i="2"/>
  <c r="AN465" i="2"/>
  <c r="U465" i="2"/>
  <c r="Q465" i="2"/>
  <c r="O465" i="2"/>
  <c r="N465" i="2"/>
  <c r="M465" i="2"/>
  <c r="K465" i="2"/>
  <c r="I465" i="2"/>
  <c r="G465" i="2"/>
  <c r="F465" i="2"/>
  <c r="B465" i="2"/>
  <c r="A465" i="2"/>
  <c r="CB464" i="2"/>
  <c r="CA464" i="2"/>
  <c r="BZ464" i="2"/>
  <c r="BW464" i="2"/>
  <c r="BS464" i="2"/>
  <c r="BU464" i="2" s="1"/>
  <c r="BR464" i="2"/>
  <c r="BT464" i="2" s="1"/>
  <c r="BH464" i="2"/>
  <c r="BD464" i="2"/>
  <c r="BC464" i="2"/>
  <c r="AV464" i="2"/>
  <c r="AU464" i="2"/>
  <c r="AQ464" i="2"/>
  <c r="AN464" i="2"/>
  <c r="U464" i="2"/>
  <c r="Q464" i="2"/>
  <c r="O464" i="2"/>
  <c r="N464" i="2"/>
  <c r="M464" i="2"/>
  <c r="K464" i="2"/>
  <c r="I464" i="2"/>
  <c r="G464" i="2"/>
  <c r="F464" i="2"/>
  <c r="AS464" i="2" s="1"/>
  <c r="B464" i="2"/>
  <c r="A464" i="2"/>
  <c r="CB463" i="2"/>
  <c r="BZ463" i="2"/>
  <c r="BW463" i="2"/>
  <c r="BS463" i="2"/>
  <c r="BU463" i="2" s="1"/>
  <c r="BR463" i="2"/>
  <c r="BT463" i="2" s="1"/>
  <c r="BH463" i="2"/>
  <c r="BD463" i="2"/>
  <c r="BC463" i="2"/>
  <c r="AV463" i="2"/>
  <c r="AU463" i="2"/>
  <c r="AQ463" i="2"/>
  <c r="AO463" i="2"/>
  <c r="AN463" i="2"/>
  <c r="U463" i="2"/>
  <c r="Q463" i="2"/>
  <c r="O463" i="2"/>
  <c r="N463" i="2"/>
  <c r="M463" i="2"/>
  <c r="K463" i="2"/>
  <c r="I463" i="2"/>
  <c r="G463" i="2"/>
  <c r="F463" i="2"/>
  <c r="AS463" i="2" s="1"/>
  <c r="B463" i="2"/>
  <c r="A463" i="2"/>
  <c r="CB462" i="2"/>
  <c r="BZ462" i="2"/>
  <c r="BW462" i="2"/>
  <c r="BS462" i="2"/>
  <c r="BU462" i="2" s="1"/>
  <c r="BR462" i="2"/>
  <c r="BT462" i="2" s="1"/>
  <c r="BH462" i="2"/>
  <c r="BD462" i="2"/>
  <c r="BC462" i="2"/>
  <c r="AV462" i="2"/>
  <c r="AU462" i="2"/>
  <c r="AQ462" i="2"/>
  <c r="AO462" i="2"/>
  <c r="AN462" i="2"/>
  <c r="U462" i="2"/>
  <c r="Q462" i="2"/>
  <c r="BX462" i="2" s="1"/>
  <c r="O462" i="2"/>
  <c r="N462" i="2"/>
  <c r="M462" i="2"/>
  <c r="K462" i="2"/>
  <c r="I462" i="2"/>
  <c r="G462" i="2"/>
  <c r="F462" i="2"/>
  <c r="AS462" i="2" s="1"/>
  <c r="AT462" i="2" s="1"/>
  <c r="CF462" i="2" s="1"/>
  <c r="B462" i="2"/>
  <c r="A462" i="2"/>
  <c r="CB461" i="2"/>
  <c r="BZ461" i="2"/>
  <c r="BW461" i="2"/>
  <c r="BU461" i="2"/>
  <c r="BS461" i="2"/>
  <c r="BR461" i="2"/>
  <c r="BT461" i="2" s="1"/>
  <c r="BH461" i="2"/>
  <c r="BD461" i="2"/>
  <c r="BC461" i="2"/>
  <c r="AV461" i="2"/>
  <c r="AU461" i="2"/>
  <c r="AQ461" i="2"/>
  <c r="AO461" i="2"/>
  <c r="AN461" i="2"/>
  <c r="U461" i="2"/>
  <c r="Q461" i="2"/>
  <c r="O461" i="2"/>
  <c r="N461" i="2"/>
  <c r="M461" i="2"/>
  <c r="K461" i="2"/>
  <c r="I461" i="2"/>
  <c r="G461" i="2"/>
  <c r="F461" i="2"/>
  <c r="B461" i="2"/>
  <c r="A461" i="2"/>
  <c r="CB460" i="2"/>
  <c r="CA460" i="2"/>
  <c r="BZ460" i="2"/>
  <c r="BW460" i="2"/>
  <c r="BS460" i="2"/>
  <c r="BU460" i="2" s="1"/>
  <c r="BR460" i="2"/>
  <c r="BT460" i="2" s="1"/>
  <c r="BH460" i="2"/>
  <c r="BD460" i="2"/>
  <c r="BC460" i="2"/>
  <c r="AV460" i="2"/>
  <c r="AU460" i="2"/>
  <c r="AQ460" i="2"/>
  <c r="AO460" i="2"/>
  <c r="AN460" i="2"/>
  <c r="U460" i="2"/>
  <c r="Q460" i="2"/>
  <c r="O460" i="2"/>
  <c r="N460" i="2"/>
  <c r="M460" i="2"/>
  <c r="K460" i="2"/>
  <c r="I460" i="2"/>
  <c r="G460" i="2"/>
  <c r="F460" i="2"/>
  <c r="B460" i="2"/>
  <c r="A460" i="2"/>
  <c r="CB459" i="2"/>
  <c r="BZ459" i="2"/>
  <c r="BW459" i="2"/>
  <c r="BX459" i="2" s="1"/>
  <c r="BS459" i="2"/>
  <c r="BU459" i="2" s="1"/>
  <c r="BR459" i="2"/>
  <c r="BT459" i="2" s="1"/>
  <c r="BH459" i="2"/>
  <c r="BD459" i="2"/>
  <c r="BC459" i="2"/>
  <c r="AV459" i="2"/>
  <c r="AU459" i="2"/>
  <c r="AQ459" i="2"/>
  <c r="AO459" i="2"/>
  <c r="AN459" i="2"/>
  <c r="U459" i="2"/>
  <c r="Q459" i="2"/>
  <c r="O459" i="2"/>
  <c r="N459" i="2"/>
  <c r="P459" i="2" s="1"/>
  <c r="M459" i="2"/>
  <c r="K459" i="2"/>
  <c r="I459" i="2"/>
  <c r="G459" i="2"/>
  <c r="F459" i="2"/>
  <c r="B459" i="2"/>
  <c r="A459" i="2"/>
  <c r="CB458" i="2"/>
  <c r="BZ458" i="2"/>
  <c r="BW458" i="2"/>
  <c r="BS458" i="2"/>
  <c r="BU458" i="2" s="1"/>
  <c r="BR458" i="2"/>
  <c r="BT458" i="2" s="1"/>
  <c r="BH458" i="2"/>
  <c r="BD458" i="2"/>
  <c r="BC458" i="2"/>
  <c r="AV458" i="2"/>
  <c r="AU458" i="2"/>
  <c r="AQ458" i="2"/>
  <c r="AO458" i="2"/>
  <c r="AN458" i="2"/>
  <c r="U458" i="2"/>
  <c r="Q458" i="2"/>
  <c r="O458" i="2"/>
  <c r="N458" i="2"/>
  <c r="M458" i="2"/>
  <c r="K458" i="2"/>
  <c r="I458" i="2"/>
  <c r="G458" i="2"/>
  <c r="F458" i="2"/>
  <c r="B458" i="2"/>
  <c r="A458" i="2"/>
  <c r="CB457" i="2"/>
  <c r="BZ457" i="2"/>
  <c r="BW457" i="2"/>
  <c r="BS457" i="2"/>
  <c r="BU457" i="2" s="1"/>
  <c r="BR457" i="2"/>
  <c r="BT457" i="2" s="1"/>
  <c r="BH457" i="2"/>
  <c r="BD457" i="2"/>
  <c r="BC457" i="2"/>
  <c r="AV457" i="2"/>
  <c r="AU457" i="2"/>
  <c r="AQ457" i="2"/>
  <c r="AO457" i="2"/>
  <c r="AN457" i="2"/>
  <c r="U457" i="2"/>
  <c r="Q457" i="2"/>
  <c r="O457" i="2"/>
  <c r="N457" i="2"/>
  <c r="M457" i="2"/>
  <c r="P457" i="2" s="1"/>
  <c r="K457" i="2"/>
  <c r="I457" i="2"/>
  <c r="G457" i="2"/>
  <c r="F457" i="2"/>
  <c r="B457" i="2"/>
  <c r="A457" i="2"/>
  <c r="CB456" i="2"/>
  <c r="BZ456" i="2"/>
  <c r="BW456" i="2"/>
  <c r="BS456" i="2"/>
  <c r="BU456" i="2" s="1"/>
  <c r="BR456" i="2"/>
  <c r="BT456" i="2" s="1"/>
  <c r="BH456" i="2"/>
  <c r="BD456" i="2"/>
  <c r="BC456" i="2"/>
  <c r="AV456" i="2"/>
  <c r="AU456" i="2"/>
  <c r="AQ456" i="2"/>
  <c r="AO456" i="2"/>
  <c r="AN456" i="2"/>
  <c r="U456" i="2"/>
  <c r="Q456" i="2"/>
  <c r="O456" i="2"/>
  <c r="N456" i="2"/>
  <c r="M456" i="2"/>
  <c r="P456" i="2" s="1"/>
  <c r="K456" i="2"/>
  <c r="I456" i="2"/>
  <c r="G456" i="2"/>
  <c r="F456" i="2"/>
  <c r="B456" i="2"/>
  <c r="A456" i="2"/>
  <c r="CB455" i="2"/>
  <c r="BZ455" i="2"/>
  <c r="BW455" i="2"/>
  <c r="BS455" i="2"/>
  <c r="BU455" i="2" s="1"/>
  <c r="BR455" i="2"/>
  <c r="BT455" i="2" s="1"/>
  <c r="BP455" i="2"/>
  <c r="BQ455" i="2" s="1"/>
  <c r="BY455" i="2" s="1"/>
  <c r="BN455" i="2"/>
  <c r="BO455" i="2" s="1"/>
  <c r="BH455" i="2"/>
  <c r="BD455" i="2"/>
  <c r="BC455" i="2"/>
  <c r="AV455" i="2"/>
  <c r="AU455" i="2"/>
  <c r="AR455" i="2"/>
  <c r="AQ455" i="2"/>
  <c r="AO455" i="2"/>
  <c r="AN455" i="2"/>
  <c r="U455" i="2"/>
  <c r="Q455" i="2"/>
  <c r="O455" i="2"/>
  <c r="N455" i="2"/>
  <c r="M455" i="2"/>
  <c r="K455" i="2"/>
  <c r="I455" i="2"/>
  <c r="G455" i="2"/>
  <c r="F455" i="2"/>
  <c r="AS455" i="2" s="1"/>
  <c r="B455" i="2"/>
  <c r="A455" i="2"/>
  <c r="CB454" i="2"/>
  <c r="BZ454" i="2"/>
  <c r="BW454" i="2"/>
  <c r="BT454" i="2"/>
  <c r="BS454" i="2"/>
  <c r="BU454" i="2" s="1"/>
  <c r="BR454" i="2"/>
  <c r="BH454" i="2"/>
  <c r="BD454" i="2"/>
  <c r="BC454" i="2"/>
  <c r="AV454" i="2"/>
  <c r="AU454" i="2"/>
  <c r="AQ454" i="2"/>
  <c r="AO454" i="2"/>
  <c r="AN454" i="2"/>
  <c r="U454" i="2"/>
  <c r="Q454" i="2"/>
  <c r="O454" i="2"/>
  <c r="N454" i="2"/>
  <c r="M454" i="2"/>
  <c r="K454" i="2"/>
  <c r="I454" i="2"/>
  <c r="G454" i="2"/>
  <c r="F454" i="2"/>
  <c r="B454" i="2"/>
  <c r="A454" i="2"/>
  <c r="CB453" i="2"/>
  <c r="BZ453" i="2"/>
  <c r="BW453" i="2"/>
  <c r="BS453" i="2"/>
  <c r="BU453" i="2" s="1"/>
  <c r="BR453" i="2"/>
  <c r="BT453" i="2" s="1"/>
  <c r="BH453" i="2"/>
  <c r="BD453" i="2"/>
  <c r="BC453" i="2"/>
  <c r="AV453" i="2"/>
  <c r="AU453" i="2"/>
  <c r="AQ453" i="2"/>
  <c r="AO453" i="2"/>
  <c r="AN453" i="2"/>
  <c r="U453" i="2"/>
  <c r="Q453" i="2"/>
  <c r="O453" i="2"/>
  <c r="N453" i="2"/>
  <c r="M453" i="2"/>
  <c r="K453" i="2"/>
  <c r="I453" i="2"/>
  <c r="G453" i="2"/>
  <c r="F453" i="2"/>
  <c r="AS453" i="2" s="1"/>
  <c r="AT453" i="2" s="1"/>
  <c r="CF453" i="2" s="1"/>
  <c r="B453" i="2"/>
  <c r="A453" i="2"/>
  <c r="CB452" i="2"/>
  <c r="BZ452" i="2"/>
  <c r="BW452" i="2"/>
  <c r="BS452" i="2"/>
  <c r="BU452" i="2" s="1"/>
  <c r="BR452" i="2"/>
  <c r="BT452" i="2" s="1"/>
  <c r="BH452" i="2"/>
  <c r="BD452" i="2"/>
  <c r="BC452" i="2"/>
  <c r="AV452" i="2"/>
  <c r="AU452" i="2"/>
  <c r="AQ452" i="2"/>
  <c r="AO452" i="2"/>
  <c r="AN452" i="2"/>
  <c r="U452" i="2"/>
  <c r="Q452" i="2"/>
  <c r="O452" i="2"/>
  <c r="N452" i="2"/>
  <c r="M452" i="2"/>
  <c r="K452" i="2"/>
  <c r="I452" i="2"/>
  <c r="G452" i="2"/>
  <c r="F452" i="2"/>
  <c r="AS452" i="2" s="1"/>
  <c r="B452" i="2"/>
  <c r="A452" i="2"/>
  <c r="CB451" i="2"/>
  <c r="BZ451" i="2"/>
  <c r="BW451" i="2"/>
  <c r="BS451" i="2"/>
  <c r="BU451" i="2" s="1"/>
  <c r="BR451" i="2"/>
  <c r="BT451" i="2" s="1"/>
  <c r="BH451" i="2"/>
  <c r="BD451" i="2"/>
  <c r="BC451" i="2"/>
  <c r="AV451" i="2"/>
  <c r="AU451" i="2"/>
  <c r="AQ451" i="2"/>
  <c r="AO451" i="2"/>
  <c r="AN451" i="2"/>
  <c r="AP451" i="2" s="1"/>
  <c r="U451" i="2"/>
  <c r="Q451" i="2"/>
  <c r="O451" i="2"/>
  <c r="N451" i="2"/>
  <c r="M451" i="2"/>
  <c r="K451" i="2"/>
  <c r="I451" i="2"/>
  <c r="G451" i="2"/>
  <c r="F451" i="2"/>
  <c r="B451" i="2"/>
  <c r="A451" i="2"/>
  <c r="CB450" i="2"/>
  <c r="BZ450" i="2"/>
  <c r="BW450" i="2"/>
  <c r="BS450" i="2"/>
  <c r="BU450" i="2" s="1"/>
  <c r="BR450" i="2"/>
  <c r="BT450" i="2" s="1"/>
  <c r="BH450" i="2"/>
  <c r="BD450" i="2"/>
  <c r="BC450" i="2"/>
  <c r="AV450" i="2"/>
  <c r="AU450" i="2"/>
  <c r="AN450" i="2"/>
  <c r="Q450" i="2"/>
  <c r="P450" i="2"/>
  <c r="O450" i="2"/>
  <c r="N450" i="2"/>
  <c r="M450" i="2"/>
  <c r="K450" i="2"/>
  <c r="I450" i="2"/>
  <c r="H450" i="2"/>
  <c r="G450" i="2"/>
  <c r="F450" i="2"/>
  <c r="B450" i="2"/>
  <c r="A450" i="2"/>
  <c r="CB449" i="2"/>
  <c r="BZ449" i="2"/>
  <c r="BW449" i="2"/>
  <c r="BS449" i="2"/>
  <c r="BU449" i="2" s="1"/>
  <c r="BR449" i="2"/>
  <c r="BT449" i="2" s="1"/>
  <c r="BH449" i="2"/>
  <c r="BD449" i="2"/>
  <c r="BC449" i="2"/>
  <c r="AV449" i="2"/>
  <c r="AU449" i="2"/>
  <c r="AQ449" i="2"/>
  <c r="AO449" i="2"/>
  <c r="AN449" i="2"/>
  <c r="U449" i="2"/>
  <c r="Q449" i="2"/>
  <c r="O449" i="2"/>
  <c r="N449" i="2"/>
  <c r="M449" i="2"/>
  <c r="K449" i="2"/>
  <c r="I449" i="2"/>
  <c r="G449" i="2"/>
  <c r="F449" i="2"/>
  <c r="B449" i="2"/>
  <c r="A449" i="2"/>
  <c r="CB448" i="2"/>
  <c r="BZ448" i="2"/>
  <c r="BW448" i="2"/>
  <c r="BS448" i="2"/>
  <c r="BU448" i="2" s="1"/>
  <c r="BR448" i="2"/>
  <c r="BT448" i="2" s="1"/>
  <c r="BH448" i="2"/>
  <c r="BD448" i="2"/>
  <c r="BC448" i="2"/>
  <c r="AV448" i="2"/>
  <c r="AU448" i="2"/>
  <c r="AN448" i="2"/>
  <c r="Q448" i="2"/>
  <c r="O448" i="2"/>
  <c r="N448" i="2"/>
  <c r="M448" i="2"/>
  <c r="K448" i="2"/>
  <c r="I448" i="2"/>
  <c r="H448" i="2"/>
  <c r="G448" i="2"/>
  <c r="F448" i="2"/>
  <c r="B448" i="2"/>
  <c r="A448" i="2"/>
  <c r="CB447" i="2"/>
  <c r="BZ447" i="2"/>
  <c r="BW447" i="2"/>
  <c r="BS447" i="2"/>
  <c r="BU447" i="2" s="1"/>
  <c r="BR447" i="2"/>
  <c r="BT447" i="2" s="1"/>
  <c r="BH447" i="2"/>
  <c r="BD447" i="2"/>
  <c r="BC447" i="2"/>
  <c r="AV447" i="2"/>
  <c r="AU447" i="2"/>
  <c r="AQ447" i="2"/>
  <c r="AO447" i="2"/>
  <c r="AN447" i="2"/>
  <c r="U447" i="2"/>
  <c r="Q447" i="2"/>
  <c r="O447" i="2"/>
  <c r="N447" i="2"/>
  <c r="M447" i="2"/>
  <c r="K447" i="2"/>
  <c r="I447" i="2"/>
  <c r="G447" i="2"/>
  <c r="F447" i="2"/>
  <c r="B447" i="2"/>
  <c r="A447" i="2"/>
  <c r="CB446" i="2"/>
  <c r="CA446" i="2"/>
  <c r="BZ446" i="2"/>
  <c r="BX446" i="2"/>
  <c r="BW446" i="2"/>
  <c r="BS446" i="2"/>
  <c r="BU446" i="2" s="1"/>
  <c r="BR446" i="2"/>
  <c r="BT446" i="2" s="1"/>
  <c r="BH446" i="2"/>
  <c r="BD446" i="2"/>
  <c r="BC446" i="2"/>
  <c r="AV446" i="2"/>
  <c r="AU446" i="2"/>
  <c r="AQ446" i="2"/>
  <c r="AO446" i="2"/>
  <c r="AN446" i="2"/>
  <c r="U446" i="2"/>
  <c r="Q446" i="2"/>
  <c r="O446" i="2"/>
  <c r="N446" i="2"/>
  <c r="M446" i="2"/>
  <c r="K446" i="2"/>
  <c r="I446" i="2"/>
  <c r="G446" i="2"/>
  <c r="F446" i="2"/>
  <c r="AS446" i="2" s="1"/>
  <c r="B446" i="2"/>
  <c r="A446" i="2"/>
  <c r="CB445" i="2"/>
  <c r="BZ445" i="2"/>
  <c r="BW445" i="2"/>
  <c r="BX445" i="2" s="1"/>
  <c r="BS445" i="2"/>
  <c r="BU445" i="2" s="1"/>
  <c r="BR445" i="2"/>
  <c r="BT445" i="2" s="1"/>
  <c r="BH445" i="2"/>
  <c r="BD445" i="2"/>
  <c r="BC445" i="2"/>
  <c r="AV445" i="2"/>
  <c r="AU445" i="2"/>
  <c r="AQ445" i="2"/>
  <c r="AO445" i="2"/>
  <c r="AN445" i="2"/>
  <c r="U445" i="2"/>
  <c r="Q445" i="2"/>
  <c r="O445" i="2"/>
  <c r="N445" i="2"/>
  <c r="M445" i="2"/>
  <c r="K445" i="2"/>
  <c r="I445" i="2"/>
  <c r="G445" i="2"/>
  <c r="F445" i="2"/>
  <c r="B445" i="2"/>
  <c r="A445" i="2"/>
  <c r="CB444" i="2"/>
  <c r="BZ444" i="2"/>
  <c r="BW444" i="2"/>
  <c r="BS444" i="2"/>
  <c r="BU444" i="2" s="1"/>
  <c r="BR444" i="2"/>
  <c r="BT444" i="2" s="1"/>
  <c r="BH444" i="2"/>
  <c r="BD444" i="2"/>
  <c r="BC444" i="2"/>
  <c r="AV444" i="2"/>
  <c r="AU444" i="2"/>
  <c r="AN444" i="2"/>
  <c r="Q444" i="2"/>
  <c r="O444" i="2"/>
  <c r="N444" i="2"/>
  <c r="M444" i="2"/>
  <c r="K444" i="2"/>
  <c r="I444" i="2"/>
  <c r="H444" i="2"/>
  <c r="G444" i="2"/>
  <c r="F444" i="2"/>
  <c r="B444" i="2"/>
  <c r="A444" i="2"/>
  <c r="CB443" i="2"/>
  <c r="BZ443" i="2"/>
  <c r="BW443" i="2"/>
  <c r="BS443" i="2"/>
  <c r="BU443" i="2" s="1"/>
  <c r="BR443" i="2"/>
  <c r="BT443" i="2" s="1"/>
  <c r="BH443" i="2"/>
  <c r="BD443" i="2"/>
  <c r="BC443" i="2"/>
  <c r="AV443" i="2"/>
  <c r="AU443" i="2"/>
  <c r="AQ443" i="2"/>
  <c r="AO443" i="2"/>
  <c r="AN443" i="2"/>
  <c r="U443" i="2"/>
  <c r="Q443" i="2"/>
  <c r="BX443" i="2" s="1"/>
  <c r="O443" i="2"/>
  <c r="N443" i="2"/>
  <c r="M443" i="2"/>
  <c r="K443" i="2"/>
  <c r="I443" i="2"/>
  <c r="G443" i="2"/>
  <c r="F443" i="2"/>
  <c r="B443" i="2"/>
  <c r="A443" i="2"/>
  <c r="CB442" i="2"/>
  <c r="BZ442" i="2"/>
  <c r="BW442" i="2"/>
  <c r="BS442" i="2"/>
  <c r="BU442" i="2" s="1"/>
  <c r="BR442" i="2"/>
  <c r="BT442" i="2" s="1"/>
  <c r="BH442" i="2"/>
  <c r="BD442" i="2"/>
  <c r="BC442" i="2"/>
  <c r="AV442" i="2"/>
  <c r="AU442" i="2"/>
  <c r="AN442" i="2"/>
  <c r="Q442" i="2"/>
  <c r="O442" i="2"/>
  <c r="N442" i="2"/>
  <c r="M442" i="2"/>
  <c r="K442" i="2"/>
  <c r="I442" i="2"/>
  <c r="H442" i="2"/>
  <c r="G442" i="2"/>
  <c r="F442" i="2"/>
  <c r="B442" i="2"/>
  <c r="A442" i="2"/>
  <c r="CB441" i="2"/>
  <c r="BZ441" i="2"/>
  <c r="BW441" i="2"/>
  <c r="BS441" i="2"/>
  <c r="BU441" i="2" s="1"/>
  <c r="BR441" i="2"/>
  <c r="BT441" i="2" s="1"/>
  <c r="BH441" i="2"/>
  <c r="BD441" i="2"/>
  <c r="BC441" i="2"/>
  <c r="AV441" i="2"/>
  <c r="AU441" i="2"/>
  <c r="AN441" i="2"/>
  <c r="Q441" i="2"/>
  <c r="O441" i="2"/>
  <c r="N441" i="2"/>
  <c r="M441" i="2"/>
  <c r="K441" i="2"/>
  <c r="I441" i="2"/>
  <c r="H441" i="2"/>
  <c r="U441" i="2" s="1"/>
  <c r="G441" i="2"/>
  <c r="F441" i="2"/>
  <c r="B441" i="2"/>
  <c r="A441" i="2"/>
  <c r="CB440" i="2"/>
  <c r="BZ440" i="2"/>
  <c r="BW440" i="2"/>
  <c r="BS440" i="2"/>
  <c r="BU440" i="2" s="1"/>
  <c r="BR440" i="2"/>
  <c r="BT440" i="2" s="1"/>
  <c r="BH440" i="2"/>
  <c r="BD440" i="2"/>
  <c r="BC440" i="2"/>
  <c r="AV440" i="2"/>
  <c r="AU440" i="2"/>
  <c r="AN440" i="2"/>
  <c r="Q440" i="2"/>
  <c r="O440" i="2"/>
  <c r="N440" i="2"/>
  <c r="M440" i="2"/>
  <c r="K440" i="2"/>
  <c r="I440" i="2"/>
  <c r="H440" i="2"/>
  <c r="G440" i="2"/>
  <c r="F440" i="2"/>
  <c r="B440" i="2"/>
  <c r="A440" i="2"/>
  <c r="CB439" i="2"/>
  <c r="BZ439" i="2"/>
  <c r="BW439" i="2"/>
  <c r="BS439" i="2"/>
  <c r="BU439" i="2" s="1"/>
  <c r="BR439" i="2"/>
  <c r="BT439" i="2" s="1"/>
  <c r="BH439" i="2"/>
  <c r="BD439" i="2"/>
  <c r="BC439" i="2"/>
  <c r="AV439" i="2"/>
  <c r="AY439" i="2" s="1"/>
  <c r="AU439" i="2"/>
  <c r="AQ439" i="2"/>
  <c r="AN439" i="2"/>
  <c r="T439" i="2"/>
  <c r="Q439" i="2"/>
  <c r="O439" i="2"/>
  <c r="N439" i="2"/>
  <c r="M439" i="2"/>
  <c r="K439" i="2"/>
  <c r="I439" i="2"/>
  <c r="G439" i="2"/>
  <c r="F439" i="2"/>
  <c r="B439" i="2"/>
  <c r="A439" i="2"/>
  <c r="CB438" i="2"/>
  <c r="BZ438" i="2"/>
  <c r="BW438" i="2"/>
  <c r="BS438" i="2"/>
  <c r="BU438" i="2" s="1"/>
  <c r="BR438" i="2"/>
  <c r="BT438" i="2" s="1"/>
  <c r="BH438" i="2"/>
  <c r="BD438" i="2"/>
  <c r="BC438" i="2"/>
  <c r="AV438" i="2"/>
  <c r="AY438" i="2" s="1"/>
  <c r="BN438" i="2" s="1"/>
  <c r="BO438" i="2" s="1"/>
  <c r="AU438" i="2"/>
  <c r="AQ438" i="2"/>
  <c r="AO438" i="2"/>
  <c r="AN438" i="2"/>
  <c r="T438" i="2"/>
  <c r="Q438" i="2"/>
  <c r="O438" i="2"/>
  <c r="N438" i="2"/>
  <c r="P438" i="2" s="1"/>
  <c r="M438" i="2"/>
  <c r="K438" i="2"/>
  <c r="I438" i="2"/>
  <c r="G438" i="2"/>
  <c r="F438" i="2"/>
  <c r="B438" i="2"/>
  <c r="A438" i="2"/>
  <c r="CB437" i="2"/>
  <c r="BZ437" i="2"/>
  <c r="BW437" i="2"/>
  <c r="BS437" i="2"/>
  <c r="BU437" i="2" s="1"/>
  <c r="BR437" i="2"/>
  <c r="BT437" i="2" s="1"/>
  <c r="BH437" i="2"/>
  <c r="BD437" i="2"/>
  <c r="BC437" i="2"/>
  <c r="AV437" i="2"/>
  <c r="AY437" i="2" s="1"/>
  <c r="AU437" i="2"/>
  <c r="AQ437" i="2"/>
  <c r="AN437" i="2"/>
  <c r="T437" i="2"/>
  <c r="Q437" i="2"/>
  <c r="O437" i="2"/>
  <c r="N437" i="2"/>
  <c r="M437" i="2"/>
  <c r="P437" i="2" s="1"/>
  <c r="K437" i="2"/>
  <c r="I437" i="2"/>
  <c r="G437" i="2"/>
  <c r="F437" i="2"/>
  <c r="B437" i="2"/>
  <c r="A437" i="2"/>
  <c r="CB436" i="2"/>
  <c r="BZ436" i="2"/>
  <c r="BW436" i="2"/>
  <c r="BS436" i="2"/>
  <c r="BU436" i="2" s="1"/>
  <c r="BR436" i="2"/>
  <c r="BT436" i="2" s="1"/>
  <c r="BH436" i="2"/>
  <c r="BD436" i="2"/>
  <c r="BC436" i="2"/>
  <c r="AV436" i="2"/>
  <c r="AY436" i="2" s="1"/>
  <c r="AU436" i="2"/>
  <c r="AQ436" i="2"/>
  <c r="AN436" i="2"/>
  <c r="T436" i="2"/>
  <c r="Q436" i="2"/>
  <c r="O436" i="2"/>
  <c r="N436" i="2"/>
  <c r="M436" i="2"/>
  <c r="K436" i="2"/>
  <c r="I436" i="2"/>
  <c r="G436" i="2"/>
  <c r="F436" i="2"/>
  <c r="AS436" i="2" s="1"/>
  <c r="B436" i="2"/>
  <c r="A436" i="2"/>
  <c r="CB435" i="2"/>
  <c r="CA435" i="2"/>
  <c r="BZ435" i="2"/>
  <c r="BW435" i="2"/>
  <c r="BS435" i="2"/>
  <c r="BU435" i="2" s="1"/>
  <c r="BR435" i="2"/>
  <c r="BT435" i="2" s="1"/>
  <c r="BP435" i="2"/>
  <c r="BQ435" i="2" s="1"/>
  <c r="BY435" i="2" s="1"/>
  <c r="BN435" i="2"/>
  <c r="BO435" i="2" s="1"/>
  <c r="BH435" i="2"/>
  <c r="BC435" i="2"/>
  <c r="AV435" i="2"/>
  <c r="AU435" i="2"/>
  <c r="AR435" i="2"/>
  <c r="AQ435" i="2"/>
  <c r="AO435" i="2"/>
  <c r="AN435" i="2"/>
  <c r="T435" i="2"/>
  <c r="Q435" i="2"/>
  <c r="O435" i="2"/>
  <c r="N435" i="2"/>
  <c r="M435" i="2"/>
  <c r="K435" i="2"/>
  <c r="I435" i="2"/>
  <c r="G435" i="2"/>
  <c r="BD435" i="2" s="1"/>
  <c r="F435" i="2"/>
  <c r="B435" i="2"/>
  <c r="A435" i="2"/>
  <c r="CB434" i="2"/>
  <c r="BZ434" i="2"/>
  <c r="BW434" i="2"/>
  <c r="BS434" i="2"/>
  <c r="BU434" i="2" s="1"/>
  <c r="BR434" i="2"/>
  <c r="BT434" i="2" s="1"/>
  <c r="BH434" i="2"/>
  <c r="BD434" i="2"/>
  <c r="BC434" i="2"/>
  <c r="AV434" i="2"/>
  <c r="AY434" i="2" s="1"/>
  <c r="AU434" i="2"/>
  <c r="AQ434" i="2"/>
  <c r="AO434" i="2"/>
  <c r="AN434" i="2"/>
  <c r="T434" i="2"/>
  <c r="Q434" i="2"/>
  <c r="O434" i="2"/>
  <c r="N434" i="2"/>
  <c r="M434" i="2"/>
  <c r="K434" i="2"/>
  <c r="I434" i="2"/>
  <c r="G434" i="2"/>
  <c r="F434" i="2"/>
  <c r="B434" i="2"/>
  <c r="A434" i="2"/>
  <c r="CB433" i="2"/>
  <c r="BZ433" i="2"/>
  <c r="BW433" i="2"/>
  <c r="BS433" i="2"/>
  <c r="BU433" i="2" s="1"/>
  <c r="BR433" i="2"/>
  <c r="BT433" i="2" s="1"/>
  <c r="BH433" i="2"/>
  <c r="BD433" i="2"/>
  <c r="BC433" i="2"/>
  <c r="AV433" i="2"/>
  <c r="AY433" i="2" s="1"/>
  <c r="AU433" i="2"/>
  <c r="AQ433" i="2"/>
  <c r="AO433" i="2"/>
  <c r="AN433" i="2"/>
  <c r="T433" i="2"/>
  <c r="Q433" i="2"/>
  <c r="O433" i="2"/>
  <c r="N433" i="2"/>
  <c r="P433" i="2" s="1"/>
  <c r="M433" i="2"/>
  <c r="K433" i="2"/>
  <c r="I433" i="2"/>
  <c r="G433" i="2"/>
  <c r="F433" i="2"/>
  <c r="B433" i="2"/>
  <c r="A433" i="2"/>
  <c r="CB432" i="2"/>
  <c r="BZ432" i="2"/>
  <c r="BW432" i="2"/>
  <c r="BS432" i="2"/>
  <c r="BU432" i="2" s="1"/>
  <c r="BR432" i="2"/>
  <c r="BT432" i="2" s="1"/>
  <c r="BH432" i="2"/>
  <c r="BD432" i="2"/>
  <c r="BC432" i="2"/>
  <c r="AV432" i="2"/>
  <c r="AU432" i="2"/>
  <c r="AQ432" i="2"/>
  <c r="AN432" i="2"/>
  <c r="T432" i="2"/>
  <c r="Q432" i="2"/>
  <c r="O432" i="2"/>
  <c r="N432" i="2"/>
  <c r="P432" i="2" s="1"/>
  <c r="M432" i="2"/>
  <c r="K432" i="2"/>
  <c r="I432" i="2"/>
  <c r="G432" i="2"/>
  <c r="F432" i="2"/>
  <c r="AS432" i="2" s="1"/>
  <c r="B432" i="2"/>
  <c r="A432" i="2"/>
  <c r="CB431" i="2"/>
  <c r="BZ431" i="2"/>
  <c r="BW431" i="2"/>
  <c r="BS431" i="2"/>
  <c r="BU431" i="2" s="1"/>
  <c r="BR431" i="2"/>
  <c r="BT431" i="2" s="1"/>
  <c r="BH431" i="2"/>
  <c r="BD431" i="2"/>
  <c r="BC431" i="2"/>
  <c r="AV431" i="2"/>
  <c r="AY431" i="2" s="1"/>
  <c r="AU431" i="2"/>
  <c r="AQ431" i="2"/>
  <c r="AO431" i="2"/>
  <c r="AN431" i="2"/>
  <c r="T431" i="2"/>
  <c r="Q431" i="2"/>
  <c r="O431" i="2"/>
  <c r="N431" i="2"/>
  <c r="M431" i="2"/>
  <c r="K431" i="2"/>
  <c r="I431" i="2"/>
  <c r="G431" i="2"/>
  <c r="F431" i="2"/>
  <c r="B431" i="2"/>
  <c r="A431" i="2"/>
  <c r="CB430" i="2"/>
  <c r="BZ430" i="2"/>
  <c r="BW430" i="2"/>
  <c r="BS430" i="2"/>
  <c r="BU430" i="2" s="1"/>
  <c r="BR430" i="2"/>
  <c r="BT430" i="2" s="1"/>
  <c r="BH430" i="2"/>
  <c r="BD430" i="2"/>
  <c r="BC430" i="2"/>
  <c r="AV430" i="2"/>
  <c r="AY430" i="2" s="1"/>
  <c r="AU430" i="2"/>
  <c r="AQ430" i="2"/>
  <c r="AN430" i="2"/>
  <c r="T430" i="2"/>
  <c r="Q430" i="2"/>
  <c r="O430" i="2"/>
  <c r="N430" i="2"/>
  <c r="M430" i="2"/>
  <c r="K430" i="2"/>
  <c r="I430" i="2"/>
  <c r="G430" i="2"/>
  <c r="F430" i="2"/>
  <c r="B430" i="2"/>
  <c r="A430" i="2"/>
  <c r="CB429" i="2"/>
  <c r="BZ429" i="2"/>
  <c r="BW429" i="2"/>
  <c r="BS429" i="2"/>
  <c r="BU429" i="2" s="1"/>
  <c r="BR429" i="2"/>
  <c r="BT429" i="2" s="1"/>
  <c r="BH429" i="2"/>
  <c r="BD429" i="2"/>
  <c r="BC429" i="2"/>
  <c r="AV429" i="2"/>
  <c r="AU429" i="2"/>
  <c r="AQ429" i="2"/>
  <c r="AN429" i="2"/>
  <c r="T429" i="2"/>
  <c r="Q429" i="2"/>
  <c r="O429" i="2"/>
  <c r="N429" i="2"/>
  <c r="M429" i="2"/>
  <c r="K429" i="2"/>
  <c r="I429" i="2"/>
  <c r="G429" i="2"/>
  <c r="F429" i="2"/>
  <c r="B429" i="2"/>
  <c r="A429" i="2"/>
  <c r="CB428" i="2"/>
  <c r="BZ428" i="2"/>
  <c r="BW428" i="2"/>
  <c r="BU428" i="2"/>
  <c r="BS428" i="2"/>
  <c r="BR428" i="2"/>
  <c r="BT428" i="2" s="1"/>
  <c r="BH428" i="2"/>
  <c r="BD428" i="2"/>
  <c r="BC428" i="2"/>
  <c r="AV428" i="2"/>
  <c r="AY428" i="2" s="1"/>
  <c r="AW525" i="2" s="1"/>
  <c r="AX525" i="2" s="1"/>
  <c r="AU428" i="2"/>
  <c r="AQ428" i="2"/>
  <c r="AN428" i="2"/>
  <c r="T428" i="2"/>
  <c r="Q428" i="2"/>
  <c r="O428" i="2"/>
  <c r="N428" i="2"/>
  <c r="M428" i="2"/>
  <c r="K428" i="2"/>
  <c r="I428" i="2"/>
  <c r="G428" i="2"/>
  <c r="F428" i="2"/>
  <c r="B428" i="2"/>
  <c r="A428" i="2"/>
  <c r="CB427" i="2"/>
  <c r="BZ427" i="2"/>
  <c r="BW427" i="2"/>
  <c r="BS427" i="2"/>
  <c r="BU427" i="2" s="1"/>
  <c r="BR427" i="2"/>
  <c r="BT427" i="2" s="1"/>
  <c r="BH427" i="2"/>
  <c r="BC427" i="2"/>
  <c r="AV427" i="2"/>
  <c r="AU427" i="2"/>
  <c r="AQ427" i="2"/>
  <c r="AN427" i="2"/>
  <c r="T427" i="2"/>
  <c r="Q427" i="2"/>
  <c r="O427" i="2"/>
  <c r="N427" i="2"/>
  <c r="M427" i="2"/>
  <c r="K427" i="2"/>
  <c r="I427" i="2"/>
  <c r="G427" i="2"/>
  <c r="BD427" i="2" s="1"/>
  <c r="F427" i="2"/>
  <c r="B427" i="2"/>
  <c r="A427" i="2"/>
  <c r="CB426" i="2"/>
  <c r="BZ426" i="2"/>
  <c r="BW426" i="2"/>
  <c r="BS426" i="2"/>
  <c r="BU426" i="2" s="1"/>
  <c r="BR426" i="2"/>
  <c r="BT426" i="2" s="1"/>
  <c r="BH426" i="2"/>
  <c r="BD426" i="2"/>
  <c r="BC426" i="2"/>
  <c r="AV426" i="2"/>
  <c r="AY426" i="2" s="1"/>
  <c r="AW523" i="2" s="1"/>
  <c r="AU426" i="2"/>
  <c r="AQ426" i="2"/>
  <c r="AO426" i="2"/>
  <c r="AN426" i="2"/>
  <c r="T426" i="2"/>
  <c r="Q426" i="2"/>
  <c r="O426" i="2"/>
  <c r="N426" i="2"/>
  <c r="M426" i="2"/>
  <c r="K426" i="2"/>
  <c r="I426" i="2"/>
  <c r="G426" i="2"/>
  <c r="F426" i="2"/>
  <c r="B426" i="2"/>
  <c r="A426" i="2"/>
  <c r="CB425" i="2"/>
  <c r="BZ425" i="2"/>
  <c r="BW425" i="2"/>
  <c r="BS425" i="2"/>
  <c r="BU425" i="2" s="1"/>
  <c r="BR425" i="2"/>
  <c r="BT425" i="2" s="1"/>
  <c r="BH425" i="2"/>
  <c r="BD425" i="2"/>
  <c r="BC425" i="2"/>
  <c r="AV425" i="2"/>
  <c r="AY425" i="2" s="1"/>
  <c r="AW522" i="2" s="1"/>
  <c r="AX522" i="2" s="1"/>
  <c r="AU425" i="2"/>
  <c r="AQ425" i="2"/>
  <c r="AO425" i="2"/>
  <c r="AN425" i="2"/>
  <c r="T425" i="2"/>
  <c r="Q425" i="2"/>
  <c r="O425" i="2"/>
  <c r="N425" i="2"/>
  <c r="M425" i="2"/>
  <c r="K425" i="2"/>
  <c r="I425" i="2"/>
  <c r="G425" i="2"/>
  <c r="AS425" i="2" s="1"/>
  <c r="F425" i="2"/>
  <c r="B425" i="2"/>
  <c r="A425" i="2"/>
  <c r="CB424" i="2"/>
  <c r="BZ424" i="2"/>
  <c r="BW424" i="2"/>
  <c r="BS424" i="2"/>
  <c r="BU424" i="2" s="1"/>
  <c r="BR424" i="2"/>
  <c r="BT424" i="2" s="1"/>
  <c r="BP424" i="2"/>
  <c r="BQ424" i="2" s="1"/>
  <c r="BY424" i="2" s="1"/>
  <c r="BN424" i="2"/>
  <c r="BO424" i="2" s="1"/>
  <c r="BH424" i="2"/>
  <c r="BC424" i="2"/>
  <c r="AV424" i="2"/>
  <c r="AU424" i="2"/>
  <c r="AR424" i="2"/>
  <c r="AQ424" i="2"/>
  <c r="AO424" i="2"/>
  <c r="AN424" i="2"/>
  <c r="T424" i="2"/>
  <c r="Q424" i="2"/>
  <c r="O424" i="2"/>
  <c r="N424" i="2"/>
  <c r="P424" i="2" s="1"/>
  <c r="M424" i="2"/>
  <c r="K424" i="2"/>
  <c r="I424" i="2"/>
  <c r="G424" i="2"/>
  <c r="BD424" i="2" s="1"/>
  <c r="F424" i="2"/>
  <c r="B424" i="2"/>
  <c r="A424" i="2"/>
  <c r="CB423" i="2"/>
  <c r="BZ423" i="2"/>
  <c r="BW423" i="2"/>
  <c r="BS423" i="2"/>
  <c r="BU423" i="2" s="1"/>
  <c r="BR423" i="2"/>
  <c r="BT423" i="2" s="1"/>
  <c r="BH423" i="2"/>
  <c r="BD423" i="2"/>
  <c r="BC423" i="2"/>
  <c r="AV423" i="2"/>
  <c r="AY423" i="2" s="1"/>
  <c r="BN423" i="2" s="1"/>
  <c r="BO423" i="2" s="1"/>
  <c r="AU423" i="2"/>
  <c r="AQ423" i="2"/>
  <c r="AO423" i="2"/>
  <c r="AN423" i="2"/>
  <c r="T423" i="2"/>
  <c r="Q423" i="2"/>
  <c r="O423" i="2"/>
  <c r="N423" i="2"/>
  <c r="M423" i="2"/>
  <c r="K423" i="2"/>
  <c r="I423" i="2"/>
  <c r="G423" i="2"/>
  <c r="F423" i="2"/>
  <c r="B423" i="2"/>
  <c r="A423" i="2"/>
  <c r="CB422" i="2"/>
  <c r="BZ422" i="2"/>
  <c r="BW422" i="2"/>
  <c r="BS422" i="2"/>
  <c r="BU422" i="2" s="1"/>
  <c r="BR422" i="2"/>
  <c r="BT422" i="2" s="1"/>
  <c r="BH422" i="2"/>
  <c r="BD422" i="2"/>
  <c r="BC422" i="2"/>
  <c r="AV422" i="2"/>
  <c r="AY422" i="2" s="1"/>
  <c r="AU422" i="2"/>
  <c r="AQ422" i="2"/>
  <c r="AN422" i="2"/>
  <c r="T422" i="2"/>
  <c r="Q422" i="2"/>
  <c r="O422" i="2"/>
  <c r="N422" i="2"/>
  <c r="M422" i="2"/>
  <c r="K422" i="2"/>
  <c r="I422" i="2"/>
  <c r="G422" i="2"/>
  <c r="F422" i="2"/>
  <c r="B422" i="2"/>
  <c r="A422" i="2"/>
  <c r="CB421" i="2"/>
  <c r="BZ421" i="2"/>
  <c r="BW421" i="2"/>
  <c r="BS421" i="2"/>
  <c r="BU421" i="2" s="1"/>
  <c r="BR421" i="2"/>
  <c r="BT421" i="2" s="1"/>
  <c r="BH421" i="2"/>
  <c r="BD421" i="2"/>
  <c r="BC421" i="2"/>
  <c r="AV421" i="2"/>
  <c r="AY421" i="2" s="1"/>
  <c r="AU421" i="2"/>
  <c r="AQ421" i="2"/>
  <c r="AN421" i="2"/>
  <c r="T421" i="2"/>
  <c r="Q421" i="2"/>
  <c r="O421" i="2"/>
  <c r="N421" i="2"/>
  <c r="M421" i="2"/>
  <c r="K421" i="2"/>
  <c r="I421" i="2"/>
  <c r="G421" i="2"/>
  <c r="F421" i="2"/>
  <c r="B421" i="2"/>
  <c r="A421" i="2"/>
  <c r="CB420" i="2"/>
  <c r="CA420" i="2"/>
  <c r="BZ420" i="2"/>
  <c r="BW420" i="2"/>
  <c r="BS420" i="2"/>
  <c r="BU420" i="2" s="1"/>
  <c r="BR420" i="2"/>
  <c r="BT420" i="2" s="1"/>
  <c r="BQ420" i="2"/>
  <c r="BY420" i="2" s="1"/>
  <c r="BP420" i="2"/>
  <c r="BN420" i="2"/>
  <c r="BO420" i="2" s="1"/>
  <c r="BH420" i="2"/>
  <c r="BC420" i="2"/>
  <c r="AV420" i="2"/>
  <c r="AU420" i="2"/>
  <c r="AR420" i="2"/>
  <c r="AQ420" i="2"/>
  <c r="AO420" i="2"/>
  <c r="AN420" i="2"/>
  <c r="T420" i="2"/>
  <c r="Q420" i="2"/>
  <c r="O420" i="2"/>
  <c r="N420" i="2"/>
  <c r="M420" i="2"/>
  <c r="K420" i="2"/>
  <c r="I420" i="2"/>
  <c r="G420" i="2"/>
  <c r="BD420" i="2" s="1"/>
  <c r="F420" i="2"/>
  <c r="B420" i="2"/>
  <c r="A420" i="2"/>
  <c r="CB419" i="2"/>
  <c r="BZ419" i="2"/>
  <c r="BW419" i="2"/>
  <c r="BS419" i="2"/>
  <c r="BU419" i="2" s="1"/>
  <c r="BR419" i="2"/>
  <c r="BT419" i="2" s="1"/>
  <c r="BH419" i="2"/>
  <c r="BD419" i="2"/>
  <c r="BC419" i="2"/>
  <c r="AV419" i="2"/>
  <c r="AU419" i="2"/>
  <c r="AQ419" i="2"/>
  <c r="AO419" i="2"/>
  <c r="AN419" i="2"/>
  <c r="T419" i="2"/>
  <c r="Q419" i="2"/>
  <c r="O419" i="2"/>
  <c r="N419" i="2"/>
  <c r="M419" i="2"/>
  <c r="K419" i="2"/>
  <c r="I419" i="2"/>
  <c r="G419" i="2"/>
  <c r="F419" i="2"/>
  <c r="B419" i="2"/>
  <c r="A419" i="2"/>
  <c r="CB418" i="2"/>
  <c r="BZ418" i="2"/>
  <c r="BW418" i="2"/>
  <c r="BS418" i="2"/>
  <c r="BU418" i="2" s="1"/>
  <c r="BR418" i="2"/>
  <c r="BT418" i="2" s="1"/>
  <c r="BH418" i="2"/>
  <c r="BD418" i="2"/>
  <c r="BC418" i="2"/>
  <c r="AV418" i="2"/>
  <c r="AU418" i="2"/>
  <c r="AQ418" i="2"/>
  <c r="AO418" i="2"/>
  <c r="AN418" i="2"/>
  <c r="T418" i="2"/>
  <c r="Q418" i="2"/>
  <c r="O418" i="2"/>
  <c r="N418" i="2"/>
  <c r="M418" i="2"/>
  <c r="K418" i="2"/>
  <c r="I418" i="2"/>
  <c r="G418" i="2"/>
  <c r="F418" i="2"/>
  <c r="B418" i="2"/>
  <c r="A418" i="2"/>
  <c r="CB417" i="2"/>
  <c r="BZ417" i="2"/>
  <c r="BW417" i="2"/>
  <c r="BS417" i="2"/>
  <c r="BU417" i="2" s="1"/>
  <c r="BR417" i="2"/>
  <c r="BT417" i="2" s="1"/>
  <c r="BH417" i="2"/>
  <c r="BD417" i="2"/>
  <c r="BC417" i="2"/>
  <c r="AV417" i="2"/>
  <c r="AY417" i="2" s="1"/>
  <c r="AU417" i="2"/>
  <c r="AQ417" i="2"/>
  <c r="AO417" i="2"/>
  <c r="AN417" i="2"/>
  <c r="T417" i="2"/>
  <c r="Q417" i="2"/>
  <c r="O417" i="2"/>
  <c r="N417" i="2"/>
  <c r="M417" i="2"/>
  <c r="K417" i="2"/>
  <c r="I417" i="2"/>
  <c r="G417" i="2"/>
  <c r="F417" i="2"/>
  <c r="B417" i="2"/>
  <c r="A417" i="2"/>
  <c r="CB416" i="2"/>
  <c r="BZ416" i="2"/>
  <c r="BW416" i="2"/>
  <c r="BS416" i="2"/>
  <c r="BU416" i="2" s="1"/>
  <c r="BR416" i="2"/>
  <c r="BT416" i="2" s="1"/>
  <c r="BH416" i="2"/>
  <c r="BD416" i="2"/>
  <c r="BC416" i="2"/>
  <c r="AV416" i="2"/>
  <c r="AY416" i="2" s="1"/>
  <c r="BP416" i="2" s="1"/>
  <c r="BQ416" i="2" s="1"/>
  <c r="BY416" i="2" s="1"/>
  <c r="AU416" i="2"/>
  <c r="AQ416" i="2"/>
  <c r="AO416" i="2"/>
  <c r="AN416" i="2"/>
  <c r="T416" i="2"/>
  <c r="Q416" i="2"/>
  <c r="BX416" i="2" s="1"/>
  <c r="O416" i="2"/>
  <c r="N416" i="2"/>
  <c r="M416" i="2"/>
  <c r="K416" i="2"/>
  <c r="I416" i="2"/>
  <c r="G416" i="2"/>
  <c r="AS416" i="2" s="1"/>
  <c r="F416" i="2"/>
  <c r="B416" i="2"/>
  <c r="A416" i="2"/>
  <c r="CB415" i="2"/>
  <c r="BZ415" i="2"/>
  <c r="BW415" i="2"/>
  <c r="BS415" i="2"/>
  <c r="BU415" i="2" s="1"/>
  <c r="BR415" i="2"/>
  <c r="BT415" i="2" s="1"/>
  <c r="BH415" i="2"/>
  <c r="BD415" i="2"/>
  <c r="BC415" i="2"/>
  <c r="AV415" i="2"/>
  <c r="AU415" i="2"/>
  <c r="AQ415" i="2"/>
  <c r="AO415" i="2"/>
  <c r="AN415" i="2"/>
  <c r="T415" i="2"/>
  <c r="Q415" i="2"/>
  <c r="O415" i="2"/>
  <c r="N415" i="2"/>
  <c r="M415" i="2"/>
  <c r="K415" i="2"/>
  <c r="I415" i="2"/>
  <c r="G415" i="2"/>
  <c r="F415" i="2"/>
  <c r="B415" i="2"/>
  <c r="A415" i="2"/>
  <c r="CB414" i="2"/>
  <c r="BZ414" i="2"/>
  <c r="BW414" i="2"/>
  <c r="BT414" i="2"/>
  <c r="BS414" i="2"/>
  <c r="BU414" i="2" s="1"/>
  <c r="BR414" i="2"/>
  <c r="BH414" i="2"/>
  <c r="BD414" i="2"/>
  <c r="BC414" i="2"/>
  <c r="AV414" i="2"/>
  <c r="AY414" i="2" s="1"/>
  <c r="BP414" i="2" s="1"/>
  <c r="BQ414" i="2" s="1"/>
  <c r="BY414" i="2" s="1"/>
  <c r="AU414" i="2"/>
  <c r="AQ414" i="2"/>
  <c r="AO414" i="2"/>
  <c r="AN414" i="2"/>
  <c r="T414" i="2"/>
  <c r="Q414" i="2"/>
  <c r="O414" i="2"/>
  <c r="N414" i="2"/>
  <c r="M414" i="2"/>
  <c r="K414" i="2"/>
  <c r="I414" i="2"/>
  <c r="G414" i="2"/>
  <c r="F414" i="2"/>
  <c r="B414" i="2"/>
  <c r="A414" i="2"/>
  <c r="CB413" i="2"/>
  <c r="BZ413" i="2"/>
  <c r="BW413" i="2"/>
  <c r="BS413" i="2"/>
  <c r="BU413" i="2" s="1"/>
  <c r="BR413" i="2"/>
  <c r="BT413" i="2" s="1"/>
  <c r="BH413" i="2"/>
  <c r="BD413" i="2"/>
  <c r="BC413" i="2"/>
  <c r="AV413" i="2"/>
  <c r="AY413" i="2" s="1"/>
  <c r="AU413" i="2"/>
  <c r="AQ413" i="2"/>
  <c r="AO413" i="2"/>
  <c r="AN413" i="2"/>
  <c r="T413" i="2"/>
  <c r="Q413" i="2"/>
  <c r="O413" i="2"/>
  <c r="N413" i="2"/>
  <c r="M413" i="2"/>
  <c r="K413" i="2"/>
  <c r="I413" i="2"/>
  <c r="G413" i="2"/>
  <c r="F413" i="2"/>
  <c r="B413" i="2"/>
  <c r="A413" i="2"/>
  <c r="CB412" i="2"/>
  <c r="BZ412" i="2"/>
  <c r="BW412" i="2"/>
  <c r="BS412" i="2"/>
  <c r="BU412" i="2" s="1"/>
  <c r="BR412" i="2"/>
  <c r="BT412" i="2" s="1"/>
  <c r="BH412" i="2"/>
  <c r="BC412" i="2"/>
  <c r="AV412" i="2"/>
  <c r="AU412" i="2"/>
  <c r="AQ412" i="2"/>
  <c r="AO412" i="2"/>
  <c r="AN412" i="2"/>
  <c r="AP412" i="2" s="1"/>
  <c r="T412" i="2"/>
  <c r="Q412" i="2"/>
  <c r="O412" i="2"/>
  <c r="N412" i="2"/>
  <c r="M412" i="2"/>
  <c r="K412" i="2"/>
  <c r="I412" i="2"/>
  <c r="G412" i="2"/>
  <c r="F412" i="2"/>
  <c r="B412" i="2"/>
  <c r="A412" i="2"/>
  <c r="CB411" i="2"/>
  <c r="BZ411" i="2"/>
  <c r="BW411" i="2"/>
  <c r="BS411" i="2"/>
  <c r="BU411" i="2" s="1"/>
  <c r="BR411" i="2"/>
  <c r="BT411" i="2" s="1"/>
  <c r="BH411" i="2"/>
  <c r="BD411" i="2"/>
  <c r="BC411" i="2"/>
  <c r="AV411" i="2"/>
  <c r="AU411" i="2"/>
  <c r="AQ411" i="2"/>
  <c r="AN411" i="2"/>
  <c r="T411" i="2"/>
  <c r="Q411" i="2"/>
  <c r="O411" i="2"/>
  <c r="N411" i="2"/>
  <c r="M411" i="2"/>
  <c r="K411" i="2"/>
  <c r="I411" i="2"/>
  <c r="G411" i="2"/>
  <c r="F411" i="2"/>
  <c r="B411" i="2"/>
  <c r="A411" i="2"/>
  <c r="CB410" i="2"/>
  <c r="BZ410" i="2"/>
  <c r="BW410" i="2"/>
  <c r="BS410" i="2"/>
  <c r="BU410" i="2" s="1"/>
  <c r="BR410" i="2"/>
  <c r="BT410" i="2" s="1"/>
  <c r="BH410" i="2"/>
  <c r="BD410" i="2"/>
  <c r="BC410" i="2"/>
  <c r="AV410" i="2"/>
  <c r="AU410" i="2"/>
  <c r="AQ410" i="2"/>
  <c r="AO410" i="2"/>
  <c r="AN410" i="2"/>
  <c r="T410" i="2"/>
  <c r="Q410" i="2"/>
  <c r="O410" i="2"/>
  <c r="N410" i="2"/>
  <c r="M410" i="2"/>
  <c r="K410" i="2"/>
  <c r="I410" i="2"/>
  <c r="G410" i="2"/>
  <c r="F410" i="2"/>
  <c r="B410" i="2"/>
  <c r="A410" i="2"/>
  <c r="CB409" i="2"/>
  <c r="BZ409" i="2"/>
  <c r="BW409" i="2"/>
  <c r="BS409" i="2"/>
  <c r="BU409" i="2" s="1"/>
  <c r="BR409" i="2"/>
  <c r="BT409" i="2" s="1"/>
  <c r="BH409" i="2"/>
  <c r="BD409" i="2"/>
  <c r="BC409" i="2"/>
  <c r="AV409" i="2"/>
  <c r="AY409" i="2" s="1"/>
  <c r="AU409" i="2"/>
  <c r="AQ409" i="2"/>
  <c r="AO409" i="2"/>
  <c r="AN409" i="2"/>
  <c r="T409" i="2"/>
  <c r="Q409" i="2"/>
  <c r="O409" i="2"/>
  <c r="N409" i="2"/>
  <c r="M409" i="2"/>
  <c r="K409" i="2"/>
  <c r="I409" i="2"/>
  <c r="G409" i="2"/>
  <c r="F409" i="2"/>
  <c r="B409" i="2"/>
  <c r="A409" i="2"/>
  <c r="CB408" i="2"/>
  <c r="BZ408" i="2"/>
  <c r="BW408" i="2"/>
  <c r="BS408" i="2"/>
  <c r="BU408" i="2" s="1"/>
  <c r="BR408" i="2"/>
  <c r="BT408" i="2" s="1"/>
  <c r="BH408" i="2"/>
  <c r="BD408" i="2"/>
  <c r="BC408" i="2"/>
  <c r="AV408" i="2"/>
  <c r="AY408" i="2" s="1"/>
  <c r="AU408" i="2"/>
  <c r="AQ408" i="2"/>
  <c r="AO408" i="2"/>
  <c r="AN408" i="2"/>
  <c r="AP408" i="2" s="1"/>
  <c r="U408" i="2" s="1"/>
  <c r="T408" i="2"/>
  <c r="Q408" i="2"/>
  <c r="O408" i="2"/>
  <c r="N408" i="2"/>
  <c r="M408" i="2"/>
  <c r="K408" i="2"/>
  <c r="I408" i="2"/>
  <c r="G408" i="2"/>
  <c r="F408" i="2"/>
  <c r="B408" i="2"/>
  <c r="A408" i="2"/>
  <c r="CB407" i="2"/>
  <c r="BZ407" i="2"/>
  <c r="BW407" i="2"/>
  <c r="BS407" i="2"/>
  <c r="BU407" i="2" s="1"/>
  <c r="BR407" i="2"/>
  <c r="BT407" i="2" s="1"/>
  <c r="BH407" i="2"/>
  <c r="BD407" i="2"/>
  <c r="BC407" i="2"/>
  <c r="AV407" i="2"/>
  <c r="AY407" i="2" s="1"/>
  <c r="AW504" i="2" s="1"/>
  <c r="AX504" i="2" s="1"/>
  <c r="AU407" i="2"/>
  <c r="AQ407" i="2"/>
  <c r="AO407" i="2"/>
  <c r="AN407" i="2"/>
  <c r="T407" i="2"/>
  <c r="Q407" i="2"/>
  <c r="O407" i="2"/>
  <c r="N407" i="2"/>
  <c r="M407" i="2"/>
  <c r="K407" i="2"/>
  <c r="I407" i="2"/>
  <c r="G407" i="2"/>
  <c r="F407" i="2"/>
  <c r="B407" i="2"/>
  <c r="A407" i="2"/>
  <c r="CB406" i="2"/>
  <c r="BZ406" i="2"/>
  <c r="BW406" i="2"/>
  <c r="BS406" i="2"/>
  <c r="BU406" i="2" s="1"/>
  <c r="BR406" i="2"/>
  <c r="BT406" i="2" s="1"/>
  <c r="BH406" i="2"/>
  <c r="BD406" i="2"/>
  <c r="BC406" i="2"/>
  <c r="AV406" i="2"/>
  <c r="AY406" i="2" s="1"/>
  <c r="AU406" i="2"/>
  <c r="AQ406" i="2"/>
  <c r="AN406" i="2"/>
  <c r="T406" i="2"/>
  <c r="Q406" i="2"/>
  <c r="O406" i="2"/>
  <c r="N406" i="2"/>
  <c r="M406" i="2"/>
  <c r="K406" i="2"/>
  <c r="I406" i="2"/>
  <c r="G406" i="2"/>
  <c r="F406" i="2"/>
  <c r="B406" i="2"/>
  <c r="A406" i="2"/>
  <c r="CB405" i="2"/>
  <c r="BZ405" i="2"/>
  <c r="BW405" i="2"/>
  <c r="BS405" i="2"/>
  <c r="BU405" i="2" s="1"/>
  <c r="BR405" i="2"/>
  <c r="BT405" i="2" s="1"/>
  <c r="BH405" i="2"/>
  <c r="BD405" i="2"/>
  <c r="BC405" i="2"/>
  <c r="AV405" i="2"/>
  <c r="AU405" i="2"/>
  <c r="AQ405" i="2"/>
  <c r="AN405" i="2"/>
  <c r="T405" i="2"/>
  <c r="Q405" i="2"/>
  <c r="O405" i="2"/>
  <c r="N405" i="2"/>
  <c r="M405" i="2"/>
  <c r="K405" i="2"/>
  <c r="I405" i="2"/>
  <c r="G405" i="2"/>
  <c r="F405" i="2"/>
  <c r="B405" i="2"/>
  <c r="A405" i="2"/>
  <c r="CB404" i="2"/>
  <c r="BZ404" i="2"/>
  <c r="BW404" i="2"/>
  <c r="BS404" i="2"/>
  <c r="BU404" i="2" s="1"/>
  <c r="BR404" i="2"/>
  <c r="BT404" i="2" s="1"/>
  <c r="BH404" i="2"/>
  <c r="BD404" i="2"/>
  <c r="BC404" i="2"/>
  <c r="AV404" i="2"/>
  <c r="AY404" i="2" s="1"/>
  <c r="BN404" i="2" s="1"/>
  <c r="BO404" i="2" s="1"/>
  <c r="AU404" i="2"/>
  <c r="AQ404" i="2"/>
  <c r="AO404" i="2"/>
  <c r="AN404" i="2"/>
  <c r="AP404" i="2" s="1"/>
  <c r="U404" i="2" s="1"/>
  <c r="T404" i="2"/>
  <c r="Q404" i="2"/>
  <c r="O404" i="2"/>
  <c r="N404" i="2"/>
  <c r="M404" i="2"/>
  <c r="K404" i="2"/>
  <c r="I404" i="2"/>
  <c r="G404" i="2"/>
  <c r="F404" i="2"/>
  <c r="B404" i="2"/>
  <c r="A404" i="2"/>
  <c r="CB403" i="2"/>
  <c r="BZ403" i="2"/>
  <c r="BW403" i="2"/>
  <c r="BS403" i="2"/>
  <c r="BU403" i="2" s="1"/>
  <c r="BR403" i="2"/>
  <c r="BT403" i="2" s="1"/>
  <c r="BH403" i="2"/>
  <c r="BD403" i="2"/>
  <c r="BC403" i="2"/>
  <c r="AV403" i="2"/>
  <c r="AU403" i="2"/>
  <c r="AQ403" i="2"/>
  <c r="AO403" i="2"/>
  <c r="AN403" i="2"/>
  <c r="T403" i="2"/>
  <c r="Q403" i="2"/>
  <c r="O403" i="2"/>
  <c r="N403" i="2"/>
  <c r="M403" i="2"/>
  <c r="K403" i="2"/>
  <c r="I403" i="2"/>
  <c r="G403" i="2"/>
  <c r="F403" i="2"/>
  <c r="B403" i="2"/>
  <c r="A403" i="2"/>
  <c r="CB402" i="2"/>
  <c r="BZ402" i="2"/>
  <c r="BW402" i="2"/>
  <c r="BS402" i="2"/>
  <c r="BU402" i="2" s="1"/>
  <c r="BR402" i="2"/>
  <c r="BT402" i="2" s="1"/>
  <c r="BH402" i="2"/>
  <c r="BD402" i="2"/>
  <c r="BC402" i="2"/>
  <c r="AV402" i="2"/>
  <c r="AY402" i="2" s="1"/>
  <c r="AU402" i="2"/>
  <c r="AQ402" i="2"/>
  <c r="AN402" i="2"/>
  <c r="T402" i="2"/>
  <c r="Q402" i="2"/>
  <c r="O402" i="2"/>
  <c r="N402" i="2"/>
  <c r="M402" i="2"/>
  <c r="K402" i="2"/>
  <c r="I402" i="2"/>
  <c r="G402" i="2"/>
  <c r="F402" i="2"/>
  <c r="B402" i="2"/>
  <c r="A402" i="2"/>
  <c r="CB401" i="2"/>
  <c r="BZ401" i="2"/>
  <c r="BW401" i="2"/>
  <c r="BU401" i="2"/>
  <c r="BS401" i="2"/>
  <c r="BR401" i="2"/>
  <c r="BT401" i="2" s="1"/>
  <c r="BH401" i="2"/>
  <c r="BD401" i="2"/>
  <c r="BC401" i="2"/>
  <c r="AV401" i="2"/>
  <c r="AY401" i="2" s="1"/>
  <c r="BN401" i="2" s="1"/>
  <c r="BO401" i="2" s="1"/>
  <c r="AU401" i="2"/>
  <c r="AQ401" i="2"/>
  <c r="AO401" i="2"/>
  <c r="AN401" i="2"/>
  <c r="T401" i="2"/>
  <c r="Q401" i="2"/>
  <c r="O401" i="2"/>
  <c r="N401" i="2"/>
  <c r="M401" i="2"/>
  <c r="K401" i="2"/>
  <c r="I401" i="2"/>
  <c r="G401" i="2"/>
  <c r="F401" i="2"/>
  <c r="B401" i="2"/>
  <c r="A401" i="2"/>
  <c r="CB400" i="2"/>
  <c r="BZ400" i="2"/>
  <c r="BW400" i="2"/>
  <c r="BS400" i="2"/>
  <c r="BU400" i="2" s="1"/>
  <c r="BR400" i="2"/>
  <c r="BT400" i="2" s="1"/>
  <c r="BH400" i="2"/>
  <c r="BD400" i="2"/>
  <c r="BC400" i="2"/>
  <c r="AV400" i="2"/>
  <c r="AY400" i="2" s="1"/>
  <c r="AW497" i="2" s="1"/>
  <c r="AU400" i="2"/>
  <c r="AQ400" i="2"/>
  <c r="AO400" i="2"/>
  <c r="AN400" i="2"/>
  <c r="T400" i="2"/>
  <c r="Q400" i="2"/>
  <c r="O400" i="2"/>
  <c r="N400" i="2"/>
  <c r="M400" i="2"/>
  <c r="K400" i="2"/>
  <c r="I400" i="2"/>
  <c r="G400" i="2"/>
  <c r="F400" i="2"/>
  <c r="B400" i="2"/>
  <c r="A400" i="2"/>
  <c r="CB399" i="2"/>
  <c r="BZ399" i="2"/>
  <c r="BW399" i="2"/>
  <c r="BS399" i="2"/>
  <c r="BU399" i="2" s="1"/>
  <c r="BR399" i="2"/>
  <c r="BT399" i="2" s="1"/>
  <c r="BH399" i="2"/>
  <c r="BD399" i="2"/>
  <c r="BC399" i="2"/>
  <c r="AV399" i="2"/>
  <c r="AY399" i="2" s="1"/>
  <c r="BN399" i="2" s="1"/>
  <c r="BO399" i="2" s="1"/>
  <c r="AU399" i="2"/>
  <c r="AQ399" i="2"/>
  <c r="AO399" i="2"/>
  <c r="AN399" i="2"/>
  <c r="T399" i="2"/>
  <c r="Q399" i="2"/>
  <c r="O399" i="2"/>
  <c r="N399" i="2"/>
  <c r="M399" i="2"/>
  <c r="K399" i="2"/>
  <c r="I399" i="2"/>
  <c r="G399" i="2"/>
  <c r="F399" i="2"/>
  <c r="B399" i="2"/>
  <c r="A399" i="2"/>
  <c r="CB398" i="2"/>
  <c r="BZ398" i="2"/>
  <c r="BW398" i="2"/>
  <c r="BS398" i="2"/>
  <c r="BU398" i="2" s="1"/>
  <c r="BR398" i="2"/>
  <c r="BT398" i="2" s="1"/>
  <c r="BH398" i="2"/>
  <c r="BD398" i="2"/>
  <c r="BC398" i="2"/>
  <c r="AV398" i="2"/>
  <c r="AU398" i="2"/>
  <c r="AQ398" i="2"/>
  <c r="AO398" i="2"/>
  <c r="AN398" i="2"/>
  <c r="T398" i="2"/>
  <c r="Q398" i="2"/>
  <c r="O398" i="2"/>
  <c r="N398" i="2"/>
  <c r="M398" i="2"/>
  <c r="K398" i="2"/>
  <c r="I398" i="2"/>
  <c r="G398" i="2"/>
  <c r="F398" i="2"/>
  <c r="B398" i="2"/>
  <c r="A398" i="2"/>
  <c r="CB397" i="2"/>
  <c r="BZ397" i="2"/>
  <c r="BW397" i="2"/>
  <c r="BS397" i="2"/>
  <c r="BU397" i="2" s="1"/>
  <c r="BR397" i="2"/>
  <c r="BT397" i="2" s="1"/>
  <c r="BH397" i="2"/>
  <c r="BD397" i="2"/>
  <c r="BC397" i="2"/>
  <c r="AV397" i="2"/>
  <c r="AY397" i="2" s="1"/>
  <c r="AW494" i="2" s="1"/>
  <c r="AU397" i="2"/>
  <c r="AQ397" i="2"/>
  <c r="AO397" i="2"/>
  <c r="AN397" i="2"/>
  <c r="T397" i="2"/>
  <c r="Q397" i="2"/>
  <c r="O397" i="2"/>
  <c r="N397" i="2"/>
  <c r="M397" i="2"/>
  <c r="K397" i="2"/>
  <c r="I397" i="2"/>
  <c r="G397" i="2"/>
  <c r="F397" i="2"/>
  <c r="B397" i="2"/>
  <c r="A397" i="2"/>
  <c r="CB396" i="2"/>
  <c r="BZ396" i="2"/>
  <c r="BW396" i="2"/>
  <c r="BS396" i="2"/>
  <c r="BU396" i="2" s="1"/>
  <c r="BR396" i="2"/>
  <c r="BT396" i="2" s="1"/>
  <c r="BH396" i="2"/>
  <c r="BD396" i="2"/>
  <c r="BC396" i="2"/>
  <c r="AV396" i="2"/>
  <c r="AY396" i="2" s="1"/>
  <c r="AU396" i="2"/>
  <c r="AQ396" i="2"/>
  <c r="AO396" i="2"/>
  <c r="AN396" i="2"/>
  <c r="T396" i="2"/>
  <c r="Q396" i="2"/>
  <c r="O396" i="2"/>
  <c r="N396" i="2"/>
  <c r="M396" i="2"/>
  <c r="P396" i="2" s="1"/>
  <c r="K396" i="2"/>
  <c r="I396" i="2"/>
  <c r="G396" i="2"/>
  <c r="F396" i="2"/>
  <c r="B396" i="2"/>
  <c r="A396" i="2"/>
  <c r="CB395" i="2"/>
  <c r="BZ395" i="2"/>
  <c r="BW395" i="2"/>
  <c r="BS395" i="2"/>
  <c r="BU395" i="2" s="1"/>
  <c r="BR395" i="2"/>
  <c r="BT395" i="2" s="1"/>
  <c r="BH395" i="2"/>
  <c r="BD395" i="2"/>
  <c r="BC395" i="2"/>
  <c r="AV395" i="2"/>
  <c r="AY395" i="2" s="1"/>
  <c r="BN395" i="2" s="1"/>
  <c r="BO395" i="2" s="1"/>
  <c r="AU395" i="2"/>
  <c r="AQ395" i="2"/>
  <c r="AO395" i="2"/>
  <c r="AN395" i="2"/>
  <c r="T395" i="2"/>
  <c r="Q395" i="2"/>
  <c r="O395" i="2"/>
  <c r="N395" i="2"/>
  <c r="M395" i="2"/>
  <c r="K395" i="2"/>
  <c r="I395" i="2"/>
  <c r="G395" i="2"/>
  <c r="F395" i="2"/>
  <c r="AS395" i="2" s="1"/>
  <c r="B395" i="2"/>
  <c r="A395" i="2"/>
  <c r="CB394" i="2"/>
  <c r="BZ394" i="2"/>
  <c r="BW394" i="2"/>
  <c r="BS394" i="2"/>
  <c r="BU394" i="2" s="1"/>
  <c r="BR394" i="2"/>
  <c r="BT394" i="2" s="1"/>
  <c r="BH394" i="2"/>
  <c r="BD394" i="2"/>
  <c r="BC394" i="2"/>
  <c r="AV394" i="2"/>
  <c r="AY394" i="2" s="1"/>
  <c r="AU394" i="2"/>
  <c r="AQ394" i="2"/>
  <c r="AO394" i="2"/>
  <c r="AN394" i="2"/>
  <c r="T394" i="2"/>
  <c r="Q394" i="2"/>
  <c r="O394" i="2"/>
  <c r="N394" i="2"/>
  <c r="M394" i="2"/>
  <c r="K394" i="2"/>
  <c r="I394" i="2"/>
  <c r="G394" i="2"/>
  <c r="F394" i="2"/>
  <c r="B394" i="2"/>
  <c r="A394" i="2"/>
  <c r="CB393" i="2"/>
  <c r="BZ393" i="2"/>
  <c r="BW393" i="2"/>
  <c r="BS393" i="2"/>
  <c r="BU393" i="2" s="1"/>
  <c r="BR393" i="2"/>
  <c r="BT393" i="2" s="1"/>
  <c r="BH393" i="2"/>
  <c r="BD393" i="2"/>
  <c r="BC393" i="2"/>
  <c r="AV393" i="2"/>
  <c r="AY393" i="2" s="1"/>
  <c r="AW490" i="2" s="1"/>
  <c r="AX490" i="2" s="1"/>
  <c r="AU393" i="2"/>
  <c r="AQ393" i="2"/>
  <c r="AO393" i="2"/>
  <c r="AN393" i="2"/>
  <c r="T393" i="2"/>
  <c r="Q393" i="2"/>
  <c r="BX393" i="2" s="1"/>
  <c r="O393" i="2"/>
  <c r="N393" i="2"/>
  <c r="M393" i="2"/>
  <c r="P393" i="2" s="1"/>
  <c r="K393" i="2"/>
  <c r="I393" i="2"/>
  <c r="G393" i="2"/>
  <c r="F393" i="2"/>
  <c r="B393" i="2"/>
  <c r="A393" i="2"/>
  <c r="CB392" i="2"/>
  <c r="BZ392" i="2"/>
  <c r="BW392" i="2"/>
  <c r="BS392" i="2"/>
  <c r="BU392" i="2" s="1"/>
  <c r="BR392" i="2"/>
  <c r="BT392" i="2" s="1"/>
  <c r="BH392" i="2"/>
  <c r="BD392" i="2"/>
  <c r="BC392" i="2"/>
  <c r="AV392" i="2"/>
  <c r="AY392" i="2" s="1"/>
  <c r="BN392" i="2" s="1"/>
  <c r="BO392" i="2" s="1"/>
  <c r="AU392" i="2"/>
  <c r="AQ392" i="2"/>
  <c r="AO392" i="2"/>
  <c r="AN392" i="2"/>
  <c r="T392" i="2"/>
  <c r="Q392" i="2"/>
  <c r="O392" i="2"/>
  <c r="N392" i="2"/>
  <c r="M392" i="2"/>
  <c r="K392" i="2"/>
  <c r="I392" i="2"/>
  <c r="G392" i="2"/>
  <c r="F392" i="2"/>
  <c r="B392" i="2"/>
  <c r="A392" i="2"/>
  <c r="CB391" i="2"/>
  <c r="BZ391" i="2"/>
  <c r="BW391" i="2"/>
  <c r="BS391" i="2"/>
  <c r="BU391" i="2" s="1"/>
  <c r="BR391" i="2"/>
  <c r="BT391" i="2" s="1"/>
  <c r="BH391" i="2"/>
  <c r="BD391" i="2"/>
  <c r="BC391" i="2"/>
  <c r="AV391" i="2"/>
  <c r="AY391" i="2" s="1"/>
  <c r="BN391" i="2" s="1"/>
  <c r="BO391" i="2" s="1"/>
  <c r="AU391" i="2"/>
  <c r="AQ391" i="2"/>
  <c r="AO391" i="2"/>
  <c r="AN391" i="2"/>
  <c r="T391" i="2"/>
  <c r="Q391" i="2"/>
  <c r="O391" i="2"/>
  <c r="N391" i="2"/>
  <c r="M391" i="2"/>
  <c r="K391" i="2"/>
  <c r="I391" i="2"/>
  <c r="G391" i="2"/>
  <c r="F391" i="2"/>
  <c r="B391" i="2"/>
  <c r="A391" i="2"/>
  <c r="CB390" i="2"/>
  <c r="BZ390" i="2"/>
  <c r="BW390" i="2"/>
  <c r="BS390" i="2"/>
  <c r="BU390" i="2" s="1"/>
  <c r="BR390" i="2"/>
  <c r="BT390" i="2" s="1"/>
  <c r="BH390" i="2"/>
  <c r="BD390" i="2"/>
  <c r="BC390" i="2"/>
  <c r="AV390" i="2"/>
  <c r="AY390" i="2" s="1"/>
  <c r="AU390" i="2"/>
  <c r="AQ390" i="2"/>
  <c r="AO390" i="2"/>
  <c r="AN390" i="2"/>
  <c r="T390" i="2"/>
  <c r="Q390" i="2"/>
  <c r="O390" i="2"/>
  <c r="N390" i="2"/>
  <c r="M390" i="2"/>
  <c r="K390" i="2"/>
  <c r="I390" i="2"/>
  <c r="G390" i="2"/>
  <c r="F390" i="2"/>
  <c r="B390" i="2"/>
  <c r="A390" i="2"/>
  <c r="CB389" i="2"/>
  <c r="CA389" i="2"/>
  <c r="BZ389" i="2"/>
  <c r="BW389" i="2"/>
  <c r="BS389" i="2"/>
  <c r="BU389" i="2" s="1"/>
  <c r="BR389" i="2"/>
  <c r="BT389" i="2" s="1"/>
  <c r="BP389" i="2"/>
  <c r="BQ389" i="2" s="1"/>
  <c r="BY389" i="2" s="1"/>
  <c r="BN389" i="2"/>
  <c r="BO389" i="2" s="1"/>
  <c r="BH389" i="2"/>
  <c r="BC389" i="2"/>
  <c r="AV389" i="2"/>
  <c r="AU389" i="2"/>
  <c r="AR389" i="2"/>
  <c r="AQ389" i="2"/>
  <c r="AO389" i="2"/>
  <c r="AN389" i="2"/>
  <c r="T389" i="2"/>
  <c r="Q389" i="2"/>
  <c r="O389" i="2"/>
  <c r="N389" i="2"/>
  <c r="M389" i="2"/>
  <c r="K389" i="2"/>
  <c r="I389" i="2"/>
  <c r="G389" i="2"/>
  <c r="BD389" i="2" s="1"/>
  <c r="F389" i="2"/>
  <c r="B389" i="2"/>
  <c r="A389" i="2"/>
  <c r="CB388" i="2"/>
  <c r="BZ388" i="2"/>
  <c r="BW388" i="2"/>
  <c r="BS388" i="2"/>
  <c r="BU388" i="2" s="1"/>
  <c r="BR388" i="2"/>
  <c r="BT388" i="2" s="1"/>
  <c r="BH388" i="2"/>
  <c r="BD388" i="2"/>
  <c r="BC388" i="2"/>
  <c r="AV388" i="2"/>
  <c r="AU388" i="2"/>
  <c r="AQ388" i="2"/>
  <c r="AN388" i="2"/>
  <c r="T388" i="2"/>
  <c r="Q388" i="2"/>
  <c r="O388" i="2"/>
  <c r="N388" i="2"/>
  <c r="M388" i="2"/>
  <c r="K388" i="2"/>
  <c r="I388" i="2"/>
  <c r="G388" i="2"/>
  <c r="F388" i="2"/>
  <c r="B388" i="2"/>
  <c r="A388" i="2"/>
  <c r="CB387" i="2"/>
  <c r="BZ387" i="2"/>
  <c r="BW387" i="2"/>
  <c r="BS387" i="2"/>
  <c r="BU387" i="2" s="1"/>
  <c r="BR387" i="2"/>
  <c r="BT387" i="2" s="1"/>
  <c r="BH387" i="2"/>
  <c r="BD387" i="2"/>
  <c r="BC387" i="2"/>
  <c r="AV387" i="2"/>
  <c r="AU387" i="2"/>
  <c r="AQ387" i="2"/>
  <c r="AO387" i="2"/>
  <c r="AN387" i="2"/>
  <c r="T387" i="2"/>
  <c r="Q387" i="2"/>
  <c r="O387" i="2"/>
  <c r="N387" i="2"/>
  <c r="M387" i="2"/>
  <c r="K387" i="2"/>
  <c r="I387" i="2"/>
  <c r="G387" i="2"/>
  <c r="F387" i="2"/>
  <c r="B387" i="2"/>
  <c r="A387" i="2"/>
  <c r="CB386" i="2"/>
  <c r="CA386" i="2"/>
  <c r="BZ386" i="2"/>
  <c r="BW386" i="2"/>
  <c r="BS386" i="2"/>
  <c r="BU386" i="2" s="1"/>
  <c r="BR386" i="2"/>
  <c r="BT386" i="2" s="1"/>
  <c r="BH386" i="2"/>
  <c r="BD386" i="2"/>
  <c r="BC386" i="2"/>
  <c r="AV386" i="2"/>
  <c r="AU386" i="2"/>
  <c r="AQ386" i="2"/>
  <c r="AN386" i="2"/>
  <c r="T386" i="2"/>
  <c r="Q386" i="2"/>
  <c r="O386" i="2"/>
  <c r="N386" i="2"/>
  <c r="M386" i="2"/>
  <c r="K386" i="2"/>
  <c r="I386" i="2"/>
  <c r="G386" i="2"/>
  <c r="F386" i="2"/>
  <c r="B386" i="2"/>
  <c r="A386" i="2"/>
  <c r="CB385" i="2"/>
  <c r="BZ385" i="2"/>
  <c r="BW385" i="2"/>
  <c r="BS385" i="2"/>
  <c r="BU385" i="2" s="1"/>
  <c r="BR385" i="2"/>
  <c r="BT385" i="2" s="1"/>
  <c r="BH385" i="2"/>
  <c r="BD385" i="2"/>
  <c r="BC385" i="2"/>
  <c r="AV385" i="2"/>
  <c r="AU385" i="2"/>
  <c r="AQ385" i="2"/>
  <c r="AO385" i="2"/>
  <c r="AN385" i="2"/>
  <c r="U385" i="2"/>
  <c r="Q385" i="2"/>
  <c r="O385" i="2"/>
  <c r="N385" i="2"/>
  <c r="M385" i="2"/>
  <c r="K385" i="2"/>
  <c r="I385" i="2"/>
  <c r="G385" i="2"/>
  <c r="F385" i="2"/>
  <c r="B385" i="2"/>
  <c r="A385" i="2"/>
  <c r="CB384" i="2"/>
  <c r="BZ384" i="2"/>
  <c r="BW384" i="2"/>
  <c r="BS384" i="2"/>
  <c r="BU384" i="2" s="1"/>
  <c r="BR384" i="2"/>
  <c r="BT384" i="2" s="1"/>
  <c r="BH384" i="2"/>
  <c r="BD384" i="2"/>
  <c r="BC384" i="2"/>
  <c r="AV384" i="2"/>
  <c r="AU384" i="2"/>
  <c r="AQ384" i="2"/>
  <c r="AO384" i="2"/>
  <c r="AN384" i="2"/>
  <c r="U384" i="2"/>
  <c r="Q384" i="2"/>
  <c r="O384" i="2"/>
  <c r="N384" i="2"/>
  <c r="M384" i="2"/>
  <c r="K384" i="2"/>
  <c r="I384" i="2"/>
  <c r="G384" i="2"/>
  <c r="F384" i="2"/>
  <c r="B384" i="2"/>
  <c r="A384" i="2"/>
  <c r="CB383" i="2"/>
  <c r="BZ383" i="2"/>
  <c r="BW383" i="2"/>
  <c r="BS383" i="2"/>
  <c r="BU383" i="2" s="1"/>
  <c r="BR383" i="2"/>
  <c r="BT383" i="2" s="1"/>
  <c r="BH383" i="2"/>
  <c r="BD383" i="2"/>
  <c r="BC383" i="2"/>
  <c r="AV383" i="2"/>
  <c r="AU383" i="2"/>
  <c r="AQ383" i="2"/>
  <c r="AO383" i="2"/>
  <c r="AN383" i="2"/>
  <c r="U383" i="2"/>
  <c r="Q383" i="2"/>
  <c r="O383" i="2"/>
  <c r="N383" i="2"/>
  <c r="M383" i="2"/>
  <c r="K383" i="2"/>
  <c r="I383" i="2"/>
  <c r="G383" i="2"/>
  <c r="F383" i="2"/>
  <c r="AS383" i="2" s="1"/>
  <c r="B383" i="2"/>
  <c r="A383" i="2"/>
  <c r="CB382" i="2"/>
  <c r="BZ382" i="2"/>
  <c r="BW382" i="2"/>
  <c r="BS382" i="2"/>
  <c r="BU382" i="2" s="1"/>
  <c r="BR382" i="2"/>
  <c r="BT382" i="2" s="1"/>
  <c r="BH382" i="2"/>
  <c r="BD382" i="2"/>
  <c r="BC382" i="2"/>
  <c r="AV382" i="2"/>
  <c r="AU382" i="2"/>
  <c r="AQ382" i="2"/>
  <c r="AO382" i="2"/>
  <c r="AN382" i="2"/>
  <c r="U382" i="2"/>
  <c r="Q382" i="2"/>
  <c r="O382" i="2"/>
  <c r="N382" i="2"/>
  <c r="M382" i="2"/>
  <c r="K382" i="2"/>
  <c r="I382" i="2"/>
  <c r="G382" i="2"/>
  <c r="F382" i="2"/>
  <c r="AS382" i="2" s="1"/>
  <c r="B382" i="2"/>
  <c r="A382" i="2"/>
  <c r="CB381" i="2"/>
  <c r="BZ381" i="2"/>
  <c r="BW381" i="2"/>
  <c r="BS381" i="2"/>
  <c r="BU381" i="2" s="1"/>
  <c r="BR381" i="2"/>
  <c r="BT381" i="2" s="1"/>
  <c r="BH381" i="2"/>
  <c r="BD381" i="2"/>
  <c r="BC381" i="2"/>
  <c r="AV381" i="2"/>
  <c r="AU381" i="2"/>
  <c r="AQ381" i="2"/>
  <c r="AO381" i="2"/>
  <c r="AN381" i="2"/>
  <c r="U381" i="2"/>
  <c r="Q381" i="2"/>
  <c r="O381" i="2"/>
  <c r="N381" i="2"/>
  <c r="M381" i="2"/>
  <c r="K381" i="2"/>
  <c r="I381" i="2"/>
  <c r="G381" i="2"/>
  <c r="F381" i="2"/>
  <c r="B381" i="2"/>
  <c r="A381" i="2"/>
  <c r="CB380" i="2"/>
  <c r="BZ380" i="2"/>
  <c r="BW380" i="2"/>
  <c r="BS380" i="2"/>
  <c r="BU380" i="2" s="1"/>
  <c r="BR380" i="2"/>
  <c r="BT380" i="2" s="1"/>
  <c r="BH380" i="2"/>
  <c r="BD380" i="2"/>
  <c r="BC380" i="2"/>
  <c r="AV380" i="2"/>
  <c r="AU380" i="2"/>
  <c r="AQ380" i="2"/>
  <c r="AO380" i="2"/>
  <c r="AN380" i="2"/>
  <c r="U380" i="2"/>
  <c r="Q380" i="2"/>
  <c r="O380" i="2"/>
  <c r="N380" i="2"/>
  <c r="M380" i="2"/>
  <c r="K380" i="2"/>
  <c r="I380" i="2"/>
  <c r="G380" i="2"/>
  <c r="F380" i="2"/>
  <c r="AS380" i="2" s="1"/>
  <c r="B380" i="2"/>
  <c r="A380" i="2"/>
  <c r="CB379" i="2"/>
  <c r="BZ379" i="2"/>
  <c r="BW379" i="2"/>
  <c r="BS379" i="2"/>
  <c r="BU379" i="2" s="1"/>
  <c r="BR379" i="2"/>
  <c r="BT379" i="2" s="1"/>
  <c r="BH379" i="2"/>
  <c r="BD379" i="2"/>
  <c r="BC379" i="2"/>
  <c r="AV379" i="2"/>
  <c r="AU379" i="2"/>
  <c r="AQ379" i="2"/>
  <c r="AO379" i="2"/>
  <c r="AN379" i="2"/>
  <c r="U379" i="2"/>
  <c r="Q379" i="2"/>
  <c r="O379" i="2"/>
  <c r="N379" i="2"/>
  <c r="M379" i="2"/>
  <c r="K379" i="2"/>
  <c r="I379" i="2"/>
  <c r="G379" i="2"/>
  <c r="F379" i="2"/>
  <c r="B379" i="2"/>
  <c r="A379" i="2"/>
  <c r="CB378" i="2"/>
  <c r="BZ378" i="2"/>
  <c r="BW378" i="2"/>
  <c r="BS378" i="2"/>
  <c r="BU378" i="2" s="1"/>
  <c r="BR378" i="2"/>
  <c r="BT378" i="2" s="1"/>
  <c r="BH378" i="2"/>
  <c r="BD378" i="2"/>
  <c r="BC378" i="2"/>
  <c r="AV378" i="2"/>
  <c r="AU378" i="2"/>
  <c r="AQ378" i="2"/>
  <c r="AO378" i="2"/>
  <c r="AN378" i="2"/>
  <c r="U378" i="2"/>
  <c r="Q378" i="2"/>
  <c r="O378" i="2"/>
  <c r="N378" i="2"/>
  <c r="M378" i="2"/>
  <c r="K378" i="2"/>
  <c r="I378" i="2"/>
  <c r="G378" i="2"/>
  <c r="F378" i="2"/>
  <c r="B378" i="2"/>
  <c r="A378" i="2"/>
  <c r="CB377" i="2"/>
  <c r="BZ377" i="2"/>
  <c r="BW377" i="2"/>
  <c r="BS377" i="2"/>
  <c r="BU377" i="2" s="1"/>
  <c r="BR377" i="2"/>
  <c r="BT377" i="2" s="1"/>
  <c r="BH377" i="2"/>
  <c r="BD377" i="2"/>
  <c r="BC377" i="2"/>
  <c r="AV377" i="2"/>
  <c r="AU377" i="2"/>
  <c r="AQ377" i="2"/>
  <c r="AO377" i="2"/>
  <c r="AN377" i="2"/>
  <c r="U377" i="2"/>
  <c r="Q377" i="2"/>
  <c r="O377" i="2"/>
  <c r="N377" i="2"/>
  <c r="M377" i="2"/>
  <c r="K377" i="2"/>
  <c r="I377" i="2"/>
  <c r="G377" i="2"/>
  <c r="F377" i="2"/>
  <c r="AS377" i="2" s="1"/>
  <c r="B377" i="2"/>
  <c r="A377" i="2"/>
  <c r="CB376" i="2"/>
  <c r="BZ376" i="2"/>
  <c r="BW376" i="2"/>
  <c r="BS376" i="2"/>
  <c r="BU376" i="2" s="1"/>
  <c r="BR376" i="2"/>
  <c r="BT376" i="2" s="1"/>
  <c r="BH376" i="2"/>
  <c r="BD376" i="2"/>
  <c r="BC376" i="2"/>
  <c r="AV376" i="2"/>
  <c r="AU376" i="2"/>
  <c r="AQ376" i="2"/>
  <c r="AO376" i="2"/>
  <c r="AN376" i="2"/>
  <c r="U376" i="2"/>
  <c r="Q376" i="2"/>
  <c r="O376" i="2"/>
  <c r="N376" i="2"/>
  <c r="M376" i="2"/>
  <c r="K376" i="2"/>
  <c r="I376" i="2"/>
  <c r="G376" i="2"/>
  <c r="F376" i="2"/>
  <c r="B376" i="2"/>
  <c r="A376" i="2"/>
  <c r="CB375" i="2"/>
  <c r="BZ375" i="2"/>
  <c r="BW375" i="2"/>
  <c r="BS375" i="2"/>
  <c r="BU375" i="2" s="1"/>
  <c r="BR375" i="2"/>
  <c r="BT375" i="2" s="1"/>
  <c r="BH375" i="2"/>
  <c r="BD375" i="2"/>
  <c r="BC375" i="2"/>
  <c r="AV375" i="2"/>
  <c r="AU375" i="2"/>
  <c r="AQ375" i="2"/>
  <c r="AO375" i="2"/>
  <c r="AN375" i="2"/>
  <c r="U375" i="2"/>
  <c r="Q375" i="2"/>
  <c r="O375" i="2"/>
  <c r="N375" i="2"/>
  <c r="M375" i="2"/>
  <c r="K375" i="2"/>
  <c r="I375" i="2"/>
  <c r="G375" i="2"/>
  <c r="F375" i="2"/>
  <c r="B375" i="2"/>
  <c r="A375" i="2"/>
  <c r="CB374" i="2"/>
  <c r="BZ374" i="2"/>
  <c r="BW374" i="2"/>
  <c r="BU374" i="2"/>
  <c r="BS374" i="2"/>
  <c r="BR374" i="2"/>
  <c r="BT374" i="2" s="1"/>
  <c r="BH374" i="2"/>
  <c r="BD374" i="2"/>
  <c r="BC374" i="2"/>
  <c r="AV374" i="2"/>
  <c r="AU374" i="2"/>
  <c r="AQ374" i="2"/>
  <c r="AO374" i="2"/>
  <c r="AN374" i="2"/>
  <c r="U374" i="2"/>
  <c r="Q374" i="2"/>
  <c r="O374" i="2"/>
  <c r="N374" i="2"/>
  <c r="M374" i="2"/>
  <c r="K374" i="2"/>
  <c r="I374" i="2"/>
  <c r="G374" i="2"/>
  <c r="F374" i="2"/>
  <c r="B374" i="2"/>
  <c r="A374" i="2"/>
  <c r="CB373" i="2"/>
  <c r="BZ373" i="2"/>
  <c r="BW373" i="2"/>
  <c r="BS373" i="2"/>
  <c r="BU373" i="2" s="1"/>
  <c r="BR373" i="2"/>
  <c r="BT373" i="2" s="1"/>
  <c r="BH373" i="2"/>
  <c r="BD373" i="2"/>
  <c r="BC373" i="2"/>
  <c r="AV373" i="2"/>
  <c r="AU373" i="2"/>
  <c r="AQ373" i="2"/>
  <c r="AO373" i="2"/>
  <c r="AN373" i="2"/>
  <c r="AP373" i="2" s="1"/>
  <c r="U373" i="2"/>
  <c r="Q373" i="2"/>
  <c r="O373" i="2"/>
  <c r="N373" i="2"/>
  <c r="M373" i="2"/>
  <c r="K373" i="2"/>
  <c r="I373" i="2"/>
  <c r="G373" i="2"/>
  <c r="F373" i="2"/>
  <c r="B373" i="2"/>
  <c r="A373" i="2"/>
  <c r="CB372" i="2"/>
  <c r="BZ372" i="2"/>
  <c r="BW372" i="2"/>
  <c r="BS372" i="2"/>
  <c r="BU372" i="2" s="1"/>
  <c r="BR372" i="2"/>
  <c r="BT372" i="2" s="1"/>
  <c r="BH372" i="2"/>
  <c r="BD372" i="2"/>
  <c r="BC372" i="2"/>
  <c r="AV372" i="2"/>
  <c r="AU372" i="2"/>
  <c r="AQ372" i="2"/>
  <c r="AO372" i="2"/>
  <c r="AN372" i="2"/>
  <c r="AP372" i="2" s="1"/>
  <c r="U372" i="2"/>
  <c r="Q372" i="2"/>
  <c r="O372" i="2"/>
  <c r="N372" i="2"/>
  <c r="M372" i="2"/>
  <c r="P372" i="2" s="1"/>
  <c r="K372" i="2"/>
  <c r="I372" i="2"/>
  <c r="G372" i="2"/>
  <c r="F372" i="2"/>
  <c r="B372" i="2"/>
  <c r="A372" i="2"/>
  <c r="CB371" i="2"/>
  <c r="BZ371" i="2"/>
  <c r="BW371" i="2"/>
  <c r="BS371" i="2"/>
  <c r="BU371" i="2" s="1"/>
  <c r="BR371" i="2"/>
  <c r="BT371" i="2" s="1"/>
  <c r="BH371" i="2"/>
  <c r="BD371" i="2"/>
  <c r="BC371" i="2"/>
  <c r="AV371" i="2"/>
  <c r="AU371" i="2"/>
  <c r="AQ371" i="2"/>
  <c r="AO371" i="2"/>
  <c r="AN371" i="2"/>
  <c r="U371" i="2"/>
  <c r="Q371" i="2"/>
  <c r="O371" i="2"/>
  <c r="N371" i="2"/>
  <c r="M371" i="2"/>
  <c r="K371" i="2"/>
  <c r="I371" i="2"/>
  <c r="G371" i="2"/>
  <c r="F371" i="2"/>
  <c r="B371" i="2"/>
  <c r="A371" i="2"/>
  <c r="CB370" i="2"/>
  <c r="BZ370" i="2"/>
  <c r="BW370" i="2"/>
  <c r="BS370" i="2"/>
  <c r="BU370" i="2" s="1"/>
  <c r="BR370" i="2"/>
  <c r="BT370" i="2" s="1"/>
  <c r="BH370" i="2"/>
  <c r="BD370" i="2"/>
  <c r="BC370" i="2"/>
  <c r="AV370" i="2"/>
  <c r="AU370" i="2"/>
  <c r="AQ370" i="2"/>
  <c r="AO370" i="2"/>
  <c r="AN370" i="2"/>
  <c r="U370" i="2"/>
  <c r="Q370" i="2"/>
  <c r="O370" i="2"/>
  <c r="N370" i="2"/>
  <c r="M370" i="2"/>
  <c r="K370" i="2"/>
  <c r="I370" i="2"/>
  <c r="G370" i="2"/>
  <c r="F370" i="2"/>
  <c r="B370" i="2"/>
  <c r="A370" i="2"/>
  <c r="CB369" i="2"/>
  <c r="BZ369" i="2"/>
  <c r="BW369" i="2"/>
  <c r="BU369" i="2"/>
  <c r="BS369" i="2"/>
  <c r="BR369" i="2"/>
  <c r="BT369" i="2" s="1"/>
  <c r="BH369" i="2"/>
  <c r="BD369" i="2"/>
  <c r="BC369" i="2"/>
  <c r="AV369" i="2"/>
  <c r="AU369" i="2"/>
  <c r="AQ369" i="2"/>
  <c r="AO369" i="2"/>
  <c r="AN369" i="2"/>
  <c r="U369" i="2"/>
  <c r="Q369" i="2"/>
  <c r="O369" i="2"/>
  <c r="N369" i="2"/>
  <c r="M369" i="2"/>
  <c r="K369" i="2"/>
  <c r="I369" i="2"/>
  <c r="G369" i="2"/>
  <c r="F369" i="2"/>
  <c r="B369" i="2"/>
  <c r="A369" i="2"/>
  <c r="CB368" i="2"/>
  <c r="BZ368" i="2"/>
  <c r="BW368" i="2"/>
  <c r="BS368" i="2"/>
  <c r="BU368" i="2" s="1"/>
  <c r="BR368" i="2"/>
  <c r="BT368" i="2" s="1"/>
  <c r="BH368" i="2"/>
  <c r="BD368" i="2"/>
  <c r="BC368" i="2"/>
  <c r="AV368" i="2"/>
  <c r="AU368" i="2"/>
  <c r="AQ368" i="2"/>
  <c r="AO368" i="2"/>
  <c r="AN368" i="2"/>
  <c r="U368" i="2"/>
  <c r="Q368" i="2"/>
  <c r="O368" i="2"/>
  <c r="N368" i="2"/>
  <c r="M368" i="2"/>
  <c r="K368" i="2"/>
  <c r="I368" i="2"/>
  <c r="G368" i="2"/>
  <c r="F368" i="2"/>
  <c r="B368" i="2"/>
  <c r="A368" i="2"/>
  <c r="CB367" i="2"/>
  <c r="BZ367" i="2"/>
  <c r="BW367" i="2"/>
  <c r="BS367" i="2"/>
  <c r="BU367" i="2" s="1"/>
  <c r="BR367" i="2"/>
  <c r="BT367" i="2" s="1"/>
  <c r="BH367" i="2"/>
  <c r="BD367" i="2"/>
  <c r="BC367" i="2"/>
  <c r="AV367" i="2"/>
  <c r="AU367" i="2"/>
  <c r="AQ367" i="2"/>
  <c r="AO367" i="2"/>
  <c r="AN367" i="2"/>
  <c r="U367" i="2"/>
  <c r="Q367" i="2"/>
  <c r="O367" i="2"/>
  <c r="N367" i="2"/>
  <c r="M367" i="2"/>
  <c r="K367" i="2"/>
  <c r="I367" i="2"/>
  <c r="G367" i="2"/>
  <c r="F367" i="2"/>
  <c r="B367" i="2"/>
  <c r="A367" i="2"/>
  <c r="CB366" i="2"/>
  <c r="BZ366" i="2"/>
  <c r="BW366" i="2"/>
  <c r="BS366" i="2"/>
  <c r="BU366" i="2" s="1"/>
  <c r="BR366" i="2"/>
  <c r="BT366" i="2" s="1"/>
  <c r="BH366" i="2"/>
  <c r="BD366" i="2"/>
  <c r="BC366" i="2"/>
  <c r="AV366" i="2"/>
  <c r="AU366" i="2"/>
  <c r="AQ366" i="2"/>
  <c r="AO366" i="2"/>
  <c r="AN366" i="2"/>
  <c r="U366" i="2"/>
  <c r="Q366" i="2"/>
  <c r="O366" i="2"/>
  <c r="N366" i="2"/>
  <c r="M366" i="2"/>
  <c r="K366" i="2"/>
  <c r="I366" i="2"/>
  <c r="G366" i="2"/>
  <c r="F366" i="2"/>
  <c r="B366" i="2"/>
  <c r="A366" i="2"/>
  <c r="CB365" i="2"/>
  <c r="BZ365" i="2"/>
  <c r="BW365" i="2"/>
  <c r="BS365" i="2"/>
  <c r="BU365" i="2" s="1"/>
  <c r="BR365" i="2"/>
  <c r="BT365" i="2" s="1"/>
  <c r="BH365" i="2"/>
  <c r="BD365" i="2"/>
  <c r="BC365" i="2"/>
  <c r="AV365" i="2"/>
  <c r="AU365" i="2"/>
  <c r="AQ365" i="2"/>
  <c r="AO365" i="2"/>
  <c r="AN365" i="2"/>
  <c r="U365" i="2"/>
  <c r="Q365" i="2"/>
  <c r="O365" i="2"/>
  <c r="N365" i="2"/>
  <c r="M365" i="2"/>
  <c r="P365" i="2" s="1"/>
  <c r="K365" i="2"/>
  <c r="I365" i="2"/>
  <c r="G365" i="2"/>
  <c r="F365" i="2"/>
  <c r="B365" i="2"/>
  <c r="A365" i="2"/>
  <c r="CB364" i="2"/>
  <c r="BZ364" i="2"/>
  <c r="BW364" i="2"/>
  <c r="BS364" i="2"/>
  <c r="BU364" i="2" s="1"/>
  <c r="BR364" i="2"/>
  <c r="BT364" i="2" s="1"/>
  <c r="BH364" i="2"/>
  <c r="BD364" i="2"/>
  <c r="BC364" i="2"/>
  <c r="AV364" i="2"/>
  <c r="AU364" i="2"/>
  <c r="AQ364" i="2"/>
  <c r="AO364" i="2"/>
  <c r="AN364" i="2"/>
  <c r="AP364" i="2" s="1"/>
  <c r="T364" i="2" s="1"/>
  <c r="U364" i="2"/>
  <c r="Q364" i="2"/>
  <c r="O364" i="2"/>
  <c r="N364" i="2"/>
  <c r="M364" i="2"/>
  <c r="K364" i="2"/>
  <c r="I364" i="2"/>
  <c r="G364" i="2"/>
  <c r="F364" i="2"/>
  <c r="B364" i="2"/>
  <c r="A364" i="2"/>
  <c r="CB363" i="2"/>
  <c r="CA363" i="2"/>
  <c r="BZ363" i="2"/>
  <c r="BW363" i="2"/>
  <c r="BS363" i="2"/>
  <c r="BU363" i="2" s="1"/>
  <c r="BR363" i="2"/>
  <c r="BT363" i="2" s="1"/>
  <c r="BH363" i="2"/>
  <c r="BD363" i="2"/>
  <c r="BC363" i="2"/>
  <c r="AV363" i="2"/>
  <c r="AU363" i="2"/>
  <c r="AQ363" i="2"/>
  <c r="AO363" i="2"/>
  <c r="AP363" i="2" s="1"/>
  <c r="AN363" i="2"/>
  <c r="U363" i="2"/>
  <c r="Q363" i="2"/>
  <c r="BX363" i="2" s="1"/>
  <c r="O363" i="2"/>
  <c r="N363" i="2"/>
  <c r="M363" i="2"/>
  <c r="K363" i="2"/>
  <c r="I363" i="2"/>
  <c r="G363" i="2"/>
  <c r="F363" i="2"/>
  <c r="B363" i="2"/>
  <c r="A363" i="2"/>
  <c r="CB362" i="2"/>
  <c r="BZ362" i="2"/>
  <c r="BW362" i="2"/>
  <c r="BS362" i="2"/>
  <c r="BU362" i="2" s="1"/>
  <c r="BR362" i="2"/>
  <c r="BT362" i="2" s="1"/>
  <c r="BH362" i="2"/>
  <c r="BD362" i="2"/>
  <c r="BC362" i="2"/>
  <c r="AV362" i="2"/>
  <c r="AU362" i="2"/>
  <c r="AQ362" i="2"/>
  <c r="AO362" i="2"/>
  <c r="AN362" i="2"/>
  <c r="U362" i="2"/>
  <c r="Q362" i="2"/>
  <c r="O362" i="2"/>
  <c r="N362" i="2"/>
  <c r="M362" i="2"/>
  <c r="K362" i="2"/>
  <c r="I362" i="2"/>
  <c r="G362" i="2"/>
  <c r="F362" i="2"/>
  <c r="B362" i="2"/>
  <c r="A362" i="2"/>
  <c r="CB361" i="2"/>
  <c r="BZ361" i="2"/>
  <c r="BW361" i="2"/>
  <c r="BS361" i="2"/>
  <c r="BU361" i="2" s="1"/>
  <c r="BR361" i="2"/>
  <c r="BT361" i="2" s="1"/>
  <c r="BH361" i="2"/>
  <c r="BD361" i="2"/>
  <c r="BC361" i="2"/>
  <c r="AV361" i="2"/>
  <c r="AU361" i="2"/>
  <c r="AQ361" i="2"/>
  <c r="AO361" i="2"/>
  <c r="AN361" i="2"/>
  <c r="U361" i="2"/>
  <c r="Q361" i="2"/>
  <c r="O361" i="2"/>
  <c r="N361" i="2"/>
  <c r="M361" i="2"/>
  <c r="K361" i="2"/>
  <c r="I361" i="2"/>
  <c r="G361" i="2"/>
  <c r="F361" i="2"/>
  <c r="B361" i="2"/>
  <c r="A361" i="2"/>
  <c r="CB360" i="2"/>
  <c r="BZ360" i="2"/>
  <c r="BW360" i="2"/>
  <c r="BS360" i="2"/>
  <c r="BU360" i="2" s="1"/>
  <c r="BR360" i="2"/>
  <c r="BT360" i="2" s="1"/>
  <c r="BH360" i="2"/>
  <c r="BD360" i="2"/>
  <c r="BC360" i="2"/>
  <c r="AV360" i="2"/>
  <c r="AU360" i="2"/>
  <c r="AQ360" i="2"/>
  <c r="AO360" i="2"/>
  <c r="AN360" i="2"/>
  <c r="U360" i="2"/>
  <c r="Q360" i="2"/>
  <c r="O360" i="2"/>
  <c r="N360" i="2"/>
  <c r="M360" i="2"/>
  <c r="K360" i="2"/>
  <c r="I360" i="2"/>
  <c r="G360" i="2"/>
  <c r="F360" i="2"/>
  <c r="B360" i="2"/>
  <c r="A360" i="2"/>
  <c r="CB359" i="2"/>
  <c r="BZ359" i="2"/>
  <c r="BW359" i="2"/>
  <c r="BS359" i="2"/>
  <c r="BU359" i="2" s="1"/>
  <c r="BR359" i="2"/>
  <c r="BT359" i="2" s="1"/>
  <c r="BH359" i="2"/>
  <c r="BD359" i="2"/>
  <c r="BC359" i="2"/>
  <c r="AV359" i="2"/>
  <c r="AU359" i="2"/>
  <c r="AQ359" i="2"/>
  <c r="AO359" i="2"/>
  <c r="AN359" i="2"/>
  <c r="U359" i="2"/>
  <c r="Q359" i="2"/>
  <c r="O359" i="2"/>
  <c r="N359" i="2"/>
  <c r="M359" i="2"/>
  <c r="K359" i="2"/>
  <c r="I359" i="2"/>
  <c r="G359" i="2"/>
  <c r="F359" i="2"/>
  <c r="B359" i="2"/>
  <c r="A359" i="2"/>
  <c r="CB358" i="2"/>
  <c r="BZ358" i="2"/>
  <c r="BW358" i="2"/>
  <c r="BS358" i="2"/>
  <c r="BU358" i="2" s="1"/>
  <c r="BR358" i="2"/>
  <c r="BT358" i="2" s="1"/>
  <c r="BP358" i="2"/>
  <c r="BQ358" i="2" s="1"/>
  <c r="BY358" i="2" s="1"/>
  <c r="BN358" i="2"/>
  <c r="BO358" i="2" s="1"/>
  <c r="BH358" i="2"/>
  <c r="BC358" i="2"/>
  <c r="AV358" i="2"/>
  <c r="AU358" i="2"/>
  <c r="AR358" i="2"/>
  <c r="AQ358" i="2"/>
  <c r="AO358" i="2"/>
  <c r="AN358" i="2"/>
  <c r="U358" i="2"/>
  <c r="Q358" i="2"/>
  <c r="O358" i="2"/>
  <c r="N358" i="2"/>
  <c r="M358" i="2"/>
  <c r="K358" i="2"/>
  <c r="I358" i="2"/>
  <c r="G358" i="2"/>
  <c r="BD358" i="2" s="1"/>
  <c r="F358" i="2"/>
  <c r="AS358" i="2" s="1"/>
  <c r="B358" i="2"/>
  <c r="A358" i="2"/>
  <c r="CB357" i="2"/>
  <c r="BZ357" i="2"/>
  <c r="BW357" i="2"/>
  <c r="BS357" i="2"/>
  <c r="BU357" i="2" s="1"/>
  <c r="BR357" i="2"/>
  <c r="BT357" i="2" s="1"/>
  <c r="BH357" i="2"/>
  <c r="BD357" i="2"/>
  <c r="BC357" i="2"/>
  <c r="AV357" i="2"/>
  <c r="AU357" i="2"/>
  <c r="AQ357" i="2"/>
  <c r="AO357" i="2"/>
  <c r="AN357" i="2"/>
  <c r="U357" i="2"/>
  <c r="Q357" i="2"/>
  <c r="O357" i="2"/>
  <c r="N357" i="2"/>
  <c r="M357" i="2"/>
  <c r="K357" i="2"/>
  <c r="I357" i="2"/>
  <c r="G357" i="2"/>
  <c r="F357" i="2"/>
  <c r="B357" i="2"/>
  <c r="A357" i="2"/>
  <c r="CB356" i="2"/>
  <c r="BZ356" i="2"/>
  <c r="BW356" i="2"/>
  <c r="BS356" i="2"/>
  <c r="BU356" i="2" s="1"/>
  <c r="BR356" i="2"/>
  <c r="BT356" i="2" s="1"/>
  <c r="BH356" i="2"/>
  <c r="BD356" i="2"/>
  <c r="BC356" i="2"/>
  <c r="AV356" i="2"/>
  <c r="AU356" i="2"/>
  <c r="AQ356" i="2"/>
  <c r="AO356" i="2"/>
  <c r="AN356" i="2"/>
  <c r="U356" i="2"/>
  <c r="Q356" i="2"/>
  <c r="O356" i="2"/>
  <c r="N356" i="2"/>
  <c r="M356" i="2"/>
  <c r="K356" i="2"/>
  <c r="I356" i="2"/>
  <c r="G356" i="2"/>
  <c r="F356" i="2"/>
  <c r="B356" i="2"/>
  <c r="A356" i="2"/>
  <c r="CB355" i="2"/>
  <c r="BZ355" i="2"/>
  <c r="BW355" i="2"/>
  <c r="BS355" i="2"/>
  <c r="BU355" i="2" s="1"/>
  <c r="BR355" i="2"/>
  <c r="BT355" i="2" s="1"/>
  <c r="BH355" i="2"/>
  <c r="BD355" i="2"/>
  <c r="BC355" i="2"/>
  <c r="AV355" i="2"/>
  <c r="AU355" i="2"/>
  <c r="AQ355" i="2"/>
  <c r="AO355" i="2"/>
  <c r="AN355" i="2"/>
  <c r="U355" i="2"/>
  <c r="Q355" i="2"/>
  <c r="O355" i="2"/>
  <c r="N355" i="2"/>
  <c r="M355" i="2"/>
  <c r="K355" i="2"/>
  <c r="I355" i="2"/>
  <c r="G355" i="2"/>
  <c r="F355" i="2"/>
  <c r="B355" i="2"/>
  <c r="A355" i="2"/>
  <c r="CB354" i="2"/>
  <c r="BZ354" i="2"/>
  <c r="BW354" i="2"/>
  <c r="BS354" i="2"/>
  <c r="BU354" i="2" s="1"/>
  <c r="BR354" i="2"/>
  <c r="BT354" i="2" s="1"/>
  <c r="BH354" i="2"/>
  <c r="BD354" i="2"/>
  <c r="BC354" i="2"/>
  <c r="AV354" i="2"/>
  <c r="AU354" i="2"/>
  <c r="AQ354" i="2"/>
  <c r="AO354" i="2"/>
  <c r="AN354" i="2"/>
  <c r="U354" i="2"/>
  <c r="Q354" i="2"/>
  <c r="O354" i="2"/>
  <c r="N354" i="2"/>
  <c r="M354" i="2"/>
  <c r="K354" i="2"/>
  <c r="I354" i="2"/>
  <c r="G354" i="2"/>
  <c r="F354" i="2"/>
  <c r="B354" i="2"/>
  <c r="A354" i="2"/>
  <c r="CB353" i="2"/>
  <c r="BZ353" i="2"/>
  <c r="BW353" i="2"/>
  <c r="BS353" i="2"/>
  <c r="BU353" i="2" s="1"/>
  <c r="BR353" i="2"/>
  <c r="BT353" i="2" s="1"/>
  <c r="BH353" i="2"/>
  <c r="BD353" i="2"/>
  <c r="BC353" i="2"/>
  <c r="AV353" i="2"/>
  <c r="AU353" i="2"/>
  <c r="AQ353" i="2"/>
  <c r="AO353" i="2"/>
  <c r="AN353" i="2"/>
  <c r="U353" i="2"/>
  <c r="Q353" i="2"/>
  <c r="O353" i="2"/>
  <c r="N353" i="2"/>
  <c r="M353" i="2"/>
  <c r="K353" i="2"/>
  <c r="I353" i="2"/>
  <c r="G353" i="2"/>
  <c r="F353" i="2"/>
  <c r="B353" i="2"/>
  <c r="A353" i="2"/>
  <c r="CB352" i="2"/>
  <c r="BZ352" i="2"/>
  <c r="BW352" i="2"/>
  <c r="BS352" i="2"/>
  <c r="BU352" i="2" s="1"/>
  <c r="BR352" i="2"/>
  <c r="BT352" i="2" s="1"/>
  <c r="BH352" i="2"/>
  <c r="BD352" i="2"/>
  <c r="BC352" i="2"/>
  <c r="AV352" i="2"/>
  <c r="AU352" i="2"/>
  <c r="AQ352" i="2"/>
  <c r="AO352" i="2"/>
  <c r="AN352" i="2"/>
  <c r="U352" i="2"/>
  <c r="Q352" i="2"/>
  <c r="O352" i="2"/>
  <c r="N352" i="2"/>
  <c r="M352" i="2"/>
  <c r="K352" i="2"/>
  <c r="I352" i="2"/>
  <c r="G352" i="2"/>
  <c r="F352" i="2"/>
  <c r="AS352" i="2" s="1"/>
  <c r="BE352" i="2" s="1"/>
  <c r="B352" i="2"/>
  <c r="A352" i="2"/>
  <c r="CB351" i="2"/>
  <c r="BZ351" i="2"/>
  <c r="BW351" i="2"/>
  <c r="BS351" i="2"/>
  <c r="BU351" i="2" s="1"/>
  <c r="BR351" i="2"/>
  <c r="BT351" i="2" s="1"/>
  <c r="BH351" i="2"/>
  <c r="BD351" i="2"/>
  <c r="BC351" i="2"/>
  <c r="AV351" i="2"/>
  <c r="AU351" i="2"/>
  <c r="AQ351" i="2"/>
  <c r="AO351" i="2"/>
  <c r="AN351" i="2"/>
  <c r="U351" i="2"/>
  <c r="Q351" i="2"/>
  <c r="O351" i="2"/>
  <c r="N351" i="2"/>
  <c r="M351" i="2"/>
  <c r="P351" i="2" s="1"/>
  <c r="K351" i="2"/>
  <c r="I351" i="2"/>
  <c r="G351" i="2"/>
  <c r="F351" i="2"/>
  <c r="B351" i="2"/>
  <c r="A351" i="2"/>
  <c r="CB350" i="2"/>
  <c r="BZ350" i="2"/>
  <c r="BW350" i="2"/>
  <c r="BS350" i="2"/>
  <c r="BU350" i="2" s="1"/>
  <c r="BR350" i="2"/>
  <c r="BT350" i="2" s="1"/>
  <c r="BH350" i="2"/>
  <c r="BD350" i="2"/>
  <c r="BC350" i="2"/>
  <c r="AV350" i="2"/>
  <c r="AU350" i="2"/>
  <c r="AQ350" i="2"/>
  <c r="AO350" i="2"/>
  <c r="AN350" i="2"/>
  <c r="U350" i="2"/>
  <c r="Q350" i="2"/>
  <c r="O350" i="2"/>
  <c r="N350" i="2"/>
  <c r="M350" i="2"/>
  <c r="K350" i="2"/>
  <c r="I350" i="2"/>
  <c r="G350" i="2"/>
  <c r="F350" i="2"/>
  <c r="B350" i="2"/>
  <c r="A350" i="2"/>
  <c r="CB349" i="2"/>
  <c r="CA349" i="2"/>
  <c r="BZ349" i="2"/>
  <c r="BW349" i="2"/>
  <c r="BS349" i="2"/>
  <c r="BU349" i="2" s="1"/>
  <c r="BR349" i="2"/>
  <c r="BT349" i="2" s="1"/>
  <c r="BH349" i="2"/>
  <c r="BD349" i="2"/>
  <c r="BC349" i="2"/>
  <c r="AV349" i="2"/>
  <c r="AU349" i="2"/>
  <c r="AQ349" i="2"/>
  <c r="AO349" i="2"/>
  <c r="AN349" i="2"/>
  <c r="U349" i="2"/>
  <c r="Q349" i="2"/>
  <c r="O349" i="2"/>
  <c r="N349" i="2"/>
  <c r="M349" i="2"/>
  <c r="K349" i="2"/>
  <c r="I349" i="2"/>
  <c r="G349" i="2"/>
  <c r="F349" i="2"/>
  <c r="B349" i="2"/>
  <c r="A349" i="2"/>
  <c r="CB348" i="2"/>
  <c r="BZ348" i="2"/>
  <c r="BW348" i="2"/>
  <c r="BS348" i="2"/>
  <c r="BU348" i="2" s="1"/>
  <c r="BR348" i="2"/>
  <c r="BT348" i="2" s="1"/>
  <c r="BH348" i="2"/>
  <c r="BD348" i="2"/>
  <c r="BC348" i="2"/>
  <c r="AV348" i="2"/>
  <c r="AU348" i="2"/>
  <c r="AQ348" i="2"/>
  <c r="AO348" i="2"/>
  <c r="AN348" i="2"/>
  <c r="U348" i="2"/>
  <c r="Q348" i="2"/>
  <c r="O348" i="2"/>
  <c r="N348" i="2"/>
  <c r="M348" i="2"/>
  <c r="K348" i="2"/>
  <c r="I348" i="2"/>
  <c r="G348" i="2"/>
  <c r="F348" i="2"/>
  <c r="B348" i="2"/>
  <c r="A348" i="2"/>
  <c r="CB347" i="2"/>
  <c r="BZ347" i="2"/>
  <c r="BW347" i="2"/>
  <c r="BT347" i="2"/>
  <c r="BS347" i="2"/>
  <c r="BU347" i="2" s="1"/>
  <c r="BR347" i="2"/>
  <c r="BH347" i="2"/>
  <c r="BD347" i="2"/>
  <c r="BC347" i="2"/>
  <c r="AV347" i="2"/>
  <c r="AU347" i="2"/>
  <c r="AQ347" i="2"/>
  <c r="AO347" i="2"/>
  <c r="AN347" i="2"/>
  <c r="U347" i="2"/>
  <c r="Q347" i="2"/>
  <c r="O347" i="2"/>
  <c r="N347" i="2"/>
  <c r="M347" i="2"/>
  <c r="K347" i="2"/>
  <c r="I347" i="2"/>
  <c r="G347" i="2"/>
  <c r="F347" i="2"/>
  <c r="AS347" i="2" s="1"/>
  <c r="B347" i="2"/>
  <c r="A347" i="2"/>
  <c r="CB346" i="2"/>
  <c r="BZ346" i="2"/>
  <c r="BW346" i="2"/>
  <c r="BS346" i="2"/>
  <c r="BU346" i="2" s="1"/>
  <c r="BR346" i="2"/>
  <c r="BT346" i="2" s="1"/>
  <c r="BH346" i="2"/>
  <c r="BD346" i="2"/>
  <c r="BC346" i="2"/>
  <c r="AV346" i="2"/>
  <c r="AU346" i="2"/>
  <c r="AQ346" i="2"/>
  <c r="AO346" i="2"/>
  <c r="AN346" i="2"/>
  <c r="U346" i="2"/>
  <c r="Q346" i="2"/>
  <c r="O346" i="2"/>
  <c r="N346" i="2"/>
  <c r="M346" i="2"/>
  <c r="K346" i="2"/>
  <c r="I346" i="2"/>
  <c r="G346" i="2"/>
  <c r="F346" i="2"/>
  <c r="AS346" i="2" s="1"/>
  <c r="B346" i="2"/>
  <c r="A346" i="2"/>
  <c r="CB345" i="2"/>
  <c r="BZ345" i="2"/>
  <c r="BW345" i="2"/>
  <c r="BS345" i="2"/>
  <c r="BU345" i="2" s="1"/>
  <c r="BR345" i="2"/>
  <c r="BT345" i="2" s="1"/>
  <c r="BH345" i="2"/>
  <c r="BD345" i="2"/>
  <c r="BC345" i="2"/>
  <c r="AV345" i="2"/>
  <c r="AU345" i="2"/>
  <c r="AQ345" i="2"/>
  <c r="AO345" i="2"/>
  <c r="AN345" i="2"/>
  <c r="U345" i="2"/>
  <c r="Q345" i="2"/>
  <c r="O345" i="2"/>
  <c r="N345" i="2"/>
  <c r="M345" i="2"/>
  <c r="K345" i="2"/>
  <c r="I345" i="2"/>
  <c r="G345" i="2"/>
  <c r="F345" i="2"/>
  <c r="B345" i="2"/>
  <c r="A345" i="2"/>
  <c r="CB344" i="2"/>
  <c r="BZ344" i="2"/>
  <c r="BW344" i="2"/>
  <c r="BS344" i="2"/>
  <c r="BU344" i="2" s="1"/>
  <c r="BR344" i="2"/>
  <c r="BT344" i="2" s="1"/>
  <c r="BH344" i="2"/>
  <c r="BD344" i="2"/>
  <c r="BC344" i="2"/>
  <c r="AV344" i="2"/>
  <c r="AU344" i="2"/>
  <c r="AQ344" i="2"/>
  <c r="AO344" i="2"/>
  <c r="AN344" i="2"/>
  <c r="U344" i="2"/>
  <c r="Q344" i="2"/>
  <c r="O344" i="2"/>
  <c r="N344" i="2"/>
  <c r="M344" i="2"/>
  <c r="K344" i="2"/>
  <c r="I344" i="2"/>
  <c r="G344" i="2"/>
  <c r="F344" i="2"/>
  <c r="AS344" i="2" s="1"/>
  <c r="B344" i="2"/>
  <c r="A344" i="2"/>
  <c r="CB343" i="2"/>
  <c r="BZ343" i="2"/>
  <c r="BW343" i="2"/>
  <c r="BS343" i="2"/>
  <c r="BU343" i="2" s="1"/>
  <c r="BR343" i="2"/>
  <c r="BT343" i="2" s="1"/>
  <c r="BH343" i="2"/>
  <c r="BD343" i="2"/>
  <c r="BC343" i="2"/>
  <c r="AV343" i="2"/>
  <c r="AU343" i="2"/>
  <c r="AQ343" i="2"/>
  <c r="AO343" i="2"/>
  <c r="AN343" i="2"/>
  <c r="U343" i="2"/>
  <c r="Q343" i="2"/>
  <c r="O343" i="2"/>
  <c r="N343" i="2"/>
  <c r="M343" i="2"/>
  <c r="K343" i="2"/>
  <c r="I343" i="2"/>
  <c r="G343" i="2"/>
  <c r="F343" i="2"/>
  <c r="AS343" i="2" s="1"/>
  <c r="B343" i="2"/>
  <c r="A343" i="2"/>
  <c r="CB342" i="2"/>
  <c r="BZ342" i="2"/>
  <c r="BW342" i="2"/>
  <c r="BX342" i="2" s="1"/>
  <c r="BS342" i="2"/>
  <c r="BU342" i="2" s="1"/>
  <c r="BR342" i="2"/>
  <c r="BT342" i="2" s="1"/>
  <c r="BH342" i="2"/>
  <c r="BD342" i="2"/>
  <c r="BC342" i="2"/>
  <c r="AV342" i="2"/>
  <c r="AU342" i="2"/>
  <c r="AQ342" i="2"/>
  <c r="AO342" i="2"/>
  <c r="AN342" i="2"/>
  <c r="T342" i="2"/>
  <c r="Q342" i="2"/>
  <c r="O342" i="2"/>
  <c r="N342" i="2"/>
  <c r="M342" i="2"/>
  <c r="K342" i="2"/>
  <c r="I342" i="2"/>
  <c r="G342" i="2"/>
  <c r="F342" i="2"/>
  <c r="B342" i="2"/>
  <c r="A342" i="2"/>
  <c r="CB341" i="2"/>
  <c r="BZ341" i="2"/>
  <c r="BW341" i="2"/>
  <c r="BT341" i="2"/>
  <c r="BS341" i="2"/>
  <c r="BU341" i="2" s="1"/>
  <c r="BR341" i="2"/>
  <c r="BH341" i="2"/>
  <c r="BD341" i="2"/>
  <c r="BC341" i="2"/>
  <c r="AV341" i="2"/>
  <c r="AU341" i="2"/>
  <c r="AQ341" i="2"/>
  <c r="AO341" i="2"/>
  <c r="AN341" i="2"/>
  <c r="T341" i="2"/>
  <c r="Q341" i="2"/>
  <c r="O341" i="2"/>
  <c r="N341" i="2"/>
  <c r="M341" i="2"/>
  <c r="K341" i="2"/>
  <c r="I341" i="2"/>
  <c r="G341" i="2"/>
  <c r="F341" i="2"/>
  <c r="B341" i="2"/>
  <c r="A341" i="2"/>
  <c r="CB340" i="2"/>
  <c r="BZ340" i="2"/>
  <c r="BW340" i="2"/>
  <c r="BS340" i="2"/>
  <c r="BU340" i="2" s="1"/>
  <c r="BR340" i="2"/>
  <c r="BT340" i="2" s="1"/>
  <c r="BH340" i="2"/>
  <c r="BD340" i="2"/>
  <c r="BC340" i="2"/>
  <c r="AV340" i="2"/>
  <c r="AU340" i="2"/>
  <c r="AQ340" i="2"/>
  <c r="AN340" i="2"/>
  <c r="T340" i="2"/>
  <c r="Q340" i="2"/>
  <c r="O340" i="2"/>
  <c r="N340" i="2"/>
  <c r="M340" i="2"/>
  <c r="K340" i="2"/>
  <c r="I340" i="2"/>
  <c r="G340" i="2"/>
  <c r="F340" i="2"/>
  <c r="AS340" i="2" s="1"/>
  <c r="BE340" i="2" s="1"/>
  <c r="B340" i="2"/>
  <c r="A340" i="2"/>
  <c r="CB339" i="2"/>
  <c r="BZ339" i="2"/>
  <c r="BW339" i="2"/>
  <c r="BS339" i="2"/>
  <c r="BU339" i="2" s="1"/>
  <c r="BR339" i="2"/>
  <c r="BT339" i="2" s="1"/>
  <c r="BH339" i="2"/>
  <c r="BD339" i="2"/>
  <c r="BC339" i="2"/>
  <c r="AV339" i="2"/>
  <c r="AU339" i="2"/>
  <c r="AQ339" i="2"/>
  <c r="AN339" i="2"/>
  <c r="T339" i="2"/>
  <c r="Q339" i="2"/>
  <c r="O339" i="2"/>
  <c r="N339" i="2"/>
  <c r="M339" i="2"/>
  <c r="K339" i="2"/>
  <c r="I339" i="2"/>
  <c r="G339" i="2"/>
  <c r="F339" i="2"/>
  <c r="B339" i="2"/>
  <c r="A339" i="2"/>
  <c r="CB338" i="2"/>
  <c r="CA338" i="2"/>
  <c r="BZ338" i="2"/>
  <c r="BW338" i="2"/>
  <c r="BS338" i="2"/>
  <c r="BU338" i="2" s="1"/>
  <c r="BR338" i="2"/>
  <c r="BT338" i="2" s="1"/>
  <c r="BH338" i="2"/>
  <c r="BC338" i="2"/>
  <c r="AV338" i="2"/>
  <c r="AU338" i="2"/>
  <c r="AQ338" i="2"/>
  <c r="AO338" i="2"/>
  <c r="AN338" i="2"/>
  <c r="T338" i="2"/>
  <c r="Q338" i="2"/>
  <c r="O338" i="2"/>
  <c r="N338" i="2"/>
  <c r="M338" i="2"/>
  <c r="K338" i="2"/>
  <c r="I338" i="2"/>
  <c r="G338" i="2"/>
  <c r="BD338" i="2" s="1"/>
  <c r="F338" i="2"/>
  <c r="B338" i="2"/>
  <c r="A338" i="2"/>
  <c r="CB337" i="2"/>
  <c r="BZ337" i="2"/>
  <c r="BW337" i="2"/>
  <c r="BS337" i="2"/>
  <c r="BU337" i="2" s="1"/>
  <c r="BR337" i="2"/>
  <c r="BT337" i="2" s="1"/>
  <c r="BH337" i="2"/>
  <c r="BD337" i="2"/>
  <c r="BC337" i="2"/>
  <c r="AV337" i="2"/>
  <c r="AU337" i="2"/>
  <c r="AQ337" i="2"/>
  <c r="AO337" i="2"/>
  <c r="AP337" i="2" s="1"/>
  <c r="AN337" i="2"/>
  <c r="T337" i="2"/>
  <c r="Q337" i="2"/>
  <c r="O337" i="2"/>
  <c r="N337" i="2"/>
  <c r="M337" i="2"/>
  <c r="K337" i="2"/>
  <c r="I337" i="2"/>
  <c r="G337" i="2"/>
  <c r="F337" i="2"/>
  <c r="B337" i="2"/>
  <c r="A337" i="2"/>
  <c r="CB336" i="2"/>
  <c r="BZ336" i="2"/>
  <c r="BW336" i="2"/>
  <c r="BS336" i="2"/>
  <c r="BU336" i="2" s="1"/>
  <c r="BR336" i="2"/>
  <c r="BT336" i="2" s="1"/>
  <c r="BH336" i="2"/>
  <c r="BD336" i="2"/>
  <c r="BC336" i="2"/>
  <c r="AV336" i="2"/>
  <c r="AU336" i="2"/>
  <c r="AQ336" i="2"/>
  <c r="AO336" i="2"/>
  <c r="AN336" i="2"/>
  <c r="T336" i="2"/>
  <c r="Q336" i="2"/>
  <c r="O336" i="2"/>
  <c r="N336" i="2"/>
  <c r="M336" i="2"/>
  <c r="K336" i="2"/>
  <c r="I336" i="2"/>
  <c r="G336" i="2"/>
  <c r="F336" i="2"/>
  <c r="B336" i="2"/>
  <c r="A336" i="2"/>
  <c r="CB335" i="2"/>
  <c r="BZ335" i="2"/>
  <c r="BW335" i="2"/>
  <c r="BS335" i="2"/>
  <c r="BU335" i="2" s="1"/>
  <c r="BR335" i="2"/>
  <c r="BT335" i="2" s="1"/>
  <c r="BH335" i="2"/>
  <c r="BD335" i="2"/>
  <c r="BC335" i="2"/>
  <c r="AV335" i="2"/>
  <c r="AY335" i="2" s="1"/>
  <c r="AU335" i="2"/>
  <c r="AQ335" i="2"/>
  <c r="AN335" i="2"/>
  <c r="U335" i="2"/>
  <c r="Q335" i="2"/>
  <c r="O335" i="2"/>
  <c r="N335" i="2"/>
  <c r="M335" i="2"/>
  <c r="P335" i="2" s="1"/>
  <c r="K335" i="2"/>
  <c r="I335" i="2"/>
  <c r="G335" i="2"/>
  <c r="F335" i="2"/>
  <c r="B335" i="2"/>
  <c r="A335" i="2"/>
  <c r="CB334" i="2"/>
  <c r="BZ334" i="2"/>
  <c r="BW334" i="2"/>
  <c r="BS334" i="2"/>
  <c r="BU334" i="2" s="1"/>
  <c r="BR334" i="2"/>
  <c r="BT334" i="2" s="1"/>
  <c r="BH334" i="2"/>
  <c r="BD334" i="2"/>
  <c r="BC334" i="2"/>
  <c r="AV334" i="2"/>
  <c r="AU334" i="2"/>
  <c r="AQ334" i="2"/>
  <c r="AO334" i="2"/>
  <c r="AP334" i="2" s="1"/>
  <c r="U334" i="2" s="1"/>
  <c r="AN334" i="2"/>
  <c r="T334" i="2"/>
  <c r="Q334" i="2"/>
  <c r="O334" i="2"/>
  <c r="N334" i="2"/>
  <c r="M334" i="2"/>
  <c r="P334" i="2" s="1"/>
  <c r="K334" i="2"/>
  <c r="I334" i="2"/>
  <c r="G334" i="2"/>
  <c r="F334" i="2"/>
  <c r="B334" i="2"/>
  <c r="A334" i="2"/>
  <c r="CB333" i="2"/>
  <c r="BZ333" i="2"/>
  <c r="BW333" i="2"/>
  <c r="BS333" i="2"/>
  <c r="BU333" i="2" s="1"/>
  <c r="BR333" i="2"/>
  <c r="BT333" i="2" s="1"/>
  <c r="BH333" i="2"/>
  <c r="BD333" i="2"/>
  <c r="BC333" i="2"/>
  <c r="AV333" i="2"/>
  <c r="AU333" i="2"/>
  <c r="AQ333" i="2"/>
  <c r="AN333" i="2"/>
  <c r="T333" i="2"/>
  <c r="Q333" i="2"/>
  <c r="O333" i="2"/>
  <c r="N333" i="2"/>
  <c r="M333" i="2"/>
  <c r="K333" i="2"/>
  <c r="I333" i="2"/>
  <c r="G333" i="2"/>
  <c r="F333" i="2"/>
  <c r="B333" i="2"/>
  <c r="A333" i="2"/>
  <c r="CB332" i="2"/>
  <c r="BZ332" i="2"/>
  <c r="BW332" i="2"/>
  <c r="BS332" i="2"/>
  <c r="BU332" i="2" s="1"/>
  <c r="BR332" i="2"/>
  <c r="BT332" i="2" s="1"/>
  <c r="BH332" i="2"/>
  <c r="BD332" i="2"/>
  <c r="BC332" i="2"/>
  <c r="AV332" i="2"/>
  <c r="AY332" i="2" s="1"/>
  <c r="AW429" i="2" s="1"/>
  <c r="AU332" i="2"/>
  <c r="AQ332" i="2"/>
  <c r="AO332" i="2"/>
  <c r="AN332" i="2"/>
  <c r="T332" i="2"/>
  <c r="Q332" i="2"/>
  <c r="O332" i="2"/>
  <c r="N332" i="2"/>
  <c r="M332" i="2"/>
  <c r="K332" i="2"/>
  <c r="I332" i="2"/>
  <c r="G332" i="2"/>
  <c r="F332" i="2"/>
  <c r="B332" i="2"/>
  <c r="A332" i="2"/>
  <c r="CB331" i="2"/>
  <c r="BZ331" i="2"/>
  <c r="BW331" i="2"/>
  <c r="BS331" i="2"/>
  <c r="BU331" i="2" s="1"/>
  <c r="BR331" i="2"/>
  <c r="BT331" i="2" s="1"/>
  <c r="BH331" i="2"/>
  <c r="BD331" i="2"/>
  <c r="BC331" i="2"/>
  <c r="AV331" i="2"/>
  <c r="AU331" i="2"/>
  <c r="AQ331" i="2"/>
  <c r="AO331" i="2"/>
  <c r="AP331" i="2" s="1"/>
  <c r="AN331" i="2"/>
  <c r="T331" i="2"/>
  <c r="Q331" i="2"/>
  <c r="O331" i="2"/>
  <c r="N331" i="2"/>
  <c r="M331" i="2"/>
  <c r="K331" i="2"/>
  <c r="I331" i="2"/>
  <c r="G331" i="2"/>
  <c r="F331" i="2"/>
  <c r="B331" i="2"/>
  <c r="A331" i="2"/>
  <c r="CB330" i="2"/>
  <c r="BZ330" i="2"/>
  <c r="BW330" i="2"/>
  <c r="BS330" i="2"/>
  <c r="BU330" i="2" s="1"/>
  <c r="BR330" i="2"/>
  <c r="BT330" i="2" s="1"/>
  <c r="BH330" i="2"/>
  <c r="BD330" i="2"/>
  <c r="BC330" i="2"/>
  <c r="AV330" i="2"/>
  <c r="AU330" i="2"/>
  <c r="AQ330" i="2"/>
  <c r="AN330" i="2"/>
  <c r="T330" i="2"/>
  <c r="Q330" i="2"/>
  <c r="O330" i="2"/>
  <c r="N330" i="2"/>
  <c r="M330" i="2"/>
  <c r="K330" i="2"/>
  <c r="I330" i="2"/>
  <c r="G330" i="2"/>
  <c r="F330" i="2"/>
  <c r="B330" i="2"/>
  <c r="A330" i="2"/>
  <c r="CB329" i="2"/>
  <c r="BZ329" i="2"/>
  <c r="BW329" i="2"/>
  <c r="BS329" i="2"/>
  <c r="BU329" i="2" s="1"/>
  <c r="BR329" i="2"/>
  <c r="BT329" i="2" s="1"/>
  <c r="BH329" i="2"/>
  <c r="BD329" i="2"/>
  <c r="BC329" i="2"/>
  <c r="AV329" i="2"/>
  <c r="AU329" i="2"/>
  <c r="AQ329" i="2"/>
  <c r="AO329" i="2"/>
  <c r="AN329" i="2"/>
  <c r="T329" i="2"/>
  <c r="Q329" i="2"/>
  <c r="O329" i="2"/>
  <c r="N329" i="2"/>
  <c r="M329" i="2"/>
  <c r="K329" i="2"/>
  <c r="I329" i="2"/>
  <c r="G329" i="2"/>
  <c r="F329" i="2"/>
  <c r="B329" i="2"/>
  <c r="A329" i="2"/>
  <c r="CB328" i="2"/>
  <c r="BZ328" i="2"/>
  <c r="BW328" i="2"/>
  <c r="BS328" i="2"/>
  <c r="BU328" i="2" s="1"/>
  <c r="BR328" i="2"/>
  <c r="BT328" i="2" s="1"/>
  <c r="BH328" i="2"/>
  <c r="BD328" i="2"/>
  <c r="BC328" i="2"/>
  <c r="AV328" i="2"/>
  <c r="AU328" i="2"/>
  <c r="AQ328" i="2"/>
  <c r="AO328" i="2"/>
  <c r="AN328" i="2"/>
  <c r="T328" i="2"/>
  <c r="Q328" i="2"/>
  <c r="O328" i="2"/>
  <c r="N328" i="2"/>
  <c r="M328" i="2"/>
  <c r="K328" i="2"/>
  <c r="I328" i="2"/>
  <c r="G328" i="2"/>
  <c r="F328" i="2"/>
  <c r="B328" i="2"/>
  <c r="A328" i="2"/>
  <c r="CB327" i="2"/>
  <c r="BZ327" i="2"/>
  <c r="BW327" i="2"/>
  <c r="BS327" i="2"/>
  <c r="BU327" i="2" s="1"/>
  <c r="BR327" i="2"/>
  <c r="BT327" i="2" s="1"/>
  <c r="BH327" i="2"/>
  <c r="BC327" i="2"/>
  <c r="AV327" i="2"/>
  <c r="AU327" i="2"/>
  <c r="AQ327" i="2"/>
  <c r="AO327" i="2"/>
  <c r="AN327" i="2"/>
  <c r="T327" i="2"/>
  <c r="Q327" i="2"/>
  <c r="O327" i="2"/>
  <c r="N327" i="2"/>
  <c r="M327" i="2"/>
  <c r="K327" i="2"/>
  <c r="I327" i="2"/>
  <c r="G327" i="2"/>
  <c r="BD327" i="2" s="1"/>
  <c r="F327" i="2"/>
  <c r="B327" i="2"/>
  <c r="A327" i="2"/>
  <c r="CB326" i="2"/>
  <c r="BZ326" i="2"/>
  <c r="BW326" i="2"/>
  <c r="BS326" i="2"/>
  <c r="BU326" i="2" s="1"/>
  <c r="BR326" i="2"/>
  <c r="BT326" i="2" s="1"/>
  <c r="BH326" i="2"/>
  <c r="BD326" i="2"/>
  <c r="BC326" i="2"/>
  <c r="AV326" i="2"/>
  <c r="AU326" i="2"/>
  <c r="AQ326" i="2"/>
  <c r="AO326" i="2"/>
  <c r="AN326" i="2"/>
  <c r="T326" i="2"/>
  <c r="Q326" i="2"/>
  <c r="O326" i="2"/>
  <c r="N326" i="2"/>
  <c r="M326" i="2"/>
  <c r="K326" i="2"/>
  <c r="I326" i="2"/>
  <c r="G326" i="2"/>
  <c r="F326" i="2"/>
  <c r="B326" i="2"/>
  <c r="A326" i="2"/>
  <c r="CB325" i="2"/>
  <c r="BZ325" i="2"/>
  <c r="BW325" i="2"/>
  <c r="BS325" i="2"/>
  <c r="BU325" i="2" s="1"/>
  <c r="BR325" i="2"/>
  <c r="BT325" i="2" s="1"/>
  <c r="BH325" i="2"/>
  <c r="BD325" i="2"/>
  <c r="BC325" i="2"/>
  <c r="AV325" i="2"/>
  <c r="AU325" i="2"/>
  <c r="AQ325" i="2"/>
  <c r="AN325" i="2"/>
  <c r="T325" i="2"/>
  <c r="Q325" i="2"/>
  <c r="O325" i="2"/>
  <c r="N325" i="2"/>
  <c r="M325" i="2"/>
  <c r="K325" i="2"/>
  <c r="I325" i="2"/>
  <c r="G325" i="2"/>
  <c r="F325" i="2"/>
  <c r="B325" i="2"/>
  <c r="A325" i="2"/>
  <c r="CB324" i="2"/>
  <c r="BZ324" i="2"/>
  <c r="BW324" i="2"/>
  <c r="BU324" i="2"/>
  <c r="BS324" i="2"/>
  <c r="BR324" i="2"/>
  <c r="BT324" i="2" s="1"/>
  <c r="BH324" i="2"/>
  <c r="BD324" i="2"/>
  <c r="BC324" i="2"/>
  <c r="AV324" i="2"/>
  <c r="AU324" i="2"/>
  <c r="AQ324" i="2"/>
  <c r="AO324" i="2"/>
  <c r="AN324" i="2"/>
  <c r="T324" i="2"/>
  <c r="Q324" i="2"/>
  <c r="O324" i="2"/>
  <c r="N324" i="2"/>
  <c r="M324" i="2"/>
  <c r="K324" i="2"/>
  <c r="I324" i="2"/>
  <c r="G324" i="2"/>
  <c r="F324" i="2"/>
  <c r="AS324" i="2" s="1"/>
  <c r="AT324" i="2" s="1"/>
  <c r="CF324" i="2" s="1"/>
  <c r="B324" i="2"/>
  <c r="A324" i="2"/>
  <c r="CB323" i="2"/>
  <c r="CA323" i="2"/>
  <c r="BZ323" i="2"/>
  <c r="BW323" i="2"/>
  <c r="BS323" i="2"/>
  <c r="BU323" i="2" s="1"/>
  <c r="BR323" i="2"/>
  <c r="BT323" i="2" s="1"/>
  <c r="BH323" i="2"/>
  <c r="BC323" i="2"/>
  <c r="AV323" i="2"/>
  <c r="AU323" i="2"/>
  <c r="AQ323" i="2"/>
  <c r="AO323" i="2"/>
  <c r="AN323" i="2"/>
  <c r="T323" i="2"/>
  <c r="Q323" i="2"/>
  <c r="O323" i="2"/>
  <c r="N323" i="2"/>
  <c r="M323" i="2"/>
  <c r="P323" i="2" s="1"/>
  <c r="K323" i="2"/>
  <c r="I323" i="2"/>
  <c r="G323" i="2"/>
  <c r="BD323" i="2" s="1"/>
  <c r="F323" i="2"/>
  <c r="B323" i="2"/>
  <c r="A323" i="2"/>
  <c r="CB322" i="2"/>
  <c r="BZ322" i="2"/>
  <c r="BW322" i="2"/>
  <c r="BS322" i="2"/>
  <c r="BU322" i="2" s="1"/>
  <c r="BR322" i="2"/>
  <c r="BT322" i="2" s="1"/>
  <c r="BH322" i="2"/>
  <c r="BD322" i="2"/>
  <c r="BC322" i="2"/>
  <c r="AV322" i="2"/>
  <c r="AY322" i="2" s="1"/>
  <c r="AU322" i="2"/>
  <c r="AQ322" i="2"/>
  <c r="AO322" i="2"/>
  <c r="AN322" i="2"/>
  <c r="T322" i="2"/>
  <c r="Q322" i="2"/>
  <c r="O322" i="2"/>
  <c r="N322" i="2"/>
  <c r="M322" i="2"/>
  <c r="K322" i="2"/>
  <c r="I322" i="2"/>
  <c r="G322" i="2"/>
  <c r="F322" i="2"/>
  <c r="B322" i="2"/>
  <c r="A322" i="2"/>
  <c r="CB321" i="2"/>
  <c r="BZ321" i="2"/>
  <c r="BW321" i="2"/>
  <c r="BS321" i="2"/>
  <c r="BU321" i="2" s="1"/>
  <c r="BR321" i="2"/>
  <c r="BT321" i="2" s="1"/>
  <c r="BH321" i="2"/>
  <c r="BD321" i="2"/>
  <c r="BC321" i="2"/>
  <c r="AV321" i="2"/>
  <c r="AY321" i="2" s="1"/>
  <c r="AW418" i="2" s="1"/>
  <c r="AX418" i="2" s="1"/>
  <c r="AU321" i="2"/>
  <c r="AQ321" i="2"/>
  <c r="AO321" i="2"/>
  <c r="AN321" i="2"/>
  <c r="AP321" i="2" s="1"/>
  <c r="T321" i="2"/>
  <c r="Q321" i="2"/>
  <c r="O321" i="2"/>
  <c r="N321" i="2"/>
  <c r="M321" i="2"/>
  <c r="K321" i="2"/>
  <c r="I321" i="2"/>
  <c r="G321" i="2"/>
  <c r="F321" i="2"/>
  <c r="B321" i="2"/>
  <c r="A321" i="2"/>
  <c r="CB320" i="2"/>
  <c r="BZ320" i="2"/>
  <c r="BW320" i="2"/>
  <c r="BS320" i="2"/>
  <c r="BU320" i="2" s="1"/>
  <c r="BR320" i="2"/>
  <c r="BT320" i="2" s="1"/>
  <c r="BH320" i="2"/>
  <c r="BD320" i="2"/>
  <c r="BC320" i="2"/>
  <c r="AV320" i="2"/>
  <c r="AU320" i="2"/>
  <c r="AQ320" i="2"/>
  <c r="AO320" i="2"/>
  <c r="AN320" i="2"/>
  <c r="T320" i="2"/>
  <c r="Q320" i="2"/>
  <c r="O320" i="2"/>
  <c r="N320" i="2"/>
  <c r="M320" i="2"/>
  <c r="K320" i="2"/>
  <c r="I320" i="2"/>
  <c r="G320" i="2"/>
  <c r="F320" i="2"/>
  <c r="B320" i="2"/>
  <c r="A320" i="2"/>
  <c r="CB319" i="2"/>
  <c r="BZ319" i="2"/>
  <c r="BW319" i="2"/>
  <c r="BS319" i="2"/>
  <c r="BU319" i="2" s="1"/>
  <c r="BR319" i="2"/>
  <c r="BT319" i="2" s="1"/>
  <c r="BH319" i="2"/>
  <c r="BD319" i="2"/>
  <c r="BC319" i="2"/>
  <c r="AV319" i="2"/>
  <c r="AU319" i="2"/>
  <c r="AQ319" i="2"/>
  <c r="AO319" i="2"/>
  <c r="AN319" i="2"/>
  <c r="T319" i="2"/>
  <c r="Q319" i="2"/>
  <c r="O319" i="2"/>
  <c r="N319" i="2"/>
  <c r="M319" i="2"/>
  <c r="K319" i="2"/>
  <c r="I319" i="2"/>
  <c r="G319" i="2"/>
  <c r="F319" i="2"/>
  <c r="B319" i="2"/>
  <c r="A319" i="2"/>
  <c r="CB318" i="2"/>
  <c r="BZ318" i="2"/>
  <c r="BW318" i="2"/>
  <c r="BS318" i="2"/>
  <c r="BU318" i="2" s="1"/>
  <c r="BR318" i="2"/>
  <c r="BT318" i="2" s="1"/>
  <c r="BH318" i="2"/>
  <c r="BD318" i="2"/>
  <c r="BC318" i="2"/>
  <c r="AV318" i="2"/>
  <c r="AY318" i="2" s="1"/>
  <c r="BP318" i="2" s="1"/>
  <c r="BQ318" i="2" s="1"/>
  <c r="BY318" i="2" s="1"/>
  <c r="AU318" i="2"/>
  <c r="AQ318" i="2"/>
  <c r="AO318" i="2"/>
  <c r="AN318" i="2"/>
  <c r="T318" i="2"/>
  <c r="Q318" i="2"/>
  <c r="BX318" i="2" s="1"/>
  <c r="O318" i="2"/>
  <c r="N318" i="2"/>
  <c r="M318" i="2"/>
  <c r="K318" i="2"/>
  <c r="I318" i="2"/>
  <c r="G318" i="2"/>
  <c r="F318" i="2"/>
  <c r="B318" i="2"/>
  <c r="A318" i="2"/>
  <c r="CB317" i="2"/>
  <c r="BZ317" i="2"/>
  <c r="BW317" i="2"/>
  <c r="BS317" i="2"/>
  <c r="BU317" i="2" s="1"/>
  <c r="BR317" i="2"/>
  <c r="BT317" i="2" s="1"/>
  <c r="BH317" i="2"/>
  <c r="BD317" i="2"/>
  <c r="BC317" i="2"/>
  <c r="AV317" i="2"/>
  <c r="AU317" i="2"/>
  <c r="AQ317" i="2"/>
  <c r="AO317" i="2"/>
  <c r="AN317" i="2"/>
  <c r="T317" i="2"/>
  <c r="Q317" i="2"/>
  <c r="O317" i="2"/>
  <c r="N317" i="2"/>
  <c r="M317" i="2"/>
  <c r="K317" i="2"/>
  <c r="I317" i="2"/>
  <c r="G317" i="2"/>
  <c r="F317" i="2"/>
  <c r="B317" i="2"/>
  <c r="A317" i="2"/>
  <c r="CB316" i="2"/>
  <c r="BZ316" i="2"/>
  <c r="BW316" i="2"/>
  <c r="BS316" i="2"/>
  <c r="BU316" i="2" s="1"/>
  <c r="BR316" i="2"/>
  <c r="BT316" i="2" s="1"/>
  <c r="BH316" i="2"/>
  <c r="BD316" i="2"/>
  <c r="BC316" i="2"/>
  <c r="AV316" i="2"/>
  <c r="AU316" i="2"/>
  <c r="AQ316" i="2"/>
  <c r="AO316" i="2"/>
  <c r="AN316" i="2"/>
  <c r="T316" i="2"/>
  <c r="Q316" i="2"/>
  <c r="O316" i="2"/>
  <c r="N316" i="2"/>
  <c r="M316" i="2"/>
  <c r="K316" i="2"/>
  <c r="I316" i="2"/>
  <c r="G316" i="2"/>
  <c r="F316" i="2"/>
  <c r="B316" i="2"/>
  <c r="A316" i="2"/>
  <c r="CB315" i="2"/>
  <c r="BZ315" i="2"/>
  <c r="BW315" i="2"/>
  <c r="BS315" i="2"/>
  <c r="BU315" i="2" s="1"/>
  <c r="BR315" i="2"/>
  <c r="BT315" i="2" s="1"/>
  <c r="BH315" i="2"/>
  <c r="BD315" i="2"/>
  <c r="BC315" i="2"/>
  <c r="AV315" i="2"/>
  <c r="AY315" i="2" s="1"/>
  <c r="BP315" i="2" s="1"/>
  <c r="BQ315" i="2" s="1"/>
  <c r="BY315" i="2" s="1"/>
  <c r="AU315" i="2"/>
  <c r="AQ315" i="2"/>
  <c r="AO315" i="2"/>
  <c r="AN315" i="2"/>
  <c r="T315" i="2"/>
  <c r="Q315" i="2"/>
  <c r="O315" i="2"/>
  <c r="N315" i="2"/>
  <c r="M315" i="2"/>
  <c r="K315" i="2"/>
  <c r="I315" i="2"/>
  <c r="G315" i="2"/>
  <c r="F315" i="2"/>
  <c r="B315" i="2"/>
  <c r="A315" i="2"/>
  <c r="CB314" i="2"/>
  <c r="BZ314" i="2"/>
  <c r="BW314" i="2"/>
  <c r="BS314" i="2"/>
  <c r="BU314" i="2" s="1"/>
  <c r="BR314" i="2"/>
  <c r="BT314" i="2" s="1"/>
  <c r="BH314" i="2"/>
  <c r="BD314" i="2"/>
  <c r="BC314" i="2"/>
  <c r="AV314" i="2"/>
  <c r="AU314" i="2"/>
  <c r="AQ314" i="2"/>
  <c r="AN314" i="2"/>
  <c r="T314" i="2"/>
  <c r="Q314" i="2"/>
  <c r="O314" i="2"/>
  <c r="N314" i="2"/>
  <c r="M314" i="2"/>
  <c r="K314" i="2"/>
  <c r="I314" i="2"/>
  <c r="G314" i="2"/>
  <c r="F314" i="2"/>
  <c r="B314" i="2"/>
  <c r="A314" i="2"/>
  <c r="CB313" i="2"/>
  <c r="BZ313" i="2"/>
  <c r="BW313" i="2"/>
  <c r="BS313" i="2"/>
  <c r="BU313" i="2" s="1"/>
  <c r="BR313" i="2"/>
  <c r="BT313" i="2" s="1"/>
  <c r="BH313" i="2"/>
  <c r="BD313" i="2"/>
  <c r="BC313" i="2"/>
  <c r="AV313" i="2"/>
  <c r="AY313" i="2" s="1"/>
  <c r="AU313" i="2"/>
  <c r="AQ313" i="2"/>
  <c r="AO313" i="2"/>
  <c r="AN313" i="2"/>
  <c r="T313" i="2"/>
  <c r="Q313" i="2"/>
  <c r="O313" i="2"/>
  <c r="N313" i="2"/>
  <c r="M313" i="2"/>
  <c r="K313" i="2"/>
  <c r="I313" i="2"/>
  <c r="G313" i="2"/>
  <c r="F313" i="2"/>
  <c r="B313" i="2"/>
  <c r="A313" i="2"/>
  <c r="CB312" i="2"/>
  <c r="BZ312" i="2"/>
  <c r="BW312" i="2"/>
  <c r="BS312" i="2"/>
  <c r="BU312" i="2" s="1"/>
  <c r="BR312" i="2"/>
  <c r="BT312" i="2" s="1"/>
  <c r="BH312" i="2"/>
  <c r="BD312" i="2"/>
  <c r="BC312" i="2"/>
  <c r="AV312" i="2"/>
  <c r="AU312" i="2"/>
  <c r="AQ312" i="2"/>
  <c r="AO312" i="2"/>
  <c r="AN312" i="2"/>
  <c r="T312" i="2"/>
  <c r="Q312" i="2"/>
  <c r="O312" i="2"/>
  <c r="N312" i="2"/>
  <c r="M312" i="2"/>
  <c r="K312" i="2"/>
  <c r="I312" i="2"/>
  <c r="G312" i="2"/>
  <c r="F312" i="2"/>
  <c r="B312" i="2"/>
  <c r="A312" i="2"/>
  <c r="CB311" i="2"/>
  <c r="BZ311" i="2"/>
  <c r="BW311" i="2"/>
  <c r="BU311" i="2"/>
  <c r="BS311" i="2"/>
  <c r="BR311" i="2"/>
  <c r="BT311" i="2" s="1"/>
  <c r="BH311" i="2"/>
  <c r="BD311" i="2"/>
  <c r="BC311" i="2"/>
  <c r="AV311" i="2"/>
  <c r="AU311" i="2"/>
  <c r="AQ311" i="2"/>
  <c r="AO311" i="2"/>
  <c r="AN311" i="2"/>
  <c r="T311" i="2"/>
  <c r="Q311" i="2"/>
  <c r="O311" i="2"/>
  <c r="N311" i="2"/>
  <c r="M311" i="2"/>
  <c r="K311" i="2"/>
  <c r="I311" i="2"/>
  <c r="G311" i="2"/>
  <c r="F311" i="2"/>
  <c r="B311" i="2"/>
  <c r="A311" i="2"/>
  <c r="CB310" i="2"/>
  <c r="BZ310" i="2"/>
  <c r="BW310" i="2"/>
  <c r="BS310" i="2"/>
  <c r="BU310" i="2" s="1"/>
  <c r="BR310" i="2"/>
  <c r="BT310" i="2" s="1"/>
  <c r="BH310" i="2"/>
  <c r="BD310" i="2"/>
  <c r="BC310" i="2"/>
  <c r="AV310" i="2"/>
  <c r="AU310" i="2"/>
  <c r="AQ310" i="2"/>
  <c r="AO310" i="2"/>
  <c r="AN310" i="2"/>
  <c r="T310" i="2"/>
  <c r="Q310" i="2"/>
  <c r="O310" i="2"/>
  <c r="N310" i="2"/>
  <c r="M310" i="2"/>
  <c r="K310" i="2"/>
  <c r="I310" i="2"/>
  <c r="G310" i="2"/>
  <c r="F310" i="2"/>
  <c r="B310" i="2"/>
  <c r="A310" i="2"/>
  <c r="CB309" i="2"/>
  <c r="BZ309" i="2"/>
  <c r="BW309" i="2"/>
  <c r="BS309" i="2"/>
  <c r="BU309" i="2" s="1"/>
  <c r="BR309" i="2"/>
  <c r="BT309" i="2" s="1"/>
  <c r="BH309" i="2"/>
  <c r="BD309" i="2"/>
  <c r="BC309" i="2"/>
  <c r="AV309" i="2"/>
  <c r="AU309" i="2"/>
  <c r="AQ309" i="2"/>
  <c r="AN309" i="2"/>
  <c r="T309" i="2"/>
  <c r="Q309" i="2"/>
  <c r="BX309" i="2" s="1"/>
  <c r="O309" i="2"/>
  <c r="N309" i="2"/>
  <c r="P309" i="2" s="1"/>
  <c r="M309" i="2"/>
  <c r="K309" i="2"/>
  <c r="I309" i="2"/>
  <c r="G309" i="2"/>
  <c r="F309" i="2"/>
  <c r="B309" i="2"/>
  <c r="A309" i="2"/>
  <c r="CB308" i="2"/>
  <c r="BZ308" i="2"/>
  <c r="BW308" i="2"/>
  <c r="BS308" i="2"/>
  <c r="BU308" i="2" s="1"/>
  <c r="BR308" i="2"/>
  <c r="BT308" i="2" s="1"/>
  <c r="BH308" i="2"/>
  <c r="BD308" i="2"/>
  <c r="BC308" i="2"/>
  <c r="AV308" i="2"/>
  <c r="AU308" i="2"/>
  <c r="AQ308" i="2"/>
  <c r="AN308" i="2"/>
  <c r="T308" i="2"/>
  <c r="Q308" i="2"/>
  <c r="O308" i="2"/>
  <c r="N308" i="2"/>
  <c r="M308" i="2"/>
  <c r="K308" i="2"/>
  <c r="I308" i="2"/>
  <c r="G308" i="2"/>
  <c r="F308" i="2"/>
  <c r="B308" i="2"/>
  <c r="A308" i="2"/>
  <c r="CB307" i="2"/>
  <c r="BZ307" i="2"/>
  <c r="BW307" i="2"/>
  <c r="BS307" i="2"/>
  <c r="BU307" i="2" s="1"/>
  <c r="BR307" i="2"/>
  <c r="BT307" i="2" s="1"/>
  <c r="BH307" i="2"/>
  <c r="BD307" i="2"/>
  <c r="BC307" i="2"/>
  <c r="AV307" i="2"/>
  <c r="AU307" i="2"/>
  <c r="AQ307" i="2"/>
  <c r="AO307" i="2"/>
  <c r="AN307" i="2"/>
  <c r="T307" i="2"/>
  <c r="Q307" i="2"/>
  <c r="O307" i="2"/>
  <c r="N307" i="2"/>
  <c r="M307" i="2"/>
  <c r="K307" i="2"/>
  <c r="I307" i="2"/>
  <c r="G307" i="2"/>
  <c r="F307" i="2"/>
  <c r="B307" i="2"/>
  <c r="A307" i="2"/>
  <c r="CB306" i="2"/>
  <c r="BZ306" i="2"/>
  <c r="BW306" i="2"/>
  <c r="BS306" i="2"/>
  <c r="BU306" i="2" s="1"/>
  <c r="BR306" i="2"/>
  <c r="BT306" i="2" s="1"/>
  <c r="BP306" i="2"/>
  <c r="BQ306" i="2" s="1"/>
  <c r="BY306" i="2" s="1"/>
  <c r="BH306" i="2"/>
  <c r="BD306" i="2"/>
  <c r="BC306" i="2"/>
  <c r="AV306" i="2"/>
  <c r="AY306" i="2" s="1"/>
  <c r="AW403" i="2" s="1"/>
  <c r="AU306" i="2"/>
  <c r="AQ306" i="2"/>
  <c r="AO306" i="2"/>
  <c r="AN306" i="2"/>
  <c r="U306" i="2"/>
  <c r="Q306" i="2"/>
  <c r="O306" i="2"/>
  <c r="N306" i="2"/>
  <c r="M306" i="2"/>
  <c r="K306" i="2"/>
  <c r="I306" i="2"/>
  <c r="G306" i="2"/>
  <c r="F306" i="2"/>
  <c r="B306" i="2"/>
  <c r="A306" i="2"/>
  <c r="CB305" i="2"/>
  <c r="BZ305" i="2"/>
  <c r="BW305" i="2"/>
  <c r="BS305" i="2"/>
  <c r="BU305" i="2" s="1"/>
  <c r="BR305" i="2"/>
  <c r="BT305" i="2" s="1"/>
  <c r="BH305" i="2"/>
  <c r="BD305" i="2"/>
  <c r="BC305" i="2"/>
  <c r="AV305" i="2"/>
  <c r="AU305" i="2"/>
  <c r="AQ305" i="2"/>
  <c r="AN305" i="2"/>
  <c r="T305" i="2"/>
  <c r="Q305" i="2"/>
  <c r="O305" i="2"/>
  <c r="N305" i="2"/>
  <c r="M305" i="2"/>
  <c r="K305" i="2"/>
  <c r="I305" i="2"/>
  <c r="G305" i="2"/>
  <c r="F305" i="2"/>
  <c r="B305" i="2"/>
  <c r="A305" i="2"/>
  <c r="CB304" i="2"/>
  <c r="BZ304" i="2"/>
  <c r="BW304" i="2"/>
  <c r="BS304" i="2"/>
  <c r="BU304" i="2" s="1"/>
  <c r="BR304" i="2"/>
  <c r="BT304" i="2" s="1"/>
  <c r="BH304" i="2"/>
  <c r="BD304" i="2"/>
  <c r="BC304" i="2"/>
  <c r="AV304" i="2"/>
  <c r="AU304" i="2"/>
  <c r="AQ304" i="2"/>
  <c r="AN304" i="2"/>
  <c r="T304" i="2"/>
  <c r="Q304" i="2"/>
  <c r="O304" i="2"/>
  <c r="N304" i="2"/>
  <c r="M304" i="2"/>
  <c r="K304" i="2"/>
  <c r="I304" i="2"/>
  <c r="G304" i="2"/>
  <c r="F304" i="2"/>
  <c r="B304" i="2"/>
  <c r="A304" i="2"/>
  <c r="CB303" i="2"/>
  <c r="BZ303" i="2"/>
  <c r="BW303" i="2"/>
  <c r="BS303" i="2"/>
  <c r="BU303" i="2" s="1"/>
  <c r="BR303" i="2"/>
  <c r="BT303" i="2" s="1"/>
  <c r="BH303" i="2"/>
  <c r="BD303" i="2"/>
  <c r="BC303" i="2"/>
  <c r="AV303" i="2"/>
  <c r="AU303" i="2"/>
  <c r="AQ303" i="2"/>
  <c r="AO303" i="2"/>
  <c r="AN303" i="2"/>
  <c r="T303" i="2"/>
  <c r="Q303" i="2"/>
  <c r="O303" i="2"/>
  <c r="N303" i="2"/>
  <c r="M303" i="2"/>
  <c r="K303" i="2"/>
  <c r="I303" i="2"/>
  <c r="G303" i="2"/>
  <c r="F303" i="2"/>
  <c r="B303" i="2"/>
  <c r="A303" i="2"/>
  <c r="CB302" i="2"/>
  <c r="BZ302" i="2"/>
  <c r="BW302" i="2"/>
  <c r="BS302" i="2"/>
  <c r="BU302" i="2" s="1"/>
  <c r="BR302" i="2"/>
  <c r="BT302" i="2" s="1"/>
  <c r="BH302" i="2"/>
  <c r="BD302" i="2"/>
  <c r="BC302" i="2"/>
  <c r="AV302" i="2"/>
  <c r="AU302" i="2"/>
  <c r="AQ302" i="2"/>
  <c r="AO302" i="2"/>
  <c r="AN302" i="2"/>
  <c r="T302" i="2"/>
  <c r="Q302" i="2"/>
  <c r="O302" i="2"/>
  <c r="N302" i="2"/>
  <c r="M302" i="2"/>
  <c r="P302" i="2" s="1"/>
  <c r="K302" i="2"/>
  <c r="I302" i="2"/>
  <c r="G302" i="2"/>
  <c r="F302" i="2"/>
  <c r="B302" i="2"/>
  <c r="A302" i="2"/>
  <c r="CB301" i="2"/>
  <c r="BZ301" i="2"/>
  <c r="BW301" i="2"/>
  <c r="BS301" i="2"/>
  <c r="BU301" i="2" s="1"/>
  <c r="BR301" i="2"/>
  <c r="BT301" i="2" s="1"/>
  <c r="BH301" i="2"/>
  <c r="BD301" i="2"/>
  <c r="BC301" i="2"/>
  <c r="AV301" i="2"/>
  <c r="AY301" i="2" s="1"/>
  <c r="AU301" i="2"/>
  <c r="AQ301" i="2"/>
  <c r="AN301" i="2"/>
  <c r="U301" i="2"/>
  <c r="Q301" i="2"/>
  <c r="O301" i="2"/>
  <c r="N301" i="2"/>
  <c r="M301" i="2"/>
  <c r="K301" i="2"/>
  <c r="I301" i="2"/>
  <c r="G301" i="2"/>
  <c r="F301" i="2"/>
  <c r="B301" i="2"/>
  <c r="A301" i="2"/>
  <c r="CB300" i="2"/>
  <c r="BZ300" i="2"/>
  <c r="BW300" i="2"/>
  <c r="BS300" i="2"/>
  <c r="BU300" i="2" s="1"/>
  <c r="BR300" i="2"/>
  <c r="BT300" i="2" s="1"/>
  <c r="BH300" i="2"/>
  <c r="BD300" i="2"/>
  <c r="BC300" i="2"/>
  <c r="AV300" i="2"/>
  <c r="AU300" i="2"/>
  <c r="AQ300" i="2"/>
  <c r="AO300" i="2"/>
  <c r="AN300" i="2"/>
  <c r="T300" i="2"/>
  <c r="Q300" i="2"/>
  <c r="O300" i="2"/>
  <c r="N300" i="2"/>
  <c r="M300" i="2"/>
  <c r="K300" i="2"/>
  <c r="I300" i="2"/>
  <c r="G300" i="2"/>
  <c r="F300" i="2"/>
  <c r="AS300" i="2" s="1"/>
  <c r="B300" i="2"/>
  <c r="A300" i="2"/>
  <c r="CB299" i="2"/>
  <c r="BZ299" i="2"/>
  <c r="BW299" i="2"/>
  <c r="BS299" i="2"/>
  <c r="BU299" i="2" s="1"/>
  <c r="BR299" i="2"/>
  <c r="BT299" i="2" s="1"/>
  <c r="BH299" i="2"/>
  <c r="BD299" i="2"/>
  <c r="BC299" i="2"/>
  <c r="AV299" i="2"/>
  <c r="AU299" i="2"/>
  <c r="AQ299" i="2"/>
  <c r="AO299" i="2"/>
  <c r="AP299" i="2" s="1"/>
  <c r="AN299" i="2"/>
  <c r="T299" i="2"/>
  <c r="Q299" i="2"/>
  <c r="O299" i="2"/>
  <c r="N299" i="2"/>
  <c r="M299" i="2"/>
  <c r="K299" i="2"/>
  <c r="I299" i="2"/>
  <c r="G299" i="2"/>
  <c r="F299" i="2"/>
  <c r="B299" i="2"/>
  <c r="A299" i="2"/>
  <c r="CB298" i="2"/>
  <c r="BZ298" i="2"/>
  <c r="BW298" i="2"/>
  <c r="BT298" i="2"/>
  <c r="BS298" i="2"/>
  <c r="BU298" i="2" s="1"/>
  <c r="BR298" i="2"/>
  <c r="BH298" i="2"/>
  <c r="BD298" i="2"/>
  <c r="BC298" i="2"/>
  <c r="AV298" i="2"/>
  <c r="AU298" i="2"/>
  <c r="AQ298" i="2"/>
  <c r="AN298" i="2"/>
  <c r="T298" i="2"/>
  <c r="Q298" i="2"/>
  <c r="O298" i="2"/>
  <c r="N298" i="2"/>
  <c r="M298" i="2"/>
  <c r="K298" i="2"/>
  <c r="I298" i="2"/>
  <c r="G298" i="2"/>
  <c r="AS298" i="2" s="1"/>
  <c r="F298" i="2"/>
  <c r="B298" i="2"/>
  <c r="A298" i="2"/>
  <c r="CB297" i="2"/>
  <c r="BZ297" i="2"/>
  <c r="BW297" i="2"/>
  <c r="BS297" i="2"/>
  <c r="BU297" i="2" s="1"/>
  <c r="BR297" i="2"/>
  <c r="BT297" i="2" s="1"/>
  <c r="BH297" i="2"/>
  <c r="BD297" i="2"/>
  <c r="BC297" i="2"/>
  <c r="AV297" i="2"/>
  <c r="AU297" i="2"/>
  <c r="AQ297" i="2"/>
  <c r="AO297" i="2"/>
  <c r="AN297" i="2"/>
  <c r="AP297" i="2" s="1"/>
  <c r="U297" i="2" s="1"/>
  <c r="T297" i="2"/>
  <c r="Q297" i="2"/>
  <c r="O297" i="2"/>
  <c r="N297" i="2"/>
  <c r="M297" i="2"/>
  <c r="K297" i="2"/>
  <c r="I297" i="2"/>
  <c r="G297" i="2"/>
  <c r="F297" i="2"/>
  <c r="B297" i="2"/>
  <c r="A297" i="2"/>
  <c r="CB296" i="2"/>
  <c r="BZ296" i="2"/>
  <c r="BW296" i="2"/>
  <c r="BS296" i="2"/>
  <c r="BU296" i="2" s="1"/>
  <c r="BR296" i="2"/>
  <c r="BT296" i="2" s="1"/>
  <c r="BH296" i="2"/>
  <c r="BD296" i="2"/>
  <c r="BC296" i="2"/>
  <c r="AV296" i="2"/>
  <c r="AU296" i="2"/>
  <c r="AQ296" i="2"/>
  <c r="AO296" i="2"/>
  <c r="AN296" i="2"/>
  <c r="AP296" i="2" s="1"/>
  <c r="T296" i="2"/>
  <c r="Q296" i="2"/>
  <c r="O296" i="2"/>
  <c r="N296" i="2"/>
  <c r="M296" i="2"/>
  <c r="K296" i="2"/>
  <c r="I296" i="2"/>
  <c r="G296" i="2"/>
  <c r="F296" i="2"/>
  <c r="B296" i="2"/>
  <c r="A296" i="2"/>
  <c r="CB295" i="2"/>
  <c r="BZ295" i="2"/>
  <c r="BW295" i="2"/>
  <c r="BS295" i="2"/>
  <c r="BU295" i="2" s="1"/>
  <c r="BR295" i="2"/>
  <c r="BT295" i="2" s="1"/>
  <c r="BH295" i="2"/>
  <c r="BD295" i="2"/>
  <c r="BC295" i="2"/>
  <c r="AV295" i="2"/>
  <c r="AU295" i="2"/>
  <c r="AQ295" i="2"/>
  <c r="AO295" i="2"/>
  <c r="AN295" i="2"/>
  <c r="AP295" i="2" s="1"/>
  <c r="AR295" i="2" s="1"/>
  <c r="T295" i="2"/>
  <c r="Q295" i="2"/>
  <c r="O295" i="2"/>
  <c r="N295" i="2"/>
  <c r="M295" i="2"/>
  <c r="K295" i="2"/>
  <c r="I295" i="2"/>
  <c r="G295" i="2"/>
  <c r="F295" i="2"/>
  <c r="B295" i="2"/>
  <c r="A295" i="2"/>
  <c r="CB294" i="2"/>
  <c r="BZ294" i="2"/>
  <c r="BW294" i="2"/>
  <c r="BS294" i="2"/>
  <c r="BU294" i="2" s="1"/>
  <c r="BR294" i="2"/>
  <c r="BT294" i="2" s="1"/>
  <c r="BH294" i="2"/>
  <c r="BD294" i="2"/>
  <c r="BC294" i="2"/>
  <c r="AV294" i="2"/>
  <c r="AU294" i="2"/>
  <c r="AQ294" i="2"/>
  <c r="AN294" i="2"/>
  <c r="T294" i="2"/>
  <c r="Q294" i="2"/>
  <c r="O294" i="2"/>
  <c r="N294" i="2"/>
  <c r="M294" i="2"/>
  <c r="K294" i="2"/>
  <c r="I294" i="2"/>
  <c r="G294" i="2"/>
  <c r="F294" i="2"/>
  <c r="B294" i="2"/>
  <c r="A294" i="2"/>
  <c r="CB293" i="2"/>
  <c r="BZ293" i="2"/>
  <c r="BW293" i="2"/>
  <c r="BS293" i="2"/>
  <c r="BU293" i="2" s="1"/>
  <c r="BR293" i="2"/>
  <c r="BT293" i="2" s="1"/>
  <c r="BH293" i="2"/>
  <c r="BD293" i="2"/>
  <c r="BC293" i="2"/>
  <c r="AV293" i="2"/>
  <c r="AU293" i="2"/>
  <c r="AQ293" i="2"/>
  <c r="AO293" i="2"/>
  <c r="AN293" i="2"/>
  <c r="T293" i="2"/>
  <c r="Q293" i="2"/>
  <c r="O293" i="2"/>
  <c r="N293" i="2"/>
  <c r="M293" i="2"/>
  <c r="K293" i="2"/>
  <c r="I293" i="2"/>
  <c r="G293" i="2"/>
  <c r="F293" i="2"/>
  <c r="B293" i="2"/>
  <c r="A293" i="2"/>
  <c r="CB292" i="2"/>
  <c r="CA292" i="2"/>
  <c r="BZ292" i="2"/>
  <c r="BW292" i="2"/>
  <c r="BS292" i="2"/>
  <c r="BU292" i="2" s="1"/>
  <c r="BR292" i="2"/>
  <c r="BT292" i="2" s="1"/>
  <c r="BH292" i="2"/>
  <c r="BC292" i="2"/>
  <c r="AV292" i="2"/>
  <c r="AU292" i="2"/>
  <c r="AQ292" i="2"/>
  <c r="AO292" i="2"/>
  <c r="AN292" i="2"/>
  <c r="T292" i="2"/>
  <c r="Q292" i="2"/>
  <c r="O292" i="2"/>
  <c r="N292" i="2"/>
  <c r="M292" i="2"/>
  <c r="K292" i="2"/>
  <c r="I292" i="2"/>
  <c r="G292" i="2"/>
  <c r="BD292" i="2" s="1"/>
  <c r="F292" i="2"/>
  <c r="B292" i="2"/>
  <c r="A292" i="2"/>
  <c r="CB291" i="2"/>
  <c r="BZ291" i="2"/>
  <c r="BW291" i="2"/>
  <c r="BS291" i="2"/>
  <c r="BU291" i="2" s="1"/>
  <c r="BR291" i="2"/>
  <c r="BT291" i="2" s="1"/>
  <c r="BH291" i="2"/>
  <c r="BD291" i="2"/>
  <c r="BC291" i="2"/>
  <c r="AV291" i="2"/>
  <c r="AU291" i="2"/>
  <c r="AQ291" i="2"/>
  <c r="AN291" i="2"/>
  <c r="T291" i="2"/>
  <c r="Q291" i="2"/>
  <c r="O291" i="2"/>
  <c r="N291" i="2"/>
  <c r="M291" i="2"/>
  <c r="K291" i="2"/>
  <c r="I291" i="2"/>
  <c r="G291" i="2"/>
  <c r="F291" i="2"/>
  <c r="B291" i="2"/>
  <c r="A291" i="2"/>
  <c r="CB290" i="2"/>
  <c r="BZ290" i="2"/>
  <c r="BW290" i="2"/>
  <c r="BS290" i="2"/>
  <c r="BU290" i="2" s="1"/>
  <c r="BR290" i="2"/>
  <c r="BT290" i="2" s="1"/>
  <c r="BH290" i="2"/>
  <c r="BD290" i="2"/>
  <c r="BC290" i="2"/>
  <c r="AV290" i="2"/>
  <c r="AU290" i="2"/>
  <c r="AQ290" i="2"/>
  <c r="AO290" i="2"/>
  <c r="AN290" i="2"/>
  <c r="U290" i="2"/>
  <c r="Q290" i="2"/>
  <c r="BX290" i="2" s="1"/>
  <c r="O290" i="2"/>
  <c r="N290" i="2"/>
  <c r="M290" i="2"/>
  <c r="K290" i="2"/>
  <c r="I290" i="2"/>
  <c r="G290" i="2"/>
  <c r="F290" i="2"/>
  <c r="B290" i="2"/>
  <c r="A290" i="2"/>
  <c r="CB289" i="2"/>
  <c r="BZ289" i="2"/>
  <c r="BW289" i="2"/>
  <c r="BS289" i="2"/>
  <c r="BU289" i="2" s="1"/>
  <c r="BR289" i="2"/>
  <c r="BT289" i="2" s="1"/>
  <c r="BH289" i="2"/>
  <c r="BD289" i="2"/>
  <c r="BC289" i="2"/>
  <c r="AV289" i="2"/>
  <c r="AU289" i="2"/>
  <c r="AQ289" i="2"/>
  <c r="AO289" i="2"/>
  <c r="AN289" i="2"/>
  <c r="T289" i="2"/>
  <c r="Q289" i="2"/>
  <c r="O289" i="2"/>
  <c r="N289" i="2"/>
  <c r="M289" i="2"/>
  <c r="K289" i="2"/>
  <c r="I289" i="2"/>
  <c r="G289" i="2"/>
  <c r="F289" i="2"/>
  <c r="B289" i="2"/>
  <c r="A289" i="2"/>
  <c r="CB288" i="2"/>
  <c r="BZ288" i="2"/>
  <c r="BW288" i="2"/>
  <c r="BS288" i="2"/>
  <c r="BU288" i="2" s="1"/>
  <c r="BR288" i="2"/>
  <c r="BT288" i="2" s="1"/>
  <c r="BH288" i="2"/>
  <c r="BD288" i="2"/>
  <c r="BC288" i="2"/>
  <c r="AV288" i="2"/>
  <c r="AY288" i="2" s="1"/>
  <c r="BN288" i="2" s="1"/>
  <c r="BO288" i="2" s="1"/>
  <c r="AU288" i="2"/>
  <c r="AQ288" i="2"/>
  <c r="AO288" i="2"/>
  <c r="AN288" i="2"/>
  <c r="T288" i="2"/>
  <c r="Q288" i="2"/>
  <c r="O288" i="2"/>
  <c r="N288" i="2"/>
  <c r="M288" i="2"/>
  <c r="K288" i="2"/>
  <c r="I288" i="2"/>
  <c r="G288" i="2"/>
  <c r="F288" i="2"/>
  <c r="B288" i="2"/>
  <c r="A288" i="2"/>
  <c r="CB287" i="2"/>
  <c r="BZ287" i="2"/>
  <c r="BW287" i="2"/>
  <c r="BS287" i="2"/>
  <c r="BU287" i="2" s="1"/>
  <c r="BR287" i="2"/>
  <c r="BT287" i="2" s="1"/>
  <c r="BH287" i="2"/>
  <c r="BD287" i="2"/>
  <c r="BC287" i="2"/>
  <c r="AV287" i="2"/>
  <c r="AU287" i="2"/>
  <c r="AQ287" i="2"/>
  <c r="AO287" i="2"/>
  <c r="AN287" i="2"/>
  <c r="U287" i="2"/>
  <c r="Q287" i="2"/>
  <c r="O287" i="2"/>
  <c r="N287" i="2"/>
  <c r="M287" i="2"/>
  <c r="K287" i="2"/>
  <c r="I287" i="2"/>
  <c r="G287" i="2"/>
  <c r="F287" i="2"/>
  <c r="B287" i="2"/>
  <c r="A287" i="2"/>
  <c r="CB286" i="2"/>
  <c r="BZ286" i="2"/>
  <c r="BW286" i="2"/>
  <c r="BS286" i="2"/>
  <c r="BU286" i="2" s="1"/>
  <c r="BR286" i="2"/>
  <c r="BT286" i="2" s="1"/>
  <c r="BH286" i="2"/>
  <c r="BD286" i="2"/>
  <c r="BC286" i="2"/>
  <c r="AV286" i="2"/>
  <c r="AU286" i="2"/>
  <c r="AQ286" i="2"/>
  <c r="AO286" i="2"/>
  <c r="AN286" i="2"/>
  <c r="U286" i="2"/>
  <c r="Q286" i="2"/>
  <c r="O286" i="2"/>
  <c r="N286" i="2"/>
  <c r="M286" i="2"/>
  <c r="K286" i="2"/>
  <c r="I286" i="2"/>
  <c r="G286" i="2"/>
  <c r="F286" i="2"/>
  <c r="B286" i="2"/>
  <c r="A286" i="2"/>
  <c r="CB285" i="2"/>
  <c r="BZ285" i="2"/>
  <c r="BW285" i="2"/>
  <c r="BS285" i="2"/>
  <c r="BU285" i="2" s="1"/>
  <c r="BR285" i="2"/>
  <c r="BT285" i="2" s="1"/>
  <c r="BH285" i="2"/>
  <c r="BD285" i="2"/>
  <c r="BC285" i="2"/>
  <c r="AV285" i="2"/>
  <c r="AU285" i="2"/>
  <c r="AQ285" i="2"/>
  <c r="AO285" i="2"/>
  <c r="AN285" i="2"/>
  <c r="Q285" i="2"/>
  <c r="O285" i="2"/>
  <c r="N285" i="2"/>
  <c r="M285" i="2"/>
  <c r="K285" i="2"/>
  <c r="I285" i="2"/>
  <c r="G285" i="2"/>
  <c r="F285" i="2"/>
  <c r="AS285" i="2" s="1"/>
  <c r="B285" i="2"/>
  <c r="A285" i="2"/>
  <c r="CB284" i="2"/>
  <c r="BZ284" i="2"/>
  <c r="BW284" i="2"/>
  <c r="BS284" i="2"/>
  <c r="BU284" i="2" s="1"/>
  <c r="BR284" i="2"/>
  <c r="BT284" i="2" s="1"/>
  <c r="BH284" i="2"/>
  <c r="BD284" i="2"/>
  <c r="BC284" i="2"/>
  <c r="AV284" i="2"/>
  <c r="AU284" i="2"/>
  <c r="AQ284" i="2"/>
  <c r="AO284" i="2"/>
  <c r="AN284" i="2"/>
  <c r="AP284" i="2" s="1"/>
  <c r="Q284" i="2"/>
  <c r="O284" i="2"/>
  <c r="N284" i="2"/>
  <c r="M284" i="2"/>
  <c r="K284" i="2"/>
  <c r="I284" i="2"/>
  <c r="G284" i="2"/>
  <c r="F284" i="2"/>
  <c r="B284" i="2"/>
  <c r="A284" i="2"/>
  <c r="CB283" i="2"/>
  <c r="BZ283" i="2"/>
  <c r="BW283" i="2"/>
  <c r="BS283" i="2"/>
  <c r="BU283" i="2" s="1"/>
  <c r="BR283" i="2"/>
  <c r="BT283" i="2" s="1"/>
  <c r="BH283" i="2"/>
  <c r="BD283" i="2"/>
  <c r="BC283" i="2"/>
  <c r="AV283" i="2"/>
  <c r="AU283" i="2"/>
  <c r="AQ283" i="2"/>
  <c r="AO283" i="2"/>
  <c r="AN283" i="2"/>
  <c r="Q283" i="2"/>
  <c r="O283" i="2"/>
  <c r="N283" i="2"/>
  <c r="M283" i="2"/>
  <c r="K283" i="2"/>
  <c r="I283" i="2"/>
  <c r="G283" i="2"/>
  <c r="F283" i="2"/>
  <c r="B283" i="2"/>
  <c r="A283" i="2"/>
  <c r="CB282" i="2"/>
  <c r="BZ282" i="2"/>
  <c r="BW282" i="2"/>
  <c r="BS282" i="2"/>
  <c r="BU282" i="2" s="1"/>
  <c r="BR282" i="2"/>
  <c r="BT282" i="2" s="1"/>
  <c r="BH282" i="2"/>
  <c r="BD282" i="2"/>
  <c r="BC282" i="2"/>
  <c r="AV282" i="2"/>
  <c r="AU282" i="2"/>
  <c r="AQ282" i="2"/>
  <c r="AO282" i="2"/>
  <c r="AN282" i="2"/>
  <c r="U282" i="2"/>
  <c r="Q282" i="2"/>
  <c r="O282" i="2"/>
  <c r="N282" i="2"/>
  <c r="M282" i="2"/>
  <c r="K282" i="2"/>
  <c r="I282" i="2"/>
  <c r="G282" i="2"/>
  <c r="F282" i="2"/>
  <c r="B282" i="2"/>
  <c r="A282" i="2"/>
  <c r="CB281" i="2"/>
  <c r="BZ281" i="2"/>
  <c r="BW281" i="2"/>
  <c r="BS281" i="2"/>
  <c r="BU281" i="2" s="1"/>
  <c r="BR281" i="2"/>
  <c r="BT281" i="2" s="1"/>
  <c r="BH281" i="2"/>
  <c r="BD281" i="2"/>
  <c r="BC281" i="2"/>
  <c r="AV281" i="2"/>
  <c r="AU281" i="2"/>
  <c r="AQ281" i="2"/>
  <c r="AO281" i="2"/>
  <c r="AN281" i="2"/>
  <c r="U281" i="2"/>
  <c r="Q281" i="2"/>
  <c r="O281" i="2"/>
  <c r="N281" i="2"/>
  <c r="M281" i="2"/>
  <c r="K281" i="2"/>
  <c r="I281" i="2"/>
  <c r="G281" i="2"/>
  <c r="F281" i="2"/>
  <c r="B281" i="2"/>
  <c r="A281" i="2"/>
  <c r="CB280" i="2"/>
  <c r="BZ280" i="2"/>
  <c r="BW280" i="2"/>
  <c r="BS280" i="2"/>
  <c r="BU280" i="2" s="1"/>
  <c r="BR280" i="2"/>
  <c r="BT280" i="2" s="1"/>
  <c r="BH280" i="2"/>
  <c r="BD280" i="2"/>
  <c r="BC280" i="2"/>
  <c r="AV280" i="2"/>
  <c r="AU280" i="2"/>
  <c r="AQ280" i="2"/>
  <c r="AO280" i="2"/>
  <c r="AN280" i="2"/>
  <c r="Q280" i="2"/>
  <c r="O280" i="2"/>
  <c r="N280" i="2"/>
  <c r="M280" i="2"/>
  <c r="K280" i="2"/>
  <c r="I280" i="2"/>
  <c r="G280" i="2"/>
  <c r="F280" i="2"/>
  <c r="B280" i="2"/>
  <c r="A280" i="2"/>
  <c r="CB279" i="2"/>
  <c r="BZ279" i="2"/>
  <c r="BW279" i="2"/>
  <c r="BS279" i="2"/>
  <c r="BU279" i="2" s="1"/>
  <c r="BR279" i="2"/>
  <c r="BT279" i="2" s="1"/>
  <c r="BH279" i="2"/>
  <c r="BD279" i="2"/>
  <c r="BC279" i="2"/>
  <c r="AV279" i="2"/>
  <c r="AU279" i="2"/>
  <c r="AQ279" i="2"/>
  <c r="AO279" i="2"/>
  <c r="AN279" i="2"/>
  <c r="U279" i="2"/>
  <c r="Q279" i="2"/>
  <c r="O279" i="2"/>
  <c r="N279" i="2"/>
  <c r="M279" i="2"/>
  <c r="K279" i="2"/>
  <c r="I279" i="2"/>
  <c r="G279" i="2"/>
  <c r="F279" i="2"/>
  <c r="B279" i="2"/>
  <c r="A279" i="2"/>
  <c r="CB278" i="2"/>
  <c r="BZ278" i="2"/>
  <c r="BW278" i="2"/>
  <c r="BS278" i="2"/>
  <c r="BU278" i="2" s="1"/>
  <c r="BR278" i="2"/>
  <c r="BT278" i="2" s="1"/>
  <c r="BH278" i="2"/>
  <c r="BD278" i="2"/>
  <c r="BC278" i="2"/>
  <c r="AV278" i="2"/>
  <c r="AU278" i="2"/>
  <c r="AQ278" i="2"/>
  <c r="AO278" i="2"/>
  <c r="AN278" i="2"/>
  <c r="AP278" i="2" s="1"/>
  <c r="U278" i="2"/>
  <c r="Q278" i="2"/>
  <c r="O278" i="2"/>
  <c r="N278" i="2"/>
  <c r="M278" i="2"/>
  <c r="K278" i="2"/>
  <c r="I278" i="2"/>
  <c r="G278" i="2"/>
  <c r="F278" i="2"/>
  <c r="B278" i="2"/>
  <c r="A278" i="2"/>
  <c r="CB277" i="2"/>
  <c r="BZ277" i="2"/>
  <c r="BW277" i="2"/>
  <c r="BS277" i="2"/>
  <c r="BU277" i="2" s="1"/>
  <c r="BR277" i="2"/>
  <c r="BT277" i="2" s="1"/>
  <c r="BH277" i="2"/>
  <c r="BD277" i="2"/>
  <c r="BC277" i="2"/>
  <c r="AV277" i="2"/>
  <c r="AU277" i="2"/>
  <c r="AQ277" i="2"/>
  <c r="AO277" i="2"/>
  <c r="AN277" i="2"/>
  <c r="Q277" i="2"/>
  <c r="BX277" i="2" s="1"/>
  <c r="O277" i="2"/>
  <c r="N277" i="2"/>
  <c r="M277" i="2"/>
  <c r="K277" i="2"/>
  <c r="I277" i="2"/>
  <c r="G277" i="2"/>
  <c r="F277" i="2"/>
  <c r="B277" i="2"/>
  <c r="A277" i="2"/>
  <c r="CB276" i="2"/>
  <c r="BZ276" i="2"/>
  <c r="BW276" i="2"/>
  <c r="BS276" i="2"/>
  <c r="BU276" i="2" s="1"/>
  <c r="BR276" i="2"/>
  <c r="BT276" i="2" s="1"/>
  <c r="BH276" i="2"/>
  <c r="BD276" i="2"/>
  <c r="BC276" i="2"/>
  <c r="AV276" i="2"/>
  <c r="AY276" i="2" s="1"/>
  <c r="AU276" i="2"/>
  <c r="AQ276" i="2"/>
  <c r="AO276" i="2"/>
  <c r="AN276" i="2"/>
  <c r="U276" i="2"/>
  <c r="Q276" i="2"/>
  <c r="O276" i="2"/>
  <c r="N276" i="2"/>
  <c r="M276" i="2"/>
  <c r="K276" i="2"/>
  <c r="I276" i="2"/>
  <c r="G276" i="2"/>
  <c r="F276" i="2"/>
  <c r="B276" i="2"/>
  <c r="A276" i="2"/>
  <c r="CB275" i="2"/>
  <c r="BZ275" i="2"/>
  <c r="BW275" i="2"/>
  <c r="BS275" i="2"/>
  <c r="BU275" i="2" s="1"/>
  <c r="BR275" i="2"/>
  <c r="BT275" i="2" s="1"/>
  <c r="BH275" i="2"/>
  <c r="BD275" i="2"/>
  <c r="BC275" i="2"/>
  <c r="AV275" i="2"/>
  <c r="AU275" i="2"/>
  <c r="AQ275" i="2"/>
  <c r="AO275" i="2"/>
  <c r="AN275" i="2"/>
  <c r="Q275" i="2"/>
  <c r="O275" i="2"/>
  <c r="N275" i="2"/>
  <c r="M275" i="2"/>
  <c r="P275" i="2" s="1"/>
  <c r="K275" i="2"/>
  <c r="I275" i="2"/>
  <c r="G275" i="2"/>
  <c r="F275" i="2"/>
  <c r="B275" i="2"/>
  <c r="A275" i="2"/>
  <c r="CB274" i="2"/>
  <c r="BZ274" i="2"/>
  <c r="BW274" i="2"/>
  <c r="BS274" i="2"/>
  <c r="BU274" i="2" s="1"/>
  <c r="BR274" i="2"/>
  <c r="BT274" i="2" s="1"/>
  <c r="BH274" i="2"/>
  <c r="BD274" i="2"/>
  <c r="BC274" i="2"/>
  <c r="AV274" i="2"/>
  <c r="AU274" i="2"/>
  <c r="AQ274" i="2"/>
  <c r="AO274" i="2"/>
  <c r="AN274" i="2"/>
  <c r="Q274" i="2"/>
  <c r="O274" i="2"/>
  <c r="N274" i="2"/>
  <c r="M274" i="2"/>
  <c r="K274" i="2"/>
  <c r="I274" i="2"/>
  <c r="G274" i="2"/>
  <c r="F274" i="2"/>
  <c r="B274" i="2"/>
  <c r="A274" i="2"/>
  <c r="CB273" i="2"/>
  <c r="BZ273" i="2"/>
  <c r="BW273" i="2"/>
  <c r="BS273" i="2"/>
  <c r="BU273" i="2" s="1"/>
  <c r="BR273" i="2"/>
  <c r="BT273" i="2" s="1"/>
  <c r="BH273" i="2"/>
  <c r="BD273" i="2"/>
  <c r="BC273" i="2"/>
  <c r="AV273" i="2"/>
  <c r="AU273" i="2"/>
  <c r="AQ273" i="2"/>
  <c r="AO273" i="2"/>
  <c r="AN273" i="2"/>
  <c r="U273" i="2"/>
  <c r="Q273" i="2"/>
  <c r="BX273" i="2" s="1"/>
  <c r="O273" i="2"/>
  <c r="N273" i="2"/>
  <c r="M273" i="2"/>
  <c r="K273" i="2"/>
  <c r="I273" i="2"/>
  <c r="G273" i="2"/>
  <c r="F273" i="2"/>
  <c r="B273" i="2"/>
  <c r="A273" i="2"/>
  <c r="CB272" i="2"/>
  <c r="BZ272" i="2"/>
  <c r="BW272" i="2"/>
  <c r="BS272" i="2"/>
  <c r="BU272" i="2" s="1"/>
  <c r="BR272" i="2"/>
  <c r="BT272" i="2" s="1"/>
  <c r="BH272" i="2"/>
  <c r="BD272" i="2"/>
  <c r="BC272" i="2"/>
  <c r="AV272" i="2"/>
  <c r="AU272" i="2"/>
  <c r="AQ272" i="2"/>
  <c r="AO272" i="2"/>
  <c r="AN272" i="2"/>
  <c r="U272" i="2"/>
  <c r="Q272" i="2"/>
  <c r="O272" i="2"/>
  <c r="N272" i="2"/>
  <c r="M272" i="2"/>
  <c r="K272" i="2"/>
  <c r="I272" i="2"/>
  <c r="G272" i="2"/>
  <c r="F272" i="2"/>
  <c r="B272" i="2"/>
  <c r="A272" i="2"/>
  <c r="CB271" i="2"/>
  <c r="BZ271" i="2"/>
  <c r="BW271" i="2"/>
  <c r="BS271" i="2"/>
  <c r="BU271" i="2" s="1"/>
  <c r="BR271" i="2"/>
  <c r="BT271" i="2" s="1"/>
  <c r="BH271" i="2"/>
  <c r="BD271" i="2"/>
  <c r="BC271" i="2"/>
  <c r="AV271" i="2"/>
  <c r="AU271" i="2"/>
  <c r="AQ271" i="2"/>
  <c r="AO271" i="2"/>
  <c r="AN271" i="2"/>
  <c r="U271" i="2"/>
  <c r="Q271" i="2"/>
  <c r="BX271" i="2" s="1"/>
  <c r="O271" i="2"/>
  <c r="N271" i="2"/>
  <c r="M271" i="2"/>
  <c r="K271" i="2"/>
  <c r="I271" i="2"/>
  <c r="G271" i="2"/>
  <c r="F271" i="2"/>
  <c r="A271" i="2"/>
  <c r="CB270" i="2"/>
  <c r="BZ270" i="2"/>
  <c r="BW270" i="2"/>
  <c r="BS270" i="2"/>
  <c r="BU270" i="2" s="1"/>
  <c r="BR270" i="2"/>
  <c r="BT270" i="2" s="1"/>
  <c r="BH270" i="2"/>
  <c r="BD270" i="2"/>
  <c r="BC270" i="2"/>
  <c r="AV270" i="2"/>
  <c r="AU270" i="2"/>
  <c r="AQ270" i="2"/>
  <c r="AO270" i="2"/>
  <c r="AN270" i="2"/>
  <c r="U270" i="2"/>
  <c r="Q270" i="2"/>
  <c r="O270" i="2"/>
  <c r="N270" i="2"/>
  <c r="M270" i="2"/>
  <c r="K270" i="2"/>
  <c r="I270" i="2"/>
  <c r="G270" i="2"/>
  <c r="F270" i="2"/>
  <c r="B270" i="2"/>
  <c r="A270" i="2"/>
  <c r="CB269" i="2"/>
  <c r="BZ269" i="2"/>
  <c r="BW269" i="2"/>
  <c r="BS269" i="2"/>
  <c r="BU269" i="2" s="1"/>
  <c r="BR269" i="2"/>
  <c r="BT269" i="2" s="1"/>
  <c r="BH269" i="2"/>
  <c r="BD269" i="2"/>
  <c r="BC269" i="2"/>
  <c r="AV269" i="2"/>
  <c r="AU269" i="2"/>
  <c r="AQ269" i="2"/>
  <c r="AO269" i="2"/>
  <c r="AN269" i="2"/>
  <c r="Q269" i="2"/>
  <c r="O269" i="2"/>
  <c r="N269" i="2"/>
  <c r="M269" i="2"/>
  <c r="P269" i="2" s="1"/>
  <c r="K269" i="2"/>
  <c r="I269" i="2"/>
  <c r="G269" i="2"/>
  <c r="F269" i="2"/>
  <c r="B269" i="2"/>
  <c r="A269" i="2"/>
  <c r="CB268" i="2"/>
  <c r="BZ268" i="2"/>
  <c r="BW268" i="2"/>
  <c r="BS268" i="2"/>
  <c r="BU268" i="2" s="1"/>
  <c r="BR268" i="2"/>
  <c r="BT268" i="2" s="1"/>
  <c r="BH268" i="2"/>
  <c r="BD268" i="2"/>
  <c r="BC268" i="2"/>
  <c r="AV268" i="2"/>
  <c r="AU268" i="2"/>
  <c r="AQ268" i="2"/>
  <c r="AO268" i="2"/>
  <c r="AN268" i="2"/>
  <c r="U268" i="2"/>
  <c r="Q268" i="2"/>
  <c r="O268" i="2"/>
  <c r="N268" i="2"/>
  <c r="M268" i="2"/>
  <c r="P268" i="2" s="1"/>
  <c r="K268" i="2"/>
  <c r="I268" i="2"/>
  <c r="G268" i="2"/>
  <c r="F268" i="2"/>
  <c r="B268" i="2"/>
  <c r="A268" i="2"/>
  <c r="CB267" i="2"/>
  <c r="BZ267" i="2"/>
  <c r="BW267" i="2"/>
  <c r="BS267" i="2"/>
  <c r="BU267" i="2" s="1"/>
  <c r="BR267" i="2"/>
  <c r="BT267" i="2" s="1"/>
  <c r="BH267" i="2"/>
  <c r="BD267" i="2"/>
  <c r="BC267" i="2"/>
  <c r="AV267" i="2"/>
  <c r="AU267" i="2"/>
  <c r="AQ267" i="2"/>
  <c r="AO267" i="2"/>
  <c r="AN267" i="2"/>
  <c r="Q267" i="2"/>
  <c r="O267" i="2"/>
  <c r="N267" i="2"/>
  <c r="M267" i="2"/>
  <c r="K267" i="2"/>
  <c r="I267" i="2"/>
  <c r="G267" i="2"/>
  <c r="F267" i="2"/>
  <c r="AS267" i="2" s="1"/>
  <c r="B267" i="2"/>
  <c r="A267" i="2"/>
  <c r="CB266" i="2"/>
  <c r="BZ266" i="2"/>
  <c r="BW266" i="2"/>
  <c r="BS266" i="2"/>
  <c r="BU266" i="2" s="1"/>
  <c r="BR266" i="2"/>
  <c r="BT266" i="2" s="1"/>
  <c r="BH266" i="2"/>
  <c r="BD266" i="2"/>
  <c r="BC266" i="2"/>
  <c r="AV266" i="2"/>
  <c r="AU266" i="2"/>
  <c r="AQ266" i="2"/>
  <c r="AO266" i="2"/>
  <c r="AN266" i="2"/>
  <c r="U266" i="2"/>
  <c r="Q266" i="2"/>
  <c r="O266" i="2"/>
  <c r="N266" i="2"/>
  <c r="M266" i="2"/>
  <c r="K266" i="2"/>
  <c r="I266" i="2"/>
  <c r="G266" i="2"/>
  <c r="F266" i="2"/>
  <c r="AS266" i="2" s="1"/>
  <c r="B266" i="2"/>
  <c r="A266" i="2"/>
  <c r="CB265" i="2"/>
  <c r="BZ265" i="2"/>
  <c r="BW265" i="2"/>
  <c r="BS265" i="2"/>
  <c r="BU265" i="2" s="1"/>
  <c r="BR265" i="2"/>
  <c r="BT265" i="2" s="1"/>
  <c r="BH265" i="2"/>
  <c r="BD265" i="2"/>
  <c r="BC265" i="2"/>
  <c r="AV265" i="2"/>
  <c r="AY265" i="2" s="1"/>
  <c r="AW362" i="2" s="1"/>
  <c r="AU265" i="2"/>
  <c r="AQ265" i="2"/>
  <c r="AO265" i="2"/>
  <c r="AN265" i="2"/>
  <c r="U265" i="2"/>
  <c r="Q265" i="2"/>
  <c r="O265" i="2"/>
  <c r="N265" i="2"/>
  <c r="M265" i="2"/>
  <c r="K265" i="2"/>
  <c r="I265" i="2"/>
  <c r="G265" i="2"/>
  <c r="F265" i="2"/>
  <c r="B265" i="2"/>
  <c r="A265" i="2"/>
  <c r="CB264" i="2"/>
  <c r="BZ264" i="2"/>
  <c r="BW264" i="2"/>
  <c r="BS264" i="2"/>
  <c r="BU264" i="2" s="1"/>
  <c r="BR264" i="2"/>
  <c r="BT264" i="2" s="1"/>
  <c r="BH264" i="2"/>
  <c r="BD264" i="2"/>
  <c r="BC264" i="2"/>
  <c r="AV264" i="2"/>
  <c r="AU264" i="2"/>
  <c r="AQ264" i="2"/>
  <c r="AO264" i="2"/>
  <c r="AN264" i="2"/>
  <c r="Q264" i="2"/>
  <c r="O264" i="2"/>
  <c r="N264" i="2"/>
  <c r="M264" i="2"/>
  <c r="K264" i="2"/>
  <c r="I264" i="2"/>
  <c r="G264" i="2"/>
  <c r="F264" i="2"/>
  <c r="B264" i="2"/>
  <c r="A264" i="2"/>
  <c r="CB263" i="2"/>
  <c r="BZ263" i="2"/>
  <c r="BW263" i="2"/>
  <c r="BS263" i="2"/>
  <c r="BU263" i="2" s="1"/>
  <c r="BR263" i="2"/>
  <c r="BT263" i="2" s="1"/>
  <c r="BH263" i="2"/>
  <c r="BD263" i="2"/>
  <c r="BC263" i="2"/>
  <c r="AV263" i="2"/>
  <c r="AU263" i="2"/>
  <c r="AQ263" i="2"/>
  <c r="AO263" i="2"/>
  <c r="AN263" i="2"/>
  <c r="Q263" i="2"/>
  <c r="O263" i="2"/>
  <c r="N263" i="2"/>
  <c r="M263" i="2"/>
  <c r="K263" i="2"/>
  <c r="I263" i="2"/>
  <c r="G263" i="2"/>
  <c r="F263" i="2"/>
  <c r="B263" i="2"/>
  <c r="A263" i="2"/>
  <c r="CB262" i="2"/>
  <c r="BZ262" i="2"/>
  <c r="BW262" i="2"/>
  <c r="BS262" i="2"/>
  <c r="BU262" i="2" s="1"/>
  <c r="BR262" i="2"/>
  <c r="BT262" i="2" s="1"/>
  <c r="BH262" i="2"/>
  <c r="BD262" i="2"/>
  <c r="BC262" i="2"/>
  <c r="AV262" i="2"/>
  <c r="AU262" i="2"/>
  <c r="AQ262" i="2"/>
  <c r="AO262" i="2"/>
  <c r="AN262" i="2"/>
  <c r="Q262" i="2"/>
  <c r="O262" i="2"/>
  <c r="N262" i="2"/>
  <c r="M262" i="2"/>
  <c r="K262" i="2"/>
  <c r="I262" i="2"/>
  <c r="G262" i="2"/>
  <c r="F262" i="2"/>
  <c r="AS262" i="2" s="1"/>
  <c r="B262" i="2"/>
  <c r="A262" i="2"/>
  <c r="CB261" i="2"/>
  <c r="BZ261" i="2"/>
  <c r="BW261" i="2"/>
  <c r="BS261" i="2"/>
  <c r="BU261" i="2" s="1"/>
  <c r="BR261" i="2"/>
  <c r="BT261" i="2" s="1"/>
  <c r="BP261" i="2"/>
  <c r="BQ261" i="2" s="1"/>
  <c r="BY261" i="2" s="1"/>
  <c r="BN261" i="2"/>
  <c r="BO261" i="2" s="1"/>
  <c r="BH261" i="2"/>
  <c r="BC261" i="2"/>
  <c r="AV261" i="2"/>
  <c r="AU261" i="2"/>
  <c r="AR261" i="2"/>
  <c r="AQ261" i="2"/>
  <c r="AO261" i="2"/>
  <c r="AN261" i="2"/>
  <c r="U261" i="2"/>
  <c r="Q261" i="2"/>
  <c r="O261" i="2"/>
  <c r="N261" i="2"/>
  <c r="M261" i="2"/>
  <c r="K261" i="2"/>
  <c r="I261" i="2"/>
  <c r="G261" i="2"/>
  <c r="BD261" i="2" s="1"/>
  <c r="F261" i="2"/>
  <c r="AS261" i="2" s="1"/>
  <c r="B261" i="2"/>
  <c r="A261" i="2"/>
  <c r="CB260" i="2"/>
  <c r="BZ260" i="2"/>
  <c r="BW260" i="2"/>
  <c r="BS260" i="2"/>
  <c r="BU260" i="2" s="1"/>
  <c r="BR260" i="2"/>
  <c r="BT260" i="2" s="1"/>
  <c r="BH260" i="2"/>
  <c r="BD260" i="2"/>
  <c r="BC260" i="2"/>
  <c r="AV260" i="2"/>
  <c r="AU260" i="2"/>
  <c r="AQ260" i="2"/>
  <c r="AO260" i="2"/>
  <c r="AN260" i="2"/>
  <c r="Q260" i="2"/>
  <c r="O260" i="2"/>
  <c r="N260" i="2"/>
  <c r="M260" i="2"/>
  <c r="K260" i="2"/>
  <c r="I260" i="2"/>
  <c r="G260" i="2"/>
  <c r="F260" i="2"/>
  <c r="B260" i="2"/>
  <c r="A260" i="2"/>
  <c r="CB259" i="2"/>
  <c r="BZ259" i="2"/>
  <c r="BW259" i="2"/>
  <c r="BS259" i="2"/>
  <c r="BU259" i="2" s="1"/>
  <c r="BR259" i="2"/>
  <c r="BT259" i="2" s="1"/>
  <c r="BH259" i="2"/>
  <c r="BD259" i="2"/>
  <c r="BC259" i="2"/>
  <c r="AV259" i="2"/>
  <c r="AU259" i="2"/>
  <c r="AQ259" i="2"/>
  <c r="AO259" i="2"/>
  <c r="AN259" i="2"/>
  <c r="Q259" i="2"/>
  <c r="O259" i="2"/>
  <c r="N259" i="2"/>
  <c r="M259" i="2"/>
  <c r="K259" i="2"/>
  <c r="I259" i="2"/>
  <c r="G259" i="2"/>
  <c r="F259" i="2"/>
  <c r="B259" i="2"/>
  <c r="A259" i="2"/>
  <c r="CB258" i="2"/>
  <c r="BZ258" i="2"/>
  <c r="BW258" i="2"/>
  <c r="BS258" i="2"/>
  <c r="BU258" i="2" s="1"/>
  <c r="BR258" i="2"/>
  <c r="BT258" i="2" s="1"/>
  <c r="BH258" i="2"/>
  <c r="BD258" i="2"/>
  <c r="BC258" i="2"/>
  <c r="AV258" i="2"/>
  <c r="AU258" i="2"/>
  <c r="AQ258" i="2"/>
  <c r="AO258" i="2"/>
  <c r="AN258" i="2"/>
  <c r="U258" i="2"/>
  <c r="Q258" i="2"/>
  <c r="O258" i="2"/>
  <c r="N258" i="2"/>
  <c r="M258" i="2"/>
  <c r="K258" i="2"/>
  <c r="I258" i="2"/>
  <c r="G258" i="2"/>
  <c r="F258" i="2"/>
  <c r="B258" i="2"/>
  <c r="A258" i="2"/>
  <c r="CB257" i="2"/>
  <c r="BZ257" i="2"/>
  <c r="BW257" i="2"/>
  <c r="BS257" i="2"/>
  <c r="BU257" i="2" s="1"/>
  <c r="BR257" i="2"/>
  <c r="BT257" i="2" s="1"/>
  <c r="BH257" i="2"/>
  <c r="BD257" i="2"/>
  <c r="BC257" i="2"/>
  <c r="AV257" i="2"/>
  <c r="AU257" i="2"/>
  <c r="AQ257" i="2"/>
  <c r="AO257" i="2"/>
  <c r="AN257" i="2"/>
  <c r="U257" i="2"/>
  <c r="Q257" i="2"/>
  <c r="O257" i="2"/>
  <c r="N257" i="2"/>
  <c r="M257" i="2"/>
  <c r="K257" i="2"/>
  <c r="I257" i="2"/>
  <c r="G257" i="2"/>
  <c r="F257" i="2"/>
  <c r="B257" i="2"/>
  <c r="A257" i="2"/>
  <c r="CB256" i="2"/>
  <c r="BZ256" i="2"/>
  <c r="BW256" i="2"/>
  <c r="BS256" i="2"/>
  <c r="BU256" i="2" s="1"/>
  <c r="BR256" i="2"/>
  <c r="BT256" i="2" s="1"/>
  <c r="BH256" i="2"/>
  <c r="BD256" i="2"/>
  <c r="BC256" i="2"/>
  <c r="AV256" i="2"/>
  <c r="AU256" i="2"/>
  <c r="AQ256" i="2"/>
  <c r="AO256" i="2"/>
  <c r="AN256" i="2"/>
  <c r="U256" i="2"/>
  <c r="Q256" i="2"/>
  <c r="O256" i="2"/>
  <c r="N256" i="2"/>
  <c r="M256" i="2"/>
  <c r="K256" i="2"/>
  <c r="I256" i="2"/>
  <c r="G256" i="2"/>
  <c r="F256" i="2"/>
  <c r="B256" i="2"/>
  <c r="A256" i="2"/>
  <c r="CB255" i="2"/>
  <c r="BZ255" i="2"/>
  <c r="BW255" i="2"/>
  <c r="BS255" i="2"/>
  <c r="BU255" i="2" s="1"/>
  <c r="BR255" i="2"/>
  <c r="BT255" i="2" s="1"/>
  <c r="BH255" i="2"/>
  <c r="BD255" i="2"/>
  <c r="BC255" i="2"/>
  <c r="AV255" i="2"/>
  <c r="AU255" i="2"/>
  <c r="AQ255" i="2"/>
  <c r="AO255" i="2"/>
  <c r="AN255" i="2"/>
  <c r="Q255" i="2"/>
  <c r="O255" i="2"/>
  <c r="N255" i="2"/>
  <c r="M255" i="2"/>
  <c r="K255" i="2"/>
  <c r="I255" i="2"/>
  <c r="G255" i="2"/>
  <c r="F255" i="2"/>
  <c r="B255" i="2"/>
  <c r="A255" i="2"/>
  <c r="CB254" i="2"/>
  <c r="BZ254" i="2"/>
  <c r="BW254" i="2"/>
  <c r="BS254" i="2"/>
  <c r="BU254" i="2" s="1"/>
  <c r="BR254" i="2"/>
  <c r="BT254" i="2" s="1"/>
  <c r="BH254" i="2"/>
  <c r="BD254" i="2"/>
  <c r="BC254" i="2"/>
  <c r="AV254" i="2"/>
  <c r="AU254" i="2"/>
  <c r="AQ254" i="2"/>
  <c r="AO254" i="2"/>
  <c r="AN254" i="2"/>
  <c r="Q254" i="2"/>
  <c r="O254" i="2"/>
  <c r="N254" i="2"/>
  <c r="M254" i="2"/>
  <c r="K254" i="2"/>
  <c r="I254" i="2"/>
  <c r="G254" i="2"/>
  <c r="F254" i="2"/>
  <c r="B254" i="2"/>
  <c r="A254" i="2"/>
  <c r="CB253" i="2"/>
  <c r="BZ253" i="2"/>
  <c r="BW253" i="2"/>
  <c r="BS253" i="2"/>
  <c r="BU253" i="2" s="1"/>
  <c r="BR253" i="2"/>
  <c r="BT253" i="2" s="1"/>
  <c r="BH253" i="2"/>
  <c r="BD253" i="2"/>
  <c r="BC253" i="2"/>
  <c r="AV253" i="2"/>
  <c r="AU253" i="2"/>
  <c r="AQ253" i="2"/>
  <c r="AO253" i="2"/>
  <c r="AN253" i="2"/>
  <c r="Q253" i="2"/>
  <c r="O253" i="2"/>
  <c r="N253" i="2"/>
  <c r="M253" i="2"/>
  <c r="K253" i="2"/>
  <c r="I253" i="2"/>
  <c r="G253" i="2"/>
  <c r="F253" i="2"/>
  <c r="B253" i="2"/>
  <c r="A253" i="2"/>
  <c r="CB252" i="2"/>
  <c r="BZ252" i="2"/>
  <c r="BW252" i="2"/>
  <c r="BS252" i="2"/>
  <c r="BU252" i="2" s="1"/>
  <c r="BR252" i="2"/>
  <c r="BT252" i="2" s="1"/>
  <c r="BH252" i="2"/>
  <c r="BD252" i="2"/>
  <c r="BC252" i="2"/>
  <c r="AV252" i="2"/>
  <c r="AU252" i="2"/>
  <c r="AQ252" i="2"/>
  <c r="AO252" i="2"/>
  <c r="AN252" i="2"/>
  <c r="U252" i="2"/>
  <c r="Q252" i="2"/>
  <c r="O252" i="2"/>
  <c r="N252" i="2"/>
  <c r="M252" i="2"/>
  <c r="K252" i="2"/>
  <c r="I252" i="2"/>
  <c r="G252" i="2"/>
  <c r="F252" i="2"/>
  <c r="B252" i="2"/>
  <c r="A252" i="2"/>
  <c r="CB251" i="2"/>
  <c r="BZ251" i="2"/>
  <c r="BW251" i="2"/>
  <c r="BS251" i="2"/>
  <c r="BU251" i="2" s="1"/>
  <c r="BR251" i="2"/>
  <c r="BT251" i="2" s="1"/>
  <c r="BH251" i="2"/>
  <c r="BD251" i="2"/>
  <c r="BC251" i="2"/>
  <c r="AV251" i="2"/>
  <c r="AU251" i="2"/>
  <c r="AQ251" i="2"/>
  <c r="AO251" i="2"/>
  <c r="AN251" i="2"/>
  <c r="U251" i="2"/>
  <c r="Q251" i="2"/>
  <c r="O251" i="2"/>
  <c r="N251" i="2"/>
  <c r="M251" i="2"/>
  <c r="K251" i="2"/>
  <c r="I251" i="2"/>
  <c r="G251" i="2"/>
  <c r="F251" i="2"/>
  <c r="B251" i="2"/>
  <c r="A251" i="2"/>
  <c r="CB250" i="2"/>
  <c r="BZ250" i="2"/>
  <c r="BW250" i="2"/>
  <c r="BU250" i="2"/>
  <c r="BS250" i="2"/>
  <c r="BR250" i="2"/>
  <c r="BT250" i="2" s="1"/>
  <c r="BH250" i="2"/>
  <c r="BD250" i="2"/>
  <c r="BC250" i="2"/>
  <c r="AV250" i="2"/>
  <c r="AU250" i="2"/>
  <c r="AQ250" i="2"/>
  <c r="AO250" i="2"/>
  <c r="AN250" i="2"/>
  <c r="Q250" i="2"/>
  <c r="O250" i="2"/>
  <c r="N250" i="2"/>
  <c r="M250" i="2"/>
  <c r="K250" i="2"/>
  <c r="I250" i="2"/>
  <c r="G250" i="2"/>
  <c r="F250" i="2"/>
  <c r="B250" i="2"/>
  <c r="A250" i="2"/>
  <c r="CB249" i="2"/>
  <c r="BZ249" i="2"/>
  <c r="BW249" i="2"/>
  <c r="BS249" i="2"/>
  <c r="BU249" i="2" s="1"/>
  <c r="BR249" i="2"/>
  <c r="BT249" i="2" s="1"/>
  <c r="BH249" i="2"/>
  <c r="BD249" i="2"/>
  <c r="BC249" i="2"/>
  <c r="AV249" i="2"/>
  <c r="AU249" i="2"/>
  <c r="AQ249" i="2"/>
  <c r="AO249" i="2"/>
  <c r="AN249" i="2"/>
  <c r="Q249" i="2"/>
  <c r="O249" i="2"/>
  <c r="N249" i="2"/>
  <c r="M249" i="2"/>
  <c r="K249" i="2"/>
  <c r="I249" i="2"/>
  <c r="G249" i="2"/>
  <c r="F249" i="2"/>
  <c r="B249" i="2"/>
  <c r="A249" i="2"/>
  <c r="CB248" i="2"/>
  <c r="BZ248" i="2"/>
  <c r="BW248" i="2"/>
  <c r="BS248" i="2"/>
  <c r="BU248" i="2" s="1"/>
  <c r="BR248" i="2"/>
  <c r="BT248" i="2" s="1"/>
  <c r="BH248" i="2"/>
  <c r="BD248" i="2"/>
  <c r="BC248" i="2"/>
  <c r="AV248" i="2"/>
  <c r="AU248" i="2"/>
  <c r="AQ248" i="2"/>
  <c r="AO248" i="2"/>
  <c r="AN248" i="2"/>
  <c r="U248" i="2"/>
  <c r="Q248" i="2"/>
  <c r="O248" i="2"/>
  <c r="N248" i="2"/>
  <c r="M248" i="2"/>
  <c r="K248" i="2"/>
  <c r="I248" i="2"/>
  <c r="G248" i="2"/>
  <c r="F248" i="2"/>
  <c r="B248" i="2"/>
  <c r="A248" i="2"/>
  <c r="CB247" i="2"/>
  <c r="BZ247" i="2"/>
  <c r="BW247" i="2"/>
  <c r="BS247" i="2"/>
  <c r="BU247" i="2" s="1"/>
  <c r="BR247" i="2"/>
  <c r="BT247" i="2" s="1"/>
  <c r="BH247" i="2"/>
  <c r="BD247" i="2"/>
  <c r="BC247" i="2"/>
  <c r="AV247" i="2"/>
  <c r="AU247" i="2"/>
  <c r="AQ247" i="2"/>
  <c r="AO247" i="2"/>
  <c r="AN247" i="2"/>
  <c r="Q247" i="2"/>
  <c r="O247" i="2"/>
  <c r="N247" i="2"/>
  <c r="M247" i="2"/>
  <c r="K247" i="2"/>
  <c r="I247" i="2"/>
  <c r="G247" i="2"/>
  <c r="F247" i="2"/>
  <c r="B247" i="2"/>
  <c r="A247" i="2"/>
  <c r="CB246" i="2"/>
  <c r="BZ246" i="2"/>
  <c r="BW246" i="2"/>
  <c r="BS246" i="2"/>
  <c r="BU246" i="2" s="1"/>
  <c r="BR246" i="2"/>
  <c r="BT246" i="2" s="1"/>
  <c r="BH246" i="2"/>
  <c r="BD246" i="2"/>
  <c r="BC246" i="2"/>
  <c r="AV246" i="2"/>
  <c r="AU246" i="2"/>
  <c r="AQ246" i="2"/>
  <c r="AO246" i="2"/>
  <c r="AN246" i="2"/>
  <c r="Q246" i="2"/>
  <c r="O246" i="2"/>
  <c r="N246" i="2"/>
  <c r="M246" i="2"/>
  <c r="K246" i="2"/>
  <c r="I246" i="2"/>
  <c r="G246" i="2"/>
  <c r="F246" i="2"/>
  <c r="B246" i="2"/>
  <c r="A246" i="2"/>
  <c r="CB245" i="2"/>
  <c r="BZ245" i="2"/>
  <c r="BW245" i="2"/>
  <c r="BS245" i="2"/>
  <c r="BU245" i="2" s="1"/>
  <c r="BR245" i="2"/>
  <c r="BT245" i="2" s="1"/>
  <c r="BH245" i="2"/>
  <c r="BD245" i="2"/>
  <c r="BC245" i="2"/>
  <c r="AV245" i="2"/>
  <c r="AU245" i="2"/>
  <c r="AQ245" i="2"/>
  <c r="AO245" i="2"/>
  <c r="AN245" i="2"/>
  <c r="T245" i="2"/>
  <c r="Q245" i="2"/>
  <c r="O245" i="2"/>
  <c r="N245" i="2"/>
  <c r="M245" i="2"/>
  <c r="K245" i="2"/>
  <c r="I245" i="2"/>
  <c r="G245" i="2"/>
  <c r="F245" i="2"/>
  <c r="B245" i="2"/>
  <c r="A245" i="2"/>
  <c r="CB244" i="2"/>
  <c r="BZ244" i="2"/>
  <c r="BW244" i="2"/>
  <c r="BS244" i="2"/>
  <c r="BU244" i="2" s="1"/>
  <c r="BR244" i="2"/>
  <c r="BT244" i="2" s="1"/>
  <c r="BH244" i="2"/>
  <c r="BD244" i="2"/>
  <c r="BC244" i="2"/>
  <c r="AV244" i="2"/>
  <c r="AU244" i="2"/>
  <c r="AQ244" i="2"/>
  <c r="AO244" i="2"/>
  <c r="AN244" i="2"/>
  <c r="T244" i="2"/>
  <c r="Q244" i="2"/>
  <c r="O244" i="2"/>
  <c r="N244" i="2"/>
  <c r="M244" i="2"/>
  <c r="K244" i="2"/>
  <c r="I244" i="2"/>
  <c r="G244" i="2"/>
  <c r="F244" i="2"/>
  <c r="B244" i="2"/>
  <c r="A244" i="2"/>
  <c r="CB243" i="2"/>
  <c r="BZ243" i="2"/>
  <c r="BW243" i="2"/>
  <c r="BS243" i="2"/>
  <c r="BU243" i="2" s="1"/>
  <c r="BR243" i="2"/>
  <c r="BT243" i="2" s="1"/>
  <c r="BH243" i="2"/>
  <c r="BD243" i="2"/>
  <c r="BC243" i="2"/>
  <c r="AV243" i="2"/>
  <c r="AU243" i="2"/>
  <c r="AQ243" i="2"/>
  <c r="AN243" i="2"/>
  <c r="T243" i="2"/>
  <c r="Q243" i="2"/>
  <c r="O243" i="2"/>
  <c r="N243" i="2"/>
  <c r="M243" i="2"/>
  <c r="K243" i="2"/>
  <c r="I243" i="2"/>
  <c r="G243" i="2"/>
  <c r="F243" i="2"/>
  <c r="B243" i="2"/>
  <c r="A243" i="2"/>
  <c r="CB242" i="2"/>
  <c r="BZ242" i="2"/>
  <c r="BW242" i="2"/>
  <c r="BS242" i="2"/>
  <c r="BU242" i="2" s="1"/>
  <c r="BR242" i="2"/>
  <c r="BT242" i="2" s="1"/>
  <c r="BH242" i="2"/>
  <c r="BD242" i="2"/>
  <c r="BC242" i="2"/>
  <c r="AV242" i="2"/>
  <c r="AU242" i="2"/>
  <c r="AQ242" i="2"/>
  <c r="AO242" i="2"/>
  <c r="AP242" i="2" s="1"/>
  <c r="AN242" i="2"/>
  <c r="T242" i="2"/>
  <c r="Q242" i="2"/>
  <c r="O242" i="2"/>
  <c r="N242" i="2"/>
  <c r="M242" i="2"/>
  <c r="K242" i="2"/>
  <c r="I242" i="2"/>
  <c r="G242" i="2"/>
  <c r="F242" i="2"/>
  <c r="B242" i="2"/>
  <c r="A242" i="2"/>
  <c r="CB241" i="2"/>
  <c r="CA241" i="2"/>
  <c r="BZ241" i="2"/>
  <c r="BW241" i="2"/>
  <c r="BS241" i="2"/>
  <c r="BU241" i="2" s="1"/>
  <c r="BR241" i="2"/>
  <c r="BT241" i="2" s="1"/>
  <c r="BP241" i="2"/>
  <c r="BQ241" i="2" s="1"/>
  <c r="BY241" i="2" s="1"/>
  <c r="BN241" i="2"/>
  <c r="BO241" i="2" s="1"/>
  <c r="BH241" i="2"/>
  <c r="BC241" i="2"/>
  <c r="AV241" i="2"/>
  <c r="AU241" i="2"/>
  <c r="AR241" i="2"/>
  <c r="AQ241" i="2"/>
  <c r="AO241" i="2"/>
  <c r="AN241" i="2"/>
  <c r="T241" i="2"/>
  <c r="Q241" i="2"/>
  <c r="O241" i="2"/>
  <c r="N241" i="2"/>
  <c r="M241" i="2"/>
  <c r="K241" i="2"/>
  <c r="I241" i="2"/>
  <c r="G241" i="2"/>
  <c r="BD241" i="2" s="1"/>
  <c r="F241" i="2"/>
  <c r="B241" i="2"/>
  <c r="A241" i="2"/>
  <c r="CB240" i="2"/>
  <c r="BZ240" i="2"/>
  <c r="BW240" i="2"/>
  <c r="BS240" i="2"/>
  <c r="BU240" i="2" s="1"/>
  <c r="BR240" i="2"/>
  <c r="BT240" i="2" s="1"/>
  <c r="BH240" i="2"/>
  <c r="BD240" i="2"/>
  <c r="BC240" i="2"/>
  <c r="AV240" i="2"/>
  <c r="AU240" i="2"/>
  <c r="AQ240" i="2"/>
  <c r="AO240" i="2"/>
  <c r="AN240" i="2"/>
  <c r="T240" i="2"/>
  <c r="Q240" i="2"/>
  <c r="O240" i="2"/>
  <c r="N240" i="2"/>
  <c r="M240" i="2"/>
  <c r="K240" i="2"/>
  <c r="I240" i="2"/>
  <c r="G240" i="2"/>
  <c r="F240" i="2"/>
  <c r="B240" i="2"/>
  <c r="A240" i="2"/>
  <c r="CB239" i="2"/>
  <c r="BZ239" i="2"/>
  <c r="BW239" i="2"/>
  <c r="BS239" i="2"/>
  <c r="BU239" i="2" s="1"/>
  <c r="BR239" i="2"/>
  <c r="BT239" i="2" s="1"/>
  <c r="BH239" i="2"/>
  <c r="BD239" i="2"/>
  <c r="BC239" i="2"/>
  <c r="AV239" i="2"/>
  <c r="AU239" i="2"/>
  <c r="AQ239" i="2"/>
  <c r="AO239" i="2"/>
  <c r="AN239" i="2"/>
  <c r="T239" i="2"/>
  <c r="Q239" i="2"/>
  <c r="O239" i="2"/>
  <c r="N239" i="2"/>
  <c r="M239" i="2"/>
  <c r="K239" i="2"/>
  <c r="I239" i="2"/>
  <c r="G239" i="2"/>
  <c r="F239" i="2"/>
  <c r="B239" i="2"/>
  <c r="A239" i="2"/>
  <c r="CB238" i="2"/>
  <c r="BZ238" i="2"/>
  <c r="BW238" i="2"/>
  <c r="BS238" i="2"/>
  <c r="BU238" i="2" s="1"/>
  <c r="BR238" i="2"/>
  <c r="BT238" i="2" s="1"/>
  <c r="BH238" i="2"/>
  <c r="BD238" i="2"/>
  <c r="BC238" i="2"/>
  <c r="AV238" i="2"/>
  <c r="AU238" i="2"/>
  <c r="AQ238" i="2"/>
  <c r="AO238" i="2"/>
  <c r="AN238" i="2"/>
  <c r="T238" i="2"/>
  <c r="Q238" i="2"/>
  <c r="O238" i="2"/>
  <c r="N238" i="2"/>
  <c r="M238" i="2"/>
  <c r="K238" i="2"/>
  <c r="I238" i="2"/>
  <c r="G238" i="2"/>
  <c r="F238" i="2"/>
  <c r="B238" i="2"/>
  <c r="A238" i="2"/>
  <c r="CB237" i="2"/>
  <c r="BZ237" i="2"/>
  <c r="BW237" i="2"/>
  <c r="BS237" i="2"/>
  <c r="BU237" i="2" s="1"/>
  <c r="BR237" i="2"/>
  <c r="BT237" i="2" s="1"/>
  <c r="BH237" i="2"/>
  <c r="BD237" i="2"/>
  <c r="BC237" i="2"/>
  <c r="AV237" i="2"/>
  <c r="AU237" i="2"/>
  <c r="AQ237" i="2"/>
  <c r="AO237" i="2"/>
  <c r="AN237" i="2"/>
  <c r="T237" i="2"/>
  <c r="Q237" i="2"/>
  <c r="O237" i="2"/>
  <c r="N237" i="2"/>
  <c r="M237" i="2"/>
  <c r="K237" i="2"/>
  <c r="I237" i="2"/>
  <c r="G237" i="2"/>
  <c r="AS237" i="2" s="1"/>
  <c r="F237" i="2"/>
  <c r="B237" i="2"/>
  <c r="A237" i="2"/>
  <c r="CB236" i="2"/>
  <c r="BZ236" i="2"/>
  <c r="BW236" i="2"/>
  <c r="BS236" i="2"/>
  <c r="BU236" i="2" s="1"/>
  <c r="BR236" i="2"/>
  <c r="BT236" i="2" s="1"/>
  <c r="BH236" i="2"/>
  <c r="BD236" i="2"/>
  <c r="BC236" i="2"/>
  <c r="AV236" i="2"/>
  <c r="AU236" i="2"/>
  <c r="AQ236" i="2"/>
  <c r="AO236" i="2"/>
  <c r="AN236" i="2"/>
  <c r="T236" i="2"/>
  <c r="Q236" i="2"/>
  <c r="O236" i="2"/>
  <c r="N236" i="2"/>
  <c r="M236" i="2"/>
  <c r="K236" i="2"/>
  <c r="I236" i="2"/>
  <c r="G236" i="2"/>
  <c r="F236" i="2"/>
  <c r="B236" i="2"/>
  <c r="A236" i="2"/>
  <c r="CB235" i="2"/>
  <c r="BZ235" i="2"/>
  <c r="BW235" i="2"/>
  <c r="BS235" i="2"/>
  <c r="BU235" i="2" s="1"/>
  <c r="BR235" i="2"/>
  <c r="BT235" i="2" s="1"/>
  <c r="BH235" i="2"/>
  <c r="BD235" i="2"/>
  <c r="BC235" i="2"/>
  <c r="AV235" i="2"/>
  <c r="AU235" i="2"/>
  <c r="AQ235" i="2"/>
  <c r="AO235" i="2"/>
  <c r="AP235" i="2" s="1"/>
  <c r="AN235" i="2"/>
  <c r="T235" i="2"/>
  <c r="Q235" i="2"/>
  <c r="O235" i="2"/>
  <c r="N235" i="2"/>
  <c r="M235" i="2"/>
  <c r="K235" i="2"/>
  <c r="I235" i="2"/>
  <c r="G235" i="2"/>
  <c r="F235" i="2"/>
  <c r="B235" i="2"/>
  <c r="A235" i="2"/>
  <c r="CB234" i="2"/>
  <c r="BZ234" i="2"/>
  <c r="BW234" i="2"/>
  <c r="BS234" i="2"/>
  <c r="BU234" i="2" s="1"/>
  <c r="BR234" i="2"/>
  <c r="BT234" i="2" s="1"/>
  <c r="BH234" i="2"/>
  <c r="BD234" i="2"/>
  <c r="BC234" i="2"/>
  <c r="AV234" i="2"/>
  <c r="AU234" i="2"/>
  <c r="AQ234" i="2"/>
  <c r="AO234" i="2"/>
  <c r="AN234" i="2"/>
  <c r="T234" i="2"/>
  <c r="Q234" i="2"/>
  <c r="O234" i="2"/>
  <c r="N234" i="2"/>
  <c r="M234" i="2"/>
  <c r="K234" i="2"/>
  <c r="I234" i="2"/>
  <c r="G234" i="2"/>
  <c r="F234" i="2"/>
  <c r="B234" i="2"/>
  <c r="A234" i="2"/>
  <c r="CB233" i="2"/>
  <c r="BZ233" i="2"/>
  <c r="BW233" i="2"/>
  <c r="BU233" i="2"/>
  <c r="BS233" i="2"/>
  <c r="BR233" i="2"/>
  <c r="BT233" i="2" s="1"/>
  <c r="BH233" i="2"/>
  <c r="BD233" i="2"/>
  <c r="BC233" i="2"/>
  <c r="AV233" i="2"/>
  <c r="AY233" i="2" s="1"/>
  <c r="BN233" i="2" s="1"/>
  <c r="BO233" i="2" s="1"/>
  <c r="AU233" i="2"/>
  <c r="AQ233" i="2"/>
  <c r="AN233" i="2"/>
  <c r="T233" i="2"/>
  <c r="Q233" i="2"/>
  <c r="O233" i="2"/>
  <c r="N233" i="2"/>
  <c r="M233" i="2"/>
  <c r="K233" i="2"/>
  <c r="I233" i="2"/>
  <c r="G233" i="2"/>
  <c r="F233" i="2"/>
  <c r="B233" i="2"/>
  <c r="A233" i="2"/>
  <c r="CB232" i="2"/>
  <c r="BZ232" i="2"/>
  <c r="BW232" i="2"/>
  <c r="BS232" i="2"/>
  <c r="BU232" i="2" s="1"/>
  <c r="BR232" i="2"/>
  <c r="BT232" i="2" s="1"/>
  <c r="BH232" i="2"/>
  <c r="BD232" i="2"/>
  <c r="BC232" i="2"/>
  <c r="AV232" i="2"/>
  <c r="AU232" i="2"/>
  <c r="AQ232" i="2"/>
  <c r="AO232" i="2"/>
  <c r="AN232" i="2"/>
  <c r="T232" i="2"/>
  <c r="Q232" i="2"/>
  <c r="O232" i="2"/>
  <c r="N232" i="2"/>
  <c r="M232" i="2"/>
  <c r="K232" i="2"/>
  <c r="I232" i="2"/>
  <c r="G232" i="2"/>
  <c r="F232" i="2"/>
  <c r="B232" i="2"/>
  <c r="A232" i="2"/>
  <c r="CB231" i="2"/>
  <c r="BZ231" i="2"/>
  <c r="BW231" i="2"/>
  <c r="BS231" i="2"/>
  <c r="BU231" i="2" s="1"/>
  <c r="BR231" i="2"/>
  <c r="BT231" i="2" s="1"/>
  <c r="BH231" i="2"/>
  <c r="BD231" i="2"/>
  <c r="BC231" i="2"/>
  <c r="AV231" i="2"/>
  <c r="AU231" i="2"/>
  <c r="AQ231" i="2"/>
  <c r="AO231" i="2"/>
  <c r="AN231" i="2"/>
  <c r="T231" i="2"/>
  <c r="Q231" i="2"/>
  <c r="O231" i="2"/>
  <c r="N231" i="2"/>
  <c r="M231" i="2"/>
  <c r="K231" i="2"/>
  <c r="I231" i="2"/>
  <c r="G231" i="2"/>
  <c r="F231" i="2"/>
  <c r="B231" i="2"/>
  <c r="A231" i="2"/>
  <c r="CB230" i="2"/>
  <c r="BZ230" i="2"/>
  <c r="BW230" i="2"/>
  <c r="BS230" i="2"/>
  <c r="BU230" i="2" s="1"/>
  <c r="BR230" i="2"/>
  <c r="BT230" i="2" s="1"/>
  <c r="BH230" i="2"/>
  <c r="BD230" i="2"/>
  <c r="BC230" i="2"/>
  <c r="AV230" i="2"/>
  <c r="AU230" i="2"/>
  <c r="AQ230" i="2"/>
  <c r="AO230" i="2"/>
  <c r="AN230" i="2"/>
  <c r="T230" i="2"/>
  <c r="Q230" i="2"/>
  <c r="O230" i="2"/>
  <c r="N230" i="2"/>
  <c r="M230" i="2"/>
  <c r="K230" i="2"/>
  <c r="I230" i="2"/>
  <c r="G230" i="2"/>
  <c r="F230" i="2"/>
  <c r="B230" i="2"/>
  <c r="A230" i="2"/>
  <c r="CB229" i="2"/>
  <c r="BZ229" i="2"/>
  <c r="BW229" i="2"/>
  <c r="BS229" i="2"/>
  <c r="BU229" i="2" s="1"/>
  <c r="BR229" i="2"/>
  <c r="BT229" i="2" s="1"/>
  <c r="BH229" i="2"/>
  <c r="BD229" i="2"/>
  <c r="BC229" i="2"/>
  <c r="AV229" i="2"/>
  <c r="AU229" i="2"/>
  <c r="AQ229" i="2"/>
  <c r="AO229" i="2"/>
  <c r="AN229" i="2"/>
  <c r="T229" i="2"/>
  <c r="Q229" i="2"/>
  <c r="O229" i="2"/>
  <c r="N229" i="2"/>
  <c r="M229" i="2"/>
  <c r="K229" i="2"/>
  <c r="I229" i="2"/>
  <c r="G229" i="2"/>
  <c r="F229" i="2"/>
  <c r="B229" i="2"/>
  <c r="A229" i="2"/>
  <c r="CB228" i="2"/>
  <c r="BZ228" i="2"/>
  <c r="BW228" i="2"/>
  <c r="BS228" i="2"/>
  <c r="BU228" i="2" s="1"/>
  <c r="BR228" i="2"/>
  <c r="BT228" i="2" s="1"/>
  <c r="BH228" i="2"/>
  <c r="BD228" i="2"/>
  <c r="BC228" i="2"/>
  <c r="AV228" i="2"/>
  <c r="AU228" i="2"/>
  <c r="AQ228" i="2"/>
  <c r="AN228" i="2"/>
  <c r="T228" i="2"/>
  <c r="Q228" i="2"/>
  <c r="O228" i="2"/>
  <c r="N228" i="2"/>
  <c r="M228" i="2"/>
  <c r="K228" i="2"/>
  <c r="I228" i="2"/>
  <c r="G228" i="2"/>
  <c r="F228" i="2"/>
  <c r="B228" i="2"/>
  <c r="A228" i="2"/>
  <c r="CB227" i="2"/>
  <c r="BZ227" i="2"/>
  <c r="BW227" i="2"/>
  <c r="BS227" i="2"/>
  <c r="BU227" i="2" s="1"/>
  <c r="BR227" i="2"/>
  <c r="BT227" i="2" s="1"/>
  <c r="BH227" i="2"/>
  <c r="BD227" i="2"/>
  <c r="BC227" i="2"/>
  <c r="AV227" i="2"/>
  <c r="AU227" i="2"/>
  <c r="AQ227" i="2"/>
  <c r="AO227" i="2"/>
  <c r="AN227" i="2"/>
  <c r="T227" i="2"/>
  <c r="Q227" i="2"/>
  <c r="O227" i="2"/>
  <c r="N227" i="2"/>
  <c r="M227" i="2"/>
  <c r="K227" i="2"/>
  <c r="I227" i="2"/>
  <c r="G227" i="2"/>
  <c r="F227" i="2"/>
  <c r="B227" i="2"/>
  <c r="A227" i="2"/>
  <c r="CB226" i="2"/>
  <c r="CA226" i="2"/>
  <c r="BZ226" i="2"/>
  <c r="BW226" i="2"/>
  <c r="BS226" i="2"/>
  <c r="BU226" i="2" s="1"/>
  <c r="BR226" i="2"/>
  <c r="BT226" i="2" s="1"/>
  <c r="BP226" i="2"/>
  <c r="BQ226" i="2" s="1"/>
  <c r="BY226" i="2" s="1"/>
  <c r="BN226" i="2"/>
  <c r="BO226" i="2" s="1"/>
  <c r="BH226" i="2"/>
  <c r="BC226" i="2"/>
  <c r="AV226" i="2"/>
  <c r="AU226" i="2"/>
  <c r="AR226" i="2"/>
  <c r="AQ226" i="2"/>
  <c r="AO226" i="2"/>
  <c r="AN226" i="2"/>
  <c r="T226" i="2"/>
  <c r="Q226" i="2"/>
  <c r="O226" i="2"/>
  <c r="N226" i="2"/>
  <c r="M226" i="2"/>
  <c r="K226" i="2"/>
  <c r="I226" i="2"/>
  <c r="G226" i="2"/>
  <c r="BD226" i="2" s="1"/>
  <c r="F226" i="2"/>
  <c r="B226" i="2"/>
  <c r="A226" i="2"/>
  <c r="CB225" i="2"/>
  <c r="BZ225" i="2"/>
  <c r="BW225" i="2"/>
  <c r="BS225" i="2"/>
  <c r="BU225" i="2" s="1"/>
  <c r="BR225" i="2"/>
  <c r="BT225" i="2" s="1"/>
  <c r="BH225" i="2"/>
  <c r="BD225" i="2"/>
  <c r="BC225" i="2"/>
  <c r="AV225" i="2"/>
  <c r="AU225" i="2"/>
  <c r="AQ225" i="2"/>
  <c r="AO225" i="2"/>
  <c r="AN225" i="2"/>
  <c r="T225" i="2"/>
  <c r="Q225" i="2"/>
  <c r="O225" i="2"/>
  <c r="N225" i="2"/>
  <c r="M225" i="2"/>
  <c r="K225" i="2"/>
  <c r="I225" i="2"/>
  <c r="G225" i="2"/>
  <c r="F225" i="2"/>
  <c r="B225" i="2"/>
  <c r="A225" i="2"/>
  <c r="CB224" i="2"/>
  <c r="BZ224" i="2"/>
  <c r="BW224" i="2"/>
  <c r="BS224" i="2"/>
  <c r="BU224" i="2" s="1"/>
  <c r="BR224" i="2"/>
  <c r="BT224" i="2" s="1"/>
  <c r="BH224" i="2"/>
  <c r="BD224" i="2"/>
  <c r="BC224" i="2"/>
  <c r="AV224" i="2"/>
  <c r="AU224" i="2"/>
  <c r="AQ224" i="2"/>
  <c r="AO224" i="2"/>
  <c r="AN224" i="2"/>
  <c r="T224" i="2"/>
  <c r="Q224" i="2"/>
  <c r="O224" i="2"/>
  <c r="N224" i="2"/>
  <c r="M224" i="2"/>
  <c r="K224" i="2"/>
  <c r="I224" i="2"/>
  <c r="G224" i="2"/>
  <c r="F224" i="2"/>
  <c r="B224" i="2"/>
  <c r="A224" i="2"/>
  <c r="CB223" i="2"/>
  <c r="BZ223" i="2"/>
  <c r="BW223" i="2"/>
  <c r="BS223" i="2"/>
  <c r="BU223" i="2" s="1"/>
  <c r="BR223" i="2"/>
  <c r="BT223" i="2" s="1"/>
  <c r="BH223" i="2"/>
  <c r="BD223" i="2"/>
  <c r="BC223" i="2"/>
  <c r="AV223" i="2"/>
  <c r="AU223" i="2"/>
  <c r="AQ223" i="2"/>
  <c r="AO223" i="2"/>
  <c r="AN223" i="2"/>
  <c r="T223" i="2"/>
  <c r="Q223" i="2"/>
  <c r="O223" i="2"/>
  <c r="N223" i="2"/>
  <c r="M223" i="2"/>
  <c r="K223" i="2"/>
  <c r="I223" i="2"/>
  <c r="G223" i="2"/>
  <c r="F223" i="2"/>
  <c r="B223" i="2"/>
  <c r="A223" i="2"/>
  <c r="CB222" i="2"/>
  <c r="BZ222" i="2"/>
  <c r="BW222" i="2"/>
  <c r="BS222" i="2"/>
  <c r="BU222" i="2" s="1"/>
  <c r="BR222" i="2"/>
  <c r="BT222" i="2" s="1"/>
  <c r="BH222" i="2"/>
  <c r="BD222" i="2"/>
  <c r="BC222" i="2"/>
  <c r="AV222" i="2"/>
  <c r="AU222" i="2"/>
  <c r="AQ222" i="2"/>
  <c r="AO222" i="2"/>
  <c r="AN222" i="2"/>
  <c r="T222" i="2"/>
  <c r="Q222" i="2"/>
  <c r="O222" i="2"/>
  <c r="N222" i="2"/>
  <c r="M222" i="2"/>
  <c r="K222" i="2"/>
  <c r="I222" i="2"/>
  <c r="G222" i="2"/>
  <c r="F222" i="2"/>
  <c r="B222" i="2"/>
  <c r="A222" i="2"/>
  <c r="CB221" i="2"/>
  <c r="BZ221" i="2"/>
  <c r="BW221" i="2"/>
  <c r="BT221" i="2"/>
  <c r="BS221" i="2"/>
  <c r="BU221" i="2" s="1"/>
  <c r="BR221" i="2"/>
  <c r="BH221" i="2"/>
  <c r="BD221" i="2"/>
  <c r="BC221" i="2"/>
  <c r="AV221" i="2"/>
  <c r="AU221" i="2"/>
  <c r="AQ221" i="2"/>
  <c r="AO221" i="2"/>
  <c r="AN221" i="2"/>
  <c r="T221" i="2"/>
  <c r="Q221" i="2"/>
  <c r="O221" i="2"/>
  <c r="N221" i="2"/>
  <c r="M221" i="2"/>
  <c r="P221" i="2" s="1"/>
  <c r="K221" i="2"/>
  <c r="I221" i="2"/>
  <c r="G221" i="2"/>
  <c r="F221" i="2"/>
  <c r="B221" i="2"/>
  <c r="A221" i="2"/>
  <c r="CB220" i="2"/>
  <c r="BZ220" i="2"/>
  <c r="BW220" i="2"/>
  <c r="BS220" i="2"/>
  <c r="BU220" i="2" s="1"/>
  <c r="BR220" i="2"/>
  <c r="BT220" i="2" s="1"/>
  <c r="BH220" i="2"/>
  <c r="BD220" i="2"/>
  <c r="BC220" i="2"/>
  <c r="AV220" i="2"/>
  <c r="AU220" i="2"/>
  <c r="AQ220" i="2"/>
  <c r="AO220" i="2"/>
  <c r="AN220" i="2"/>
  <c r="T220" i="2"/>
  <c r="Q220" i="2"/>
  <c r="O220" i="2"/>
  <c r="N220" i="2"/>
  <c r="M220" i="2"/>
  <c r="K220" i="2"/>
  <c r="I220" i="2"/>
  <c r="G220" i="2"/>
  <c r="F220" i="2"/>
  <c r="B220" i="2"/>
  <c r="A220" i="2"/>
  <c r="CB219" i="2"/>
  <c r="BZ219" i="2"/>
  <c r="BW219" i="2"/>
  <c r="BS219" i="2"/>
  <c r="BU219" i="2" s="1"/>
  <c r="BR219" i="2"/>
  <c r="BT219" i="2" s="1"/>
  <c r="BH219" i="2"/>
  <c r="BD219" i="2"/>
  <c r="BC219" i="2"/>
  <c r="AV219" i="2"/>
  <c r="AU219" i="2"/>
  <c r="AQ219" i="2"/>
  <c r="AO219" i="2"/>
  <c r="AN219" i="2"/>
  <c r="T219" i="2"/>
  <c r="Q219" i="2"/>
  <c r="O219" i="2"/>
  <c r="N219" i="2"/>
  <c r="M219" i="2"/>
  <c r="K219" i="2"/>
  <c r="I219" i="2"/>
  <c r="G219" i="2"/>
  <c r="F219" i="2"/>
  <c r="AS219" i="2" s="1"/>
  <c r="B219" i="2"/>
  <c r="A219" i="2"/>
  <c r="CB218" i="2"/>
  <c r="BZ218" i="2"/>
  <c r="BW218" i="2"/>
  <c r="BS218" i="2"/>
  <c r="BU218" i="2" s="1"/>
  <c r="BR218" i="2"/>
  <c r="BT218" i="2" s="1"/>
  <c r="BH218" i="2"/>
  <c r="BD218" i="2"/>
  <c r="BC218" i="2"/>
  <c r="AV218" i="2"/>
  <c r="AY218" i="2" s="1"/>
  <c r="AU218" i="2"/>
  <c r="AQ218" i="2"/>
  <c r="AO218" i="2"/>
  <c r="AN218" i="2"/>
  <c r="T218" i="2"/>
  <c r="Q218" i="2"/>
  <c r="O218" i="2"/>
  <c r="N218" i="2"/>
  <c r="M218" i="2"/>
  <c r="K218" i="2"/>
  <c r="I218" i="2"/>
  <c r="G218" i="2"/>
  <c r="F218" i="2"/>
  <c r="B218" i="2"/>
  <c r="A218" i="2"/>
  <c r="CB217" i="2"/>
  <c r="BZ217" i="2"/>
  <c r="BW217" i="2"/>
  <c r="BS217" i="2"/>
  <c r="BU217" i="2" s="1"/>
  <c r="BR217" i="2"/>
  <c r="BT217" i="2" s="1"/>
  <c r="BH217" i="2"/>
  <c r="BD217" i="2"/>
  <c r="BC217" i="2"/>
  <c r="AV217" i="2"/>
  <c r="AU217" i="2"/>
  <c r="AQ217" i="2"/>
  <c r="AN217" i="2"/>
  <c r="T217" i="2"/>
  <c r="Q217" i="2"/>
  <c r="O217" i="2"/>
  <c r="N217" i="2"/>
  <c r="M217" i="2"/>
  <c r="K217" i="2"/>
  <c r="I217" i="2"/>
  <c r="G217" i="2"/>
  <c r="F217" i="2"/>
  <c r="B217" i="2"/>
  <c r="A217" i="2"/>
  <c r="CB216" i="2"/>
  <c r="BZ216" i="2"/>
  <c r="BW216" i="2"/>
  <c r="BS216" i="2"/>
  <c r="BU216" i="2" s="1"/>
  <c r="BR216" i="2"/>
  <c r="BT216" i="2" s="1"/>
  <c r="BH216" i="2"/>
  <c r="BD216" i="2"/>
  <c r="BC216" i="2"/>
  <c r="AV216" i="2"/>
  <c r="AU216" i="2"/>
  <c r="AQ216" i="2"/>
  <c r="AO216" i="2"/>
  <c r="AN216" i="2"/>
  <c r="T216" i="2"/>
  <c r="Q216" i="2"/>
  <c r="O216" i="2"/>
  <c r="N216" i="2"/>
  <c r="M216" i="2"/>
  <c r="K216" i="2"/>
  <c r="I216" i="2"/>
  <c r="G216" i="2"/>
  <c r="F216" i="2"/>
  <c r="B216" i="2"/>
  <c r="A216" i="2"/>
  <c r="CB215" i="2"/>
  <c r="BZ215" i="2"/>
  <c r="BW215" i="2"/>
  <c r="BS215" i="2"/>
  <c r="BU215" i="2" s="1"/>
  <c r="BR215" i="2"/>
  <c r="BT215" i="2" s="1"/>
  <c r="BH215" i="2"/>
  <c r="BD215" i="2"/>
  <c r="BC215" i="2"/>
  <c r="AV215" i="2"/>
  <c r="AU215" i="2"/>
  <c r="AQ215" i="2"/>
  <c r="AO215" i="2"/>
  <c r="AN215" i="2"/>
  <c r="T215" i="2"/>
  <c r="Q215" i="2"/>
  <c r="O215" i="2"/>
  <c r="N215" i="2"/>
  <c r="M215" i="2"/>
  <c r="K215" i="2"/>
  <c r="I215" i="2"/>
  <c r="G215" i="2"/>
  <c r="F215" i="2"/>
  <c r="B215" i="2"/>
  <c r="A215" i="2"/>
  <c r="CB214" i="2"/>
  <c r="BZ214" i="2"/>
  <c r="BW214" i="2"/>
  <c r="BS214" i="2"/>
  <c r="BU214" i="2" s="1"/>
  <c r="BR214" i="2"/>
  <c r="BT214" i="2" s="1"/>
  <c r="BH214" i="2"/>
  <c r="BD214" i="2"/>
  <c r="BC214" i="2"/>
  <c r="AV214" i="2"/>
  <c r="AU214" i="2"/>
  <c r="AQ214" i="2"/>
  <c r="AO214" i="2"/>
  <c r="AN214" i="2"/>
  <c r="T214" i="2"/>
  <c r="Q214" i="2"/>
  <c r="O214" i="2"/>
  <c r="N214" i="2"/>
  <c r="M214" i="2"/>
  <c r="K214" i="2"/>
  <c r="I214" i="2"/>
  <c r="G214" i="2"/>
  <c r="F214" i="2"/>
  <c r="B214" i="2"/>
  <c r="A214" i="2"/>
  <c r="CB213" i="2"/>
  <c r="BZ213" i="2"/>
  <c r="BW213" i="2"/>
  <c r="BS213" i="2"/>
  <c r="BU213" i="2" s="1"/>
  <c r="BR213" i="2"/>
  <c r="BT213" i="2" s="1"/>
  <c r="BH213" i="2"/>
  <c r="BD213" i="2"/>
  <c r="BC213" i="2"/>
  <c r="AV213" i="2"/>
  <c r="AU213" i="2"/>
  <c r="AQ213" i="2"/>
  <c r="AO213" i="2"/>
  <c r="AN213" i="2"/>
  <c r="T213" i="2"/>
  <c r="Q213" i="2"/>
  <c r="O213" i="2"/>
  <c r="N213" i="2"/>
  <c r="M213" i="2"/>
  <c r="K213" i="2"/>
  <c r="I213" i="2"/>
  <c r="G213" i="2"/>
  <c r="F213" i="2"/>
  <c r="B213" i="2"/>
  <c r="A213" i="2"/>
  <c r="CB212" i="2"/>
  <c r="BZ212" i="2"/>
  <c r="BW212" i="2"/>
  <c r="BS212" i="2"/>
  <c r="BU212" i="2" s="1"/>
  <c r="BR212" i="2"/>
  <c r="BT212" i="2" s="1"/>
  <c r="BH212" i="2"/>
  <c r="BD212" i="2"/>
  <c r="BC212" i="2"/>
  <c r="AV212" i="2"/>
  <c r="AU212" i="2"/>
  <c r="AQ212" i="2"/>
  <c r="AN212" i="2"/>
  <c r="T212" i="2"/>
  <c r="Q212" i="2"/>
  <c r="O212" i="2"/>
  <c r="N212" i="2"/>
  <c r="M212" i="2"/>
  <c r="K212" i="2"/>
  <c r="I212" i="2"/>
  <c r="G212" i="2"/>
  <c r="F212" i="2"/>
  <c r="B212" i="2"/>
  <c r="A212" i="2"/>
  <c r="CB211" i="2"/>
  <c r="BZ211" i="2"/>
  <c r="BW211" i="2"/>
  <c r="BS211" i="2"/>
  <c r="BU211" i="2" s="1"/>
  <c r="BR211" i="2"/>
  <c r="BT211" i="2" s="1"/>
  <c r="BH211" i="2"/>
  <c r="BD211" i="2"/>
  <c r="BC211" i="2"/>
  <c r="AV211" i="2"/>
  <c r="AU211" i="2"/>
  <c r="AQ211" i="2"/>
  <c r="AN211" i="2"/>
  <c r="T211" i="2"/>
  <c r="Q211" i="2"/>
  <c r="O211" i="2"/>
  <c r="N211" i="2"/>
  <c r="M211" i="2"/>
  <c r="K211" i="2"/>
  <c r="I211" i="2"/>
  <c r="G211" i="2"/>
  <c r="F211" i="2"/>
  <c r="B211" i="2"/>
  <c r="A211" i="2"/>
  <c r="CB210" i="2"/>
  <c r="BZ210" i="2"/>
  <c r="BW210" i="2"/>
  <c r="BS210" i="2"/>
  <c r="BU210" i="2" s="1"/>
  <c r="BR210" i="2"/>
  <c r="BT210" i="2" s="1"/>
  <c r="BH210" i="2"/>
  <c r="BD210" i="2"/>
  <c r="BC210" i="2"/>
  <c r="AV210" i="2"/>
  <c r="AU210" i="2"/>
  <c r="AQ210" i="2"/>
  <c r="AO210" i="2"/>
  <c r="AN210" i="2"/>
  <c r="T210" i="2"/>
  <c r="Q210" i="2"/>
  <c r="O210" i="2"/>
  <c r="N210" i="2"/>
  <c r="M210" i="2"/>
  <c r="K210" i="2"/>
  <c r="I210" i="2"/>
  <c r="G210" i="2"/>
  <c r="F210" i="2"/>
  <c r="B210" i="2"/>
  <c r="A210" i="2"/>
  <c r="CB209" i="2"/>
  <c r="BZ209" i="2"/>
  <c r="BW209" i="2"/>
  <c r="BS209" i="2"/>
  <c r="BU209" i="2" s="1"/>
  <c r="BR209" i="2"/>
  <c r="BT209" i="2" s="1"/>
  <c r="BH209" i="2"/>
  <c r="BD209" i="2"/>
  <c r="BC209" i="2"/>
  <c r="AV209" i="2"/>
  <c r="AU209" i="2"/>
  <c r="AQ209" i="2"/>
  <c r="AO209" i="2"/>
  <c r="AN209" i="2"/>
  <c r="T209" i="2"/>
  <c r="Q209" i="2"/>
  <c r="O209" i="2"/>
  <c r="N209" i="2"/>
  <c r="M209" i="2"/>
  <c r="K209" i="2"/>
  <c r="I209" i="2"/>
  <c r="G209" i="2"/>
  <c r="F209" i="2"/>
  <c r="B209" i="2"/>
  <c r="A209" i="2"/>
  <c r="CB208" i="2"/>
  <c r="BZ208" i="2"/>
  <c r="BW208" i="2"/>
  <c r="BS208" i="2"/>
  <c r="BU208" i="2" s="1"/>
  <c r="BR208" i="2"/>
  <c r="BT208" i="2" s="1"/>
  <c r="BH208" i="2"/>
  <c r="BD208" i="2"/>
  <c r="BC208" i="2"/>
  <c r="AV208" i="2"/>
  <c r="AU208" i="2"/>
  <c r="AQ208" i="2"/>
  <c r="AN208" i="2"/>
  <c r="T208" i="2"/>
  <c r="Q208" i="2"/>
  <c r="O208" i="2"/>
  <c r="N208" i="2"/>
  <c r="M208" i="2"/>
  <c r="K208" i="2"/>
  <c r="I208" i="2"/>
  <c r="G208" i="2"/>
  <c r="F208" i="2"/>
  <c r="B208" i="2"/>
  <c r="A208" i="2"/>
  <c r="CB207" i="2"/>
  <c r="BZ207" i="2"/>
  <c r="BW207" i="2"/>
  <c r="BS207" i="2"/>
  <c r="BU207" i="2" s="1"/>
  <c r="BR207" i="2"/>
  <c r="BT207" i="2" s="1"/>
  <c r="BH207" i="2"/>
  <c r="BD207" i="2"/>
  <c r="BC207" i="2"/>
  <c r="AV207" i="2"/>
  <c r="AU207" i="2"/>
  <c r="AQ207" i="2"/>
  <c r="AN207" i="2"/>
  <c r="T207" i="2"/>
  <c r="Q207" i="2"/>
  <c r="O207" i="2"/>
  <c r="N207" i="2"/>
  <c r="M207" i="2"/>
  <c r="K207" i="2"/>
  <c r="I207" i="2"/>
  <c r="G207" i="2"/>
  <c r="F207" i="2"/>
  <c r="B207" i="2"/>
  <c r="A207" i="2"/>
  <c r="CB206" i="2"/>
  <c r="BZ206" i="2"/>
  <c r="BW206" i="2"/>
  <c r="BS206" i="2"/>
  <c r="BU206" i="2" s="1"/>
  <c r="BR206" i="2"/>
  <c r="BT206" i="2" s="1"/>
  <c r="BH206" i="2"/>
  <c r="BD206" i="2"/>
  <c r="BC206" i="2"/>
  <c r="AV206" i="2"/>
  <c r="AU206" i="2"/>
  <c r="AQ206" i="2"/>
  <c r="AO206" i="2"/>
  <c r="AN206" i="2"/>
  <c r="T206" i="2"/>
  <c r="Q206" i="2"/>
  <c r="O206" i="2"/>
  <c r="N206" i="2"/>
  <c r="M206" i="2"/>
  <c r="K206" i="2"/>
  <c r="I206" i="2"/>
  <c r="G206" i="2"/>
  <c r="F206" i="2"/>
  <c r="B206" i="2"/>
  <c r="A206" i="2"/>
  <c r="CB205" i="2"/>
  <c r="BZ205" i="2"/>
  <c r="BW205" i="2"/>
  <c r="BS205" i="2"/>
  <c r="BU205" i="2" s="1"/>
  <c r="BR205" i="2"/>
  <c r="BT205" i="2" s="1"/>
  <c r="BH205" i="2"/>
  <c r="BD205" i="2"/>
  <c r="BC205" i="2"/>
  <c r="AV205" i="2"/>
  <c r="AU205" i="2"/>
  <c r="AQ205" i="2"/>
  <c r="AO205" i="2"/>
  <c r="AN205" i="2"/>
  <c r="T205" i="2"/>
  <c r="Q205" i="2"/>
  <c r="O205" i="2"/>
  <c r="N205" i="2"/>
  <c r="M205" i="2"/>
  <c r="K205" i="2"/>
  <c r="I205" i="2"/>
  <c r="G205" i="2"/>
  <c r="F205" i="2"/>
  <c r="B205" i="2"/>
  <c r="A205" i="2"/>
  <c r="CB204" i="2"/>
  <c r="BZ204" i="2"/>
  <c r="BW204" i="2"/>
  <c r="BS204" i="2"/>
  <c r="BU204" i="2" s="1"/>
  <c r="BR204" i="2"/>
  <c r="BT204" i="2" s="1"/>
  <c r="BH204" i="2"/>
  <c r="BD204" i="2"/>
  <c r="BC204" i="2"/>
  <c r="AV204" i="2"/>
  <c r="AU204" i="2"/>
  <c r="AQ204" i="2"/>
  <c r="AN204" i="2"/>
  <c r="T204" i="2"/>
  <c r="Q204" i="2"/>
  <c r="O204" i="2"/>
  <c r="N204" i="2"/>
  <c r="M204" i="2"/>
  <c r="K204" i="2"/>
  <c r="I204" i="2"/>
  <c r="G204" i="2"/>
  <c r="F204" i="2"/>
  <c r="B204" i="2"/>
  <c r="A204" i="2"/>
  <c r="CB203" i="2"/>
  <c r="BZ203" i="2"/>
  <c r="BW203" i="2"/>
  <c r="BS203" i="2"/>
  <c r="BU203" i="2" s="1"/>
  <c r="BR203" i="2"/>
  <c r="BT203" i="2" s="1"/>
  <c r="BH203" i="2"/>
  <c r="BD203" i="2"/>
  <c r="BC203" i="2"/>
  <c r="AV203" i="2"/>
  <c r="AU203" i="2"/>
  <c r="AQ203" i="2"/>
  <c r="AO203" i="2"/>
  <c r="AN203" i="2"/>
  <c r="T203" i="2"/>
  <c r="Q203" i="2"/>
  <c r="O203" i="2"/>
  <c r="N203" i="2"/>
  <c r="M203" i="2"/>
  <c r="K203" i="2"/>
  <c r="I203" i="2"/>
  <c r="G203" i="2"/>
  <c r="F203" i="2"/>
  <c r="B203" i="2"/>
  <c r="A203" i="2"/>
  <c r="CB202" i="2"/>
  <c r="BZ202" i="2"/>
  <c r="BW202" i="2"/>
  <c r="BS202" i="2"/>
  <c r="BU202" i="2" s="1"/>
  <c r="BR202" i="2"/>
  <c r="BT202" i="2" s="1"/>
  <c r="BH202" i="2"/>
  <c r="BD202" i="2"/>
  <c r="BC202" i="2"/>
  <c r="AV202" i="2"/>
  <c r="AU202" i="2"/>
  <c r="AQ202" i="2"/>
  <c r="AO202" i="2"/>
  <c r="AN202" i="2"/>
  <c r="T202" i="2"/>
  <c r="Q202" i="2"/>
  <c r="O202" i="2"/>
  <c r="N202" i="2"/>
  <c r="M202" i="2"/>
  <c r="K202" i="2"/>
  <c r="I202" i="2"/>
  <c r="G202" i="2"/>
  <c r="F202" i="2"/>
  <c r="B202" i="2"/>
  <c r="A202" i="2"/>
  <c r="CB201" i="2"/>
  <c r="BZ201" i="2"/>
  <c r="BW201" i="2"/>
  <c r="BS201" i="2"/>
  <c r="BU201" i="2" s="1"/>
  <c r="BR201" i="2"/>
  <c r="BT201" i="2" s="1"/>
  <c r="BH201" i="2"/>
  <c r="BD201" i="2"/>
  <c r="BC201" i="2"/>
  <c r="AV201" i="2"/>
  <c r="AU201" i="2"/>
  <c r="AQ201" i="2"/>
  <c r="AO201" i="2"/>
  <c r="AN201" i="2"/>
  <c r="T201" i="2"/>
  <c r="Q201" i="2"/>
  <c r="O201" i="2"/>
  <c r="N201" i="2"/>
  <c r="M201" i="2"/>
  <c r="K201" i="2"/>
  <c r="I201" i="2"/>
  <c r="G201" i="2"/>
  <c r="F201" i="2"/>
  <c r="B201" i="2"/>
  <c r="A201" i="2"/>
  <c r="CB200" i="2"/>
  <c r="BZ200" i="2"/>
  <c r="BW200" i="2"/>
  <c r="BS200" i="2"/>
  <c r="BU200" i="2" s="1"/>
  <c r="BR200" i="2"/>
  <c r="BT200" i="2" s="1"/>
  <c r="BH200" i="2"/>
  <c r="BD200" i="2"/>
  <c r="BC200" i="2"/>
  <c r="AV200" i="2"/>
  <c r="AU200" i="2"/>
  <c r="AQ200" i="2"/>
  <c r="AO200" i="2"/>
  <c r="AN200" i="2"/>
  <c r="T200" i="2"/>
  <c r="Q200" i="2"/>
  <c r="O200" i="2"/>
  <c r="N200" i="2"/>
  <c r="M200" i="2"/>
  <c r="K200" i="2"/>
  <c r="I200" i="2"/>
  <c r="G200" i="2"/>
  <c r="F200" i="2"/>
  <c r="B200" i="2"/>
  <c r="A200" i="2"/>
  <c r="CB199" i="2"/>
  <c r="BZ199" i="2"/>
  <c r="BW199" i="2"/>
  <c r="BS199" i="2"/>
  <c r="BU199" i="2" s="1"/>
  <c r="BR199" i="2"/>
  <c r="BT199" i="2" s="1"/>
  <c r="BH199" i="2"/>
  <c r="BD199" i="2"/>
  <c r="BC199" i="2"/>
  <c r="AV199" i="2"/>
  <c r="AU199" i="2"/>
  <c r="AQ199" i="2"/>
  <c r="AO199" i="2"/>
  <c r="AN199" i="2"/>
  <c r="T199" i="2"/>
  <c r="Q199" i="2"/>
  <c r="O199" i="2"/>
  <c r="N199" i="2"/>
  <c r="M199" i="2"/>
  <c r="K199" i="2"/>
  <c r="I199" i="2"/>
  <c r="G199" i="2"/>
  <c r="F199" i="2"/>
  <c r="B199" i="2"/>
  <c r="A199" i="2"/>
  <c r="CB198" i="2"/>
  <c r="BZ198" i="2"/>
  <c r="BW198" i="2"/>
  <c r="BS198" i="2"/>
  <c r="BU198" i="2" s="1"/>
  <c r="BR198" i="2"/>
  <c r="BT198" i="2" s="1"/>
  <c r="BH198" i="2"/>
  <c r="BD198" i="2"/>
  <c r="BC198" i="2"/>
  <c r="AV198" i="2"/>
  <c r="AU198" i="2"/>
  <c r="AQ198" i="2"/>
  <c r="AO198" i="2"/>
  <c r="AN198" i="2"/>
  <c r="T198" i="2"/>
  <c r="Q198" i="2"/>
  <c r="O198" i="2"/>
  <c r="N198" i="2"/>
  <c r="M198" i="2"/>
  <c r="K198" i="2"/>
  <c r="I198" i="2"/>
  <c r="G198" i="2"/>
  <c r="F198" i="2"/>
  <c r="B198" i="2"/>
  <c r="A198" i="2"/>
  <c r="CB197" i="2"/>
  <c r="BZ197" i="2"/>
  <c r="BW197" i="2"/>
  <c r="BS197" i="2"/>
  <c r="BU197" i="2" s="1"/>
  <c r="BR197" i="2"/>
  <c r="BT197" i="2" s="1"/>
  <c r="BH197" i="2"/>
  <c r="BD197" i="2"/>
  <c r="BC197" i="2"/>
  <c r="AV197" i="2"/>
  <c r="AU197" i="2"/>
  <c r="AQ197" i="2"/>
  <c r="AN197" i="2"/>
  <c r="T197" i="2"/>
  <c r="Q197" i="2"/>
  <c r="O197" i="2"/>
  <c r="N197" i="2"/>
  <c r="M197" i="2"/>
  <c r="K197" i="2"/>
  <c r="I197" i="2"/>
  <c r="G197" i="2"/>
  <c r="F197" i="2"/>
  <c r="B197" i="2"/>
  <c r="A197" i="2"/>
  <c r="CB196" i="2"/>
  <c r="BZ196" i="2"/>
  <c r="BW196" i="2"/>
  <c r="BS196" i="2"/>
  <c r="BU196" i="2" s="1"/>
  <c r="BR196" i="2"/>
  <c r="BT196" i="2" s="1"/>
  <c r="BH196" i="2"/>
  <c r="BD196" i="2"/>
  <c r="BC196" i="2"/>
  <c r="AV196" i="2"/>
  <c r="AU196" i="2"/>
  <c r="AQ196" i="2"/>
  <c r="AO196" i="2"/>
  <c r="AN196" i="2"/>
  <c r="T196" i="2"/>
  <c r="Q196" i="2"/>
  <c r="O196" i="2"/>
  <c r="N196" i="2"/>
  <c r="M196" i="2"/>
  <c r="K196" i="2"/>
  <c r="I196" i="2"/>
  <c r="G196" i="2"/>
  <c r="F196" i="2"/>
  <c r="B196" i="2"/>
  <c r="A196" i="2"/>
  <c r="CB195" i="2"/>
  <c r="CA195" i="2"/>
  <c r="BZ195" i="2"/>
  <c r="BW195" i="2"/>
  <c r="BS195" i="2"/>
  <c r="BU195" i="2" s="1"/>
  <c r="BR195" i="2"/>
  <c r="BT195" i="2" s="1"/>
  <c r="BP195" i="2"/>
  <c r="BQ195" i="2" s="1"/>
  <c r="BY195" i="2" s="1"/>
  <c r="BN195" i="2"/>
  <c r="BO195" i="2" s="1"/>
  <c r="BH195" i="2"/>
  <c r="BC195" i="2"/>
  <c r="AV195" i="2"/>
  <c r="AU195" i="2"/>
  <c r="AR195" i="2"/>
  <c r="AQ195" i="2"/>
  <c r="AO195" i="2"/>
  <c r="AN195" i="2"/>
  <c r="T195" i="2"/>
  <c r="Q195" i="2"/>
  <c r="O195" i="2"/>
  <c r="N195" i="2"/>
  <c r="M195" i="2"/>
  <c r="K195" i="2"/>
  <c r="I195" i="2"/>
  <c r="G195" i="2"/>
  <c r="BD195" i="2" s="1"/>
  <c r="F195" i="2"/>
  <c r="B195" i="2"/>
  <c r="A195" i="2"/>
  <c r="CB194" i="2"/>
  <c r="BZ194" i="2"/>
  <c r="BW194" i="2"/>
  <c r="BS194" i="2"/>
  <c r="BU194" i="2" s="1"/>
  <c r="BR194" i="2"/>
  <c r="BT194" i="2" s="1"/>
  <c r="BH194" i="2"/>
  <c r="BD194" i="2"/>
  <c r="BC194" i="2"/>
  <c r="AV194" i="2"/>
  <c r="AU194" i="2"/>
  <c r="AQ194" i="2"/>
  <c r="AN194" i="2"/>
  <c r="T194" i="2"/>
  <c r="Q194" i="2"/>
  <c r="O194" i="2"/>
  <c r="N194" i="2"/>
  <c r="M194" i="2"/>
  <c r="K194" i="2"/>
  <c r="I194" i="2"/>
  <c r="G194" i="2"/>
  <c r="F194" i="2"/>
  <c r="B194" i="2"/>
  <c r="A194" i="2"/>
  <c r="CB193" i="2"/>
  <c r="BZ193" i="2"/>
  <c r="BW193" i="2"/>
  <c r="BS193" i="2"/>
  <c r="BU193" i="2" s="1"/>
  <c r="BR193" i="2"/>
  <c r="BT193" i="2" s="1"/>
  <c r="BH193" i="2"/>
  <c r="BD193" i="2"/>
  <c r="BC193" i="2"/>
  <c r="AV193" i="2"/>
  <c r="AU193" i="2"/>
  <c r="AQ193" i="2"/>
  <c r="AO193" i="2"/>
  <c r="AN193" i="2"/>
  <c r="U193" i="2"/>
  <c r="Q193" i="2"/>
  <c r="O193" i="2"/>
  <c r="N193" i="2"/>
  <c r="M193" i="2"/>
  <c r="K193" i="2"/>
  <c r="I193" i="2"/>
  <c r="G193" i="2"/>
  <c r="F193" i="2"/>
  <c r="B193" i="2"/>
  <c r="A193" i="2"/>
  <c r="CB192" i="2"/>
  <c r="BZ192" i="2"/>
  <c r="BW192" i="2"/>
  <c r="BT192" i="2"/>
  <c r="BS192" i="2"/>
  <c r="BU192" i="2" s="1"/>
  <c r="BR192" i="2"/>
  <c r="BH192" i="2"/>
  <c r="BD192" i="2"/>
  <c r="BC192" i="2"/>
  <c r="AV192" i="2"/>
  <c r="AU192" i="2"/>
  <c r="AQ192" i="2"/>
  <c r="AO192" i="2"/>
  <c r="AN192" i="2"/>
  <c r="T192" i="2"/>
  <c r="Q192" i="2"/>
  <c r="O192" i="2"/>
  <c r="N192" i="2"/>
  <c r="M192" i="2"/>
  <c r="K192" i="2"/>
  <c r="I192" i="2"/>
  <c r="G192" i="2"/>
  <c r="F192" i="2"/>
  <c r="B192" i="2"/>
  <c r="A192" i="2"/>
  <c r="CB191" i="2"/>
  <c r="BZ191" i="2"/>
  <c r="BW191" i="2"/>
  <c r="BS191" i="2"/>
  <c r="BU191" i="2" s="1"/>
  <c r="BR191" i="2"/>
  <c r="BT191" i="2" s="1"/>
  <c r="BH191" i="2"/>
  <c r="BD191" i="2"/>
  <c r="BC191" i="2"/>
  <c r="AW191" i="2"/>
  <c r="AX191" i="2" s="1"/>
  <c r="AV191" i="2"/>
  <c r="AY191" i="2" s="1"/>
  <c r="AW270" i="2" s="1"/>
  <c r="AU191" i="2"/>
  <c r="AQ191" i="2"/>
  <c r="AO191" i="2"/>
  <c r="AN191" i="2"/>
  <c r="U191" i="2"/>
  <c r="Q191" i="2"/>
  <c r="O191" i="2"/>
  <c r="N191" i="2"/>
  <c r="M191" i="2"/>
  <c r="K191" i="2"/>
  <c r="I191" i="2"/>
  <c r="G191" i="2"/>
  <c r="F191" i="2"/>
  <c r="B191" i="2"/>
  <c r="A191" i="2"/>
  <c r="CB190" i="2"/>
  <c r="BZ190" i="2"/>
  <c r="BW190" i="2"/>
  <c r="BS190" i="2"/>
  <c r="BU190" i="2" s="1"/>
  <c r="BR190" i="2"/>
  <c r="BT190" i="2" s="1"/>
  <c r="BP190" i="2"/>
  <c r="BQ190" i="2" s="1"/>
  <c r="BY190" i="2" s="1"/>
  <c r="BN190" i="2"/>
  <c r="BO190" i="2" s="1"/>
  <c r="BH190" i="2"/>
  <c r="BC190" i="2"/>
  <c r="AV190" i="2"/>
  <c r="AU190" i="2"/>
  <c r="AR190" i="2"/>
  <c r="AQ190" i="2"/>
  <c r="AO190" i="2"/>
  <c r="AN190" i="2"/>
  <c r="Q190" i="2"/>
  <c r="O190" i="2"/>
  <c r="N190" i="2"/>
  <c r="M190" i="2"/>
  <c r="K190" i="2"/>
  <c r="I190" i="2"/>
  <c r="G190" i="2"/>
  <c r="BD190" i="2" s="1"/>
  <c r="F190" i="2"/>
  <c r="B190" i="2"/>
  <c r="A190" i="2"/>
  <c r="CB189" i="2"/>
  <c r="BZ189" i="2"/>
  <c r="BW189" i="2"/>
  <c r="BS189" i="2"/>
  <c r="BU189" i="2" s="1"/>
  <c r="BR189" i="2"/>
  <c r="BT189" i="2" s="1"/>
  <c r="BP189" i="2"/>
  <c r="BQ189" i="2" s="1"/>
  <c r="BY189" i="2" s="1"/>
  <c r="BN189" i="2"/>
  <c r="BO189" i="2" s="1"/>
  <c r="BH189" i="2"/>
  <c r="BC189" i="2"/>
  <c r="AV189" i="2"/>
  <c r="AU189" i="2"/>
  <c r="AR189" i="2"/>
  <c r="AQ189" i="2"/>
  <c r="AO189" i="2"/>
  <c r="AN189" i="2"/>
  <c r="Q189" i="2"/>
  <c r="O189" i="2"/>
  <c r="N189" i="2"/>
  <c r="M189" i="2"/>
  <c r="K189" i="2"/>
  <c r="I189" i="2"/>
  <c r="G189" i="2"/>
  <c r="BD189" i="2" s="1"/>
  <c r="F189" i="2"/>
  <c r="AS189" i="2" s="1"/>
  <c r="B189" i="2"/>
  <c r="A189" i="2"/>
  <c r="CB188" i="2"/>
  <c r="BZ188" i="2"/>
  <c r="BW188" i="2"/>
  <c r="BS188" i="2"/>
  <c r="BU188" i="2" s="1"/>
  <c r="BR188" i="2"/>
  <c r="BT188" i="2" s="1"/>
  <c r="BH188" i="2"/>
  <c r="BD188" i="2"/>
  <c r="BC188" i="2"/>
  <c r="AV188" i="2"/>
  <c r="AU188" i="2"/>
  <c r="AQ188" i="2"/>
  <c r="AO188" i="2"/>
  <c r="AN188" i="2"/>
  <c r="AP188" i="2" s="1"/>
  <c r="U188" i="2"/>
  <c r="Q188" i="2"/>
  <c r="O188" i="2"/>
  <c r="N188" i="2"/>
  <c r="M188" i="2"/>
  <c r="K188" i="2"/>
  <c r="I188" i="2"/>
  <c r="G188" i="2"/>
  <c r="F188" i="2"/>
  <c r="B188" i="2"/>
  <c r="A188" i="2"/>
  <c r="CB187" i="2"/>
  <c r="BZ187" i="2"/>
  <c r="BW187" i="2"/>
  <c r="BS187" i="2"/>
  <c r="BU187" i="2" s="1"/>
  <c r="BR187" i="2"/>
  <c r="BT187" i="2" s="1"/>
  <c r="BH187" i="2"/>
  <c r="BD187" i="2"/>
  <c r="BC187" i="2"/>
  <c r="AV187" i="2"/>
  <c r="AU187" i="2"/>
  <c r="AQ187" i="2"/>
  <c r="AO187" i="2"/>
  <c r="AN187" i="2"/>
  <c r="AP187" i="2" s="1"/>
  <c r="Q187" i="2"/>
  <c r="O187" i="2"/>
  <c r="N187" i="2"/>
  <c r="M187" i="2"/>
  <c r="K187" i="2"/>
  <c r="I187" i="2"/>
  <c r="G187" i="2"/>
  <c r="F187" i="2"/>
  <c r="B187" i="2"/>
  <c r="A187" i="2"/>
  <c r="CB186" i="2"/>
  <c r="BZ186" i="2"/>
  <c r="BW186" i="2"/>
  <c r="BS186" i="2"/>
  <c r="BU186" i="2" s="1"/>
  <c r="BR186" i="2"/>
  <c r="BT186" i="2" s="1"/>
  <c r="BH186" i="2"/>
  <c r="BD186" i="2"/>
  <c r="BC186" i="2"/>
  <c r="AV186" i="2"/>
  <c r="AU186" i="2"/>
  <c r="AQ186" i="2"/>
  <c r="AO186" i="2"/>
  <c r="AN186" i="2"/>
  <c r="Q186" i="2"/>
  <c r="O186" i="2"/>
  <c r="N186" i="2"/>
  <c r="M186" i="2"/>
  <c r="K186" i="2"/>
  <c r="I186" i="2"/>
  <c r="G186" i="2"/>
  <c r="F186" i="2"/>
  <c r="AS186" i="2" s="1"/>
  <c r="B186" i="2"/>
  <c r="A186" i="2"/>
  <c r="CB185" i="2"/>
  <c r="BZ185" i="2"/>
  <c r="BW185" i="2"/>
  <c r="BS185" i="2"/>
  <c r="BU185" i="2" s="1"/>
  <c r="BR185" i="2"/>
  <c r="BT185" i="2" s="1"/>
  <c r="BH185" i="2"/>
  <c r="BD185" i="2"/>
  <c r="BC185" i="2"/>
  <c r="AV185" i="2"/>
  <c r="AU185" i="2"/>
  <c r="AQ185" i="2"/>
  <c r="AO185" i="2"/>
  <c r="AN185" i="2"/>
  <c r="Q185" i="2"/>
  <c r="O185" i="2"/>
  <c r="N185" i="2"/>
  <c r="M185" i="2"/>
  <c r="K185" i="2"/>
  <c r="I185" i="2"/>
  <c r="G185" i="2"/>
  <c r="F185" i="2"/>
  <c r="B185" i="2"/>
  <c r="A185" i="2"/>
  <c r="CB184" i="2"/>
  <c r="BZ184" i="2"/>
  <c r="BW184" i="2"/>
  <c r="BS184" i="2"/>
  <c r="BU184" i="2" s="1"/>
  <c r="BR184" i="2"/>
  <c r="BT184" i="2" s="1"/>
  <c r="BH184" i="2"/>
  <c r="BD184" i="2"/>
  <c r="BC184" i="2"/>
  <c r="AV184" i="2"/>
  <c r="AU184" i="2"/>
  <c r="AQ184" i="2"/>
  <c r="AO184" i="2"/>
  <c r="AN184" i="2"/>
  <c r="Q184" i="2"/>
  <c r="O184" i="2"/>
  <c r="N184" i="2"/>
  <c r="M184" i="2"/>
  <c r="K184" i="2"/>
  <c r="I184" i="2"/>
  <c r="G184" i="2"/>
  <c r="F184" i="2"/>
  <c r="B184" i="2"/>
  <c r="A184" i="2"/>
  <c r="CB183" i="2"/>
  <c r="BZ183" i="2"/>
  <c r="BW183" i="2"/>
  <c r="BS183" i="2"/>
  <c r="BU183" i="2" s="1"/>
  <c r="BR183" i="2"/>
  <c r="BT183" i="2" s="1"/>
  <c r="BH183" i="2"/>
  <c r="BD183" i="2"/>
  <c r="BC183" i="2"/>
  <c r="AV183" i="2"/>
  <c r="AU183" i="2"/>
  <c r="AQ183" i="2"/>
  <c r="AO183" i="2"/>
  <c r="AN183" i="2"/>
  <c r="U183" i="2"/>
  <c r="Q183" i="2"/>
  <c r="O183" i="2"/>
  <c r="N183" i="2"/>
  <c r="M183" i="2"/>
  <c r="K183" i="2"/>
  <c r="I183" i="2"/>
  <c r="G183" i="2"/>
  <c r="F183" i="2"/>
  <c r="B183" i="2"/>
  <c r="A183" i="2"/>
  <c r="CB182" i="2"/>
  <c r="BZ182" i="2"/>
  <c r="BW182" i="2"/>
  <c r="BS182" i="2"/>
  <c r="BU182" i="2" s="1"/>
  <c r="BR182" i="2"/>
  <c r="BT182" i="2" s="1"/>
  <c r="BH182" i="2"/>
  <c r="BD182" i="2"/>
  <c r="BC182" i="2"/>
  <c r="AV182" i="2"/>
  <c r="AU182" i="2"/>
  <c r="AQ182" i="2"/>
  <c r="AO182" i="2"/>
  <c r="AN182" i="2"/>
  <c r="Q182" i="2"/>
  <c r="O182" i="2"/>
  <c r="N182" i="2"/>
  <c r="M182" i="2"/>
  <c r="K182" i="2"/>
  <c r="I182" i="2"/>
  <c r="G182" i="2"/>
  <c r="F182" i="2"/>
  <c r="B182" i="2"/>
  <c r="A182" i="2"/>
  <c r="CB181" i="2"/>
  <c r="BZ181" i="2"/>
  <c r="BW181" i="2"/>
  <c r="BS181" i="2"/>
  <c r="BU181" i="2" s="1"/>
  <c r="BR181" i="2"/>
  <c r="BT181" i="2" s="1"/>
  <c r="BH181" i="2"/>
  <c r="BD181" i="2"/>
  <c r="BC181" i="2"/>
  <c r="AV181" i="2"/>
  <c r="AU181" i="2"/>
  <c r="AQ181" i="2"/>
  <c r="AO181" i="2"/>
  <c r="AN181" i="2"/>
  <c r="Q181" i="2"/>
  <c r="O181" i="2"/>
  <c r="N181" i="2"/>
  <c r="M181" i="2"/>
  <c r="P181" i="2" s="1"/>
  <c r="K181" i="2"/>
  <c r="I181" i="2"/>
  <c r="G181" i="2"/>
  <c r="F181" i="2"/>
  <c r="B181" i="2"/>
  <c r="A181" i="2"/>
  <c r="CB180" i="2"/>
  <c r="BZ180" i="2"/>
  <c r="BW180" i="2"/>
  <c r="BS180" i="2"/>
  <c r="BU180" i="2" s="1"/>
  <c r="BR180" i="2"/>
  <c r="BT180" i="2" s="1"/>
  <c r="BH180" i="2"/>
  <c r="BD180" i="2"/>
  <c r="BC180" i="2"/>
  <c r="AV180" i="2"/>
  <c r="AU180" i="2"/>
  <c r="AQ180" i="2"/>
  <c r="AO180" i="2"/>
  <c r="AN180" i="2"/>
  <c r="AP180" i="2" s="1"/>
  <c r="U180" i="2"/>
  <c r="Q180" i="2"/>
  <c r="O180" i="2"/>
  <c r="N180" i="2"/>
  <c r="M180" i="2"/>
  <c r="K180" i="2"/>
  <c r="I180" i="2"/>
  <c r="G180" i="2"/>
  <c r="F180" i="2"/>
  <c r="B180" i="2"/>
  <c r="A180" i="2"/>
  <c r="CB179" i="2"/>
  <c r="BZ179" i="2"/>
  <c r="BW179" i="2"/>
  <c r="BS179" i="2"/>
  <c r="BU179" i="2" s="1"/>
  <c r="BR179" i="2"/>
  <c r="BT179" i="2" s="1"/>
  <c r="BH179" i="2"/>
  <c r="BD179" i="2"/>
  <c r="BC179" i="2"/>
  <c r="AV179" i="2"/>
  <c r="AU179" i="2"/>
  <c r="AQ179" i="2"/>
  <c r="AO179" i="2"/>
  <c r="AN179" i="2"/>
  <c r="Q179" i="2"/>
  <c r="O179" i="2"/>
  <c r="N179" i="2"/>
  <c r="M179" i="2"/>
  <c r="K179" i="2"/>
  <c r="I179" i="2"/>
  <c r="G179" i="2"/>
  <c r="F179" i="2"/>
  <c r="B179" i="2"/>
  <c r="A179" i="2"/>
  <c r="CB178" i="2"/>
  <c r="BZ178" i="2"/>
  <c r="BW178" i="2"/>
  <c r="BS178" i="2"/>
  <c r="BU178" i="2" s="1"/>
  <c r="BR178" i="2"/>
  <c r="BT178" i="2" s="1"/>
  <c r="BH178" i="2"/>
  <c r="BD178" i="2"/>
  <c r="BC178" i="2"/>
  <c r="AV178" i="2"/>
  <c r="AU178" i="2"/>
  <c r="AQ178" i="2"/>
  <c r="AO178" i="2"/>
  <c r="AN178" i="2"/>
  <c r="U178" i="2"/>
  <c r="Q178" i="2"/>
  <c r="BX178" i="2" s="1"/>
  <c r="O178" i="2"/>
  <c r="N178" i="2"/>
  <c r="M178" i="2"/>
  <c r="K178" i="2"/>
  <c r="I178" i="2"/>
  <c r="G178" i="2"/>
  <c r="F178" i="2"/>
  <c r="B178" i="2"/>
  <c r="A178" i="2"/>
  <c r="CB177" i="2"/>
  <c r="BZ177" i="2"/>
  <c r="BW177" i="2"/>
  <c r="BS177" i="2"/>
  <c r="BU177" i="2" s="1"/>
  <c r="BR177" i="2"/>
  <c r="BT177" i="2" s="1"/>
  <c r="BH177" i="2"/>
  <c r="BD177" i="2"/>
  <c r="BC177" i="2"/>
  <c r="AV177" i="2"/>
  <c r="AU177" i="2"/>
  <c r="AQ177" i="2"/>
  <c r="AO177" i="2"/>
  <c r="AN177" i="2"/>
  <c r="Q177" i="2"/>
  <c r="O177" i="2"/>
  <c r="N177" i="2"/>
  <c r="M177" i="2"/>
  <c r="K177" i="2"/>
  <c r="I177" i="2"/>
  <c r="G177" i="2"/>
  <c r="F177" i="2"/>
  <c r="B177" i="2"/>
  <c r="A177" i="2"/>
  <c r="CB176" i="2"/>
  <c r="BZ176" i="2"/>
  <c r="BW176" i="2"/>
  <c r="BS176" i="2"/>
  <c r="BU176" i="2" s="1"/>
  <c r="BR176" i="2"/>
  <c r="BT176" i="2" s="1"/>
  <c r="BH176" i="2"/>
  <c r="BD176" i="2"/>
  <c r="BC176" i="2"/>
  <c r="AV176" i="2"/>
  <c r="AU176" i="2"/>
  <c r="AQ176" i="2"/>
  <c r="AO176" i="2"/>
  <c r="AN176" i="2"/>
  <c r="Q176" i="2"/>
  <c r="O176" i="2"/>
  <c r="N176" i="2"/>
  <c r="M176" i="2"/>
  <c r="K176" i="2"/>
  <c r="I176" i="2"/>
  <c r="G176" i="2"/>
  <c r="F176" i="2"/>
  <c r="B176" i="2"/>
  <c r="A176" i="2"/>
  <c r="CB175" i="2"/>
  <c r="BZ175" i="2"/>
  <c r="BW175" i="2"/>
  <c r="BS175" i="2"/>
  <c r="BU175" i="2" s="1"/>
  <c r="BR175" i="2"/>
  <c r="BT175" i="2" s="1"/>
  <c r="BH175" i="2"/>
  <c r="BD175" i="2"/>
  <c r="BC175" i="2"/>
  <c r="AV175" i="2"/>
  <c r="AU175" i="2"/>
  <c r="AQ175" i="2"/>
  <c r="AO175" i="2"/>
  <c r="AN175" i="2"/>
  <c r="Q175" i="2"/>
  <c r="O175" i="2"/>
  <c r="N175" i="2"/>
  <c r="M175" i="2"/>
  <c r="K175" i="2"/>
  <c r="I175" i="2"/>
  <c r="G175" i="2"/>
  <c r="F175" i="2"/>
  <c r="B175" i="2"/>
  <c r="A175" i="2"/>
  <c r="CB174" i="2"/>
  <c r="BZ174" i="2"/>
  <c r="BW174" i="2"/>
  <c r="BS174" i="2"/>
  <c r="BU174" i="2" s="1"/>
  <c r="BR174" i="2"/>
  <c r="BT174" i="2" s="1"/>
  <c r="BH174" i="2"/>
  <c r="BD174" i="2"/>
  <c r="BC174" i="2"/>
  <c r="AV174" i="2"/>
  <c r="AY174" i="2" s="1"/>
  <c r="AU174" i="2"/>
  <c r="AQ174" i="2"/>
  <c r="AO174" i="2"/>
  <c r="AN174" i="2"/>
  <c r="T174" i="2"/>
  <c r="Q174" i="2"/>
  <c r="O174" i="2"/>
  <c r="N174" i="2"/>
  <c r="M174" i="2"/>
  <c r="K174" i="2"/>
  <c r="I174" i="2"/>
  <c r="G174" i="2"/>
  <c r="F174" i="2"/>
  <c r="B174" i="2"/>
  <c r="A174" i="2"/>
  <c r="CB173" i="2"/>
  <c r="BZ173" i="2"/>
  <c r="BW173" i="2"/>
  <c r="BS173" i="2"/>
  <c r="BU173" i="2" s="1"/>
  <c r="BR173" i="2"/>
  <c r="BT173" i="2" s="1"/>
  <c r="BH173" i="2"/>
  <c r="BD173" i="2"/>
  <c r="BC173" i="2"/>
  <c r="AV173" i="2"/>
  <c r="AU173" i="2"/>
  <c r="AQ173" i="2"/>
  <c r="AO173" i="2"/>
  <c r="AN173" i="2"/>
  <c r="Q173" i="2"/>
  <c r="O173" i="2"/>
  <c r="N173" i="2"/>
  <c r="M173" i="2"/>
  <c r="K173" i="2"/>
  <c r="I173" i="2"/>
  <c r="G173" i="2"/>
  <c r="F173" i="2"/>
  <c r="B173" i="2"/>
  <c r="A173" i="2"/>
  <c r="CB172" i="2"/>
  <c r="BZ172" i="2"/>
  <c r="BW172" i="2"/>
  <c r="BS172" i="2"/>
  <c r="BU172" i="2" s="1"/>
  <c r="BR172" i="2"/>
  <c r="BT172" i="2" s="1"/>
  <c r="BH172" i="2"/>
  <c r="BD172" i="2"/>
  <c r="BC172" i="2"/>
  <c r="AV172" i="2"/>
  <c r="AU172" i="2"/>
  <c r="AQ172" i="2"/>
  <c r="AO172" i="2"/>
  <c r="AN172" i="2"/>
  <c r="Q172" i="2"/>
  <c r="O172" i="2"/>
  <c r="N172" i="2"/>
  <c r="M172" i="2"/>
  <c r="K172" i="2"/>
  <c r="I172" i="2"/>
  <c r="G172" i="2"/>
  <c r="F172" i="2"/>
  <c r="B172" i="2"/>
  <c r="A172" i="2"/>
  <c r="CB171" i="2"/>
  <c r="BZ171" i="2"/>
  <c r="BW171" i="2"/>
  <c r="BS171" i="2"/>
  <c r="BU171" i="2" s="1"/>
  <c r="BR171" i="2"/>
  <c r="BT171" i="2" s="1"/>
  <c r="BH171" i="2"/>
  <c r="BD171" i="2"/>
  <c r="BC171" i="2"/>
  <c r="AV171" i="2"/>
  <c r="AU171" i="2"/>
  <c r="AQ171" i="2"/>
  <c r="AO171" i="2"/>
  <c r="AN171" i="2"/>
  <c r="Q171" i="2"/>
  <c r="O171" i="2"/>
  <c r="N171" i="2"/>
  <c r="M171" i="2"/>
  <c r="K171" i="2"/>
  <c r="I171" i="2"/>
  <c r="G171" i="2"/>
  <c r="F171" i="2"/>
  <c r="B171" i="2"/>
  <c r="A171" i="2"/>
  <c r="CB170" i="2"/>
  <c r="BZ170" i="2"/>
  <c r="BW170" i="2"/>
  <c r="BS170" i="2"/>
  <c r="BU170" i="2" s="1"/>
  <c r="BR170" i="2"/>
  <c r="BT170" i="2" s="1"/>
  <c r="BH170" i="2"/>
  <c r="BD170" i="2"/>
  <c r="BC170" i="2"/>
  <c r="AV170" i="2"/>
  <c r="AU170" i="2"/>
  <c r="AQ170" i="2"/>
  <c r="AO170" i="2"/>
  <c r="AN170" i="2"/>
  <c r="Q170" i="2"/>
  <c r="O170" i="2"/>
  <c r="N170" i="2"/>
  <c r="M170" i="2"/>
  <c r="K170" i="2"/>
  <c r="I170" i="2"/>
  <c r="G170" i="2"/>
  <c r="F170" i="2"/>
  <c r="B170" i="2"/>
  <c r="A170" i="2"/>
  <c r="CB169" i="2"/>
  <c r="BZ169" i="2"/>
  <c r="BW169" i="2"/>
  <c r="BS169" i="2"/>
  <c r="BU169" i="2" s="1"/>
  <c r="BR169" i="2"/>
  <c r="BT169" i="2" s="1"/>
  <c r="BH169" i="2"/>
  <c r="BD169" i="2"/>
  <c r="BC169" i="2"/>
  <c r="AV169" i="2"/>
  <c r="AU169" i="2"/>
  <c r="AQ169" i="2"/>
  <c r="AO169" i="2"/>
  <c r="AN169" i="2"/>
  <c r="Q169" i="2"/>
  <c r="O169" i="2"/>
  <c r="N169" i="2"/>
  <c r="M169" i="2"/>
  <c r="K169" i="2"/>
  <c r="I169" i="2"/>
  <c r="G169" i="2"/>
  <c r="F169" i="2"/>
  <c r="B169" i="2"/>
  <c r="A169" i="2"/>
  <c r="CB168" i="2"/>
  <c r="BZ168" i="2"/>
  <c r="BW168" i="2"/>
  <c r="BS168" i="2"/>
  <c r="BU168" i="2" s="1"/>
  <c r="BR168" i="2"/>
  <c r="BT168" i="2" s="1"/>
  <c r="BH168" i="2"/>
  <c r="BD168" i="2"/>
  <c r="BC168" i="2"/>
  <c r="AV168" i="2"/>
  <c r="AU168" i="2"/>
  <c r="AQ168" i="2"/>
  <c r="AO168" i="2"/>
  <c r="AN168" i="2"/>
  <c r="U168" i="2"/>
  <c r="Q168" i="2"/>
  <c r="O168" i="2"/>
  <c r="N168" i="2"/>
  <c r="M168" i="2"/>
  <c r="K168" i="2"/>
  <c r="I168" i="2"/>
  <c r="G168" i="2"/>
  <c r="F168" i="2"/>
  <c r="B168" i="2"/>
  <c r="A168" i="2"/>
  <c r="CB167" i="2"/>
  <c r="BZ167" i="2"/>
  <c r="BW167" i="2"/>
  <c r="BS167" i="2"/>
  <c r="BU167" i="2" s="1"/>
  <c r="BR167" i="2"/>
  <c r="BT167" i="2" s="1"/>
  <c r="BH167" i="2"/>
  <c r="BD167" i="2"/>
  <c r="BC167" i="2"/>
  <c r="AV167" i="2"/>
  <c r="AU167" i="2"/>
  <c r="AQ167" i="2"/>
  <c r="AO167" i="2"/>
  <c r="AN167" i="2"/>
  <c r="U167" i="2"/>
  <c r="Q167" i="2"/>
  <c r="O167" i="2"/>
  <c r="N167" i="2"/>
  <c r="M167" i="2"/>
  <c r="K167" i="2"/>
  <c r="I167" i="2"/>
  <c r="G167" i="2"/>
  <c r="F167" i="2"/>
  <c r="B167" i="2"/>
  <c r="A167" i="2"/>
  <c r="CB166" i="2"/>
  <c r="BZ166" i="2"/>
  <c r="BW166" i="2"/>
  <c r="BS166" i="2"/>
  <c r="BU166" i="2" s="1"/>
  <c r="BR166" i="2"/>
  <c r="BT166" i="2" s="1"/>
  <c r="BH166" i="2"/>
  <c r="BD166" i="2"/>
  <c r="BC166" i="2"/>
  <c r="AV166" i="2"/>
  <c r="AU166" i="2"/>
  <c r="AQ166" i="2"/>
  <c r="AO166" i="2"/>
  <c r="AN166" i="2"/>
  <c r="Q166" i="2"/>
  <c r="O166" i="2"/>
  <c r="N166" i="2"/>
  <c r="M166" i="2"/>
  <c r="K166" i="2"/>
  <c r="I166" i="2"/>
  <c r="G166" i="2"/>
  <c r="F166" i="2"/>
  <c r="B166" i="2"/>
  <c r="A166" i="2"/>
  <c r="CB165" i="2"/>
  <c r="BZ165" i="2"/>
  <c r="BW165" i="2"/>
  <c r="BT165" i="2"/>
  <c r="BS165" i="2"/>
  <c r="BU165" i="2" s="1"/>
  <c r="BR165" i="2"/>
  <c r="BH165" i="2"/>
  <c r="BD165" i="2"/>
  <c r="BC165" i="2"/>
  <c r="AV165" i="2"/>
  <c r="AU165" i="2"/>
  <c r="AQ165" i="2"/>
  <c r="AO165" i="2"/>
  <c r="AN165" i="2"/>
  <c r="Q165" i="2"/>
  <c r="O165" i="2"/>
  <c r="N165" i="2"/>
  <c r="M165" i="2"/>
  <c r="K165" i="2"/>
  <c r="I165" i="2"/>
  <c r="G165" i="2"/>
  <c r="F165" i="2"/>
  <c r="B165" i="2"/>
  <c r="A165" i="2"/>
  <c r="CB164" i="2"/>
  <c r="BZ164" i="2"/>
  <c r="BW164" i="2"/>
  <c r="BS164" i="2"/>
  <c r="BU164" i="2" s="1"/>
  <c r="BR164" i="2"/>
  <c r="BT164" i="2" s="1"/>
  <c r="BH164" i="2"/>
  <c r="BD164" i="2"/>
  <c r="BC164" i="2"/>
  <c r="AV164" i="2"/>
  <c r="AU164" i="2"/>
  <c r="AQ164" i="2"/>
  <c r="AO164" i="2"/>
  <c r="AN164" i="2"/>
  <c r="U164" i="2"/>
  <c r="Q164" i="2"/>
  <c r="O164" i="2"/>
  <c r="N164" i="2"/>
  <c r="M164" i="2"/>
  <c r="K164" i="2"/>
  <c r="I164" i="2"/>
  <c r="G164" i="2"/>
  <c r="F164" i="2"/>
  <c r="B164" i="2"/>
  <c r="A164" i="2"/>
  <c r="CB163" i="2"/>
  <c r="BZ163" i="2"/>
  <c r="BW163" i="2"/>
  <c r="BS163" i="2"/>
  <c r="BU163" i="2" s="1"/>
  <c r="BR163" i="2"/>
  <c r="BT163" i="2" s="1"/>
  <c r="BH163" i="2"/>
  <c r="BD163" i="2"/>
  <c r="BC163" i="2"/>
  <c r="AV163" i="2"/>
  <c r="AU163" i="2"/>
  <c r="AQ163" i="2"/>
  <c r="AO163" i="2"/>
  <c r="AN163" i="2"/>
  <c r="Q163" i="2"/>
  <c r="BX163" i="2" s="1"/>
  <c r="O163" i="2"/>
  <c r="N163" i="2"/>
  <c r="P163" i="2" s="1"/>
  <c r="M163" i="2"/>
  <c r="K163" i="2"/>
  <c r="I163" i="2"/>
  <c r="G163" i="2"/>
  <c r="F163" i="2"/>
  <c r="B163" i="2"/>
  <c r="A163" i="2"/>
  <c r="CB162" i="2"/>
  <c r="BZ162" i="2"/>
  <c r="BW162" i="2"/>
  <c r="BS162" i="2"/>
  <c r="BU162" i="2" s="1"/>
  <c r="BR162" i="2"/>
  <c r="BT162" i="2" s="1"/>
  <c r="BH162" i="2"/>
  <c r="BD162" i="2"/>
  <c r="BC162" i="2"/>
  <c r="AV162" i="2"/>
  <c r="AU162" i="2"/>
  <c r="AQ162" i="2"/>
  <c r="AO162" i="2"/>
  <c r="AN162" i="2"/>
  <c r="Q162" i="2"/>
  <c r="O162" i="2"/>
  <c r="N162" i="2"/>
  <c r="M162" i="2"/>
  <c r="P162" i="2" s="1"/>
  <c r="K162" i="2"/>
  <c r="I162" i="2"/>
  <c r="G162" i="2"/>
  <c r="F162" i="2"/>
  <c r="AS162" i="2" s="1"/>
  <c r="B162" i="2"/>
  <c r="A162" i="2"/>
  <c r="CB161" i="2"/>
  <c r="BZ161" i="2"/>
  <c r="BW161" i="2"/>
  <c r="BU161" i="2"/>
  <c r="BS161" i="2"/>
  <c r="BR161" i="2"/>
  <c r="BT161" i="2" s="1"/>
  <c r="BH161" i="2"/>
  <c r="BD161" i="2"/>
  <c r="BC161" i="2"/>
  <c r="AV161" i="2"/>
  <c r="AU161" i="2"/>
  <c r="AQ161" i="2"/>
  <c r="AO161" i="2"/>
  <c r="AN161" i="2"/>
  <c r="Q161" i="2"/>
  <c r="O161" i="2"/>
  <c r="N161" i="2"/>
  <c r="M161" i="2"/>
  <c r="K161" i="2"/>
  <c r="I161" i="2"/>
  <c r="G161" i="2"/>
  <c r="F161" i="2"/>
  <c r="B161" i="2"/>
  <c r="A161" i="2"/>
  <c r="CB160" i="2"/>
  <c r="BZ160" i="2"/>
  <c r="BW160" i="2"/>
  <c r="BS160" i="2"/>
  <c r="BU160" i="2" s="1"/>
  <c r="BR160" i="2"/>
  <c r="BT160" i="2" s="1"/>
  <c r="BH160" i="2"/>
  <c r="BD160" i="2"/>
  <c r="BC160" i="2"/>
  <c r="AV160" i="2"/>
  <c r="AU160" i="2"/>
  <c r="AQ160" i="2"/>
  <c r="AO160" i="2"/>
  <c r="AN160" i="2"/>
  <c r="AP160" i="2" s="1"/>
  <c r="Q160" i="2"/>
  <c r="O160" i="2"/>
  <c r="N160" i="2"/>
  <c r="M160" i="2"/>
  <c r="K160" i="2"/>
  <c r="I160" i="2"/>
  <c r="G160" i="2"/>
  <c r="F160" i="2"/>
  <c r="B160" i="2"/>
  <c r="A160" i="2"/>
  <c r="CB159" i="2"/>
  <c r="BZ159" i="2"/>
  <c r="BW159" i="2"/>
  <c r="BS159" i="2"/>
  <c r="BU159" i="2" s="1"/>
  <c r="BR159" i="2"/>
  <c r="BT159" i="2" s="1"/>
  <c r="BH159" i="2"/>
  <c r="BD159" i="2"/>
  <c r="BC159" i="2"/>
  <c r="AV159" i="2"/>
  <c r="AU159" i="2"/>
  <c r="AQ159" i="2"/>
  <c r="AO159" i="2"/>
  <c r="AN159" i="2"/>
  <c r="U159" i="2"/>
  <c r="Q159" i="2"/>
  <c r="BX159" i="2" s="1"/>
  <c r="O159" i="2"/>
  <c r="N159" i="2"/>
  <c r="M159" i="2"/>
  <c r="K159" i="2"/>
  <c r="I159" i="2"/>
  <c r="G159" i="2"/>
  <c r="F159" i="2"/>
  <c r="B159" i="2"/>
  <c r="A159" i="2"/>
  <c r="CB158" i="2"/>
  <c r="BZ158" i="2"/>
  <c r="BW158" i="2"/>
  <c r="BS158" i="2"/>
  <c r="BU158" i="2" s="1"/>
  <c r="BR158" i="2"/>
  <c r="BT158" i="2" s="1"/>
  <c r="BH158" i="2"/>
  <c r="BD158" i="2"/>
  <c r="BC158" i="2"/>
  <c r="AV158" i="2"/>
  <c r="AU158" i="2"/>
  <c r="AS158" i="2"/>
  <c r="AT158" i="2" s="1"/>
  <c r="CF158" i="2" s="1"/>
  <c r="AQ158" i="2"/>
  <c r="AO158" i="2"/>
  <c r="AN158" i="2"/>
  <c r="AP158" i="2" s="1"/>
  <c r="Q158" i="2"/>
  <c r="O158" i="2"/>
  <c r="N158" i="2"/>
  <c r="M158" i="2"/>
  <c r="K158" i="2"/>
  <c r="I158" i="2"/>
  <c r="G158" i="2"/>
  <c r="F158" i="2"/>
  <c r="B158" i="2"/>
  <c r="A158" i="2"/>
  <c r="CB157" i="2"/>
  <c r="BZ157" i="2"/>
  <c r="BW157" i="2"/>
  <c r="BS157" i="2"/>
  <c r="BU157" i="2" s="1"/>
  <c r="BR157" i="2"/>
  <c r="BT157" i="2" s="1"/>
  <c r="BH157" i="2"/>
  <c r="BD157" i="2"/>
  <c r="BC157" i="2"/>
  <c r="AV157" i="2"/>
  <c r="AU157" i="2"/>
  <c r="AQ157" i="2"/>
  <c r="AO157" i="2"/>
  <c r="AN157" i="2"/>
  <c r="T157" i="2"/>
  <c r="Q157" i="2"/>
  <c r="O157" i="2"/>
  <c r="N157" i="2"/>
  <c r="P157" i="2" s="1"/>
  <c r="M157" i="2"/>
  <c r="K157" i="2"/>
  <c r="I157" i="2"/>
  <c r="G157" i="2"/>
  <c r="F157" i="2"/>
  <c r="B157" i="2"/>
  <c r="A157" i="2"/>
  <c r="CB156" i="2"/>
  <c r="BZ156" i="2"/>
  <c r="BW156" i="2"/>
  <c r="BS156" i="2"/>
  <c r="BU156" i="2" s="1"/>
  <c r="BR156" i="2"/>
  <c r="BT156" i="2" s="1"/>
  <c r="BH156" i="2"/>
  <c r="BD156" i="2"/>
  <c r="BC156" i="2"/>
  <c r="AV156" i="2"/>
  <c r="AU156" i="2"/>
  <c r="AQ156" i="2"/>
  <c r="AO156" i="2"/>
  <c r="AN156" i="2"/>
  <c r="Q156" i="2"/>
  <c r="O156" i="2"/>
  <c r="N156" i="2"/>
  <c r="M156" i="2"/>
  <c r="K156" i="2"/>
  <c r="I156" i="2"/>
  <c r="G156" i="2"/>
  <c r="F156" i="2"/>
  <c r="B156" i="2"/>
  <c r="A156" i="2"/>
  <c r="CB155" i="2"/>
  <c r="BZ155" i="2"/>
  <c r="BW155" i="2"/>
  <c r="BS155" i="2"/>
  <c r="BU155" i="2" s="1"/>
  <c r="BR155" i="2"/>
  <c r="BT155" i="2" s="1"/>
  <c r="BH155" i="2"/>
  <c r="BD155" i="2"/>
  <c r="BC155" i="2"/>
  <c r="AV155" i="2"/>
  <c r="AU155" i="2"/>
  <c r="AQ155" i="2"/>
  <c r="AO155" i="2"/>
  <c r="AN155" i="2"/>
  <c r="Q155" i="2"/>
  <c r="O155" i="2"/>
  <c r="N155" i="2"/>
  <c r="M155" i="2"/>
  <c r="K155" i="2"/>
  <c r="I155" i="2"/>
  <c r="G155" i="2"/>
  <c r="F155" i="2"/>
  <c r="B155" i="2"/>
  <c r="A155" i="2"/>
  <c r="CB154" i="2"/>
  <c r="BZ154" i="2"/>
  <c r="BW154" i="2"/>
  <c r="BS154" i="2"/>
  <c r="BU154" i="2" s="1"/>
  <c r="BR154" i="2"/>
  <c r="BT154" i="2" s="1"/>
  <c r="BH154" i="2"/>
  <c r="BD154" i="2"/>
  <c r="BC154" i="2"/>
  <c r="AV154" i="2"/>
  <c r="AY154" i="2" s="1"/>
  <c r="BP154" i="2" s="1"/>
  <c r="BQ154" i="2" s="1"/>
  <c r="BY154" i="2" s="1"/>
  <c r="AU154" i="2"/>
  <c r="AQ154" i="2"/>
  <c r="AO154" i="2"/>
  <c r="AN154" i="2"/>
  <c r="AP154" i="2" s="1"/>
  <c r="T154" i="2" s="1"/>
  <c r="U154" i="2"/>
  <c r="Q154" i="2"/>
  <c r="O154" i="2"/>
  <c r="N154" i="2"/>
  <c r="M154" i="2"/>
  <c r="K154" i="2"/>
  <c r="I154" i="2"/>
  <c r="G154" i="2"/>
  <c r="F154" i="2"/>
  <c r="B154" i="2"/>
  <c r="A154" i="2"/>
  <c r="CB153" i="2"/>
  <c r="BZ153" i="2"/>
  <c r="BW153" i="2"/>
  <c r="BS153" i="2"/>
  <c r="BU153" i="2" s="1"/>
  <c r="BR153" i="2"/>
  <c r="BT153" i="2" s="1"/>
  <c r="BH153" i="2"/>
  <c r="BD153" i="2"/>
  <c r="BC153" i="2"/>
  <c r="AV153" i="2"/>
  <c r="AU153" i="2"/>
  <c r="AQ153" i="2"/>
  <c r="AO153" i="2"/>
  <c r="AN153" i="2"/>
  <c r="U153" i="2"/>
  <c r="Q153" i="2"/>
  <c r="O153" i="2"/>
  <c r="N153" i="2"/>
  <c r="M153" i="2"/>
  <c r="K153" i="2"/>
  <c r="I153" i="2"/>
  <c r="G153" i="2"/>
  <c r="F153" i="2"/>
  <c r="B153" i="2"/>
  <c r="A153" i="2"/>
  <c r="CB152" i="2"/>
  <c r="BZ152" i="2"/>
  <c r="BW152" i="2"/>
  <c r="BS152" i="2"/>
  <c r="BU152" i="2" s="1"/>
  <c r="BR152" i="2"/>
  <c r="BT152" i="2" s="1"/>
  <c r="BH152" i="2"/>
  <c r="BD152" i="2"/>
  <c r="BC152" i="2"/>
  <c r="AV152" i="2"/>
  <c r="AU152" i="2"/>
  <c r="AQ152" i="2"/>
  <c r="AO152" i="2"/>
  <c r="AN152" i="2"/>
  <c r="U152" i="2"/>
  <c r="Q152" i="2"/>
  <c r="O152" i="2"/>
  <c r="N152" i="2"/>
  <c r="M152" i="2"/>
  <c r="K152" i="2"/>
  <c r="I152" i="2"/>
  <c r="G152" i="2"/>
  <c r="F152" i="2"/>
  <c r="B152" i="2"/>
  <c r="A152" i="2"/>
  <c r="CB151" i="2"/>
  <c r="BZ151" i="2"/>
  <c r="BW151" i="2"/>
  <c r="BS151" i="2"/>
  <c r="BU151" i="2" s="1"/>
  <c r="BR151" i="2"/>
  <c r="BT151" i="2" s="1"/>
  <c r="BH151" i="2"/>
  <c r="BD151" i="2"/>
  <c r="BC151" i="2"/>
  <c r="AV151" i="2"/>
  <c r="AU151" i="2"/>
  <c r="AQ151" i="2"/>
  <c r="AO151" i="2"/>
  <c r="AN151" i="2"/>
  <c r="Q151" i="2"/>
  <c r="O151" i="2"/>
  <c r="N151" i="2"/>
  <c r="M151" i="2"/>
  <c r="K151" i="2"/>
  <c r="I151" i="2"/>
  <c r="G151" i="2"/>
  <c r="F151" i="2"/>
  <c r="B151" i="2"/>
  <c r="A151" i="2"/>
  <c r="CB150" i="2"/>
  <c r="BZ150" i="2"/>
  <c r="BW150" i="2"/>
  <c r="BS150" i="2"/>
  <c r="BU150" i="2" s="1"/>
  <c r="BR150" i="2"/>
  <c r="BT150" i="2" s="1"/>
  <c r="BH150" i="2"/>
  <c r="BD150" i="2"/>
  <c r="BC150" i="2"/>
  <c r="AV150" i="2"/>
  <c r="AU150" i="2"/>
  <c r="AQ150" i="2"/>
  <c r="AO150" i="2"/>
  <c r="AN150" i="2"/>
  <c r="Q150" i="2"/>
  <c r="O150" i="2"/>
  <c r="N150" i="2"/>
  <c r="M150" i="2"/>
  <c r="K150" i="2"/>
  <c r="I150" i="2"/>
  <c r="G150" i="2"/>
  <c r="F150" i="2"/>
  <c r="B150" i="2"/>
  <c r="A150" i="2"/>
  <c r="CB149" i="2"/>
  <c r="BZ149" i="2"/>
  <c r="BW149" i="2"/>
  <c r="BS149" i="2"/>
  <c r="BU149" i="2" s="1"/>
  <c r="BR149" i="2"/>
  <c r="BT149" i="2" s="1"/>
  <c r="BH149" i="2"/>
  <c r="BD149" i="2"/>
  <c r="BC149" i="2"/>
  <c r="AV149" i="2"/>
  <c r="AU149" i="2"/>
  <c r="AQ149" i="2"/>
  <c r="AO149" i="2"/>
  <c r="AN149" i="2"/>
  <c r="Q149" i="2"/>
  <c r="O149" i="2"/>
  <c r="N149" i="2"/>
  <c r="M149" i="2"/>
  <c r="K149" i="2"/>
  <c r="I149" i="2"/>
  <c r="G149" i="2"/>
  <c r="F149" i="2"/>
  <c r="B149" i="2"/>
  <c r="A149" i="2"/>
  <c r="CB148" i="2"/>
  <c r="BZ148" i="2"/>
  <c r="BW148" i="2"/>
  <c r="BS148" i="2"/>
  <c r="BU148" i="2" s="1"/>
  <c r="BR148" i="2"/>
  <c r="BT148" i="2" s="1"/>
  <c r="BQ148" i="2"/>
  <c r="BY148" i="2" s="1"/>
  <c r="BP148" i="2"/>
  <c r="BN148" i="2"/>
  <c r="BO148" i="2" s="1"/>
  <c r="BH148" i="2"/>
  <c r="BC148" i="2"/>
  <c r="AW148" i="2"/>
  <c r="AX148" i="2" s="1"/>
  <c r="AV148" i="2"/>
  <c r="AU148" i="2"/>
  <c r="AR148" i="2"/>
  <c r="AQ148" i="2"/>
  <c r="AO148" i="2"/>
  <c r="AN148" i="2"/>
  <c r="U148" i="2"/>
  <c r="T148" i="2"/>
  <c r="Q148" i="2"/>
  <c r="O148" i="2"/>
  <c r="N148" i="2"/>
  <c r="M148" i="2"/>
  <c r="K148" i="2"/>
  <c r="I148" i="2"/>
  <c r="G148" i="2"/>
  <c r="BD148" i="2" s="1"/>
  <c r="F148" i="2"/>
  <c r="B148" i="2"/>
  <c r="A148" i="2"/>
  <c r="CB147" i="2"/>
  <c r="BZ147" i="2"/>
  <c r="BW147" i="2"/>
  <c r="BS147" i="2"/>
  <c r="BU147" i="2" s="1"/>
  <c r="BR147" i="2"/>
  <c r="BT147" i="2" s="1"/>
  <c r="BP147" i="2"/>
  <c r="BQ147" i="2" s="1"/>
  <c r="BY147" i="2" s="1"/>
  <c r="BN147" i="2"/>
  <c r="BO147" i="2" s="1"/>
  <c r="BH147" i="2"/>
  <c r="BC147" i="2"/>
  <c r="AW147" i="2"/>
  <c r="AX147" i="2" s="1"/>
  <c r="AV147" i="2"/>
  <c r="AU147" i="2"/>
  <c r="AR147" i="2"/>
  <c r="AQ147" i="2"/>
  <c r="AO147" i="2"/>
  <c r="AN147" i="2"/>
  <c r="U147" i="2"/>
  <c r="T147" i="2"/>
  <c r="Q147" i="2"/>
  <c r="O147" i="2"/>
  <c r="N147" i="2"/>
  <c r="M147" i="2"/>
  <c r="K147" i="2"/>
  <c r="I147" i="2"/>
  <c r="G147" i="2"/>
  <c r="BD147" i="2" s="1"/>
  <c r="F147" i="2"/>
  <c r="AS147" i="2" s="1"/>
  <c r="B147" i="2"/>
  <c r="A147" i="2"/>
  <c r="CB146" i="2"/>
  <c r="BZ146" i="2"/>
  <c r="BW146" i="2"/>
  <c r="BS146" i="2"/>
  <c r="BU146" i="2" s="1"/>
  <c r="BR146" i="2"/>
  <c r="BT146" i="2" s="1"/>
  <c r="BH146" i="2"/>
  <c r="BD146" i="2"/>
  <c r="BC146" i="2"/>
  <c r="AW146" i="2"/>
  <c r="AX146" i="2" s="1"/>
  <c r="AV146" i="2"/>
  <c r="AY146" i="2" s="1"/>
  <c r="BP146" i="2" s="1"/>
  <c r="BQ146" i="2" s="1"/>
  <c r="BY146" i="2" s="1"/>
  <c r="AU146" i="2"/>
  <c r="AQ146" i="2"/>
  <c r="AO146" i="2"/>
  <c r="AN146" i="2"/>
  <c r="U146" i="2"/>
  <c r="T146" i="2"/>
  <c r="Q146" i="2"/>
  <c r="O146" i="2"/>
  <c r="N146" i="2"/>
  <c r="M146" i="2"/>
  <c r="K146" i="2"/>
  <c r="I146" i="2"/>
  <c r="G146" i="2"/>
  <c r="F146" i="2"/>
  <c r="B146" i="2"/>
  <c r="A146" i="2"/>
  <c r="CB145" i="2"/>
  <c r="BZ145" i="2"/>
  <c r="BW145" i="2"/>
  <c r="BS145" i="2"/>
  <c r="BU145" i="2" s="1"/>
  <c r="BR145" i="2"/>
  <c r="BT145" i="2" s="1"/>
  <c r="BH145" i="2"/>
  <c r="BD145" i="2"/>
  <c r="BC145" i="2"/>
  <c r="AW145" i="2"/>
  <c r="AX145" i="2" s="1"/>
  <c r="AV145" i="2"/>
  <c r="AY145" i="2" s="1"/>
  <c r="BN145" i="2" s="1"/>
  <c r="BO145" i="2" s="1"/>
  <c r="AU145" i="2"/>
  <c r="AQ145" i="2"/>
  <c r="AO145" i="2"/>
  <c r="AN145" i="2"/>
  <c r="U145" i="2"/>
  <c r="T145" i="2"/>
  <c r="Q145" i="2"/>
  <c r="O145" i="2"/>
  <c r="N145" i="2"/>
  <c r="M145" i="2"/>
  <c r="K145" i="2"/>
  <c r="I145" i="2"/>
  <c r="G145" i="2"/>
  <c r="F145" i="2"/>
  <c r="B145" i="2"/>
  <c r="A145" i="2"/>
  <c r="CB144" i="2"/>
  <c r="BZ144" i="2"/>
  <c r="BW144" i="2"/>
  <c r="BS144" i="2"/>
  <c r="BU144" i="2" s="1"/>
  <c r="BR144" i="2"/>
  <c r="BT144" i="2" s="1"/>
  <c r="BH144" i="2"/>
  <c r="BD144" i="2"/>
  <c r="BC144" i="2"/>
  <c r="AW144" i="2"/>
  <c r="AX144" i="2" s="1"/>
  <c r="AV144" i="2"/>
  <c r="AY144" i="2" s="1"/>
  <c r="BN144" i="2" s="1"/>
  <c r="BO144" i="2" s="1"/>
  <c r="AU144" i="2"/>
  <c r="AQ144" i="2"/>
  <c r="AO144" i="2"/>
  <c r="AN144" i="2"/>
  <c r="U144" i="2"/>
  <c r="T144" i="2"/>
  <c r="Q144" i="2"/>
  <c r="O144" i="2"/>
  <c r="N144" i="2"/>
  <c r="M144" i="2"/>
  <c r="K144" i="2"/>
  <c r="I144" i="2"/>
  <c r="G144" i="2"/>
  <c r="F144" i="2"/>
  <c r="B144" i="2"/>
  <c r="A144" i="2"/>
  <c r="CB143" i="2"/>
  <c r="BZ143" i="2"/>
  <c r="BW143" i="2"/>
  <c r="BS143" i="2"/>
  <c r="BU143" i="2" s="1"/>
  <c r="BR143" i="2"/>
  <c r="BT143" i="2" s="1"/>
  <c r="BH143" i="2"/>
  <c r="BD143" i="2"/>
  <c r="BC143" i="2"/>
  <c r="AW143" i="2"/>
  <c r="AX143" i="2" s="1"/>
  <c r="AV143" i="2"/>
  <c r="AY143" i="2" s="1"/>
  <c r="AU143" i="2"/>
  <c r="AQ143" i="2"/>
  <c r="AO143" i="2"/>
  <c r="AN143" i="2"/>
  <c r="U143" i="2"/>
  <c r="T143" i="2"/>
  <c r="Q143" i="2"/>
  <c r="O143" i="2"/>
  <c r="N143" i="2"/>
  <c r="M143" i="2"/>
  <c r="K143" i="2"/>
  <c r="I143" i="2"/>
  <c r="G143" i="2"/>
  <c r="F143" i="2"/>
  <c r="B143" i="2"/>
  <c r="A143" i="2"/>
  <c r="CB142" i="2"/>
  <c r="BZ142" i="2"/>
  <c r="BW142" i="2"/>
  <c r="BS142" i="2"/>
  <c r="BU142" i="2" s="1"/>
  <c r="BR142" i="2"/>
  <c r="BT142" i="2" s="1"/>
  <c r="BH142" i="2"/>
  <c r="BD142" i="2"/>
  <c r="BC142" i="2"/>
  <c r="AW142" i="2"/>
  <c r="AX142" i="2" s="1"/>
  <c r="AV142" i="2"/>
  <c r="AY142" i="2" s="1"/>
  <c r="BN142" i="2" s="1"/>
  <c r="BO142" i="2" s="1"/>
  <c r="AU142" i="2"/>
  <c r="AQ142" i="2"/>
  <c r="AO142" i="2"/>
  <c r="AN142" i="2"/>
  <c r="U142" i="2"/>
  <c r="T142" i="2"/>
  <c r="Q142" i="2"/>
  <c r="O142" i="2"/>
  <c r="N142" i="2"/>
  <c r="M142" i="2"/>
  <c r="K142" i="2"/>
  <c r="I142" i="2"/>
  <c r="G142" i="2"/>
  <c r="F142" i="2"/>
  <c r="B142" i="2"/>
  <c r="A142" i="2"/>
  <c r="CB141" i="2"/>
  <c r="BZ141" i="2"/>
  <c r="BW141" i="2"/>
  <c r="BS141" i="2"/>
  <c r="BU141" i="2" s="1"/>
  <c r="BR141" i="2"/>
  <c r="BT141" i="2" s="1"/>
  <c r="BH141" i="2"/>
  <c r="BD141" i="2"/>
  <c r="BC141" i="2"/>
  <c r="AW141" i="2"/>
  <c r="AX141" i="2" s="1"/>
  <c r="AV141" i="2"/>
  <c r="AY141" i="2" s="1"/>
  <c r="AU141" i="2"/>
  <c r="AQ141" i="2"/>
  <c r="AO141" i="2"/>
  <c r="AN141" i="2"/>
  <c r="U141" i="2"/>
  <c r="T141" i="2"/>
  <c r="Q141" i="2"/>
  <c r="O141" i="2"/>
  <c r="N141" i="2"/>
  <c r="M141" i="2"/>
  <c r="K141" i="2"/>
  <c r="I141" i="2"/>
  <c r="G141" i="2"/>
  <c r="F141" i="2"/>
  <c r="B141" i="2"/>
  <c r="A141" i="2"/>
  <c r="CB140" i="2"/>
  <c r="BZ140" i="2"/>
  <c r="BW140" i="2"/>
  <c r="BS140" i="2"/>
  <c r="BU140" i="2" s="1"/>
  <c r="BR140" i="2"/>
  <c r="BT140" i="2" s="1"/>
  <c r="BH140" i="2"/>
  <c r="BD140" i="2"/>
  <c r="BC140" i="2"/>
  <c r="AW140" i="2"/>
  <c r="AX140" i="2" s="1"/>
  <c r="AV140" i="2"/>
  <c r="AY140" i="2" s="1"/>
  <c r="BP140" i="2" s="1"/>
  <c r="BQ140" i="2" s="1"/>
  <c r="BY140" i="2" s="1"/>
  <c r="AU140" i="2"/>
  <c r="AQ140" i="2"/>
  <c r="AO140" i="2"/>
  <c r="AN140" i="2"/>
  <c r="U140" i="2"/>
  <c r="T140" i="2"/>
  <c r="Q140" i="2"/>
  <c r="O140" i="2"/>
  <c r="N140" i="2"/>
  <c r="M140" i="2"/>
  <c r="K140" i="2"/>
  <c r="I140" i="2"/>
  <c r="G140" i="2"/>
  <c r="F140" i="2"/>
  <c r="B140" i="2"/>
  <c r="A140" i="2"/>
  <c r="CB139" i="2"/>
  <c r="BZ139" i="2"/>
  <c r="BW139" i="2"/>
  <c r="BS139" i="2"/>
  <c r="BU139" i="2" s="1"/>
  <c r="BR139" i="2"/>
  <c r="BT139" i="2" s="1"/>
  <c r="BH139" i="2"/>
  <c r="BD139" i="2"/>
  <c r="BC139" i="2"/>
  <c r="AW139" i="2"/>
  <c r="AX139" i="2" s="1"/>
  <c r="AV139" i="2"/>
  <c r="AY139" i="2" s="1"/>
  <c r="BN139" i="2" s="1"/>
  <c r="BO139" i="2" s="1"/>
  <c r="AU139" i="2"/>
  <c r="AQ139" i="2"/>
  <c r="AO139" i="2"/>
  <c r="AN139" i="2"/>
  <c r="U139" i="2"/>
  <c r="T139" i="2"/>
  <c r="Q139" i="2"/>
  <c r="O139" i="2"/>
  <c r="N139" i="2"/>
  <c r="M139" i="2"/>
  <c r="P139" i="2" s="1"/>
  <c r="K139" i="2"/>
  <c r="I139" i="2"/>
  <c r="G139" i="2"/>
  <c r="F139" i="2"/>
  <c r="B139" i="2"/>
  <c r="A139" i="2"/>
  <c r="CB138" i="2"/>
  <c r="BZ138" i="2"/>
  <c r="BW138" i="2"/>
  <c r="BS138" i="2"/>
  <c r="BU138" i="2" s="1"/>
  <c r="BR138" i="2"/>
  <c r="BT138" i="2" s="1"/>
  <c r="BH138" i="2"/>
  <c r="BD138" i="2"/>
  <c r="BC138" i="2"/>
  <c r="AW138" i="2"/>
  <c r="AX138" i="2" s="1"/>
  <c r="AV138" i="2"/>
  <c r="AY138" i="2" s="1"/>
  <c r="BN138" i="2" s="1"/>
  <c r="BO138" i="2" s="1"/>
  <c r="AU138" i="2"/>
  <c r="AQ138" i="2"/>
  <c r="AO138" i="2"/>
  <c r="AN138" i="2"/>
  <c r="U138" i="2"/>
  <c r="T138" i="2"/>
  <c r="Q138" i="2"/>
  <c r="O138" i="2"/>
  <c r="N138" i="2"/>
  <c r="M138" i="2"/>
  <c r="P138" i="2" s="1"/>
  <c r="K138" i="2"/>
  <c r="I138" i="2"/>
  <c r="G138" i="2"/>
  <c r="F138" i="2"/>
  <c r="B138" i="2"/>
  <c r="A138" i="2"/>
  <c r="CB137" i="2"/>
  <c r="BZ137" i="2"/>
  <c r="BW137" i="2"/>
  <c r="BS137" i="2"/>
  <c r="BU137" i="2" s="1"/>
  <c r="BR137" i="2"/>
  <c r="BT137" i="2" s="1"/>
  <c r="BH137" i="2"/>
  <c r="BD137" i="2"/>
  <c r="BC137" i="2"/>
  <c r="AY137" i="2"/>
  <c r="BN137" i="2" s="1"/>
  <c r="BO137" i="2" s="1"/>
  <c r="AX137" i="2"/>
  <c r="AW137" i="2"/>
  <c r="AV137" i="2"/>
  <c r="AU137" i="2"/>
  <c r="AQ137" i="2"/>
  <c r="AO137" i="2"/>
  <c r="AN137" i="2"/>
  <c r="U137" i="2"/>
  <c r="T137" i="2"/>
  <c r="Q137" i="2"/>
  <c r="O137" i="2"/>
  <c r="N137" i="2"/>
  <c r="M137" i="2"/>
  <c r="K137" i="2"/>
  <c r="I137" i="2"/>
  <c r="G137" i="2"/>
  <c r="F137" i="2"/>
  <c r="B137" i="2"/>
  <c r="A137" i="2"/>
  <c r="CB136" i="2"/>
  <c r="BZ136" i="2"/>
  <c r="BW136" i="2"/>
  <c r="BS136" i="2"/>
  <c r="BU136" i="2" s="1"/>
  <c r="BR136" i="2"/>
  <c r="BT136" i="2" s="1"/>
  <c r="BH136" i="2"/>
  <c r="BD136" i="2"/>
  <c r="BC136" i="2"/>
  <c r="AW136" i="2"/>
  <c r="AX136" i="2" s="1"/>
  <c r="AV136" i="2"/>
  <c r="AY136" i="2" s="1"/>
  <c r="BN136" i="2" s="1"/>
  <c r="BO136" i="2" s="1"/>
  <c r="AU136" i="2"/>
  <c r="AQ136" i="2"/>
  <c r="AO136" i="2"/>
  <c r="AN136" i="2"/>
  <c r="AP136" i="2" s="1"/>
  <c r="U136" i="2"/>
  <c r="T136" i="2"/>
  <c r="Q136" i="2"/>
  <c r="O136" i="2"/>
  <c r="N136" i="2"/>
  <c r="M136" i="2"/>
  <c r="K136" i="2"/>
  <c r="I136" i="2"/>
  <c r="G136" i="2"/>
  <c r="F136" i="2"/>
  <c r="B136" i="2"/>
  <c r="A136" i="2"/>
  <c r="CB135" i="2"/>
  <c r="BZ135" i="2"/>
  <c r="BW135" i="2"/>
  <c r="BS135" i="2"/>
  <c r="BU135" i="2" s="1"/>
  <c r="BR135" i="2"/>
  <c r="BT135" i="2" s="1"/>
  <c r="BH135" i="2"/>
  <c r="BD135" i="2"/>
  <c r="BC135" i="2"/>
  <c r="AW135" i="2"/>
  <c r="AX135" i="2" s="1"/>
  <c r="AV135" i="2"/>
  <c r="AY135" i="2" s="1"/>
  <c r="BN135" i="2" s="1"/>
  <c r="BO135" i="2" s="1"/>
  <c r="AU135" i="2"/>
  <c r="AQ135" i="2"/>
  <c r="AO135" i="2"/>
  <c r="AN135" i="2"/>
  <c r="U135" i="2"/>
  <c r="T135" i="2"/>
  <c r="Q135" i="2"/>
  <c r="O135" i="2"/>
  <c r="N135" i="2"/>
  <c r="M135" i="2"/>
  <c r="K135" i="2"/>
  <c r="I135" i="2"/>
  <c r="G135" i="2"/>
  <c r="F135" i="2"/>
  <c r="AS135" i="2" s="1"/>
  <c r="B135" i="2"/>
  <c r="A135" i="2"/>
  <c r="CB134" i="2"/>
  <c r="CA134" i="2"/>
  <c r="BZ134" i="2"/>
  <c r="BW134" i="2"/>
  <c r="BS134" i="2"/>
  <c r="BU134" i="2" s="1"/>
  <c r="BR134" i="2"/>
  <c r="BT134" i="2" s="1"/>
  <c r="BH134" i="2"/>
  <c r="BD134" i="2"/>
  <c r="BC134" i="2"/>
  <c r="AW134" i="2"/>
  <c r="AV134" i="2"/>
  <c r="AU134" i="2"/>
  <c r="AQ134" i="2"/>
  <c r="AO134" i="2"/>
  <c r="AN134" i="2"/>
  <c r="U134" i="2"/>
  <c r="T134" i="2"/>
  <c r="Q134" i="2"/>
  <c r="O134" i="2"/>
  <c r="N134" i="2"/>
  <c r="M134" i="2"/>
  <c r="K134" i="2"/>
  <c r="I134" i="2"/>
  <c r="G134" i="2"/>
  <c r="F134" i="2"/>
  <c r="B134" i="2"/>
  <c r="A134" i="2"/>
  <c r="CB133" i="2"/>
  <c r="BZ133" i="2"/>
  <c r="BW133" i="2"/>
  <c r="BS133" i="2"/>
  <c r="BU133" i="2" s="1"/>
  <c r="BR133" i="2"/>
  <c r="BT133" i="2" s="1"/>
  <c r="BH133" i="2"/>
  <c r="BD133" i="2"/>
  <c r="BC133" i="2"/>
  <c r="AW133" i="2"/>
  <c r="AX133" i="2" s="1"/>
  <c r="AV133" i="2"/>
  <c r="AY133" i="2" s="1"/>
  <c r="BN133" i="2" s="1"/>
  <c r="BO133" i="2" s="1"/>
  <c r="AU133" i="2"/>
  <c r="AQ133" i="2"/>
  <c r="AO133" i="2"/>
  <c r="AN133" i="2"/>
  <c r="U133" i="2"/>
  <c r="T133" i="2"/>
  <c r="Q133" i="2"/>
  <c r="BX133" i="2" s="1"/>
  <c r="O133" i="2"/>
  <c r="N133" i="2"/>
  <c r="M133" i="2"/>
  <c r="K133" i="2"/>
  <c r="I133" i="2"/>
  <c r="G133" i="2"/>
  <c r="F133" i="2"/>
  <c r="B133" i="2"/>
  <c r="A133" i="2"/>
  <c r="CB132" i="2"/>
  <c r="BZ132" i="2"/>
  <c r="BW132" i="2"/>
  <c r="BS132" i="2"/>
  <c r="BU132" i="2" s="1"/>
  <c r="BR132" i="2"/>
  <c r="BT132" i="2" s="1"/>
  <c r="BH132" i="2"/>
  <c r="BD132" i="2"/>
  <c r="BC132" i="2"/>
  <c r="AW132" i="2"/>
  <c r="AX132" i="2" s="1"/>
  <c r="AV132" i="2"/>
  <c r="AY132" i="2" s="1"/>
  <c r="AU132" i="2"/>
  <c r="AQ132" i="2"/>
  <c r="AO132" i="2"/>
  <c r="AN132" i="2"/>
  <c r="U132" i="2"/>
  <c r="T132" i="2"/>
  <c r="Q132" i="2"/>
  <c r="O132" i="2"/>
  <c r="N132" i="2"/>
  <c r="M132" i="2"/>
  <c r="K132" i="2"/>
  <c r="I132" i="2"/>
  <c r="G132" i="2"/>
  <c r="F132" i="2"/>
  <c r="B132" i="2"/>
  <c r="A132" i="2"/>
  <c r="CB131" i="2"/>
  <c r="BZ131" i="2"/>
  <c r="BW131" i="2"/>
  <c r="BS131" i="2"/>
  <c r="BU131" i="2" s="1"/>
  <c r="BR131" i="2"/>
  <c r="BT131" i="2" s="1"/>
  <c r="BH131" i="2"/>
  <c r="BD131" i="2"/>
  <c r="BC131" i="2"/>
  <c r="AW131" i="2"/>
  <c r="AV131" i="2"/>
  <c r="AU131" i="2"/>
  <c r="AQ131" i="2"/>
  <c r="AO131" i="2"/>
  <c r="AN131" i="2"/>
  <c r="U131" i="2"/>
  <c r="T131" i="2"/>
  <c r="Q131" i="2"/>
  <c r="O131" i="2"/>
  <c r="N131" i="2"/>
  <c r="M131" i="2"/>
  <c r="K131" i="2"/>
  <c r="I131" i="2"/>
  <c r="G131" i="2"/>
  <c r="F131" i="2"/>
  <c r="B131" i="2"/>
  <c r="A131" i="2"/>
  <c r="CB130" i="2"/>
  <c r="BZ130" i="2"/>
  <c r="BW130" i="2"/>
  <c r="BS130" i="2"/>
  <c r="BU130" i="2" s="1"/>
  <c r="BR130" i="2"/>
  <c r="BT130" i="2" s="1"/>
  <c r="BH130" i="2"/>
  <c r="BD130" i="2"/>
  <c r="BC130" i="2"/>
  <c r="AW130" i="2"/>
  <c r="AX130" i="2" s="1"/>
  <c r="AV130" i="2"/>
  <c r="AY130" i="2" s="1"/>
  <c r="BN130" i="2" s="1"/>
  <c r="BO130" i="2" s="1"/>
  <c r="AU130" i="2"/>
  <c r="AQ130" i="2"/>
  <c r="AO130" i="2"/>
  <c r="AN130" i="2"/>
  <c r="U130" i="2"/>
  <c r="T130" i="2"/>
  <c r="Q130" i="2"/>
  <c r="O130" i="2"/>
  <c r="N130" i="2"/>
  <c r="M130" i="2"/>
  <c r="K130" i="2"/>
  <c r="I130" i="2"/>
  <c r="G130" i="2"/>
  <c r="F130" i="2"/>
  <c r="B130" i="2"/>
  <c r="A130" i="2"/>
  <c r="CB129" i="2"/>
  <c r="BZ129" i="2"/>
  <c r="BW129" i="2"/>
  <c r="BS129" i="2"/>
  <c r="BU129" i="2" s="1"/>
  <c r="BR129" i="2"/>
  <c r="BT129" i="2" s="1"/>
  <c r="BH129" i="2"/>
  <c r="BD129" i="2"/>
  <c r="BC129" i="2"/>
  <c r="AW129" i="2"/>
  <c r="AX129" i="2" s="1"/>
  <c r="AV129" i="2"/>
  <c r="AY129" i="2" s="1"/>
  <c r="BN129" i="2" s="1"/>
  <c r="BO129" i="2" s="1"/>
  <c r="AU129" i="2"/>
  <c r="AQ129" i="2"/>
  <c r="AO129" i="2"/>
  <c r="AN129" i="2"/>
  <c r="U129" i="2"/>
  <c r="T129" i="2"/>
  <c r="Q129" i="2"/>
  <c r="O129" i="2"/>
  <c r="N129" i="2"/>
  <c r="M129" i="2"/>
  <c r="P129" i="2" s="1"/>
  <c r="K129" i="2"/>
  <c r="I129" i="2"/>
  <c r="G129" i="2"/>
  <c r="F129" i="2"/>
  <c r="B129" i="2"/>
  <c r="A129" i="2"/>
  <c r="CB128" i="2"/>
  <c r="BZ128" i="2"/>
  <c r="BW128" i="2"/>
  <c r="BS128" i="2"/>
  <c r="BU128" i="2" s="1"/>
  <c r="BR128" i="2"/>
  <c r="BT128" i="2" s="1"/>
  <c r="BH128" i="2"/>
  <c r="BD128" i="2"/>
  <c r="BC128" i="2"/>
  <c r="AW128" i="2"/>
  <c r="AX128" i="2" s="1"/>
  <c r="AV128" i="2"/>
  <c r="AY128" i="2" s="1"/>
  <c r="AU128" i="2"/>
  <c r="AQ128" i="2"/>
  <c r="AO128" i="2"/>
  <c r="AN128" i="2"/>
  <c r="U128" i="2"/>
  <c r="T128" i="2"/>
  <c r="Q128" i="2"/>
  <c r="O128" i="2"/>
  <c r="N128" i="2"/>
  <c r="M128" i="2"/>
  <c r="K128" i="2"/>
  <c r="I128" i="2"/>
  <c r="G128" i="2"/>
  <c r="F128" i="2"/>
  <c r="B128" i="2"/>
  <c r="A128" i="2"/>
  <c r="CB127" i="2"/>
  <c r="BZ127" i="2"/>
  <c r="BW127" i="2"/>
  <c r="BS127" i="2"/>
  <c r="BU127" i="2" s="1"/>
  <c r="BR127" i="2"/>
  <c r="BT127" i="2" s="1"/>
  <c r="BH127" i="2"/>
  <c r="BD127" i="2"/>
  <c r="BC127" i="2"/>
  <c r="AW127" i="2"/>
  <c r="AX127" i="2" s="1"/>
  <c r="AV127" i="2"/>
  <c r="AY127" i="2" s="1"/>
  <c r="BN127" i="2" s="1"/>
  <c r="BO127" i="2" s="1"/>
  <c r="AU127" i="2"/>
  <c r="AQ127" i="2"/>
  <c r="AO127" i="2"/>
  <c r="AN127" i="2"/>
  <c r="U127" i="2"/>
  <c r="T127" i="2"/>
  <c r="Q127" i="2"/>
  <c r="O127" i="2"/>
  <c r="N127" i="2"/>
  <c r="M127" i="2"/>
  <c r="K127" i="2"/>
  <c r="I127" i="2"/>
  <c r="G127" i="2"/>
  <c r="F127" i="2"/>
  <c r="B127" i="2"/>
  <c r="A127" i="2"/>
  <c r="CB126" i="2"/>
  <c r="BZ126" i="2"/>
  <c r="BW126" i="2"/>
  <c r="BS126" i="2"/>
  <c r="BU126" i="2" s="1"/>
  <c r="BR126" i="2"/>
  <c r="BT126" i="2" s="1"/>
  <c r="BH126" i="2"/>
  <c r="BD126" i="2"/>
  <c r="BC126" i="2"/>
  <c r="AW126" i="2"/>
  <c r="AX126" i="2" s="1"/>
  <c r="AV126" i="2"/>
  <c r="AY126" i="2" s="1"/>
  <c r="BN126" i="2" s="1"/>
  <c r="BO126" i="2" s="1"/>
  <c r="AU126" i="2"/>
  <c r="AQ126" i="2"/>
  <c r="AO126" i="2"/>
  <c r="AN126" i="2"/>
  <c r="U126" i="2"/>
  <c r="T126" i="2"/>
  <c r="Q126" i="2"/>
  <c r="O126" i="2"/>
  <c r="N126" i="2"/>
  <c r="M126" i="2"/>
  <c r="K126" i="2"/>
  <c r="I126" i="2"/>
  <c r="G126" i="2"/>
  <c r="F126" i="2"/>
  <c r="B126" i="2"/>
  <c r="A126" i="2"/>
  <c r="CB125" i="2"/>
  <c r="BZ125" i="2"/>
  <c r="BW125" i="2"/>
  <c r="BS125" i="2"/>
  <c r="BU125" i="2" s="1"/>
  <c r="BR125" i="2"/>
  <c r="BT125" i="2" s="1"/>
  <c r="BH125" i="2"/>
  <c r="BD125" i="2"/>
  <c r="BC125" i="2"/>
  <c r="AW125" i="2"/>
  <c r="AX125" i="2" s="1"/>
  <c r="AV125" i="2"/>
  <c r="AY125" i="2" s="1"/>
  <c r="BN125" i="2" s="1"/>
  <c r="BO125" i="2" s="1"/>
  <c r="AU125" i="2"/>
  <c r="AQ125" i="2"/>
  <c r="AO125" i="2"/>
  <c r="AN125" i="2"/>
  <c r="U125" i="2"/>
  <c r="T125" i="2"/>
  <c r="Q125" i="2"/>
  <c r="O125" i="2"/>
  <c r="N125" i="2"/>
  <c r="M125" i="2"/>
  <c r="K125" i="2"/>
  <c r="I125" i="2"/>
  <c r="G125" i="2"/>
  <c r="F125" i="2"/>
  <c r="B125" i="2"/>
  <c r="A125" i="2"/>
  <c r="CB124" i="2"/>
  <c r="BZ124" i="2"/>
  <c r="BW124" i="2"/>
  <c r="BS124" i="2"/>
  <c r="BU124" i="2" s="1"/>
  <c r="BR124" i="2"/>
  <c r="BT124" i="2" s="1"/>
  <c r="BH124" i="2"/>
  <c r="BD124" i="2"/>
  <c r="BC124" i="2"/>
  <c r="AW124" i="2"/>
  <c r="AX124" i="2" s="1"/>
  <c r="AV124" i="2"/>
  <c r="AY124" i="2" s="1"/>
  <c r="BN124" i="2" s="1"/>
  <c r="BO124" i="2" s="1"/>
  <c r="AU124" i="2"/>
  <c r="AQ124" i="2"/>
  <c r="AO124" i="2"/>
  <c r="AN124" i="2"/>
  <c r="U124" i="2"/>
  <c r="T124" i="2"/>
  <c r="Q124" i="2"/>
  <c r="O124" i="2"/>
  <c r="N124" i="2"/>
  <c r="M124" i="2"/>
  <c r="K124" i="2"/>
  <c r="I124" i="2"/>
  <c r="G124" i="2"/>
  <c r="F124" i="2"/>
  <c r="B124" i="2"/>
  <c r="A124" i="2"/>
  <c r="CB123" i="2"/>
  <c r="BZ123" i="2"/>
  <c r="BW123" i="2"/>
  <c r="BS123" i="2"/>
  <c r="BU123" i="2" s="1"/>
  <c r="BR123" i="2"/>
  <c r="BT123" i="2" s="1"/>
  <c r="BH123" i="2"/>
  <c r="BD123" i="2"/>
  <c r="BC123" i="2"/>
  <c r="AW123" i="2"/>
  <c r="AX123" i="2" s="1"/>
  <c r="AV123" i="2"/>
  <c r="AY123" i="2" s="1"/>
  <c r="AU123" i="2"/>
  <c r="AQ123" i="2"/>
  <c r="AO123" i="2"/>
  <c r="AN123" i="2"/>
  <c r="U123" i="2"/>
  <c r="Q123" i="2"/>
  <c r="O123" i="2"/>
  <c r="N123" i="2"/>
  <c r="M123" i="2"/>
  <c r="K123" i="2"/>
  <c r="I123" i="2"/>
  <c r="G123" i="2"/>
  <c r="F123" i="2"/>
  <c r="B123" i="2"/>
  <c r="A123" i="2"/>
  <c r="CB122" i="2"/>
  <c r="BZ122" i="2"/>
  <c r="BW122" i="2"/>
  <c r="BS122" i="2"/>
  <c r="BU122" i="2" s="1"/>
  <c r="BR122" i="2"/>
  <c r="BT122" i="2" s="1"/>
  <c r="BH122" i="2"/>
  <c r="BD122" i="2"/>
  <c r="BC122" i="2"/>
  <c r="AW122" i="2"/>
  <c r="AX122" i="2" s="1"/>
  <c r="AV122" i="2"/>
  <c r="AY122" i="2" s="1"/>
  <c r="BP122" i="2" s="1"/>
  <c r="BQ122" i="2" s="1"/>
  <c r="BY122" i="2" s="1"/>
  <c r="AU122" i="2"/>
  <c r="AQ122" i="2"/>
  <c r="AO122" i="2"/>
  <c r="AN122" i="2"/>
  <c r="U122" i="2"/>
  <c r="T122" i="2"/>
  <c r="Q122" i="2"/>
  <c r="O122" i="2"/>
  <c r="N122" i="2"/>
  <c r="M122" i="2"/>
  <c r="K122" i="2"/>
  <c r="I122" i="2"/>
  <c r="G122" i="2"/>
  <c r="F122" i="2"/>
  <c r="B122" i="2"/>
  <c r="A122" i="2"/>
  <c r="CB121" i="2"/>
  <c r="BZ121" i="2"/>
  <c r="BW121" i="2"/>
  <c r="BS121" i="2"/>
  <c r="BU121" i="2" s="1"/>
  <c r="BR121" i="2"/>
  <c r="BT121" i="2" s="1"/>
  <c r="BH121" i="2"/>
  <c r="BD121" i="2"/>
  <c r="BC121" i="2"/>
  <c r="AW121" i="2"/>
  <c r="AX121" i="2" s="1"/>
  <c r="AV121" i="2"/>
  <c r="AY121" i="2" s="1"/>
  <c r="BN121" i="2" s="1"/>
  <c r="BO121" i="2" s="1"/>
  <c r="AU121" i="2"/>
  <c r="AQ121" i="2"/>
  <c r="AO121" i="2"/>
  <c r="AN121" i="2"/>
  <c r="U121" i="2"/>
  <c r="T121" i="2"/>
  <c r="Q121" i="2"/>
  <c r="O121" i="2"/>
  <c r="N121" i="2"/>
  <c r="M121" i="2"/>
  <c r="K121" i="2"/>
  <c r="I121" i="2"/>
  <c r="G121" i="2"/>
  <c r="F121" i="2"/>
  <c r="B121" i="2"/>
  <c r="A121" i="2"/>
  <c r="CB120" i="2"/>
  <c r="BZ120" i="2"/>
  <c r="BW120" i="2"/>
  <c r="BS120" i="2"/>
  <c r="BU120" i="2" s="1"/>
  <c r="BR120" i="2"/>
  <c r="BT120" i="2" s="1"/>
  <c r="BH120" i="2"/>
  <c r="BD120" i="2"/>
  <c r="BC120" i="2"/>
  <c r="AW120" i="2"/>
  <c r="AX120" i="2" s="1"/>
  <c r="AV120" i="2"/>
  <c r="AY120" i="2" s="1"/>
  <c r="BN120" i="2" s="1"/>
  <c r="BO120" i="2" s="1"/>
  <c r="AU120" i="2"/>
  <c r="AQ120" i="2"/>
  <c r="AO120" i="2"/>
  <c r="AN120" i="2"/>
  <c r="U120" i="2"/>
  <c r="T120" i="2"/>
  <c r="Q120" i="2"/>
  <c r="O120" i="2"/>
  <c r="N120" i="2"/>
  <c r="M120" i="2"/>
  <c r="K120" i="2"/>
  <c r="I120" i="2"/>
  <c r="G120" i="2"/>
  <c r="F120" i="2"/>
  <c r="B120" i="2"/>
  <c r="A120" i="2"/>
  <c r="CB119" i="2"/>
  <c r="BZ119" i="2"/>
  <c r="BW119" i="2"/>
  <c r="BT119" i="2"/>
  <c r="BS119" i="2"/>
  <c r="BU119" i="2" s="1"/>
  <c r="BR119" i="2"/>
  <c r="BH119" i="2"/>
  <c r="BD119" i="2"/>
  <c r="BC119" i="2"/>
  <c r="AW119" i="2"/>
  <c r="AX119" i="2" s="1"/>
  <c r="AV119" i="2"/>
  <c r="AY119" i="2" s="1"/>
  <c r="BP119" i="2" s="1"/>
  <c r="BQ119" i="2" s="1"/>
  <c r="BY119" i="2" s="1"/>
  <c r="AU119" i="2"/>
  <c r="AQ119" i="2"/>
  <c r="AO119" i="2"/>
  <c r="AN119" i="2"/>
  <c r="U119" i="2"/>
  <c r="T119" i="2"/>
  <c r="Q119" i="2"/>
  <c r="O119" i="2"/>
  <c r="N119" i="2"/>
  <c r="M119" i="2"/>
  <c r="K119" i="2"/>
  <c r="I119" i="2"/>
  <c r="G119" i="2"/>
  <c r="F119" i="2"/>
  <c r="B119" i="2"/>
  <c r="A119" i="2"/>
  <c r="CB118" i="2"/>
  <c r="BZ118" i="2"/>
  <c r="BW118" i="2"/>
  <c r="BS118" i="2"/>
  <c r="BU118" i="2" s="1"/>
  <c r="BR118" i="2"/>
  <c r="BT118" i="2" s="1"/>
  <c r="BH118" i="2"/>
  <c r="BD118" i="2"/>
  <c r="BC118" i="2"/>
  <c r="AW118" i="2"/>
  <c r="AX118" i="2" s="1"/>
  <c r="AV118" i="2"/>
  <c r="AY118" i="2" s="1"/>
  <c r="BN118" i="2" s="1"/>
  <c r="BO118" i="2" s="1"/>
  <c r="AU118" i="2"/>
  <c r="AQ118" i="2"/>
  <c r="AO118" i="2"/>
  <c r="AN118" i="2"/>
  <c r="U118" i="2"/>
  <c r="T118" i="2"/>
  <c r="Q118" i="2"/>
  <c r="BX118" i="2" s="1"/>
  <c r="O118" i="2"/>
  <c r="N118" i="2"/>
  <c r="M118" i="2"/>
  <c r="K118" i="2"/>
  <c r="I118" i="2"/>
  <c r="G118" i="2"/>
  <c r="F118" i="2"/>
  <c r="B118" i="2"/>
  <c r="A118" i="2"/>
  <c r="CB117" i="2"/>
  <c r="BZ117" i="2"/>
  <c r="BW117" i="2"/>
  <c r="BS117" i="2"/>
  <c r="BU117" i="2" s="1"/>
  <c r="BR117" i="2"/>
  <c r="BT117" i="2" s="1"/>
  <c r="BH117" i="2"/>
  <c r="BD117" i="2"/>
  <c r="BC117" i="2"/>
  <c r="AW117" i="2"/>
  <c r="AX117" i="2" s="1"/>
  <c r="AV117" i="2"/>
  <c r="AY117" i="2" s="1"/>
  <c r="BN117" i="2" s="1"/>
  <c r="BO117" i="2" s="1"/>
  <c r="AU117" i="2"/>
  <c r="AQ117" i="2"/>
  <c r="AO117" i="2"/>
  <c r="AN117" i="2"/>
  <c r="U117" i="2"/>
  <c r="T117" i="2"/>
  <c r="Q117" i="2"/>
  <c r="O117" i="2"/>
  <c r="N117" i="2"/>
  <c r="M117" i="2"/>
  <c r="K117" i="2"/>
  <c r="I117" i="2"/>
  <c r="G117" i="2"/>
  <c r="F117" i="2"/>
  <c r="B117" i="2"/>
  <c r="A117" i="2"/>
  <c r="CB116" i="2"/>
  <c r="BZ116" i="2"/>
  <c r="BW116" i="2"/>
  <c r="BT116" i="2"/>
  <c r="BS116" i="2"/>
  <c r="BU116" i="2" s="1"/>
  <c r="BR116" i="2"/>
  <c r="BH116" i="2"/>
  <c r="BD116" i="2"/>
  <c r="BC116" i="2"/>
  <c r="AW116" i="2"/>
  <c r="AX116" i="2" s="1"/>
  <c r="AV116" i="2"/>
  <c r="AY116" i="2" s="1"/>
  <c r="BP116" i="2" s="1"/>
  <c r="BQ116" i="2" s="1"/>
  <c r="BY116" i="2" s="1"/>
  <c r="AU116" i="2"/>
  <c r="AQ116" i="2"/>
  <c r="AO116" i="2"/>
  <c r="AN116" i="2"/>
  <c r="U116" i="2"/>
  <c r="T116" i="2"/>
  <c r="Q116" i="2"/>
  <c r="O116" i="2"/>
  <c r="N116" i="2"/>
  <c r="M116" i="2"/>
  <c r="K116" i="2"/>
  <c r="I116" i="2"/>
  <c r="G116" i="2"/>
  <c r="F116" i="2"/>
  <c r="B116" i="2"/>
  <c r="A116" i="2"/>
  <c r="CB115" i="2"/>
  <c r="BZ115" i="2"/>
  <c r="BW115" i="2"/>
  <c r="BS115" i="2"/>
  <c r="BU115" i="2" s="1"/>
  <c r="BR115" i="2"/>
  <c r="BT115" i="2" s="1"/>
  <c r="BH115" i="2"/>
  <c r="BD115" i="2"/>
  <c r="BC115" i="2"/>
  <c r="AW115" i="2"/>
  <c r="AX115" i="2" s="1"/>
  <c r="AV115" i="2"/>
  <c r="AY115" i="2" s="1"/>
  <c r="BN115" i="2" s="1"/>
  <c r="BO115" i="2" s="1"/>
  <c r="AU115" i="2"/>
  <c r="AQ115" i="2"/>
  <c r="AO115" i="2"/>
  <c r="AP115" i="2" s="1"/>
  <c r="AN115" i="2"/>
  <c r="U115" i="2"/>
  <c r="T115" i="2"/>
  <c r="Q115" i="2"/>
  <c r="BX115" i="2" s="1"/>
  <c r="O115" i="2"/>
  <c r="N115" i="2"/>
  <c r="M115" i="2"/>
  <c r="K115" i="2"/>
  <c r="I115" i="2"/>
  <c r="G115" i="2"/>
  <c r="F115" i="2"/>
  <c r="B115" i="2"/>
  <c r="A115" i="2"/>
  <c r="CB114" i="2"/>
  <c r="BZ114" i="2"/>
  <c r="BW114" i="2"/>
  <c r="BS114" i="2"/>
  <c r="BU114" i="2" s="1"/>
  <c r="BR114" i="2"/>
  <c r="BT114" i="2" s="1"/>
  <c r="BH114" i="2"/>
  <c r="BD114" i="2"/>
  <c r="BC114" i="2"/>
  <c r="AW114" i="2"/>
  <c r="AX114" i="2" s="1"/>
  <c r="AV114" i="2"/>
  <c r="AU114" i="2"/>
  <c r="AQ114" i="2"/>
  <c r="AO114" i="2"/>
  <c r="AN114" i="2"/>
  <c r="U114" i="2"/>
  <c r="T114" i="2"/>
  <c r="Q114" i="2"/>
  <c r="O114" i="2"/>
  <c r="N114" i="2"/>
  <c r="M114" i="2"/>
  <c r="K114" i="2"/>
  <c r="I114" i="2"/>
  <c r="G114" i="2"/>
  <c r="F114" i="2"/>
  <c r="B114" i="2"/>
  <c r="A114" i="2"/>
  <c r="CB113" i="2"/>
  <c r="BZ113" i="2"/>
  <c r="BW113" i="2"/>
  <c r="BS113" i="2"/>
  <c r="BU113" i="2" s="1"/>
  <c r="BR113" i="2"/>
  <c r="BT113" i="2" s="1"/>
  <c r="BH113" i="2"/>
  <c r="BD113" i="2"/>
  <c r="BC113" i="2"/>
  <c r="AW113" i="2"/>
  <c r="AX113" i="2" s="1"/>
  <c r="AV113" i="2"/>
  <c r="AY113" i="2" s="1"/>
  <c r="AU113" i="2"/>
  <c r="AQ113" i="2"/>
  <c r="AO113" i="2"/>
  <c r="AN113" i="2"/>
  <c r="U113" i="2"/>
  <c r="T113" i="2"/>
  <c r="Q113" i="2"/>
  <c r="O113" i="2"/>
  <c r="N113" i="2"/>
  <c r="M113" i="2"/>
  <c r="K113" i="2"/>
  <c r="I113" i="2"/>
  <c r="G113" i="2"/>
  <c r="F113" i="2"/>
  <c r="B113" i="2"/>
  <c r="A113" i="2"/>
  <c r="CB112" i="2"/>
  <c r="BZ112" i="2"/>
  <c r="BW112" i="2"/>
  <c r="BS112" i="2"/>
  <c r="BU112" i="2" s="1"/>
  <c r="BR112" i="2"/>
  <c r="BT112" i="2" s="1"/>
  <c r="BH112" i="2"/>
  <c r="BD112" i="2"/>
  <c r="BC112" i="2"/>
  <c r="AW112" i="2"/>
  <c r="AX112" i="2" s="1"/>
  <c r="AV112" i="2"/>
  <c r="AY112" i="2" s="1"/>
  <c r="BN112" i="2" s="1"/>
  <c r="BO112" i="2" s="1"/>
  <c r="AU112" i="2"/>
  <c r="AQ112" i="2"/>
  <c r="AO112" i="2"/>
  <c r="AN112" i="2"/>
  <c r="U112" i="2"/>
  <c r="T112" i="2"/>
  <c r="Q112" i="2"/>
  <c r="O112" i="2"/>
  <c r="N112" i="2"/>
  <c r="M112" i="2"/>
  <c r="K112" i="2"/>
  <c r="I112" i="2"/>
  <c r="G112" i="2"/>
  <c r="F112" i="2"/>
  <c r="B112" i="2"/>
  <c r="A112" i="2"/>
  <c r="CB111" i="2"/>
  <c r="BZ111" i="2"/>
  <c r="BW111" i="2"/>
  <c r="BS111" i="2"/>
  <c r="BU111" i="2" s="1"/>
  <c r="BR111" i="2"/>
  <c r="BT111" i="2" s="1"/>
  <c r="BH111" i="2"/>
  <c r="BD111" i="2"/>
  <c r="BC111" i="2"/>
  <c r="AW111" i="2"/>
  <c r="AX111" i="2" s="1"/>
  <c r="AV111" i="2"/>
  <c r="AY111" i="2" s="1"/>
  <c r="AU111" i="2"/>
  <c r="AQ111" i="2"/>
  <c r="AO111" i="2"/>
  <c r="AN111" i="2"/>
  <c r="U111" i="2"/>
  <c r="T111" i="2"/>
  <c r="Q111" i="2"/>
  <c r="O111" i="2"/>
  <c r="N111" i="2"/>
  <c r="M111" i="2"/>
  <c r="K111" i="2"/>
  <c r="I111" i="2"/>
  <c r="G111" i="2"/>
  <c r="F111" i="2"/>
  <c r="B111" i="2"/>
  <c r="A111" i="2"/>
  <c r="CB110" i="2"/>
  <c r="BZ110" i="2"/>
  <c r="BW110" i="2"/>
  <c r="BS110" i="2"/>
  <c r="BU110" i="2" s="1"/>
  <c r="BR110" i="2"/>
  <c r="BT110" i="2" s="1"/>
  <c r="BH110" i="2"/>
  <c r="BD110" i="2"/>
  <c r="BC110" i="2"/>
  <c r="AW110" i="2"/>
  <c r="AX110" i="2" s="1"/>
  <c r="AV110" i="2"/>
  <c r="AY110" i="2" s="1"/>
  <c r="AU110" i="2"/>
  <c r="AQ110" i="2"/>
  <c r="AO110" i="2"/>
  <c r="AN110" i="2"/>
  <c r="U110" i="2"/>
  <c r="T110" i="2"/>
  <c r="Q110" i="2"/>
  <c r="O110" i="2"/>
  <c r="N110" i="2"/>
  <c r="M110" i="2"/>
  <c r="K110" i="2"/>
  <c r="I110" i="2"/>
  <c r="G110" i="2"/>
  <c r="F110" i="2"/>
  <c r="B110" i="2"/>
  <c r="A110" i="2"/>
  <c r="CB109" i="2"/>
  <c r="BZ109" i="2"/>
  <c r="BW109" i="2"/>
  <c r="BS109" i="2"/>
  <c r="BU109" i="2" s="1"/>
  <c r="BR109" i="2"/>
  <c r="BT109" i="2" s="1"/>
  <c r="BH109" i="2"/>
  <c r="BD109" i="2"/>
  <c r="BC109" i="2"/>
  <c r="AW109" i="2"/>
  <c r="AX109" i="2" s="1"/>
  <c r="AV109" i="2"/>
  <c r="AY109" i="2" s="1"/>
  <c r="AU109" i="2"/>
  <c r="AQ109" i="2"/>
  <c r="AO109" i="2"/>
  <c r="AP109" i="2" s="1"/>
  <c r="AR109" i="2" s="1"/>
  <c r="AN109" i="2"/>
  <c r="U109" i="2"/>
  <c r="T109" i="2"/>
  <c r="Q109" i="2"/>
  <c r="O109" i="2"/>
  <c r="N109" i="2"/>
  <c r="M109" i="2"/>
  <c r="K109" i="2"/>
  <c r="I109" i="2"/>
  <c r="G109" i="2"/>
  <c r="F109" i="2"/>
  <c r="B109" i="2"/>
  <c r="A109" i="2"/>
  <c r="CB108" i="2"/>
  <c r="BZ108" i="2"/>
  <c r="BW108" i="2"/>
  <c r="BU108" i="2"/>
  <c r="BS108" i="2"/>
  <c r="BR108" i="2"/>
  <c r="BT108" i="2" s="1"/>
  <c r="BH108" i="2"/>
  <c r="BD108" i="2"/>
  <c r="BC108" i="2"/>
  <c r="AW108" i="2"/>
  <c r="AX108" i="2" s="1"/>
  <c r="AV108" i="2"/>
  <c r="AY108" i="2" s="1"/>
  <c r="BN108" i="2" s="1"/>
  <c r="BO108" i="2" s="1"/>
  <c r="AU108" i="2"/>
  <c r="AQ108" i="2"/>
  <c r="AO108" i="2"/>
  <c r="AN108" i="2"/>
  <c r="AP108" i="2" s="1"/>
  <c r="AR108" i="2" s="1"/>
  <c r="U108" i="2"/>
  <c r="T108" i="2"/>
  <c r="Q108" i="2"/>
  <c r="O108" i="2"/>
  <c r="N108" i="2"/>
  <c r="M108" i="2"/>
  <c r="K108" i="2"/>
  <c r="I108" i="2"/>
  <c r="G108" i="2"/>
  <c r="F108" i="2"/>
  <c r="B108" i="2"/>
  <c r="A108" i="2"/>
  <c r="CB107" i="2"/>
  <c r="BZ107" i="2"/>
  <c r="BW107" i="2"/>
  <c r="BS107" i="2"/>
  <c r="BU107" i="2" s="1"/>
  <c r="BR107" i="2"/>
  <c r="BT107" i="2" s="1"/>
  <c r="BH107" i="2"/>
  <c r="BD107" i="2"/>
  <c r="BC107" i="2"/>
  <c r="AW107" i="2"/>
  <c r="AX107" i="2" s="1"/>
  <c r="AV107" i="2"/>
  <c r="AY107" i="2" s="1"/>
  <c r="AU107" i="2"/>
  <c r="AQ107" i="2"/>
  <c r="AO107" i="2"/>
  <c r="AN107" i="2"/>
  <c r="U107" i="2"/>
  <c r="T107" i="2"/>
  <c r="Q107" i="2"/>
  <c r="O107" i="2"/>
  <c r="N107" i="2"/>
  <c r="M107" i="2"/>
  <c r="K107" i="2"/>
  <c r="I107" i="2"/>
  <c r="G107" i="2"/>
  <c r="F107" i="2"/>
  <c r="B107" i="2"/>
  <c r="A107" i="2"/>
  <c r="CB106" i="2"/>
  <c r="BZ106" i="2"/>
  <c r="BW106" i="2"/>
  <c r="BS106" i="2"/>
  <c r="BU106" i="2" s="1"/>
  <c r="BR106" i="2"/>
  <c r="BT106" i="2" s="1"/>
  <c r="BH106" i="2"/>
  <c r="BD106" i="2"/>
  <c r="BC106" i="2"/>
  <c r="AW106" i="2"/>
  <c r="AX106" i="2" s="1"/>
  <c r="AV106" i="2"/>
  <c r="AY106" i="2" s="1"/>
  <c r="AU106" i="2"/>
  <c r="AQ106" i="2"/>
  <c r="AO106" i="2"/>
  <c r="AN106" i="2"/>
  <c r="U106" i="2"/>
  <c r="T106" i="2"/>
  <c r="Q106" i="2"/>
  <c r="O106" i="2"/>
  <c r="N106" i="2"/>
  <c r="M106" i="2"/>
  <c r="K106" i="2"/>
  <c r="I106" i="2"/>
  <c r="G106" i="2"/>
  <c r="F106" i="2"/>
  <c r="B106" i="2"/>
  <c r="A106" i="2"/>
  <c r="CB105" i="2"/>
  <c r="BZ105" i="2"/>
  <c r="BW105" i="2"/>
  <c r="BS105" i="2"/>
  <c r="BU105" i="2" s="1"/>
  <c r="BR105" i="2"/>
  <c r="BT105" i="2" s="1"/>
  <c r="BH105" i="2"/>
  <c r="BD105" i="2"/>
  <c r="BC105" i="2"/>
  <c r="AW105" i="2"/>
  <c r="AX105" i="2" s="1"/>
  <c r="AV105" i="2"/>
  <c r="AY105" i="2" s="1"/>
  <c r="AU105" i="2"/>
  <c r="AQ105" i="2"/>
  <c r="AO105" i="2"/>
  <c r="AN105" i="2"/>
  <c r="T105" i="2"/>
  <c r="Q105" i="2"/>
  <c r="BX105" i="2" s="1"/>
  <c r="O105" i="2"/>
  <c r="N105" i="2"/>
  <c r="M105" i="2"/>
  <c r="K105" i="2"/>
  <c r="I105" i="2"/>
  <c r="G105" i="2"/>
  <c r="F105" i="2"/>
  <c r="B105" i="2"/>
  <c r="A105" i="2"/>
  <c r="CB104" i="2"/>
  <c r="CA104" i="2"/>
  <c r="BZ104" i="2"/>
  <c r="BW104" i="2"/>
  <c r="BS104" i="2"/>
  <c r="BU104" i="2" s="1"/>
  <c r="BR104" i="2"/>
  <c r="BT104" i="2" s="1"/>
  <c r="BH104" i="2"/>
  <c r="BC104" i="2"/>
  <c r="AW104" i="2"/>
  <c r="AV104" i="2"/>
  <c r="AU104" i="2"/>
  <c r="AQ104" i="2"/>
  <c r="AO104" i="2"/>
  <c r="AN104" i="2"/>
  <c r="T104" i="2"/>
  <c r="Q104" i="2"/>
  <c r="O104" i="2"/>
  <c r="N104" i="2"/>
  <c r="M104" i="2"/>
  <c r="K104" i="2"/>
  <c r="I104" i="2"/>
  <c r="G104" i="2"/>
  <c r="BD104" i="2" s="1"/>
  <c r="F104" i="2"/>
  <c r="B104" i="2"/>
  <c r="A104" i="2"/>
  <c r="CB103" i="2"/>
  <c r="CA103" i="2"/>
  <c r="BZ103" i="2"/>
  <c r="BW103" i="2"/>
  <c r="BT103" i="2"/>
  <c r="BS103" i="2"/>
  <c r="BU103" i="2" s="1"/>
  <c r="BR103" i="2"/>
  <c r="BH103" i="2"/>
  <c r="BC103" i="2"/>
  <c r="AW103" i="2"/>
  <c r="AX103" i="2" s="1"/>
  <c r="AV103" i="2"/>
  <c r="AU103" i="2"/>
  <c r="AQ103" i="2"/>
  <c r="AO103" i="2"/>
  <c r="AN103" i="2"/>
  <c r="T103" i="2"/>
  <c r="Q103" i="2"/>
  <c r="O103" i="2"/>
  <c r="N103" i="2"/>
  <c r="M103" i="2"/>
  <c r="K103" i="2"/>
  <c r="I103" i="2"/>
  <c r="G103" i="2"/>
  <c r="BD103" i="2" s="1"/>
  <c r="F103" i="2"/>
  <c r="B103" i="2"/>
  <c r="A103" i="2"/>
  <c r="CB102" i="2"/>
  <c r="BZ102" i="2"/>
  <c r="BW102" i="2"/>
  <c r="BS102" i="2"/>
  <c r="BU102" i="2" s="1"/>
  <c r="BR102" i="2"/>
  <c r="BT102" i="2" s="1"/>
  <c r="BH102" i="2"/>
  <c r="BD102" i="2"/>
  <c r="BC102" i="2"/>
  <c r="AW102" i="2"/>
  <c r="AX102" i="2" s="1"/>
  <c r="AV102" i="2"/>
  <c r="AU102" i="2"/>
  <c r="AQ102" i="2"/>
  <c r="AO102" i="2"/>
  <c r="AN102" i="2"/>
  <c r="Q102" i="2"/>
  <c r="O102" i="2"/>
  <c r="N102" i="2"/>
  <c r="M102" i="2"/>
  <c r="K102" i="2"/>
  <c r="I102" i="2"/>
  <c r="G102" i="2"/>
  <c r="F102" i="2"/>
  <c r="B102" i="2"/>
  <c r="A102" i="2"/>
  <c r="CB101" i="2"/>
  <c r="BZ101" i="2"/>
  <c r="BW101" i="2"/>
  <c r="BS101" i="2"/>
  <c r="BU101" i="2" s="1"/>
  <c r="BR101" i="2"/>
  <c r="BT101" i="2" s="1"/>
  <c r="BH101" i="2"/>
  <c r="BD101" i="2"/>
  <c r="BC101" i="2"/>
  <c r="AW101" i="2"/>
  <c r="AX101" i="2" s="1"/>
  <c r="AV101" i="2"/>
  <c r="AY101" i="2" s="1"/>
  <c r="AU101" i="2"/>
  <c r="AQ101" i="2"/>
  <c r="AO101" i="2"/>
  <c r="AN101" i="2"/>
  <c r="Q101" i="2"/>
  <c r="O101" i="2"/>
  <c r="N101" i="2"/>
  <c r="M101" i="2"/>
  <c r="K101" i="2"/>
  <c r="I101" i="2"/>
  <c r="G101" i="2"/>
  <c r="F101" i="2"/>
  <c r="B101" i="2"/>
  <c r="A101" i="2"/>
  <c r="CB100" i="2"/>
  <c r="BZ100" i="2"/>
  <c r="BW100" i="2"/>
  <c r="BS100" i="2"/>
  <c r="BU100" i="2" s="1"/>
  <c r="BR100" i="2"/>
  <c r="BT100" i="2" s="1"/>
  <c r="BH100" i="2"/>
  <c r="BD100" i="2"/>
  <c r="BC100" i="2"/>
  <c r="AW100" i="2"/>
  <c r="AX100" i="2" s="1"/>
  <c r="AV100" i="2"/>
  <c r="AY100" i="2" s="1"/>
  <c r="BP100" i="2" s="1"/>
  <c r="BQ100" i="2" s="1"/>
  <c r="BY100" i="2" s="1"/>
  <c r="AU100" i="2"/>
  <c r="AQ100" i="2"/>
  <c r="AN100" i="2"/>
  <c r="T100" i="2"/>
  <c r="Q100" i="2"/>
  <c r="O100" i="2"/>
  <c r="N100" i="2"/>
  <c r="M100" i="2"/>
  <c r="K100" i="2"/>
  <c r="I100" i="2"/>
  <c r="G100" i="2"/>
  <c r="F100" i="2"/>
  <c r="B100" i="2"/>
  <c r="A100" i="2"/>
  <c r="CB99" i="2"/>
  <c r="BZ99" i="2"/>
  <c r="BW99" i="2"/>
  <c r="BT99" i="2"/>
  <c r="BS99" i="2"/>
  <c r="BU99" i="2" s="1"/>
  <c r="BR99" i="2"/>
  <c r="BH99" i="2"/>
  <c r="BD99" i="2"/>
  <c r="BC99" i="2"/>
  <c r="AW99" i="2"/>
  <c r="AX99" i="2" s="1"/>
  <c r="AV99" i="2"/>
  <c r="AU99" i="2"/>
  <c r="AQ99" i="2"/>
  <c r="AN99" i="2"/>
  <c r="T99" i="2"/>
  <c r="Q99" i="2"/>
  <c r="O99" i="2"/>
  <c r="N99" i="2"/>
  <c r="M99" i="2"/>
  <c r="K99" i="2"/>
  <c r="I99" i="2"/>
  <c r="G99" i="2"/>
  <c r="F99" i="2"/>
  <c r="B99" i="2"/>
  <c r="A99" i="2"/>
  <c r="CB98" i="2"/>
  <c r="BZ98" i="2"/>
  <c r="BW98" i="2"/>
  <c r="BS98" i="2"/>
  <c r="BU98" i="2" s="1"/>
  <c r="BR98" i="2"/>
  <c r="BT98" i="2" s="1"/>
  <c r="BH98" i="2"/>
  <c r="BD98" i="2"/>
  <c r="BC98" i="2"/>
  <c r="AW98" i="2"/>
  <c r="AX98" i="2" s="1"/>
  <c r="AV98" i="2"/>
  <c r="AY98" i="2" s="1"/>
  <c r="AW201" i="2" s="1"/>
  <c r="AU98" i="2"/>
  <c r="AQ98" i="2"/>
  <c r="AO98" i="2"/>
  <c r="AN98" i="2"/>
  <c r="T98" i="2"/>
  <c r="Q98" i="2"/>
  <c r="O98" i="2"/>
  <c r="N98" i="2"/>
  <c r="M98" i="2"/>
  <c r="K98" i="2"/>
  <c r="I98" i="2"/>
  <c r="G98" i="2"/>
  <c r="F98" i="2"/>
  <c r="B98" i="2"/>
  <c r="A98" i="2"/>
  <c r="CB97" i="2"/>
  <c r="BZ97" i="2"/>
  <c r="BW97" i="2"/>
  <c r="BS97" i="2"/>
  <c r="BU97" i="2" s="1"/>
  <c r="BR97" i="2"/>
  <c r="BT97" i="2" s="1"/>
  <c r="BH97" i="2"/>
  <c r="BD97" i="2"/>
  <c r="BC97" i="2"/>
  <c r="AW97" i="2"/>
  <c r="AX97" i="2" s="1"/>
  <c r="AV97" i="2"/>
  <c r="AY97" i="2" s="1"/>
  <c r="AU97" i="2"/>
  <c r="AQ97" i="2"/>
  <c r="AN97" i="2"/>
  <c r="T97" i="2"/>
  <c r="Q97" i="2"/>
  <c r="O97" i="2"/>
  <c r="N97" i="2"/>
  <c r="M97" i="2"/>
  <c r="K97" i="2"/>
  <c r="I97" i="2"/>
  <c r="G97" i="2"/>
  <c r="F97" i="2"/>
  <c r="B97" i="2"/>
  <c r="A97" i="2"/>
  <c r="CB96" i="2"/>
  <c r="BZ96" i="2"/>
  <c r="BW96" i="2"/>
  <c r="BS96" i="2"/>
  <c r="BU96" i="2" s="1"/>
  <c r="BR96" i="2"/>
  <c r="BT96" i="2" s="1"/>
  <c r="BH96" i="2"/>
  <c r="BE96" i="2"/>
  <c r="BD96" i="2"/>
  <c r="BC96" i="2"/>
  <c r="AY96" i="2"/>
  <c r="AW236" i="2" s="1"/>
  <c r="AW96" i="2"/>
  <c r="AX96" i="2" s="1"/>
  <c r="AV96" i="2"/>
  <c r="AU96" i="2"/>
  <c r="AQ96" i="2"/>
  <c r="AO96" i="2"/>
  <c r="AN96" i="2"/>
  <c r="Q96" i="2"/>
  <c r="O96" i="2"/>
  <c r="N96" i="2"/>
  <c r="M96" i="2"/>
  <c r="K96" i="2"/>
  <c r="I96" i="2"/>
  <c r="G96" i="2"/>
  <c r="F96" i="2"/>
  <c r="AS96" i="2" s="1"/>
  <c r="B96" i="2"/>
  <c r="A96" i="2"/>
  <c r="CB95" i="2"/>
  <c r="BZ95" i="2"/>
  <c r="BW95" i="2"/>
  <c r="BS95" i="2"/>
  <c r="BU95" i="2" s="1"/>
  <c r="BR95" i="2"/>
  <c r="BT95" i="2" s="1"/>
  <c r="BH95" i="2"/>
  <c r="BD95" i="2"/>
  <c r="BC95" i="2"/>
  <c r="AW95" i="2"/>
  <c r="AX95" i="2" s="1"/>
  <c r="AV95" i="2"/>
  <c r="AY95" i="2" s="1"/>
  <c r="AU95" i="2"/>
  <c r="AQ95" i="2"/>
  <c r="AO95" i="2"/>
  <c r="AN95" i="2"/>
  <c r="Q95" i="2"/>
  <c r="O95" i="2"/>
  <c r="N95" i="2"/>
  <c r="M95" i="2"/>
  <c r="K95" i="2"/>
  <c r="I95" i="2"/>
  <c r="G95" i="2"/>
  <c r="F95" i="2"/>
  <c r="B95" i="2"/>
  <c r="A95" i="2"/>
  <c r="CB94" i="2"/>
  <c r="BZ94" i="2"/>
  <c r="BW94" i="2"/>
  <c r="BS94" i="2"/>
  <c r="BU94" i="2" s="1"/>
  <c r="BR94" i="2"/>
  <c r="BT94" i="2" s="1"/>
  <c r="BH94" i="2"/>
  <c r="BD94" i="2"/>
  <c r="BC94" i="2"/>
  <c r="AW94" i="2"/>
  <c r="AX94" i="2" s="1"/>
  <c r="AV94" i="2"/>
  <c r="AY94" i="2" s="1"/>
  <c r="BP94" i="2" s="1"/>
  <c r="BQ94" i="2" s="1"/>
  <c r="BY94" i="2" s="1"/>
  <c r="AU94" i="2"/>
  <c r="AQ94" i="2"/>
  <c r="AO94" i="2"/>
  <c r="AN94" i="2"/>
  <c r="Q94" i="2"/>
  <c r="O94" i="2"/>
  <c r="N94" i="2"/>
  <c r="M94" i="2"/>
  <c r="K94" i="2"/>
  <c r="I94" i="2"/>
  <c r="G94" i="2"/>
  <c r="F94" i="2"/>
  <c r="B94" i="2"/>
  <c r="A94" i="2"/>
  <c r="CB93" i="2"/>
  <c r="BZ93" i="2"/>
  <c r="BW93" i="2"/>
  <c r="BS93" i="2"/>
  <c r="BU93" i="2" s="1"/>
  <c r="BR93" i="2"/>
  <c r="BT93" i="2" s="1"/>
  <c r="BH93" i="2"/>
  <c r="BD93" i="2"/>
  <c r="BC93" i="2"/>
  <c r="AW93" i="2"/>
  <c r="AX93" i="2" s="1"/>
  <c r="AV93" i="2"/>
  <c r="AU93" i="2"/>
  <c r="AQ93" i="2"/>
  <c r="AO93" i="2"/>
  <c r="AN93" i="2"/>
  <c r="T93" i="2"/>
  <c r="Q93" i="2"/>
  <c r="O93" i="2"/>
  <c r="N93" i="2"/>
  <c r="M93" i="2"/>
  <c r="K93" i="2"/>
  <c r="I93" i="2"/>
  <c r="G93" i="2"/>
  <c r="F93" i="2"/>
  <c r="B93" i="2"/>
  <c r="A93" i="2"/>
  <c r="CB92" i="2"/>
  <c r="BZ92" i="2"/>
  <c r="BW92" i="2"/>
  <c r="BS92" i="2"/>
  <c r="BU92" i="2" s="1"/>
  <c r="BR92" i="2"/>
  <c r="BT92" i="2" s="1"/>
  <c r="BH92" i="2"/>
  <c r="BD92" i="2"/>
  <c r="BC92" i="2"/>
  <c r="AW92" i="2"/>
  <c r="AX92" i="2" s="1"/>
  <c r="AV92" i="2"/>
  <c r="AY92" i="2" s="1"/>
  <c r="AW223" i="2" s="1"/>
  <c r="AU92" i="2"/>
  <c r="AQ92" i="2"/>
  <c r="AO92" i="2"/>
  <c r="AN92" i="2"/>
  <c r="Q92" i="2"/>
  <c r="O92" i="2"/>
  <c r="N92" i="2"/>
  <c r="M92" i="2"/>
  <c r="K92" i="2"/>
  <c r="I92" i="2"/>
  <c r="G92" i="2"/>
  <c r="F92" i="2"/>
  <c r="B92" i="2"/>
  <c r="A92" i="2"/>
  <c r="CB91" i="2"/>
  <c r="BZ91" i="2"/>
  <c r="BW91" i="2"/>
  <c r="BS91" i="2"/>
  <c r="BU91" i="2" s="1"/>
  <c r="BR91" i="2"/>
  <c r="BT91" i="2" s="1"/>
  <c r="BH91" i="2"/>
  <c r="BD91" i="2"/>
  <c r="BC91" i="2"/>
  <c r="AW91" i="2"/>
  <c r="AX91" i="2" s="1"/>
  <c r="AV91" i="2"/>
  <c r="AY91" i="2" s="1"/>
  <c r="AU91" i="2"/>
  <c r="AQ91" i="2"/>
  <c r="AO91" i="2"/>
  <c r="AN91" i="2"/>
  <c r="T91" i="2"/>
  <c r="Q91" i="2"/>
  <c r="O91" i="2"/>
  <c r="N91" i="2"/>
  <c r="M91" i="2"/>
  <c r="K91" i="2"/>
  <c r="I91" i="2"/>
  <c r="G91" i="2"/>
  <c r="F91" i="2"/>
  <c r="B91" i="2"/>
  <c r="A91" i="2"/>
  <c r="CB90" i="2"/>
  <c r="BZ90" i="2"/>
  <c r="BW90" i="2"/>
  <c r="BS90" i="2"/>
  <c r="BU90" i="2" s="1"/>
  <c r="BR90" i="2"/>
  <c r="BT90" i="2" s="1"/>
  <c r="BH90" i="2"/>
  <c r="BD90" i="2"/>
  <c r="BC90" i="2"/>
  <c r="AW90" i="2"/>
  <c r="AX90" i="2" s="1"/>
  <c r="AV90" i="2"/>
  <c r="AY90" i="2" s="1"/>
  <c r="AW237" i="2" s="1"/>
  <c r="AU90" i="2"/>
  <c r="AQ90" i="2"/>
  <c r="AO90" i="2"/>
  <c r="AN90" i="2"/>
  <c r="U90" i="2"/>
  <c r="Q90" i="2"/>
  <c r="O90" i="2"/>
  <c r="N90" i="2"/>
  <c r="M90" i="2"/>
  <c r="P90" i="2" s="1"/>
  <c r="K90" i="2"/>
  <c r="I90" i="2"/>
  <c r="G90" i="2"/>
  <c r="F90" i="2"/>
  <c r="B90" i="2"/>
  <c r="A90" i="2"/>
  <c r="CB89" i="2"/>
  <c r="BZ89" i="2"/>
  <c r="BW89" i="2"/>
  <c r="BS89" i="2"/>
  <c r="BU89" i="2" s="1"/>
  <c r="BR89" i="2"/>
  <c r="BT89" i="2" s="1"/>
  <c r="BH89" i="2"/>
  <c r="BD89" i="2"/>
  <c r="BC89" i="2"/>
  <c r="AW89" i="2"/>
  <c r="AX89" i="2" s="1"/>
  <c r="AV89" i="2"/>
  <c r="AY89" i="2" s="1"/>
  <c r="AW228" i="2" s="1"/>
  <c r="AU89" i="2"/>
  <c r="AQ89" i="2"/>
  <c r="AN89" i="2"/>
  <c r="T89" i="2"/>
  <c r="Q89" i="2"/>
  <c r="O89" i="2"/>
  <c r="N89" i="2"/>
  <c r="M89" i="2"/>
  <c r="P89" i="2" s="1"/>
  <c r="K89" i="2"/>
  <c r="I89" i="2"/>
  <c r="G89" i="2"/>
  <c r="F89" i="2"/>
  <c r="AS89" i="2" s="1"/>
  <c r="B89" i="2"/>
  <c r="A89" i="2"/>
  <c r="CB88" i="2"/>
  <c r="BZ88" i="2"/>
  <c r="BW88" i="2"/>
  <c r="BS88" i="2"/>
  <c r="BU88" i="2" s="1"/>
  <c r="BR88" i="2"/>
  <c r="BT88" i="2" s="1"/>
  <c r="BH88" i="2"/>
  <c r="BD88" i="2"/>
  <c r="BC88" i="2"/>
  <c r="AW88" i="2"/>
  <c r="AX88" i="2" s="1"/>
  <c r="AV88" i="2"/>
  <c r="AY88" i="2" s="1"/>
  <c r="AU88" i="2"/>
  <c r="AQ88" i="2"/>
  <c r="AO88" i="2"/>
  <c r="AN88" i="2"/>
  <c r="T88" i="2"/>
  <c r="Q88" i="2"/>
  <c r="O88" i="2"/>
  <c r="N88" i="2"/>
  <c r="M88" i="2"/>
  <c r="K88" i="2"/>
  <c r="I88" i="2"/>
  <c r="G88" i="2"/>
  <c r="F88" i="2"/>
  <c r="B88" i="2"/>
  <c r="A88" i="2"/>
  <c r="CB87" i="2"/>
  <c r="BZ87" i="2"/>
  <c r="BW87" i="2"/>
  <c r="BS87" i="2"/>
  <c r="BU87" i="2" s="1"/>
  <c r="BR87" i="2"/>
  <c r="BT87" i="2" s="1"/>
  <c r="BH87" i="2"/>
  <c r="BC87" i="2"/>
  <c r="AW87" i="2"/>
  <c r="AV87" i="2"/>
  <c r="AU87" i="2"/>
  <c r="AQ87" i="2"/>
  <c r="AO87" i="2"/>
  <c r="AN87" i="2"/>
  <c r="T87" i="2"/>
  <c r="Q87" i="2"/>
  <c r="O87" i="2"/>
  <c r="N87" i="2"/>
  <c r="M87" i="2"/>
  <c r="K87" i="2"/>
  <c r="I87" i="2"/>
  <c r="G87" i="2"/>
  <c r="BD87" i="2" s="1"/>
  <c r="F87" i="2"/>
  <c r="B87" i="2"/>
  <c r="A87" i="2"/>
  <c r="CB86" i="2"/>
  <c r="BZ86" i="2"/>
  <c r="BW86" i="2"/>
  <c r="BT86" i="2"/>
  <c r="BS86" i="2"/>
  <c r="BU86" i="2" s="1"/>
  <c r="BR86" i="2"/>
  <c r="BN86" i="2"/>
  <c r="BO86" i="2" s="1"/>
  <c r="BH86" i="2"/>
  <c r="BD86" i="2"/>
  <c r="BC86" i="2"/>
  <c r="AW86" i="2"/>
  <c r="AX86" i="2" s="1"/>
  <c r="AV86" i="2"/>
  <c r="AY86" i="2" s="1"/>
  <c r="AW203" i="2" s="1"/>
  <c r="AU86" i="2"/>
  <c r="AQ86" i="2"/>
  <c r="AO86" i="2"/>
  <c r="AN86" i="2"/>
  <c r="Q86" i="2"/>
  <c r="O86" i="2"/>
  <c r="N86" i="2"/>
  <c r="M86" i="2"/>
  <c r="K86" i="2"/>
  <c r="I86" i="2"/>
  <c r="G86" i="2"/>
  <c r="F86" i="2"/>
  <c r="B86" i="2"/>
  <c r="A86" i="2"/>
  <c r="CB85" i="2"/>
  <c r="BZ85" i="2"/>
  <c r="BW85" i="2"/>
  <c r="BS85" i="2"/>
  <c r="BU85" i="2" s="1"/>
  <c r="BR85" i="2"/>
  <c r="BT85" i="2" s="1"/>
  <c r="BH85" i="2"/>
  <c r="BD85" i="2"/>
  <c r="BC85" i="2"/>
  <c r="AW85" i="2"/>
  <c r="AX85" i="2" s="1"/>
  <c r="AV85" i="2"/>
  <c r="AY85" i="2" s="1"/>
  <c r="AU85" i="2"/>
  <c r="AQ85" i="2"/>
  <c r="AO85" i="2"/>
  <c r="AN85" i="2"/>
  <c r="U85" i="2"/>
  <c r="Q85" i="2"/>
  <c r="O85" i="2"/>
  <c r="N85" i="2"/>
  <c r="M85" i="2"/>
  <c r="K85" i="2"/>
  <c r="I85" i="2"/>
  <c r="G85" i="2"/>
  <c r="F85" i="2"/>
  <c r="B85" i="2"/>
  <c r="A85" i="2"/>
  <c r="CB84" i="2"/>
  <c r="BZ84" i="2"/>
  <c r="BW84" i="2"/>
  <c r="BS84" i="2"/>
  <c r="BU84" i="2" s="1"/>
  <c r="BR84" i="2"/>
  <c r="BT84" i="2" s="1"/>
  <c r="BH84" i="2"/>
  <c r="BD84" i="2"/>
  <c r="BC84" i="2"/>
  <c r="AY84" i="2"/>
  <c r="AW206" i="2" s="1"/>
  <c r="AW84" i="2"/>
  <c r="AX84" i="2" s="1"/>
  <c r="AV84" i="2"/>
  <c r="AU84" i="2"/>
  <c r="AQ84" i="2"/>
  <c r="AO84" i="2"/>
  <c r="AN84" i="2"/>
  <c r="Q84" i="2"/>
  <c r="O84" i="2"/>
  <c r="N84" i="2"/>
  <c r="M84" i="2"/>
  <c r="K84" i="2"/>
  <c r="I84" i="2"/>
  <c r="G84" i="2"/>
  <c r="F84" i="2"/>
  <c r="B84" i="2"/>
  <c r="A84" i="2"/>
  <c r="CB83" i="2"/>
  <c r="BZ83" i="2"/>
  <c r="BW83" i="2"/>
  <c r="BS83" i="2"/>
  <c r="BU83" i="2" s="1"/>
  <c r="BR83" i="2"/>
  <c r="BT83" i="2" s="1"/>
  <c r="BH83" i="2"/>
  <c r="BD83" i="2"/>
  <c r="BC83" i="2"/>
  <c r="AW83" i="2"/>
  <c r="AX83" i="2" s="1"/>
  <c r="AV83" i="2"/>
  <c r="AY83" i="2" s="1"/>
  <c r="AW243" i="2" s="1"/>
  <c r="AU83" i="2"/>
  <c r="AQ83" i="2"/>
  <c r="AO83" i="2"/>
  <c r="AN83" i="2"/>
  <c r="U83" i="2"/>
  <c r="Q83" i="2"/>
  <c r="O83" i="2"/>
  <c r="N83" i="2"/>
  <c r="M83" i="2"/>
  <c r="K83" i="2"/>
  <c r="I83" i="2"/>
  <c r="G83" i="2"/>
  <c r="F83" i="2"/>
  <c r="B83" i="2"/>
  <c r="A83" i="2"/>
  <c r="CB82" i="2"/>
  <c r="BZ82" i="2"/>
  <c r="BW82" i="2"/>
  <c r="BS82" i="2"/>
  <c r="BU82" i="2" s="1"/>
  <c r="BR82" i="2"/>
  <c r="BT82" i="2" s="1"/>
  <c r="BH82" i="2"/>
  <c r="BD82" i="2"/>
  <c r="BC82" i="2"/>
  <c r="AW82" i="2"/>
  <c r="AX82" i="2" s="1"/>
  <c r="AV82" i="2"/>
  <c r="AY82" i="2" s="1"/>
  <c r="BP82" i="2" s="1"/>
  <c r="BQ82" i="2" s="1"/>
  <c r="BY82" i="2" s="1"/>
  <c r="AU82" i="2"/>
  <c r="AQ82" i="2"/>
  <c r="AO82" i="2"/>
  <c r="AN82" i="2"/>
  <c r="Q82" i="2"/>
  <c r="O82" i="2"/>
  <c r="N82" i="2"/>
  <c r="P82" i="2" s="1"/>
  <c r="M82" i="2"/>
  <c r="K82" i="2"/>
  <c r="I82" i="2"/>
  <c r="G82" i="2"/>
  <c r="F82" i="2"/>
  <c r="B82" i="2"/>
  <c r="A82" i="2"/>
  <c r="CB81" i="2"/>
  <c r="BZ81" i="2"/>
  <c r="BW81" i="2"/>
  <c r="BS81" i="2"/>
  <c r="BU81" i="2" s="1"/>
  <c r="BR81" i="2"/>
  <c r="BT81" i="2" s="1"/>
  <c r="BH81" i="2"/>
  <c r="BD81" i="2"/>
  <c r="BC81" i="2"/>
  <c r="AW81" i="2"/>
  <c r="AX81" i="2" s="1"/>
  <c r="AV81" i="2"/>
  <c r="AY81" i="2" s="1"/>
  <c r="AW227" i="2" s="1"/>
  <c r="AU81" i="2"/>
  <c r="AQ81" i="2"/>
  <c r="AO81" i="2"/>
  <c r="AN81" i="2"/>
  <c r="U81" i="2"/>
  <c r="Q81" i="2"/>
  <c r="O81" i="2"/>
  <c r="N81" i="2"/>
  <c r="M81" i="2"/>
  <c r="K81" i="2"/>
  <c r="I81" i="2"/>
  <c r="G81" i="2"/>
  <c r="F81" i="2"/>
  <c r="B81" i="2"/>
  <c r="A81" i="2"/>
  <c r="CB80" i="2"/>
  <c r="BZ80" i="2"/>
  <c r="BW80" i="2"/>
  <c r="BS80" i="2"/>
  <c r="BU80" i="2" s="1"/>
  <c r="BR80" i="2"/>
  <c r="BT80" i="2" s="1"/>
  <c r="BH80" i="2"/>
  <c r="BD80" i="2"/>
  <c r="BC80" i="2"/>
  <c r="AW80" i="2"/>
  <c r="AX80" i="2" s="1"/>
  <c r="AV80" i="2"/>
  <c r="AY80" i="2" s="1"/>
  <c r="AW215" i="2" s="1"/>
  <c r="AU80" i="2"/>
  <c r="AQ80" i="2"/>
  <c r="AO80" i="2"/>
  <c r="AN80" i="2"/>
  <c r="U80" i="2"/>
  <c r="Q80" i="2"/>
  <c r="O80" i="2"/>
  <c r="N80" i="2"/>
  <c r="M80" i="2"/>
  <c r="K80" i="2"/>
  <c r="I80" i="2"/>
  <c r="G80" i="2"/>
  <c r="F80" i="2"/>
  <c r="B80" i="2"/>
  <c r="A80" i="2"/>
  <c r="CB79" i="2"/>
  <c r="BZ79" i="2"/>
  <c r="BW79" i="2"/>
  <c r="BS79" i="2"/>
  <c r="BU79" i="2" s="1"/>
  <c r="BR79" i="2"/>
  <c r="BT79" i="2" s="1"/>
  <c r="BH79" i="2"/>
  <c r="BD79" i="2"/>
  <c r="BC79" i="2"/>
  <c r="AW79" i="2"/>
  <c r="AX79" i="2" s="1"/>
  <c r="AV79" i="2"/>
  <c r="AY79" i="2" s="1"/>
  <c r="BP79" i="2" s="1"/>
  <c r="BQ79" i="2" s="1"/>
  <c r="BY79" i="2" s="1"/>
  <c r="AU79" i="2"/>
  <c r="AQ79" i="2"/>
  <c r="AO79" i="2"/>
  <c r="AN79" i="2"/>
  <c r="Q79" i="2"/>
  <c r="O79" i="2"/>
  <c r="N79" i="2"/>
  <c r="M79" i="2"/>
  <c r="K79" i="2"/>
  <c r="I79" i="2"/>
  <c r="G79" i="2"/>
  <c r="F79" i="2"/>
  <c r="B79" i="2"/>
  <c r="A79" i="2"/>
  <c r="CB78" i="2"/>
  <c r="BZ78" i="2"/>
  <c r="BW78" i="2"/>
  <c r="BS78" i="2"/>
  <c r="BU78" i="2" s="1"/>
  <c r="BR78" i="2"/>
  <c r="BT78" i="2" s="1"/>
  <c r="BH78" i="2"/>
  <c r="BD78" i="2"/>
  <c r="BC78" i="2"/>
  <c r="AW78" i="2"/>
  <c r="AX78" i="2" s="1"/>
  <c r="AV78" i="2"/>
  <c r="AY78" i="2" s="1"/>
  <c r="AW239" i="2" s="1"/>
  <c r="AU78" i="2"/>
  <c r="AQ78" i="2"/>
  <c r="AO78" i="2"/>
  <c r="AN78" i="2"/>
  <c r="T78" i="2"/>
  <c r="Q78" i="2"/>
  <c r="O78" i="2"/>
  <c r="N78" i="2"/>
  <c r="M78" i="2"/>
  <c r="K78" i="2"/>
  <c r="I78" i="2"/>
  <c r="G78" i="2"/>
  <c r="F78" i="2"/>
  <c r="B78" i="2"/>
  <c r="A78" i="2"/>
  <c r="CB77" i="2"/>
  <c r="BZ77" i="2"/>
  <c r="BW77" i="2"/>
  <c r="BS77" i="2"/>
  <c r="BU77" i="2" s="1"/>
  <c r="BR77" i="2"/>
  <c r="BT77" i="2" s="1"/>
  <c r="BH77" i="2"/>
  <c r="BD77" i="2"/>
  <c r="BC77" i="2"/>
  <c r="AY77" i="2"/>
  <c r="AW229" i="2" s="1"/>
  <c r="AW77" i="2"/>
  <c r="AX77" i="2" s="1"/>
  <c r="AV77" i="2"/>
  <c r="AU77" i="2"/>
  <c r="AQ77" i="2"/>
  <c r="AO77" i="2"/>
  <c r="AN77" i="2"/>
  <c r="Q77" i="2"/>
  <c r="O77" i="2"/>
  <c r="N77" i="2"/>
  <c r="M77" i="2"/>
  <c r="K77" i="2"/>
  <c r="I77" i="2"/>
  <c r="G77" i="2"/>
  <c r="F77" i="2"/>
  <c r="B77" i="2"/>
  <c r="A77" i="2"/>
  <c r="CB76" i="2"/>
  <c r="BZ76" i="2"/>
  <c r="BW76" i="2"/>
  <c r="BS76" i="2"/>
  <c r="BU76" i="2" s="1"/>
  <c r="BR76" i="2"/>
  <c r="BT76" i="2" s="1"/>
  <c r="BH76" i="2"/>
  <c r="BD76" i="2"/>
  <c r="BC76" i="2"/>
  <c r="AW76" i="2"/>
  <c r="AX76" i="2" s="1"/>
  <c r="AV76" i="2"/>
  <c r="AY76" i="2" s="1"/>
  <c r="BP76" i="2" s="1"/>
  <c r="BQ76" i="2" s="1"/>
  <c r="BY76" i="2" s="1"/>
  <c r="AU76" i="2"/>
  <c r="AQ76" i="2"/>
  <c r="AO76" i="2"/>
  <c r="AN76" i="2"/>
  <c r="U76" i="2"/>
  <c r="Q76" i="2"/>
  <c r="O76" i="2"/>
  <c r="N76" i="2"/>
  <c r="M76" i="2"/>
  <c r="K76" i="2"/>
  <c r="I76" i="2"/>
  <c r="G76" i="2"/>
  <c r="F76" i="2"/>
  <c r="B76" i="2"/>
  <c r="A76" i="2"/>
  <c r="CB75" i="2"/>
  <c r="BZ75" i="2"/>
  <c r="BW75" i="2"/>
  <c r="BS75" i="2"/>
  <c r="BU75" i="2" s="1"/>
  <c r="BR75" i="2"/>
  <c r="BT75" i="2" s="1"/>
  <c r="BH75" i="2"/>
  <c r="BD75" i="2"/>
  <c r="BC75" i="2"/>
  <c r="AW75" i="2"/>
  <c r="AX75" i="2" s="1"/>
  <c r="AV75" i="2"/>
  <c r="AY75" i="2" s="1"/>
  <c r="AW242" i="2" s="1"/>
  <c r="AU75" i="2"/>
  <c r="AQ75" i="2"/>
  <c r="AO75" i="2"/>
  <c r="AN75" i="2"/>
  <c r="U75" i="2"/>
  <c r="Q75" i="2"/>
  <c r="O75" i="2"/>
  <c r="N75" i="2"/>
  <c r="M75" i="2"/>
  <c r="K75" i="2"/>
  <c r="I75" i="2"/>
  <c r="G75" i="2"/>
  <c r="F75" i="2"/>
  <c r="B75" i="2"/>
  <c r="A75" i="2"/>
  <c r="CB74" i="2"/>
  <c r="BZ74" i="2"/>
  <c r="BW74" i="2"/>
  <c r="BS74" i="2"/>
  <c r="BU74" i="2" s="1"/>
  <c r="BR74" i="2"/>
  <c r="BT74" i="2" s="1"/>
  <c r="BH74" i="2"/>
  <c r="BD74" i="2"/>
  <c r="BC74" i="2"/>
  <c r="AW74" i="2"/>
  <c r="AX74" i="2" s="1"/>
  <c r="AV74" i="2"/>
  <c r="AY74" i="2" s="1"/>
  <c r="AW240" i="2" s="1"/>
  <c r="AU74" i="2"/>
  <c r="AQ74" i="2"/>
  <c r="AO74" i="2"/>
  <c r="AN74" i="2"/>
  <c r="Q74" i="2"/>
  <c r="O74" i="2"/>
  <c r="N74" i="2"/>
  <c r="M74" i="2"/>
  <c r="K74" i="2"/>
  <c r="I74" i="2"/>
  <c r="G74" i="2"/>
  <c r="F74" i="2"/>
  <c r="B74" i="2"/>
  <c r="A74" i="2"/>
  <c r="CB73" i="2"/>
  <c r="BZ73" i="2"/>
  <c r="BW73" i="2"/>
  <c r="BS73" i="2"/>
  <c r="BU73" i="2" s="1"/>
  <c r="BR73" i="2"/>
  <c r="BT73" i="2" s="1"/>
  <c r="BH73" i="2"/>
  <c r="BD73" i="2"/>
  <c r="BC73" i="2"/>
  <c r="AW73" i="2"/>
  <c r="AX73" i="2" s="1"/>
  <c r="AV73" i="2"/>
  <c r="AY73" i="2" s="1"/>
  <c r="BP73" i="2" s="1"/>
  <c r="BQ73" i="2" s="1"/>
  <c r="BY73" i="2" s="1"/>
  <c r="AU73" i="2"/>
  <c r="AQ73" i="2"/>
  <c r="AO73" i="2"/>
  <c r="AN73" i="2"/>
  <c r="T73" i="2"/>
  <c r="Q73" i="2"/>
  <c r="O73" i="2"/>
  <c r="N73" i="2"/>
  <c r="M73" i="2"/>
  <c r="K73" i="2"/>
  <c r="I73" i="2"/>
  <c r="G73" i="2"/>
  <c r="F73" i="2"/>
  <c r="AS73" i="2" s="1"/>
  <c r="B73" i="2"/>
  <c r="A73" i="2"/>
  <c r="CB72" i="2"/>
  <c r="BZ72" i="2"/>
  <c r="BW72" i="2"/>
  <c r="BS72" i="2"/>
  <c r="BU72" i="2" s="1"/>
  <c r="BR72" i="2"/>
  <c r="BT72" i="2" s="1"/>
  <c r="BH72" i="2"/>
  <c r="BC72" i="2"/>
  <c r="AW72" i="2"/>
  <c r="AX72" i="2" s="1"/>
  <c r="AV72" i="2"/>
  <c r="AY72" i="2" s="1"/>
  <c r="AW233" i="2" s="1"/>
  <c r="AX233" i="2" s="1"/>
  <c r="AU72" i="2"/>
  <c r="AQ72" i="2"/>
  <c r="AN72" i="2"/>
  <c r="T72" i="2"/>
  <c r="Q72" i="2"/>
  <c r="O72" i="2"/>
  <c r="N72" i="2"/>
  <c r="M72" i="2"/>
  <c r="K72" i="2"/>
  <c r="I72" i="2"/>
  <c r="G72" i="2"/>
  <c r="BD72" i="2" s="1"/>
  <c r="F72" i="2"/>
  <c r="B72" i="2"/>
  <c r="A72" i="2"/>
  <c r="CB71" i="2"/>
  <c r="BZ71" i="2"/>
  <c r="BW71" i="2"/>
  <c r="BS71" i="2"/>
  <c r="BU71" i="2" s="1"/>
  <c r="BR71" i="2"/>
  <c r="BT71" i="2" s="1"/>
  <c r="BH71" i="2"/>
  <c r="BD71" i="2"/>
  <c r="BC71" i="2"/>
  <c r="AW71" i="2"/>
  <c r="AX71" i="2" s="1"/>
  <c r="AV71" i="2"/>
  <c r="AY71" i="2" s="1"/>
  <c r="AW238" i="2" s="1"/>
  <c r="AU71" i="2"/>
  <c r="AQ71" i="2"/>
  <c r="AO71" i="2"/>
  <c r="AN71" i="2"/>
  <c r="T71" i="2"/>
  <c r="Q71" i="2"/>
  <c r="O71" i="2"/>
  <c r="N71" i="2"/>
  <c r="M71" i="2"/>
  <c r="K71" i="2"/>
  <c r="I71" i="2"/>
  <c r="G71" i="2"/>
  <c r="F71" i="2"/>
  <c r="B71" i="2"/>
  <c r="A71" i="2"/>
  <c r="CB70" i="2"/>
  <c r="BZ70" i="2"/>
  <c r="BW70" i="2"/>
  <c r="BS70" i="2"/>
  <c r="BU70" i="2" s="1"/>
  <c r="BR70" i="2"/>
  <c r="BT70" i="2" s="1"/>
  <c r="BH70" i="2"/>
  <c r="BD70" i="2"/>
  <c r="BC70" i="2"/>
  <c r="AX70" i="2"/>
  <c r="AW70" i="2"/>
  <c r="AV70" i="2"/>
  <c r="AY70" i="2" s="1"/>
  <c r="BP70" i="2" s="1"/>
  <c r="BQ70" i="2" s="1"/>
  <c r="BY70" i="2" s="1"/>
  <c r="AU70" i="2"/>
  <c r="AQ70" i="2"/>
  <c r="AO70" i="2"/>
  <c r="AN70" i="2"/>
  <c r="T70" i="2"/>
  <c r="Q70" i="2"/>
  <c r="O70" i="2"/>
  <c r="N70" i="2"/>
  <c r="M70" i="2"/>
  <c r="K70" i="2"/>
  <c r="I70" i="2"/>
  <c r="G70" i="2"/>
  <c r="F70" i="2"/>
  <c r="B70" i="2"/>
  <c r="A70" i="2"/>
  <c r="CB69" i="2"/>
  <c r="BZ69" i="2"/>
  <c r="BW69" i="2"/>
  <c r="BX69" i="2" s="1"/>
  <c r="BS69" i="2"/>
  <c r="BU69" i="2" s="1"/>
  <c r="BR69" i="2"/>
  <c r="BT69" i="2" s="1"/>
  <c r="BH69" i="2"/>
  <c r="BD69" i="2"/>
  <c r="BC69" i="2"/>
  <c r="AW69" i="2"/>
  <c r="AX69" i="2" s="1"/>
  <c r="AV69" i="2"/>
  <c r="AY69" i="2" s="1"/>
  <c r="AW204" i="2" s="1"/>
  <c r="AU69" i="2"/>
  <c r="AQ69" i="2"/>
  <c r="AO69" i="2"/>
  <c r="AN69" i="2"/>
  <c r="T69" i="2"/>
  <c r="Q69" i="2"/>
  <c r="O69" i="2"/>
  <c r="N69" i="2"/>
  <c r="M69" i="2"/>
  <c r="K69" i="2"/>
  <c r="I69" i="2"/>
  <c r="G69" i="2"/>
  <c r="F69" i="2"/>
  <c r="B69" i="2"/>
  <c r="A69" i="2"/>
  <c r="CB68" i="2"/>
  <c r="BZ68" i="2"/>
  <c r="BW68" i="2"/>
  <c r="BS68" i="2"/>
  <c r="BU68" i="2" s="1"/>
  <c r="BR68" i="2"/>
  <c r="BT68" i="2" s="1"/>
  <c r="BH68" i="2"/>
  <c r="BD68" i="2"/>
  <c r="BC68" i="2"/>
  <c r="AY68" i="2"/>
  <c r="AW210" i="2" s="1"/>
  <c r="AW68" i="2"/>
  <c r="AX68" i="2" s="1"/>
  <c r="AV68" i="2"/>
  <c r="AU68" i="2"/>
  <c r="AQ68" i="2"/>
  <c r="AO68" i="2"/>
  <c r="AN68" i="2"/>
  <c r="T68" i="2"/>
  <c r="Q68" i="2"/>
  <c r="O68" i="2"/>
  <c r="N68" i="2"/>
  <c r="M68" i="2"/>
  <c r="K68" i="2"/>
  <c r="I68" i="2"/>
  <c r="G68" i="2"/>
  <c r="F68" i="2"/>
  <c r="AS68" i="2" s="1"/>
  <c r="B68" i="2"/>
  <c r="A68" i="2"/>
  <c r="CB67" i="2"/>
  <c r="BZ67" i="2"/>
  <c r="BW67" i="2"/>
  <c r="BS67" i="2"/>
  <c r="BU67" i="2" s="1"/>
  <c r="BR67" i="2"/>
  <c r="BT67" i="2" s="1"/>
  <c r="BH67" i="2"/>
  <c r="BD67" i="2"/>
  <c r="BC67" i="2"/>
  <c r="AW67" i="2"/>
  <c r="AX67" i="2" s="1"/>
  <c r="AV67" i="2"/>
  <c r="AY67" i="2" s="1"/>
  <c r="BP67" i="2" s="1"/>
  <c r="BQ67" i="2" s="1"/>
  <c r="BY67" i="2" s="1"/>
  <c r="AU67" i="2"/>
  <c r="AQ67" i="2"/>
  <c r="AO67" i="2"/>
  <c r="AN67" i="2"/>
  <c r="Q67" i="2"/>
  <c r="O67" i="2"/>
  <c r="N67" i="2"/>
  <c r="M67" i="2"/>
  <c r="K67" i="2"/>
  <c r="I67" i="2"/>
  <c r="G67" i="2"/>
  <c r="F67" i="2"/>
  <c r="B67" i="2"/>
  <c r="A67" i="2"/>
  <c r="CB66" i="2"/>
  <c r="BZ66" i="2"/>
  <c r="BW66" i="2"/>
  <c r="BU66" i="2"/>
  <c r="BS66" i="2"/>
  <c r="BR66" i="2"/>
  <c r="BT66" i="2" s="1"/>
  <c r="BH66" i="2"/>
  <c r="BD66" i="2"/>
  <c r="BC66" i="2"/>
  <c r="AW66" i="2"/>
  <c r="AX66" i="2" s="1"/>
  <c r="AV66" i="2"/>
  <c r="AY66" i="2" s="1"/>
  <c r="AW232" i="2" s="1"/>
  <c r="AU66" i="2"/>
  <c r="AQ66" i="2"/>
  <c r="AO66" i="2"/>
  <c r="AN66" i="2"/>
  <c r="Q66" i="2"/>
  <c r="O66" i="2"/>
  <c r="N66" i="2"/>
  <c r="M66" i="2"/>
  <c r="K66" i="2"/>
  <c r="I66" i="2"/>
  <c r="G66" i="2"/>
  <c r="F66" i="2"/>
  <c r="B66" i="2"/>
  <c r="A66" i="2"/>
  <c r="CB65" i="2"/>
  <c r="BZ65" i="2"/>
  <c r="BW65" i="2"/>
  <c r="BS65" i="2"/>
  <c r="BU65" i="2" s="1"/>
  <c r="BR65" i="2"/>
  <c r="BT65" i="2" s="1"/>
  <c r="BH65" i="2"/>
  <c r="BD65" i="2"/>
  <c r="BC65" i="2"/>
  <c r="AW65" i="2"/>
  <c r="AX65" i="2" s="1"/>
  <c r="AV65" i="2"/>
  <c r="AY65" i="2" s="1"/>
  <c r="BP65" i="2" s="1"/>
  <c r="BQ65" i="2" s="1"/>
  <c r="BY65" i="2" s="1"/>
  <c r="AU65" i="2"/>
  <c r="AQ65" i="2"/>
  <c r="AO65" i="2"/>
  <c r="AN65" i="2"/>
  <c r="U65" i="2"/>
  <c r="Q65" i="2"/>
  <c r="O65" i="2"/>
  <c r="N65" i="2"/>
  <c r="M65" i="2"/>
  <c r="K65" i="2"/>
  <c r="I65" i="2"/>
  <c r="G65" i="2"/>
  <c r="F65" i="2"/>
  <c r="B65" i="2"/>
  <c r="A65" i="2"/>
  <c r="CB64" i="2"/>
  <c r="BZ64" i="2"/>
  <c r="BW64" i="2"/>
  <c r="BS64" i="2"/>
  <c r="BU64" i="2" s="1"/>
  <c r="BR64" i="2"/>
  <c r="BT64" i="2" s="1"/>
  <c r="BH64" i="2"/>
  <c r="BD64" i="2"/>
  <c r="BC64" i="2"/>
  <c r="AW64" i="2"/>
  <c r="AX64" i="2" s="1"/>
  <c r="AV64" i="2"/>
  <c r="AY64" i="2" s="1"/>
  <c r="BP64" i="2" s="1"/>
  <c r="BQ64" i="2" s="1"/>
  <c r="BY64" i="2" s="1"/>
  <c r="AU64" i="2"/>
  <c r="AQ64" i="2"/>
  <c r="AO64" i="2"/>
  <c r="AN64" i="2"/>
  <c r="T64" i="2"/>
  <c r="Q64" i="2"/>
  <c r="O64" i="2"/>
  <c r="N64" i="2"/>
  <c r="M64" i="2"/>
  <c r="K64" i="2"/>
  <c r="I64" i="2"/>
  <c r="G64" i="2"/>
  <c r="F64" i="2"/>
  <c r="B64" i="2"/>
  <c r="A64" i="2"/>
  <c r="CB63" i="2"/>
  <c r="BZ63" i="2"/>
  <c r="BW63" i="2"/>
  <c r="BS63" i="2"/>
  <c r="BU63" i="2" s="1"/>
  <c r="BR63" i="2"/>
  <c r="BT63" i="2" s="1"/>
  <c r="BH63" i="2"/>
  <c r="BD63" i="2"/>
  <c r="BC63" i="2"/>
  <c r="AW63" i="2"/>
  <c r="AX63" i="2" s="1"/>
  <c r="AV63" i="2"/>
  <c r="AY63" i="2" s="1"/>
  <c r="AW213" i="2" s="1"/>
  <c r="AU63" i="2"/>
  <c r="AQ63" i="2"/>
  <c r="AO63" i="2"/>
  <c r="AN63" i="2"/>
  <c r="Q63" i="2"/>
  <c r="O63" i="2"/>
  <c r="N63" i="2"/>
  <c r="M63" i="2"/>
  <c r="K63" i="2"/>
  <c r="I63" i="2"/>
  <c r="G63" i="2"/>
  <c r="F63" i="2"/>
  <c r="B63" i="2"/>
  <c r="A63" i="2"/>
  <c r="CB62" i="2"/>
  <c r="BZ62" i="2"/>
  <c r="BW62" i="2"/>
  <c r="BS62" i="2"/>
  <c r="BU62" i="2" s="1"/>
  <c r="BR62" i="2"/>
  <c r="BT62" i="2" s="1"/>
  <c r="BH62" i="2"/>
  <c r="BD62" i="2"/>
  <c r="BC62" i="2"/>
  <c r="AW62" i="2"/>
  <c r="AX62" i="2" s="1"/>
  <c r="AV62" i="2"/>
  <c r="AY62" i="2" s="1"/>
  <c r="AW200" i="2" s="1"/>
  <c r="AU62" i="2"/>
  <c r="AQ62" i="2"/>
  <c r="AO62" i="2"/>
  <c r="AN62" i="2"/>
  <c r="T62" i="2"/>
  <c r="Q62" i="2"/>
  <c r="O62" i="2"/>
  <c r="N62" i="2"/>
  <c r="M62" i="2"/>
  <c r="K62" i="2"/>
  <c r="I62" i="2"/>
  <c r="G62" i="2"/>
  <c r="F62" i="2"/>
  <c r="B62" i="2"/>
  <c r="A62" i="2"/>
  <c r="CB61" i="2"/>
  <c r="BZ61" i="2"/>
  <c r="BW61" i="2"/>
  <c r="BS61" i="2"/>
  <c r="BU61" i="2" s="1"/>
  <c r="BR61" i="2"/>
  <c r="BT61" i="2" s="1"/>
  <c r="BH61" i="2"/>
  <c r="BD61" i="2"/>
  <c r="BC61" i="2"/>
  <c r="AW61" i="2"/>
  <c r="AX61" i="2" s="1"/>
  <c r="AV61" i="2"/>
  <c r="AY61" i="2" s="1"/>
  <c r="BP61" i="2" s="1"/>
  <c r="BQ61" i="2" s="1"/>
  <c r="BY61" i="2" s="1"/>
  <c r="AU61" i="2"/>
  <c r="AQ61" i="2"/>
  <c r="AN61" i="2"/>
  <c r="T61" i="2"/>
  <c r="Q61" i="2"/>
  <c r="O61" i="2"/>
  <c r="N61" i="2"/>
  <c r="M61" i="2"/>
  <c r="K61" i="2"/>
  <c r="I61" i="2"/>
  <c r="G61" i="2"/>
  <c r="F61" i="2"/>
  <c r="B61" i="2"/>
  <c r="A61" i="2"/>
  <c r="CB60" i="2"/>
  <c r="BZ60" i="2"/>
  <c r="BW60" i="2"/>
  <c r="BS60" i="2"/>
  <c r="BU60" i="2" s="1"/>
  <c r="BR60" i="2"/>
  <c r="BT60" i="2" s="1"/>
  <c r="BH60" i="2"/>
  <c r="BD60" i="2"/>
  <c r="BC60" i="2"/>
  <c r="AW60" i="2"/>
  <c r="AX60" i="2" s="1"/>
  <c r="AV60" i="2"/>
  <c r="AY60" i="2" s="1"/>
  <c r="AW222" i="2" s="1"/>
  <c r="AU60" i="2"/>
  <c r="AQ60" i="2"/>
  <c r="AO60" i="2"/>
  <c r="AN60" i="2"/>
  <c r="T60" i="2"/>
  <c r="Q60" i="2"/>
  <c r="O60" i="2"/>
  <c r="N60" i="2"/>
  <c r="M60" i="2"/>
  <c r="K60" i="2"/>
  <c r="I60" i="2"/>
  <c r="G60" i="2"/>
  <c r="F60" i="2"/>
  <c r="B60" i="2"/>
  <c r="A60" i="2"/>
  <c r="CB59" i="2"/>
  <c r="BZ59" i="2"/>
  <c r="BW59" i="2"/>
  <c r="BS59" i="2"/>
  <c r="BU59" i="2" s="1"/>
  <c r="BR59" i="2"/>
  <c r="BT59" i="2" s="1"/>
  <c r="BH59" i="2"/>
  <c r="BD59" i="2"/>
  <c r="BC59" i="2"/>
  <c r="AW59" i="2"/>
  <c r="AX59" i="2" s="1"/>
  <c r="AV59" i="2"/>
  <c r="AY59" i="2" s="1"/>
  <c r="AW225" i="2" s="1"/>
  <c r="AU59" i="2"/>
  <c r="AQ59" i="2"/>
  <c r="AO59" i="2"/>
  <c r="AN59" i="2"/>
  <c r="T59" i="2"/>
  <c r="Q59" i="2"/>
  <c r="O59" i="2"/>
  <c r="N59" i="2"/>
  <c r="M59" i="2"/>
  <c r="K59" i="2"/>
  <c r="I59" i="2"/>
  <c r="G59" i="2"/>
  <c r="F59" i="2"/>
  <c r="B59" i="2"/>
  <c r="A59" i="2"/>
  <c r="CB58" i="2"/>
  <c r="BZ58" i="2"/>
  <c r="BW58" i="2"/>
  <c r="BS58" i="2"/>
  <c r="BU58" i="2" s="1"/>
  <c r="BR58" i="2"/>
  <c r="BT58" i="2" s="1"/>
  <c r="BH58" i="2"/>
  <c r="BD58" i="2"/>
  <c r="BC58" i="2"/>
  <c r="AW58" i="2"/>
  <c r="AX58" i="2" s="1"/>
  <c r="AV58" i="2"/>
  <c r="AY58" i="2" s="1"/>
  <c r="BP58" i="2" s="1"/>
  <c r="BQ58" i="2" s="1"/>
  <c r="BY58" i="2" s="1"/>
  <c r="AU58" i="2"/>
  <c r="AQ58" i="2"/>
  <c r="AO58" i="2"/>
  <c r="AN58" i="2"/>
  <c r="U58" i="2"/>
  <c r="Q58" i="2"/>
  <c r="O58" i="2"/>
  <c r="N58" i="2"/>
  <c r="M58" i="2"/>
  <c r="K58" i="2"/>
  <c r="I58" i="2"/>
  <c r="G58" i="2"/>
  <c r="F58" i="2"/>
  <c r="B58" i="2"/>
  <c r="A58" i="2"/>
  <c r="CB57" i="2"/>
  <c r="BZ57" i="2"/>
  <c r="BW57" i="2"/>
  <c r="BS57" i="2"/>
  <c r="BU57" i="2" s="1"/>
  <c r="BR57" i="2"/>
  <c r="BT57" i="2" s="1"/>
  <c r="BH57" i="2"/>
  <c r="BD57" i="2"/>
  <c r="BC57" i="2"/>
  <c r="AW57" i="2"/>
  <c r="AX57" i="2" s="1"/>
  <c r="AV57" i="2"/>
  <c r="AY57" i="2" s="1"/>
  <c r="AU57" i="2"/>
  <c r="AQ57" i="2"/>
  <c r="AO57" i="2"/>
  <c r="AN57" i="2"/>
  <c r="U57" i="2"/>
  <c r="Q57" i="2"/>
  <c r="O57" i="2"/>
  <c r="N57" i="2"/>
  <c r="M57" i="2"/>
  <c r="K57" i="2"/>
  <c r="I57" i="2"/>
  <c r="G57" i="2"/>
  <c r="F57" i="2"/>
  <c r="B57" i="2"/>
  <c r="A57" i="2"/>
  <c r="CB56" i="2"/>
  <c r="BZ56" i="2"/>
  <c r="BW56" i="2"/>
  <c r="BS56" i="2"/>
  <c r="BU56" i="2" s="1"/>
  <c r="BR56" i="2"/>
  <c r="BT56" i="2" s="1"/>
  <c r="BH56" i="2"/>
  <c r="BD56" i="2"/>
  <c r="BC56" i="2"/>
  <c r="AW56" i="2"/>
  <c r="AX56" i="2" s="1"/>
  <c r="AV56" i="2"/>
  <c r="AY56" i="2" s="1"/>
  <c r="AU56" i="2"/>
  <c r="AQ56" i="2"/>
  <c r="AO56" i="2"/>
  <c r="AN56" i="2"/>
  <c r="T56" i="2"/>
  <c r="Q56" i="2"/>
  <c r="O56" i="2"/>
  <c r="N56" i="2"/>
  <c r="M56" i="2"/>
  <c r="K56" i="2"/>
  <c r="I56" i="2"/>
  <c r="G56" i="2"/>
  <c r="F56" i="2"/>
  <c r="B56" i="2"/>
  <c r="A56" i="2"/>
  <c r="CB55" i="2"/>
  <c r="BZ55" i="2"/>
  <c r="BW55" i="2"/>
  <c r="BS55" i="2"/>
  <c r="BU55" i="2" s="1"/>
  <c r="BR55" i="2"/>
  <c r="BT55" i="2" s="1"/>
  <c r="BH55" i="2"/>
  <c r="BD55" i="2"/>
  <c r="BC55" i="2"/>
  <c r="AW55" i="2"/>
  <c r="AX55" i="2" s="1"/>
  <c r="AV55" i="2"/>
  <c r="AY55" i="2" s="1"/>
  <c r="AU55" i="2"/>
  <c r="AQ55" i="2"/>
  <c r="AO55" i="2"/>
  <c r="AN55" i="2"/>
  <c r="T55" i="2"/>
  <c r="Q55" i="2"/>
  <c r="O55" i="2"/>
  <c r="N55" i="2"/>
  <c r="M55" i="2"/>
  <c r="K55" i="2"/>
  <c r="I55" i="2"/>
  <c r="G55" i="2"/>
  <c r="F55" i="2"/>
  <c r="B55" i="2"/>
  <c r="A55" i="2"/>
  <c r="CB54" i="2"/>
  <c r="BZ54" i="2"/>
  <c r="BW54" i="2"/>
  <c r="BS54" i="2"/>
  <c r="BU54" i="2" s="1"/>
  <c r="BR54" i="2"/>
  <c r="BT54" i="2" s="1"/>
  <c r="BH54" i="2"/>
  <c r="BD54" i="2"/>
  <c r="BC54" i="2"/>
  <c r="AW54" i="2"/>
  <c r="AX54" i="2" s="1"/>
  <c r="AV54" i="2"/>
  <c r="AY54" i="2" s="1"/>
  <c r="AU54" i="2"/>
  <c r="AQ54" i="2"/>
  <c r="AO54" i="2"/>
  <c r="AN54" i="2"/>
  <c r="U54" i="2"/>
  <c r="Q54" i="2"/>
  <c r="O54" i="2"/>
  <c r="N54" i="2"/>
  <c r="M54" i="2"/>
  <c r="K54" i="2"/>
  <c r="I54" i="2"/>
  <c r="G54" i="2"/>
  <c r="F54" i="2"/>
  <c r="B54" i="2"/>
  <c r="A54" i="2"/>
  <c r="CB53" i="2"/>
  <c r="BZ53" i="2"/>
  <c r="BW53" i="2"/>
  <c r="BS53" i="2"/>
  <c r="BU53" i="2" s="1"/>
  <c r="BR53" i="2"/>
  <c r="BT53" i="2" s="1"/>
  <c r="BH53" i="2"/>
  <c r="BD53" i="2"/>
  <c r="BC53" i="2"/>
  <c r="AW53" i="2"/>
  <c r="AX53" i="2" s="1"/>
  <c r="AV53" i="2"/>
  <c r="AY53" i="2" s="1"/>
  <c r="AU53" i="2"/>
  <c r="AQ53" i="2"/>
  <c r="AO53" i="2"/>
  <c r="AN53" i="2"/>
  <c r="U53" i="2"/>
  <c r="Q53" i="2"/>
  <c r="O53" i="2"/>
  <c r="N53" i="2"/>
  <c r="M53" i="2"/>
  <c r="K53" i="2"/>
  <c r="I53" i="2"/>
  <c r="G53" i="2"/>
  <c r="F53" i="2"/>
  <c r="B53" i="2"/>
  <c r="A53" i="2"/>
  <c r="CB52" i="2"/>
  <c r="CA52" i="2"/>
  <c r="BZ52" i="2"/>
  <c r="BW52" i="2"/>
  <c r="BS52" i="2"/>
  <c r="BU52" i="2" s="1"/>
  <c r="BR52" i="2"/>
  <c r="BT52" i="2" s="1"/>
  <c r="BH52" i="2"/>
  <c r="BC52" i="2"/>
  <c r="AW52" i="2"/>
  <c r="AX52" i="2" s="1"/>
  <c r="AV52" i="2"/>
  <c r="AU52" i="2"/>
  <c r="AQ52" i="2"/>
  <c r="AO52" i="2"/>
  <c r="AN52" i="2"/>
  <c r="T52" i="2"/>
  <c r="Q52" i="2"/>
  <c r="O52" i="2"/>
  <c r="N52" i="2"/>
  <c r="M52" i="2"/>
  <c r="K52" i="2"/>
  <c r="I52" i="2"/>
  <c r="G52" i="2"/>
  <c r="BD52" i="2" s="1"/>
  <c r="F52" i="2"/>
  <c r="B52" i="2"/>
  <c r="A52" i="2"/>
  <c r="CB51" i="2"/>
  <c r="BZ51" i="2"/>
  <c r="BW51" i="2"/>
  <c r="BS51" i="2"/>
  <c r="BU51" i="2" s="1"/>
  <c r="BR51" i="2"/>
  <c r="BT51" i="2" s="1"/>
  <c r="BH51" i="2"/>
  <c r="BD51" i="2"/>
  <c r="BC51" i="2"/>
  <c r="AW51" i="2"/>
  <c r="AX51" i="2" s="1"/>
  <c r="AV51" i="2"/>
  <c r="AY51" i="2" s="1"/>
  <c r="AU51" i="2"/>
  <c r="AQ51" i="2"/>
  <c r="AO51" i="2"/>
  <c r="AN51" i="2"/>
  <c r="AP51" i="2" s="1"/>
  <c r="Q51" i="2"/>
  <c r="O51" i="2"/>
  <c r="N51" i="2"/>
  <c r="M51" i="2"/>
  <c r="K51" i="2"/>
  <c r="I51" i="2"/>
  <c r="G51" i="2"/>
  <c r="F51" i="2"/>
  <c r="B51" i="2"/>
  <c r="A51" i="2"/>
  <c r="CB50" i="2"/>
  <c r="BZ50" i="2"/>
  <c r="BW50" i="2"/>
  <c r="BS50" i="2"/>
  <c r="BU50" i="2" s="1"/>
  <c r="BR50" i="2"/>
  <c r="BT50" i="2" s="1"/>
  <c r="BP50" i="2"/>
  <c r="BQ50" i="2" s="1"/>
  <c r="BY50" i="2" s="1"/>
  <c r="BN50" i="2"/>
  <c r="BO50" i="2" s="1"/>
  <c r="BH50" i="2"/>
  <c r="BC50" i="2"/>
  <c r="AW50" i="2"/>
  <c r="AV50" i="2"/>
  <c r="AU50" i="2"/>
  <c r="AR50" i="2"/>
  <c r="AQ50" i="2"/>
  <c r="AO50" i="2"/>
  <c r="AN50" i="2"/>
  <c r="Q50" i="2"/>
  <c r="O50" i="2"/>
  <c r="N50" i="2"/>
  <c r="M50" i="2"/>
  <c r="K50" i="2"/>
  <c r="I50" i="2"/>
  <c r="G50" i="2"/>
  <c r="BD50" i="2" s="1"/>
  <c r="F50" i="2"/>
  <c r="AS50" i="2" s="1"/>
  <c r="B50" i="2"/>
  <c r="A50" i="2"/>
  <c r="CB49" i="2"/>
  <c r="BZ49" i="2"/>
  <c r="BW49" i="2"/>
  <c r="BX49" i="2" s="1"/>
  <c r="BS49" i="2"/>
  <c r="BU49" i="2" s="1"/>
  <c r="BR49" i="2"/>
  <c r="BT49" i="2" s="1"/>
  <c r="BH49" i="2"/>
  <c r="BD49" i="2"/>
  <c r="BC49" i="2"/>
  <c r="AW49" i="2"/>
  <c r="AX49" i="2" s="1"/>
  <c r="AV49" i="2"/>
  <c r="AY49" i="2" s="1"/>
  <c r="AU49" i="2"/>
  <c r="AQ49" i="2"/>
  <c r="AO49" i="2"/>
  <c r="AN49" i="2"/>
  <c r="AP49" i="2" s="1"/>
  <c r="U49" i="2"/>
  <c r="Q49" i="2"/>
  <c r="O49" i="2"/>
  <c r="N49" i="2"/>
  <c r="M49" i="2"/>
  <c r="K49" i="2"/>
  <c r="I49" i="2"/>
  <c r="G49" i="2"/>
  <c r="F49" i="2"/>
  <c r="AS49" i="2" s="1"/>
  <c r="B49" i="2"/>
  <c r="A49" i="2"/>
  <c r="CB48" i="2"/>
  <c r="BZ48" i="2"/>
  <c r="BW48" i="2"/>
  <c r="BS48" i="2"/>
  <c r="BU48" i="2" s="1"/>
  <c r="BR48" i="2"/>
  <c r="BT48" i="2" s="1"/>
  <c r="BH48" i="2"/>
  <c r="BD48" i="2"/>
  <c r="BC48" i="2"/>
  <c r="AW48" i="2"/>
  <c r="AX48" i="2" s="1"/>
  <c r="AV48" i="2"/>
  <c r="AY48" i="2" s="1"/>
  <c r="AU48" i="2"/>
  <c r="AQ48" i="2"/>
  <c r="AO48" i="2"/>
  <c r="AN48" i="2"/>
  <c r="U48" i="2"/>
  <c r="Q48" i="2"/>
  <c r="O48" i="2"/>
  <c r="N48" i="2"/>
  <c r="M48" i="2"/>
  <c r="K48" i="2"/>
  <c r="I48" i="2"/>
  <c r="G48" i="2"/>
  <c r="F48" i="2"/>
  <c r="B48" i="2"/>
  <c r="A48" i="2"/>
  <c r="CB47" i="2"/>
  <c r="BZ47" i="2"/>
  <c r="BW47" i="2"/>
  <c r="BS47" i="2"/>
  <c r="BU47" i="2" s="1"/>
  <c r="BR47" i="2"/>
  <c r="BT47" i="2" s="1"/>
  <c r="BH47" i="2"/>
  <c r="BD47" i="2"/>
  <c r="BC47" i="2"/>
  <c r="AW47" i="2"/>
  <c r="AX47" i="2" s="1"/>
  <c r="AV47" i="2"/>
  <c r="AY47" i="2" s="1"/>
  <c r="AW186" i="2" s="1"/>
  <c r="AU47" i="2"/>
  <c r="AQ47" i="2"/>
  <c r="AO47" i="2"/>
  <c r="AN47" i="2"/>
  <c r="Q47" i="2"/>
  <c r="O47" i="2"/>
  <c r="N47" i="2"/>
  <c r="M47" i="2"/>
  <c r="K47" i="2"/>
  <c r="I47" i="2"/>
  <c r="G47" i="2"/>
  <c r="F47" i="2"/>
  <c r="AS47" i="2" s="1"/>
  <c r="B47" i="2"/>
  <c r="A47" i="2"/>
  <c r="CB46" i="2"/>
  <c r="BZ46" i="2"/>
  <c r="BW46" i="2"/>
  <c r="BS46" i="2"/>
  <c r="BU46" i="2" s="1"/>
  <c r="BR46" i="2"/>
  <c r="BT46" i="2" s="1"/>
  <c r="BH46" i="2"/>
  <c r="BD46" i="2"/>
  <c r="BC46" i="2"/>
  <c r="AW46" i="2"/>
  <c r="AX46" i="2" s="1"/>
  <c r="AV46" i="2"/>
  <c r="AY46" i="2" s="1"/>
  <c r="BN46" i="2" s="1"/>
  <c r="BO46" i="2" s="1"/>
  <c r="AU46" i="2"/>
  <c r="AQ46" i="2"/>
  <c r="AO46" i="2"/>
  <c r="AN46" i="2"/>
  <c r="U46" i="2"/>
  <c r="Q46" i="2"/>
  <c r="O46" i="2"/>
  <c r="N46" i="2"/>
  <c r="M46" i="2"/>
  <c r="K46" i="2"/>
  <c r="I46" i="2"/>
  <c r="G46" i="2"/>
  <c r="F46" i="2"/>
  <c r="B46" i="2"/>
  <c r="A46" i="2"/>
  <c r="CB45" i="2"/>
  <c r="BZ45" i="2"/>
  <c r="BW45" i="2"/>
  <c r="BU45" i="2"/>
  <c r="BS45" i="2"/>
  <c r="BR45" i="2"/>
  <c r="BT45" i="2" s="1"/>
  <c r="BH45" i="2"/>
  <c r="BD45" i="2"/>
  <c r="BC45" i="2"/>
  <c r="AY45" i="2"/>
  <c r="AW184" i="2" s="1"/>
  <c r="AW45" i="2"/>
  <c r="AX45" i="2" s="1"/>
  <c r="AV45" i="2"/>
  <c r="AU45" i="2"/>
  <c r="AQ45" i="2"/>
  <c r="AO45" i="2"/>
  <c r="AN45" i="2"/>
  <c r="U45" i="2"/>
  <c r="Q45" i="2"/>
  <c r="O45" i="2"/>
  <c r="N45" i="2"/>
  <c r="M45" i="2"/>
  <c r="P45" i="2" s="1"/>
  <c r="K45" i="2"/>
  <c r="I45" i="2"/>
  <c r="G45" i="2"/>
  <c r="F45" i="2"/>
  <c r="B45" i="2"/>
  <c r="A45" i="2"/>
  <c r="CB44" i="2"/>
  <c r="BZ44" i="2"/>
  <c r="BW44" i="2"/>
  <c r="BS44" i="2"/>
  <c r="BU44" i="2" s="1"/>
  <c r="BR44" i="2"/>
  <c r="BT44" i="2" s="1"/>
  <c r="BH44" i="2"/>
  <c r="BD44" i="2"/>
  <c r="BC44" i="2"/>
  <c r="AW44" i="2"/>
  <c r="AX44" i="2" s="1"/>
  <c r="AV44" i="2"/>
  <c r="AY44" i="2" s="1"/>
  <c r="AW183" i="2" s="1"/>
  <c r="AX183" i="2" s="1"/>
  <c r="AU44" i="2"/>
  <c r="AQ44" i="2"/>
  <c r="AO44" i="2"/>
  <c r="AN44" i="2"/>
  <c r="U44" i="2"/>
  <c r="Q44" i="2"/>
  <c r="O44" i="2"/>
  <c r="N44" i="2"/>
  <c r="M44" i="2"/>
  <c r="K44" i="2"/>
  <c r="I44" i="2"/>
  <c r="G44" i="2"/>
  <c r="F44" i="2"/>
  <c r="B44" i="2"/>
  <c r="A44" i="2"/>
  <c r="CB43" i="2"/>
  <c r="BZ43" i="2"/>
  <c r="BW43" i="2"/>
  <c r="BS43" i="2"/>
  <c r="BU43" i="2" s="1"/>
  <c r="BR43" i="2"/>
  <c r="BT43" i="2" s="1"/>
  <c r="BH43" i="2"/>
  <c r="BD43" i="2"/>
  <c r="BC43" i="2"/>
  <c r="AW43" i="2"/>
  <c r="AX43" i="2" s="1"/>
  <c r="AV43" i="2"/>
  <c r="AY43" i="2" s="1"/>
  <c r="AU43" i="2"/>
  <c r="AQ43" i="2"/>
  <c r="AO43" i="2"/>
  <c r="AN43" i="2"/>
  <c r="U43" i="2"/>
  <c r="Q43" i="2"/>
  <c r="O43" i="2"/>
  <c r="N43" i="2"/>
  <c r="M43" i="2"/>
  <c r="K43" i="2"/>
  <c r="I43" i="2"/>
  <c r="G43" i="2"/>
  <c r="F43" i="2"/>
  <c r="B43" i="2"/>
  <c r="A43" i="2"/>
  <c r="CB42" i="2"/>
  <c r="BZ42" i="2"/>
  <c r="BW42" i="2"/>
  <c r="BX42" i="2" s="1"/>
  <c r="BS42" i="2"/>
  <c r="BU42" i="2" s="1"/>
  <c r="BR42" i="2"/>
  <c r="BT42" i="2" s="1"/>
  <c r="BH42" i="2"/>
  <c r="BD42" i="2"/>
  <c r="BC42" i="2"/>
  <c r="AW42" i="2"/>
  <c r="AX42" i="2" s="1"/>
  <c r="AV42" i="2"/>
  <c r="AY42" i="2" s="1"/>
  <c r="AW181" i="2" s="1"/>
  <c r="AU42" i="2"/>
  <c r="AQ42" i="2"/>
  <c r="AO42" i="2"/>
  <c r="AN42" i="2"/>
  <c r="U42" i="2"/>
  <c r="Q42" i="2"/>
  <c r="O42" i="2"/>
  <c r="N42" i="2"/>
  <c r="M42" i="2"/>
  <c r="K42" i="2"/>
  <c r="I42" i="2"/>
  <c r="G42" i="2"/>
  <c r="F42" i="2"/>
  <c r="B42" i="2"/>
  <c r="A42" i="2"/>
  <c r="CB41" i="2"/>
  <c r="BZ41" i="2"/>
  <c r="BW41" i="2"/>
  <c r="BS41" i="2"/>
  <c r="BU41" i="2" s="1"/>
  <c r="BR41" i="2"/>
  <c r="BT41" i="2" s="1"/>
  <c r="BH41" i="2"/>
  <c r="BD41" i="2"/>
  <c r="BC41" i="2"/>
  <c r="AW41" i="2"/>
  <c r="AX41" i="2" s="1"/>
  <c r="AV41" i="2"/>
  <c r="AY41" i="2" s="1"/>
  <c r="AW180" i="2" s="1"/>
  <c r="AU41" i="2"/>
  <c r="AQ41" i="2"/>
  <c r="AO41" i="2"/>
  <c r="AN41" i="2"/>
  <c r="U41" i="2"/>
  <c r="Q41" i="2"/>
  <c r="O41" i="2"/>
  <c r="N41" i="2"/>
  <c r="M41" i="2"/>
  <c r="P41" i="2" s="1"/>
  <c r="K41" i="2"/>
  <c r="I41" i="2"/>
  <c r="G41" i="2"/>
  <c r="F41" i="2"/>
  <c r="B41" i="2"/>
  <c r="A41" i="2"/>
  <c r="CB40" i="2"/>
  <c r="BZ40" i="2"/>
  <c r="BW40" i="2"/>
  <c r="BS40" i="2"/>
  <c r="BU40" i="2" s="1"/>
  <c r="BR40" i="2"/>
  <c r="BT40" i="2" s="1"/>
  <c r="BH40" i="2"/>
  <c r="BD40" i="2"/>
  <c r="BC40" i="2"/>
  <c r="AW40" i="2"/>
  <c r="AX40" i="2" s="1"/>
  <c r="AV40" i="2"/>
  <c r="AY40" i="2" s="1"/>
  <c r="BP40" i="2" s="1"/>
  <c r="BQ40" i="2" s="1"/>
  <c r="BY40" i="2" s="1"/>
  <c r="AU40" i="2"/>
  <c r="AQ40" i="2"/>
  <c r="AO40" i="2"/>
  <c r="AN40" i="2"/>
  <c r="Q40" i="2"/>
  <c r="BX40" i="2" s="1"/>
  <c r="O40" i="2"/>
  <c r="N40" i="2"/>
  <c r="M40" i="2"/>
  <c r="K40" i="2"/>
  <c r="I40" i="2"/>
  <c r="G40" i="2"/>
  <c r="F40" i="2"/>
  <c r="B40" i="2"/>
  <c r="A40" i="2"/>
  <c r="CB39" i="2"/>
  <c r="BZ39" i="2"/>
  <c r="BW39" i="2"/>
  <c r="BS39" i="2"/>
  <c r="BU39" i="2" s="1"/>
  <c r="BR39" i="2"/>
  <c r="BT39" i="2" s="1"/>
  <c r="BH39" i="2"/>
  <c r="BD39" i="2"/>
  <c r="BC39" i="2"/>
  <c r="AW39" i="2"/>
  <c r="AX39" i="2" s="1"/>
  <c r="AV39" i="2"/>
  <c r="AY39" i="2" s="1"/>
  <c r="AW178" i="2" s="1"/>
  <c r="AU39" i="2"/>
  <c r="AQ39" i="2"/>
  <c r="AO39" i="2"/>
  <c r="AN39" i="2"/>
  <c r="AP39" i="2" s="1"/>
  <c r="U39" i="2"/>
  <c r="Q39" i="2"/>
  <c r="O39" i="2"/>
  <c r="N39" i="2"/>
  <c r="M39" i="2"/>
  <c r="K39" i="2"/>
  <c r="I39" i="2"/>
  <c r="G39" i="2"/>
  <c r="F39" i="2"/>
  <c r="B39" i="2"/>
  <c r="A39" i="2"/>
  <c r="CB38" i="2"/>
  <c r="BZ38" i="2"/>
  <c r="BW38" i="2"/>
  <c r="BS38" i="2"/>
  <c r="BU38" i="2" s="1"/>
  <c r="BR38" i="2"/>
  <c r="BT38" i="2" s="1"/>
  <c r="BH38" i="2"/>
  <c r="BD38" i="2"/>
  <c r="BC38" i="2"/>
  <c r="AW38" i="2"/>
  <c r="AX38" i="2" s="1"/>
  <c r="AV38" i="2"/>
  <c r="AY38" i="2" s="1"/>
  <c r="AW177" i="2" s="1"/>
  <c r="AU38" i="2"/>
  <c r="AQ38" i="2"/>
  <c r="AO38" i="2"/>
  <c r="AN38" i="2"/>
  <c r="U38" i="2"/>
  <c r="Q38" i="2"/>
  <c r="O38" i="2"/>
  <c r="N38" i="2"/>
  <c r="M38" i="2"/>
  <c r="K38" i="2"/>
  <c r="I38" i="2"/>
  <c r="G38" i="2"/>
  <c r="F38" i="2"/>
  <c r="B38" i="2"/>
  <c r="A38" i="2"/>
  <c r="CB37" i="2"/>
  <c r="CA37" i="2"/>
  <c r="BZ37" i="2"/>
  <c r="BW37" i="2"/>
  <c r="BS37" i="2"/>
  <c r="BU37" i="2" s="1"/>
  <c r="BR37" i="2"/>
  <c r="BT37" i="2" s="1"/>
  <c r="BH37" i="2"/>
  <c r="BD37" i="2"/>
  <c r="BC37" i="2"/>
  <c r="AW37" i="2"/>
  <c r="AX37" i="2" s="1"/>
  <c r="AV37" i="2"/>
  <c r="AU37" i="2"/>
  <c r="AQ37" i="2"/>
  <c r="AO37" i="2"/>
  <c r="AN37" i="2"/>
  <c r="T37" i="2"/>
  <c r="Q37" i="2"/>
  <c r="O37" i="2"/>
  <c r="N37" i="2"/>
  <c r="M37" i="2"/>
  <c r="K37" i="2"/>
  <c r="I37" i="2"/>
  <c r="G37" i="2"/>
  <c r="F37" i="2"/>
  <c r="B37" i="2"/>
  <c r="A37" i="2"/>
  <c r="CB36" i="2"/>
  <c r="BZ36" i="2"/>
  <c r="BW36" i="2"/>
  <c r="BT36" i="2"/>
  <c r="BS36" i="2"/>
  <c r="BU36" i="2" s="1"/>
  <c r="BR36" i="2"/>
  <c r="BH36" i="2"/>
  <c r="BD36" i="2"/>
  <c r="BC36" i="2"/>
  <c r="AW36" i="2"/>
  <c r="AX36" i="2" s="1"/>
  <c r="AV36" i="2"/>
  <c r="AY36" i="2" s="1"/>
  <c r="AU36" i="2"/>
  <c r="AQ36" i="2"/>
  <c r="AO36" i="2"/>
  <c r="AN36" i="2"/>
  <c r="U36" i="2"/>
  <c r="Q36" i="2"/>
  <c r="O36" i="2"/>
  <c r="N36" i="2"/>
  <c r="M36" i="2"/>
  <c r="K36" i="2"/>
  <c r="I36" i="2"/>
  <c r="G36" i="2"/>
  <c r="F36" i="2"/>
  <c r="B36" i="2"/>
  <c r="A36" i="2"/>
  <c r="CB35" i="2"/>
  <c r="BZ35" i="2"/>
  <c r="BW35" i="2"/>
  <c r="BS35" i="2"/>
  <c r="BU35" i="2" s="1"/>
  <c r="BR35" i="2"/>
  <c r="BT35" i="2" s="1"/>
  <c r="BH35" i="2"/>
  <c r="BD35" i="2"/>
  <c r="BC35" i="2"/>
  <c r="AW35" i="2"/>
  <c r="AX35" i="2" s="1"/>
  <c r="AV35" i="2"/>
  <c r="AY35" i="2" s="1"/>
  <c r="BN35" i="2" s="1"/>
  <c r="BO35" i="2" s="1"/>
  <c r="AU35" i="2"/>
  <c r="AQ35" i="2"/>
  <c r="AO35" i="2"/>
  <c r="AN35" i="2"/>
  <c r="U35" i="2"/>
  <c r="Q35" i="2"/>
  <c r="O35" i="2"/>
  <c r="N35" i="2"/>
  <c r="M35" i="2"/>
  <c r="K35" i="2"/>
  <c r="I35" i="2"/>
  <c r="G35" i="2"/>
  <c r="F35" i="2"/>
  <c r="B35" i="2"/>
  <c r="A35" i="2"/>
  <c r="CB34" i="2"/>
  <c r="BZ34" i="2"/>
  <c r="BW34" i="2"/>
  <c r="BS34" i="2"/>
  <c r="BU34" i="2" s="1"/>
  <c r="BR34" i="2"/>
  <c r="BT34" i="2" s="1"/>
  <c r="BH34" i="2"/>
  <c r="BD34" i="2"/>
  <c r="BC34" i="2"/>
  <c r="AW34" i="2"/>
  <c r="AX34" i="2" s="1"/>
  <c r="AV34" i="2"/>
  <c r="AU34" i="2"/>
  <c r="AQ34" i="2"/>
  <c r="AO34" i="2"/>
  <c r="AN34" i="2"/>
  <c r="T34" i="2"/>
  <c r="Q34" i="2"/>
  <c r="O34" i="2"/>
  <c r="N34" i="2"/>
  <c r="M34" i="2"/>
  <c r="K34" i="2"/>
  <c r="I34" i="2"/>
  <c r="G34" i="2"/>
  <c r="F34" i="2"/>
  <c r="B34" i="2"/>
  <c r="A34" i="2"/>
  <c r="CB33" i="2"/>
  <c r="BZ33" i="2"/>
  <c r="BW33" i="2"/>
  <c r="BS33" i="2"/>
  <c r="BU33" i="2" s="1"/>
  <c r="BR33" i="2"/>
  <c r="BT33" i="2" s="1"/>
  <c r="BH33" i="2"/>
  <c r="BD33" i="2"/>
  <c r="BC33" i="2"/>
  <c r="AW33" i="2"/>
  <c r="AX33" i="2" s="1"/>
  <c r="AV33" i="2"/>
  <c r="AY33" i="2" s="1"/>
  <c r="AU33" i="2"/>
  <c r="AQ33" i="2"/>
  <c r="AO33" i="2"/>
  <c r="AN33" i="2"/>
  <c r="U33" i="2"/>
  <c r="Q33" i="2"/>
  <c r="O33" i="2"/>
  <c r="N33" i="2"/>
  <c r="M33" i="2"/>
  <c r="K33" i="2"/>
  <c r="I33" i="2"/>
  <c r="G33" i="2"/>
  <c r="F33" i="2"/>
  <c r="B33" i="2"/>
  <c r="A33" i="2"/>
  <c r="CB32" i="2"/>
  <c r="BZ32" i="2"/>
  <c r="BW32" i="2"/>
  <c r="BS32" i="2"/>
  <c r="BU32" i="2" s="1"/>
  <c r="BR32" i="2"/>
  <c r="BT32" i="2" s="1"/>
  <c r="BH32" i="2"/>
  <c r="BD32" i="2"/>
  <c r="BC32" i="2"/>
  <c r="AW32" i="2"/>
  <c r="AX32" i="2" s="1"/>
  <c r="AV32" i="2"/>
  <c r="AY32" i="2" s="1"/>
  <c r="AW172" i="2" s="1"/>
  <c r="AX172" i="2" s="1"/>
  <c r="AU32" i="2"/>
  <c r="AQ32" i="2"/>
  <c r="AO32" i="2"/>
  <c r="AN32" i="2"/>
  <c r="Q32" i="2"/>
  <c r="O32" i="2"/>
  <c r="N32" i="2"/>
  <c r="M32" i="2"/>
  <c r="K32" i="2"/>
  <c r="I32" i="2"/>
  <c r="G32" i="2"/>
  <c r="F32" i="2"/>
  <c r="B32" i="2"/>
  <c r="A32" i="2"/>
  <c r="CB31" i="2"/>
  <c r="BZ31" i="2"/>
  <c r="BW31" i="2"/>
  <c r="BS31" i="2"/>
  <c r="BU31" i="2" s="1"/>
  <c r="BR31" i="2"/>
  <c r="BT31" i="2" s="1"/>
  <c r="BH31" i="2"/>
  <c r="BD31" i="2"/>
  <c r="BC31" i="2"/>
  <c r="AW31" i="2"/>
  <c r="AX31" i="2" s="1"/>
  <c r="AV31" i="2"/>
  <c r="AY31" i="2" s="1"/>
  <c r="BP31" i="2" s="1"/>
  <c r="BQ31" i="2" s="1"/>
  <c r="BY31" i="2" s="1"/>
  <c r="AU31" i="2"/>
  <c r="AQ31" i="2"/>
  <c r="AO31" i="2"/>
  <c r="AN31" i="2"/>
  <c r="Q31" i="2"/>
  <c r="O31" i="2"/>
  <c r="N31" i="2"/>
  <c r="M31" i="2"/>
  <c r="K31" i="2"/>
  <c r="I31" i="2"/>
  <c r="G31" i="2"/>
  <c r="AS31" i="2" s="1"/>
  <c r="BK31" i="2" s="1"/>
  <c r="F31" i="2"/>
  <c r="B31" i="2"/>
  <c r="A31" i="2"/>
  <c r="CB30" i="2"/>
  <c r="BZ30" i="2"/>
  <c r="BW30" i="2"/>
  <c r="BS30" i="2"/>
  <c r="BU30" i="2" s="1"/>
  <c r="BR30" i="2"/>
  <c r="BT30" i="2" s="1"/>
  <c r="BH30" i="2"/>
  <c r="BD30" i="2"/>
  <c r="BC30" i="2"/>
  <c r="AW30" i="2"/>
  <c r="AX30" i="2" s="1"/>
  <c r="AV30" i="2"/>
  <c r="AY30" i="2" s="1"/>
  <c r="AU30" i="2"/>
  <c r="AQ30" i="2"/>
  <c r="AO30" i="2"/>
  <c r="AN30" i="2"/>
  <c r="U30" i="2"/>
  <c r="Q30" i="2"/>
  <c r="O30" i="2"/>
  <c r="N30" i="2"/>
  <c r="M30" i="2"/>
  <c r="K30" i="2"/>
  <c r="I30" i="2"/>
  <c r="G30" i="2"/>
  <c r="F30" i="2"/>
  <c r="B30" i="2"/>
  <c r="A30" i="2"/>
  <c r="CB29" i="2"/>
  <c r="BZ29" i="2"/>
  <c r="BW29" i="2"/>
  <c r="BS29" i="2"/>
  <c r="BU29" i="2" s="1"/>
  <c r="BR29" i="2"/>
  <c r="BT29" i="2" s="1"/>
  <c r="BH29" i="2"/>
  <c r="BD29" i="2"/>
  <c r="BC29" i="2"/>
  <c r="AW29" i="2"/>
  <c r="AX29" i="2" s="1"/>
  <c r="AV29" i="2"/>
  <c r="AY29" i="2" s="1"/>
  <c r="AW169" i="2" s="1"/>
  <c r="AX169" i="2" s="1"/>
  <c r="AU29" i="2"/>
  <c r="AQ29" i="2"/>
  <c r="AO29" i="2"/>
  <c r="AP29" i="2" s="1"/>
  <c r="AN29" i="2"/>
  <c r="U29" i="2"/>
  <c r="Q29" i="2"/>
  <c r="O29" i="2"/>
  <c r="N29" i="2"/>
  <c r="M29" i="2"/>
  <c r="K29" i="2"/>
  <c r="I29" i="2"/>
  <c r="G29" i="2"/>
  <c r="F29" i="2"/>
  <c r="B29" i="2"/>
  <c r="A29" i="2"/>
  <c r="CB28" i="2"/>
  <c r="BZ28" i="2"/>
  <c r="BW28" i="2"/>
  <c r="BS28" i="2"/>
  <c r="BU28" i="2" s="1"/>
  <c r="BR28" i="2"/>
  <c r="BT28" i="2" s="1"/>
  <c r="BH28" i="2"/>
  <c r="BD28" i="2"/>
  <c r="BC28" i="2"/>
  <c r="AW28" i="2"/>
  <c r="AX28" i="2" s="1"/>
  <c r="AV28" i="2"/>
  <c r="AY28" i="2" s="1"/>
  <c r="AU28" i="2"/>
  <c r="AQ28" i="2"/>
  <c r="AO28" i="2"/>
  <c r="AN28" i="2"/>
  <c r="U28" i="2"/>
  <c r="Q28" i="2"/>
  <c r="O28" i="2"/>
  <c r="N28" i="2"/>
  <c r="M28" i="2"/>
  <c r="K28" i="2"/>
  <c r="I28" i="2"/>
  <c r="G28" i="2"/>
  <c r="F28" i="2"/>
  <c r="B28" i="2"/>
  <c r="A28" i="2"/>
  <c r="CB27" i="2"/>
  <c r="BZ27" i="2"/>
  <c r="BW27" i="2"/>
  <c r="BS27" i="2"/>
  <c r="BU27" i="2" s="1"/>
  <c r="BR27" i="2"/>
  <c r="BT27" i="2" s="1"/>
  <c r="BH27" i="2"/>
  <c r="BD27" i="2"/>
  <c r="BC27" i="2"/>
  <c r="AW27" i="2"/>
  <c r="AX27" i="2" s="1"/>
  <c r="AV27" i="2"/>
  <c r="AY27" i="2" s="1"/>
  <c r="AU27" i="2"/>
  <c r="AQ27" i="2"/>
  <c r="AO27" i="2"/>
  <c r="AN27" i="2"/>
  <c r="U27" i="2"/>
  <c r="Q27" i="2"/>
  <c r="O27" i="2"/>
  <c r="N27" i="2"/>
  <c r="M27" i="2"/>
  <c r="K27" i="2"/>
  <c r="I27" i="2"/>
  <c r="G27" i="2"/>
  <c r="F27" i="2"/>
  <c r="B27" i="2"/>
  <c r="A27" i="2"/>
  <c r="CB26" i="2"/>
  <c r="BZ26" i="2"/>
  <c r="BW26" i="2"/>
  <c r="BS26" i="2"/>
  <c r="BU26" i="2" s="1"/>
  <c r="BR26" i="2"/>
  <c r="BT26" i="2" s="1"/>
  <c r="BH26" i="2"/>
  <c r="BD26" i="2"/>
  <c r="BC26" i="2"/>
  <c r="AW26" i="2"/>
  <c r="AX26" i="2" s="1"/>
  <c r="AV26" i="2"/>
  <c r="AY26" i="2" s="1"/>
  <c r="AW166" i="2" s="1"/>
  <c r="AX166" i="2" s="1"/>
  <c r="AU26" i="2"/>
  <c r="AQ26" i="2"/>
  <c r="AO26" i="2"/>
  <c r="AN26" i="2"/>
  <c r="Q26" i="2"/>
  <c r="BX26" i="2" s="1"/>
  <c r="O26" i="2"/>
  <c r="N26" i="2"/>
  <c r="M26" i="2"/>
  <c r="K26" i="2"/>
  <c r="I26" i="2"/>
  <c r="G26" i="2"/>
  <c r="F26" i="2"/>
  <c r="B26" i="2"/>
  <c r="A26" i="2"/>
  <c r="CB25" i="2"/>
  <c r="BZ25" i="2"/>
  <c r="BW25" i="2"/>
  <c r="BS25" i="2"/>
  <c r="BU25" i="2" s="1"/>
  <c r="BR25" i="2"/>
  <c r="BT25" i="2" s="1"/>
  <c r="BH25" i="2"/>
  <c r="BD25" i="2"/>
  <c r="BC25" i="2"/>
  <c r="AW25" i="2"/>
  <c r="AX25" i="2" s="1"/>
  <c r="AV25" i="2"/>
  <c r="AY25" i="2" s="1"/>
  <c r="BP25" i="2" s="1"/>
  <c r="BQ25" i="2" s="1"/>
  <c r="BY25" i="2" s="1"/>
  <c r="AU25" i="2"/>
  <c r="AQ25" i="2"/>
  <c r="AO25" i="2"/>
  <c r="AN25" i="2"/>
  <c r="U25" i="2"/>
  <c r="Q25" i="2"/>
  <c r="O25" i="2"/>
  <c r="N25" i="2"/>
  <c r="M25" i="2"/>
  <c r="K25" i="2"/>
  <c r="I25" i="2"/>
  <c r="G25" i="2"/>
  <c r="F25" i="2"/>
  <c r="B25" i="2"/>
  <c r="A25" i="2"/>
  <c r="CB24" i="2"/>
  <c r="BZ24" i="2"/>
  <c r="BW24" i="2"/>
  <c r="BS24" i="2"/>
  <c r="BU24" i="2" s="1"/>
  <c r="BR24" i="2"/>
  <c r="BT24" i="2" s="1"/>
  <c r="BH24" i="2"/>
  <c r="BD24" i="2"/>
  <c r="BC24" i="2"/>
  <c r="AW24" i="2"/>
  <c r="AX24" i="2" s="1"/>
  <c r="AV24" i="2"/>
  <c r="AY24" i="2" s="1"/>
  <c r="AU24" i="2"/>
  <c r="AQ24" i="2"/>
  <c r="AO24" i="2"/>
  <c r="AN24" i="2"/>
  <c r="AP24" i="2" s="1"/>
  <c r="U24" i="2"/>
  <c r="Q24" i="2"/>
  <c r="O24" i="2"/>
  <c r="N24" i="2"/>
  <c r="M24" i="2"/>
  <c r="K24" i="2"/>
  <c r="I24" i="2"/>
  <c r="G24" i="2"/>
  <c r="F24" i="2"/>
  <c r="B24" i="2"/>
  <c r="A24" i="2"/>
  <c r="CB23" i="2"/>
  <c r="BZ23" i="2"/>
  <c r="BW23" i="2"/>
  <c r="BS23" i="2"/>
  <c r="BU23" i="2" s="1"/>
  <c r="BR23" i="2"/>
  <c r="BT23" i="2" s="1"/>
  <c r="BH23" i="2"/>
  <c r="BD23" i="2"/>
  <c r="BC23" i="2"/>
  <c r="AW23" i="2"/>
  <c r="AX23" i="2" s="1"/>
  <c r="AV23" i="2"/>
  <c r="AY23" i="2" s="1"/>
  <c r="AW163" i="2" s="1"/>
  <c r="AX163" i="2" s="1"/>
  <c r="AU23" i="2"/>
  <c r="AQ23" i="2"/>
  <c r="AO23" i="2"/>
  <c r="AN23" i="2"/>
  <c r="U23" i="2"/>
  <c r="Q23" i="2"/>
  <c r="O23" i="2"/>
  <c r="N23" i="2"/>
  <c r="M23" i="2"/>
  <c r="K23" i="2"/>
  <c r="I23" i="2"/>
  <c r="G23" i="2"/>
  <c r="F23" i="2"/>
  <c r="B23" i="2"/>
  <c r="A23" i="2"/>
  <c r="CB22" i="2"/>
  <c r="BZ22" i="2"/>
  <c r="BW22" i="2"/>
  <c r="BS22" i="2"/>
  <c r="BU22" i="2" s="1"/>
  <c r="BR22" i="2"/>
  <c r="BT22" i="2" s="1"/>
  <c r="BH22" i="2"/>
  <c r="BD22" i="2"/>
  <c r="BC22" i="2"/>
  <c r="AW22" i="2"/>
  <c r="AX22" i="2" s="1"/>
  <c r="AV22" i="2"/>
  <c r="AY22" i="2" s="1"/>
  <c r="BN22" i="2" s="1"/>
  <c r="BO22" i="2" s="1"/>
  <c r="AU22" i="2"/>
  <c r="AQ22" i="2"/>
  <c r="AO22" i="2"/>
  <c r="AN22" i="2"/>
  <c r="Q22" i="2"/>
  <c r="O22" i="2"/>
  <c r="N22" i="2"/>
  <c r="M22" i="2"/>
  <c r="K22" i="2"/>
  <c r="I22" i="2"/>
  <c r="G22" i="2"/>
  <c r="F22" i="2"/>
  <c r="B22" i="2"/>
  <c r="A22" i="2"/>
  <c r="CB21" i="2"/>
  <c r="BZ21" i="2"/>
  <c r="BW21" i="2"/>
  <c r="BS21" i="2"/>
  <c r="BU21" i="2" s="1"/>
  <c r="BR21" i="2"/>
  <c r="BT21" i="2" s="1"/>
  <c r="BH21" i="2"/>
  <c r="BD21" i="2"/>
  <c r="BC21" i="2"/>
  <c r="AW21" i="2"/>
  <c r="AX21" i="2" s="1"/>
  <c r="AV21" i="2"/>
  <c r="AY21" i="2" s="1"/>
  <c r="AU21" i="2"/>
  <c r="AQ21" i="2"/>
  <c r="AO21" i="2"/>
  <c r="AN21" i="2"/>
  <c r="AP21" i="2" s="1"/>
  <c r="U21" i="2"/>
  <c r="Q21" i="2"/>
  <c r="O21" i="2"/>
  <c r="N21" i="2"/>
  <c r="M21" i="2"/>
  <c r="K21" i="2"/>
  <c r="I21" i="2"/>
  <c r="G21" i="2"/>
  <c r="F21" i="2"/>
  <c r="B21" i="2"/>
  <c r="A21" i="2"/>
  <c r="CB20" i="2"/>
  <c r="BZ20" i="2"/>
  <c r="BW20" i="2"/>
  <c r="BS20" i="2"/>
  <c r="BU20" i="2" s="1"/>
  <c r="BR20" i="2"/>
  <c r="BT20" i="2" s="1"/>
  <c r="BH20" i="2"/>
  <c r="BD20" i="2"/>
  <c r="BC20" i="2"/>
  <c r="AW20" i="2"/>
  <c r="AX20" i="2" s="1"/>
  <c r="AV20" i="2"/>
  <c r="AY20" i="2" s="1"/>
  <c r="AU20" i="2"/>
  <c r="AQ20" i="2"/>
  <c r="AO20" i="2"/>
  <c r="AN20" i="2"/>
  <c r="U20" i="2"/>
  <c r="Q20" i="2"/>
  <c r="O20" i="2"/>
  <c r="N20" i="2"/>
  <c r="M20" i="2"/>
  <c r="K20" i="2"/>
  <c r="I20" i="2"/>
  <c r="G20" i="2"/>
  <c r="F20" i="2"/>
  <c r="B20" i="2"/>
  <c r="A20" i="2"/>
  <c r="CB19" i="2"/>
  <c r="BZ19" i="2"/>
  <c r="BW19" i="2"/>
  <c r="BS19" i="2"/>
  <c r="BU19" i="2" s="1"/>
  <c r="BR19" i="2"/>
  <c r="BT19" i="2" s="1"/>
  <c r="BH19" i="2"/>
  <c r="BD19" i="2"/>
  <c r="BC19" i="2"/>
  <c r="AW19" i="2"/>
  <c r="AX19" i="2" s="1"/>
  <c r="AV19" i="2"/>
  <c r="AY19" i="2" s="1"/>
  <c r="BP19" i="2" s="1"/>
  <c r="BQ19" i="2" s="1"/>
  <c r="BY19" i="2" s="1"/>
  <c r="AU19" i="2"/>
  <c r="AQ19" i="2"/>
  <c r="AO19" i="2"/>
  <c r="AN19" i="2"/>
  <c r="U19" i="2"/>
  <c r="Q19" i="2"/>
  <c r="O19" i="2"/>
  <c r="N19" i="2"/>
  <c r="M19" i="2"/>
  <c r="K19" i="2"/>
  <c r="I19" i="2"/>
  <c r="G19" i="2"/>
  <c r="F19" i="2"/>
  <c r="B19" i="2"/>
  <c r="A19" i="2"/>
  <c r="CB18" i="2"/>
  <c r="BZ18" i="2"/>
  <c r="BW18" i="2"/>
  <c r="BS18" i="2"/>
  <c r="BU18" i="2" s="1"/>
  <c r="BR18" i="2"/>
  <c r="BT18" i="2" s="1"/>
  <c r="BH18" i="2"/>
  <c r="BD18" i="2"/>
  <c r="BC18" i="2"/>
  <c r="AW18" i="2"/>
  <c r="AX18" i="2" s="1"/>
  <c r="AV18" i="2"/>
  <c r="AY18" i="2" s="1"/>
  <c r="AW158" i="2" s="1"/>
  <c r="AU18" i="2"/>
  <c r="AQ18" i="2"/>
  <c r="AO18" i="2"/>
  <c r="AN18" i="2"/>
  <c r="U18" i="2"/>
  <c r="Q18" i="2"/>
  <c r="O18" i="2"/>
  <c r="N18" i="2"/>
  <c r="M18" i="2"/>
  <c r="K18" i="2"/>
  <c r="I18" i="2"/>
  <c r="G18" i="2"/>
  <c r="F18" i="2"/>
  <c r="B18" i="2"/>
  <c r="A18" i="2"/>
  <c r="CB17" i="2"/>
  <c r="BZ17" i="2"/>
  <c r="BW17" i="2"/>
  <c r="BS17" i="2"/>
  <c r="BU17" i="2" s="1"/>
  <c r="BR17" i="2"/>
  <c r="BT17" i="2" s="1"/>
  <c r="BH17" i="2"/>
  <c r="BD17" i="2"/>
  <c r="BC17" i="2"/>
  <c r="AW17" i="2"/>
  <c r="AX17" i="2" s="1"/>
  <c r="AV17" i="2"/>
  <c r="AY17" i="2" s="1"/>
  <c r="AU17" i="2"/>
  <c r="AQ17" i="2"/>
  <c r="AO17" i="2"/>
  <c r="AN17" i="2"/>
  <c r="T17" i="2"/>
  <c r="Q17" i="2"/>
  <c r="O17" i="2"/>
  <c r="N17" i="2"/>
  <c r="M17" i="2"/>
  <c r="K17" i="2"/>
  <c r="I17" i="2"/>
  <c r="G17" i="2"/>
  <c r="F17" i="2"/>
  <c r="B17" i="2"/>
  <c r="A17" i="2"/>
  <c r="CB16" i="2"/>
  <c r="BZ16" i="2"/>
  <c r="BW16" i="2"/>
  <c r="BS16" i="2"/>
  <c r="BU16" i="2" s="1"/>
  <c r="BR16" i="2"/>
  <c r="BT16" i="2" s="1"/>
  <c r="BH16" i="2"/>
  <c r="BD16" i="2"/>
  <c r="BC16" i="2"/>
  <c r="AW16" i="2"/>
  <c r="AX16" i="2" s="1"/>
  <c r="AV16" i="2"/>
  <c r="AY16" i="2" s="1"/>
  <c r="AU16" i="2"/>
  <c r="AQ16" i="2"/>
  <c r="AO16" i="2"/>
  <c r="AN16" i="2"/>
  <c r="U16" i="2"/>
  <c r="Q16" i="2"/>
  <c r="O16" i="2"/>
  <c r="N16" i="2"/>
  <c r="M16" i="2"/>
  <c r="K16" i="2"/>
  <c r="I16" i="2"/>
  <c r="G16" i="2"/>
  <c r="F16" i="2"/>
  <c r="AS16" i="2" s="1"/>
  <c r="B16" i="2"/>
  <c r="A16" i="2"/>
  <c r="CB15" i="2"/>
  <c r="BZ15" i="2"/>
  <c r="BW15" i="2"/>
  <c r="BS15" i="2"/>
  <c r="BU15" i="2" s="1"/>
  <c r="BR15" i="2"/>
  <c r="BT15" i="2" s="1"/>
  <c r="BH15" i="2"/>
  <c r="BD15" i="2"/>
  <c r="BC15" i="2"/>
  <c r="AW15" i="2"/>
  <c r="AX15" i="2" s="1"/>
  <c r="AV15" i="2"/>
  <c r="AY15" i="2" s="1"/>
  <c r="AU15" i="2"/>
  <c r="AQ15" i="2"/>
  <c r="AO15" i="2"/>
  <c r="AN15" i="2"/>
  <c r="Q15" i="2"/>
  <c r="O15" i="2"/>
  <c r="N15" i="2"/>
  <c r="M15" i="2"/>
  <c r="K15" i="2"/>
  <c r="I15" i="2"/>
  <c r="G15" i="2"/>
  <c r="F15" i="2"/>
  <c r="B15" i="2"/>
  <c r="A15" i="2"/>
  <c r="CB14" i="2"/>
  <c r="BZ14" i="2"/>
  <c r="BW14" i="2"/>
  <c r="BS14" i="2"/>
  <c r="BU14" i="2" s="1"/>
  <c r="BR14" i="2"/>
  <c r="BT14" i="2" s="1"/>
  <c r="BH14" i="2"/>
  <c r="BC14" i="2"/>
  <c r="AW14" i="2"/>
  <c r="AX14" i="2" s="1"/>
  <c r="AV14" i="2"/>
  <c r="AU14" i="2"/>
  <c r="AQ14" i="2"/>
  <c r="AO14" i="2"/>
  <c r="AN14" i="2"/>
  <c r="T14" i="2"/>
  <c r="Q14" i="2"/>
  <c r="O14" i="2"/>
  <c r="N14" i="2"/>
  <c r="M14" i="2"/>
  <c r="K14" i="2"/>
  <c r="I14" i="2"/>
  <c r="G14" i="2"/>
  <c r="BD14" i="2" s="1"/>
  <c r="F14" i="2"/>
  <c r="AS14" i="2" s="1"/>
  <c r="AT14" i="2" s="1"/>
  <c r="CF14" i="2" s="1"/>
  <c r="B14" i="2"/>
  <c r="A14" i="2"/>
  <c r="CB13" i="2"/>
  <c r="BZ13" i="2"/>
  <c r="BW13" i="2"/>
  <c r="BS13" i="2"/>
  <c r="BU13" i="2" s="1"/>
  <c r="BR13" i="2"/>
  <c r="BT13" i="2" s="1"/>
  <c r="BH13" i="2"/>
  <c r="BD13" i="2"/>
  <c r="BC13" i="2"/>
  <c r="AW13" i="2"/>
  <c r="AX13" i="2" s="1"/>
  <c r="AV13" i="2"/>
  <c r="AY13" i="2" s="1"/>
  <c r="AU13" i="2"/>
  <c r="AQ13" i="2"/>
  <c r="AO13" i="2"/>
  <c r="AN13" i="2"/>
  <c r="U13" i="2"/>
  <c r="Q13" i="2"/>
  <c r="O13" i="2"/>
  <c r="N13" i="2"/>
  <c r="M13" i="2"/>
  <c r="K13" i="2"/>
  <c r="I13" i="2"/>
  <c r="G13" i="2"/>
  <c r="F13" i="2"/>
  <c r="B13" i="2"/>
  <c r="A13" i="2"/>
  <c r="CB12" i="2"/>
  <c r="BZ12" i="2"/>
  <c r="BW12" i="2"/>
  <c r="BS12" i="2"/>
  <c r="BU12" i="2" s="1"/>
  <c r="BR12" i="2"/>
  <c r="BT12" i="2" s="1"/>
  <c r="BH12" i="2"/>
  <c r="BD12" i="2"/>
  <c r="BC12" i="2"/>
  <c r="AW12" i="2"/>
  <c r="AX12" i="2" s="1"/>
  <c r="AV12" i="2"/>
  <c r="AY12" i="2" s="1"/>
  <c r="AU12" i="2"/>
  <c r="AQ12" i="2"/>
  <c r="AO12" i="2"/>
  <c r="AN12" i="2"/>
  <c r="U12" i="2"/>
  <c r="Q12" i="2"/>
  <c r="O12" i="2"/>
  <c r="N12" i="2"/>
  <c r="M12" i="2"/>
  <c r="K12" i="2"/>
  <c r="I12" i="2"/>
  <c r="G12" i="2"/>
  <c r="F12" i="2"/>
  <c r="B12" i="2"/>
  <c r="A12" i="2"/>
  <c r="CB11" i="2"/>
  <c r="BZ11" i="2"/>
  <c r="BW11" i="2"/>
  <c r="BX11" i="2" s="1"/>
  <c r="BS11" i="2"/>
  <c r="BU11" i="2" s="1"/>
  <c r="BR11" i="2"/>
  <c r="BT11" i="2" s="1"/>
  <c r="BH11" i="2"/>
  <c r="BD11" i="2"/>
  <c r="BC11" i="2"/>
  <c r="AW11" i="2"/>
  <c r="AX11" i="2" s="1"/>
  <c r="AV11" i="2"/>
  <c r="AY11" i="2" s="1"/>
  <c r="AU11" i="2"/>
  <c r="AQ11" i="2"/>
  <c r="AO11" i="2"/>
  <c r="AN11" i="2"/>
  <c r="Q11" i="2"/>
  <c r="O11" i="2"/>
  <c r="N11" i="2"/>
  <c r="M11" i="2"/>
  <c r="K11" i="2"/>
  <c r="I11" i="2"/>
  <c r="G11" i="2"/>
  <c r="F11" i="2"/>
  <c r="B11" i="2"/>
  <c r="A11" i="2"/>
  <c r="CB10" i="2"/>
  <c r="BZ10" i="2"/>
  <c r="BW10" i="2"/>
  <c r="BS10" i="2"/>
  <c r="BU10" i="2" s="1"/>
  <c r="BR10" i="2"/>
  <c r="BT10" i="2" s="1"/>
  <c r="BH10" i="2"/>
  <c r="BD10" i="2"/>
  <c r="BC10" i="2"/>
  <c r="AW10" i="2"/>
  <c r="AX10" i="2" s="1"/>
  <c r="AV10" i="2"/>
  <c r="AY10" i="2" s="1"/>
  <c r="AU10" i="2"/>
  <c r="AQ10" i="2"/>
  <c r="AO10" i="2"/>
  <c r="AN10" i="2"/>
  <c r="Q10" i="2"/>
  <c r="O10" i="2"/>
  <c r="N10" i="2"/>
  <c r="M10" i="2"/>
  <c r="K10" i="2"/>
  <c r="I10" i="2"/>
  <c r="G10" i="2"/>
  <c r="F10" i="2"/>
  <c r="B10" i="2"/>
  <c r="A10" i="2"/>
  <c r="CB9" i="2"/>
  <c r="BZ9" i="2"/>
  <c r="BW9" i="2"/>
  <c r="BT9" i="2"/>
  <c r="BS9" i="2"/>
  <c r="BU9" i="2" s="1"/>
  <c r="BR9" i="2"/>
  <c r="BH9" i="2"/>
  <c r="BD9" i="2"/>
  <c r="BC9" i="2"/>
  <c r="AW9" i="2"/>
  <c r="AX9" i="2" s="1"/>
  <c r="AV9" i="2"/>
  <c r="AY9" i="2" s="1"/>
  <c r="AU9" i="2"/>
  <c r="AQ9" i="2"/>
  <c r="AO9" i="2"/>
  <c r="AN9" i="2"/>
  <c r="Q9" i="2"/>
  <c r="O9" i="2"/>
  <c r="N9" i="2"/>
  <c r="M9" i="2"/>
  <c r="K9" i="2"/>
  <c r="I9" i="2"/>
  <c r="G9" i="2"/>
  <c r="F9" i="2"/>
  <c r="B9" i="2"/>
  <c r="A9" i="2"/>
  <c r="CE7" i="2"/>
  <c r="CD7" i="2"/>
  <c r="CB7" i="2"/>
  <c r="CA7" i="2"/>
  <c r="BZ7" i="2"/>
  <c r="BW7" i="2"/>
  <c r="BS7" i="2"/>
  <c r="BU7" i="2" s="1"/>
  <c r="BR7" i="2"/>
  <c r="BT7" i="2" s="1"/>
  <c r="BP7" i="2"/>
  <c r="BQ7" i="2" s="1"/>
  <c r="BY7" i="2" s="1"/>
  <c r="BN7" i="2"/>
  <c r="BO7" i="2" s="1"/>
  <c r="BH7" i="2"/>
  <c r="BC7" i="2"/>
  <c r="AW7" i="2"/>
  <c r="AV7" i="2"/>
  <c r="AY7" i="2" s="1"/>
  <c r="AU7" i="2"/>
  <c r="AR7" i="2"/>
  <c r="AQ7" i="2"/>
  <c r="AP7" i="2"/>
  <c r="AO7" i="2"/>
  <c r="AN7" i="2"/>
  <c r="U7" i="2"/>
  <c r="T7" i="2"/>
  <c r="Q7" i="2"/>
  <c r="O7" i="2"/>
  <c r="N7" i="2"/>
  <c r="M7" i="2"/>
  <c r="K7" i="2"/>
  <c r="I7" i="2"/>
  <c r="G7" i="2"/>
  <c r="BD7" i="2" s="1"/>
  <c r="F7" i="2"/>
  <c r="AS7" i="2" s="1"/>
  <c r="B7" i="2"/>
  <c r="A7" i="2"/>
  <c r="BB6" i="2" a="1"/>
  <c r="BB6" i="2" s="1"/>
  <c r="H6" i="2"/>
  <c r="AH5" i="2"/>
  <c r="V5" i="2"/>
  <c r="H5" i="2"/>
  <c r="V4" i="2"/>
  <c r="V3" i="2"/>
  <c r="V2" i="2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R102" i="1"/>
  <c r="Q102" i="1"/>
  <c r="C102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R101" i="1"/>
  <c r="Q101" i="1"/>
  <c r="C101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R100" i="1"/>
  <c r="Q100" i="1"/>
  <c r="H100" i="1"/>
  <c r="C100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R99" i="1"/>
  <c r="Q99" i="1"/>
  <c r="H99" i="1"/>
  <c r="C99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R98" i="1"/>
  <c r="Q98" i="1"/>
  <c r="H98" i="1"/>
  <c r="C98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R97" i="1"/>
  <c r="Q97" i="1"/>
  <c r="H97" i="1"/>
  <c r="C97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R96" i="1"/>
  <c r="Q96" i="1"/>
  <c r="H96" i="1"/>
  <c r="C96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R95" i="1"/>
  <c r="Q95" i="1"/>
  <c r="H95" i="1"/>
  <c r="C95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R94" i="1"/>
  <c r="Q94" i="1"/>
  <c r="H94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R93" i="1"/>
  <c r="Q93" i="1"/>
  <c r="H93" i="1"/>
  <c r="C93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R92" i="1"/>
  <c r="Q92" i="1"/>
  <c r="H92" i="1"/>
  <c r="C92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R91" i="1"/>
  <c r="Q91" i="1"/>
  <c r="H91" i="1"/>
  <c r="C91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R90" i="1"/>
  <c r="Q90" i="1"/>
  <c r="H90" i="1"/>
  <c r="C90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R89" i="1"/>
  <c r="Q89" i="1"/>
  <c r="H89" i="1"/>
  <c r="C89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R88" i="1"/>
  <c r="Q88" i="1"/>
  <c r="H88" i="1"/>
  <c r="C88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R87" i="1"/>
  <c r="Q87" i="1"/>
  <c r="H87" i="1"/>
  <c r="C87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R86" i="1"/>
  <c r="Q86" i="1"/>
  <c r="H86" i="1"/>
  <c r="C86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R85" i="1"/>
  <c r="Q85" i="1"/>
  <c r="H85" i="1"/>
  <c r="C85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R84" i="1"/>
  <c r="Q84" i="1"/>
  <c r="H84" i="1"/>
  <c r="C84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R83" i="1"/>
  <c r="Q83" i="1"/>
  <c r="H83" i="1"/>
  <c r="C83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R82" i="1"/>
  <c r="Q82" i="1"/>
  <c r="H82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R81" i="1"/>
  <c r="Q81" i="1"/>
  <c r="H81" i="1"/>
  <c r="C81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R80" i="1"/>
  <c r="Q80" i="1"/>
  <c r="H80" i="1"/>
  <c r="C80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R79" i="1"/>
  <c r="Q79" i="1"/>
  <c r="H79" i="1"/>
  <c r="C79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R78" i="1"/>
  <c r="Q78" i="1"/>
  <c r="H78" i="1"/>
  <c r="C78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R77" i="1"/>
  <c r="Q77" i="1"/>
  <c r="H77" i="1"/>
  <c r="C77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R76" i="1"/>
  <c r="Q76" i="1"/>
  <c r="H76" i="1"/>
  <c r="C76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R75" i="1"/>
  <c r="Q75" i="1"/>
  <c r="H75" i="1"/>
  <c r="C75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R74" i="1"/>
  <c r="Q74" i="1"/>
  <c r="H74" i="1"/>
  <c r="C74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R73" i="1"/>
  <c r="Q73" i="1"/>
  <c r="H73" i="1"/>
  <c r="C73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R72" i="1"/>
  <c r="Q72" i="1"/>
  <c r="H72" i="1"/>
  <c r="C72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R71" i="1"/>
  <c r="Q71" i="1"/>
  <c r="H71" i="1"/>
  <c r="C71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R70" i="1"/>
  <c r="Q70" i="1"/>
  <c r="H70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R69" i="1"/>
  <c r="Q69" i="1"/>
  <c r="H69" i="1"/>
  <c r="C69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R68" i="1"/>
  <c r="Q68" i="1"/>
  <c r="H68" i="1"/>
  <c r="C68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R67" i="1"/>
  <c r="Q67" i="1"/>
  <c r="H67" i="1"/>
  <c r="C67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R66" i="1"/>
  <c r="Q66" i="1"/>
  <c r="H66" i="1"/>
  <c r="C66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R65" i="1"/>
  <c r="Q65" i="1"/>
  <c r="H65" i="1"/>
  <c r="C65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R64" i="1"/>
  <c r="Q64" i="1"/>
  <c r="H64" i="1"/>
  <c r="C64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R63" i="1"/>
  <c r="Q63" i="1"/>
  <c r="H63" i="1"/>
  <c r="C63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R62" i="1"/>
  <c r="Q62" i="1"/>
  <c r="H62" i="1"/>
  <c r="C62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R61" i="1"/>
  <c r="Q61" i="1"/>
  <c r="H61" i="1"/>
  <c r="C61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R60" i="1"/>
  <c r="Q60" i="1"/>
  <c r="H60" i="1"/>
  <c r="C60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R59" i="1"/>
  <c r="Q59" i="1"/>
  <c r="H59" i="1"/>
  <c r="C59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R58" i="1"/>
  <c r="Q58" i="1"/>
  <c r="H58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R57" i="1"/>
  <c r="Q57" i="1"/>
  <c r="H57" i="1"/>
  <c r="C57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R56" i="1"/>
  <c r="Q56" i="1"/>
  <c r="H56" i="1"/>
  <c r="C56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R55" i="1"/>
  <c r="Q55" i="1"/>
  <c r="H55" i="1"/>
  <c r="C55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R54" i="1"/>
  <c r="Q54" i="1"/>
  <c r="H54" i="1"/>
  <c r="C54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R53" i="1"/>
  <c r="Q53" i="1"/>
  <c r="H53" i="1"/>
  <c r="C53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R52" i="1"/>
  <c r="Q52" i="1"/>
  <c r="H52" i="1"/>
  <c r="C52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R51" i="1"/>
  <c r="Q51" i="1"/>
  <c r="H51" i="1"/>
  <c r="C51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R50" i="1"/>
  <c r="Q50" i="1"/>
  <c r="H50" i="1"/>
  <c r="C50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R49" i="1"/>
  <c r="Q49" i="1"/>
  <c r="H49" i="1"/>
  <c r="C49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R48" i="1"/>
  <c r="Q48" i="1"/>
  <c r="H48" i="1"/>
  <c r="C48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R47" i="1"/>
  <c r="Q47" i="1"/>
  <c r="H47" i="1"/>
  <c r="C47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R46" i="1"/>
  <c r="Q46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R45" i="1"/>
  <c r="Q45" i="1"/>
  <c r="C45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R44" i="1"/>
  <c r="Q44" i="1"/>
  <c r="C44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R43" i="1"/>
  <c r="Q43" i="1"/>
  <c r="C43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R42" i="1"/>
  <c r="Q42" i="1"/>
  <c r="C42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R41" i="1"/>
  <c r="Q41" i="1"/>
  <c r="C41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R40" i="1"/>
  <c r="Q40" i="1"/>
  <c r="C40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R39" i="1"/>
  <c r="Q39" i="1"/>
  <c r="C39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R38" i="1"/>
  <c r="Q38" i="1"/>
  <c r="C38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R37" i="1"/>
  <c r="Q37" i="1"/>
  <c r="C37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R36" i="1"/>
  <c r="Q36" i="1"/>
  <c r="C36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R35" i="1"/>
  <c r="Q35" i="1"/>
  <c r="C35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R34" i="1"/>
  <c r="Q34" i="1"/>
  <c r="C34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R33" i="1"/>
  <c r="Q33" i="1"/>
  <c r="C33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R32" i="1"/>
  <c r="Q32" i="1"/>
  <c r="C32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R31" i="1"/>
  <c r="Q31" i="1"/>
  <c r="C31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R30" i="1"/>
  <c r="Q30" i="1"/>
  <c r="C30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R29" i="1"/>
  <c r="Q29" i="1"/>
  <c r="C29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R28" i="1"/>
  <c r="Q28" i="1"/>
  <c r="C28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R27" i="1"/>
  <c r="Q27" i="1"/>
  <c r="C27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R26" i="1"/>
  <c r="Q26" i="1"/>
  <c r="C26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R25" i="1"/>
  <c r="Q25" i="1"/>
  <c r="C25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R24" i="1"/>
  <c r="Q24" i="1"/>
  <c r="C24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R23" i="1"/>
  <c r="Q23" i="1"/>
  <c r="C23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R22" i="1"/>
  <c r="Q22" i="1"/>
  <c r="C22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R21" i="1"/>
  <c r="Q21" i="1"/>
  <c r="C21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R20" i="1"/>
  <c r="Q20" i="1"/>
  <c r="C20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R19" i="1"/>
  <c r="Q19" i="1"/>
  <c r="C19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R18" i="1"/>
  <c r="Q18" i="1"/>
  <c r="C18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R17" i="1"/>
  <c r="Q17" i="1"/>
  <c r="C17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R16" i="1"/>
  <c r="Q16" i="1"/>
  <c r="C16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R15" i="1"/>
  <c r="Q15" i="1"/>
  <c r="C15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R14" i="1"/>
  <c r="Q14" i="1"/>
  <c r="C14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R13" i="1"/>
  <c r="Q13" i="1"/>
  <c r="C13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R12" i="1"/>
  <c r="Q12" i="1"/>
  <c r="C12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R11" i="1"/>
  <c r="Q11" i="1"/>
  <c r="C11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R10" i="1"/>
  <c r="Q10" i="1"/>
  <c r="C10" i="1"/>
  <c r="AU9" i="1"/>
  <c r="AT9" i="1"/>
  <c r="AS9" i="1"/>
  <c r="AR9" i="1"/>
  <c r="AQ9" i="1"/>
  <c r="AP9" i="1"/>
  <c r="AO9" i="1"/>
  <c r="AN9" i="1"/>
  <c r="AM9" i="1"/>
  <c r="AL9" i="1"/>
  <c r="AK9" i="1"/>
  <c r="AJ9" i="1"/>
  <c r="R9" i="1"/>
  <c r="Q9" i="1"/>
  <c r="C9" i="1"/>
  <c r="AU8" i="1"/>
  <c r="AT8" i="1"/>
  <c r="AS8" i="1"/>
  <c r="AR8" i="1"/>
  <c r="AQ8" i="1"/>
  <c r="AP8" i="1"/>
  <c r="AO8" i="1"/>
  <c r="AN8" i="1"/>
  <c r="AM8" i="1"/>
  <c r="AL8" i="1"/>
  <c r="AK8" i="1"/>
  <c r="AJ8" i="1"/>
  <c r="R8" i="1"/>
  <c r="Q8" i="1"/>
  <c r="C8" i="1"/>
  <c r="AU7" i="1"/>
  <c r="AT7" i="1"/>
  <c r="AS7" i="1"/>
  <c r="AR7" i="1"/>
  <c r="AQ7" i="1"/>
  <c r="AP7" i="1"/>
  <c r="AO7" i="1"/>
  <c r="AN7" i="1"/>
  <c r="AM7" i="1"/>
  <c r="AL7" i="1"/>
  <c r="AK7" i="1"/>
  <c r="AJ7" i="1"/>
  <c r="R7" i="1"/>
  <c r="Q7" i="1"/>
  <c r="C7" i="1"/>
  <c r="AU6" i="1"/>
  <c r="AT6" i="1"/>
  <c r="AS6" i="1"/>
  <c r="AR6" i="1"/>
  <c r="AQ6" i="1"/>
  <c r="AP6" i="1"/>
  <c r="AO6" i="1"/>
  <c r="AN6" i="1"/>
  <c r="AM6" i="1"/>
  <c r="AL6" i="1"/>
  <c r="AK6" i="1"/>
  <c r="AJ6" i="1"/>
  <c r="R6" i="1"/>
  <c r="Q6" i="1"/>
  <c r="C6" i="1"/>
  <c r="AU5" i="1"/>
  <c r="AT5" i="1"/>
  <c r="AS5" i="1"/>
  <c r="AR5" i="1"/>
  <c r="AQ5" i="1"/>
  <c r="AP5" i="1"/>
  <c r="AO5" i="1"/>
  <c r="AN5" i="1"/>
  <c r="AM5" i="1"/>
  <c r="AL5" i="1"/>
  <c r="AK5" i="1"/>
  <c r="AJ5" i="1"/>
  <c r="R5" i="1"/>
  <c r="Q5" i="1"/>
  <c r="C5" i="1"/>
  <c r="AU4" i="1"/>
  <c r="AT4" i="1"/>
  <c r="AS4" i="1"/>
  <c r="AR4" i="1"/>
  <c r="AQ4" i="1"/>
  <c r="AP4" i="1"/>
  <c r="AO4" i="1"/>
  <c r="AN4" i="1"/>
  <c r="AM4" i="1"/>
  <c r="AL4" i="1"/>
  <c r="AK4" i="1"/>
  <c r="AJ4" i="1"/>
  <c r="R4" i="1"/>
  <c r="Q4" i="1"/>
  <c r="C4" i="1"/>
  <c r="AU3" i="1"/>
  <c r="AT3" i="1"/>
  <c r="AS3" i="1"/>
  <c r="AR3" i="1"/>
  <c r="AQ3" i="1"/>
  <c r="AP3" i="1"/>
  <c r="AO3" i="1"/>
  <c r="AN3" i="1"/>
  <c r="AM3" i="1"/>
  <c r="AL3" i="1"/>
  <c r="AK3" i="1"/>
  <c r="AJ3" i="1"/>
  <c r="R3" i="1"/>
  <c r="Q3" i="1"/>
  <c r="C3" i="1"/>
  <c r="T1" i="1"/>
  <c r="Q1" i="1"/>
  <c r="CA270" i="2"/>
  <c r="CA128" i="2"/>
  <c r="CA21" i="2"/>
  <c r="CA191" i="2"/>
  <c r="CA44" i="2"/>
  <c r="CA50" i="2"/>
  <c r="CA143" i="2"/>
  <c r="CA162" i="2"/>
  <c r="CA153" i="2"/>
  <c r="CA184" i="2"/>
  <c r="CA51" i="2"/>
  <c r="CA146" i="2"/>
  <c r="CA125" i="2"/>
  <c r="CA176" i="2"/>
  <c r="CA131" i="2"/>
  <c r="CA179" i="2"/>
  <c r="CA156" i="2"/>
  <c r="CA1050" i="2"/>
  <c r="CA116" i="2"/>
  <c r="CA47" i="2"/>
  <c r="CA20" i="2"/>
  <c r="CA140" i="2"/>
  <c r="CA989" i="2"/>
  <c r="CA181" i="2"/>
  <c r="CA122" i="2"/>
  <c r="CA844" i="2"/>
  <c r="CA15" i="2"/>
  <c r="CA9" i="2"/>
  <c r="CA651" i="2"/>
  <c r="CA756" i="2"/>
  <c r="CA151" i="2"/>
  <c r="CA178" i="2"/>
  <c r="CA12" i="2"/>
  <c r="CA48" i="2"/>
  <c r="CA93" i="2"/>
  <c r="CA367" i="2"/>
  <c r="AP42" i="2" l="1"/>
  <c r="BX43" i="2"/>
  <c r="AS48" i="2"/>
  <c r="AP70" i="2"/>
  <c r="P87" i="2"/>
  <c r="AS92" i="2"/>
  <c r="AP121" i="2"/>
  <c r="AR121" i="2" s="1"/>
  <c r="AS141" i="2"/>
  <c r="AP184" i="2"/>
  <c r="AS188" i="2"/>
  <c r="P203" i="2"/>
  <c r="P204" i="2"/>
  <c r="AO228" i="2"/>
  <c r="AO233" i="2"/>
  <c r="AS274" i="2"/>
  <c r="BX284" i="2"/>
  <c r="BX303" i="2"/>
  <c r="BX305" i="2"/>
  <c r="P312" i="2"/>
  <c r="AP360" i="2"/>
  <c r="AP361" i="2"/>
  <c r="T361" i="2" s="1"/>
  <c r="BX364" i="2"/>
  <c r="AO402" i="2"/>
  <c r="AP402" i="2" s="1"/>
  <c r="AO405" i="2"/>
  <c r="AP405" i="2" s="1"/>
  <c r="AO406" i="2"/>
  <c r="AO411" i="2"/>
  <c r="AP415" i="2"/>
  <c r="AP419" i="2"/>
  <c r="P429" i="2"/>
  <c r="BX455" i="2"/>
  <c r="U544" i="2"/>
  <c r="P576" i="2"/>
  <c r="AS579" i="2"/>
  <c r="BX595" i="2"/>
  <c r="P666" i="2"/>
  <c r="P684" i="2"/>
  <c r="P690" i="2"/>
  <c r="BX726" i="2"/>
  <c r="P740" i="2"/>
  <c r="U741" i="2"/>
  <c r="AS831" i="2"/>
  <c r="AT831" i="2" s="1"/>
  <c r="CF831" i="2" s="1"/>
  <c r="AS1092" i="2"/>
  <c r="BX112" i="2"/>
  <c r="BX431" i="2"/>
  <c r="BX434" i="2"/>
  <c r="AP488" i="2"/>
  <c r="U488" i="2" s="1"/>
  <c r="T900" i="2"/>
  <c r="AO61" i="2"/>
  <c r="AP61" i="2" s="1"/>
  <c r="AO97" i="2"/>
  <c r="AR180" i="2"/>
  <c r="AS191" i="2"/>
  <c r="AO194" i="2"/>
  <c r="BX195" i="2"/>
  <c r="P276" i="2"/>
  <c r="AP287" i="2"/>
  <c r="AO291" i="2"/>
  <c r="AO294" i="2"/>
  <c r="AO298" i="2"/>
  <c r="AP306" i="2"/>
  <c r="BX312" i="2"/>
  <c r="P387" i="2"/>
  <c r="AS402" i="2"/>
  <c r="AS409" i="2"/>
  <c r="AS410" i="2"/>
  <c r="AS413" i="2"/>
  <c r="P464" i="2"/>
  <c r="P465" i="2"/>
  <c r="AO488" i="2"/>
  <c r="AO489" i="2"/>
  <c r="AO490" i="2"/>
  <c r="AO494" i="2"/>
  <c r="AP494" i="2" s="1"/>
  <c r="AS503" i="2"/>
  <c r="AS506" i="2"/>
  <c r="BX548" i="2"/>
  <c r="BX558" i="2"/>
  <c r="AS562" i="2"/>
  <c r="AS563" i="2"/>
  <c r="AT563" i="2" s="1"/>
  <c r="CF563" i="2" s="1"/>
  <c r="T594" i="2"/>
  <c r="AS659" i="2"/>
  <c r="P695" i="2"/>
  <c r="BX696" i="2"/>
  <c r="P709" i="2"/>
  <c r="P735" i="2"/>
  <c r="BE786" i="2"/>
  <c r="AO516" i="2"/>
  <c r="AP1032" i="2"/>
  <c r="AS1064" i="2"/>
  <c r="AS1081" i="2"/>
  <c r="BX23" i="2"/>
  <c r="BN26" i="2"/>
  <c r="BO26" i="2" s="1"/>
  <c r="BX36" i="2"/>
  <c r="BX63" i="2"/>
  <c r="AO72" i="2"/>
  <c r="AP74" i="2"/>
  <c r="BX76" i="2"/>
  <c r="AS82" i="2"/>
  <c r="BE82" i="2" s="1"/>
  <c r="AP133" i="2"/>
  <c r="AS164" i="2"/>
  <c r="AT164" i="2" s="1"/>
  <c r="CF164" i="2" s="1"/>
  <c r="P172" i="2"/>
  <c r="AP177" i="2"/>
  <c r="T177" i="2" s="1"/>
  <c r="AP178" i="2"/>
  <c r="AR178" i="2" s="1"/>
  <c r="AS192" i="2"/>
  <c r="AS230" i="2"/>
  <c r="AP255" i="2"/>
  <c r="U255" i="2" s="1"/>
  <c r="AP283" i="2"/>
  <c r="AR283" i="2" s="1"/>
  <c r="AO301" i="2"/>
  <c r="AO304" i="2"/>
  <c r="AO305" i="2"/>
  <c r="AP305" i="2" s="1"/>
  <c r="P345" i="2"/>
  <c r="AS361" i="2"/>
  <c r="AP423" i="2"/>
  <c r="BX424" i="2"/>
  <c r="AP434" i="2"/>
  <c r="U434" i="2" s="1"/>
  <c r="BX437" i="2"/>
  <c r="AS487" i="2"/>
  <c r="AO495" i="2"/>
  <c r="AO496" i="2"/>
  <c r="AO498" i="2"/>
  <c r="AO499" i="2"/>
  <c r="AO608" i="2"/>
  <c r="BX632" i="2"/>
  <c r="AS939" i="2"/>
  <c r="AS941" i="2"/>
  <c r="K29" i="3"/>
  <c r="P39" i="2"/>
  <c r="AS84" i="2"/>
  <c r="BK84" i="2" s="1"/>
  <c r="AO99" i="2"/>
  <c r="AP99" i="2" s="1"/>
  <c r="AP118" i="2"/>
  <c r="AP176" i="2"/>
  <c r="P188" i="2"/>
  <c r="AS195" i="2"/>
  <c r="AS292" i="2"/>
  <c r="AO308" i="2"/>
  <c r="AO309" i="2"/>
  <c r="AP316" i="2"/>
  <c r="U316" i="2" s="1"/>
  <c r="AP317" i="2"/>
  <c r="BX324" i="2"/>
  <c r="AS364" i="2"/>
  <c r="AO432" i="2"/>
  <c r="AS493" i="2"/>
  <c r="P574" i="2"/>
  <c r="T586" i="2"/>
  <c r="AS589" i="2"/>
  <c r="AT589" i="2" s="1"/>
  <c r="CF589" i="2" s="1"/>
  <c r="P591" i="2"/>
  <c r="BX591" i="2"/>
  <c r="P613" i="2"/>
  <c r="AS723" i="2"/>
  <c r="AO504" i="2"/>
  <c r="AP504" i="2" s="1"/>
  <c r="AO485" i="2"/>
  <c r="AQ833" i="2"/>
  <c r="AS850" i="2"/>
  <c r="AO243" i="2"/>
  <c r="AO314" i="2"/>
  <c r="AO534" i="2"/>
  <c r="AS860" i="2"/>
  <c r="AT860" i="2" s="1"/>
  <c r="CF860" i="2" s="1"/>
  <c r="AP1035" i="2"/>
  <c r="T1035" i="2" s="1"/>
  <c r="AS1087" i="2"/>
  <c r="AT1087" i="2" s="1"/>
  <c r="CF1087" i="2" s="1"/>
  <c r="BX66" i="2"/>
  <c r="AP87" i="2"/>
  <c r="AP100" i="2"/>
  <c r="BP120" i="2"/>
  <c r="BQ120" i="2" s="1"/>
  <c r="BY120" i="2" s="1"/>
  <c r="AP196" i="2"/>
  <c r="AO197" i="2"/>
  <c r="AO204" i="2"/>
  <c r="AO211" i="2"/>
  <c r="AO212" i="2"/>
  <c r="AO217" i="2"/>
  <c r="AS307" i="2"/>
  <c r="BE307" i="2" s="1"/>
  <c r="BF307" i="2" s="1"/>
  <c r="AO427" i="2"/>
  <c r="U540" i="2"/>
  <c r="U573" i="2"/>
  <c r="AP1017" i="2"/>
  <c r="AP15" i="2"/>
  <c r="BX17" i="2"/>
  <c r="BX27" i="2"/>
  <c r="P33" i="2"/>
  <c r="P42" i="2"/>
  <c r="AO89" i="2"/>
  <c r="AP90" i="2"/>
  <c r="P96" i="2"/>
  <c r="AY99" i="2"/>
  <c r="AW194" i="2" s="1"/>
  <c r="P106" i="2"/>
  <c r="AS108" i="2"/>
  <c r="AP114" i="2"/>
  <c r="P121" i="2"/>
  <c r="AP145" i="2"/>
  <c r="AR145" i="2" s="1"/>
  <c r="AS152" i="2"/>
  <c r="AT152" i="2" s="1"/>
  <c r="CF152" i="2" s="1"/>
  <c r="AS153" i="2"/>
  <c r="BE153" i="2" s="1"/>
  <c r="AS156" i="2"/>
  <c r="AS159" i="2"/>
  <c r="P168" i="2"/>
  <c r="AP173" i="2"/>
  <c r="T173" i="2" s="1"/>
  <c r="P192" i="2"/>
  <c r="AP220" i="2"/>
  <c r="P264" i="2"/>
  <c r="AP274" i="2"/>
  <c r="AO330" i="2"/>
  <c r="AO333" i="2"/>
  <c r="AO335" i="2"/>
  <c r="AO339" i="2"/>
  <c r="AP342" i="2"/>
  <c r="AS370" i="2"/>
  <c r="AO386" i="2"/>
  <c r="AO436" i="2"/>
  <c r="AP469" i="2"/>
  <c r="AP480" i="2"/>
  <c r="BX525" i="2"/>
  <c r="AP529" i="2"/>
  <c r="U529" i="2" s="1"/>
  <c r="P535" i="2"/>
  <c r="U572" i="2"/>
  <c r="AQ582" i="2"/>
  <c r="P596" i="2"/>
  <c r="AS632" i="2"/>
  <c r="AS667" i="2"/>
  <c r="AS673" i="2"/>
  <c r="BE673" i="2" s="1"/>
  <c r="BF673" i="2" s="1"/>
  <c r="AS679" i="2"/>
  <c r="AS691" i="2"/>
  <c r="AS757" i="2"/>
  <c r="AP759" i="2"/>
  <c r="AS770" i="2"/>
  <c r="AS777" i="2"/>
  <c r="AT777" i="2" s="1"/>
  <c r="AS788" i="2"/>
  <c r="AS901" i="2"/>
  <c r="AS953" i="2"/>
  <c r="AS955" i="2"/>
  <c r="AS991" i="2"/>
  <c r="AS995" i="2"/>
  <c r="AS1071" i="2"/>
  <c r="AS1094" i="2"/>
  <c r="AS11" i="2"/>
  <c r="AT11" i="2" s="1"/>
  <c r="CF11" i="2" s="1"/>
  <c r="P97" i="2"/>
  <c r="AS124" i="2"/>
  <c r="AP125" i="2"/>
  <c r="P133" i="2"/>
  <c r="BX142" i="2"/>
  <c r="AS247" i="2"/>
  <c r="P295" i="2"/>
  <c r="P296" i="2"/>
  <c r="P298" i="2"/>
  <c r="AS318" i="2"/>
  <c r="AP346" i="2"/>
  <c r="BX448" i="2"/>
  <c r="AO483" i="2"/>
  <c r="BX505" i="2"/>
  <c r="AO529" i="2"/>
  <c r="P534" i="2"/>
  <c r="AO573" i="2"/>
  <c r="P589" i="2"/>
  <c r="AO524" i="2"/>
  <c r="P622" i="2"/>
  <c r="P680" i="2"/>
  <c r="BX754" i="2"/>
  <c r="BE135" i="2"/>
  <c r="AR136" i="2"/>
  <c r="AR188" i="2"/>
  <c r="BX402" i="2"/>
  <c r="AS966" i="2"/>
  <c r="AS13" i="2"/>
  <c r="P22" i="2"/>
  <c r="P52" i="2"/>
  <c r="P85" i="2"/>
  <c r="AP147" i="2"/>
  <c r="BX166" i="2"/>
  <c r="AP190" i="2"/>
  <c r="AP270" i="2"/>
  <c r="AS277" i="2"/>
  <c r="P284" i="2"/>
  <c r="AP354" i="2"/>
  <c r="BX361" i="2"/>
  <c r="P366" i="2"/>
  <c r="P368" i="2"/>
  <c r="AP414" i="2"/>
  <c r="AR414" i="2" s="1"/>
  <c r="P441" i="2"/>
  <c r="AP453" i="2"/>
  <c r="T453" i="2" s="1"/>
  <c r="AS469" i="2"/>
  <c r="AS470" i="2"/>
  <c r="AT470" i="2" s="1"/>
  <c r="CF470" i="2" s="1"/>
  <c r="AS476" i="2"/>
  <c r="AT476" i="2" s="1"/>
  <c r="CF476" i="2" s="1"/>
  <c r="AS481" i="2"/>
  <c r="AT481" i="2" s="1"/>
  <c r="CF481" i="2" s="1"/>
  <c r="P500" i="2"/>
  <c r="AP509" i="2"/>
  <c r="AP510" i="2"/>
  <c r="AO599" i="2"/>
  <c r="AS720" i="2"/>
  <c r="P736" i="2"/>
  <c r="AS764" i="2"/>
  <c r="AS768" i="2"/>
  <c r="AS870" i="2"/>
  <c r="AS875" i="2"/>
  <c r="AS942" i="2"/>
  <c r="AP962" i="2"/>
  <c r="U962" i="2" s="1"/>
  <c r="AP1034" i="2"/>
  <c r="T1034" i="2" s="1"/>
  <c r="AS1039" i="2"/>
  <c r="AO519" i="2"/>
  <c r="AO422" i="2"/>
  <c r="AP422" i="2" s="1"/>
  <c r="U422" i="2" s="1"/>
  <c r="BX19" i="2"/>
  <c r="AP45" i="2"/>
  <c r="AR45" i="2" s="1"/>
  <c r="BN47" i="2"/>
  <c r="BO47" i="2" s="1"/>
  <c r="AP52" i="2"/>
  <c r="U52" i="2" s="1"/>
  <c r="BX55" i="2"/>
  <c r="AS59" i="2"/>
  <c r="P73" i="2"/>
  <c r="BX79" i="2"/>
  <c r="AS95" i="2"/>
  <c r="AS102" i="2"/>
  <c r="AT102" i="2" s="1"/>
  <c r="CF102" i="2" s="1"/>
  <c r="P130" i="2"/>
  <c r="AS150" i="2"/>
  <c r="AS154" i="2"/>
  <c r="AT154" i="2" s="1"/>
  <c r="CF154" i="2" s="1"/>
  <c r="AS155" i="2"/>
  <c r="AT155" i="2" s="1"/>
  <c r="CF155" i="2" s="1"/>
  <c r="AP197" i="2"/>
  <c r="AR197" i="2" s="1"/>
  <c r="AP201" i="2"/>
  <c r="U201" i="2" s="1"/>
  <c r="P224" i="2"/>
  <c r="P225" i="2"/>
  <c r="P259" i="2"/>
  <c r="P263" i="2"/>
  <c r="AS278" i="2"/>
  <c r="AS283" i="2"/>
  <c r="P287" i="2"/>
  <c r="P290" i="2"/>
  <c r="AS319" i="2"/>
  <c r="BE319" i="2" s="1"/>
  <c r="BF319" i="2" s="1"/>
  <c r="AS321" i="2"/>
  <c r="P9" i="2"/>
  <c r="BX47" i="2"/>
  <c r="AS51" i="2"/>
  <c r="P57" i="2"/>
  <c r="BX71" i="2"/>
  <c r="AS233" i="2"/>
  <c r="P262" i="2"/>
  <c r="BX265" i="2"/>
  <c r="P285" i="2"/>
  <c r="P314" i="2"/>
  <c r="P315" i="2"/>
  <c r="AP326" i="2"/>
  <c r="AP327" i="2"/>
  <c r="AO615" i="2"/>
  <c r="T615" i="2"/>
  <c r="AO518" i="2"/>
  <c r="P10" i="2"/>
  <c r="AP47" i="2"/>
  <c r="AR47" i="2" s="1"/>
  <c r="BX56" i="2"/>
  <c r="P83" i="2"/>
  <c r="P91" i="2"/>
  <c r="P113" i="2"/>
  <c r="AP119" i="2"/>
  <c r="AR119" i="2" s="1"/>
  <c r="AS122" i="2"/>
  <c r="AT122" i="2" s="1"/>
  <c r="CF122" i="2" s="1"/>
  <c r="P135" i="2"/>
  <c r="BX139" i="2"/>
  <c r="AS142" i="2"/>
  <c r="AS146" i="2"/>
  <c r="BX171" i="2"/>
  <c r="BX175" i="2"/>
  <c r="AP181" i="2"/>
  <c r="T181" i="2" s="1"/>
  <c r="BX191" i="2"/>
  <c r="BX333" i="2"/>
  <c r="P548" i="2"/>
  <c r="U13" i="1"/>
  <c r="BX41" i="2"/>
  <c r="AY52" i="2"/>
  <c r="AW195" i="2" s="1"/>
  <c r="AS70" i="2"/>
  <c r="P84" i="2"/>
  <c r="AS86" i="2"/>
  <c r="P93" i="2"/>
  <c r="AS110" i="2"/>
  <c r="P126" i="2"/>
  <c r="AP129" i="2"/>
  <c r="AR129" i="2" s="1"/>
  <c r="AS133" i="2"/>
  <c r="AR133" i="2"/>
  <c r="P136" i="2"/>
  <c r="AP138" i="2"/>
  <c r="AR138" i="2" s="1"/>
  <c r="AS183" i="2"/>
  <c r="AT183" i="2" s="1"/>
  <c r="CF183" i="2" s="1"/>
  <c r="AS202" i="2"/>
  <c r="AS203" i="2"/>
  <c r="BE203" i="2" s="1"/>
  <c r="AS204" i="2"/>
  <c r="AP212" i="2"/>
  <c r="AP215" i="2"/>
  <c r="AS235" i="2"/>
  <c r="AP240" i="2"/>
  <c r="P253" i="2"/>
  <c r="AP265" i="2"/>
  <c r="AP266" i="2"/>
  <c r="T266" i="2" s="1"/>
  <c r="P281" i="2"/>
  <c r="BX286" i="2"/>
  <c r="AP309" i="2"/>
  <c r="U309" i="2" s="1"/>
  <c r="BX470" i="2"/>
  <c r="BX476" i="2"/>
  <c r="AQ555" i="2"/>
  <c r="AO555" i="2"/>
  <c r="P14" i="2"/>
  <c r="AS39" i="2"/>
  <c r="AS54" i="2"/>
  <c r="AP72" i="2"/>
  <c r="AR72" i="2" s="1"/>
  <c r="P77" i="2"/>
  <c r="BX82" i="2"/>
  <c r="AP89" i="2"/>
  <c r="P94" i="2"/>
  <c r="AS105" i="2"/>
  <c r="P114" i="2"/>
  <c r="AR115" i="2"/>
  <c r="AP124" i="2"/>
  <c r="AR124" i="2" s="1"/>
  <c r="P132" i="2"/>
  <c r="P141" i="2"/>
  <c r="P150" i="2"/>
  <c r="AP163" i="2"/>
  <c r="T163" i="2" s="1"/>
  <c r="AP170" i="2"/>
  <c r="AR170" i="2" s="1"/>
  <c r="AP171" i="2"/>
  <c r="T171" i="2" s="1"/>
  <c r="AS182" i="2"/>
  <c r="P227" i="2"/>
  <c r="P228" i="2"/>
  <c r="P229" i="2"/>
  <c r="AS239" i="2"/>
  <c r="BX261" i="2"/>
  <c r="AP263" i="2"/>
  <c r="P280" i="2"/>
  <c r="AS327" i="2"/>
  <c r="AT327" i="2" s="1"/>
  <c r="CF327" i="2" s="1"/>
  <c r="BX346" i="2"/>
  <c r="BX419" i="2"/>
  <c r="BX450" i="2"/>
  <c r="P17" i="2"/>
  <c r="P26" i="2"/>
  <c r="AS29" i="2"/>
  <c r="BK29" i="2" s="1"/>
  <c r="BX67" i="2"/>
  <c r="P69" i="2"/>
  <c r="AS79" i="2"/>
  <c r="BE79" i="2" s="1"/>
  <c r="AS80" i="2"/>
  <c r="AT80" i="2" s="1"/>
  <c r="CF80" i="2" s="1"/>
  <c r="AS87" i="2"/>
  <c r="BX100" i="2"/>
  <c r="AS111" i="2"/>
  <c r="AT111" i="2" s="1"/>
  <c r="CF111" i="2" s="1"/>
  <c r="P127" i="2"/>
  <c r="AP139" i="2"/>
  <c r="AR139" i="2" s="1"/>
  <c r="AP168" i="2"/>
  <c r="T168" i="2" s="1"/>
  <c r="AP169" i="2"/>
  <c r="T169" i="2" s="1"/>
  <c r="AS181" i="2"/>
  <c r="AS209" i="2"/>
  <c r="AS210" i="2"/>
  <c r="AS212" i="2"/>
  <c r="AS213" i="2"/>
  <c r="AS214" i="2"/>
  <c r="AS215" i="2"/>
  <c r="BE215" i="2" s="1"/>
  <c r="BF215" i="2" s="1"/>
  <c r="AS216" i="2"/>
  <c r="BX249" i="2"/>
  <c r="AP257" i="2"/>
  <c r="P277" i="2"/>
  <c r="BX297" i="2"/>
  <c r="BX281" i="2"/>
  <c r="BX377" i="2"/>
  <c r="P448" i="2"/>
  <c r="BX513" i="2"/>
  <c r="BX13" i="2"/>
  <c r="BX25" i="2"/>
  <c r="AP35" i="2"/>
  <c r="AR35" i="2" s="1"/>
  <c r="AP36" i="2"/>
  <c r="AP43" i="2"/>
  <c r="AR43" i="2" s="1"/>
  <c r="BX59" i="2"/>
  <c r="AS72" i="2"/>
  <c r="AP83" i="2"/>
  <c r="AP91" i="2"/>
  <c r="BX93" i="2"/>
  <c r="BX151" i="2"/>
  <c r="BX154" i="2"/>
  <c r="AP194" i="2"/>
  <c r="AP250" i="2"/>
  <c r="AP315" i="2"/>
  <c r="AR315" i="2" s="1"/>
  <c r="AP343" i="2"/>
  <c r="BX441" i="2"/>
  <c r="AS112" i="2"/>
  <c r="P115" i="2"/>
  <c r="AS144" i="2"/>
  <c r="AP159" i="2"/>
  <c r="AS167" i="2"/>
  <c r="BE167" i="2" s="1"/>
  <c r="P178" i="2"/>
  <c r="P185" i="2"/>
  <c r="BX232" i="2"/>
  <c r="P237" i="2"/>
  <c r="P239" i="2"/>
  <c r="AP251" i="2"/>
  <c r="BX275" i="2"/>
  <c r="BX276" i="2"/>
  <c r="AS287" i="2"/>
  <c r="AT287" i="2" s="1"/>
  <c r="CF287" i="2" s="1"/>
  <c r="AS290" i="2"/>
  <c r="AT290" i="2" s="1"/>
  <c r="CF290" i="2" s="1"/>
  <c r="AS291" i="2"/>
  <c r="BE291" i="2" s="1"/>
  <c r="BF291" i="2" s="1"/>
  <c r="AP293" i="2"/>
  <c r="AP303" i="2"/>
  <c r="U303" i="2" s="1"/>
  <c r="AS334" i="2"/>
  <c r="BX354" i="2"/>
  <c r="P363" i="2"/>
  <c r="AS366" i="2"/>
  <c r="AT366" i="2" s="1"/>
  <c r="CF366" i="2" s="1"/>
  <c r="AS368" i="2"/>
  <c r="AT368" i="2" s="1"/>
  <c r="CF368" i="2" s="1"/>
  <c r="AP377" i="2"/>
  <c r="P390" i="2"/>
  <c r="P391" i="2"/>
  <c r="AS414" i="2"/>
  <c r="AS472" i="2"/>
  <c r="AT472" i="2" s="1"/>
  <c r="CF472" i="2" s="1"/>
  <c r="AS478" i="2"/>
  <c r="BX38" i="2"/>
  <c r="U30" i="1"/>
  <c r="AS36" i="2"/>
  <c r="BK36" i="2" s="1"/>
  <c r="BX60" i="2"/>
  <c r="BX61" i="2"/>
  <c r="AS83" i="2"/>
  <c r="AP85" i="2"/>
  <c r="AR85" i="2" s="1"/>
  <c r="P88" i="2"/>
  <c r="AS90" i="2"/>
  <c r="BK90" i="2" s="1"/>
  <c r="BL90" i="2" s="1"/>
  <c r="BM90" i="2" s="1"/>
  <c r="AP96" i="2"/>
  <c r="BX110" i="2"/>
  <c r="AS113" i="2"/>
  <c r="AT113" i="2" s="1"/>
  <c r="CF113" i="2" s="1"/>
  <c r="AS131" i="2"/>
  <c r="AP132" i="2"/>
  <c r="AR132" i="2" s="1"/>
  <c r="AS145" i="2"/>
  <c r="AP149" i="2"/>
  <c r="P174" i="2"/>
  <c r="BX201" i="2"/>
  <c r="BX233" i="2"/>
  <c r="AS245" i="2"/>
  <c r="AS250" i="2"/>
  <c r="P266" i="2"/>
  <c r="AP276" i="2"/>
  <c r="AS293" i="2"/>
  <c r="AT293" i="2" s="1"/>
  <c r="CF293" i="2" s="1"/>
  <c r="AS294" i="2"/>
  <c r="BE294" i="2" s="1"/>
  <c r="BF294" i="2" s="1"/>
  <c r="AS295" i="2"/>
  <c r="AS314" i="2"/>
  <c r="AS315" i="2"/>
  <c r="AT315" i="2" s="1"/>
  <c r="CF315" i="2" s="1"/>
  <c r="P333" i="2"/>
  <c r="AS348" i="2"/>
  <c r="BE348" i="2" s="1"/>
  <c r="BF348" i="2" s="1"/>
  <c r="AP355" i="2"/>
  <c r="AR355" i="2" s="1"/>
  <c r="AP356" i="2"/>
  <c r="AS374" i="2"/>
  <c r="AT374" i="2" s="1"/>
  <c r="CF374" i="2" s="1"/>
  <c r="AP381" i="2"/>
  <c r="AS408" i="2"/>
  <c r="AT408" i="2" s="1"/>
  <c r="CF408" i="2" s="1"/>
  <c r="AP433" i="2"/>
  <c r="P436" i="2"/>
  <c r="AR453" i="2"/>
  <c r="BX494" i="2"/>
  <c r="AS573" i="2"/>
  <c r="BE573" i="2" s="1"/>
  <c r="BF573" i="2" s="1"/>
  <c r="P642" i="2"/>
  <c r="BX643" i="2"/>
  <c r="BX669" i="2"/>
  <c r="P675" i="2"/>
  <c r="BX684" i="2"/>
  <c r="AS861" i="2"/>
  <c r="AP1031" i="2"/>
  <c r="T1031" i="2" s="1"/>
  <c r="G96" i="3"/>
  <c r="M108" i="3"/>
  <c r="P274" i="2"/>
  <c r="AP289" i="2"/>
  <c r="AS325" i="2"/>
  <c r="AT325" i="2" s="1"/>
  <c r="CF325" i="2" s="1"/>
  <c r="AS354" i="2"/>
  <c r="AS356" i="2"/>
  <c r="AS357" i="2"/>
  <c r="BE357" i="2" s="1"/>
  <c r="BF357" i="2" s="1"/>
  <c r="AS417" i="2"/>
  <c r="AT417" i="2" s="1"/>
  <c r="CF417" i="2" s="1"/>
  <c r="BX422" i="2"/>
  <c r="P428" i="2"/>
  <c r="AO437" i="2"/>
  <c r="AS495" i="2"/>
  <c r="AS497" i="2"/>
  <c r="BE497" i="2" s="1"/>
  <c r="AS499" i="2"/>
  <c r="AO514" i="2"/>
  <c r="AP514" i="2" s="1"/>
  <c r="P519" i="2"/>
  <c r="AS526" i="2"/>
  <c r="P558" i="2"/>
  <c r="AQ561" i="2"/>
  <c r="BX578" i="2"/>
  <c r="T584" i="2"/>
  <c r="AQ585" i="2"/>
  <c r="AQ658" i="2"/>
  <c r="AS660" i="2"/>
  <c r="BX691" i="2"/>
  <c r="BX706" i="2"/>
  <c r="AS708" i="2"/>
  <c r="AT708" i="2" s="1"/>
  <c r="CF708" i="2" s="1"/>
  <c r="BX711" i="2"/>
  <c r="BX722" i="2"/>
  <c r="BX732" i="2"/>
  <c r="BX739" i="2"/>
  <c r="AQ741" i="2"/>
  <c r="AQ751" i="2"/>
  <c r="AS772" i="2"/>
  <c r="AS779" i="2"/>
  <c r="T812" i="2"/>
  <c r="U820" i="2"/>
  <c r="AS899" i="2"/>
  <c r="AT899" i="2" s="1"/>
  <c r="CF899" i="2" s="1"/>
  <c r="AP900" i="2"/>
  <c r="U900" i="2" s="1"/>
  <c r="AS943" i="2"/>
  <c r="AS947" i="2"/>
  <c r="AS1006" i="2"/>
  <c r="AS1046" i="2"/>
  <c r="AS1057" i="2"/>
  <c r="AS1062" i="2"/>
  <c r="AP1067" i="2"/>
  <c r="AS1090" i="2"/>
  <c r="M77" i="3"/>
  <c r="BX392" i="2"/>
  <c r="BX395" i="2"/>
  <c r="AO439" i="2"/>
  <c r="AP439" i="2" s="1"/>
  <c r="BX486" i="2"/>
  <c r="P491" i="2"/>
  <c r="AO515" i="2"/>
  <c r="AP533" i="2"/>
  <c r="U533" i="2" s="1"/>
  <c r="BX533" i="2"/>
  <c r="BX567" i="2"/>
  <c r="AP584" i="2"/>
  <c r="AS586" i="2"/>
  <c r="T602" i="2"/>
  <c r="P616" i="2"/>
  <c r="BE719" i="2"/>
  <c r="BF719" i="2" s="1"/>
  <c r="U739" i="2"/>
  <c r="I96" i="3"/>
  <c r="BX536" i="2"/>
  <c r="BX577" i="2"/>
  <c r="BX596" i="2"/>
  <c r="BX612" i="2"/>
  <c r="AS664" i="2"/>
  <c r="BX667" i="2"/>
  <c r="AS686" i="2"/>
  <c r="P703" i="2"/>
  <c r="BX744" i="2"/>
  <c r="AS897" i="2"/>
  <c r="AP1036" i="2"/>
  <c r="BX347" i="2"/>
  <c r="P352" i="2"/>
  <c r="BX371" i="2"/>
  <c r="P384" i="2"/>
  <c r="AP399" i="2"/>
  <c r="AP424" i="2"/>
  <c r="U424" i="2" s="1"/>
  <c r="BX428" i="2"/>
  <c r="P435" i="2"/>
  <c r="AS437" i="2"/>
  <c r="AS439" i="2"/>
  <c r="P446" i="2"/>
  <c r="P449" i="2"/>
  <c r="P475" i="2"/>
  <c r="P476" i="2"/>
  <c r="P480" i="2"/>
  <c r="AS486" i="2"/>
  <c r="BX488" i="2"/>
  <c r="P493" i="2"/>
  <c r="P504" i="2"/>
  <c r="P505" i="2"/>
  <c r="P522" i="2"/>
  <c r="P526" i="2"/>
  <c r="P529" i="2"/>
  <c r="AP534" i="2"/>
  <c r="AR534" i="2" s="1"/>
  <c r="BX537" i="2"/>
  <c r="BX575" i="2"/>
  <c r="AS592" i="2"/>
  <c r="T598" i="2"/>
  <c r="AO602" i="2"/>
  <c r="AP602" i="2" s="1"/>
  <c r="AO606" i="2"/>
  <c r="AP687" i="2"/>
  <c r="P632" i="2"/>
  <c r="BX641" i="2"/>
  <c r="AS644" i="2"/>
  <c r="AT644" i="2" s="1"/>
  <c r="CF644" i="2" s="1"/>
  <c r="P660" i="2"/>
  <c r="AS670" i="2"/>
  <c r="BE670" i="2" s="1"/>
  <c r="BF670" i="2" s="1"/>
  <c r="P672" i="2"/>
  <c r="P679" i="2"/>
  <c r="P687" i="2"/>
  <c r="BX695" i="2"/>
  <c r="P708" i="2"/>
  <c r="P714" i="2"/>
  <c r="P725" i="2"/>
  <c r="AO739" i="2"/>
  <c r="AS747" i="2"/>
  <c r="AT747" i="2" s="1"/>
  <c r="AS751" i="2"/>
  <c r="AT751" i="2" s="1"/>
  <c r="AL751" i="2" s="1"/>
  <c r="AS762" i="2"/>
  <c r="AO853" i="2"/>
  <c r="AP853" i="2" s="1"/>
  <c r="AS799" i="2"/>
  <c r="AT799" i="2" s="1"/>
  <c r="AS825" i="2"/>
  <c r="AS896" i="2"/>
  <c r="AS905" i="2"/>
  <c r="AP959" i="2"/>
  <c r="U959" i="2" s="1"/>
  <c r="AS980" i="2"/>
  <c r="AP1019" i="2"/>
  <c r="AR1019" i="2" s="1"/>
  <c r="AP1023" i="2"/>
  <c r="T1023" i="2" s="1"/>
  <c r="AP1043" i="2"/>
  <c r="AS1044" i="2"/>
  <c r="L29" i="3"/>
  <c r="BX413" i="2"/>
  <c r="AS421" i="2"/>
  <c r="AP430" i="2"/>
  <c r="P454" i="2"/>
  <c r="AS457" i="2"/>
  <c r="AP536" i="2"/>
  <c r="P542" i="2"/>
  <c r="BX543" i="2"/>
  <c r="BX566" i="2"/>
  <c r="BX574" i="2"/>
  <c r="AP590" i="2"/>
  <c r="AQ599" i="2"/>
  <c r="AS604" i="2"/>
  <c r="BE604" i="2" s="1"/>
  <c r="BF604" i="2" s="1"/>
  <c r="BX610" i="2"/>
  <c r="P625" i="2"/>
  <c r="AS635" i="2"/>
  <c r="AS651" i="2"/>
  <c r="P678" i="2"/>
  <c r="BX680" i="2"/>
  <c r="P686" i="2"/>
  <c r="AQ745" i="2"/>
  <c r="AS773" i="2"/>
  <c r="AT773" i="2" s="1"/>
  <c r="AP811" i="2"/>
  <c r="AS851" i="2"/>
  <c r="AS866" i="2"/>
  <c r="AS880" i="2"/>
  <c r="AS894" i="2"/>
  <c r="BE984" i="2"/>
  <c r="AS988" i="2"/>
  <c r="AT988" i="2" s="1"/>
  <c r="CF988" i="2" s="1"/>
  <c r="F108" i="3"/>
  <c r="K65" i="3"/>
  <c r="K75" i="3" s="1"/>
  <c r="BX482" i="2"/>
  <c r="P485" i="2"/>
  <c r="AP491" i="2"/>
  <c r="BX500" i="2"/>
  <c r="P507" i="2"/>
  <c r="P531" i="2"/>
  <c r="BX573" i="2"/>
  <c r="U575" i="2"/>
  <c r="P581" i="2"/>
  <c r="AS591" i="2"/>
  <c r="AS621" i="2"/>
  <c r="P623" i="2"/>
  <c r="BX624" i="2"/>
  <c r="BX625" i="2"/>
  <c r="T627" i="2"/>
  <c r="BX672" i="2"/>
  <c r="BX687" i="2"/>
  <c r="BX694" i="2"/>
  <c r="AS697" i="2"/>
  <c r="BX701" i="2"/>
  <c r="AS706" i="2"/>
  <c r="P707" i="2"/>
  <c r="AS711" i="2"/>
  <c r="BX725" i="2"/>
  <c r="AS733" i="2"/>
  <c r="P734" i="2"/>
  <c r="BX747" i="2"/>
  <c r="AS754" i="2"/>
  <c r="AT754" i="2" s="1"/>
  <c r="P756" i="2"/>
  <c r="T803" i="2"/>
  <c r="AS806" i="2"/>
  <c r="AS961" i="2"/>
  <c r="BE961" i="2" s="1"/>
  <c r="BF961" i="2" s="1"/>
  <c r="AS971" i="2"/>
  <c r="AS999" i="2"/>
  <c r="AS1001" i="2"/>
  <c r="AT1001" i="2" s="1"/>
  <c r="CF1001" i="2" s="1"/>
  <c r="AP1030" i="2"/>
  <c r="AS1031" i="2"/>
  <c r="AT1031" i="2" s="1"/>
  <c r="CF1031" i="2" s="1"/>
  <c r="AS1042" i="2"/>
  <c r="AS1080" i="2"/>
  <c r="BX508" i="2"/>
  <c r="BX530" i="2"/>
  <c r="AS536" i="2"/>
  <c r="BE536" i="2" s="1"/>
  <c r="BF536" i="2" s="1"/>
  <c r="AP552" i="2"/>
  <c r="T552" i="2" s="1"/>
  <c r="P562" i="2"/>
  <c r="BX580" i="2"/>
  <c r="AS617" i="2"/>
  <c r="P636" i="2"/>
  <c r="AS668" i="2"/>
  <c r="AS675" i="2"/>
  <c r="P698" i="2"/>
  <c r="BX718" i="2"/>
  <c r="AS722" i="2"/>
  <c r="BE722" i="2" s="1"/>
  <c r="BF722" i="2" s="1"/>
  <c r="BX729" i="2"/>
  <c r="BX751" i="2"/>
  <c r="AS767" i="2"/>
  <c r="AT767" i="2" s="1"/>
  <c r="U853" i="2"/>
  <c r="AS856" i="2"/>
  <c r="AP1003" i="2"/>
  <c r="AS876" i="2"/>
  <c r="AP896" i="2"/>
  <c r="AS929" i="2"/>
  <c r="AP1037" i="2"/>
  <c r="AS1050" i="2"/>
  <c r="AT1050" i="2" s="1"/>
  <c r="BX561" i="2"/>
  <c r="BX605" i="2"/>
  <c r="BX622" i="2"/>
  <c r="BX657" i="2"/>
  <c r="AP389" i="2"/>
  <c r="U389" i="2" s="1"/>
  <c r="AS405" i="2"/>
  <c r="AP417" i="2"/>
  <c r="AR417" i="2" s="1"/>
  <c r="AP418" i="2"/>
  <c r="AP420" i="2"/>
  <c r="U420" i="2" s="1"/>
  <c r="AS433" i="2"/>
  <c r="BE433" i="2" s="1"/>
  <c r="BF433" i="2" s="1"/>
  <c r="AS434" i="2"/>
  <c r="BX436" i="2"/>
  <c r="AS445" i="2"/>
  <c r="AS467" i="2"/>
  <c r="AP495" i="2"/>
  <c r="U495" i="2" s="1"/>
  <c r="AP497" i="2"/>
  <c r="U497" i="2" s="1"/>
  <c r="AO502" i="2"/>
  <c r="AP502" i="2" s="1"/>
  <c r="AO528" i="2"/>
  <c r="AP530" i="2"/>
  <c r="AS545" i="2"/>
  <c r="AT545" i="2" s="1"/>
  <c r="CF545" i="2" s="1"/>
  <c r="AS556" i="2"/>
  <c r="AT556" i="2" s="1"/>
  <c r="CF556" i="2" s="1"/>
  <c r="BX560" i="2"/>
  <c r="P604" i="2"/>
  <c r="P614" i="2"/>
  <c r="AS633" i="2"/>
  <c r="AS641" i="2"/>
  <c r="AT641" i="2" s="1"/>
  <c r="CF641" i="2" s="1"/>
  <c r="AS647" i="2"/>
  <c r="AT647" i="2" s="1"/>
  <c r="CF647" i="2" s="1"/>
  <c r="AS654" i="2"/>
  <c r="BX656" i="2"/>
  <c r="AS661" i="2"/>
  <c r="AT661" i="2" s="1"/>
  <c r="CF661" i="2" s="1"/>
  <c r="P676" i="2"/>
  <c r="AS681" i="2"/>
  <c r="AS682" i="2"/>
  <c r="AT682" i="2" s="1"/>
  <c r="CF682" i="2" s="1"/>
  <c r="AS705" i="2"/>
  <c r="AT705" i="2" s="1"/>
  <c r="CF705" i="2" s="1"/>
  <c r="AS736" i="2"/>
  <c r="AT736" i="2" s="1"/>
  <c r="AS749" i="2"/>
  <c r="U769" i="2"/>
  <c r="AS792" i="2"/>
  <c r="AS816" i="2"/>
  <c r="AT816" i="2" s="1"/>
  <c r="U858" i="2"/>
  <c r="AS865" i="2"/>
  <c r="AS867" i="2"/>
  <c r="AS881" i="2"/>
  <c r="AT881" i="2" s="1"/>
  <c r="CF881" i="2" s="1"/>
  <c r="AS937" i="2"/>
  <c r="BE937" i="2" s="1"/>
  <c r="AS948" i="2"/>
  <c r="BE948" i="2" s="1"/>
  <c r="AS985" i="2"/>
  <c r="AS1010" i="2"/>
  <c r="AP1026" i="2"/>
  <c r="AS1027" i="2"/>
  <c r="AP1033" i="2"/>
  <c r="AS1034" i="2"/>
  <c r="AT1034" i="2" s="1"/>
  <c r="CF1034" i="2" s="1"/>
  <c r="AS1038" i="2"/>
  <c r="BE1038" i="2" s="1"/>
  <c r="AS1070" i="2"/>
  <c r="BE1070" i="2" s="1"/>
  <c r="BF1070" i="2" s="1"/>
  <c r="AS1073" i="2"/>
  <c r="U55" i="1"/>
  <c r="AP14" i="2"/>
  <c r="BL29" i="2"/>
  <c r="BM29" i="2" s="1"/>
  <c r="BX104" i="2"/>
  <c r="BN143" i="2"/>
  <c r="BO143" i="2" s="1"/>
  <c r="BP143" i="2"/>
  <c r="BQ143" i="2" s="1"/>
  <c r="BY143" i="2" s="1"/>
  <c r="U36" i="1"/>
  <c r="U42" i="1"/>
  <c r="U60" i="1"/>
  <c r="T24" i="2"/>
  <c r="AR24" i="2"/>
  <c r="BN146" i="2"/>
  <c r="BO146" i="2" s="1"/>
  <c r="U46" i="1"/>
  <c r="U48" i="1"/>
  <c r="P12" i="2"/>
  <c r="AP18" i="2"/>
  <c r="AS32" i="2"/>
  <c r="U33" i="1"/>
  <c r="U27" i="1"/>
  <c r="BN16" i="2"/>
  <c r="BO16" i="2" s="1"/>
  <c r="BP16" i="2"/>
  <c r="BQ16" i="2" s="1"/>
  <c r="BY16" i="2" s="1"/>
  <c r="BX37" i="2"/>
  <c r="AW199" i="2"/>
  <c r="AX199" i="2" s="1"/>
  <c r="BN53" i="2"/>
  <c r="BO53" i="2" s="1"/>
  <c r="P100" i="2"/>
  <c r="BN109" i="2"/>
  <c r="BO109" i="2" s="1"/>
  <c r="BP109" i="2"/>
  <c r="BQ109" i="2" s="1"/>
  <c r="BY109" i="2" s="1"/>
  <c r="U24" i="1"/>
  <c r="U28" i="1"/>
  <c r="AS18" i="2"/>
  <c r="BK18" i="2" s="1"/>
  <c r="BX20" i="2"/>
  <c r="P31" i="2"/>
  <c r="AS35" i="2"/>
  <c r="BK35" i="2" s="1"/>
  <c r="BL35" i="2" s="1"/>
  <c r="BM35" i="2" s="1"/>
  <c r="AP37" i="2"/>
  <c r="U12" i="1"/>
  <c r="U97" i="1"/>
  <c r="BX7" i="2"/>
  <c r="BX90" i="2"/>
  <c r="U92" i="1"/>
  <c r="U102" i="1"/>
  <c r="BX22" i="2"/>
  <c r="BN43" i="2"/>
  <c r="BO43" i="2" s="1"/>
  <c r="BP43" i="2"/>
  <c r="BQ43" i="2" s="1"/>
  <c r="BY43" i="2" s="1"/>
  <c r="BX58" i="2"/>
  <c r="AR90" i="2"/>
  <c r="T90" i="2"/>
  <c r="U82" i="1"/>
  <c r="AR21" i="2"/>
  <c r="AS27" i="2"/>
  <c r="AP30" i="2"/>
  <c r="BK89" i="2"/>
  <c r="BX108" i="2"/>
  <c r="BX174" i="2"/>
  <c r="AS190" i="2"/>
  <c r="P194" i="2"/>
  <c r="AS218" i="2"/>
  <c r="AR220" i="2"/>
  <c r="AP222" i="2"/>
  <c r="AR222" i="2" s="1"/>
  <c r="BX225" i="2"/>
  <c r="AS232" i="2"/>
  <c r="BX237" i="2"/>
  <c r="AS244" i="2"/>
  <c r="BX252" i="2"/>
  <c r="AP254" i="2"/>
  <c r="BX270" i="2"/>
  <c r="BX272" i="2"/>
  <c r="BX274" i="2"/>
  <c r="P283" i="2"/>
  <c r="AP298" i="2"/>
  <c r="U298" i="2" s="1"/>
  <c r="AS316" i="2"/>
  <c r="P336" i="2"/>
  <c r="P340" i="2"/>
  <c r="AT632" i="2"/>
  <c r="CF632" i="2" s="1"/>
  <c r="BE632" i="2"/>
  <c r="AS85" i="2"/>
  <c r="BX155" i="2"/>
  <c r="AS165" i="2"/>
  <c r="AS171" i="2"/>
  <c r="BX203" i="2"/>
  <c r="AR274" i="2"/>
  <c r="BX279" i="2"/>
  <c r="BX366" i="2"/>
  <c r="BX368" i="2"/>
  <c r="AS387" i="2"/>
  <c r="AS40" i="2"/>
  <c r="AP65" i="2"/>
  <c r="BX81" i="2"/>
  <c r="BX120" i="2"/>
  <c r="AS128" i="2"/>
  <c r="AS138" i="2"/>
  <c r="P144" i="2"/>
  <c r="AP146" i="2"/>
  <c r="AR146" i="2" s="1"/>
  <c r="AP148" i="2"/>
  <c r="AP156" i="2"/>
  <c r="AR156" i="2" s="1"/>
  <c r="P160" i="2"/>
  <c r="P164" i="2"/>
  <c r="AS168" i="2"/>
  <c r="AS174" i="2"/>
  <c r="AP175" i="2"/>
  <c r="AS196" i="2"/>
  <c r="P212" i="2"/>
  <c r="P213" i="2"/>
  <c r="P214" i="2"/>
  <c r="P215" i="2"/>
  <c r="AS220" i="2"/>
  <c r="AT220" i="2" s="1"/>
  <c r="CF220" i="2" s="1"/>
  <c r="AS221" i="2"/>
  <c r="AP223" i="2"/>
  <c r="U223" i="2" s="1"/>
  <c r="BX240" i="2"/>
  <c r="AS246" i="2"/>
  <c r="AP256" i="2"/>
  <c r="AP259" i="2"/>
  <c r="AP271" i="2"/>
  <c r="AR271" i="2" s="1"/>
  <c r="AP273" i="2"/>
  <c r="AP280" i="2"/>
  <c r="AP281" i="2"/>
  <c r="BX282" i="2"/>
  <c r="P291" i="2"/>
  <c r="P292" i="2"/>
  <c r="AP301" i="2"/>
  <c r="AP302" i="2"/>
  <c r="AR302" i="2" s="1"/>
  <c r="P305" i="2"/>
  <c r="AS309" i="2"/>
  <c r="AT309" i="2" s="1"/>
  <c r="CF309" i="2" s="1"/>
  <c r="AP320" i="2"/>
  <c r="AS328" i="2"/>
  <c r="AS329" i="2"/>
  <c r="AS330" i="2"/>
  <c r="AT330" i="2" s="1"/>
  <c r="CF330" i="2" s="1"/>
  <c r="AP333" i="2"/>
  <c r="BX334" i="2"/>
  <c r="BX338" i="2"/>
  <c r="P343" i="2"/>
  <c r="P378" i="2"/>
  <c r="BX396" i="2"/>
  <c r="AW514" i="2"/>
  <c r="AX514" i="2" s="1"/>
  <c r="BN417" i="2"/>
  <c r="BO417" i="2" s="1"/>
  <c r="AP55" i="2"/>
  <c r="AP71" i="2"/>
  <c r="BK86" i="2"/>
  <c r="BX87" i="2"/>
  <c r="BX97" i="2"/>
  <c r="BX136" i="2"/>
  <c r="BX207" i="2"/>
  <c r="BX339" i="2"/>
  <c r="BN426" i="2"/>
  <c r="BO426" i="2" s="1"/>
  <c r="AQ444" i="2"/>
  <c r="U444" i="2"/>
  <c r="AS24" i="2"/>
  <c r="BK24" i="2" s="1"/>
  <c r="BL24" i="2" s="1"/>
  <c r="BM24" i="2" s="1"/>
  <c r="AS30" i="2"/>
  <c r="BK30" i="2" s="1"/>
  <c r="BL30" i="2" s="1"/>
  <c r="BM30" i="2" s="1"/>
  <c r="AS37" i="2"/>
  <c r="AS45" i="2"/>
  <c r="AP46" i="2"/>
  <c r="AS60" i="2"/>
  <c r="BX68" i="2"/>
  <c r="BX72" i="2"/>
  <c r="BX73" i="2"/>
  <c r="AS76" i="2"/>
  <c r="BE76" i="2" s="1"/>
  <c r="AP77" i="2"/>
  <c r="BX83" i="2"/>
  <c r="BX88" i="2"/>
  <c r="BX89" i="2"/>
  <c r="BX102" i="2"/>
  <c r="AY104" i="2"/>
  <c r="AW226" i="2" s="1"/>
  <c r="BN116" i="2"/>
  <c r="BO116" i="2" s="1"/>
  <c r="BX119" i="2"/>
  <c r="AS120" i="2"/>
  <c r="AT120" i="2" s="1"/>
  <c r="CF120" i="2" s="1"/>
  <c r="AR125" i="2"/>
  <c r="BX126" i="2"/>
  <c r="AS129" i="2"/>
  <c r="BE129" i="2" s="1"/>
  <c r="BF129" i="2" s="1"/>
  <c r="AY131" i="2"/>
  <c r="AS132" i="2"/>
  <c r="BE132" i="2" s="1"/>
  <c r="BF132" i="2" s="1"/>
  <c r="AS143" i="2"/>
  <c r="AT143" i="2" s="1"/>
  <c r="CF143" i="2" s="1"/>
  <c r="P147" i="2"/>
  <c r="AS148" i="2"/>
  <c r="BF153" i="2"/>
  <c r="BG153" i="2" s="1"/>
  <c r="AP179" i="2"/>
  <c r="T179" i="2" s="1"/>
  <c r="BX181" i="2"/>
  <c r="P190" i="2"/>
  <c r="AS198" i="2"/>
  <c r="BE198" i="2" s="1"/>
  <c r="BF198" i="2" s="1"/>
  <c r="AS199" i="2"/>
  <c r="AS222" i="2"/>
  <c r="BE222" i="2" s="1"/>
  <c r="BF222" i="2" s="1"/>
  <c r="AS223" i="2"/>
  <c r="BX226" i="2"/>
  <c r="P230" i="2"/>
  <c r="P231" i="2"/>
  <c r="AS234" i="2"/>
  <c r="AS236" i="2"/>
  <c r="P244" i="2"/>
  <c r="AS248" i="2"/>
  <c r="AS255" i="2"/>
  <c r="AS257" i="2"/>
  <c r="BE257" i="2" s="1"/>
  <c r="BF257" i="2" s="1"/>
  <c r="AS260" i="2"/>
  <c r="AS265" i="2"/>
  <c r="BE265" i="2" s="1"/>
  <c r="BF265" i="2" s="1"/>
  <c r="BX289" i="2"/>
  <c r="P293" i="2"/>
  <c r="P294" i="2"/>
  <c r="P306" i="2"/>
  <c r="AP310" i="2"/>
  <c r="U310" i="2" s="1"/>
  <c r="BX311" i="2"/>
  <c r="P316" i="2"/>
  <c r="AP323" i="2"/>
  <c r="AS350" i="2"/>
  <c r="AT350" i="2" s="1"/>
  <c r="CF350" i="2" s="1"/>
  <c r="AP352" i="2"/>
  <c r="T352" i="2" s="1"/>
  <c r="T355" i="2"/>
  <c r="BX356" i="2"/>
  <c r="BX15" i="2"/>
  <c r="AS20" i="2"/>
  <c r="BX21" i="2"/>
  <c r="P23" i="2"/>
  <c r="AP33" i="2"/>
  <c r="AY37" i="2"/>
  <c r="BK37" i="2" s="1"/>
  <c r="BL37" i="2" s="1"/>
  <c r="BM37" i="2" s="1"/>
  <c r="AS42" i="2"/>
  <c r="P49" i="2"/>
  <c r="BX52" i="2"/>
  <c r="BX62" i="2"/>
  <c r="AS66" i="2"/>
  <c r="P75" i="2"/>
  <c r="AS81" i="2"/>
  <c r="BX84" i="2"/>
  <c r="AP88" i="2"/>
  <c r="AS91" i="2"/>
  <c r="AP98" i="2"/>
  <c r="U98" i="2" s="1"/>
  <c r="AP102" i="2"/>
  <c r="AX104" i="2"/>
  <c r="BX106" i="2"/>
  <c r="BX107" i="2"/>
  <c r="AP112" i="2"/>
  <c r="AR112" i="2" s="1"/>
  <c r="P117" i="2"/>
  <c r="BN119" i="2"/>
  <c r="BO119" i="2" s="1"/>
  <c r="P123" i="2"/>
  <c r="P128" i="2"/>
  <c r="BX129" i="2"/>
  <c r="BP137" i="2"/>
  <c r="BQ137" i="2" s="1"/>
  <c r="BY137" i="2" s="1"/>
  <c r="P142" i="2"/>
  <c r="BX144" i="2"/>
  <c r="P145" i="2"/>
  <c r="P153" i="2"/>
  <c r="P170" i="2"/>
  <c r="AS175" i="2"/>
  <c r="AT175" i="2" s="1"/>
  <c r="CF175" i="2" s="1"/>
  <c r="AS176" i="2"/>
  <c r="AT176" i="2" s="1"/>
  <c r="CF176" i="2" s="1"/>
  <c r="AS177" i="2"/>
  <c r="BE177" i="2" s="1"/>
  <c r="BF177" i="2" s="1"/>
  <c r="T188" i="2"/>
  <c r="AP208" i="2"/>
  <c r="AR208" i="2" s="1"/>
  <c r="BX208" i="2"/>
  <c r="BX213" i="2"/>
  <c r="P219" i="2"/>
  <c r="AS252" i="2"/>
  <c r="AS259" i="2"/>
  <c r="AS263" i="2"/>
  <c r="AS264" i="2"/>
  <c r="AS270" i="2"/>
  <c r="AT270" i="2" s="1"/>
  <c r="CF270" i="2" s="1"/>
  <c r="AS272" i="2"/>
  <c r="AS275" i="2"/>
  <c r="BE275" i="2" s="1"/>
  <c r="BF275" i="2" s="1"/>
  <c r="P297" i="2"/>
  <c r="AP311" i="2"/>
  <c r="P330" i="2"/>
  <c r="AS333" i="2"/>
  <c r="BX405" i="2"/>
  <c r="BX425" i="2"/>
  <c r="U442" i="2"/>
  <c r="AQ442" i="2"/>
  <c r="AO442" i="2"/>
  <c r="AP442" i="2" s="1"/>
  <c r="BX294" i="2"/>
  <c r="AR303" i="2"/>
  <c r="BX313" i="2"/>
  <c r="BX314" i="2"/>
  <c r="AP57" i="2"/>
  <c r="AP73" i="2"/>
  <c r="AP93" i="2"/>
  <c r="AR93" i="2" s="1"/>
  <c r="AP106" i="2"/>
  <c r="AR106" i="2" s="1"/>
  <c r="P108" i="2"/>
  <c r="AP150" i="2"/>
  <c r="U150" i="2" s="1"/>
  <c r="AS157" i="2"/>
  <c r="AT157" i="2" s="1"/>
  <c r="CF157" i="2" s="1"/>
  <c r="P173" i="2"/>
  <c r="AS180" i="2"/>
  <c r="AP182" i="2"/>
  <c r="BX189" i="2"/>
  <c r="P191" i="2"/>
  <c r="P197" i="2"/>
  <c r="AP209" i="2"/>
  <c r="AP210" i="2"/>
  <c r="AR210" i="2" s="1"/>
  <c r="P222" i="2"/>
  <c r="P234" i="2"/>
  <c r="AS240" i="2"/>
  <c r="AS241" i="2"/>
  <c r="BE241" i="2" s="1"/>
  <c r="BF241" i="2" s="1"/>
  <c r="P250" i="2"/>
  <c r="AS269" i="2"/>
  <c r="AT269" i="2" s="1"/>
  <c r="CF269" i="2" s="1"/>
  <c r="AS279" i="2"/>
  <c r="AS280" i="2"/>
  <c r="AS282" i="2"/>
  <c r="AS284" i="2"/>
  <c r="AP292" i="2"/>
  <c r="BX295" i="2"/>
  <c r="P300" i="2"/>
  <c r="AP312" i="2"/>
  <c r="AP325" i="2"/>
  <c r="P349" i="2"/>
  <c r="AS353" i="2"/>
  <c r="AT353" i="2" s="1"/>
  <c r="CF353" i="2" s="1"/>
  <c r="AP357" i="2"/>
  <c r="AP358" i="2"/>
  <c r="T358" i="2" s="1"/>
  <c r="AP375" i="2"/>
  <c r="AP376" i="2"/>
  <c r="T376" i="2" s="1"/>
  <c r="AP10" i="2"/>
  <c r="P13" i="2"/>
  <c r="AS15" i="2"/>
  <c r="AS21" i="2"/>
  <c r="AS25" i="2"/>
  <c r="BK25" i="2" s="1"/>
  <c r="AP26" i="2"/>
  <c r="T26" i="2" s="1"/>
  <c r="AS33" i="2"/>
  <c r="BK33" i="2" s="1"/>
  <c r="BL33" i="2" s="1"/>
  <c r="BM33" i="2" s="1"/>
  <c r="BX39" i="2"/>
  <c r="AP48" i="2"/>
  <c r="AR48" i="2" s="1"/>
  <c r="AP53" i="2"/>
  <c r="AP62" i="2"/>
  <c r="AS67" i="2"/>
  <c r="BE67" i="2" s="1"/>
  <c r="BF67" i="2" s="1"/>
  <c r="BX75" i="2"/>
  <c r="BX78" i="2"/>
  <c r="BX94" i="2"/>
  <c r="AS98" i="2"/>
  <c r="AT98" i="2" s="1"/>
  <c r="CF98" i="2" s="1"/>
  <c r="AS106" i="2"/>
  <c r="AS109" i="2"/>
  <c r="AT109" i="2" s="1"/>
  <c r="CF109" i="2" s="1"/>
  <c r="P120" i="2"/>
  <c r="AS121" i="2"/>
  <c r="BX127" i="2"/>
  <c r="BX131" i="2"/>
  <c r="BP135" i="2"/>
  <c r="BQ135" i="2" s="1"/>
  <c r="BY135" i="2" s="1"/>
  <c r="AS137" i="2"/>
  <c r="AS140" i="2"/>
  <c r="BX141" i="2"/>
  <c r="P146" i="2"/>
  <c r="BX169" i="2"/>
  <c r="AS194" i="2"/>
  <c r="BE194" i="2" s="1"/>
  <c r="BF194" i="2" s="1"/>
  <c r="P200" i="2"/>
  <c r="P201" i="2"/>
  <c r="AS207" i="2"/>
  <c r="AT207" i="2" s="1"/>
  <c r="CF207" i="2" s="1"/>
  <c r="AS208" i="2"/>
  <c r="BE208" i="2" s="1"/>
  <c r="BF208" i="2" s="1"/>
  <c r="P248" i="2"/>
  <c r="P249" i="2"/>
  <c r="P254" i="2"/>
  <c r="P255" i="2"/>
  <c r="P257" i="2"/>
  <c r="P258" i="2"/>
  <c r="P260" i="2"/>
  <c r="P265" i="2"/>
  <c r="BE287" i="2"/>
  <c r="AS288" i="2"/>
  <c r="BE288" i="2" s="1"/>
  <c r="BF288" i="2" s="1"/>
  <c r="BJ288" i="2" s="1"/>
  <c r="AP294" i="2"/>
  <c r="AR294" i="2" s="1"/>
  <c r="P319" i="2"/>
  <c r="AS336" i="2"/>
  <c r="AS339" i="2"/>
  <c r="P350" i="2"/>
  <c r="AS355" i="2"/>
  <c r="BX387" i="2"/>
  <c r="AW493" i="2"/>
  <c r="BP396" i="2"/>
  <c r="BQ396" i="2" s="1"/>
  <c r="BY396" i="2" s="1"/>
  <c r="BX449" i="2"/>
  <c r="P55" i="2"/>
  <c r="AP79" i="2"/>
  <c r="U79" i="2" s="1"/>
  <c r="BX111" i="2"/>
  <c r="AS126" i="2"/>
  <c r="BK126" i="2" s="1"/>
  <c r="BL126" i="2" s="1"/>
  <c r="BM126" i="2" s="1"/>
  <c r="AP130" i="2"/>
  <c r="AR130" i="2" s="1"/>
  <c r="BX138" i="2"/>
  <c r="BX196" i="2"/>
  <c r="AP218" i="2"/>
  <c r="AP230" i="2"/>
  <c r="BX234" i="2"/>
  <c r="AP244" i="2"/>
  <c r="BP265" i="2"/>
  <c r="BQ265" i="2" s="1"/>
  <c r="BY265" i="2" s="1"/>
  <c r="BX299" i="2"/>
  <c r="AS305" i="2"/>
  <c r="AT305" i="2" s="1"/>
  <c r="CF305" i="2" s="1"/>
  <c r="AS342" i="2"/>
  <c r="BE342" i="2" s="1"/>
  <c r="AP27" i="2"/>
  <c r="T27" i="2" s="1"/>
  <c r="AS34" i="2"/>
  <c r="P38" i="2"/>
  <c r="P46" i="2"/>
  <c r="BX50" i="2"/>
  <c r="P51" i="2"/>
  <c r="AS53" i="2"/>
  <c r="AS58" i="2"/>
  <c r="AS63" i="2"/>
  <c r="AP64" i="2"/>
  <c r="BX65" i="2"/>
  <c r="AS69" i="2"/>
  <c r="AP80" i="2"/>
  <c r="T80" i="2" s="1"/>
  <c r="AS94" i="2"/>
  <c r="AS99" i="2"/>
  <c r="BX99" i="2"/>
  <c r="P109" i="2"/>
  <c r="P118" i="2"/>
  <c r="AP123" i="2"/>
  <c r="BX124" i="2"/>
  <c r="AS127" i="2"/>
  <c r="AP135" i="2"/>
  <c r="AR135" i="2" s="1"/>
  <c r="AP142" i="2"/>
  <c r="AR142" i="2" s="1"/>
  <c r="BX145" i="2"/>
  <c r="BX146" i="2"/>
  <c r="AP153" i="2"/>
  <c r="T153" i="2" s="1"/>
  <c r="AS185" i="2"/>
  <c r="BE185" i="2" s="1"/>
  <c r="AS187" i="2"/>
  <c r="P206" i="2"/>
  <c r="AS227" i="2"/>
  <c r="AS229" i="2"/>
  <c r="AP233" i="2"/>
  <c r="P240" i="2"/>
  <c r="AS243" i="2"/>
  <c r="AP245" i="2"/>
  <c r="U245" i="2" s="1"/>
  <c r="BX256" i="2"/>
  <c r="P278" i="2"/>
  <c r="U419" i="2"/>
  <c r="AR419" i="2"/>
  <c r="AQ814" i="2"/>
  <c r="T814" i="2"/>
  <c r="AO971" i="2"/>
  <c r="AQ826" i="2"/>
  <c r="AP366" i="2"/>
  <c r="AP369" i="2"/>
  <c r="AS381" i="2"/>
  <c r="AT381" i="2" s="1"/>
  <c r="CF381" i="2" s="1"/>
  <c r="AP387" i="2"/>
  <c r="U387" i="2" s="1"/>
  <c r="BX407" i="2"/>
  <c r="BX420" i="2"/>
  <c r="P422" i="2"/>
  <c r="AP435" i="2"/>
  <c r="U435" i="2" s="1"/>
  <c r="BX435" i="2"/>
  <c r="AP447" i="2"/>
  <c r="P468" i="2"/>
  <c r="AS479" i="2"/>
  <c r="AS513" i="2"/>
  <c r="AS528" i="2"/>
  <c r="AS529" i="2"/>
  <c r="AS550" i="2"/>
  <c r="AT550" i="2" s="1"/>
  <c r="CF550" i="2" s="1"/>
  <c r="AO655" i="2"/>
  <c r="AO551" i="2"/>
  <c r="P563" i="2"/>
  <c r="BE621" i="2"/>
  <c r="BX320" i="2"/>
  <c r="BX321" i="2"/>
  <c r="P324" i="2"/>
  <c r="AP328" i="2"/>
  <c r="U328" i="2" s="1"/>
  <c r="BX331" i="2"/>
  <c r="AS341" i="2"/>
  <c r="P360" i="2"/>
  <c r="P361" i="2"/>
  <c r="AS365" i="2"/>
  <c r="AP370" i="2"/>
  <c r="AR370" i="2" s="1"/>
  <c r="BX372" i="2"/>
  <c r="AS385" i="2"/>
  <c r="AS386" i="2"/>
  <c r="AT386" i="2" s="1"/>
  <c r="CF386" i="2" s="1"/>
  <c r="AS403" i="2"/>
  <c r="AS404" i="2"/>
  <c r="BX408" i="2"/>
  <c r="BX410" i="2"/>
  <c r="BX411" i="2"/>
  <c r="P415" i="2"/>
  <c r="P416" i="2"/>
  <c r="P417" i="2"/>
  <c r="AS418" i="2"/>
  <c r="AS419" i="2"/>
  <c r="AP425" i="2"/>
  <c r="U425" i="2" s="1"/>
  <c r="BX454" i="2"/>
  <c r="AS459" i="2"/>
  <c r="BX466" i="2"/>
  <c r="P470" i="2"/>
  <c r="AS480" i="2"/>
  <c r="AS489" i="2"/>
  <c r="AT489" i="2" s="1"/>
  <c r="CF489" i="2" s="1"/>
  <c r="AS490" i="2"/>
  <c r="AP493" i="2"/>
  <c r="AR493" i="2" s="1"/>
  <c r="BX499" i="2"/>
  <c r="P508" i="2"/>
  <c r="AS521" i="2"/>
  <c r="BX522" i="2"/>
  <c r="BX523" i="2"/>
  <c r="AQ540" i="2"/>
  <c r="AS543" i="2"/>
  <c r="AS549" i="2"/>
  <c r="AO650" i="2"/>
  <c r="AQ550" i="2"/>
  <c r="AS554" i="2"/>
  <c r="U564" i="2"/>
  <c r="T581" i="2"/>
  <c r="P586" i="2"/>
  <c r="P588" i="2"/>
  <c r="T591" i="2"/>
  <c r="AS619" i="2"/>
  <c r="BX628" i="2"/>
  <c r="AS631" i="2"/>
  <c r="AS669" i="2"/>
  <c r="AT669" i="2" s="1"/>
  <c r="CF669" i="2" s="1"/>
  <c r="BX679" i="2"/>
  <c r="BX721" i="2"/>
  <c r="AS396" i="2"/>
  <c r="AP397" i="2"/>
  <c r="AR397" i="2" s="1"/>
  <c r="P400" i="2"/>
  <c r="AP413" i="2"/>
  <c r="AR413" i="2" s="1"/>
  <c r="AP426" i="2"/>
  <c r="AR426" i="2" s="1"/>
  <c r="AS435" i="2"/>
  <c r="P440" i="2"/>
  <c r="AS447" i="2"/>
  <c r="AT447" i="2" s="1"/>
  <c r="CF447" i="2" s="1"/>
  <c r="AS449" i="2"/>
  <c r="AT449" i="2" s="1"/>
  <c r="CF449" i="2" s="1"/>
  <c r="AS461" i="2"/>
  <c r="AT461" i="2" s="1"/>
  <c r="CF461" i="2" s="1"/>
  <c r="BX468" i="2"/>
  <c r="AS491" i="2"/>
  <c r="AS515" i="2"/>
  <c r="AT515" i="2" s="1"/>
  <c r="CF515" i="2" s="1"/>
  <c r="AS516" i="2"/>
  <c r="AT516" i="2" s="1"/>
  <c r="CF516" i="2" s="1"/>
  <c r="AS539" i="2"/>
  <c r="AS540" i="2"/>
  <c r="BE552" i="2"/>
  <c r="P598" i="2"/>
  <c r="P608" i="2"/>
  <c r="P611" i="2"/>
  <c r="AO621" i="2"/>
  <c r="T621" i="2"/>
  <c r="P656" i="2"/>
  <c r="T811" i="2"/>
  <c r="AQ811" i="2"/>
  <c r="AS372" i="2"/>
  <c r="AT372" i="2" s="1"/>
  <c r="CF372" i="2" s="1"/>
  <c r="AP374" i="2"/>
  <c r="T374" i="2" s="1"/>
  <c r="P381" i="2"/>
  <c r="P382" i="2"/>
  <c r="AP390" i="2"/>
  <c r="P395" i="2"/>
  <c r="P402" i="2"/>
  <c r="AS406" i="2"/>
  <c r="AS407" i="2"/>
  <c r="P418" i="2"/>
  <c r="AP421" i="2"/>
  <c r="AP437" i="2"/>
  <c r="AR437" i="2" s="1"/>
  <c r="AS448" i="2"/>
  <c r="BE448" i="2" s="1"/>
  <c r="BF448" i="2" s="1"/>
  <c r="AS450" i="2"/>
  <c r="P458" i="2"/>
  <c r="BX471" i="2"/>
  <c r="BX473" i="2"/>
  <c r="P477" i="2"/>
  <c r="P478" i="2"/>
  <c r="AP505" i="2"/>
  <c r="BX507" i="2"/>
  <c r="BX509" i="2"/>
  <c r="AO525" i="2"/>
  <c r="P528" i="2"/>
  <c r="AS532" i="2"/>
  <c r="BE532" i="2" s="1"/>
  <c r="BF532" i="2" s="1"/>
  <c r="P545" i="2"/>
  <c r="BX551" i="2"/>
  <c r="P555" i="2"/>
  <c r="BX585" i="2"/>
  <c r="AP594" i="2"/>
  <c r="BX600" i="2"/>
  <c r="P603" i="2"/>
  <c r="BX621" i="2"/>
  <c r="P663" i="2"/>
  <c r="AP770" i="2"/>
  <c r="AS819" i="2"/>
  <c r="AT819" i="2" s="1"/>
  <c r="AL819" i="2" s="1"/>
  <c r="P403" i="2"/>
  <c r="P419" i="2"/>
  <c r="AO428" i="2"/>
  <c r="AP428" i="2" s="1"/>
  <c r="AS454" i="2"/>
  <c r="P460" i="2"/>
  <c r="AP470" i="2"/>
  <c r="T470" i="2" s="1"/>
  <c r="BX474" i="2"/>
  <c r="BX475" i="2"/>
  <c r="P489" i="2"/>
  <c r="AS494" i="2"/>
  <c r="AT494" i="2" s="1"/>
  <c r="CF494" i="2" s="1"/>
  <c r="AP508" i="2"/>
  <c r="BX511" i="2"/>
  <c r="P514" i="2"/>
  <c r="BX519" i="2"/>
  <c r="BX520" i="2"/>
  <c r="P521" i="2"/>
  <c r="AS522" i="2"/>
  <c r="BE522" i="2" s="1"/>
  <c r="AS537" i="2"/>
  <c r="AT537" i="2" s="1"/>
  <c r="CF537" i="2" s="1"/>
  <c r="P543" i="2"/>
  <c r="P544" i="2"/>
  <c r="P554" i="2"/>
  <c r="U646" i="2"/>
  <c r="AQ646" i="2"/>
  <c r="AS838" i="2"/>
  <c r="AT838" i="2" s="1"/>
  <c r="CF838" i="2" s="1"/>
  <c r="BX456" i="2"/>
  <c r="BX457" i="2"/>
  <c r="BX528" i="2"/>
  <c r="T587" i="2"/>
  <c r="AO607" i="2"/>
  <c r="AP607" i="2" s="1"/>
  <c r="BX631" i="2"/>
  <c r="BX649" i="2"/>
  <c r="AS745" i="2"/>
  <c r="AT745" i="2" s="1"/>
  <c r="AS832" i="2"/>
  <c r="BE832" i="2" s="1"/>
  <c r="BF832" i="2" s="1"/>
  <c r="AS312" i="2"/>
  <c r="AT312" i="2" s="1"/>
  <c r="CF312" i="2" s="1"/>
  <c r="AP313" i="2"/>
  <c r="AR313" i="2" s="1"/>
  <c r="BX316" i="2"/>
  <c r="AS322" i="2"/>
  <c r="BE322" i="2" s="1"/>
  <c r="BF322" i="2" s="1"/>
  <c r="P327" i="2"/>
  <c r="P328" i="2"/>
  <c r="P329" i="2"/>
  <c r="AS332" i="2"/>
  <c r="AP349" i="2"/>
  <c r="BX350" i="2"/>
  <c r="P354" i="2"/>
  <c r="P369" i="2"/>
  <c r="P370" i="2"/>
  <c r="AS390" i="2"/>
  <c r="AT390" i="2" s="1"/>
  <c r="CF390" i="2" s="1"/>
  <c r="BX401" i="2"/>
  <c r="P405" i="2"/>
  <c r="AS411" i="2"/>
  <c r="AT411" i="2" s="1"/>
  <c r="CF411" i="2" s="1"/>
  <c r="AS412" i="2"/>
  <c r="AT412" i="2" s="1"/>
  <c r="CF412" i="2" s="1"/>
  <c r="AP416" i="2"/>
  <c r="U416" i="2" s="1"/>
  <c r="BX417" i="2"/>
  <c r="AS428" i="2"/>
  <c r="AO429" i="2"/>
  <c r="AP431" i="2"/>
  <c r="AR431" i="2" s="1"/>
  <c r="AP438" i="2"/>
  <c r="U438" i="2" s="1"/>
  <c r="AS441" i="2"/>
  <c r="AP443" i="2"/>
  <c r="AR443" i="2" s="1"/>
  <c r="AP445" i="2"/>
  <c r="T445" i="2" s="1"/>
  <c r="P453" i="2"/>
  <c r="BX458" i="2"/>
  <c r="P462" i="2"/>
  <c r="AS468" i="2"/>
  <c r="AP474" i="2"/>
  <c r="AP476" i="2"/>
  <c r="T476" i="2" s="1"/>
  <c r="BX479" i="2"/>
  <c r="BX481" i="2"/>
  <c r="P483" i="2"/>
  <c r="BX487" i="2"/>
  <c r="AS505" i="2"/>
  <c r="BE505" i="2" s="1"/>
  <c r="BF505" i="2" s="1"/>
  <c r="P517" i="2"/>
  <c r="AP518" i="2"/>
  <c r="AP519" i="2"/>
  <c r="AO526" i="2"/>
  <c r="AP526" i="2" s="1"/>
  <c r="P539" i="2"/>
  <c r="P540" i="2"/>
  <c r="BX546" i="2"/>
  <c r="U551" i="2"/>
  <c r="AO659" i="2"/>
  <c r="AP659" i="2" s="1"/>
  <c r="AQ562" i="2"/>
  <c r="P570" i="2"/>
  <c r="AP573" i="2"/>
  <c r="T573" i="2" s="1"/>
  <c r="AO575" i="2"/>
  <c r="AP575" i="2" s="1"/>
  <c r="AR575" i="2" s="1"/>
  <c r="P583" i="2"/>
  <c r="AQ584" i="2"/>
  <c r="AQ586" i="2"/>
  <c r="P595" i="2"/>
  <c r="AP608" i="2"/>
  <c r="U608" i="2" s="1"/>
  <c r="P619" i="2"/>
  <c r="P638" i="2"/>
  <c r="BX647" i="2"/>
  <c r="AS375" i="2"/>
  <c r="AP380" i="2"/>
  <c r="BX386" i="2"/>
  <c r="AS392" i="2"/>
  <c r="AT392" i="2" s="1"/>
  <c r="CF392" i="2" s="1"/>
  <c r="P406" i="2"/>
  <c r="P425" i="2"/>
  <c r="AP458" i="2"/>
  <c r="AP477" i="2"/>
  <c r="T477" i="2" s="1"/>
  <c r="AP478" i="2"/>
  <c r="AR478" i="2" s="1"/>
  <c r="BX489" i="2"/>
  <c r="BX490" i="2"/>
  <c r="AP520" i="2"/>
  <c r="AS533" i="2"/>
  <c r="BX549" i="2"/>
  <c r="P568" i="2"/>
  <c r="BX569" i="2"/>
  <c r="AS572" i="2"/>
  <c r="AR602" i="2"/>
  <c r="AS607" i="2"/>
  <c r="BE607" i="2" s="1"/>
  <c r="BF607" i="2" s="1"/>
  <c r="BG607" i="2" s="1"/>
  <c r="AS613" i="2"/>
  <c r="BX619" i="2"/>
  <c r="AS634" i="2"/>
  <c r="AS643" i="2"/>
  <c r="P645" i="2"/>
  <c r="E41" i="3"/>
  <c r="BX515" i="2"/>
  <c r="BE659" i="2"/>
  <c r="BF659" i="2" s="1"/>
  <c r="AT659" i="2"/>
  <c r="CF659" i="2" s="1"/>
  <c r="BX690" i="2"/>
  <c r="AS883" i="2"/>
  <c r="AS313" i="2"/>
  <c r="AT313" i="2" s="1"/>
  <c r="CF313" i="2" s="1"/>
  <c r="P322" i="2"/>
  <c r="BX327" i="2"/>
  <c r="P332" i="2"/>
  <c r="AP340" i="2"/>
  <c r="AP351" i="2"/>
  <c r="P358" i="2"/>
  <c r="AS362" i="2"/>
  <c r="BX370" i="2"/>
  <c r="AS378" i="2"/>
  <c r="AT378" i="2" s="1"/>
  <c r="CF378" i="2" s="1"/>
  <c r="AP382" i="2"/>
  <c r="T382" i="2" s="1"/>
  <c r="AP384" i="2"/>
  <c r="P398" i="2"/>
  <c r="AS401" i="2"/>
  <c r="AT401" i="2" s="1"/>
  <c r="CF401" i="2" s="1"/>
  <c r="P409" i="2"/>
  <c r="P410" i="2"/>
  <c r="P412" i="2"/>
  <c r="P426" i="2"/>
  <c r="AS431" i="2"/>
  <c r="AS443" i="2"/>
  <c r="AP446" i="2"/>
  <c r="T446" i="2" s="1"/>
  <c r="BX451" i="2"/>
  <c r="BX453" i="2"/>
  <c r="BX464" i="2"/>
  <c r="P467" i="2"/>
  <c r="AP482" i="2"/>
  <c r="AP490" i="2"/>
  <c r="P495" i="2"/>
  <c r="P496" i="2"/>
  <c r="P497" i="2"/>
  <c r="P502" i="2"/>
  <c r="P503" i="2"/>
  <c r="AS510" i="2"/>
  <c r="BE510" i="2" s="1"/>
  <c r="BF510" i="2" s="1"/>
  <c r="BJ510" i="2" s="1"/>
  <c r="AS511" i="2"/>
  <c r="AP513" i="2"/>
  <c r="U513" i="2" s="1"/>
  <c r="AP521" i="2"/>
  <c r="U521" i="2" s="1"/>
  <c r="P525" i="2"/>
  <c r="BX535" i="2"/>
  <c r="AS558" i="2"/>
  <c r="P566" i="2"/>
  <c r="P567" i="2"/>
  <c r="AS577" i="2"/>
  <c r="P579" i="2"/>
  <c r="P580" i="2"/>
  <c r="AQ588" i="2"/>
  <c r="AO588" i="2"/>
  <c r="AP588" i="2" s="1"/>
  <c r="P593" i="2"/>
  <c r="AS599" i="2"/>
  <c r="BE609" i="2"/>
  <c r="BF609" i="2" s="1"/>
  <c r="AS611" i="2"/>
  <c r="AS630" i="2"/>
  <c r="P635" i="2"/>
  <c r="AS642" i="2"/>
  <c r="BX674" i="2"/>
  <c r="P710" i="2"/>
  <c r="BD726" i="2"/>
  <c r="H131" i="3" s="1"/>
  <c r="AS726" i="2"/>
  <c r="AO744" i="2"/>
  <c r="AQ744" i="2"/>
  <c r="U744" i="2"/>
  <c r="AW908" i="2"/>
  <c r="AX908" i="2" s="1"/>
  <c r="BP817" i="2"/>
  <c r="BQ817" i="2" s="1"/>
  <c r="BY817" i="2" s="1"/>
  <c r="AS996" i="2"/>
  <c r="AT996" i="2" s="1"/>
  <c r="CF996" i="2" s="1"/>
  <c r="AS1003" i="2"/>
  <c r="AS1017" i="2"/>
  <c r="AT1017" i="2" s="1"/>
  <c r="CF1017" i="2" s="1"/>
  <c r="AP1018" i="2"/>
  <c r="AS1021" i="2"/>
  <c r="BE1021" i="2" s="1"/>
  <c r="AS1023" i="2"/>
  <c r="BE1023" i="2" s="1"/>
  <c r="BF1023" i="2" s="1"/>
  <c r="BE1024" i="2"/>
  <c r="AS1029" i="2"/>
  <c r="AP1038" i="2"/>
  <c r="T1038" i="2" s="1"/>
  <c r="AS1048" i="2"/>
  <c r="BE1048" i="2" s="1"/>
  <c r="BF1048" i="2" s="1"/>
  <c r="AS1076" i="2"/>
  <c r="BE1076" i="2" s="1"/>
  <c r="BF1076" i="2" s="1"/>
  <c r="BE1094" i="2"/>
  <c r="BF1094" i="2" s="1"/>
  <c r="AS715" i="2"/>
  <c r="BE715" i="2" s="1"/>
  <c r="BF715" i="2" s="1"/>
  <c r="AS761" i="2"/>
  <c r="AS769" i="2"/>
  <c r="AS785" i="2"/>
  <c r="AS834" i="2"/>
  <c r="BE834" i="2" s="1"/>
  <c r="AS863" i="2"/>
  <c r="BE863" i="2" s="1"/>
  <c r="BF863" i="2" s="1"/>
  <c r="AS869" i="2"/>
  <c r="AS873" i="2"/>
  <c r="AT873" i="2" s="1"/>
  <c r="CF873" i="2" s="1"/>
  <c r="AS895" i="2"/>
  <c r="AS909" i="2"/>
  <c r="BK909" i="2" s="1"/>
  <c r="BL909" i="2" s="1"/>
  <c r="BM909" i="2" s="1"/>
  <c r="AS911" i="2"/>
  <c r="AS913" i="2"/>
  <c r="AS915" i="2"/>
  <c r="AP920" i="2"/>
  <c r="U920" i="2" s="1"/>
  <c r="AS958" i="2"/>
  <c r="AY961" i="2"/>
  <c r="AS1005" i="2"/>
  <c r="M29" i="3"/>
  <c r="P659" i="2"/>
  <c r="BX663" i="2"/>
  <c r="AS676" i="2"/>
  <c r="AS685" i="2"/>
  <c r="AS694" i="2"/>
  <c r="BE694" i="2" s="1"/>
  <c r="BF694" i="2" s="1"/>
  <c r="P719" i="2"/>
  <c r="AS739" i="2"/>
  <c r="BE739" i="2" s="1"/>
  <c r="BX748" i="2"/>
  <c r="AS787" i="2"/>
  <c r="U811" i="2"/>
  <c r="AQ858" i="2"/>
  <c r="AS1015" i="2"/>
  <c r="AS1074" i="2"/>
  <c r="J96" i="3"/>
  <c r="BX635" i="2"/>
  <c r="BX636" i="2"/>
  <c r="AS652" i="2"/>
  <c r="BX660" i="2"/>
  <c r="P669" i="2"/>
  <c r="AS684" i="2"/>
  <c r="BX697" i="2"/>
  <c r="P717" i="2"/>
  <c r="AP748" i="2"/>
  <c r="P752" i="2"/>
  <c r="AS775" i="2"/>
  <c r="AS789" i="2"/>
  <c r="AS793" i="2"/>
  <c r="T819" i="2"/>
  <c r="AS893" i="2"/>
  <c r="AS940" i="2"/>
  <c r="AT940" i="2" s="1"/>
  <c r="CF940" i="2" s="1"/>
  <c r="AS957" i="2"/>
  <c r="BE957" i="2" s="1"/>
  <c r="AS986" i="2"/>
  <c r="AP1009" i="2"/>
  <c r="T1009" i="2" s="1"/>
  <c r="AP1011" i="2"/>
  <c r="AS1059" i="2"/>
  <c r="AS1061" i="2"/>
  <c r="BE1061" i="2" s="1"/>
  <c r="AS1069" i="2"/>
  <c r="AS1082" i="2"/>
  <c r="AS1097" i="2"/>
  <c r="BE1097" i="2" s="1"/>
  <c r="BF1097" i="2" s="1"/>
  <c r="K96" i="3"/>
  <c r="BX645" i="2"/>
  <c r="P654" i="2"/>
  <c r="AP657" i="2"/>
  <c r="T657" i="2" s="1"/>
  <c r="AS674" i="2"/>
  <c r="BE674" i="2" s="1"/>
  <c r="BX677" i="2"/>
  <c r="T726" i="2"/>
  <c r="U728" i="2"/>
  <c r="P751" i="2"/>
  <c r="T785" i="2"/>
  <c r="AS795" i="2"/>
  <c r="AP806" i="2"/>
  <c r="U806" i="2" s="1"/>
  <c r="AS821" i="2"/>
  <c r="BE821" i="2" s="1"/>
  <c r="AS823" i="2"/>
  <c r="AS829" i="2"/>
  <c r="AS839" i="2"/>
  <c r="AS841" i="2"/>
  <c r="AT841" i="2" s="1"/>
  <c r="CF841" i="2" s="1"/>
  <c r="U844" i="2"/>
  <c r="BE1057" i="2"/>
  <c r="BE736" i="2"/>
  <c r="AQ781" i="2"/>
  <c r="BE859" i="2"/>
  <c r="T869" i="2"/>
  <c r="AS983" i="2"/>
  <c r="AT983" i="2" s="1"/>
  <c r="CF983" i="2" s="1"/>
  <c r="AP1021" i="2"/>
  <c r="AP1025" i="2"/>
  <c r="AS1049" i="2"/>
  <c r="BE1049" i="2" s="1"/>
  <c r="BF1049" i="2" s="1"/>
  <c r="AO598" i="2"/>
  <c r="AO611" i="2"/>
  <c r="AS625" i="2"/>
  <c r="AT625" i="2" s="1"/>
  <c r="CF625" i="2" s="1"/>
  <c r="AS626" i="2"/>
  <c r="BX633" i="2"/>
  <c r="BX676" i="2"/>
  <c r="AS680" i="2"/>
  <c r="P706" i="2"/>
  <c r="AS712" i="2"/>
  <c r="BX716" i="2"/>
  <c r="AS721" i="2"/>
  <c r="AO860" i="2"/>
  <c r="P739" i="2"/>
  <c r="P741" i="2"/>
  <c r="BX746" i="2"/>
  <c r="AO856" i="2"/>
  <c r="BX752" i="2"/>
  <c r="AS801" i="2"/>
  <c r="AS805" i="2"/>
  <c r="AS808" i="2"/>
  <c r="T816" i="2"/>
  <c r="AS835" i="2"/>
  <c r="AT835" i="2" s="1"/>
  <c r="CF835" i="2" s="1"/>
  <c r="AS837" i="2"/>
  <c r="BE837" i="2" s="1"/>
  <c r="BF837" i="2" s="1"/>
  <c r="AS882" i="2"/>
  <c r="AS921" i="2"/>
  <c r="AT921" i="2" s="1"/>
  <c r="CF921" i="2" s="1"/>
  <c r="AS935" i="2"/>
  <c r="AS963" i="2"/>
  <c r="BE963" i="2" s="1"/>
  <c r="BF963" i="2" s="1"/>
  <c r="AS972" i="2"/>
  <c r="AT972" i="2" s="1"/>
  <c r="CF972" i="2" s="1"/>
  <c r="AS1002" i="2"/>
  <c r="AS1008" i="2"/>
  <c r="AS1014" i="2"/>
  <c r="AS1022" i="2"/>
  <c r="AS1026" i="2"/>
  <c r="AS1028" i="2"/>
  <c r="AS1030" i="2"/>
  <c r="AS1032" i="2"/>
  <c r="AP1039" i="2"/>
  <c r="AS1072" i="2"/>
  <c r="AS1075" i="2"/>
  <c r="AT1075" i="2" s="1"/>
  <c r="CF1075" i="2" s="1"/>
  <c r="AS1093" i="2"/>
  <c r="AT1093" i="2" s="1"/>
  <c r="CF1093" i="2" s="1"/>
  <c r="L65" i="3"/>
  <c r="L75" i="3" s="1"/>
  <c r="BX553" i="2"/>
  <c r="BX555" i="2"/>
  <c r="BX559" i="2"/>
  <c r="AS568" i="2"/>
  <c r="P572" i="2"/>
  <c r="AO708" i="2"/>
  <c r="BX642" i="2"/>
  <c r="P652" i="2"/>
  <c r="P653" i="2"/>
  <c r="BX653" i="2"/>
  <c r="AP744" i="2"/>
  <c r="T744" i="2" s="1"/>
  <c r="BX750" i="2"/>
  <c r="BX756" i="2"/>
  <c r="BE996" i="2"/>
  <c r="P537" i="2"/>
  <c r="AS560" i="2"/>
  <c r="AT560" i="2" s="1"/>
  <c r="CF560" i="2" s="1"/>
  <c r="AS565" i="2"/>
  <c r="AS566" i="2"/>
  <c r="P571" i="2"/>
  <c r="BX571" i="2"/>
  <c r="BX572" i="2"/>
  <c r="BX579" i="2"/>
  <c r="BX581" i="2"/>
  <c r="P582" i="2"/>
  <c r="AS587" i="2"/>
  <c r="AS588" i="2"/>
  <c r="AS590" i="2"/>
  <c r="AT590" i="2" s="1"/>
  <c r="CF590" i="2" s="1"/>
  <c r="AS594" i="2"/>
  <c r="AS595" i="2"/>
  <c r="P606" i="2"/>
  <c r="AS622" i="2"/>
  <c r="P633" i="2"/>
  <c r="AS636" i="2"/>
  <c r="AT636" i="2" s="1"/>
  <c r="CF636" i="2" s="1"/>
  <c r="AS638" i="2"/>
  <c r="AO733" i="2"/>
  <c r="AS648" i="2"/>
  <c r="BX666" i="2"/>
  <c r="AS671" i="2"/>
  <c r="P692" i="2"/>
  <c r="BX693" i="2"/>
  <c r="AS701" i="2"/>
  <c r="BE701" i="2" s="1"/>
  <c r="BF701" i="2" s="1"/>
  <c r="U714" i="2"/>
  <c r="P722" i="2"/>
  <c r="AS729" i="2"/>
  <c r="AT729" i="2" s="1"/>
  <c r="CF729" i="2" s="1"/>
  <c r="P737" i="2"/>
  <c r="BX741" i="2"/>
  <c r="BX742" i="2"/>
  <c r="U751" i="2"/>
  <c r="AS766" i="2"/>
  <c r="AS776" i="2"/>
  <c r="AS812" i="2"/>
  <c r="AT812" i="2" s="1"/>
  <c r="AS820" i="2"/>
  <c r="AS858" i="2"/>
  <c r="AT858" i="2" s="1"/>
  <c r="CF858" i="2" s="1"/>
  <c r="AS864" i="2"/>
  <c r="AS868" i="2"/>
  <c r="AT868" i="2" s="1"/>
  <c r="CF868" i="2" s="1"/>
  <c r="AS872" i="2"/>
  <c r="AT872" i="2" s="1"/>
  <c r="CF872" i="2" s="1"/>
  <c r="AS887" i="2"/>
  <c r="AT887" i="2" s="1"/>
  <c r="CF887" i="2" s="1"/>
  <c r="AS912" i="2"/>
  <c r="AT912" i="2" s="1"/>
  <c r="CF912" i="2" s="1"/>
  <c r="AS914" i="2"/>
  <c r="BE914" i="2" s="1"/>
  <c r="BF914" i="2" s="1"/>
  <c r="AS923" i="2"/>
  <c r="AS956" i="2"/>
  <c r="AS997" i="2"/>
  <c r="AT997" i="2" s="1"/>
  <c r="CF997" i="2" s="1"/>
  <c r="AS1004" i="2"/>
  <c r="AP1010" i="2"/>
  <c r="AP1012" i="2"/>
  <c r="AS1018" i="2"/>
  <c r="AS1047" i="2"/>
  <c r="AP1049" i="2"/>
  <c r="T1049" i="2" s="1"/>
  <c r="AS1055" i="2"/>
  <c r="BE1055" i="2" s="1"/>
  <c r="AS1083" i="2"/>
  <c r="AT1083" i="2" s="1"/>
  <c r="CF1083" i="2" s="1"/>
  <c r="D77" i="3"/>
  <c r="AS918" i="2"/>
  <c r="AT918" i="2" s="1"/>
  <c r="CF918" i="2" s="1"/>
  <c r="AS920" i="2"/>
  <c r="BE1073" i="2"/>
  <c r="AS1088" i="2"/>
  <c r="BE1088" i="2" s="1"/>
  <c r="BF1088" i="2" s="1"/>
  <c r="BG1088" i="2" s="1"/>
  <c r="AS1091" i="2"/>
  <c r="D65" i="3"/>
  <c r="P689" i="2"/>
  <c r="AS696" i="2"/>
  <c r="AT696" i="2" s="1"/>
  <c r="CF696" i="2" s="1"/>
  <c r="AS700" i="2"/>
  <c r="AT700" i="2" s="1"/>
  <c r="CF700" i="2" s="1"/>
  <c r="P704" i="2"/>
  <c r="P711" i="2"/>
  <c r="AS718" i="2"/>
  <c r="BE718" i="2" s="1"/>
  <c r="BF718" i="2" s="1"/>
  <c r="P720" i="2"/>
  <c r="P721" i="2"/>
  <c r="AS727" i="2"/>
  <c r="BE727" i="2" s="1"/>
  <c r="P730" i="2"/>
  <c r="AS734" i="2"/>
  <c r="AP739" i="2"/>
  <c r="AS794" i="2"/>
  <c r="AS811" i="2"/>
  <c r="AT811" i="2" s="1"/>
  <c r="CF811" i="2" s="1"/>
  <c r="AS814" i="2"/>
  <c r="AS822" i="2"/>
  <c r="AS877" i="2"/>
  <c r="AS879" i="2"/>
  <c r="AP963" i="2"/>
  <c r="U963" i="2" s="1"/>
  <c r="AP1016" i="2"/>
  <c r="AP1022" i="2"/>
  <c r="T1022" i="2" s="1"/>
  <c r="AP1028" i="2"/>
  <c r="AS1053" i="2"/>
  <c r="BE1053" i="2" s="1"/>
  <c r="E65" i="3"/>
  <c r="F96" i="3"/>
  <c r="L108" i="3"/>
  <c r="AW161" i="2"/>
  <c r="AY161" i="2" s="1"/>
  <c r="AW264" i="2" s="1"/>
  <c r="BN21" i="2"/>
  <c r="BO21" i="2" s="1"/>
  <c r="BK73" i="2"/>
  <c r="BL73" i="2" s="1"/>
  <c r="BM73" i="2" s="1"/>
  <c r="BE73" i="2"/>
  <c r="BF73" i="2" s="1"/>
  <c r="AT73" i="2"/>
  <c r="CF73" i="2" s="1"/>
  <c r="BE39" i="2"/>
  <c r="BK39" i="2"/>
  <c r="BL39" i="2" s="1"/>
  <c r="BM39" i="2" s="1"/>
  <c r="AT39" i="2"/>
  <c r="CF39" i="2" s="1"/>
  <c r="AR14" i="2"/>
  <c r="U14" i="2"/>
  <c r="BE42" i="2"/>
  <c r="BF42" i="2" s="1"/>
  <c r="BK42" i="2"/>
  <c r="BL42" i="2" s="1"/>
  <c r="BM42" i="2" s="1"/>
  <c r="AT42" i="2"/>
  <c r="CF42" i="2" s="1"/>
  <c r="U45" i="1"/>
  <c r="U85" i="1"/>
  <c r="U87" i="1"/>
  <c r="U99" i="1"/>
  <c r="U9" i="1"/>
  <c r="U68" i="1"/>
  <c r="U70" i="1"/>
  <c r="U95" i="1"/>
  <c r="BE37" i="2"/>
  <c r="AT37" i="2"/>
  <c r="CF37" i="2" s="1"/>
  <c r="P48" i="2"/>
  <c r="AS78" i="2"/>
  <c r="BN110" i="2"/>
  <c r="BO110" i="2" s="1"/>
  <c r="BP110" i="2"/>
  <c r="BQ110" i="2" s="1"/>
  <c r="BY110" i="2" s="1"/>
  <c r="BP128" i="2"/>
  <c r="BQ128" i="2" s="1"/>
  <c r="BY128" i="2" s="1"/>
  <c r="BN128" i="2"/>
  <c r="BO128" i="2" s="1"/>
  <c r="U7" i="1"/>
  <c r="U80" i="1"/>
  <c r="U6" i="1"/>
  <c r="U16" i="1"/>
  <c r="U63" i="1"/>
  <c r="U65" i="1"/>
  <c r="U75" i="1"/>
  <c r="U3" i="1"/>
  <c r="U31" i="1"/>
  <c r="AS10" i="2"/>
  <c r="BE10" i="2" s="1"/>
  <c r="BF10" i="2" s="1"/>
  <c r="AP11" i="2"/>
  <c r="AP17" i="2"/>
  <c r="P20" i="2"/>
  <c r="BN28" i="2"/>
  <c r="BO28" i="2" s="1"/>
  <c r="BP28" i="2"/>
  <c r="BQ28" i="2" s="1"/>
  <c r="BY28" i="2" s="1"/>
  <c r="AS64" i="2"/>
  <c r="BK83" i="2"/>
  <c r="BL83" i="2" s="1"/>
  <c r="BM83" i="2" s="1"/>
  <c r="AT83" i="2"/>
  <c r="CF83" i="2" s="1"/>
  <c r="T85" i="2"/>
  <c r="AW244" i="2"/>
  <c r="BP101" i="2"/>
  <c r="BQ101" i="2" s="1"/>
  <c r="BY101" i="2" s="1"/>
  <c r="BN101" i="2"/>
  <c r="BO101" i="2" s="1"/>
  <c r="AT124" i="2"/>
  <c r="CF124" i="2" s="1"/>
  <c r="BE124" i="2"/>
  <c r="BF124" i="2" s="1"/>
  <c r="AT132" i="2"/>
  <c r="CF132" i="2" s="1"/>
  <c r="U15" i="1"/>
  <c r="U73" i="1"/>
  <c r="BX30" i="2"/>
  <c r="BP37" i="2"/>
  <c r="BQ37" i="2" s="1"/>
  <c r="BY37" i="2" s="1"/>
  <c r="P24" i="2"/>
  <c r="BE34" i="2"/>
  <c r="AT34" i="2"/>
  <c r="CF34" i="2" s="1"/>
  <c r="P37" i="2"/>
  <c r="BK70" i="2"/>
  <c r="BE70" i="2"/>
  <c r="BF70" i="2" s="1"/>
  <c r="CC70" i="2" s="1"/>
  <c r="AT70" i="2"/>
  <c r="CF70" i="2" s="1"/>
  <c r="BN106" i="2"/>
  <c r="BO106" i="2" s="1"/>
  <c r="BP106" i="2"/>
  <c r="BQ106" i="2" s="1"/>
  <c r="BY106" i="2" s="1"/>
  <c r="BX114" i="2"/>
  <c r="BX121" i="2"/>
  <c r="AR159" i="2"/>
  <c r="T159" i="2"/>
  <c r="AP19" i="2"/>
  <c r="T19" i="2" s="1"/>
  <c r="BL25" i="2"/>
  <c r="BM25" i="2" s="1"/>
  <c r="AS38" i="2"/>
  <c r="BP108" i="2"/>
  <c r="BQ108" i="2" s="1"/>
  <c r="BY108" i="2" s="1"/>
  <c r="AR182" i="2"/>
  <c r="T182" i="2"/>
  <c r="P7" i="2"/>
  <c r="BX14" i="2"/>
  <c r="AT121" i="2"/>
  <c r="CF121" i="2" s="1"/>
  <c r="BK121" i="2"/>
  <c r="BL121" i="2" s="1"/>
  <c r="BM121" i="2" s="1"/>
  <c r="U58" i="1"/>
  <c r="U10" i="1"/>
  <c r="U25" i="1"/>
  <c r="U43" i="1"/>
  <c r="AS41" i="2"/>
  <c r="AS61" i="2"/>
  <c r="U100" i="2"/>
  <c r="AR100" i="2"/>
  <c r="AS104" i="2"/>
  <c r="AT104" i="2" s="1"/>
  <c r="CF104" i="2" s="1"/>
  <c r="N93" i="3"/>
  <c r="N91" i="3" s="1"/>
  <c r="P11" i="2"/>
  <c r="N26" i="3"/>
  <c r="N24" i="3" s="1"/>
  <c r="N28" i="3" s="1"/>
  <c r="AS19" i="2"/>
  <c r="BE19" i="2" s="1"/>
  <c r="BF19" i="2" s="1"/>
  <c r="P34" i="2"/>
  <c r="AW190" i="2"/>
  <c r="BN51" i="2"/>
  <c r="BO51" i="2" s="1"/>
  <c r="AW196" i="2"/>
  <c r="BN95" i="2"/>
  <c r="BO95" i="2" s="1"/>
  <c r="BP95" i="2"/>
  <c r="BQ95" i="2" s="1"/>
  <c r="BY95" i="2" s="1"/>
  <c r="AP97" i="2"/>
  <c r="U97" i="2" s="1"/>
  <c r="P103" i="2"/>
  <c r="BP113" i="2"/>
  <c r="BQ113" i="2" s="1"/>
  <c r="BY113" i="2" s="1"/>
  <c r="BN113" i="2"/>
  <c r="BO113" i="2" s="1"/>
  <c r="BE31" i="2"/>
  <c r="AT31" i="2"/>
  <c r="CF31" i="2" s="1"/>
  <c r="BK32" i="2"/>
  <c r="BL32" i="2" s="1"/>
  <c r="BM32" i="2" s="1"/>
  <c r="BX64" i="2"/>
  <c r="U91" i="2"/>
  <c r="AR91" i="2"/>
  <c r="BN107" i="2"/>
  <c r="BO107" i="2" s="1"/>
  <c r="BP107" i="2"/>
  <c r="BQ107" i="2" s="1"/>
  <c r="BY107" i="2" s="1"/>
  <c r="AS114" i="2"/>
  <c r="AT114" i="2" s="1"/>
  <c r="CF114" i="2" s="1"/>
  <c r="U94" i="1"/>
  <c r="U19" i="1"/>
  <c r="U21" i="1"/>
  <c r="U37" i="1"/>
  <c r="U39" i="1"/>
  <c r="BL18" i="2"/>
  <c r="BM18" i="2" s="1"/>
  <c r="AW216" i="2"/>
  <c r="BN56" i="2"/>
  <c r="BO56" i="2" s="1"/>
  <c r="AT67" i="2"/>
  <c r="CF67" i="2" s="1"/>
  <c r="P79" i="2"/>
  <c r="BE81" i="2"/>
  <c r="BF81" i="2" s="1"/>
  <c r="AT81" i="2"/>
  <c r="CF81" i="2" s="1"/>
  <c r="BK81" i="2"/>
  <c r="BL81" i="2" s="1"/>
  <c r="BM81" i="2" s="1"/>
  <c r="AR87" i="2"/>
  <c r="U87" i="2"/>
  <c r="U88" i="2"/>
  <c r="AR88" i="2"/>
  <c r="BX10" i="2"/>
  <c r="AS12" i="2"/>
  <c r="BK12" i="2" s="1"/>
  <c r="BL12" i="2" s="1"/>
  <c r="BM12" i="2" s="1"/>
  <c r="AP13" i="2"/>
  <c r="BX16" i="2"/>
  <c r="AR49" i="2"/>
  <c r="BX70" i="2"/>
  <c r="U22" i="1"/>
  <c r="U40" i="1"/>
  <c r="U53" i="1"/>
  <c r="U51" i="1"/>
  <c r="U4" i="1"/>
  <c r="U18" i="1"/>
  <c r="U34" i="1"/>
  <c r="U77" i="1"/>
  <c r="U90" i="1"/>
  <c r="BX51" i="2"/>
  <c r="BX57" i="2"/>
  <c r="AP60" i="2"/>
  <c r="AR60" i="2" s="1"/>
  <c r="P61" i="2"/>
  <c r="AP63" i="2"/>
  <c r="AR63" i="2" s="1"/>
  <c r="P64" i="2"/>
  <c r="AP66" i="2"/>
  <c r="P67" i="2"/>
  <c r="AP69" i="2"/>
  <c r="P70" i="2"/>
  <c r="BX77" i="2"/>
  <c r="P78" i="2"/>
  <c r="BL89" i="2"/>
  <c r="BM89" i="2" s="1"/>
  <c r="P104" i="2"/>
  <c r="AS119" i="2"/>
  <c r="BK119" i="2" s="1"/>
  <c r="BL119" i="2" s="1"/>
  <c r="BM119" i="2" s="1"/>
  <c r="BX125" i="2"/>
  <c r="AT153" i="2"/>
  <c r="CF153" i="2" s="1"/>
  <c r="P161" i="2"/>
  <c r="BX164" i="2"/>
  <c r="P166" i="2"/>
  <c r="P179" i="2"/>
  <c r="P236" i="2"/>
  <c r="BX18" i="2"/>
  <c r="P27" i="2"/>
  <c r="AS28" i="2"/>
  <c r="AT28" i="2" s="1"/>
  <c r="CF28" i="2" s="1"/>
  <c r="AP32" i="2"/>
  <c r="AR32" i="2" s="1"/>
  <c r="AY34" i="2"/>
  <c r="AW174" i="2" s="1"/>
  <c r="AX174" i="2" s="1"/>
  <c r="AP44" i="2"/>
  <c r="AS46" i="2"/>
  <c r="BK46" i="2" s="1"/>
  <c r="BL46" i="2" s="1"/>
  <c r="BM46" i="2" s="1"/>
  <c r="AR98" i="2"/>
  <c r="BX132" i="2"/>
  <c r="BN140" i="2"/>
  <c r="BO140" i="2" s="1"/>
  <c r="BX147" i="2"/>
  <c r="BX148" i="2"/>
  <c r="AR150" i="2"/>
  <c r="AP41" i="2"/>
  <c r="AR41" i="2" s="1"/>
  <c r="P43" i="2"/>
  <c r="AP54" i="2"/>
  <c r="AR54" i="2" s="1"/>
  <c r="P58" i="2"/>
  <c r="AS62" i="2"/>
  <c r="AS65" i="2"/>
  <c r="BE65" i="2" s="1"/>
  <c r="BF65" i="2" s="1"/>
  <c r="AS71" i="2"/>
  <c r="AP75" i="2"/>
  <c r="P76" i="2"/>
  <c r="P80" i="2"/>
  <c r="BN89" i="2"/>
  <c r="BO89" i="2" s="1"/>
  <c r="BX96" i="2"/>
  <c r="P99" i="2"/>
  <c r="BX101" i="2"/>
  <c r="BE102" i="2"/>
  <c r="BF102" i="2" s="1"/>
  <c r="AP103" i="2"/>
  <c r="U103" i="2" s="1"/>
  <c r="BX103" i="2"/>
  <c r="AP111" i="2"/>
  <c r="AR111" i="2" s="1"/>
  <c r="P112" i="2"/>
  <c r="AS115" i="2"/>
  <c r="BX116" i="2"/>
  <c r="P124" i="2"/>
  <c r="AP140" i="2"/>
  <c r="AR140" i="2" s="1"/>
  <c r="BX160" i="2"/>
  <c r="AS170" i="2"/>
  <c r="AT170" i="2" s="1"/>
  <c r="CF170" i="2" s="1"/>
  <c r="P196" i="2"/>
  <c r="BN141" i="2"/>
  <c r="BO141" i="2" s="1"/>
  <c r="BP141" i="2"/>
  <c r="BQ141" i="2" s="1"/>
  <c r="BY141" i="2" s="1"/>
  <c r="AP155" i="2"/>
  <c r="P158" i="2"/>
  <c r="AP165" i="2"/>
  <c r="BX165" i="2"/>
  <c r="AS184" i="2"/>
  <c r="AR194" i="2"/>
  <c r="AP205" i="2"/>
  <c r="U205" i="2" s="1"/>
  <c r="AW398" i="2"/>
  <c r="AX398" i="2" s="1"/>
  <c r="BP301" i="2"/>
  <c r="BQ301" i="2" s="1"/>
  <c r="BY301" i="2" s="1"/>
  <c r="BX109" i="2"/>
  <c r="AP127" i="2"/>
  <c r="AR127" i="2" s="1"/>
  <c r="BX128" i="2"/>
  <c r="BX173" i="2"/>
  <c r="BX257" i="2"/>
  <c r="AP16" i="2"/>
  <c r="AR16" i="2" s="1"/>
  <c r="P18" i="2"/>
  <c r="P21" i="2"/>
  <c r="AP22" i="2"/>
  <c r="T22" i="2" s="1"/>
  <c r="P25" i="2"/>
  <c r="AS26" i="2"/>
  <c r="AT26" i="2" s="1"/>
  <c r="CF26" i="2" s="1"/>
  <c r="P28" i="2"/>
  <c r="BL31" i="2"/>
  <c r="BM31" i="2" s="1"/>
  <c r="BX33" i="2"/>
  <c r="AP38" i="2"/>
  <c r="AR38" i="2" s="1"/>
  <c r="P40" i="2"/>
  <c r="AS44" i="2"/>
  <c r="BK44" i="2" s="1"/>
  <c r="BL44" i="2" s="1"/>
  <c r="BM44" i="2" s="1"/>
  <c r="AP50" i="2"/>
  <c r="AS52" i="2"/>
  <c r="BE52" i="2" s="1"/>
  <c r="BF52" i="2" s="1"/>
  <c r="BX53" i="2"/>
  <c r="AS57" i="2"/>
  <c r="BE57" i="2" s="1"/>
  <c r="BF57" i="2" s="1"/>
  <c r="AP67" i="2"/>
  <c r="U67" i="2" s="1"/>
  <c r="AS75" i="2"/>
  <c r="AS77" i="2"/>
  <c r="AT77" i="2" s="1"/>
  <c r="CF77" i="2" s="1"/>
  <c r="AP78" i="2"/>
  <c r="AR78" i="2" s="1"/>
  <c r="BX80" i="2"/>
  <c r="BL84" i="2"/>
  <c r="BM84" i="2" s="1"/>
  <c r="P86" i="2"/>
  <c r="AS93" i="2"/>
  <c r="AT93" i="2" s="1"/>
  <c r="CF93" i="2" s="1"/>
  <c r="P102" i="2"/>
  <c r="AP104" i="2"/>
  <c r="U104" i="2" s="1"/>
  <c r="BP104" i="2"/>
  <c r="BQ104" i="2" s="1"/>
  <c r="BY104" i="2" s="1"/>
  <c r="AP120" i="2"/>
  <c r="AR120" i="2" s="1"/>
  <c r="BX122" i="2"/>
  <c r="AS123" i="2"/>
  <c r="BX123" i="2"/>
  <c r="AS125" i="2"/>
  <c r="BE125" i="2" s="1"/>
  <c r="BF125" i="2" s="1"/>
  <c r="BX130" i="2"/>
  <c r="AX131" i="2"/>
  <c r="AS136" i="2"/>
  <c r="AT136" i="2" s="1"/>
  <c r="CF136" i="2" s="1"/>
  <c r="BX137" i="2"/>
  <c r="BX143" i="2"/>
  <c r="AP144" i="2"/>
  <c r="AR144" i="2" s="1"/>
  <c r="AP162" i="2"/>
  <c r="U162" i="2" s="1"/>
  <c r="P169" i="2"/>
  <c r="P176" i="2"/>
  <c r="AS178" i="2"/>
  <c r="P183" i="2"/>
  <c r="AS193" i="2"/>
  <c r="AT193" i="2" s="1"/>
  <c r="CF193" i="2" s="1"/>
  <c r="P216" i="2"/>
  <c r="AW315" i="2"/>
  <c r="AX315" i="2" s="1"/>
  <c r="BP218" i="2"/>
  <c r="BQ218" i="2" s="1"/>
  <c r="BY218" i="2" s="1"/>
  <c r="BN218" i="2"/>
  <c r="BO218" i="2" s="1"/>
  <c r="BL86" i="2"/>
  <c r="BM86" i="2" s="1"/>
  <c r="BK96" i="2"/>
  <c r="BL96" i="2" s="1"/>
  <c r="BM96" i="2" s="1"/>
  <c r="AT96" i="2"/>
  <c r="CF96" i="2" s="1"/>
  <c r="BE312" i="2"/>
  <c r="BF312" i="2" s="1"/>
  <c r="BG312" i="2" s="1"/>
  <c r="AP58" i="2"/>
  <c r="AP84" i="2"/>
  <c r="AS101" i="2"/>
  <c r="P105" i="2"/>
  <c r="BE108" i="2"/>
  <c r="AS116" i="2"/>
  <c r="BK116" i="2" s="1"/>
  <c r="BL116" i="2" s="1"/>
  <c r="BM116" i="2" s="1"/>
  <c r="BN123" i="2"/>
  <c r="BO123" i="2" s="1"/>
  <c r="BP123" i="2"/>
  <c r="BQ123" i="2" s="1"/>
  <c r="BY123" i="2" s="1"/>
  <c r="AP128" i="2"/>
  <c r="AR128" i="2" s="1"/>
  <c r="AS134" i="2"/>
  <c r="AR168" i="2"/>
  <c r="AP172" i="2"/>
  <c r="BF203" i="2"/>
  <c r="P15" i="2"/>
  <c r="AP20" i="2"/>
  <c r="AS22" i="2"/>
  <c r="BK22" i="2" s="1"/>
  <c r="BL22" i="2" s="1"/>
  <c r="BM22" i="2" s="1"/>
  <c r="BX24" i="2"/>
  <c r="AP31" i="2"/>
  <c r="T31" i="2" s="1"/>
  <c r="AP34" i="2"/>
  <c r="AR34" i="2" s="1"/>
  <c r="P44" i="2"/>
  <c r="BX45" i="2"/>
  <c r="P47" i="2"/>
  <c r="P54" i="2"/>
  <c r="AS55" i="2"/>
  <c r="AP56" i="2"/>
  <c r="P60" i="2"/>
  <c r="P63" i="2"/>
  <c r="P66" i="2"/>
  <c r="P72" i="2"/>
  <c r="AP76" i="2"/>
  <c r="AR76" i="2" s="1"/>
  <c r="P81" i="2"/>
  <c r="BX85" i="2"/>
  <c r="BX86" i="2"/>
  <c r="BX95" i="2"/>
  <c r="AR99" i="2"/>
  <c r="BX113" i="2"/>
  <c r="AR114" i="2"/>
  <c r="AS118" i="2"/>
  <c r="AR118" i="2"/>
  <c r="P154" i="2"/>
  <c r="AP157" i="2"/>
  <c r="U157" i="2" s="1"/>
  <c r="AS166" i="2"/>
  <c r="AT166" i="2" s="1"/>
  <c r="CF166" i="2" s="1"/>
  <c r="AS179" i="2"/>
  <c r="AP191" i="2"/>
  <c r="AR196" i="2"/>
  <c r="AR209" i="2"/>
  <c r="U210" i="2"/>
  <c r="BX214" i="2"/>
  <c r="AS224" i="2"/>
  <c r="AS225" i="2"/>
  <c r="AS226" i="2"/>
  <c r="BE226" i="2" s="1"/>
  <c r="BF226" i="2" s="1"/>
  <c r="AP277" i="2"/>
  <c r="AR277" i="2" s="1"/>
  <c r="AS238" i="2"/>
  <c r="BE238" i="2" s="1"/>
  <c r="BF238" i="2" s="1"/>
  <c r="AR240" i="2"/>
  <c r="U240" i="2"/>
  <c r="AS258" i="2"/>
  <c r="BE258" i="2" s="1"/>
  <c r="BF258" i="2" s="1"/>
  <c r="AP23" i="2"/>
  <c r="AR23" i="2" s="1"/>
  <c r="AP40" i="2"/>
  <c r="BX48" i="2"/>
  <c r="AY50" i="2"/>
  <c r="AW189" i="2" s="1"/>
  <c r="BE84" i="2"/>
  <c r="AT84" i="2"/>
  <c r="CF84" i="2" s="1"/>
  <c r="BX98" i="2"/>
  <c r="BE111" i="2"/>
  <c r="BF111" i="2" s="1"/>
  <c r="BP117" i="2"/>
  <c r="BQ117" i="2" s="1"/>
  <c r="BY117" i="2" s="1"/>
  <c r="AS130" i="2"/>
  <c r="AT130" i="2" s="1"/>
  <c r="CF130" i="2" s="1"/>
  <c r="BN132" i="2"/>
  <c r="BO132" i="2" s="1"/>
  <c r="BP132" i="2"/>
  <c r="BQ132" i="2" s="1"/>
  <c r="BY132" i="2" s="1"/>
  <c r="BP313" i="2"/>
  <c r="BQ313" i="2" s="1"/>
  <c r="BY313" i="2" s="1"/>
  <c r="BN313" i="2"/>
  <c r="BO313" i="2" s="1"/>
  <c r="AS9" i="2"/>
  <c r="P16" i="2"/>
  <c r="AS17" i="2"/>
  <c r="BE17" i="2" s="1"/>
  <c r="BF17" i="2" s="1"/>
  <c r="P19" i="2"/>
  <c r="AS23" i="2"/>
  <c r="AP25" i="2"/>
  <c r="AR25" i="2" s="1"/>
  <c r="AP28" i="2"/>
  <c r="AR28" i="2" s="1"/>
  <c r="BX28" i="2"/>
  <c r="BX29" i="2"/>
  <c r="P30" i="2"/>
  <c r="BX31" i="2"/>
  <c r="BX32" i="2"/>
  <c r="BX34" i="2"/>
  <c r="BX35" i="2"/>
  <c r="P36" i="2"/>
  <c r="AS43" i="2"/>
  <c r="AT43" i="2" s="1"/>
  <c r="CF43" i="2" s="1"/>
  <c r="BX44" i="2"/>
  <c r="BX46" i="2"/>
  <c r="BX54" i="2"/>
  <c r="AS56" i="2"/>
  <c r="AP59" i="2"/>
  <c r="U59" i="2" s="1"/>
  <c r="AP68" i="2"/>
  <c r="U68" i="2" s="1"/>
  <c r="BX74" i="2"/>
  <c r="AP82" i="2"/>
  <c r="AY87" i="2"/>
  <c r="AS88" i="2"/>
  <c r="BN90" i="2"/>
  <c r="BO90" i="2" s="1"/>
  <c r="AP92" i="2"/>
  <c r="U92" i="2" s="1"/>
  <c r="AS97" i="2"/>
  <c r="BK97" i="2" s="1"/>
  <c r="BL97" i="2" s="1"/>
  <c r="BM97" i="2" s="1"/>
  <c r="AS107" i="2"/>
  <c r="BK107" i="2" s="1"/>
  <c r="BL107" i="2" s="1"/>
  <c r="BM107" i="2" s="1"/>
  <c r="AP113" i="2"/>
  <c r="AR113" i="2" s="1"/>
  <c r="P134" i="2"/>
  <c r="AY134" i="2"/>
  <c r="BP134" i="2" s="1"/>
  <c r="BQ134" i="2" s="1"/>
  <c r="BY134" i="2" s="1"/>
  <c r="T150" i="2"/>
  <c r="P151" i="2"/>
  <c r="P167" i="2"/>
  <c r="BX170" i="2"/>
  <c r="P180" i="2"/>
  <c r="BE191" i="2"/>
  <c r="BF191" i="2" s="1"/>
  <c r="AP199" i="2"/>
  <c r="AR199" i="2" s="1"/>
  <c r="AR215" i="2"/>
  <c r="BX267" i="2"/>
  <c r="BX268" i="2"/>
  <c r="P279" i="2"/>
  <c r="AP307" i="2"/>
  <c r="AR307" i="2" s="1"/>
  <c r="AP330" i="2"/>
  <c r="AR330" i="2" s="1"/>
  <c r="AW432" i="2"/>
  <c r="BN335" i="2"/>
  <c r="BO335" i="2" s="1"/>
  <c r="BP335" i="2"/>
  <c r="BQ335" i="2" s="1"/>
  <c r="BY335" i="2" s="1"/>
  <c r="AR390" i="2"/>
  <c r="U390" i="2"/>
  <c r="BE461" i="2"/>
  <c r="BF461" i="2" s="1"/>
  <c r="BJ461" i="2" s="1"/>
  <c r="AP200" i="2"/>
  <c r="AR200" i="2" s="1"/>
  <c r="BX235" i="2"/>
  <c r="AP246" i="2"/>
  <c r="U246" i="2" s="1"/>
  <c r="P272" i="2"/>
  <c r="BX278" i="2"/>
  <c r="BX280" i="2"/>
  <c r="BX296" i="2"/>
  <c r="AR316" i="2"/>
  <c r="AR361" i="2"/>
  <c r="BE407" i="2"/>
  <c r="BF407" i="2" s="1"/>
  <c r="AT407" i="2"/>
  <c r="CF407" i="2" s="1"/>
  <c r="BE452" i="2"/>
  <c r="BF452" i="2" s="1"/>
  <c r="AT452" i="2"/>
  <c r="CF452" i="2" s="1"/>
  <c r="P148" i="2"/>
  <c r="BX156" i="2"/>
  <c r="AP161" i="2"/>
  <c r="T161" i="2" s="1"/>
  <c r="BX161" i="2"/>
  <c r="BX172" i="2"/>
  <c r="BX182" i="2"/>
  <c r="P184" i="2"/>
  <c r="BF185" i="2"/>
  <c r="AS205" i="2"/>
  <c r="AT205" i="2" s="1"/>
  <c r="CF205" i="2" s="1"/>
  <c r="P209" i="2"/>
  <c r="AS211" i="2"/>
  <c r="AT211" i="2" s="1"/>
  <c r="CF211" i="2" s="1"/>
  <c r="AP214" i="2"/>
  <c r="U214" i="2" s="1"/>
  <c r="BX215" i="2"/>
  <c r="AP221" i="2"/>
  <c r="U222" i="2"/>
  <c r="AP234" i="2"/>
  <c r="BX236" i="2"/>
  <c r="P238" i="2"/>
  <c r="AP241" i="2"/>
  <c r="U241" i="2" s="1"/>
  <c r="P242" i="2"/>
  <c r="P243" i="2"/>
  <c r="AP247" i="2"/>
  <c r="U247" i="2" s="1"/>
  <c r="AS256" i="2"/>
  <c r="AT256" i="2" s="1"/>
  <c r="CF256" i="2" s="1"/>
  <c r="AP258" i="2"/>
  <c r="T258" i="2" s="1"/>
  <c r="BX258" i="2"/>
  <c r="BX259" i="2"/>
  <c r="P273" i="2"/>
  <c r="AS276" i="2"/>
  <c r="AR280" i="2"/>
  <c r="P288" i="2"/>
  <c r="AP318" i="2"/>
  <c r="AP324" i="2"/>
  <c r="AP332" i="2"/>
  <c r="U332" i="2" s="1"/>
  <c r="T343" i="2"/>
  <c r="AR343" i="2"/>
  <c r="AS398" i="2"/>
  <c r="AT398" i="2" s="1"/>
  <c r="CF398" i="2" s="1"/>
  <c r="AT450" i="2"/>
  <c r="CF450" i="2" s="1"/>
  <c r="BE450" i="2"/>
  <c r="BF450" i="2" s="1"/>
  <c r="AR235" i="2"/>
  <c r="U235" i="2"/>
  <c r="BX283" i="2"/>
  <c r="U331" i="2"/>
  <c r="AR331" i="2"/>
  <c r="BE410" i="2"/>
  <c r="BF410" i="2" s="1"/>
  <c r="AT410" i="2"/>
  <c r="CF410" i="2" s="1"/>
  <c r="BE436" i="2"/>
  <c r="BF436" i="2" s="1"/>
  <c r="CC436" i="2" s="1"/>
  <c r="AT436" i="2"/>
  <c r="CF436" i="2" s="1"/>
  <c r="AS206" i="2"/>
  <c r="BX230" i="2"/>
  <c r="AP236" i="2"/>
  <c r="BX250" i="2"/>
  <c r="AS268" i="2"/>
  <c r="AP282" i="2"/>
  <c r="AP286" i="2"/>
  <c r="T286" i="2" s="1"/>
  <c r="BX287" i="2"/>
  <c r="AS303" i="2"/>
  <c r="AT303" i="2" s="1"/>
  <c r="CF303" i="2" s="1"/>
  <c r="AW419" i="2"/>
  <c r="AX419" i="2" s="1"/>
  <c r="BN322" i="2"/>
  <c r="BO322" i="2" s="1"/>
  <c r="AW506" i="2"/>
  <c r="AX506" i="2" s="1"/>
  <c r="BN409" i="2"/>
  <c r="BO409" i="2" s="1"/>
  <c r="BP409" i="2"/>
  <c r="BQ409" i="2" s="1"/>
  <c r="BY409" i="2" s="1"/>
  <c r="AS74" i="2"/>
  <c r="AP81" i="2"/>
  <c r="AP86" i="2"/>
  <c r="P92" i="2"/>
  <c r="AY93" i="2"/>
  <c r="AW205" i="2" s="1"/>
  <c r="AP94" i="2"/>
  <c r="U94" i="2" s="1"/>
  <c r="AS100" i="2"/>
  <c r="BE100" i="2" s="1"/>
  <c r="BF100" i="2" s="1"/>
  <c r="AP101" i="2"/>
  <c r="AP117" i="2"/>
  <c r="AR117" i="2" s="1"/>
  <c r="BX134" i="2"/>
  <c r="BX135" i="2"/>
  <c r="AY147" i="2"/>
  <c r="AS149" i="2"/>
  <c r="BX158" i="2"/>
  <c r="AS161" i="2"/>
  <c r="AS172" i="2"/>
  <c r="AT172" i="2" s="1"/>
  <c r="CF172" i="2" s="1"/>
  <c r="AS173" i="2"/>
  <c r="AT173" i="2" s="1"/>
  <c r="CF173" i="2" s="1"/>
  <c r="AP174" i="2"/>
  <c r="AR174" i="2" s="1"/>
  <c r="P175" i="2"/>
  <c r="BX184" i="2"/>
  <c r="P199" i="2"/>
  <c r="AP203" i="2"/>
  <c r="AR203" i="2" s="1"/>
  <c r="P211" i="2"/>
  <c r="AP217" i="2"/>
  <c r="AR217" i="2" s="1"/>
  <c r="AP237" i="2"/>
  <c r="BX238" i="2"/>
  <c r="P245" i="2"/>
  <c r="P256" i="2"/>
  <c r="AP261" i="2"/>
  <c r="T261" i="2" s="1"/>
  <c r="AS281" i="2"/>
  <c r="AT281" i="2" s="1"/>
  <c r="CF281" i="2" s="1"/>
  <c r="AS297" i="2"/>
  <c r="AT297" i="2" s="1"/>
  <c r="CF297" i="2" s="1"/>
  <c r="AR297" i="2"/>
  <c r="P308" i="2"/>
  <c r="AP314" i="2"/>
  <c r="U314" i="2" s="1"/>
  <c r="AP319" i="2"/>
  <c r="T346" i="2"/>
  <c r="AR346" i="2"/>
  <c r="BE439" i="2"/>
  <c r="BF439" i="2" s="1"/>
  <c r="BJ439" i="2" s="1"/>
  <c r="AT439" i="2"/>
  <c r="CF439" i="2" s="1"/>
  <c r="BP233" i="2"/>
  <c r="BQ233" i="2" s="1"/>
  <c r="BY233" i="2" s="1"/>
  <c r="BX253" i="2"/>
  <c r="U325" i="2"/>
  <c r="AR325" i="2"/>
  <c r="AP185" i="2"/>
  <c r="U185" i="2" s="1"/>
  <c r="BX190" i="2"/>
  <c r="BX194" i="2"/>
  <c r="AP232" i="2"/>
  <c r="AR232" i="2" s="1"/>
  <c r="BX243" i="2"/>
  <c r="BX262" i="2"/>
  <c r="BX263" i="2"/>
  <c r="BX264" i="2"/>
  <c r="BX315" i="2"/>
  <c r="BX328" i="2"/>
  <c r="AT357" i="2"/>
  <c r="CF357" i="2" s="1"/>
  <c r="BX360" i="2"/>
  <c r="BX91" i="2"/>
  <c r="BX92" i="2"/>
  <c r="P98" i="2"/>
  <c r="AS103" i="2"/>
  <c r="AP105" i="2"/>
  <c r="P111" i="2"/>
  <c r="AS117" i="2"/>
  <c r="BX117" i="2"/>
  <c r="AP126" i="2"/>
  <c r="AR126" i="2" s="1"/>
  <c r="AP134" i="2"/>
  <c r="AR134" i="2" s="1"/>
  <c r="AS139" i="2"/>
  <c r="BK139" i="2" s="1"/>
  <c r="BL139" i="2" s="1"/>
  <c r="BM139" i="2" s="1"/>
  <c r="BX140" i="2"/>
  <c r="AP141" i="2"/>
  <c r="AR141" i="2" s="1"/>
  <c r="AP151" i="2"/>
  <c r="U151" i="2" s="1"/>
  <c r="P156" i="2"/>
  <c r="AP166" i="2"/>
  <c r="AP167" i="2"/>
  <c r="BX167" i="2"/>
  <c r="P177" i="2"/>
  <c r="AP193" i="2"/>
  <c r="AS197" i="2"/>
  <c r="AT197" i="2" s="1"/>
  <c r="CF197" i="2" s="1"/>
  <c r="AP198" i="2"/>
  <c r="U198" i="2" s="1"/>
  <c r="P202" i="2"/>
  <c r="P207" i="2"/>
  <c r="AP226" i="2"/>
  <c r="U226" i="2" s="1"/>
  <c r="AS231" i="2"/>
  <c r="AT231" i="2" s="1"/>
  <c r="CF231" i="2" s="1"/>
  <c r="AP239" i="2"/>
  <c r="U239" i="2" s="1"/>
  <c r="BX244" i="2"/>
  <c r="P247" i="2"/>
  <c r="AS251" i="2"/>
  <c r="AP252" i="2"/>
  <c r="AP253" i="2"/>
  <c r="BX255" i="2"/>
  <c r="P271" i="2"/>
  <c r="P318" i="2"/>
  <c r="BX329" i="2"/>
  <c r="AR334" i="2"/>
  <c r="AT434" i="2"/>
  <c r="CF434" i="2" s="1"/>
  <c r="BK434" i="2"/>
  <c r="BE434" i="2"/>
  <c r="BF434" i="2" s="1"/>
  <c r="BX293" i="2"/>
  <c r="T306" i="2"/>
  <c r="AR306" i="2"/>
  <c r="AP322" i="2"/>
  <c r="BX322" i="2"/>
  <c r="AP329" i="2"/>
  <c r="BE404" i="2"/>
  <c r="BF404" i="2" s="1"/>
  <c r="BI404" i="2" s="1"/>
  <c r="AT404" i="2"/>
  <c r="CF404" i="2" s="1"/>
  <c r="BE419" i="2"/>
  <c r="AT419" i="2"/>
  <c r="CF419" i="2" s="1"/>
  <c r="BX325" i="2"/>
  <c r="AS337" i="2"/>
  <c r="AP339" i="2"/>
  <c r="AS359" i="2"/>
  <c r="BX373" i="2"/>
  <c r="P375" i="2"/>
  <c r="AS388" i="2"/>
  <c r="BE388" i="2" s="1"/>
  <c r="BF388" i="2" s="1"/>
  <c r="BX389" i="2"/>
  <c r="BX403" i="2"/>
  <c r="BX418" i="2"/>
  <c r="AS424" i="2"/>
  <c r="AT424" i="2" s="1"/>
  <c r="CF424" i="2" s="1"/>
  <c r="BP425" i="2"/>
  <c r="BQ425" i="2" s="1"/>
  <c r="BY425" i="2" s="1"/>
  <c r="AP492" i="2"/>
  <c r="BE543" i="2"/>
  <c r="BF543" i="2" s="1"/>
  <c r="AT543" i="2"/>
  <c r="CF543" i="2" s="1"/>
  <c r="AQ545" i="2"/>
  <c r="U545" i="2"/>
  <c r="AP300" i="2"/>
  <c r="BX304" i="2"/>
  <c r="AP308" i="2"/>
  <c r="AS310" i="2"/>
  <c r="BE310" i="2" s="1"/>
  <c r="BF310" i="2" s="1"/>
  <c r="AS317" i="2"/>
  <c r="BE317" i="2" s="1"/>
  <c r="BF317" i="2" s="1"/>
  <c r="BX323" i="2"/>
  <c r="AR328" i="2"/>
  <c r="AS331" i="2"/>
  <c r="AP335" i="2"/>
  <c r="AR335" i="2" s="1"/>
  <c r="AS338" i="2"/>
  <c r="P342" i="2"/>
  <c r="P346" i="2"/>
  <c r="AP348" i="2"/>
  <c r="AS351" i="2"/>
  <c r="BE351" i="2" s="1"/>
  <c r="BF351" i="2" s="1"/>
  <c r="BX352" i="2"/>
  <c r="P385" i="2"/>
  <c r="AS389" i="2"/>
  <c r="AT389" i="2" s="1"/>
  <c r="CF389" i="2" s="1"/>
  <c r="P472" i="2"/>
  <c r="P473" i="2"/>
  <c r="BX414" i="2"/>
  <c r="BX442" i="2"/>
  <c r="AP454" i="2"/>
  <c r="AS456" i="2"/>
  <c r="BE456" i="2" s="1"/>
  <c r="BF456" i="2" s="1"/>
  <c r="AP487" i="2"/>
  <c r="U487" i="2" s="1"/>
  <c r="P490" i="2"/>
  <c r="AR519" i="2"/>
  <c r="BX285" i="2"/>
  <c r="AS299" i="2"/>
  <c r="AP304" i="2"/>
  <c r="U304" i="2" s="1"/>
  <c r="AS311" i="2"/>
  <c r="AS320" i="2"/>
  <c r="BE320" i="2" s="1"/>
  <c r="BF320" i="2" s="1"/>
  <c r="BX326" i="2"/>
  <c r="BX332" i="2"/>
  <c r="BX348" i="2"/>
  <c r="AR404" i="2"/>
  <c r="BX415" i="2"/>
  <c r="P423" i="2"/>
  <c r="BE476" i="2"/>
  <c r="BF476" i="2" s="1"/>
  <c r="BX206" i="2"/>
  <c r="P208" i="2"/>
  <c r="AS217" i="2"/>
  <c r="P220" i="2"/>
  <c r="P226" i="2"/>
  <c r="BX227" i="2"/>
  <c r="P235" i="2"/>
  <c r="P251" i="2"/>
  <c r="AS253" i="2"/>
  <c r="AS254" i="2"/>
  <c r="AP264" i="2"/>
  <c r="P267" i="2"/>
  <c r="AS271" i="2"/>
  <c r="AP272" i="2"/>
  <c r="AS296" i="2"/>
  <c r="P303" i="2"/>
  <c r="AS308" i="2"/>
  <c r="P310" i="2"/>
  <c r="P317" i="2"/>
  <c r="P325" i="2"/>
  <c r="P331" i="2"/>
  <c r="AS335" i="2"/>
  <c r="P337" i="2"/>
  <c r="AP341" i="2"/>
  <c r="BX341" i="2"/>
  <c r="AP345" i="2"/>
  <c r="BX345" i="2"/>
  <c r="BX349" i="2"/>
  <c r="P355" i="2"/>
  <c r="AP367" i="2"/>
  <c r="AR367" i="2" s="1"/>
  <c r="BX375" i="2"/>
  <c r="BX384" i="2"/>
  <c r="BD412" i="2"/>
  <c r="P452" i="2"/>
  <c r="AP466" i="2"/>
  <c r="T466" i="2" s="1"/>
  <c r="BX483" i="2"/>
  <c r="P486" i="2"/>
  <c r="AS504" i="2"/>
  <c r="AP506" i="2"/>
  <c r="AR506" i="2" s="1"/>
  <c r="AR508" i="2"/>
  <c r="U508" i="2"/>
  <c r="P182" i="2"/>
  <c r="AS200" i="2"/>
  <c r="AS201" i="2"/>
  <c r="AP202" i="2"/>
  <c r="BX202" i="2"/>
  <c r="AP206" i="2"/>
  <c r="AP207" i="2"/>
  <c r="AR207" i="2" s="1"/>
  <c r="AP211" i="2"/>
  <c r="AP213" i="2"/>
  <c r="AR213" i="2" s="1"/>
  <c r="AP219" i="2"/>
  <c r="AR219" i="2" s="1"/>
  <c r="BX223" i="2"/>
  <c r="BX224" i="2"/>
  <c r="AP227" i="2"/>
  <c r="U227" i="2" s="1"/>
  <c r="P232" i="2"/>
  <c r="AP238" i="2"/>
  <c r="P241" i="2"/>
  <c r="AP248" i="2"/>
  <c r="AP249" i="2"/>
  <c r="P252" i="2"/>
  <c r="P261" i="2"/>
  <c r="P270" i="2"/>
  <c r="AP279" i="2"/>
  <c r="AR279" i="2" s="1"/>
  <c r="AP285" i="2"/>
  <c r="AS289" i="2"/>
  <c r="BE289" i="2" s="1"/>
  <c r="BF289" i="2" s="1"/>
  <c r="AP290" i="2"/>
  <c r="AR290" i="2" s="1"/>
  <c r="AP291" i="2"/>
  <c r="AR291" i="2" s="1"/>
  <c r="BX291" i="2"/>
  <c r="BX292" i="2"/>
  <c r="AS301" i="2"/>
  <c r="BE301" i="2" s="1"/>
  <c r="BF301" i="2" s="1"/>
  <c r="BX302" i="2"/>
  <c r="AS304" i="2"/>
  <c r="AR309" i="2"/>
  <c r="P311" i="2"/>
  <c r="P313" i="2"/>
  <c r="P320" i="2"/>
  <c r="AS326" i="2"/>
  <c r="AT326" i="2" s="1"/>
  <c r="CF326" i="2" s="1"/>
  <c r="P364" i="2"/>
  <c r="AS367" i="2"/>
  <c r="P379" i="2"/>
  <c r="P380" i="2"/>
  <c r="AS399" i="2"/>
  <c r="BK399" i="2" s="1"/>
  <c r="BX399" i="2"/>
  <c r="P413" i="2"/>
  <c r="AW511" i="2"/>
  <c r="AX511" i="2" s="1"/>
  <c r="BN414" i="2"/>
  <c r="BO414" i="2" s="1"/>
  <c r="AS430" i="2"/>
  <c r="AT430" i="2" s="1"/>
  <c r="CF430" i="2" s="1"/>
  <c r="P434" i="2"/>
  <c r="P463" i="2"/>
  <c r="AS465" i="2"/>
  <c r="AT465" i="2" s="1"/>
  <c r="CF465" i="2" s="1"/>
  <c r="AS482" i="2"/>
  <c r="AT482" i="2" s="1"/>
  <c r="CF482" i="2" s="1"/>
  <c r="AP483" i="2"/>
  <c r="BX498" i="2"/>
  <c r="BX330" i="2"/>
  <c r="AP336" i="2"/>
  <c r="AS345" i="2"/>
  <c r="P348" i="2"/>
  <c r="P397" i="2"/>
  <c r="AR416" i="2"/>
  <c r="AR490" i="2"/>
  <c r="U490" i="2"/>
  <c r="BX412" i="2"/>
  <c r="P479" i="2"/>
  <c r="AP498" i="2"/>
  <c r="AR498" i="2" s="1"/>
  <c r="AP499" i="2"/>
  <c r="BE586" i="2"/>
  <c r="BF586" i="2" s="1"/>
  <c r="AT586" i="2"/>
  <c r="CF586" i="2" s="1"/>
  <c r="P218" i="2"/>
  <c r="AP224" i="2"/>
  <c r="AS228" i="2"/>
  <c r="AT228" i="2" s="1"/>
  <c r="CF228" i="2" s="1"/>
  <c r="AP229" i="2"/>
  <c r="P233" i="2"/>
  <c r="AS242" i="2"/>
  <c r="AP243" i="2"/>
  <c r="P246" i="2"/>
  <c r="AS249" i="2"/>
  <c r="BE249" i="2" s="1"/>
  <c r="BF249" i="2" s="1"/>
  <c r="AP260" i="2"/>
  <c r="U260" i="2" s="1"/>
  <c r="AP267" i="2"/>
  <c r="T267" i="2" s="1"/>
  <c r="AP269" i="2"/>
  <c r="U269" i="2" s="1"/>
  <c r="AS273" i="2"/>
  <c r="P282" i="2"/>
  <c r="BX298" i="2"/>
  <c r="P304" i="2"/>
  <c r="BX310" i="2"/>
  <c r="BX319" i="2"/>
  <c r="P321" i="2"/>
  <c r="P326" i="2"/>
  <c r="AP359" i="2"/>
  <c r="AS376" i="2"/>
  <c r="BE376" i="2" s="1"/>
  <c r="BF376" i="2" s="1"/>
  <c r="BG376" i="2" s="1"/>
  <c r="BX378" i="2"/>
  <c r="AS391" i="2"/>
  <c r="BE391" i="2" s="1"/>
  <c r="BF391" i="2" s="1"/>
  <c r="AP392" i="2"/>
  <c r="U392" i="2" s="1"/>
  <c r="P394" i="2"/>
  <c r="AW496" i="2"/>
  <c r="AX496" i="2" s="1"/>
  <c r="BP399" i="2"/>
  <c r="BQ399" i="2" s="1"/>
  <c r="BY399" i="2" s="1"/>
  <c r="AP411" i="2"/>
  <c r="U411" i="2" s="1"/>
  <c r="BE416" i="2"/>
  <c r="AT416" i="2"/>
  <c r="CF416" i="2" s="1"/>
  <c r="AR438" i="2"/>
  <c r="AS444" i="2"/>
  <c r="BE467" i="2"/>
  <c r="BF467" i="2" s="1"/>
  <c r="BG467" i="2" s="1"/>
  <c r="AT467" i="2"/>
  <c r="CF467" i="2" s="1"/>
  <c r="BX477" i="2"/>
  <c r="BX531" i="2"/>
  <c r="AP268" i="2"/>
  <c r="T268" i="2" s="1"/>
  <c r="AP275" i="2"/>
  <c r="AS286" i="2"/>
  <c r="BE286" i="2" s="1"/>
  <c r="BF286" i="2" s="1"/>
  <c r="P289" i="2"/>
  <c r="AS302" i="2"/>
  <c r="AT302" i="2" s="1"/>
  <c r="CF302" i="2" s="1"/>
  <c r="BX317" i="2"/>
  <c r="AR337" i="2"/>
  <c r="P341" i="2"/>
  <c r="AR376" i="2"/>
  <c r="AP378" i="2"/>
  <c r="T378" i="2" s="1"/>
  <c r="AS426" i="2"/>
  <c r="AP427" i="2"/>
  <c r="AP456" i="2"/>
  <c r="T456" i="2" s="1"/>
  <c r="BX463" i="2"/>
  <c r="AS475" i="2"/>
  <c r="AT475" i="2" s="1"/>
  <c r="CF475" i="2" s="1"/>
  <c r="AR476" i="2"/>
  <c r="T478" i="2"/>
  <c r="BX478" i="2"/>
  <c r="AW488" i="2"/>
  <c r="AX488" i="2" s="1"/>
  <c r="BP391" i="2"/>
  <c r="BQ391" i="2" s="1"/>
  <c r="BY391" i="2" s="1"/>
  <c r="AT405" i="2"/>
  <c r="CF405" i="2" s="1"/>
  <c r="BE405" i="2"/>
  <c r="BF405" i="2" s="1"/>
  <c r="BG405" i="2" s="1"/>
  <c r="AT433" i="2"/>
  <c r="CF433" i="2" s="1"/>
  <c r="AW535" i="2"/>
  <c r="BP438" i="2"/>
  <c r="BQ438" i="2" s="1"/>
  <c r="BY438" i="2" s="1"/>
  <c r="AO558" i="2"/>
  <c r="BX590" i="2"/>
  <c r="BX562" i="2"/>
  <c r="BX570" i="2"/>
  <c r="BX512" i="2"/>
  <c r="BX518" i="2"/>
  <c r="BX527" i="2"/>
  <c r="AO663" i="2"/>
  <c r="AQ547" i="2"/>
  <c r="BX565" i="2"/>
  <c r="P520" i="2"/>
  <c r="AP532" i="2"/>
  <c r="U532" i="2" s="1"/>
  <c r="AO542" i="2"/>
  <c r="AP542" i="2" s="1"/>
  <c r="AP564" i="2"/>
  <c r="T564" i="2" s="1"/>
  <c r="AQ579" i="2"/>
  <c r="U579" i="2"/>
  <c r="AS598" i="2"/>
  <c r="AS601" i="2"/>
  <c r="AS602" i="2"/>
  <c r="CC607" i="2"/>
  <c r="AS575" i="2"/>
  <c r="BE575" i="2" s="1"/>
  <c r="AS606" i="2"/>
  <c r="BD606" i="2"/>
  <c r="BX337" i="2"/>
  <c r="P339" i="2"/>
  <c r="BX369" i="2"/>
  <c r="AS373" i="2"/>
  <c r="BE373" i="2" s="1"/>
  <c r="BF373" i="2" s="1"/>
  <c r="P376" i="2"/>
  <c r="AS384" i="2"/>
  <c r="P388" i="2"/>
  <c r="P389" i="2"/>
  <c r="AP396" i="2"/>
  <c r="BX406" i="2"/>
  <c r="AS422" i="2"/>
  <c r="BK422" i="2" s="1"/>
  <c r="BL422" i="2" s="1"/>
  <c r="BM422" i="2" s="1"/>
  <c r="AP429" i="2"/>
  <c r="P439" i="2"/>
  <c r="AS440" i="2"/>
  <c r="AT440" i="2" s="1"/>
  <c r="CF440" i="2" s="1"/>
  <c r="P445" i="2"/>
  <c r="AS458" i="2"/>
  <c r="BE458" i="2" s="1"/>
  <c r="BF458" i="2" s="1"/>
  <c r="CC458" i="2" s="1"/>
  <c r="P461" i="2"/>
  <c r="AP463" i="2"/>
  <c r="AP467" i="2"/>
  <c r="T467" i="2" s="1"/>
  <c r="BX467" i="2"/>
  <c r="AP471" i="2"/>
  <c r="T471" i="2" s="1"/>
  <c r="BX472" i="2"/>
  <c r="P474" i="2"/>
  <c r="P481" i="2"/>
  <c r="AS498" i="2"/>
  <c r="AT498" i="2" s="1"/>
  <c r="CF498" i="2" s="1"/>
  <c r="AS507" i="2"/>
  <c r="BE507" i="2" s="1"/>
  <c r="BF507" i="2" s="1"/>
  <c r="AS508" i="2"/>
  <c r="AP516" i="2"/>
  <c r="AR516" i="2" s="1"/>
  <c r="U519" i="2"/>
  <c r="AP528" i="2"/>
  <c r="AS531" i="2"/>
  <c r="P536" i="2"/>
  <c r="AO714" i="2"/>
  <c r="AP714" i="2" s="1"/>
  <c r="U559" i="2"/>
  <c r="AP571" i="2"/>
  <c r="AQ597" i="2"/>
  <c r="T597" i="2"/>
  <c r="AO500" i="2"/>
  <c r="AP500" i="2" s="1"/>
  <c r="U500" i="2" s="1"/>
  <c r="AO544" i="2"/>
  <c r="AP544" i="2" s="1"/>
  <c r="BX545" i="2"/>
  <c r="BX556" i="2"/>
  <c r="BE565" i="2"/>
  <c r="AT565" i="2"/>
  <c r="CF565" i="2" s="1"/>
  <c r="BE611" i="2"/>
  <c r="AT611" i="2"/>
  <c r="CF611" i="2" s="1"/>
  <c r="BX353" i="2"/>
  <c r="BX357" i="2"/>
  <c r="AS360" i="2"/>
  <c r="P367" i="2"/>
  <c r="AS369" i="2"/>
  <c r="AP379" i="2"/>
  <c r="T379" i="2" s="1"/>
  <c r="BX390" i="2"/>
  <c r="AP393" i="2"/>
  <c r="U393" i="2" s="1"/>
  <c r="BX397" i="2"/>
  <c r="P399" i="2"/>
  <c r="AP401" i="2"/>
  <c r="U401" i="2" s="1"/>
  <c r="AP407" i="2"/>
  <c r="U407" i="2" s="1"/>
  <c r="AS415" i="2"/>
  <c r="AS420" i="2"/>
  <c r="AT420" i="2" s="1"/>
  <c r="CF420" i="2" s="1"/>
  <c r="AS429" i="2"/>
  <c r="P431" i="2"/>
  <c r="AS438" i="2"/>
  <c r="BE438" i="2" s="1"/>
  <c r="BX438" i="2"/>
  <c r="AS442" i="2"/>
  <c r="BX447" i="2"/>
  <c r="AS451" i="2"/>
  <c r="AP459" i="2"/>
  <c r="AR459" i="2" s="1"/>
  <c r="BX460" i="2"/>
  <c r="AS466" i="2"/>
  <c r="AT466" i="2" s="1"/>
  <c r="CF466" i="2" s="1"/>
  <c r="AP479" i="2"/>
  <c r="AS484" i="2"/>
  <c r="AT484" i="2" s="1"/>
  <c r="CF484" i="2" s="1"/>
  <c r="AP486" i="2"/>
  <c r="U486" i="2" s="1"/>
  <c r="AP489" i="2"/>
  <c r="P492" i="2"/>
  <c r="AS500" i="2"/>
  <c r="AP501" i="2"/>
  <c r="BX503" i="2"/>
  <c r="AS512" i="2"/>
  <c r="AT512" i="2" s="1"/>
  <c r="CF512" i="2" s="1"/>
  <c r="BE515" i="2"/>
  <c r="BF515" i="2" s="1"/>
  <c r="AS518" i="2"/>
  <c r="BE518" i="2" s="1"/>
  <c r="BF518" i="2" s="1"/>
  <c r="AS527" i="2"/>
  <c r="P530" i="2"/>
  <c r="AQ544" i="2"/>
  <c r="P549" i="2"/>
  <c r="AP555" i="2"/>
  <c r="AR555" i="2" s="1"/>
  <c r="U569" i="2"/>
  <c r="AO569" i="2"/>
  <c r="AP569" i="2" s="1"/>
  <c r="AP570" i="2"/>
  <c r="AO652" i="2"/>
  <c r="AP652" i="2" s="1"/>
  <c r="AO576" i="2"/>
  <c r="AP576" i="2" s="1"/>
  <c r="T576" i="2" s="1"/>
  <c r="AQ577" i="2"/>
  <c r="AO577" i="2"/>
  <c r="AP577" i="2" s="1"/>
  <c r="U577" i="2"/>
  <c r="AQ596" i="2"/>
  <c r="AO667" i="2"/>
  <c r="AO596" i="2"/>
  <c r="T596" i="2"/>
  <c r="U565" i="2"/>
  <c r="AO565" i="2"/>
  <c r="AP565" i="2" s="1"/>
  <c r="T565" i="2" s="1"/>
  <c r="BE568" i="2"/>
  <c r="P373" i="2"/>
  <c r="AS379" i="2"/>
  <c r="AT379" i="2" s="1"/>
  <c r="CF379" i="2" s="1"/>
  <c r="BX381" i="2"/>
  <c r="AS393" i="2"/>
  <c r="BE393" i="2" s="1"/>
  <c r="BF393" i="2" s="1"/>
  <c r="AP395" i="2"/>
  <c r="U395" i="2" s="1"/>
  <c r="AP398" i="2"/>
  <c r="AR398" i="2" s="1"/>
  <c r="AS400" i="2"/>
  <c r="P408" i="2"/>
  <c r="BX409" i="2"/>
  <c r="P411" i="2"/>
  <c r="AP436" i="2"/>
  <c r="U436" i="2" s="1"/>
  <c r="BX469" i="2"/>
  <c r="AS485" i="2"/>
  <c r="P487" i="2"/>
  <c r="BX497" i="2"/>
  <c r="P498" i="2"/>
  <c r="P499" i="2"/>
  <c r="AS509" i="2"/>
  <c r="BX510" i="2"/>
  <c r="P511" i="2"/>
  <c r="AP524" i="2"/>
  <c r="AP525" i="2"/>
  <c r="AR529" i="2"/>
  <c r="AS535" i="2"/>
  <c r="AS555" i="2"/>
  <c r="AP568" i="2"/>
  <c r="AO567" i="2"/>
  <c r="AP567" i="2" s="1"/>
  <c r="U567" i="2"/>
  <c r="BX367" i="2"/>
  <c r="AS371" i="2"/>
  <c r="AP383" i="2"/>
  <c r="AS394" i="2"/>
  <c r="AS397" i="2"/>
  <c r="AP410" i="2"/>
  <c r="P420" i="2"/>
  <c r="BX426" i="2"/>
  <c r="BX427" i="2"/>
  <c r="P443" i="2"/>
  <c r="P451" i="2"/>
  <c r="AS460" i="2"/>
  <c r="BX461" i="2"/>
  <c r="P466" i="2"/>
  <c r="AP468" i="2"/>
  <c r="AS473" i="2"/>
  <c r="AT473" i="2" s="1"/>
  <c r="CF473" i="2" s="1"/>
  <c r="P512" i="2"/>
  <c r="AS514" i="2"/>
  <c r="BE514" i="2" s="1"/>
  <c r="AP515" i="2"/>
  <c r="BX517" i="2"/>
  <c r="P518" i="2"/>
  <c r="AS523" i="2"/>
  <c r="AT523" i="2" s="1"/>
  <c r="CF523" i="2" s="1"/>
  <c r="BX539" i="2"/>
  <c r="AO550" i="2"/>
  <c r="AP550" i="2" s="1"/>
  <c r="BX552" i="2"/>
  <c r="AO662" i="2"/>
  <c r="AP662" i="2" s="1"/>
  <c r="U553" i="2"/>
  <c r="P565" i="2"/>
  <c r="AT613" i="2"/>
  <c r="CF613" i="2" s="1"/>
  <c r="BE613" i="2"/>
  <c r="BF613" i="2" s="1"/>
  <c r="BX617" i="2"/>
  <c r="AW731" i="2"/>
  <c r="BP637" i="2"/>
  <c r="BQ637" i="2" s="1"/>
  <c r="BY637" i="2" s="1"/>
  <c r="BE636" i="2"/>
  <c r="AW780" i="2"/>
  <c r="AX780" i="2" s="1"/>
  <c r="BN675" i="2"/>
  <c r="BO675" i="2" s="1"/>
  <c r="BP675" i="2"/>
  <c r="BQ675" i="2" s="1"/>
  <c r="BY675" i="2" s="1"/>
  <c r="BX582" i="2"/>
  <c r="AO677" i="2"/>
  <c r="T601" i="2"/>
  <c r="P620" i="2"/>
  <c r="BE634" i="2"/>
  <c r="BF634" i="2" s="1"/>
  <c r="BJ634" i="2" s="1"/>
  <c r="AT634" i="2"/>
  <c r="CF634" i="2" s="1"/>
  <c r="BE635" i="2"/>
  <c r="BF635" i="2" s="1"/>
  <c r="AT635" i="2"/>
  <c r="CF635" i="2" s="1"/>
  <c r="AT607" i="2"/>
  <c r="CF607" i="2" s="1"/>
  <c r="BE638" i="2"/>
  <c r="AP432" i="2"/>
  <c r="P442" i="2"/>
  <c r="P447" i="2"/>
  <c r="AP449" i="2"/>
  <c r="P455" i="2"/>
  <c r="P469" i="2"/>
  <c r="AS471" i="2"/>
  <c r="BE471" i="2" s="1"/>
  <c r="BF471" i="2" s="1"/>
  <c r="AP472" i="2"/>
  <c r="T472" i="2" s="1"/>
  <c r="AP473" i="2"/>
  <c r="T473" i="2" s="1"/>
  <c r="P488" i="2"/>
  <c r="BX492" i="2"/>
  <c r="BX495" i="2"/>
  <c r="BX496" i="2"/>
  <c r="BX501" i="2"/>
  <c r="BX502" i="2"/>
  <c r="AO507" i="2"/>
  <c r="AP507" i="2" s="1"/>
  <c r="P509" i="2"/>
  <c r="AS517" i="2"/>
  <c r="AT517" i="2" s="1"/>
  <c r="CF517" i="2" s="1"/>
  <c r="AS519" i="2"/>
  <c r="P523" i="2"/>
  <c r="P527" i="2"/>
  <c r="P541" i="2"/>
  <c r="BX541" i="2"/>
  <c r="BX542" i="2"/>
  <c r="AO546" i="2"/>
  <c r="AP546" i="2" s="1"/>
  <c r="AS551" i="2"/>
  <c r="AQ551" i="2"/>
  <c r="AS557" i="2"/>
  <c r="P560" i="2"/>
  <c r="AS564" i="2"/>
  <c r="P569" i="2"/>
  <c r="AP574" i="2"/>
  <c r="BX576" i="2"/>
  <c r="P578" i="2"/>
  <c r="AP580" i="2"/>
  <c r="AS584" i="2"/>
  <c r="T585" i="2"/>
  <c r="AO666" i="2"/>
  <c r="T588" i="2"/>
  <c r="AQ605" i="2"/>
  <c r="T605" i="2"/>
  <c r="BE651" i="2"/>
  <c r="BX658" i="2"/>
  <c r="CC673" i="2"/>
  <c r="BJ673" i="2"/>
  <c r="AS582" i="2"/>
  <c r="AT582" i="2" s="1"/>
  <c r="CF582" i="2" s="1"/>
  <c r="BX597" i="2"/>
  <c r="P599" i="2"/>
  <c r="AO631" i="2"/>
  <c r="T631" i="2"/>
  <c r="BN649" i="2"/>
  <c r="BO649" i="2" s="1"/>
  <c r="BP649" i="2"/>
  <c r="BQ649" i="2" s="1"/>
  <c r="BY649" i="2" s="1"/>
  <c r="BE712" i="2"/>
  <c r="BF712" i="2" s="1"/>
  <c r="AT712" i="2"/>
  <c r="CF712" i="2" s="1"/>
  <c r="P524" i="2"/>
  <c r="P532" i="2"/>
  <c r="AS534" i="2"/>
  <c r="AP535" i="2"/>
  <c r="U535" i="2" s="1"/>
  <c r="BX540" i="2"/>
  <c r="AS546" i="2"/>
  <c r="BE546" i="2" s="1"/>
  <c r="BF546" i="2" s="1"/>
  <c r="P550" i="2"/>
  <c r="AS574" i="2"/>
  <c r="P587" i="2"/>
  <c r="AQ590" i="2"/>
  <c r="AR590" i="2" s="1"/>
  <c r="T590" i="2"/>
  <c r="BX598" i="2"/>
  <c r="T609" i="2"/>
  <c r="BE679" i="2"/>
  <c r="BF679" i="2" s="1"/>
  <c r="BK679" i="2"/>
  <c r="BL679" i="2" s="1"/>
  <c r="BM679" i="2" s="1"/>
  <c r="AT679" i="2"/>
  <c r="CF679" i="2" s="1"/>
  <c r="AO616" i="2"/>
  <c r="AP616" i="2" s="1"/>
  <c r="U616" i="2" s="1"/>
  <c r="T616" i="2"/>
  <c r="AS629" i="2"/>
  <c r="BD629" i="2"/>
  <c r="BK645" i="2"/>
  <c r="BL645" i="2" s="1"/>
  <c r="BM645" i="2" s="1"/>
  <c r="AT566" i="2"/>
  <c r="CF566" i="2" s="1"/>
  <c r="BE566" i="2"/>
  <c r="BF566" i="2" s="1"/>
  <c r="BX599" i="2"/>
  <c r="BX603" i="2"/>
  <c r="P605" i="2"/>
  <c r="AR608" i="2"/>
  <c r="AP611" i="2"/>
  <c r="U611" i="2" s="1"/>
  <c r="AP462" i="2"/>
  <c r="AP465" i="2"/>
  <c r="T465" i="2" s="1"/>
  <c r="BX465" i="2"/>
  <c r="P471" i="2"/>
  <c r="AP475" i="2"/>
  <c r="AR475" i="2" s="1"/>
  <c r="P482" i="2"/>
  <c r="BX485" i="2"/>
  <c r="P494" i="2"/>
  <c r="AS496" i="2"/>
  <c r="AS502" i="2"/>
  <c r="AT502" i="2" s="1"/>
  <c r="CF502" i="2" s="1"/>
  <c r="AO503" i="2"/>
  <c r="AP503" i="2" s="1"/>
  <c r="P506" i="2"/>
  <c r="P510" i="2"/>
  <c r="AO523" i="2"/>
  <c r="BX524" i="2"/>
  <c r="AP527" i="2"/>
  <c r="AR527" i="2" s="1"/>
  <c r="BX544" i="2"/>
  <c r="BX550" i="2"/>
  <c r="P551" i="2"/>
  <c r="BX554" i="2"/>
  <c r="AS559" i="2"/>
  <c r="P564" i="2"/>
  <c r="BX588" i="2"/>
  <c r="AS597" i="2"/>
  <c r="AT597" i="2" s="1"/>
  <c r="CF597" i="2" s="1"/>
  <c r="AQ645" i="2"/>
  <c r="AO645" i="2"/>
  <c r="AP645" i="2" s="1"/>
  <c r="AS732" i="2"/>
  <c r="BX735" i="2"/>
  <c r="U755" i="2"/>
  <c r="AO755" i="2"/>
  <c r="BX587" i="2"/>
  <c r="AP591" i="2"/>
  <c r="U591" i="2" s="1"/>
  <c r="BX592" i="2"/>
  <c r="AP593" i="2"/>
  <c r="U593" i="2" s="1"/>
  <c r="BX604" i="2"/>
  <c r="P617" i="2"/>
  <c r="AP627" i="2"/>
  <c r="U627" i="2" s="1"/>
  <c r="BX630" i="2"/>
  <c r="BX646" i="2"/>
  <c r="BX648" i="2"/>
  <c r="AS650" i="2"/>
  <c r="AS653" i="2"/>
  <c r="P662" i="2"/>
  <c r="P664" i="2"/>
  <c r="P667" i="2"/>
  <c r="AS678" i="2"/>
  <c r="BX682" i="2"/>
  <c r="AS689" i="2"/>
  <c r="BE689" i="2" s="1"/>
  <c r="BF689" i="2" s="1"/>
  <c r="CC689" i="2" s="1"/>
  <c r="AS695" i="2"/>
  <c r="BK695" i="2" s="1"/>
  <c r="P702" i="2"/>
  <c r="AS709" i="2"/>
  <c r="AS710" i="2"/>
  <c r="AQ712" i="2"/>
  <c r="U712" i="2"/>
  <c r="P713" i="2"/>
  <c r="BX723" i="2"/>
  <c r="AS731" i="2"/>
  <c r="BE731" i="2" s="1"/>
  <c r="BF731" i="2" s="1"/>
  <c r="AL758" i="2"/>
  <c r="CF758" i="2"/>
  <c r="AQ779" i="2"/>
  <c r="T779" i="2"/>
  <c r="BE793" i="2"/>
  <c r="BF793" i="2" s="1"/>
  <c r="AT793" i="2"/>
  <c r="CF736" i="2"/>
  <c r="AL736" i="2"/>
  <c r="AO747" i="2"/>
  <c r="AP747" i="2" s="1"/>
  <c r="AQ747" i="2"/>
  <c r="U747" i="2"/>
  <c r="AO834" i="2"/>
  <c r="AQ758" i="2"/>
  <c r="AO758" i="2"/>
  <c r="AP758" i="2" s="1"/>
  <c r="T758" i="2" s="1"/>
  <c r="AQ842" i="2"/>
  <c r="U842" i="2"/>
  <c r="AT913" i="2"/>
  <c r="CF913" i="2" s="1"/>
  <c r="BE913" i="2"/>
  <c r="BF913" i="2" s="1"/>
  <c r="AS548" i="2"/>
  <c r="AT548" i="2" s="1"/>
  <c r="CF548" i="2" s="1"/>
  <c r="P552" i="2"/>
  <c r="P556" i="2"/>
  <c r="P561" i="2"/>
  <c r="BX583" i="2"/>
  <c r="BX584" i="2"/>
  <c r="AP586" i="2"/>
  <c r="AP587" i="2"/>
  <c r="U587" i="2" s="1"/>
  <c r="AP598" i="2"/>
  <c r="T599" i="2"/>
  <c r="BX606" i="2"/>
  <c r="AS610" i="2"/>
  <c r="BE610" i="2" s="1"/>
  <c r="BF610" i="2" s="1"/>
  <c r="BX613" i="2"/>
  <c r="BX616" i="2"/>
  <c r="AP621" i="2"/>
  <c r="AS627" i="2"/>
  <c r="BE627" i="2" s="1"/>
  <c r="AP629" i="2"/>
  <c r="U629" i="2" s="1"/>
  <c r="P640" i="2"/>
  <c r="P641" i="2"/>
  <c r="AP649" i="2"/>
  <c r="AR649" i="2" s="1"/>
  <c r="AS655" i="2"/>
  <c r="P670" i="2"/>
  <c r="P671" i="2"/>
  <c r="P673" i="2"/>
  <c r="BF674" i="2"/>
  <c r="CC674" i="2" s="1"/>
  <c r="P696" i="2"/>
  <c r="P697" i="2"/>
  <c r="BX713" i="2"/>
  <c r="BX720" i="2"/>
  <c r="AT742" i="2"/>
  <c r="BE742" i="2"/>
  <c r="BE737" i="2"/>
  <c r="BF737" i="2" s="1"/>
  <c r="BI737" i="2" s="1"/>
  <c r="BK737" i="2"/>
  <c r="AO753" i="2"/>
  <c r="AP753" i="2" s="1"/>
  <c r="AQ753" i="2"/>
  <c r="U753" i="2"/>
  <c r="U758" i="2"/>
  <c r="BX623" i="2"/>
  <c r="P626" i="2"/>
  <c r="AS628" i="2"/>
  <c r="BX629" i="2"/>
  <c r="P643" i="2"/>
  <c r="P650" i="2"/>
  <c r="AP667" i="2"/>
  <c r="U667" i="2" s="1"/>
  <c r="BX668" i="2"/>
  <c r="P674" i="2"/>
  <c r="P677" i="2"/>
  <c r="AS687" i="2"/>
  <c r="BK687" i="2" s="1"/>
  <c r="BL687" i="2" s="1"/>
  <c r="BM687" i="2" s="1"/>
  <c r="P700" i="2"/>
  <c r="AS704" i="2"/>
  <c r="P705" i="2"/>
  <c r="BX712" i="2"/>
  <c r="AO743" i="2"/>
  <c r="AP743" i="2" s="1"/>
  <c r="AR743" i="2" s="1"/>
  <c r="U743" i="2"/>
  <c r="AQ746" i="2"/>
  <c r="U746" i="2"/>
  <c r="BE839" i="2"/>
  <c r="BF839" i="2" s="1"/>
  <c r="BJ839" i="2" s="1"/>
  <c r="AT839" i="2"/>
  <c r="CF839" i="2" s="1"/>
  <c r="AS683" i="2"/>
  <c r="P688" i="2"/>
  <c r="P691" i="2"/>
  <c r="P699" i="2"/>
  <c r="CF819" i="2"/>
  <c r="AW985" i="2"/>
  <c r="BN840" i="2"/>
  <c r="BO840" i="2" s="1"/>
  <c r="AS578" i="2"/>
  <c r="AP606" i="2"/>
  <c r="U606" i="2" s="1"/>
  <c r="BX607" i="2"/>
  <c r="AS620" i="2"/>
  <c r="AT620" i="2" s="1"/>
  <c r="CF620" i="2" s="1"/>
  <c r="AP625" i="2"/>
  <c r="P644" i="2"/>
  <c r="AS646" i="2"/>
  <c r="BE646" i="2" s="1"/>
  <c r="BF646" i="2" s="1"/>
  <c r="BX700" i="2"/>
  <c r="U729" i="2"/>
  <c r="AO729" i="2"/>
  <c r="AP729" i="2" s="1"/>
  <c r="AS735" i="2"/>
  <c r="AQ752" i="2"/>
  <c r="U752" i="2"/>
  <c r="AW844" i="2"/>
  <c r="AX844" i="2" s="1"/>
  <c r="BP756" i="2"/>
  <c r="BQ756" i="2" s="1"/>
  <c r="BY756" i="2" s="1"/>
  <c r="AO835" i="2"/>
  <c r="AQ768" i="2"/>
  <c r="AO768" i="2"/>
  <c r="U768" i="2"/>
  <c r="BX671" i="2"/>
  <c r="BX705" i="2"/>
  <c r="AQ778" i="2"/>
  <c r="T778" i="2"/>
  <c r="AL812" i="2"/>
  <c r="CF812" i="2"/>
  <c r="BX564" i="2"/>
  <c r="P577" i="2"/>
  <c r="P584" i="2"/>
  <c r="BX609" i="2"/>
  <c r="AS618" i="2"/>
  <c r="BX618" i="2"/>
  <c r="AS623" i="2"/>
  <c r="BE623" i="2" s="1"/>
  <c r="BF623" i="2" s="1"/>
  <c r="P627" i="2"/>
  <c r="AS637" i="2"/>
  <c r="BE637" i="2" s="1"/>
  <c r="BF637" i="2" s="1"/>
  <c r="BX638" i="2"/>
  <c r="BX639" i="2"/>
  <c r="BX655" i="2"/>
  <c r="AS658" i="2"/>
  <c r="BE658" i="2" s="1"/>
  <c r="BF658" i="2" s="1"/>
  <c r="AS666" i="2"/>
  <c r="AT666" i="2" s="1"/>
  <c r="CF666" i="2" s="1"/>
  <c r="P683" i="2"/>
  <c r="BX699" i="2"/>
  <c r="P728" i="2"/>
  <c r="P729" i="2"/>
  <c r="BX745" i="2"/>
  <c r="BE820" i="2"/>
  <c r="AO980" i="2"/>
  <c r="AQ835" i="2"/>
  <c r="U835" i="2"/>
  <c r="P615" i="2"/>
  <c r="P621" i="2"/>
  <c r="AP622" i="2"/>
  <c r="AO626" i="2"/>
  <c r="AP626" i="2" s="1"/>
  <c r="BX644" i="2"/>
  <c r="AS662" i="2"/>
  <c r="AS663" i="2"/>
  <c r="BK664" i="2"/>
  <c r="BL664" i="2" s="1"/>
  <c r="BM664" i="2" s="1"/>
  <c r="AP677" i="2"/>
  <c r="AO678" i="2"/>
  <c r="AO679" i="2"/>
  <c r="AS702" i="2"/>
  <c r="BE702" i="2" s="1"/>
  <c r="BF702" i="2" s="1"/>
  <c r="BG702" i="2" s="1"/>
  <c r="AS713" i="2"/>
  <c r="BX727" i="2"/>
  <c r="AO750" i="2"/>
  <c r="AP750" i="2" s="1"/>
  <c r="AQ750" i="2"/>
  <c r="U750" i="2"/>
  <c r="U756" i="2"/>
  <c r="AQ756" i="2"/>
  <c r="AO992" i="2"/>
  <c r="AQ847" i="2"/>
  <c r="U847" i="2"/>
  <c r="AQ626" i="2"/>
  <c r="BX627" i="2"/>
  <c r="P631" i="2"/>
  <c r="AP632" i="2"/>
  <c r="U632" i="2" s="1"/>
  <c r="BE660" i="2"/>
  <c r="BF660" i="2" s="1"/>
  <c r="AQ691" i="2"/>
  <c r="BX724" i="2"/>
  <c r="AS748" i="2"/>
  <c r="AQ817" i="2"/>
  <c r="T817" i="2"/>
  <c r="BX738" i="2"/>
  <c r="AQ748" i="2"/>
  <c r="AQ770" i="2"/>
  <c r="AQ791" i="2"/>
  <c r="AS809" i="2"/>
  <c r="AT809" i="2" s="1"/>
  <c r="AS824" i="2"/>
  <c r="BE824" i="2" s="1"/>
  <c r="AS1000" i="2"/>
  <c r="AR1011" i="2"/>
  <c r="T1011" i="2"/>
  <c r="AS781" i="2"/>
  <c r="U832" i="2"/>
  <c r="AS844" i="2"/>
  <c r="AS849" i="2"/>
  <c r="AT849" i="2" s="1"/>
  <c r="CF849" i="2" s="1"/>
  <c r="AQ875" i="2"/>
  <c r="T875" i="2"/>
  <c r="AS925" i="2"/>
  <c r="BF996" i="2"/>
  <c r="BG996" i="2" s="1"/>
  <c r="BX740" i="2"/>
  <c r="AS743" i="2"/>
  <c r="P746" i="2"/>
  <c r="P753" i="2"/>
  <c r="AS755" i="2"/>
  <c r="AS756" i="2"/>
  <c r="AS765" i="2"/>
  <c r="AT765" i="2" s="1"/>
  <c r="AL765" i="2" s="1"/>
  <c r="BE788" i="2"/>
  <c r="AS800" i="2"/>
  <c r="AO983" i="2"/>
  <c r="AP983" i="2" s="1"/>
  <c r="AQ838" i="2"/>
  <c r="AQ882" i="2"/>
  <c r="AT973" i="2"/>
  <c r="CF973" i="2" s="1"/>
  <c r="BE973" i="2"/>
  <c r="BF973" i="2" s="1"/>
  <c r="AO769" i="2"/>
  <c r="T795" i="2"/>
  <c r="T805" i="2"/>
  <c r="AQ832" i="2"/>
  <c r="AQ862" i="2"/>
  <c r="T1025" i="2"/>
  <c r="AR1025" i="2"/>
  <c r="AP1029" i="2"/>
  <c r="BE1069" i="2"/>
  <c r="AT1069" i="2"/>
  <c r="CF1069" i="2" s="1"/>
  <c r="BX673" i="2"/>
  <c r="BX681" i="2"/>
  <c r="BX683" i="2"/>
  <c r="BX685" i="2"/>
  <c r="BX686" i="2"/>
  <c r="BX692" i="2"/>
  <c r="BX704" i="2"/>
  <c r="P712" i="2"/>
  <c r="AS725" i="2"/>
  <c r="P748" i="2"/>
  <c r="P754" i="2"/>
  <c r="AS797" i="2"/>
  <c r="U838" i="2"/>
  <c r="U849" i="2"/>
  <c r="T881" i="2"/>
  <c r="AS922" i="2"/>
  <c r="AS965" i="2"/>
  <c r="BE1034" i="2"/>
  <c r="BF1034" i="2" s="1"/>
  <c r="AS703" i="2"/>
  <c r="BX703" i="2"/>
  <c r="AS717" i="2"/>
  <c r="AS724" i="2"/>
  <c r="BX730" i="2"/>
  <c r="P732" i="2"/>
  <c r="P755" i="2"/>
  <c r="AS780" i="2"/>
  <c r="AS804" i="2"/>
  <c r="AT804" i="2" s="1"/>
  <c r="U826" i="2"/>
  <c r="AS843" i="2"/>
  <c r="AS885" i="2"/>
  <c r="AT885" i="2" s="1"/>
  <c r="CF885" i="2" s="1"/>
  <c r="T889" i="2"/>
  <c r="AQ889" i="2"/>
  <c r="AS903" i="2"/>
  <c r="AS950" i="2"/>
  <c r="AS959" i="2"/>
  <c r="BD959" i="2"/>
  <c r="BF1055" i="2"/>
  <c r="AS783" i="2"/>
  <c r="AS796" i="2"/>
  <c r="AT796" i="2" s="1"/>
  <c r="AS830" i="2"/>
  <c r="AS840" i="2"/>
  <c r="AT840" i="2" s="1"/>
  <c r="CF840" i="2" s="1"/>
  <c r="AS845" i="2"/>
  <c r="BE845" i="2" s="1"/>
  <c r="BF845" i="2" s="1"/>
  <c r="AQ863" i="2"/>
  <c r="T863" i="2"/>
  <c r="BE988" i="2"/>
  <c r="AS1009" i="2"/>
  <c r="AT1036" i="2"/>
  <c r="CF1036" i="2" s="1"/>
  <c r="BE1036" i="2"/>
  <c r="K120" i="3"/>
  <c r="K119" i="3"/>
  <c r="AS848" i="2"/>
  <c r="AT859" i="2"/>
  <c r="CF859" i="2" s="1"/>
  <c r="AQ870" i="2"/>
  <c r="AS993" i="2"/>
  <c r="BE1003" i="2"/>
  <c r="AT1003" i="2"/>
  <c r="CF1003" i="2" s="1"/>
  <c r="BX659" i="2"/>
  <c r="BX662" i="2"/>
  <c r="BX664" i="2"/>
  <c r="BX665" i="2"/>
  <c r="P668" i="2"/>
  <c r="BX678" i="2"/>
  <c r="AS690" i="2"/>
  <c r="AP698" i="2"/>
  <c r="U698" i="2" s="1"/>
  <c r="BX709" i="2"/>
  <c r="P715" i="2"/>
  <c r="P724" i="2"/>
  <c r="P726" i="2"/>
  <c r="BX731" i="2"/>
  <c r="BX733" i="2"/>
  <c r="AS741" i="2"/>
  <c r="BX743" i="2"/>
  <c r="P744" i="2"/>
  <c r="AO842" i="2"/>
  <c r="U748" i="2"/>
  <c r="U754" i="2"/>
  <c r="U761" i="2"/>
  <c r="AS763" i="2"/>
  <c r="AT763" i="2" s="1"/>
  <c r="T770" i="2"/>
  <c r="AS790" i="2"/>
  <c r="BK790" i="2" s="1"/>
  <c r="BL790" i="2" s="1"/>
  <c r="BM790" i="2" s="1"/>
  <c r="AS815" i="2"/>
  <c r="AS818" i="2"/>
  <c r="AY908" i="2"/>
  <c r="AT967" i="2"/>
  <c r="CF967" i="2" s="1"/>
  <c r="BE967" i="2"/>
  <c r="BX736" i="2"/>
  <c r="AQ808" i="2"/>
  <c r="AQ855" i="2"/>
  <c r="U855" i="2"/>
  <c r="AQ861" i="2"/>
  <c r="AQ876" i="2"/>
  <c r="BE909" i="2"/>
  <c r="AT909" i="2"/>
  <c r="CF909" i="2" s="1"/>
  <c r="AS707" i="2"/>
  <c r="BE707" i="2" s="1"/>
  <c r="BF707" i="2" s="1"/>
  <c r="BG707" i="2" s="1"/>
  <c r="P718" i="2"/>
  <c r="AS730" i="2"/>
  <c r="AT730" i="2" s="1"/>
  <c r="AP733" i="2"/>
  <c r="P738" i="2"/>
  <c r="P745" i="2"/>
  <c r="U749" i="2"/>
  <c r="AS759" i="2"/>
  <c r="BE759" i="2" s="1"/>
  <c r="AO761" i="2"/>
  <c r="AP761" i="2" s="1"/>
  <c r="AS782" i="2"/>
  <c r="BE782" i="2" s="1"/>
  <c r="AS817" i="2"/>
  <c r="BK817" i="2" s="1"/>
  <c r="AS842" i="2"/>
  <c r="AS852" i="2"/>
  <c r="AT852" i="2" s="1"/>
  <c r="CF852" i="2" s="1"/>
  <c r="AS857" i="2"/>
  <c r="AS871" i="2"/>
  <c r="AP1013" i="2"/>
  <c r="AR1018" i="2"/>
  <c r="T1018" i="2"/>
  <c r="AS1019" i="2"/>
  <c r="T1032" i="2"/>
  <c r="AR1022" i="2"/>
  <c r="AR1034" i="2"/>
  <c r="AR1038" i="2"/>
  <c r="BF1057" i="2"/>
  <c r="BE1058" i="2"/>
  <c r="AS904" i="2"/>
  <c r="AS938" i="2"/>
  <c r="AY960" i="2"/>
  <c r="AS977" i="2"/>
  <c r="AS981" i="2"/>
  <c r="AS1007" i="2"/>
  <c r="AT1007" i="2" s="1"/>
  <c r="CF1007" i="2" s="1"/>
  <c r="AS1013" i="2"/>
  <c r="AT1013" i="2" s="1"/>
  <c r="CF1013" i="2" s="1"/>
  <c r="AP1015" i="2"/>
  <c r="T1015" i="2" s="1"/>
  <c r="AS1084" i="2"/>
  <c r="BE1084" i="2" s="1"/>
  <c r="BF1084" i="2" s="1"/>
  <c r="L39" i="3"/>
  <c r="L96" i="3"/>
  <c r="AS855" i="2"/>
  <c r="AS888" i="2"/>
  <c r="BF909" i="2"/>
  <c r="BG909" i="2" s="1"/>
  <c r="AS910" i="2"/>
  <c r="AS919" i="2"/>
  <c r="AS934" i="2"/>
  <c r="AS944" i="2"/>
  <c r="AS951" i="2"/>
  <c r="AS964" i="2"/>
  <c r="AS970" i="2"/>
  <c r="AS990" i="2"/>
  <c r="AS994" i="2"/>
  <c r="AS1016" i="2"/>
  <c r="AP1020" i="2"/>
  <c r="AS1035" i="2"/>
  <c r="AT1035" i="2" s="1"/>
  <c r="CF1035" i="2" s="1"/>
  <c r="AP1042" i="2"/>
  <c r="AP1044" i="2"/>
  <c r="AP1046" i="2"/>
  <c r="AS1086" i="2"/>
  <c r="E21" i="4"/>
  <c r="AP1048" i="2"/>
  <c r="E75" i="3"/>
  <c r="M96" i="3"/>
  <c r="K77" i="3"/>
  <c r="J89" i="3"/>
  <c r="J90" i="3" s="1"/>
  <c r="AS976" i="2"/>
  <c r="AQ1029" i="2"/>
  <c r="AR1029" i="2" s="1"/>
  <c r="AQ1032" i="2"/>
  <c r="AR1032" i="2" s="1"/>
  <c r="AQ1036" i="2"/>
  <c r="AQ1048" i="2"/>
  <c r="AT1055" i="2"/>
  <c r="CF1055" i="2" s="1"/>
  <c r="AT1057" i="2"/>
  <c r="CF1057" i="2" s="1"/>
  <c r="AS1066" i="2"/>
  <c r="AS1068" i="2"/>
  <c r="AP1086" i="2"/>
  <c r="AT1094" i="2"/>
  <c r="CF1094" i="2" s="1"/>
  <c r="L77" i="3"/>
  <c r="AS798" i="2"/>
  <c r="AS810" i="2"/>
  <c r="BE810" i="2" s="1"/>
  <c r="BF810" i="2" s="1"/>
  <c r="AY814" i="2"/>
  <c r="AS826" i="2"/>
  <c r="AT826" i="2" s="1"/>
  <c r="CF826" i="2" s="1"/>
  <c r="AO843" i="2"/>
  <c r="AS854" i="2"/>
  <c r="AS889" i="2"/>
  <c r="AS892" i="2"/>
  <c r="AS902" i="2"/>
  <c r="AT902" i="2" s="1"/>
  <c r="CF902" i="2" s="1"/>
  <c r="AS927" i="2"/>
  <c r="AS930" i="2"/>
  <c r="AS946" i="2"/>
  <c r="T1019" i="2"/>
  <c r="AR1023" i="2"/>
  <c r="AP961" i="2"/>
  <c r="U961" i="2" s="1"/>
  <c r="AS962" i="2"/>
  <c r="AP964" i="2"/>
  <c r="U964" i="2" s="1"/>
  <c r="AS1085" i="2"/>
  <c r="G108" i="3"/>
  <c r="AR1031" i="2"/>
  <c r="AP1045" i="2"/>
  <c r="AS891" i="2"/>
  <c r="AS1033" i="2"/>
  <c r="BE1037" i="2"/>
  <c r="D39" i="3"/>
  <c r="D41" i="3"/>
  <c r="AS917" i="2"/>
  <c r="AS926" i="2"/>
  <c r="AT926" i="2" s="1"/>
  <c r="CF926" i="2" s="1"/>
  <c r="AS952" i="2"/>
  <c r="AS968" i="2"/>
  <c r="AS975" i="2"/>
  <c r="AS987" i="2"/>
  <c r="AS998" i="2"/>
  <c r="AT998" i="2" s="1"/>
  <c r="CF998" i="2" s="1"/>
  <c r="AS1020" i="2"/>
  <c r="AR1035" i="2"/>
  <c r="AS1040" i="2"/>
  <c r="AQ1041" i="2"/>
  <c r="AQ1045" i="2"/>
  <c r="AR1045" i="2" s="1"/>
  <c r="AP1047" i="2"/>
  <c r="AS1051" i="2"/>
  <c r="AS1067" i="2"/>
  <c r="H119" i="3"/>
  <c r="AX181" i="2"/>
  <c r="AY181" i="2"/>
  <c r="BK181" i="2" s="1"/>
  <c r="BL181" i="2" s="1"/>
  <c r="BM181" i="2" s="1"/>
  <c r="U55" i="2"/>
  <c r="AR55" i="2"/>
  <c r="U61" i="2"/>
  <c r="AR61" i="2"/>
  <c r="U64" i="2"/>
  <c r="AR64" i="2"/>
  <c r="BE75" i="2"/>
  <c r="BK75" i="2"/>
  <c r="BL75" i="2" s="1"/>
  <c r="BM75" i="2" s="1"/>
  <c r="AT75" i="2"/>
  <c r="CF75" i="2" s="1"/>
  <c r="BK91" i="2"/>
  <c r="BL91" i="2" s="1"/>
  <c r="BM91" i="2" s="1"/>
  <c r="AT91" i="2"/>
  <c r="CF91" i="2" s="1"/>
  <c r="BE91" i="2"/>
  <c r="BF91" i="2" s="1"/>
  <c r="AT115" i="2"/>
  <c r="CF115" i="2" s="1"/>
  <c r="BK115" i="2"/>
  <c r="BL115" i="2" s="1"/>
  <c r="BM115" i="2" s="1"/>
  <c r="BE115" i="2"/>
  <c r="BF115" i="2" s="1"/>
  <c r="BE165" i="2"/>
  <c r="BF165" i="2" s="1"/>
  <c r="AT165" i="2"/>
  <c r="CF165" i="2" s="1"/>
  <c r="AW153" i="2"/>
  <c r="BP13" i="2"/>
  <c r="BQ13" i="2" s="1"/>
  <c r="BY13" i="2" s="1"/>
  <c r="BN13" i="2"/>
  <c r="BO13" i="2" s="1"/>
  <c r="AT133" i="2"/>
  <c r="CF133" i="2" s="1"/>
  <c r="BK133" i="2"/>
  <c r="BL133" i="2" s="1"/>
  <c r="BM133" i="2" s="1"/>
  <c r="BE133" i="2"/>
  <c r="BF133" i="2" s="1"/>
  <c r="AR27" i="2"/>
  <c r="AY186" i="2"/>
  <c r="BK186" i="2" s="1"/>
  <c r="BL186" i="2" s="1"/>
  <c r="BM186" i="2" s="1"/>
  <c r="AX186" i="2"/>
  <c r="AR56" i="2"/>
  <c r="U56" i="2"/>
  <c r="BK88" i="2"/>
  <c r="BL88" i="2" s="1"/>
  <c r="BM88" i="2" s="1"/>
  <c r="AT88" i="2"/>
  <c r="CF88" i="2" s="1"/>
  <c r="BE88" i="2"/>
  <c r="BF88" i="2" s="1"/>
  <c r="AT117" i="2"/>
  <c r="CF117" i="2" s="1"/>
  <c r="BK117" i="2"/>
  <c r="BL117" i="2" s="1"/>
  <c r="BM117" i="2" s="1"/>
  <c r="BE117" i="2"/>
  <c r="BF117" i="2" s="1"/>
  <c r="AR151" i="2"/>
  <c r="U166" i="2"/>
  <c r="T166" i="2"/>
  <c r="AR166" i="2"/>
  <c r="AX178" i="2"/>
  <c r="AY178" i="2"/>
  <c r="AR42" i="2"/>
  <c r="T42" i="2"/>
  <c r="BK45" i="2"/>
  <c r="BL45" i="2" s="1"/>
  <c r="BM45" i="2" s="1"/>
  <c r="AT45" i="2"/>
  <c r="CF45" i="2" s="1"/>
  <c r="BE45" i="2"/>
  <c r="BF45" i="2" s="1"/>
  <c r="T48" i="2"/>
  <c r="AR51" i="2"/>
  <c r="U51" i="2"/>
  <c r="T51" i="2"/>
  <c r="BE58" i="2"/>
  <c r="BF58" i="2" s="1"/>
  <c r="BK58" i="2"/>
  <c r="BL58" i="2" s="1"/>
  <c r="BM58" i="2" s="1"/>
  <c r="AT58" i="2"/>
  <c r="CF58" i="2" s="1"/>
  <c r="T92" i="2"/>
  <c r="BK101" i="2"/>
  <c r="BL101" i="2" s="1"/>
  <c r="BM101" i="2" s="1"/>
  <c r="BE101" i="2"/>
  <c r="BF101" i="2" s="1"/>
  <c r="AT101" i="2"/>
  <c r="CF101" i="2" s="1"/>
  <c r="AT148" i="2"/>
  <c r="CF148" i="2" s="1"/>
  <c r="BE148" i="2"/>
  <c r="BF148" i="2" s="1"/>
  <c r="AW219" i="2"/>
  <c r="BP57" i="2"/>
  <c r="BQ57" i="2" s="1"/>
  <c r="BY57" i="2" s="1"/>
  <c r="BN57" i="2"/>
  <c r="BO57" i="2" s="1"/>
  <c r="U70" i="2"/>
  <c r="AR70" i="2"/>
  <c r="BE16" i="2"/>
  <c r="BF16" i="2" s="1"/>
  <c r="BK16" i="2"/>
  <c r="BL16" i="2" s="1"/>
  <c r="BM16" i="2" s="1"/>
  <c r="AT16" i="2"/>
  <c r="CF16" i="2" s="1"/>
  <c r="AT144" i="2"/>
  <c r="CF144" i="2" s="1"/>
  <c r="BK144" i="2"/>
  <c r="BL144" i="2" s="1"/>
  <c r="BM144" i="2" s="1"/>
  <c r="BE144" i="2"/>
  <c r="BF144" i="2" s="1"/>
  <c r="AW173" i="2"/>
  <c r="BN33" i="2"/>
  <c r="BO33" i="2" s="1"/>
  <c r="BP33" i="2"/>
  <c r="BQ33" i="2" s="1"/>
  <c r="BY33" i="2" s="1"/>
  <c r="BE55" i="2"/>
  <c r="BF55" i="2" s="1"/>
  <c r="BK55" i="2"/>
  <c r="BL55" i="2" s="1"/>
  <c r="BM55" i="2" s="1"/>
  <c r="AT55" i="2"/>
  <c r="CF55" i="2" s="1"/>
  <c r="T83" i="2"/>
  <c r="AR83" i="2"/>
  <c r="AT103" i="2"/>
  <c r="CF103" i="2" s="1"/>
  <c r="BE103" i="2"/>
  <c r="BF103" i="2" s="1"/>
  <c r="AR105" i="2"/>
  <c r="U105" i="2"/>
  <c r="AR167" i="2"/>
  <c r="T167" i="2"/>
  <c r="AW176" i="2"/>
  <c r="BN36" i="2"/>
  <c r="BO36" i="2" s="1"/>
  <c r="BP36" i="2"/>
  <c r="BQ36" i="2" s="1"/>
  <c r="BY36" i="2" s="1"/>
  <c r="AR10" i="2"/>
  <c r="U10" i="2"/>
  <c r="T10" i="2"/>
  <c r="BN11" i="2"/>
  <c r="BO11" i="2" s="1"/>
  <c r="AW151" i="2"/>
  <c r="AX151" i="2" s="1"/>
  <c r="BK11" i="2"/>
  <c r="BL11" i="2" s="1"/>
  <c r="BM11" i="2" s="1"/>
  <c r="BP11" i="2"/>
  <c r="BQ11" i="2" s="1"/>
  <c r="BY11" i="2" s="1"/>
  <c r="T18" i="2"/>
  <c r="AR18" i="2"/>
  <c r="BK20" i="2"/>
  <c r="BL20" i="2" s="1"/>
  <c r="BM20" i="2" s="1"/>
  <c r="AT20" i="2"/>
  <c r="CF20" i="2" s="1"/>
  <c r="BE20" i="2"/>
  <c r="BF20" i="2" s="1"/>
  <c r="AW164" i="2"/>
  <c r="BP24" i="2"/>
  <c r="BQ24" i="2" s="1"/>
  <c r="BY24" i="2" s="1"/>
  <c r="BN24" i="2"/>
  <c r="BO24" i="2" s="1"/>
  <c r="AW167" i="2"/>
  <c r="BN27" i="2"/>
  <c r="BO27" i="2" s="1"/>
  <c r="BP27" i="2"/>
  <c r="BQ27" i="2" s="1"/>
  <c r="BY27" i="2" s="1"/>
  <c r="U40" i="2"/>
  <c r="AR40" i="2"/>
  <c r="T40" i="2"/>
  <c r="BK48" i="2"/>
  <c r="BL48" i="2" s="1"/>
  <c r="BM48" i="2" s="1"/>
  <c r="AT48" i="2"/>
  <c r="CF48" i="2" s="1"/>
  <c r="BE48" i="2"/>
  <c r="BF48" i="2" s="1"/>
  <c r="AY189" i="2"/>
  <c r="AW261" i="2" s="1"/>
  <c r="AX189" i="2"/>
  <c r="BK53" i="2"/>
  <c r="BL53" i="2" s="1"/>
  <c r="BM53" i="2" s="1"/>
  <c r="BE53" i="2"/>
  <c r="BF53" i="2" s="1"/>
  <c r="AT53" i="2"/>
  <c r="CF53" i="2" s="1"/>
  <c r="BK105" i="2"/>
  <c r="BL105" i="2" s="1"/>
  <c r="BM105" i="2" s="1"/>
  <c r="BE105" i="2"/>
  <c r="AT105" i="2"/>
  <c r="CF105" i="2" s="1"/>
  <c r="BE134" i="2"/>
  <c r="BF134" i="2" s="1"/>
  <c r="AT134" i="2"/>
  <c r="CF134" i="2" s="1"/>
  <c r="BK136" i="2"/>
  <c r="BE136" i="2"/>
  <c r="BK141" i="2"/>
  <c r="BE141" i="2"/>
  <c r="BF141" i="2" s="1"/>
  <c r="AT141" i="2"/>
  <c r="CF141" i="2" s="1"/>
  <c r="AR155" i="2"/>
  <c r="U155" i="2"/>
  <c r="T155" i="2"/>
  <c r="BE184" i="2"/>
  <c r="BF184" i="2" s="1"/>
  <c r="AT184" i="2"/>
  <c r="CF184" i="2" s="1"/>
  <c r="AR53" i="2"/>
  <c r="T53" i="2"/>
  <c r="U73" i="2"/>
  <c r="AR73" i="2"/>
  <c r="AT94" i="2"/>
  <c r="CF94" i="2" s="1"/>
  <c r="BK94" i="2"/>
  <c r="BL94" i="2" s="1"/>
  <c r="BM94" i="2" s="1"/>
  <c r="BE94" i="2"/>
  <c r="BF94" i="2" s="1"/>
  <c r="U31" i="2"/>
  <c r="BK50" i="2"/>
  <c r="BL50" i="2" s="1"/>
  <c r="BM50" i="2" s="1"/>
  <c r="BE50" i="2"/>
  <c r="BF50" i="2" s="1"/>
  <c r="AT50" i="2"/>
  <c r="CF50" i="2" s="1"/>
  <c r="AW218" i="2"/>
  <c r="AX218" i="2" s="1"/>
  <c r="BP87" i="2"/>
  <c r="BQ87" i="2" s="1"/>
  <c r="BY87" i="2" s="1"/>
  <c r="BN87" i="2"/>
  <c r="BO87" i="2" s="1"/>
  <c r="AW170" i="2"/>
  <c r="BN30" i="2"/>
  <c r="BO30" i="2" s="1"/>
  <c r="BP30" i="2"/>
  <c r="BQ30" i="2" s="1"/>
  <c r="BY30" i="2" s="1"/>
  <c r="AW149" i="2"/>
  <c r="BP9" i="2"/>
  <c r="BQ9" i="2" s="1"/>
  <c r="BY9" i="2" s="1"/>
  <c r="BN9" i="2"/>
  <c r="BO9" i="2" s="1"/>
  <c r="BK17" i="2"/>
  <c r="BL17" i="2" s="1"/>
  <c r="BM17" i="2" s="1"/>
  <c r="AT17" i="2"/>
  <c r="CF17" i="2" s="1"/>
  <c r="AW160" i="2"/>
  <c r="AX160" i="2" s="1"/>
  <c r="BP20" i="2"/>
  <c r="BQ20" i="2" s="1"/>
  <c r="BY20" i="2" s="1"/>
  <c r="BN20" i="2"/>
  <c r="BO20" i="2" s="1"/>
  <c r="BE23" i="2"/>
  <c r="BF23" i="2" s="1"/>
  <c r="BK23" i="2"/>
  <c r="BL23" i="2" s="1"/>
  <c r="BM23" i="2" s="1"/>
  <c r="AT23" i="2"/>
  <c r="CF23" i="2" s="1"/>
  <c r="AX180" i="2"/>
  <c r="AY180" i="2"/>
  <c r="BK180" i="2" s="1"/>
  <c r="BL180" i="2" s="1"/>
  <c r="BM180" i="2" s="1"/>
  <c r="BK56" i="2"/>
  <c r="BL56" i="2" s="1"/>
  <c r="BM56" i="2" s="1"/>
  <c r="BE56" i="2"/>
  <c r="BF56" i="2" s="1"/>
  <c r="AT56" i="2"/>
  <c r="CF56" i="2" s="1"/>
  <c r="BK95" i="2"/>
  <c r="BL95" i="2" s="1"/>
  <c r="BM95" i="2" s="1"/>
  <c r="BE95" i="2"/>
  <c r="BF95" i="2" s="1"/>
  <c r="AT95" i="2"/>
  <c r="CF95" i="2" s="1"/>
  <c r="AT99" i="2"/>
  <c r="CF99" i="2" s="1"/>
  <c r="BK99" i="2"/>
  <c r="BL99" i="2" s="1"/>
  <c r="BM99" i="2" s="1"/>
  <c r="BE99" i="2"/>
  <c r="BF99" i="2" s="1"/>
  <c r="AT112" i="2"/>
  <c r="CF112" i="2" s="1"/>
  <c r="BK112" i="2"/>
  <c r="BL112" i="2" s="1"/>
  <c r="BM112" i="2" s="1"/>
  <c r="BE112" i="2"/>
  <c r="BF112" i="2" s="1"/>
  <c r="BE159" i="2"/>
  <c r="BF159" i="2" s="1"/>
  <c r="AT159" i="2"/>
  <c r="CF159" i="2" s="1"/>
  <c r="BP131" i="2"/>
  <c r="BQ131" i="2" s="1"/>
  <c r="BY131" i="2" s="1"/>
  <c r="BN131" i="2"/>
  <c r="BO131" i="2" s="1"/>
  <c r="T58" i="2"/>
  <c r="AR58" i="2"/>
  <c r="U34" i="2"/>
  <c r="AR17" i="2"/>
  <c r="U17" i="2"/>
  <c r="BK27" i="2"/>
  <c r="BL27" i="2" s="1"/>
  <c r="BM27" i="2" s="1"/>
  <c r="AT27" i="2"/>
  <c r="CF27" i="2" s="1"/>
  <c r="BE27" i="2"/>
  <c r="BF27" i="2" s="1"/>
  <c r="BE7" i="2"/>
  <c r="BF7" i="2" s="1"/>
  <c r="AT7" i="2"/>
  <c r="CF7" i="2" s="1"/>
  <c r="BK7" i="2"/>
  <c r="BL7" i="2" s="1"/>
  <c r="BM7" i="2" s="1"/>
  <c r="BK9" i="2"/>
  <c r="BL9" i="2" s="1"/>
  <c r="BM9" i="2" s="1"/>
  <c r="AT9" i="2"/>
  <c r="CF9" i="2" s="1"/>
  <c r="BE9" i="2"/>
  <c r="AR15" i="2"/>
  <c r="U15" i="2"/>
  <c r="T15" i="2"/>
  <c r="AR39" i="2"/>
  <c r="T39" i="2"/>
  <c r="AR46" i="2"/>
  <c r="T46" i="2"/>
  <c r="AW187" i="2"/>
  <c r="BP48" i="2"/>
  <c r="BQ48" i="2" s="1"/>
  <c r="BY48" i="2" s="1"/>
  <c r="BN48" i="2"/>
  <c r="BO48" i="2" s="1"/>
  <c r="BE51" i="2"/>
  <c r="BF51" i="2" s="1"/>
  <c r="BK51" i="2"/>
  <c r="AT51" i="2"/>
  <c r="CF51" i="2" s="1"/>
  <c r="U62" i="2"/>
  <c r="AR62" i="2"/>
  <c r="T65" i="2"/>
  <c r="AR65" i="2"/>
  <c r="AR66" i="2"/>
  <c r="U66" i="2"/>
  <c r="T66" i="2"/>
  <c r="AR69" i="2"/>
  <c r="U69" i="2"/>
  <c r="U71" i="2"/>
  <c r="AR71" i="2"/>
  <c r="U89" i="2"/>
  <c r="AR89" i="2"/>
  <c r="AT97" i="2"/>
  <c r="CF97" i="2" s="1"/>
  <c r="BE97" i="2"/>
  <c r="BF97" i="2" s="1"/>
  <c r="AW192" i="2"/>
  <c r="BP105" i="2"/>
  <c r="BQ105" i="2" s="1"/>
  <c r="BY105" i="2" s="1"/>
  <c r="BN105" i="2"/>
  <c r="BO105" i="2" s="1"/>
  <c r="AT123" i="2"/>
  <c r="CF123" i="2" s="1"/>
  <c r="BK123" i="2"/>
  <c r="BL123" i="2" s="1"/>
  <c r="BM123" i="2" s="1"/>
  <c r="BE123" i="2"/>
  <c r="BF123" i="2" s="1"/>
  <c r="BK130" i="2"/>
  <c r="BL130" i="2" s="1"/>
  <c r="BM130" i="2" s="1"/>
  <c r="AT145" i="2"/>
  <c r="CF145" i="2" s="1"/>
  <c r="BK145" i="2"/>
  <c r="BL145" i="2" s="1"/>
  <c r="BM145" i="2" s="1"/>
  <c r="BE145" i="2"/>
  <c r="BF145" i="2" s="1"/>
  <c r="AR161" i="2"/>
  <c r="U161" i="2"/>
  <c r="N34" i="3"/>
  <c r="AW152" i="2"/>
  <c r="BP12" i="2"/>
  <c r="BQ12" i="2" s="1"/>
  <c r="BY12" i="2" s="1"/>
  <c r="BN12" i="2"/>
  <c r="BO12" i="2" s="1"/>
  <c r="AR13" i="2"/>
  <c r="T13" i="2"/>
  <c r="AT21" i="2"/>
  <c r="CF21" i="2" s="1"/>
  <c r="BE21" i="2"/>
  <c r="BF21" i="2" s="1"/>
  <c r="BK21" i="2"/>
  <c r="BL21" i="2" s="1"/>
  <c r="BM21" i="2" s="1"/>
  <c r="AR29" i="2"/>
  <c r="T29" i="2"/>
  <c r="AX177" i="2"/>
  <c r="AY177" i="2"/>
  <c r="BK40" i="2"/>
  <c r="BL40" i="2" s="1"/>
  <c r="BM40" i="2" s="1"/>
  <c r="AT40" i="2"/>
  <c r="CF40" i="2" s="1"/>
  <c r="BE40" i="2"/>
  <c r="BF40" i="2" s="1"/>
  <c r="T41" i="2"/>
  <c r="T54" i="2"/>
  <c r="BK62" i="2"/>
  <c r="BL62" i="2" s="1"/>
  <c r="BM62" i="2" s="1"/>
  <c r="BE62" i="2"/>
  <c r="BF62" i="2" s="1"/>
  <c r="AT62" i="2"/>
  <c r="CF62" i="2" s="1"/>
  <c r="BK65" i="2"/>
  <c r="BL65" i="2" s="1"/>
  <c r="BM65" i="2" s="1"/>
  <c r="BK71" i="2"/>
  <c r="BL71" i="2" s="1"/>
  <c r="BM71" i="2" s="1"/>
  <c r="BE71" i="2"/>
  <c r="BF71" i="2" s="1"/>
  <c r="AT71" i="2"/>
  <c r="CF71" i="2" s="1"/>
  <c r="U74" i="2"/>
  <c r="T74" i="2"/>
  <c r="AR74" i="2"/>
  <c r="U77" i="2"/>
  <c r="T77" i="2"/>
  <c r="AR77" i="2"/>
  <c r="BK85" i="2"/>
  <c r="BL85" i="2" s="1"/>
  <c r="BM85" i="2" s="1"/>
  <c r="AT85" i="2"/>
  <c r="CF85" i="2" s="1"/>
  <c r="BE85" i="2"/>
  <c r="BF85" i="2" s="1"/>
  <c r="AR96" i="2"/>
  <c r="T96" i="2"/>
  <c r="U96" i="2"/>
  <c r="BK125" i="2"/>
  <c r="BL125" i="2" s="1"/>
  <c r="BM125" i="2" s="1"/>
  <c r="AR149" i="2"/>
  <c r="U149" i="2"/>
  <c r="T149" i="2"/>
  <c r="BE171" i="2"/>
  <c r="BF171" i="2" s="1"/>
  <c r="AT171" i="2"/>
  <c r="CF171" i="2" s="1"/>
  <c r="BP10" i="2"/>
  <c r="BQ10" i="2" s="1"/>
  <c r="BY10" i="2" s="1"/>
  <c r="BN10" i="2"/>
  <c r="BO10" i="2" s="1"/>
  <c r="AW150" i="2"/>
  <c r="AR33" i="2"/>
  <c r="T33" i="2"/>
  <c r="BE49" i="2"/>
  <c r="BF49" i="2" s="1"/>
  <c r="BK49" i="2"/>
  <c r="BL49" i="2" s="1"/>
  <c r="BM49" i="2" s="1"/>
  <c r="AT49" i="2"/>
  <c r="CF49" i="2" s="1"/>
  <c r="AR57" i="2"/>
  <c r="T57" i="2"/>
  <c r="BE60" i="2"/>
  <c r="BF60" i="2" s="1"/>
  <c r="BK60" i="2"/>
  <c r="BL60" i="2" s="1"/>
  <c r="BM60" i="2" s="1"/>
  <c r="AT60" i="2"/>
  <c r="CF60" i="2" s="1"/>
  <c r="BE69" i="2"/>
  <c r="BF69" i="2" s="1"/>
  <c r="BK69" i="2"/>
  <c r="BL69" i="2" s="1"/>
  <c r="BM69" i="2" s="1"/>
  <c r="AT69" i="2"/>
  <c r="CF69" i="2" s="1"/>
  <c r="AR75" i="2"/>
  <c r="T75" i="2"/>
  <c r="U82" i="2"/>
  <c r="T82" i="2"/>
  <c r="AR82" i="2"/>
  <c r="BE93" i="2"/>
  <c r="BF93" i="2" s="1"/>
  <c r="AT106" i="2"/>
  <c r="CF106" i="2" s="1"/>
  <c r="BK106" i="2"/>
  <c r="BL106" i="2" s="1"/>
  <c r="BM106" i="2" s="1"/>
  <c r="BE106" i="2"/>
  <c r="BF106" i="2" s="1"/>
  <c r="AT127" i="2"/>
  <c r="CF127" i="2" s="1"/>
  <c r="BE127" i="2"/>
  <c r="BF127" i="2" s="1"/>
  <c r="BK127" i="2"/>
  <c r="BL127" i="2" s="1"/>
  <c r="BM127" i="2" s="1"/>
  <c r="BK131" i="2"/>
  <c r="BL131" i="2" s="1"/>
  <c r="BM131" i="2" s="1"/>
  <c r="BE131" i="2"/>
  <c r="BF131" i="2" s="1"/>
  <c r="AT131" i="2"/>
  <c r="CF131" i="2" s="1"/>
  <c r="BK138" i="2"/>
  <c r="BL138" i="2" s="1"/>
  <c r="BM138" i="2" s="1"/>
  <c r="BE138" i="2"/>
  <c r="AT138" i="2"/>
  <c r="CF138" i="2" s="1"/>
  <c r="AT142" i="2"/>
  <c r="CF142" i="2" s="1"/>
  <c r="BK142" i="2"/>
  <c r="BL142" i="2" s="1"/>
  <c r="BM142" i="2" s="1"/>
  <c r="BE142" i="2"/>
  <c r="U172" i="2"/>
  <c r="T172" i="2"/>
  <c r="AR172" i="2"/>
  <c r="BK19" i="2"/>
  <c r="BL19" i="2" s="1"/>
  <c r="BM19" i="2" s="1"/>
  <c r="AT19" i="2"/>
  <c r="CF19" i="2" s="1"/>
  <c r="BP111" i="2"/>
  <c r="BQ111" i="2" s="1"/>
  <c r="BY111" i="2" s="1"/>
  <c r="BN111" i="2"/>
  <c r="BO111" i="2" s="1"/>
  <c r="AW157" i="2"/>
  <c r="AX157" i="2" s="1"/>
  <c r="BP17" i="2"/>
  <c r="BQ17" i="2" s="1"/>
  <c r="BY17" i="2" s="1"/>
  <c r="BN17" i="2"/>
  <c r="BO17" i="2" s="1"/>
  <c r="BK28" i="2"/>
  <c r="BL28" i="2" s="1"/>
  <c r="BM28" i="2" s="1"/>
  <c r="BE28" i="2"/>
  <c r="AR44" i="2"/>
  <c r="T44" i="2"/>
  <c r="BK59" i="2"/>
  <c r="BL59" i="2" s="1"/>
  <c r="BM59" i="2" s="1"/>
  <c r="BE59" i="2"/>
  <c r="BF59" i="2" s="1"/>
  <c r="AT59" i="2"/>
  <c r="CF59" i="2" s="1"/>
  <c r="AR84" i="2"/>
  <c r="U84" i="2"/>
  <c r="T84" i="2"/>
  <c r="AT147" i="2"/>
  <c r="CF147" i="2" s="1"/>
  <c r="BK147" i="2"/>
  <c r="BL147" i="2" s="1"/>
  <c r="BM147" i="2" s="1"/>
  <c r="BE147" i="2"/>
  <c r="BF147" i="2" s="1"/>
  <c r="BE13" i="2"/>
  <c r="BF13" i="2" s="1"/>
  <c r="BK13" i="2"/>
  <c r="BL13" i="2" s="1"/>
  <c r="BM13" i="2" s="1"/>
  <c r="AT13" i="2"/>
  <c r="CF13" i="2" s="1"/>
  <c r="BK15" i="2"/>
  <c r="AT15" i="2"/>
  <c r="CF15" i="2" s="1"/>
  <c r="BE15" i="2"/>
  <c r="BF15" i="2" s="1"/>
  <c r="AW155" i="2"/>
  <c r="BP15" i="2"/>
  <c r="BQ15" i="2" s="1"/>
  <c r="BY15" i="2" s="1"/>
  <c r="BN15" i="2"/>
  <c r="BO15" i="2" s="1"/>
  <c r="AR30" i="2"/>
  <c r="T30" i="2"/>
  <c r="AR36" i="2"/>
  <c r="T36" i="2"/>
  <c r="BK47" i="2"/>
  <c r="BL47" i="2" s="1"/>
  <c r="BM47" i="2" s="1"/>
  <c r="AT47" i="2"/>
  <c r="CF47" i="2" s="1"/>
  <c r="BE47" i="2"/>
  <c r="BF47" i="2" s="1"/>
  <c r="BE54" i="2"/>
  <c r="BF54" i="2" s="1"/>
  <c r="BK54" i="2"/>
  <c r="BL54" i="2" s="1"/>
  <c r="BM54" i="2" s="1"/>
  <c r="AT54" i="2"/>
  <c r="CF54" i="2" s="1"/>
  <c r="BE63" i="2"/>
  <c r="BK63" i="2"/>
  <c r="BL63" i="2" s="1"/>
  <c r="BM63" i="2" s="1"/>
  <c r="AT63" i="2"/>
  <c r="CF63" i="2" s="1"/>
  <c r="BE66" i="2"/>
  <c r="BF66" i="2" s="1"/>
  <c r="BK66" i="2"/>
  <c r="BL66" i="2" s="1"/>
  <c r="BM66" i="2" s="1"/>
  <c r="AT66" i="2"/>
  <c r="CF66" i="2" s="1"/>
  <c r="BE72" i="2"/>
  <c r="BF72" i="2" s="1"/>
  <c r="BK72" i="2"/>
  <c r="BL72" i="2" s="1"/>
  <c r="BM72" i="2" s="1"/>
  <c r="AT72" i="2"/>
  <c r="CF72" i="2" s="1"/>
  <c r="BJ124" i="2"/>
  <c r="BI124" i="2"/>
  <c r="BG124" i="2"/>
  <c r="CC124" i="2"/>
  <c r="AR157" i="2"/>
  <c r="AR20" i="2"/>
  <c r="T20" i="2"/>
  <c r="BK68" i="2"/>
  <c r="BL68" i="2" s="1"/>
  <c r="BM68" i="2" s="1"/>
  <c r="BE68" i="2"/>
  <c r="BF68" i="2" s="1"/>
  <c r="AT68" i="2"/>
  <c r="CF68" i="2" s="1"/>
  <c r="AR102" i="2"/>
  <c r="T102" i="2"/>
  <c r="U102" i="2"/>
  <c r="AT118" i="2"/>
  <c r="CF118" i="2" s="1"/>
  <c r="BK118" i="2"/>
  <c r="BL118" i="2" s="1"/>
  <c r="BM118" i="2" s="1"/>
  <c r="BE118" i="2"/>
  <c r="BF118" i="2" s="1"/>
  <c r="AR22" i="2"/>
  <c r="BK26" i="2"/>
  <c r="BL26" i="2" s="1"/>
  <c r="BM26" i="2" s="1"/>
  <c r="BE26" i="2"/>
  <c r="BF26" i="2" s="1"/>
  <c r="U50" i="2"/>
  <c r="T50" i="2"/>
  <c r="BL51" i="2"/>
  <c r="BM51" i="2" s="1"/>
  <c r="BK52" i="2"/>
  <c r="BL52" i="2" s="1"/>
  <c r="BM52" i="2" s="1"/>
  <c r="AT52" i="2"/>
  <c r="CF52" i="2" s="1"/>
  <c r="AW234" i="2"/>
  <c r="BP54" i="2"/>
  <c r="BQ54" i="2" s="1"/>
  <c r="BY54" i="2" s="1"/>
  <c r="BN54" i="2"/>
  <c r="BO54" i="2" s="1"/>
  <c r="BK74" i="2"/>
  <c r="BL74" i="2" s="1"/>
  <c r="BM74" i="2" s="1"/>
  <c r="BE74" i="2"/>
  <c r="BF74" i="2" s="1"/>
  <c r="AT74" i="2"/>
  <c r="CF74" i="2" s="1"/>
  <c r="AR81" i="2"/>
  <c r="T81" i="2"/>
  <c r="U86" i="2"/>
  <c r="T86" i="2"/>
  <c r="AR86" i="2"/>
  <c r="BK87" i="2"/>
  <c r="BL87" i="2" s="1"/>
  <c r="BM87" i="2" s="1"/>
  <c r="BN93" i="2"/>
  <c r="BO93" i="2" s="1"/>
  <c r="AT100" i="2"/>
  <c r="CF100" i="2" s="1"/>
  <c r="BL136" i="2"/>
  <c r="BM136" i="2" s="1"/>
  <c r="AT149" i="2"/>
  <c r="CF149" i="2" s="1"/>
  <c r="BE149" i="2"/>
  <c r="BE18" i="2"/>
  <c r="BF18" i="2" s="1"/>
  <c r="U26" i="2"/>
  <c r="BP26" i="2"/>
  <c r="BQ26" i="2" s="1"/>
  <c r="BY26" i="2" s="1"/>
  <c r="BN38" i="2"/>
  <c r="BO38" i="2" s="1"/>
  <c r="BN39" i="2"/>
  <c r="BO39" i="2" s="1"/>
  <c r="BN40" i="2"/>
  <c r="BO40" i="2" s="1"/>
  <c r="AW179" i="2"/>
  <c r="BN41" i="2"/>
  <c r="BO41" i="2" s="1"/>
  <c r="BN42" i="2"/>
  <c r="BO42" i="2" s="1"/>
  <c r="P50" i="2"/>
  <c r="BF76" i="2"/>
  <c r="BF79" i="2"/>
  <c r="BF82" i="2"/>
  <c r="BE86" i="2"/>
  <c r="BF86" i="2" s="1"/>
  <c r="BE87" i="2"/>
  <c r="BF87" i="2" s="1"/>
  <c r="BE89" i="2"/>
  <c r="BF89" i="2" s="1"/>
  <c r="BE90" i="2"/>
  <c r="AX196" i="2"/>
  <c r="AY196" i="2"/>
  <c r="AR97" i="2"/>
  <c r="U99" i="2"/>
  <c r="AY102" i="2"/>
  <c r="BK102" i="2" s="1"/>
  <c r="BL102" i="2" s="1"/>
  <c r="BM102" i="2" s="1"/>
  <c r="P110" i="2"/>
  <c r="AY114" i="2"/>
  <c r="P122" i="2"/>
  <c r="BN122" i="2"/>
  <c r="BO122" i="2" s="1"/>
  <c r="BP125" i="2"/>
  <c r="BQ125" i="2" s="1"/>
  <c r="BY125" i="2" s="1"/>
  <c r="BK135" i="2"/>
  <c r="BL135" i="2" s="1"/>
  <c r="BM135" i="2" s="1"/>
  <c r="BP136" i="2"/>
  <c r="BQ136" i="2" s="1"/>
  <c r="BY136" i="2" s="1"/>
  <c r="AP137" i="2"/>
  <c r="AR137" i="2" s="1"/>
  <c r="BP144" i="2"/>
  <c r="BQ144" i="2" s="1"/>
  <c r="BY144" i="2" s="1"/>
  <c r="M93" i="3"/>
  <c r="M91" i="3" s="1"/>
  <c r="BJ153" i="2"/>
  <c r="T156" i="2"/>
  <c r="AR162" i="2"/>
  <c r="AW168" i="2"/>
  <c r="AR175" i="2"/>
  <c r="U175" i="2"/>
  <c r="AR176" i="2"/>
  <c r="U176" i="2"/>
  <c r="U199" i="2"/>
  <c r="BI203" i="2"/>
  <c r="BG203" i="2"/>
  <c r="CC203" i="2"/>
  <c r="BJ203" i="2"/>
  <c r="AT209" i="2"/>
  <c r="CF209" i="2" s="1"/>
  <c r="BE209" i="2"/>
  <c r="BF209" i="2" s="1"/>
  <c r="AT216" i="2"/>
  <c r="CF216" i="2" s="1"/>
  <c r="BE216" i="2"/>
  <c r="BF216" i="2" s="1"/>
  <c r="AR218" i="2"/>
  <c r="U218" i="2"/>
  <c r="AT221" i="2"/>
  <c r="CF221" i="2" s="1"/>
  <c r="BE221" i="2"/>
  <c r="BF221" i="2" s="1"/>
  <c r="AT236" i="2"/>
  <c r="CF236" i="2" s="1"/>
  <c r="BE236" i="2"/>
  <c r="BF236" i="2" s="1"/>
  <c r="AT245" i="2"/>
  <c r="CF245" i="2" s="1"/>
  <c r="BE245" i="2"/>
  <c r="BF245" i="2" s="1"/>
  <c r="BE11" i="2"/>
  <c r="BF11" i="2" s="1"/>
  <c r="BE14" i="2"/>
  <c r="BF14" i="2" s="1"/>
  <c r="BE24" i="2"/>
  <c r="BF24" i="2" s="1"/>
  <c r="BP29" i="2"/>
  <c r="BQ29" i="2" s="1"/>
  <c r="BY29" i="2" s="1"/>
  <c r="BP32" i="2"/>
  <c r="BQ32" i="2" s="1"/>
  <c r="BY32" i="2" s="1"/>
  <c r="BP35" i="2"/>
  <c r="BQ35" i="2" s="1"/>
  <c r="BY35" i="2" s="1"/>
  <c r="BN44" i="2"/>
  <c r="BO44" i="2" s="1"/>
  <c r="BN45" i="2"/>
  <c r="BO45" i="2" s="1"/>
  <c r="P53" i="2"/>
  <c r="P56" i="2"/>
  <c r="BN94" i="2"/>
  <c r="BO94" i="2" s="1"/>
  <c r="AW214" i="2"/>
  <c r="BP98" i="2"/>
  <c r="BQ98" i="2" s="1"/>
  <c r="BY98" i="2" s="1"/>
  <c r="P101" i="2"/>
  <c r="BK113" i="2"/>
  <c r="BL113" i="2" s="1"/>
  <c r="BM113" i="2" s="1"/>
  <c r="BE113" i="2"/>
  <c r="BF113" i="2" s="1"/>
  <c r="P119" i="2"/>
  <c r="BK124" i="2"/>
  <c r="BL124" i="2" s="1"/>
  <c r="BM124" i="2" s="1"/>
  <c r="BP133" i="2"/>
  <c r="BQ133" i="2" s="1"/>
  <c r="BY133" i="2" s="1"/>
  <c r="BK146" i="2"/>
  <c r="BL146" i="2" s="1"/>
  <c r="BM146" i="2" s="1"/>
  <c r="BE146" i="2"/>
  <c r="BF146" i="2" s="1"/>
  <c r="U156" i="2"/>
  <c r="M69" i="3"/>
  <c r="P159" i="2"/>
  <c r="AT179" i="2"/>
  <c r="CF179" i="2" s="1"/>
  <c r="BI194" i="2"/>
  <c r="BG194" i="2"/>
  <c r="CC194" i="2"/>
  <c r="BJ194" i="2"/>
  <c r="U200" i="2"/>
  <c r="BE217" i="2"/>
  <c r="BF217" i="2" s="1"/>
  <c r="AT217" i="2"/>
  <c r="CF217" i="2" s="1"/>
  <c r="N12" i="3"/>
  <c r="BP38" i="2"/>
  <c r="BQ38" i="2" s="1"/>
  <c r="BY38" i="2" s="1"/>
  <c r="BP39" i="2"/>
  <c r="BQ39" i="2" s="1"/>
  <c r="BY39" i="2" s="1"/>
  <c r="BP41" i="2"/>
  <c r="BQ41" i="2" s="1"/>
  <c r="BY41" i="2" s="1"/>
  <c r="BP42" i="2"/>
  <c r="BQ42" i="2" s="1"/>
  <c r="BY42" i="2" s="1"/>
  <c r="P59" i="2"/>
  <c r="P62" i="2"/>
  <c r="P65" i="2"/>
  <c r="P68" i="2"/>
  <c r="P71" i="2"/>
  <c r="P74" i="2"/>
  <c r="BK77" i="2"/>
  <c r="BL77" i="2" s="1"/>
  <c r="BM77" i="2" s="1"/>
  <c r="BK80" i="2"/>
  <c r="BL80" i="2" s="1"/>
  <c r="BM80" i="2" s="1"/>
  <c r="AP95" i="2"/>
  <c r="AY201" i="2"/>
  <c r="AX201" i="2"/>
  <c r="BK104" i="2"/>
  <c r="BL104" i="2" s="1"/>
  <c r="BM104" i="2" s="1"/>
  <c r="BE104" i="2"/>
  <c r="BF104" i="2" s="1"/>
  <c r="AP107" i="2"/>
  <c r="AR107" i="2" s="1"/>
  <c r="P116" i="2"/>
  <c r="BE120" i="2"/>
  <c r="BF120" i="2" s="1"/>
  <c r="BP130" i="2"/>
  <c r="BQ130" i="2" s="1"/>
  <c r="BY130" i="2" s="1"/>
  <c r="AP131" i="2"/>
  <c r="AR131" i="2" s="1"/>
  <c r="AT135" i="2"/>
  <c r="CF135" i="2" s="1"/>
  <c r="BP138" i="2"/>
  <c r="BQ138" i="2" s="1"/>
  <c r="BY138" i="2" s="1"/>
  <c r="BK143" i="2"/>
  <c r="BL143" i="2" s="1"/>
  <c r="BM143" i="2" s="1"/>
  <c r="BE143" i="2"/>
  <c r="AT146" i="2"/>
  <c r="CF146" i="2" s="1"/>
  <c r="AS151" i="2"/>
  <c r="CC153" i="2"/>
  <c r="P155" i="2"/>
  <c r="AY169" i="2"/>
  <c r="BK174" i="2"/>
  <c r="BL174" i="2" s="1"/>
  <c r="BM174" i="2" s="1"/>
  <c r="AT174" i="2"/>
  <c r="CF174" i="2" s="1"/>
  <c r="BE174" i="2"/>
  <c r="AW182" i="2"/>
  <c r="BE189" i="2"/>
  <c r="BF189" i="2" s="1"/>
  <c r="AT189" i="2"/>
  <c r="CF189" i="2" s="1"/>
  <c r="T193" i="2"/>
  <c r="AR193" i="2"/>
  <c r="BE199" i="2"/>
  <c r="BF199" i="2" s="1"/>
  <c r="AT199" i="2"/>
  <c r="CF199" i="2" s="1"/>
  <c r="BK218" i="2"/>
  <c r="BL218" i="2" s="1"/>
  <c r="BM218" i="2" s="1"/>
  <c r="AT218" i="2"/>
  <c r="CF218" i="2" s="1"/>
  <c r="BE218" i="2"/>
  <c r="BF218" i="2" s="1"/>
  <c r="BK233" i="2"/>
  <c r="BL233" i="2" s="1"/>
  <c r="BM233" i="2" s="1"/>
  <c r="AT233" i="2"/>
  <c r="CF233" i="2" s="1"/>
  <c r="BE233" i="2"/>
  <c r="BF233" i="2" s="1"/>
  <c r="AT246" i="2"/>
  <c r="CF246" i="2" s="1"/>
  <c r="BE246" i="2"/>
  <c r="BF246" i="2" s="1"/>
  <c r="U56" i="1"/>
  <c r="U61" i="1"/>
  <c r="U78" i="1"/>
  <c r="U83" i="1"/>
  <c r="U100" i="1"/>
  <c r="T21" i="2"/>
  <c r="BE25" i="2"/>
  <c r="BF25" i="2" s="1"/>
  <c r="BP44" i="2"/>
  <c r="BQ44" i="2" s="1"/>
  <c r="BY44" i="2" s="1"/>
  <c r="T45" i="2"/>
  <c r="AX184" i="2"/>
  <c r="AY184" i="2"/>
  <c r="BK184" i="2" s="1"/>
  <c r="BL184" i="2" s="1"/>
  <c r="BM184" i="2" s="1"/>
  <c r="BP45" i="2"/>
  <c r="BQ45" i="2" s="1"/>
  <c r="BY45" i="2" s="1"/>
  <c r="T47" i="2"/>
  <c r="BN49" i="2"/>
  <c r="BO49" i="2" s="1"/>
  <c r="AW188" i="2"/>
  <c r="BN52" i="2"/>
  <c r="BO52" i="2" s="1"/>
  <c r="BK92" i="2"/>
  <c r="BL92" i="2" s="1"/>
  <c r="BM92" i="2" s="1"/>
  <c r="BE92" i="2"/>
  <c r="BF92" i="2" s="1"/>
  <c r="BN97" i="2"/>
  <c r="BO97" i="2" s="1"/>
  <c r="AW212" i="2"/>
  <c r="BK108" i="2"/>
  <c r="BL108" i="2" s="1"/>
  <c r="BM108" i="2" s="1"/>
  <c r="BK109" i="2"/>
  <c r="BL109" i="2" s="1"/>
  <c r="BM109" i="2" s="1"/>
  <c r="AR123" i="2"/>
  <c r="T123" i="2"/>
  <c r="BP127" i="2"/>
  <c r="BQ127" i="2" s="1"/>
  <c r="BY127" i="2" s="1"/>
  <c r="BK140" i="2"/>
  <c r="BL140" i="2" s="1"/>
  <c r="BM140" i="2" s="1"/>
  <c r="BE140" i="2"/>
  <c r="BF140" i="2" s="1"/>
  <c r="M13" i="3"/>
  <c r="BX152" i="2"/>
  <c r="M49" i="3"/>
  <c r="M48" i="3"/>
  <c r="BE162" i="2"/>
  <c r="BF162" i="2" s="1"/>
  <c r="BX168" i="2"/>
  <c r="AR173" i="2"/>
  <c r="U173" i="2"/>
  <c r="T187" i="2"/>
  <c r="AR187" i="2"/>
  <c r="U187" i="2"/>
  <c r="AT200" i="2"/>
  <c r="CF200" i="2" s="1"/>
  <c r="BE200" i="2"/>
  <c r="BF200" i="2" s="1"/>
  <c r="BE201" i="2"/>
  <c r="BF201" i="2" s="1"/>
  <c r="BK201" i="2"/>
  <c r="BL201" i="2" s="1"/>
  <c r="BM201" i="2" s="1"/>
  <c r="AT201" i="2"/>
  <c r="CF201" i="2" s="1"/>
  <c r="AR202" i="2"/>
  <c r="U202" i="2"/>
  <c r="AR206" i="2"/>
  <c r="U206" i="2"/>
  <c r="AR211" i="2"/>
  <c r="U211" i="2"/>
  <c r="N131" i="3"/>
  <c r="AT18" i="2"/>
  <c r="CF18" i="2" s="1"/>
  <c r="BE29" i="2"/>
  <c r="BF29" i="2" s="1"/>
  <c r="BE30" i="2"/>
  <c r="BF30" i="2" s="1"/>
  <c r="BE32" i="2"/>
  <c r="BF32" i="2" s="1"/>
  <c r="BE33" i="2"/>
  <c r="BF33" i="2" s="1"/>
  <c r="BE36" i="2"/>
  <c r="BF36" i="2" s="1"/>
  <c r="BF39" i="2"/>
  <c r="BP46" i="2"/>
  <c r="BQ46" i="2" s="1"/>
  <c r="BY46" i="2" s="1"/>
  <c r="U47" i="2"/>
  <c r="BP47" i="2"/>
  <c r="BQ47" i="2" s="1"/>
  <c r="BY47" i="2" s="1"/>
  <c r="AX50" i="2"/>
  <c r="BN55" i="2"/>
  <c r="BO55" i="2" s="1"/>
  <c r="AW235" i="2"/>
  <c r="AT79" i="2"/>
  <c r="CF79" i="2" s="1"/>
  <c r="AT82" i="2"/>
  <c r="CF82" i="2" s="1"/>
  <c r="AT86" i="2"/>
  <c r="CF86" i="2" s="1"/>
  <c r="AT87" i="2"/>
  <c r="CF87" i="2" s="1"/>
  <c r="AT89" i="2"/>
  <c r="CF89" i="2" s="1"/>
  <c r="AT90" i="2"/>
  <c r="CF90" i="2" s="1"/>
  <c r="AT92" i="2"/>
  <c r="CF92" i="2" s="1"/>
  <c r="BN96" i="2"/>
  <c r="BO96" i="2" s="1"/>
  <c r="BP97" i="2"/>
  <c r="BQ97" i="2" s="1"/>
  <c r="BY97" i="2" s="1"/>
  <c r="AT108" i="2"/>
  <c r="CF108" i="2" s="1"/>
  <c r="BP124" i="2"/>
  <c r="BQ124" i="2" s="1"/>
  <c r="BY124" i="2" s="1"/>
  <c r="BK137" i="2"/>
  <c r="BL137" i="2" s="1"/>
  <c r="BM137" i="2" s="1"/>
  <c r="BE137" i="2"/>
  <c r="BF137" i="2" s="1"/>
  <c r="AT140" i="2"/>
  <c r="CF140" i="2" s="1"/>
  <c r="BF142" i="2"/>
  <c r="P143" i="2"/>
  <c r="M26" i="3"/>
  <c r="M24" i="3" s="1"/>
  <c r="M28" i="3" s="1"/>
  <c r="AP152" i="2"/>
  <c r="BX157" i="2"/>
  <c r="AT162" i="2"/>
  <c r="CF162" i="2" s="1"/>
  <c r="AP164" i="2"/>
  <c r="AW175" i="2"/>
  <c r="AR212" i="2"/>
  <c r="U212" i="2"/>
  <c r="AP9" i="2"/>
  <c r="AP12" i="2"/>
  <c r="AR19" i="2"/>
  <c r="BP21" i="2"/>
  <c r="BQ21" i="2" s="1"/>
  <c r="BY21" i="2" s="1"/>
  <c r="AT24" i="2"/>
  <c r="CF24" i="2" s="1"/>
  <c r="AR26" i="2"/>
  <c r="BF28" i="2"/>
  <c r="BF31" i="2"/>
  <c r="BF34" i="2"/>
  <c r="BF37" i="2"/>
  <c r="BE38" i="2"/>
  <c r="BF38" i="2" s="1"/>
  <c r="BE41" i="2"/>
  <c r="BF41" i="2" s="1"/>
  <c r="T49" i="2"/>
  <c r="BP49" i="2"/>
  <c r="BQ49" i="2" s="1"/>
  <c r="BY49" i="2" s="1"/>
  <c r="AX190" i="2"/>
  <c r="AY190" i="2"/>
  <c r="AW265" i="2" s="1"/>
  <c r="AX265" i="2" s="1"/>
  <c r="BP51" i="2"/>
  <c r="BQ51" i="2" s="1"/>
  <c r="BY51" i="2" s="1"/>
  <c r="BP52" i="2"/>
  <c r="BQ52" i="2" s="1"/>
  <c r="BY52" i="2" s="1"/>
  <c r="BN58" i="2"/>
  <c r="BO58" i="2" s="1"/>
  <c r="AW231" i="2"/>
  <c r="BN59" i="2"/>
  <c r="BO59" i="2" s="1"/>
  <c r="BN60" i="2"/>
  <c r="BO60" i="2" s="1"/>
  <c r="BN61" i="2"/>
  <c r="BO61" i="2" s="1"/>
  <c r="AW197" i="2"/>
  <c r="BN62" i="2"/>
  <c r="BO62" i="2" s="1"/>
  <c r="BN63" i="2"/>
  <c r="BO63" i="2" s="1"/>
  <c r="BN64" i="2"/>
  <c r="BO64" i="2" s="1"/>
  <c r="AW211" i="2"/>
  <c r="BN65" i="2"/>
  <c r="BO65" i="2" s="1"/>
  <c r="BN66" i="2"/>
  <c r="BO66" i="2" s="1"/>
  <c r="BN67" i="2"/>
  <c r="BO67" i="2" s="1"/>
  <c r="AW220" i="2"/>
  <c r="BN68" i="2"/>
  <c r="BO68" i="2" s="1"/>
  <c r="BN69" i="2"/>
  <c r="BO69" i="2" s="1"/>
  <c r="BN70" i="2"/>
  <c r="BO70" i="2" s="1"/>
  <c r="AW221" i="2"/>
  <c r="BL70" i="2"/>
  <c r="BM70" i="2" s="1"/>
  <c r="BN71" i="2"/>
  <c r="BO71" i="2" s="1"/>
  <c r="BN72" i="2"/>
  <c r="BO72" i="2" s="1"/>
  <c r="BN73" i="2"/>
  <c r="BO73" i="2" s="1"/>
  <c r="AW224" i="2"/>
  <c r="BN74" i="2"/>
  <c r="BO74" i="2" s="1"/>
  <c r="BN75" i="2"/>
  <c r="BO75" i="2" s="1"/>
  <c r="BK79" i="2"/>
  <c r="BL79" i="2" s="1"/>
  <c r="BM79" i="2" s="1"/>
  <c r="BK82" i="2"/>
  <c r="BL82" i="2" s="1"/>
  <c r="BM82" i="2" s="1"/>
  <c r="T101" i="2"/>
  <c r="AY244" i="2"/>
  <c r="BK244" i="2" s="1"/>
  <c r="BL244" i="2" s="1"/>
  <c r="BM244" i="2" s="1"/>
  <c r="AX244" i="2"/>
  <c r="AR103" i="2"/>
  <c r="BN104" i="2"/>
  <c r="BO104" i="2" s="1"/>
  <c r="AT126" i="2"/>
  <c r="CF126" i="2" s="1"/>
  <c r="BP129" i="2"/>
  <c r="BQ129" i="2" s="1"/>
  <c r="BY129" i="2" s="1"/>
  <c r="AT137" i="2"/>
  <c r="CF137" i="2" s="1"/>
  <c r="P140" i="2"/>
  <c r="BE156" i="2"/>
  <c r="BF156" i="2" s="1"/>
  <c r="AR185" i="2"/>
  <c r="T190" i="2"/>
  <c r="U190" i="2"/>
  <c r="BE211" i="2"/>
  <c r="BF211" i="2" s="1"/>
  <c r="AT227" i="2"/>
  <c r="CF227" i="2" s="1"/>
  <c r="BE227" i="2"/>
  <c r="BF227" i="2" s="1"/>
  <c r="AT248" i="2"/>
  <c r="CF248" i="2" s="1"/>
  <c r="BE248" i="2"/>
  <c r="BF248" i="2" s="1"/>
  <c r="U54" i="1"/>
  <c r="U59" i="1"/>
  <c r="U76" i="1"/>
  <c r="U93" i="1"/>
  <c r="U98" i="1"/>
  <c r="U5" i="1"/>
  <c r="U8" i="1"/>
  <c r="U11" i="1"/>
  <c r="U14" i="1"/>
  <c r="U17" i="1"/>
  <c r="U20" i="1"/>
  <c r="U23" i="1"/>
  <c r="U26" i="1"/>
  <c r="U29" i="1"/>
  <c r="U32" i="1"/>
  <c r="U35" i="1"/>
  <c r="U38" i="1"/>
  <c r="U41" i="1"/>
  <c r="U44" i="1"/>
  <c r="U47" i="1"/>
  <c r="U64" i="1"/>
  <c r="U81" i="1"/>
  <c r="U86" i="1"/>
  <c r="BF9" i="2"/>
  <c r="BP22" i="2"/>
  <c r="BQ22" i="2" s="1"/>
  <c r="BY22" i="2" s="1"/>
  <c r="BN23" i="2"/>
  <c r="BO23" i="2" s="1"/>
  <c r="BP53" i="2"/>
  <c r="BQ53" i="2" s="1"/>
  <c r="BY53" i="2" s="1"/>
  <c r="BP55" i="2"/>
  <c r="BQ55" i="2" s="1"/>
  <c r="BY55" i="2" s="1"/>
  <c r="AY216" i="2"/>
  <c r="AX216" i="2"/>
  <c r="BP56" i="2"/>
  <c r="BQ56" i="2" s="1"/>
  <c r="BY56" i="2" s="1"/>
  <c r="BN76" i="2"/>
  <c r="BO76" i="2" s="1"/>
  <c r="AW207" i="2"/>
  <c r="BN77" i="2"/>
  <c r="BO77" i="2" s="1"/>
  <c r="BN78" i="2"/>
  <c r="BO78" i="2" s="1"/>
  <c r="AW208" i="2"/>
  <c r="BN79" i="2"/>
  <c r="BO79" i="2" s="1"/>
  <c r="BN80" i="2"/>
  <c r="BO80" i="2" s="1"/>
  <c r="BN81" i="2"/>
  <c r="BO81" i="2" s="1"/>
  <c r="BN82" i="2"/>
  <c r="BO82" i="2" s="1"/>
  <c r="AW198" i="2"/>
  <c r="BN83" i="2"/>
  <c r="BO83" i="2" s="1"/>
  <c r="BN84" i="2"/>
  <c r="BO84" i="2" s="1"/>
  <c r="BN92" i="2"/>
  <c r="BO92" i="2" s="1"/>
  <c r="BP96" i="2"/>
  <c r="BQ96" i="2" s="1"/>
  <c r="BY96" i="2" s="1"/>
  <c r="BN100" i="2"/>
  <c r="BO100" i="2" s="1"/>
  <c r="AW217" i="2"/>
  <c r="BF105" i="2"/>
  <c r="AP110" i="2"/>
  <c r="AR110" i="2" s="1"/>
  <c r="BK120" i="2"/>
  <c r="BL120" i="2" s="1"/>
  <c r="BM120" i="2" s="1"/>
  <c r="BP121" i="2"/>
  <c r="BQ121" i="2" s="1"/>
  <c r="BY121" i="2" s="1"/>
  <c r="AP122" i="2"/>
  <c r="AR122" i="2" s="1"/>
  <c r="BP126" i="2"/>
  <c r="BQ126" i="2" s="1"/>
  <c r="BY126" i="2" s="1"/>
  <c r="BF136" i="2"/>
  <c r="P137" i="2"/>
  <c r="BF138" i="2"/>
  <c r="P149" i="2"/>
  <c r="BX150" i="2"/>
  <c r="AT156" i="2"/>
  <c r="CF156" i="2" s="1"/>
  <c r="AS163" i="2"/>
  <c r="AR165" i="2"/>
  <c r="U170" i="2"/>
  <c r="T170" i="2"/>
  <c r="AR171" i="2"/>
  <c r="U171" i="2"/>
  <c r="AW288" i="2"/>
  <c r="AX288" i="2" s="1"/>
  <c r="BP174" i="2"/>
  <c r="BQ174" i="2" s="1"/>
  <c r="BY174" i="2" s="1"/>
  <c r="BN174" i="2"/>
  <c r="BO174" i="2" s="1"/>
  <c r="BE187" i="2"/>
  <c r="BF187" i="2" s="1"/>
  <c r="AT187" i="2"/>
  <c r="CF187" i="2" s="1"/>
  <c r="AW193" i="2"/>
  <c r="BK196" i="2"/>
  <c r="BL196" i="2" s="1"/>
  <c r="BM196" i="2" s="1"/>
  <c r="AT196" i="2"/>
  <c r="CF196" i="2" s="1"/>
  <c r="BE196" i="2"/>
  <c r="BF196" i="2" s="1"/>
  <c r="AT212" i="2"/>
  <c r="CF212" i="2" s="1"/>
  <c r="BE212" i="2"/>
  <c r="BF212" i="2" s="1"/>
  <c r="AT213" i="2"/>
  <c r="CF213" i="2" s="1"/>
  <c r="BE213" i="2"/>
  <c r="BF213" i="2" s="1"/>
  <c r="AR224" i="2"/>
  <c r="U224" i="2"/>
  <c r="AT242" i="2"/>
  <c r="CF242" i="2" s="1"/>
  <c r="BE242" i="2"/>
  <c r="BF242" i="2" s="1"/>
  <c r="AT249" i="2"/>
  <c r="CF249" i="2" s="1"/>
  <c r="N69" i="3"/>
  <c r="AY225" i="2"/>
  <c r="BK225" i="2" s="1"/>
  <c r="BL225" i="2" s="1"/>
  <c r="BM225" i="2" s="1"/>
  <c r="AX225" i="2"/>
  <c r="BP59" i="2"/>
  <c r="BQ59" i="2" s="1"/>
  <c r="BY59" i="2" s="1"/>
  <c r="AY222" i="2"/>
  <c r="AX222" i="2"/>
  <c r="BP60" i="2"/>
  <c r="BQ60" i="2" s="1"/>
  <c r="BY60" i="2" s="1"/>
  <c r="AY200" i="2"/>
  <c r="AX200" i="2"/>
  <c r="BP62" i="2"/>
  <c r="BQ62" i="2" s="1"/>
  <c r="BY62" i="2" s="1"/>
  <c r="AY213" i="2"/>
  <c r="BK213" i="2" s="1"/>
  <c r="BL213" i="2" s="1"/>
  <c r="BM213" i="2" s="1"/>
  <c r="AX213" i="2"/>
  <c r="BP63" i="2"/>
  <c r="BQ63" i="2" s="1"/>
  <c r="BY63" i="2" s="1"/>
  <c r="AX232" i="2"/>
  <c r="AY232" i="2"/>
  <c r="BK232" i="2" s="1"/>
  <c r="BL232" i="2" s="1"/>
  <c r="BM232" i="2" s="1"/>
  <c r="BP66" i="2"/>
  <c r="BQ66" i="2" s="1"/>
  <c r="BY66" i="2" s="1"/>
  <c r="AY210" i="2"/>
  <c r="AX210" i="2"/>
  <c r="BP68" i="2"/>
  <c r="BQ68" i="2" s="1"/>
  <c r="BY68" i="2" s="1"/>
  <c r="AY204" i="2"/>
  <c r="BK204" i="2" s="1"/>
  <c r="BL204" i="2" s="1"/>
  <c r="BM204" i="2" s="1"/>
  <c r="AX204" i="2"/>
  <c r="BP69" i="2"/>
  <c r="BQ69" i="2" s="1"/>
  <c r="BY69" i="2" s="1"/>
  <c r="AX238" i="2"/>
  <c r="AY238" i="2"/>
  <c r="BP71" i="2"/>
  <c r="BQ71" i="2" s="1"/>
  <c r="BY71" i="2" s="1"/>
  <c r="BP72" i="2"/>
  <c r="BQ72" i="2" s="1"/>
  <c r="BY72" i="2" s="1"/>
  <c r="AX240" i="2"/>
  <c r="AY240" i="2"/>
  <c r="BK240" i="2" s="1"/>
  <c r="BL240" i="2" s="1"/>
  <c r="BM240" i="2" s="1"/>
  <c r="BP74" i="2"/>
  <c r="BQ74" i="2" s="1"/>
  <c r="BY74" i="2" s="1"/>
  <c r="AY242" i="2"/>
  <c r="AX242" i="2"/>
  <c r="BP75" i="2"/>
  <c r="BQ75" i="2" s="1"/>
  <c r="BY75" i="2" s="1"/>
  <c r="BN85" i="2"/>
  <c r="BO85" i="2" s="1"/>
  <c r="AW202" i="2"/>
  <c r="BN88" i="2"/>
  <c r="BO88" i="2" s="1"/>
  <c r="AW230" i="2"/>
  <c r="BN91" i="2"/>
  <c r="BO91" i="2" s="1"/>
  <c r="AW209" i="2"/>
  <c r="U93" i="2"/>
  <c r="AY236" i="2"/>
  <c r="BK236" i="2" s="1"/>
  <c r="BL236" i="2" s="1"/>
  <c r="BM236" i="2" s="1"/>
  <c r="AX236" i="2"/>
  <c r="BN99" i="2"/>
  <c r="BO99" i="2" s="1"/>
  <c r="BK111" i="2"/>
  <c r="BL111" i="2" s="1"/>
  <c r="BM111" i="2" s="1"/>
  <c r="BP118" i="2"/>
  <c r="BQ118" i="2" s="1"/>
  <c r="BY118" i="2" s="1"/>
  <c r="BK128" i="2"/>
  <c r="BE128" i="2"/>
  <c r="BF128" i="2" s="1"/>
  <c r="BL128" i="2"/>
  <c r="BM128" i="2" s="1"/>
  <c r="BF135" i="2"/>
  <c r="AR154" i="2"/>
  <c r="U158" i="2"/>
  <c r="T158" i="2"/>
  <c r="AW162" i="2"/>
  <c r="T178" i="2"/>
  <c r="BE179" i="2"/>
  <c r="BF179" i="2" s="1"/>
  <c r="T180" i="2"/>
  <c r="BX183" i="2"/>
  <c r="BE214" i="2"/>
  <c r="BF214" i="2" s="1"/>
  <c r="AT214" i="2"/>
  <c r="CF214" i="2" s="1"/>
  <c r="BE229" i="2"/>
  <c r="BF229" i="2" s="1"/>
  <c r="AT229" i="2"/>
  <c r="CF229" i="2" s="1"/>
  <c r="AT239" i="2"/>
  <c r="CF239" i="2" s="1"/>
  <c r="BE239" i="2"/>
  <c r="BF239" i="2" s="1"/>
  <c r="AT243" i="2"/>
  <c r="CF243" i="2" s="1"/>
  <c r="BE243" i="2"/>
  <c r="BF243" i="2" s="1"/>
  <c r="U49" i="1"/>
  <c r="U66" i="1"/>
  <c r="U71" i="1"/>
  <c r="U88" i="1"/>
  <c r="U52" i="1"/>
  <c r="U69" i="1"/>
  <c r="U74" i="1"/>
  <c r="U91" i="1"/>
  <c r="U96" i="1"/>
  <c r="U101" i="1"/>
  <c r="U57" i="1"/>
  <c r="U62" i="1"/>
  <c r="U79" i="1"/>
  <c r="U84" i="1"/>
  <c r="BN18" i="2"/>
  <c r="BO18" i="2" s="1"/>
  <c r="BP23" i="2"/>
  <c r="BQ23" i="2" s="1"/>
  <c r="BY23" i="2" s="1"/>
  <c r="AT25" i="2"/>
  <c r="CF25" i="2" s="1"/>
  <c r="P29" i="2"/>
  <c r="AT29" i="2"/>
  <c r="CF29" i="2" s="1"/>
  <c r="AT30" i="2"/>
  <c r="CF30" i="2" s="1"/>
  <c r="P32" i="2"/>
  <c r="AT32" i="2"/>
  <c r="CF32" i="2" s="1"/>
  <c r="P35" i="2"/>
  <c r="AT36" i="2"/>
  <c r="CF36" i="2" s="1"/>
  <c r="AX229" i="2"/>
  <c r="AY229" i="2"/>
  <c r="BK229" i="2" s="1"/>
  <c r="BL229" i="2" s="1"/>
  <c r="BM229" i="2" s="1"/>
  <c r="BP77" i="2"/>
  <c r="BQ77" i="2" s="1"/>
  <c r="BY77" i="2" s="1"/>
  <c r="AY239" i="2"/>
  <c r="AX239" i="2"/>
  <c r="BP78" i="2"/>
  <c r="BQ78" i="2" s="1"/>
  <c r="BY78" i="2" s="1"/>
  <c r="AX215" i="2"/>
  <c r="AY215" i="2"/>
  <c r="BP80" i="2"/>
  <c r="BQ80" i="2" s="1"/>
  <c r="BY80" i="2" s="1"/>
  <c r="AY227" i="2"/>
  <c r="BK227" i="2" s="1"/>
  <c r="BL227" i="2" s="1"/>
  <c r="BM227" i="2" s="1"/>
  <c r="AX227" i="2"/>
  <c r="BP81" i="2"/>
  <c r="BQ81" i="2" s="1"/>
  <c r="BY81" i="2" s="1"/>
  <c r="AX243" i="2"/>
  <c r="AY243" i="2"/>
  <c r="BK243" i="2" s="1"/>
  <c r="BL243" i="2" s="1"/>
  <c r="BM243" i="2" s="1"/>
  <c r="BP83" i="2"/>
  <c r="BQ83" i="2" s="1"/>
  <c r="BY83" i="2" s="1"/>
  <c r="AY206" i="2"/>
  <c r="AX206" i="2"/>
  <c r="BP84" i="2"/>
  <c r="BQ84" i="2" s="1"/>
  <c r="BY84" i="2" s="1"/>
  <c r="AX87" i="2"/>
  <c r="BP92" i="2"/>
  <c r="BQ92" i="2" s="1"/>
  <c r="BY92" i="2" s="1"/>
  <c r="P95" i="2"/>
  <c r="BK98" i="2"/>
  <c r="BL98" i="2" s="1"/>
  <c r="BM98" i="2" s="1"/>
  <c r="BE98" i="2"/>
  <c r="BF98" i="2" s="1"/>
  <c r="AY103" i="2"/>
  <c r="AX226" i="2"/>
  <c r="AY226" i="2"/>
  <c r="AW323" i="2" s="1"/>
  <c r="P107" i="2"/>
  <c r="BP115" i="2"/>
  <c r="BQ115" i="2" s="1"/>
  <c r="BY115" i="2" s="1"/>
  <c r="AP116" i="2"/>
  <c r="AR116" i="2" s="1"/>
  <c r="AT128" i="2"/>
  <c r="CF128" i="2" s="1"/>
  <c r="P131" i="2"/>
  <c r="BE152" i="2"/>
  <c r="BF152" i="2" s="1"/>
  <c r="BE155" i="2"/>
  <c r="BF155" i="2" s="1"/>
  <c r="BE164" i="2"/>
  <c r="BF164" i="2" s="1"/>
  <c r="AT167" i="2"/>
  <c r="CF167" i="2" s="1"/>
  <c r="AY172" i="2"/>
  <c r="BF174" i="2"/>
  <c r="BE176" i="2"/>
  <c r="BF176" i="2" s="1"/>
  <c r="BE190" i="2"/>
  <c r="BF190" i="2" s="1"/>
  <c r="AT190" i="2"/>
  <c r="CF190" i="2" s="1"/>
  <c r="AT194" i="2"/>
  <c r="CF194" i="2" s="1"/>
  <c r="AT224" i="2"/>
  <c r="CF224" i="2" s="1"/>
  <c r="BE224" i="2"/>
  <c r="BF224" i="2" s="1"/>
  <c r="AT225" i="2"/>
  <c r="CF225" i="2" s="1"/>
  <c r="BE225" i="2"/>
  <c r="BF225" i="2" s="1"/>
  <c r="U230" i="2"/>
  <c r="AR230" i="2"/>
  <c r="U50" i="1"/>
  <c r="U67" i="1"/>
  <c r="U72" i="1"/>
  <c r="U89" i="1"/>
  <c r="AY158" i="2"/>
  <c r="BK158" i="2" s="1"/>
  <c r="BL158" i="2" s="1"/>
  <c r="BM158" i="2" s="1"/>
  <c r="AX158" i="2"/>
  <c r="BN19" i="2"/>
  <c r="BO19" i="2" s="1"/>
  <c r="AW159" i="2"/>
  <c r="BL36" i="2"/>
  <c r="BM36" i="2" s="1"/>
  <c r="BF63" i="2"/>
  <c r="BF75" i="2"/>
  <c r="BP85" i="2"/>
  <c r="BQ85" i="2" s="1"/>
  <c r="BY85" i="2" s="1"/>
  <c r="AY203" i="2"/>
  <c r="BK203" i="2" s="1"/>
  <c r="BL203" i="2" s="1"/>
  <c r="BM203" i="2" s="1"/>
  <c r="AX203" i="2"/>
  <c r="BP86" i="2"/>
  <c r="BQ86" i="2" s="1"/>
  <c r="BY86" i="2" s="1"/>
  <c r="BP88" i="2"/>
  <c r="BQ88" i="2" s="1"/>
  <c r="BY88" i="2" s="1"/>
  <c r="AY228" i="2"/>
  <c r="AX228" i="2"/>
  <c r="BP89" i="2"/>
  <c r="BQ89" i="2" s="1"/>
  <c r="BY89" i="2" s="1"/>
  <c r="AX237" i="2"/>
  <c r="AY237" i="2"/>
  <c r="BP90" i="2"/>
  <c r="BQ90" i="2" s="1"/>
  <c r="BY90" i="2" s="1"/>
  <c r="BP91" i="2"/>
  <c r="BQ91" i="2" s="1"/>
  <c r="BY91" i="2" s="1"/>
  <c r="AX223" i="2"/>
  <c r="AY223" i="2"/>
  <c r="BK223" i="2" s="1"/>
  <c r="BL223" i="2" s="1"/>
  <c r="BM223" i="2" s="1"/>
  <c r="BF96" i="2"/>
  <c r="BP99" i="2"/>
  <c r="BQ99" i="2" s="1"/>
  <c r="BY99" i="2" s="1"/>
  <c r="BP112" i="2"/>
  <c r="BQ112" i="2" s="1"/>
  <c r="BY112" i="2" s="1"/>
  <c r="BP145" i="2"/>
  <c r="BQ145" i="2" s="1"/>
  <c r="BY145" i="2" s="1"/>
  <c r="BE150" i="2"/>
  <c r="BF150" i="2" s="1"/>
  <c r="M12" i="3"/>
  <c r="AW276" i="2"/>
  <c r="AX276" i="2" s="1"/>
  <c r="BN154" i="2"/>
  <c r="BO154" i="2" s="1"/>
  <c r="AW156" i="2"/>
  <c r="U160" i="2"/>
  <c r="T160" i="2"/>
  <c r="AT168" i="2"/>
  <c r="CF168" i="2" s="1"/>
  <c r="BE168" i="2"/>
  <c r="BF168" i="2" s="1"/>
  <c r="T175" i="2"/>
  <c r="T176" i="2"/>
  <c r="AW185" i="2"/>
  <c r="AT208" i="2"/>
  <c r="CF208" i="2" s="1"/>
  <c r="BE235" i="2"/>
  <c r="BF235" i="2" s="1"/>
  <c r="AT235" i="2"/>
  <c r="CF235" i="2" s="1"/>
  <c r="AT251" i="2"/>
  <c r="CF251" i="2" s="1"/>
  <c r="BE251" i="2"/>
  <c r="BF251" i="2" s="1"/>
  <c r="N84" i="3"/>
  <c r="N85" i="3"/>
  <c r="N13" i="3"/>
  <c r="AY14" i="2"/>
  <c r="BP18" i="2"/>
  <c r="BQ18" i="2" s="1"/>
  <c r="BY18" i="2" s="1"/>
  <c r="BN25" i="2"/>
  <c r="BO25" i="2" s="1"/>
  <c r="AW165" i="2"/>
  <c r="BF84" i="2"/>
  <c r="AY194" i="2"/>
  <c r="BK194" i="2" s="1"/>
  <c r="BL194" i="2" s="1"/>
  <c r="BM194" i="2" s="1"/>
  <c r="AX194" i="2"/>
  <c r="BF108" i="2"/>
  <c r="BE109" i="2"/>
  <c r="BF109" i="2" s="1"/>
  <c r="BK110" i="2"/>
  <c r="BL110" i="2" s="1"/>
  <c r="BM110" i="2" s="1"/>
  <c r="BE110" i="2"/>
  <c r="BF110" i="2" s="1"/>
  <c r="BK122" i="2"/>
  <c r="BL122" i="2" s="1"/>
  <c r="BM122" i="2" s="1"/>
  <c r="BE122" i="2"/>
  <c r="BF122" i="2" s="1"/>
  <c r="P125" i="2"/>
  <c r="AX134" i="2"/>
  <c r="BP142" i="2"/>
  <c r="BQ142" i="2" s="1"/>
  <c r="BY142" i="2" s="1"/>
  <c r="AP143" i="2"/>
  <c r="AR143" i="2" s="1"/>
  <c r="BF143" i="2"/>
  <c r="AY148" i="2"/>
  <c r="BK148" i="2" s="1"/>
  <c r="BL148" i="2" s="1"/>
  <c r="BM148" i="2" s="1"/>
  <c r="AT150" i="2"/>
  <c r="CF150" i="2" s="1"/>
  <c r="BX153" i="2"/>
  <c r="AR158" i="2"/>
  <c r="AS160" i="2"/>
  <c r="AY163" i="2"/>
  <c r="P165" i="2"/>
  <c r="AY166" i="2"/>
  <c r="AS169" i="2"/>
  <c r="AR169" i="2"/>
  <c r="U169" i="2"/>
  <c r="BE170" i="2"/>
  <c r="BF170" i="2" s="1"/>
  <c r="AT178" i="2"/>
  <c r="CF178" i="2" s="1"/>
  <c r="BE178" i="2"/>
  <c r="BF178" i="2" s="1"/>
  <c r="AT181" i="2"/>
  <c r="CF181" i="2" s="1"/>
  <c r="BE181" i="2"/>
  <c r="BF181" i="2" s="1"/>
  <c r="AR181" i="2"/>
  <c r="U181" i="2"/>
  <c r="T184" i="2"/>
  <c r="AR184" i="2"/>
  <c r="U184" i="2"/>
  <c r="AT188" i="2"/>
  <c r="CF188" i="2" s="1"/>
  <c r="BE188" i="2"/>
  <c r="BF188" i="2" s="1"/>
  <c r="BE195" i="2"/>
  <c r="BF195" i="2" s="1"/>
  <c r="AR221" i="2"/>
  <c r="U221" i="2"/>
  <c r="BE244" i="2"/>
  <c r="BF244" i="2" s="1"/>
  <c r="AT244" i="2"/>
  <c r="CF244" i="2" s="1"/>
  <c r="N100" i="3"/>
  <c r="BX9" i="2"/>
  <c r="N33" i="3"/>
  <c r="BX12" i="2"/>
  <c r="N140" i="3" s="1"/>
  <c r="N62" i="3"/>
  <c r="BL15" i="2"/>
  <c r="BM15" i="2" s="1"/>
  <c r="BN29" i="2"/>
  <c r="BO29" i="2" s="1"/>
  <c r="BN31" i="2"/>
  <c r="BO31" i="2" s="1"/>
  <c r="AW171" i="2"/>
  <c r="BN32" i="2"/>
  <c r="BO32" i="2" s="1"/>
  <c r="AR52" i="2"/>
  <c r="BE77" i="2"/>
  <c r="BF77" i="2" s="1"/>
  <c r="BE80" i="2"/>
  <c r="BF80" i="2" s="1"/>
  <c r="BE83" i="2"/>
  <c r="BF83" i="2" s="1"/>
  <c r="BF90" i="2"/>
  <c r="BN98" i="2"/>
  <c r="BO98" i="2" s="1"/>
  <c r="AT110" i="2"/>
  <c r="CF110" i="2" s="1"/>
  <c r="BE121" i="2"/>
  <c r="BF121" i="2" s="1"/>
  <c r="BP139" i="2"/>
  <c r="BQ139" i="2" s="1"/>
  <c r="BY139" i="2" s="1"/>
  <c r="BL141" i="2"/>
  <c r="BM141" i="2" s="1"/>
  <c r="M131" i="3"/>
  <c r="BF149" i="2"/>
  <c r="M84" i="3"/>
  <c r="M85" i="3"/>
  <c r="BX149" i="2"/>
  <c r="P152" i="2"/>
  <c r="AR153" i="2"/>
  <c r="BE158" i="2"/>
  <c r="BF158" i="2" s="1"/>
  <c r="AR160" i="2"/>
  <c r="BX162" i="2"/>
  <c r="P171" i="2"/>
  <c r="BE173" i="2"/>
  <c r="BF173" i="2" s="1"/>
  <c r="AR177" i="2"/>
  <c r="U177" i="2"/>
  <c r="AR179" i="2"/>
  <c r="U179" i="2"/>
  <c r="AT180" i="2"/>
  <c r="CF180" i="2" s="1"/>
  <c r="BE180" i="2"/>
  <c r="BF180" i="2" s="1"/>
  <c r="AT182" i="2"/>
  <c r="CF182" i="2" s="1"/>
  <c r="BE182" i="2"/>
  <c r="BF182" i="2" s="1"/>
  <c r="AY183" i="2"/>
  <c r="BG185" i="2"/>
  <c r="CC185" i="2"/>
  <c r="BJ185" i="2"/>
  <c r="AT195" i="2"/>
  <c r="CF195" i="2" s="1"/>
  <c r="AT230" i="2"/>
  <c r="CF230" i="2" s="1"/>
  <c r="BE230" i="2"/>
  <c r="BF230" i="2" s="1"/>
  <c r="AT252" i="2"/>
  <c r="CF252" i="2" s="1"/>
  <c r="BE252" i="2"/>
  <c r="BF252" i="2" s="1"/>
  <c r="BX199" i="2"/>
  <c r="BX211" i="2"/>
  <c r="BE223" i="2"/>
  <c r="BF223" i="2" s="1"/>
  <c r="BX228" i="2"/>
  <c r="U232" i="2"/>
  <c r="AR249" i="2"/>
  <c r="T249" i="2"/>
  <c r="BE250" i="2"/>
  <c r="AT250" i="2"/>
  <c r="CF250" i="2" s="1"/>
  <c r="T257" i="2"/>
  <c r="AR257" i="2"/>
  <c r="U259" i="2"/>
  <c r="T259" i="2"/>
  <c r="AR259" i="2"/>
  <c r="U263" i="2"/>
  <c r="T263" i="2"/>
  <c r="AR263" i="2"/>
  <c r="BK276" i="2"/>
  <c r="BL276" i="2" s="1"/>
  <c r="BM276" i="2" s="1"/>
  <c r="AT276" i="2"/>
  <c r="CF276" i="2" s="1"/>
  <c r="BE276" i="2"/>
  <c r="BF276" i="2" s="1"/>
  <c r="AW373" i="2"/>
  <c r="BP276" i="2"/>
  <c r="BQ276" i="2" s="1"/>
  <c r="BY276" i="2" s="1"/>
  <c r="BN276" i="2"/>
  <c r="BO276" i="2" s="1"/>
  <c r="U289" i="2"/>
  <c r="AR289" i="2"/>
  <c r="AT295" i="2"/>
  <c r="CF295" i="2" s="1"/>
  <c r="BE295" i="2"/>
  <c r="BF295" i="2" s="1"/>
  <c r="AT299" i="2"/>
  <c r="CF299" i="2" s="1"/>
  <c r="BE299" i="2"/>
  <c r="BF299" i="2" s="1"/>
  <c r="AR301" i="2"/>
  <c r="T301" i="2"/>
  <c r="BE311" i="2"/>
  <c r="BF311" i="2" s="1"/>
  <c r="AT311" i="2"/>
  <c r="CF311" i="2" s="1"/>
  <c r="BE338" i="2"/>
  <c r="BF338" i="2" s="1"/>
  <c r="AT338" i="2"/>
  <c r="CF338" i="2" s="1"/>
  <c r="AT185" i="2"/>
  <c r="CF185" i="2" s="1"/>
  <c r="AP189" i="2"/>
  <c r="AY270" i="2"/>
  <c r="AX270" i="2"/>
  <c r="P195" i="2"/>
  <c r="U196" i="2"/>
  <c r="AT202" i="2"/>
  <c r="CF202" i="2" s="1"/>
  <c r="U208" i="2"/>
  <c r="BX216" i="2"/>
  <c r="P217" i="2"/>
  <c r="AT223" i="2"/>
  <c r="CF223" i="2" s="1"/>
  <c r="BX246" i="2"/>
  <c r="AT254" i="2"/>
  <c r="CF254" i="2" s="1"/>
  <c r="BE254" i="2"/>
  <c r="BF254" i="2" s="1"/>
  <c r="BE271" i="2"/>
  <c r="BF271" i="2" s="1"/>
  <c r="AT271" i="2"/>
  <c r="CF271" i="2" s="1"/>
  <c r="T272" i="2"/>
  <c r="AR272" i="2"/>
  <c r="CC288" i="2"/>
  <c r="BE192" i="2"/>
  <c r="BF192" i="2" s="1"/>
  <c r="AR201" i="2"/>
  <c r="BE204" i="2"/>
  <c r="BF204" i="2" s="1"/>
  <c r="BX219" i="2"/>
  <c r="U233" i="2"/>
  <c r="AR233" i="2"/>
  <c r="U244" i="2"/>
  <c r="AR244" i="2"/>
  <c r="AR252" i="2"/>
  <c r="T252" i="2"/>
  <c r="BE262" i="2"/>
  <c r="BF262" i="2" s="1"/>
  <c r="AT262" i="2"/>
  <c r="CF262" i="2" s="1"/>
  <c r="AR273" i="2"/>
  <c r="T273" i="2"/>
  <c r="BE277" i="2"/>
  <c r="BF277" i="2" s="1"/>
  <c r="AT277" i="2"/>
  <c r="CF277" i="2" s="1"/>
  <c r="T278" i="2"/>
  <c r="AR278" i="2"/>
  <c r="AT282" i="2"/>
  <c r="CF282" i="2" s="1"/>
  <c r="BE282" i="2"/>
  <c r="BF282" i="2" s="1"/>
  <c r="U284" i="2"/>
  <c r="T284" i="2"/>
  <c r="AR284" i="2"/>
  <c r="BE329" i="2"/>
  <c r="BF329" i="2" s="1"/>
  <c r="AT329" i="2"/>
  <c r="CF329" i="2" s="1"/>
  <c r="BK332" i="2"/>
  <c r="BL332" i="2" s="1"/>
  <c r="BM332" i="2" s="1"/>
  <c r="BE332" i="2"/>
  <c r="BF332" i="2" s="1"/>
  <c r="AT332" i="2"/>
  <c r="CF332" i="2" s="1"/>
  <c r="AP183" i="2"/>
  <c r="AT192" i="2"/>
  <c r="CF192" i="2" s="1"/>
  <c r="AT204" i="2"/>
  <c r="CF204" i="2" s="1"/>
  <c r="AP216" i="2"/>
  <c r="BX222" i="2"/>
  <c r="P223" i="2"/>
  <c r="AP228" i="2"/>
  <c r="BX229" i="2"/>
  <c r="U236" i="2"/>
  <c r="AR236" i="2"/>
  <c r="BX245" i="2"/>
  <c r="T248" i="2"/>
  <c r="AR248" i="2"/>
  <c r="AR255" i="2"/>
  <c r="T255" i="2"/>
  <c r="BE259" i="2"/>
  <c r="BF259" i="2" s="1"/>
  <c r="AT259" i="2"/>
  <c r="CF259" i="2" s="1"/>
  <c r="BX260" i="2"/>
  <c r="AT267" i="2"/>
  <c r="CF267" i="2" s="1"/>
  <c r="BE267" i="2"/>
  <c r="BF267" i="2" s="1"/>
  <c r="AT289" i="2"/>
  <c r="CF289" i="2" s="1"/>
  <c r="BE304" i="2"/>
  <c r="BF304" i="2" s="1"/>
  <c r="AT304" i="2"/>
  <c r="CF304" i="2" s="1"/>
  <c r="BE326" i="2"/>
  <c r="BF326" i="2" s="1"/>
  <c r="BE232" i="2"/>
  <c r="AT232" i="2"/>
  <c r="CF232" i="2" s="1"/>
  <c r="AT234" i="2"/>
  <c r="CF234" i="2" s="1"/>
  <c r="BE234" i="2"/>
  <c r="BF234" i="2" s="1"/>
  <c r="AT237" i="2"/>
  <c r="CF237" i="2" s="1"/>
  <c r="BE237" i="2"/>
  <c r="BF237" i="2" s="1"/>
  <c r="AT240" i="2"/>
  <c r="CF240" i="2" s="1"/>
  <c r="BE240" i="2"/>
  <c r="BF240" i="2" s="1"/>
  <c r="U242" i="2"/>
  <c r="AR242" i="2"/>
  <c r="L131" i="3"/>
  <c r="AT263" i="2"/>
  <c r="CF263" i="2" s="1"/>
  <c r="BE263" i="2"/>
  <c r="BF263" i="2" s="1"/>
  <c r="AR264" i="2"/>
  <c r="U264" i="2"/>
  <c r="T264" i="2"/>
  <c r="AT272" i="2"/>
  <c r="CF272" i="2" s="1"/>
  <c r="BE272" i="2"/>
  <c r="BF272" i="2" s="1"/>
  <c r="AT278" i="2"/>
  <c r="CF278" i="2" s="1"/>
  <c r="BE278" i="2"/>
  <c r="BF278" i="2" s="1"/>
  <c r="BE283" i="2"/>
  <c r="BF283" i="2" s="1"/>
  <c r="AT283" i="2"/>
  <c r="CF283" i="2" s="1"/>
  <c r="BE305" i="2"/>
  <c r="BF305" i="2" s="1"/>
  <c r="BF167" i="2"/>
  <c r="U182" i="2"/>
  <c r="AP186" i="2"/>
  <c r="BX186" i="2"/>
  <c r="P187" i="2"/>
  <c r="BX193" i="2"/>
  <c r="AR198" i="2"/>
  <c r="BX198" i="2"/>
  <c r="BX210" i="2"/>
  <c r="BX217" i="2"/>
  <c r="BF250" i="2"/>
  <c r="AT255" i="2"/>
  <c r="CF255" i="2" s="1"/>
  <c r="BE255" i="2"/>
  <c r="BF255" i="2" s="1"/>
  <c r="T265" i="2"/>
  <c r="AR265" i="2"/>
  <c r="BE268" i="2"/>
  <c r="BF268" i="2" s="1"/>
  <c r="AT268" i="2"/>
  <c r="CF268" i="2" s="1"/>
  <c r="BX269" i="2"/>
  <c r="AT284" i="2"/>
  <c r="CF284" i="2" s="1"/>
  <c r="BE284" i="2"/>
  <c r="BF284" i="2" s="1"/>
  <c r="BE285" i="2"/>
  <c r="BF285" i="2" s="1"/>
  <c r="AT285" i="2"/>
  <c r="CF285" i="2" s="1"/>
  <c r="U292" i="2"/>
  <c r="AR292" i="2"/>
  <c r="BE183" i="2"/>
  <c r="BF183" i="2" s="1"/>
  <c r="BX188" i="2"/>
  <c r="BX205" i="2"/>
  <c r="U217" i="2"/>
  <c r="BX220" i="2"/>
  <c r="AP225" i="2"/>
  <c r="AR247" i="2"/>
  <c r="AT264" i="2"/>
  <c r="CF264" i="2" s="1"/>
  <c r="BE264" i="2"/>
  <c r="BF264" i="2" s="1"/>
  <c r="AT273" i="2"/>
  <c r="CF273" i="2" s="1"/>
  <c r="BE273" i="2"/>
  <c r="BF273" i="2" s="1"/>
  <c r="CC291" i="2"/>
  <c r="BJ291" i="2"/>
  <c r="BG291" i="2"/>
  <c r="P189" i="2"/>
  <c r="AP195" i="2"/>
  <c r="U195" i="2" s="1"/>
  <c r="BX200" i="2"/>
  <c r="AR205" i="2"/>
  <c r="U207" i="2"/>
  <c r="BX212" i="2"/>
  <c r="AT219" i="2"/>
  <c r="CF219" i="2" s="1"/>
  <c r="BE219" i="2"/>
  <c r="BF219" i="2" s="1"/>
  <c r="U220" i="2"/>
  <c r="BX231" i="2"/>
  <c r="T251" i="2"/>
  <c r="AR251" i="2"/>
  <c r="U253" i="2"/>
  <c r="T253" i="2"/>
  <c r="AR253" i="2"/>
  <c r="AR258" i="2"/>
  <c r="U275" i="2"/>
  <c r="T275" i="2"/>
  <c r="AR275" i="2"/>
  <c r="AT279" i="2"/>
  <c r="CF279" i="2" s="1"/>
  <c r="BE279" i="2"/>
  <c r="BF279" i="2" s="1"/>
  <c r="AT286" i="2"/>
  <c r="CF286" i="2" s="1"/>
  <c r="BE186" i="2"/>
  <c r="BF186" i="2" s="1"/>
  <c r="BK191" i="2"/>
  <c r="BL191" i="2" s="1"/>
  <c r="BM191" i="2" s="1"/>
  <c r="AT191" i="2"/>
  <c r="CF191" i="2" s="1"/>
  <c r="BE202" i="2"/>
  <c r="BF202" i="2" s="1"/>
  <c r="AT203" i="2"/>
  <c r="CF203" i="2" s="1"/>
  <c r="BE210" i="2"/>
  <c r="BF210" i="2" s="1"/>
  <c r="BK210" i="2"/>
  <c r="BL210" i="2" s="1"/>
  <c r="BM210" i="2" s="1"/>
  <c r="AT222" i="2"/>
  <c r="CF222" i="2" s="1"/>
  <c r="BK222" i="2"/>
  <c r="BL222" i="2" s="1"/>
  <c r="BM222" i="2" s="1"/>
  <c r="BX239" i="2"/>
  <c r="AR246" i="2"/>
  <c r="BE247" i="2"/>
  <c r="BF247" i="2" s="1"/>
  <c r="AT247" i="2"/>
  <c r="CF247" i="2" s="1"/>
  <c r="AT265" i="2"/>
  <c r="CF265" i="2" s="1"/>
  <c r="BE274" i="2"/>
  <c r="BF274" i="2" s="1"/>
  <c r="AT274" i="2"/>
  <c r="CF274" i="2" s="1"/>
  <c r="AR276" i="2"/>
  <c r="T276" i="2"/>
  <c r="AR287" i="2"/>
  <c r="T287" i="2"/>
  <c r="BE292" i="2"/>
  <c r="BF292" i="2" s="1"/>
  <c r="AT292" i="2"/>
  <c r="CF292" i="2" s="1"/>
  <c r="AR293" i="2"/>
  <c r="U293" i="2"/>
  <c r="BE314" i="2"/>
  <c r="BF314" i="2" s="1"/>
  <c r="AT314" i="2"/>
  <c r="CF314" i="2" s="1"/>
  <c r="AT319" i="2"/>
  <c r="CF319" i="2" s="1"/>
  <c r="BK322" i="2"/>
  <c r="BL322" i="2" s="1"/>
  <c r="BM322" i="2" s="1"/>
  <c r="AT322" i="2"/>
  <c r="CF322" i="2" s="1"/>
  <c r="AT186" i="2"/>
  <c r="CF186" i="2" s="1"/>
  <c r="U197" i="2"/>
  <c r="U209" i="2"/>
  <c r="AT210" i="2"/>
  <c r="CF210" i="2" s="1"/>
  <c r="U215" i="2"/>
  <c r="BX218" i="2"/>
  <c r="BX242" i="2"/>
  <c r="U254" i="2"/>
  <c r="T254" i="2"/>
  <c r="AR254" i="2"/>
  <c r="T256" i="2"/>
  <c r="AR256" i="2"/>
  <c r="AT258" i="2"/>
  <c r="CF258" i="2" s="1"/>
  <c r="AR270" i="2"/>
  <c r="T270" i="2"/>
  <c r="BE280" i="2"/>
  <c r="BF280" i="2" s="1"/>
  <c r="AT280" i="2"/>
  <c r="CF280" i="2" s="1"/>
  <c r="T281" i="2"/>
  <c r="AR281" i="2"/>
  <c r="AR299" i="2"/>
  <c r="U299" i="2"/>
  <c r="N48" i="3"/>
  <c r="N49" i="3"/>
  <c r="BX177" i="2"/>
  <c r="BX180" i="2"/>
  <c r="BX185" i="2"/>
  <c r="BN191" i="2"/>
  <c r="BO191" i="2" s="1"/>
  <c r="BX197" i="2"/>
  <c r="BX209" i="2"/>
  <c r="BX221" i="2"/>
  <c r="AP231" i="2"/>
  <c r="BF232" i="2"/>
  <c r="BX241" i="2"/>
  <c r="BX247" i="2"/>
  <c r="U249" i="2"/>
  <c r="U250" i="2"/>
  <c r="T250" i="2"/>
  <c r="AR250" i="2"/>
  <c r="BX251" i="2"/>
  <c r="BE253" i="2"/>
  <c r="BF253" i="2" s="1"/>
  <c r="AT253" i="2"/>
  <c r="CF253" i="2" s="1"/>
  <c r="AT261" i="2"/>
  <c r="CF261" i="2" s="1"/>
  <c r="BE261" i="2"/>
  <c r="BF261" i="2" s="1"/>
  <c r="AP262" i="2"/>
  <c r="BX266" i="2"/>
  <c r="AT275" i="2"/>
  <c r="CF275" i="2" s="1"/>
  <c r="AR282" i="2"/>
  <c r="T282" i="2"/>
  <c r="U300" i="2"/>
  <c r="AR300" i="2"/>
  <c r="AT331" i="2"/>
  <c r="CF331" i="2" s="1"/>
  <c r="BE331" i="2"/>
  <c r="BF331" i="2" s="1"/>
  <c r="BX176" i="2"/>
  <c r="BX179" i="2"/>
  <c r="P186" i="2"/>
  <c r="BX187" i="2"/>
  <c r="BP191" i="2"/>
  <c r="BQ191" i="2" s="1"/>
  <c r="BY191" i="2" s="1"/>
  <c r="AP192" i="2"/>
  <c r="BX192" i="2"/>
  <c r="P193" i="2"/>
  <c r="U194" i="2"/>
  <c r="P198" i="2"/>
  <c r="AP204" i="2"/>
  <c r="BX204" i="2"/>
  <c r="P205" i="2"/>
  <c r="BE207" i="2"/>
  <c r="BF207" i="2" s="1"/>
  <c r="P210" i="2"/>
  <c r="BX254" i="2"/>
  <c r="BE270" i="2"/>
  <c r="BF270" i="2" s="1"/>
  <c r="BE281" i="2"/>
  <c r="BF281" i="2" s="1"/>
  <c r="CC294" i="2"/>
  <c r="BJ294" i="2"/>
  <c r="BI294" i="2"/>
  <c r="BG294" i="2"/>
  <c r="AR296" i="2"/>
  <c r="U296" i="2"/>
  <c r="BE298" i="2"/>
  <c r="BF298" i="2" s="1"/>
  <c r="AT298" i="2"/>
  <c r="CF298" i="2" s="1"/>
  <c r="AT328" i="2"/>
  <c r="CF328" i="2" s="1"/>
  <c r="BE328" i="2"/>
  <c r="BF328" i="2" s="1"/>
  <c r="AT334" i="2"/>
  <c r="CF334" i="2" s="1"/>
  <c r="BE334" i="2"/>
  <c r="BF334" i="2" s="1"/>
  <c r="L100" i="3"/>
  <c r="L135" i="3" s="1"/>
  <c r="L26" i="3"/>
  <c r="U295" i="2"/>
  <c r="P299" i="2"/>
  <c r="AS323" i="2"/>
  <c r="BE330" i="2"/>
  <c r="BF330" i="2" s="1"/>
  <c r="AT337" i="2"/>
  <c r="CF337" i="2" s="1"/>
  <c r="BF352" i="2"/>
  <c r="AT358" i="2"/>
  <c r="CF358" i="2" s="1"/>
  <c r="BE358" i="2"/>
  <c r="BF358" i="2" s="1"/>
  <c r="AS363" i="2"/>
  <c r="T370" i="2"/>
  <c r="T373" i="2"/>
  <c r="AR373" i="2"/>
  <c r="T380" i="2"/>
  <c r="AR380" i="2"/>
  <c r="AY403" i="2"/>
  <c r="BK403" i="2" s="1"/>
  <c r="BL403" i="2" s="1"/>
  <c r="BM403" i="2" s="1"/>
  <c r="AX403" i="2"/>
  <c r="BE321" i="2"/>
  <c r="BF321" i="2" s="1"/>
  <c r="BK321" i="2"/>
  <c r="BL321" i="2" s="1"/>
  <c r="BM321" i="2" s="1"/>
  <c r="AT355" i="2"/>
  <c r="CF355" i="2" s="1"/>
  <c r="BE355" i="2"/>
  <c r="BF355" i="2" s="1"/>
  <c r="T367" i="2"/>
  <c r="AT373" i="2"/>
  <c r="CF373" i="2" s="1"/>
  <c r="AT384" i="2"/>
  <c r="CF384" i="2" s="1"/>
  <c r="BE384" i="2"/>
  <c r="BF384" i="2" s="1"/>
  <c r="BP390" i="2"/>
  <c r="BQ390" i="2" s="1"/>
  <c r="BY390" i="2" s="1"/>
  <c r="BN390" i="2"/>
  <c r="BO390" i="2" s="1"/>
  <c r="AW487" i="2"/>
  <c r="AT402" i="2"/>
  <c r="CF402" i="2" s="1"/>
  <c r="BE402" i="2"/>
  <c r="BF402" i="2" s="1"/>
  <c r="BK402" i="2"/>
  <c r="BL402" i="2" s="1"/>
  <c r="BM402" i="2" s="1"/>
  <c r="BE260" i="2"/>
  <c r="BF260" i="2" s="1"/>
  <c r="BE266" i="2"/>
  <c r="BF266" i="2" s="1"/>
  <c r="BE269" i="2"/>
  <c r="BF269" i="2" s="1"/>
  <c r="P286" i="2"/>
  <c r="U291" i="2"/>
  <c r="BE308" i="2"/>
  <c r="BF308" i="2" s="1"/>
  <c r="AT308" i="2"/>
  <c r="CF308" i="2" s="1"/>
  <c r="AT321" i="2"/>
  <c r="CF321" i="2" s="1"/>
  <c r="AT370" i="2"/>
  <c r="CF370" i="2" s="1"/>
  <c r="AR377" i="2"/>
  <c r="T377" i="2"/>
  <c r="CC410" i="2"/>
  <c r="BG410" i="2"/>
  <c r="BJ410" i="2"/>
  <c r="L48" i="3"/>
  <c r="L49" i="3"/>
  <c r="AT300" i="2"/>
  <c r="CF300" i="2" s="1"/>
  <c r="BI301" i="2"/>
  <c r="BG301" i="2"/>
  <c r="BX306" i="2"/>
  <c r="BF342" i="2"/>
  <c r="AT346" i="2"/>
  <c r="CF346" i="2" s="1"/>
  <c r="BE346" i="2"/>
  <c r="BF346" i="2" s="1"/>
  <c r="BE356" i="2"/>
  <c r="BF356" i="2" s="1"/>
  <c r="AT356" i="2"/>
  <c r="CF356" i="2" s="1"/>
  <c r="AR359" i="2"/>
  <c r="T359" i="2"/>
  <c r="AT367" i="2"/>
  <c r="CF367" i="2" s="1"/>
  <c r="BE367" i="2"/>
  <c r="AW499" i="2"/>
  <c r="BP402" i="2"/>
  <c r="BQ402" i="2" s="1"/>
  <c r="BY402" i="2" s="1"/>
  <c r="L93" i="3"/>
  <c r="L91" i="3" s="1"/>
  <c r="BF287" i="2"/>
  <c r="BX288" i="2"/>
  <c r="U294" i="2"/>
  <c r="AW330" i="2"/>
  <c r="BX351" i="2"/>
  <c r="BE371" i="2"/>
  <c r="BF371" i="2" s="1"/>
  <c r="AT371" i="2"/>
  <c r="CF371" i="2" s="1"/>
  <c r="T381" i="2"/>
  <c r="AR381" i="2"/>
  <c r="T271" i="2"/>
  <c r="T274" i="2"/>
  <c r="T277" i="2"/>
  <c r="T280" i="2"/>
  <c r="T283" i="2"/>
  <c r="BE290" i="2"/>
  <c r="BF290" i="2" s="1"/>
  <c r="BK301" i="2"/>
  <c r="BL301" i="2" s="1"/>
  <c r="BM301" i="2" s="1"/>
  <c r="AT301" i="2"/>
  <c r="CF301" i="2" s="1"/>
  <c r="BJ301" i="2"/>
  <c r="BE318" i="2"/>
  <c r="BF318" i="2" s="1"/>
  <c r="BK318" i="2"/>
  <c r="BL318" i="2" s="1"/>
  <c r="BM318" i="2" s="1"/>
  <c r="BE333" i="2"/>
  <c r="BF333" i="2" s="1"/>
  <c r="BE337" i="2"/>
  <c r="BF337" i="2" s="1"/>
  <c r="BE341" i="2"/>
  <c r="BF341" i="2" s="1"/>
  <c r="AT341" i="2"/>
  <c r="CF341" i="2" s="1"/>
  <c r="T349" i="2"/>
  <c r="AR349" i="2"/>
  <c r="AW491" i="2"/>
  <c r="AX491" i="2" s="1"/>
  <c r="BP394" i="2"/>
  <c r="BQ394" i="2" s="1"/>
  <c r="BY394" i="2" s="1"/>
  <c r="BN394" i="2"/>
  <c r="BO394" i="2" s="1"/>
  <c r="AT260" i="2"/>
  <c r="CF260" i="2" s="1"/>
  <c r="AT266" i="2"/>
  <c r="CF266" i="2" s="1"/>
  <c r="U274" i="2"/>
  <c r="U280" i="2"/>
  <c r="U283" i="2"/>
  <c r="AT288" i="2"/>
  <c r="CF288" i="2" s="1"/>
  <c r="CC301" i="2"/>
  <c r="BE309" i="2"/>
  <c r="BF309" i="2" s="1"/>
  <c r="AR310" i="2"/>
  <c r="AT318" i="2"/>
  <c r="CF318" i="2" s="1"/>
  <c r="BE327" i="2"/>
  <c r="BF327" i="2" s="1"/>
  <c r="AT333" i="2"/>
  <c r="CF333" i="2" s="1"/>
  <c r="BX336" i="2"/>
  <c r="AR340" i="2"/>
  <c r="U340" i="2"/>
  <c r="AS349" i="2"/>
  <c r="AT364" i="2"/>
  <c r="CF364" i="2" s="1"/>
  <c r="BE364" i="2"/>
  <c r="BF364" i="2" s="1"/>
  <c r="BE370" i="2"/>
  <c r="BF370" i="2" s="1"/>
  <c r="AR412" i="2"/>
  <c r="U412" i="2"/>
  <c r="L12" i="3"/>
  <c r="L13" i="3"/>
  <c r="AY362" i="2"/>
  <c r="BK362" i="2" s="1"/>
  <c r="BL362" i="2" s="1"/>
  <c r="BM362" i="2" s="1"/>
  <c r="AX362" i="2"/>
  <c r="BN265" i="2"/>
  <c r="BO265" i="2" s="1"/>
  <c r="BE293" i="2"/>
  <c r="BF293" i="2" s="1"/>
  <c r="BN301" i="2"/>
  <c r="BO301" i="2" s="1"/>
  <c r="BE335" i="2"/>
  <c r="BF335" i="2" s="1"/>
  <c r="BK335" i="2"/>
  <c r="BL335" i="2" s="1"/>
  <c r="BM335" i="2" s="1"/>
  <c r="AT335" i="2"/>
  <c r="CF335" i="2" s="1"/>
  <c r="T345" i="2"/>
  <c r="AR345" i="2"/>
  <c r="AR399" i="2"/>
  <c r="U399" i="2"/>
  <c r="BN402" i="2"/>
  <c r="BO402" i="2" s="1"/>
  <c r="M100" i="3"/>
  <c r="M135" i="3" s="1"/>
  <c r="M33" i="3"/>
  <c r="M62" i="3"/>
  <c r="L33" i="3"/>
  <c r="BX248" i="2"/>
  <c r="L69" i="3"/>
  <c r="AT291" i="2"/>
  <c r="CF291" i="2" s="1"/>
  <c r="U302" i="2"/>
  <c r="AS306" i="2"/>
  <c r="BN306" i="2"/>
  <c r="BO306" i="2" s="1"/>
  <c r="BX308" i="2"/>
  <c r="BK313" i="2"/>
  <c r="BL313" i="2" s="1"/>
  <c r="BM313" i="2" s="1"/>
  <c r="BE313" i="2"/>
  <c r="BF313" i="2" s="1"/>
  <c r="AT345" i="2"/>
  <c r="CF345" i="2" s="1"/>
  <c r="BE345" i="2"/>
  <c r="BF345" i="2" s="1"/>
  <c r="BG357" i="2"/>
  <c r="CC357" i="2"/>
  <c r="BJ357" i="2"/>
  <c r="AT399" i="2"/>
  <c r="CF399" i="2" s="1"/>
  <c r="BE399" i="2"/>
  <c r="BF399" i="2" s="1"/>
  <c r="CC405" i="2"/>
  <c r="BJ405" i="2"/>
  <c r="BE315" i="2"/>
  <c r="BF315" i="2" s="1"/>
  <c r="U337" i="2"/>
  <c r="AT343" i="2"/>
  <c r="CF343" i="2" s="1"/>
  <c r="BE343" i="2"/>
  <c r="AT352" i="2"/>
  <c r="CF352" i="2" s="1"/>
  <c r="AT375" i="2"/>
  <c r="CF375" i="2" s="1"/>
  <c r="BE375" i="2"/>
  <c r="BF375" i="2" s="1"/>
  <c r="T375" i="2"/>
  <c r="AR375" i="2"/>
  <c r="AR387" i="2"/>
  <c r="AR396" i="2"/>
  <c r="U396" i="2"/>
  <c r="AW505" i="2"/>
  <c r="BP408" i="2"/>
  <c r="BQ408" i="2" s="1"/>
  <c r="BY408" i="2" s="1"/>
  <c r="BN408" i="2"/>
  <c r="BO408" i="2" s="1"/>
  <c r="AT294" i="2"/>
  <c r="CF294" i="2" s="1"/>
  <c r="BE300" i="2"/>
  <c r="BF300" i="2" s="1"/>
  <c r="BX300" i="2"/>
  <c r="BE302" i="2"/>
  <c r="BF302" i="2" s="1"/>
  <c r="AT307" i="2"/>
  <c r="CF307" i="2" s="1"/>
  <c r="AT316" i="2"/>
  <c r="CF316" i="2" s="1"/>
  <c r="BE316" i="2"/>
  <c r="BF316" i="2" s="1"/>
  <c r="AR339" i="2"/>
  <c r="U339" i="2"/>
  <c r="T363" i="2"/>
  <c r="AR363" i="2"/>
  <c r="AR393" i="2"/>
  <c r="AT396" i="2"/>
  <c r="CF396" i="2" s="1"/>
  <c r="BK396" i="2"/>
  <c r="BE396" i="2"/>
  <c r="BF396" i="2" s="1"/>
  <c r="AW503" i="2"/>
  <c r="AX503" i="2" s="1"/>
  <c r="BN406" i="2"/>
  <c r="BO406" i="2" s="1"/>
  <c r="BP406" i="2"/>
  <c r="BQ406" i="2" s="1"/>
  <c r="BY406" i="2" s="1"/>
  <c r="L85" i="3"/>
  <c r="L84" i="3"/>
  <c r="AR286" i="2"/>
  <c r="BP288" i="2"/>
  <c r="BQ288" i="2" s="1"/>
  <c r="BY288" i="2" s="1"/>
  <c r="AW385" i="2"/>
  <c r="AY398" i="2"/>
  <c r="BK398" i="2" s="1"/>
  <c r="BL398" i="2" s="1"/>
  <c r="BM398" i="2" s="1"/>
  <c r="AR308" i="2"/>
  <c r="U308" i="2"/>
  <c r="BE324" i="2"/>
  <c r="BF324" i="2" s="1"/>
  <c r="BE325" i="2"/>
  <c r="BF325" i="2" s="1"/>
  <c r="BE339" i="2"/>
  <c r="BF339" i="2" s="1"/>
  <c r="AT339" i="2"/>
  <c r="CF339" i="2" s="1"/>
  <c r="AT342" i="2"/>
  <c r="CF342" i="2" s="1"/>
  <c r="T348" i="2"/>
  <c r="AR348" i="2"/>
  <c r="BE353" i="2"/>
  <c r="BF353" i="2" s="1"/>
  <c r="P357" i="2"/>
  <c r="T366" i="2"/>
  <c r="AR366" i="2"/>
  <c r="AT369" i="2"/>
  <c r="CF369" i="2" s="1"/>
  <c r="BE369" i="2"/>
  <c r="BF369" i="2" s="1"/>
  <c r="AT387" i="2"/>
  <c r="CF387" i="2" s="1"/>
  <c r="BE387" i="2"/>
  <c r="BF387" i="2" s="1"/>
  <c r="AR311" i="2"/>
  <c r="AR312" i="2"/>
  <c r="AR314" i="2"/>
  <c r="AR317" i="2"/>
  <c r="AR318" i="2"/>
  <c r="AR320" i="2"/>
  <c r="AR321" i="2"/>
  <c r="AR323" i="2"/>
  <c r="AR324" i="2"/>
  <c r="AR326" i="2"/>
  <c r="AR327" i="2"/>
  <c r="AR329" i="2"/>
  <c r="AR333" i="2"/>
  <c r="AR342" i="2"/>
  <c r="BE350" i="2"/>
  <c r="BF350" i="2" s="1"/>
  <c r="T360" i="2"/>
  <c r="AR360" i="2"/>
  <c r="BE368" i="2"/>
  <c r="BF368" i="2" s="1"/>
  <c r="K49" i="3"/>
  <c r="BP397" i="2"/>
  <c r="BQ397" i="2" s="1"/>
  <c r="BY397" i="2" s="1"/>
  <c r="AT409" i="2"/>
  <c r="CF409" i="2" s="1"/>
  <c r="BE409" i="2"/>
  <c r="BF409" i="2" s="1"/>
  <c r="BK409" i="2"/>
  <c r="BL409" i="2" s="1"/>
  <c r="BM409" i="2" s="1"/>
  <c r="BE413" i="2"/>
  <c r="BF413" i="2" s="1"/>
  <c r="BK413" i="2"/>
  <c r="BL413" i="2" s="1"/>
  <c r="BM413" i="2" s="1"/>
  <c r="AT413" i="2"/>
  <c r="CF413" i="2" s="1"/>
  <c r="BK416" i="2"/>
  <c r="BK417" i="2"/>
  <c r="BL417" i="2" s="1"/>
  <c r="BM417" i="2" s="1"/>
  <c r="BE417" i="2"/>
  <c r="BF417" i="2" s="1"/>
  <c r="AT418" i="2"/>
  <c r="CF418" i="2" s="1"/>
  <c r="AT495" i="2"/>
  <c r="CF495" i="2" s="1"/>
  <c r="BE495" i="2"/>
  <c r="P347" i="2"/>
  <c r="AR356" i="2"/>
  <c r="AT361" i="2"/>
  <c r="CF361" i="2" s="1"/>
  <c r="BX380" i="2"/>
  <c r="AT382" i="2"/>
  <c r="CF382" i="2" s="1"/>
  <c r="BE382" i="2"/>
  <c r="BF382" i="2" s="1"/>
  <c r="T383" i="2"/>
  <c r="AR383" i="2"/>
  <c r="BE395" i="2"/>
  <c r="BF395" i="2" s="1"/>
  <c r="BK395" i="2"/>
  <c r="BL395" i="2" s="1"/>
  <c r="BM395" i="2" s="1"/>
  <c r="AX497" i="2"/>
  <c r="AY497" i="2"/>
  <c r="CC404" i="2"/>
  <c r="AR415" i="2"/>
  <c r="U415" i="2"/>
  <c r="BP421" i="2"/>
  <c r="BQ421" i="2" s="1"/>
  <c r="BY421" i="2" s="1"/>
  <c r="BN421" i="2"/>
  <c r="BO421" i="2" s="1"/>
  <c r="AW518" i="2"/>
  <c r="AX518" i="2" s="1"/>
  <c r="AT428" i="2"/>
  <c r="CF428" i="2" s="1"/>
  <c r="BK428" i="2"/>
  <c r="BL428" i="2" s="1"/>
  <c r="BM428" i="2" s="1"/>
  <c r="BE455" i="2"/>
  <c r="BF455" i="2" s="1"/>
  <c r="AT455" i="2"/>
  <c r="CF455" i="2" s="1"/>
  <c r="AR364" i="2"/>
  <c r="BF367" i="2"/>
  <c r="P374" i="2"/>
  <c r="AR382" i="2"/>
  <c r="BE386" i="2"/>
  <c r="BF386" i="2" s="1"/>
  <c r="BE392" i="2"/>
  <c r="BF392" i="2" s="1"/>
  <c r="BK392" i="2"/>
  <c r="BL392" i="2" s="1"/>
  <c r="BM392" i="2" s="1"/>
  <c r="AT395" i="2"/>
  <c r="CF395" i="2" s="1"/>
  <c r="AX494" i="2"/>
  <c r="AY494" i="2"/>
  <c r="BK494" i="2" s="1"/>
  <c r="BL494" i="2" s="1"/>
  <c r="BM494" i="2" s="1"/>
  <c r="BX400" i="2"/>
  <c r="P401" i="2"/>
  <c r="AR402" i="2"/>
  <c r="AP403" i="2"/>
  <c r="P407" i="2"/>
  <c r="AW510" i="2"/>
  <c r="AX510" i="2" s="1"/>
  <c r="BP413" i="2"/>
  <c r="BQ413" i="2" s="1"/>
  <c r="BY413" i="2" s="1"/>
  <c r="BK414" i="2"/>
  <c r="AT414" i="2"/>
  <c r="CF414" i="2" s="1"/>
  <c r="P421" i="2"/>
  <c r="BK426" i="2"/>
  <c r="BL426" i="2" s="1"/>
  <c r="BM426" i="2" s="1"/>
  <c r="BE426" i="2"/>
  <c r="BF426" i="2" s="1"/>
  <c r="AW528" i="2"/>
  <c r="AX528" i="2" s="1"/>
  <c r="BN431" i="2"/>
  <c r="BO431" i="2" s="1"/>
  <c r="AT443" i="2"/>
  <c r="CF443" i="2" s="1"/>
  <c r="J61" i="3"/>
  <c r="J36" i="3"/>
  <c r="J62" i="3"/>
  <c r="J66" i="3"/>
  <c r="J9" i="3"/>
  <c r="J39" i="3" s="1"/>
  <c r="J48" i="3"/>
  <c r="J30" i="3"/>
  <c r="J71" i="3"/>
  <c r="J25" i="3"/>
  <c r="J11" i="3"/>
  <c r="J69" i="3"/>
  <c r="J33" i="3"/>
  <c r="J45" i="3"/>
  <c r="J46" i="3"/>
  <c r="J12" i="3"/>
  <c r="J26" i="3"/>
  <c r="J47" i="3"/>
  <c r="J13" i="3"/>
  <c r="J72" i="3"/>
  <c r="J49" i="3"/>
  <c r="J10" i="3"/>
  <c r="J35" i="3"/>
  <c r="U440" i="2"/>
  <c r="AQ440" i="2"/>
  <c r="BE336" i="2"/>
  <c r="BF336" i="2" s="1"/>
  <c r="BX359" i="2"/>
  <c r="AR379" i="2"/>
  <c r="BE381" i="2"/>
  <c r="BF381" i="2" s="1"/>
  <c r="BE383" i="2"/>
  <c r="BF383" i="2" s="1"/>
  <c r="K48" i="3"/>
  <c r="BX388" i="2"/>
  <c r="BX394" i="2"/>
  <c r="AW498" i="2"/>
  <c r="AX498" i="2" s="1"/>
  <c r="BP401" i="2"/>
  <c r="BQ401" i="2" s="1"/>
  <c r="BY401" i="2" s="1"/>
  <c r="AT403" i="2"/>
  <c r="CF403" i="2" s="1"/>
  <c r="BE403" i="2"/>
  <c r="BF403" i="2" s="1"/>
  <c r="AW410" i="2"/>
  <c r="AW412" i="2"/>
  <c r="AT426" i="2"/>
  <c r="CF426" i="2" s="1"/>
  <c r="AR432" i="2"/>
  <c r="U432" i="2"/>
  <c r="AT441" i="2"/>
  <c r="CF441" i="2" s="1"/>
  <c r="BE441" i="2"/>
  <c r="BF441" i="2" s="1"/>
  <c r="U498" i="2"/>
  <c r="AT503" i="2"/>
  <c r="CF503" i="2" s="1"/>
  <c r="BE503" i="2"/>
  <c r="AY432" i="2"/>
  <c r="BK432" i="2" s="1"/>
  <c r="BL432" i="2" s="1"/>
  <c r="BM432" i="2" s="1"/>
  <c r="AX432" i="2"/>
  <c r="P338" i="2"/>
  <c r="AP344" i="2"/>
  <c r="P353" i="2"/>
  <c r="AP362" i="2"/>
  <c r="P371" i="2"/>
  <c r="AT383" i="2"/>
  <c r="CF383" i="2" s="1"/>
  <c r="BX385" i="2"/>
  <c r="P386" i="2"/>
  <c r="BX391" i="2"/>
  <c r="P392" i="2"/>
  <c r="BN396" i="2"/>
  <c r="BO396" i="2" s="1"/>
  <c r="AP400" i="2"/>
  <c r="BE418" i="2"/>
  <c r="BF418" i="2" s="1"/>
  <c r="BF419" i="2"/>
  <c r="AT432" i="2"/>
  <c r="CF432" i="2" s="1"/>
  <c r="BE432" i="2"/>
  <c r="AR447" i="2"/>
  <c r="T447" i="2"/>
  <c r="BN332" i="2"/>
  <c r="BO332" i="2" s="1"/>
  <c r="T335" i="2"/>
  <c r="BX344" i="2"/>
  <c r="T351" i="2"/>
  <c r="AR351" i="2"/>
  <c r="BE354" i="2"/>
  <c r="BF354" i="2" s="1"/>
  <c r="BX355" i="2"/>
  <c r="BE359" i="2"/>
  <c r="BF359" i="2" s="1"/>
  <c r="BX362" i="2"/>
  <c r="T369" i="2"/>
  <c r="AR369" i="2"/>
  <c r="BE377" i="2"/>
  <c r="BF377" i="2" s="1"/>
  <c r="BE378" i="2"/>
  <c r="BF378" i="2" s="1"/>
  <c r="BE380" i="2"/>
  <c r="BF380" i="2" s="1"/>
  <c r="T384" i="2"/>
  <c r="AR384" i="2"/>
  <c r="BN393" i="2"/>
  <c r="BO393" i="2" s="1"/>
  <c r="AW492" i="2"/>
  <c r="BP395" i="2"/>
  <c r="BQ395" i="2" s="1"/>
  <c r="BY395" i="2" s="1"/>
  <c r="AW415" i="2"/>
  <c r="AX415" i="2" s="1"/>
  <c r="BP431" i="2"/>
  <c r="BQ431" i="2" s="1"/>
  <c r="BY431" i="2" s="1"/>
  <c r="BN315" i="2"/>
  <c r="BO315" i="2" s="1"/>
  <c r="BN318" i="2"/>
  <c r="BO318" i="2" s="1"/>
  <c r="BN321" i="2"/>
  <c r="BO321" i="2" s="1"/>
  <c r="BF340" i="2"/>
  <c r="BX340" i="2"/>
  <c r="AP347" i="2"/>
  <c r="AT348" i="2"/>
  <c r="CF348" i="2" s="1"/>
  <c r="P356" i="2"/>
  <c r="AT359" i="2"/>
  <c r="CF359" i="2" s="1"/>
  <c r="AP365" i="2"/>
  <c r="AT377" i="2"/>
  <c r="CF377" i="2" s="1"/>
  <c r="AT380" i="2"/>
  <c r="CF380" i="2" s="1"/>
  <c r="AP388" i="2"/>
  <c r="AW489" i="2"/>
  <c r="BP392" i="2"/>
  <c r="BQ392" i="2" s="1"/>
  <c r="BY392" i="2" s="1"/>
  <c r="BP393" i="2"/>
  <c r="BQ393" i="2" s="1"/>
  <c r="BY393" i="2" s="1"/>
  <c r="AP394" i="2"/>
  <c r="BX398" i="2"/>
  <c r="AT400" i="2"/>
  <c r="CF400" i="2" s="1"/>
  <c r="BE400" i="2"/>
  <c r="BF400" i="2" s="1"/>
  <c r="BK400" i="2"/>
  <c r="BL400" i="2" s="1"/>
  <c r="BM400" i="2" s="1"/>
  <c r="BE408" i="2"/>
  <c r="BF408" i="2" s="1"/>
  <c r="BE411" i="2"/>
  <c r="BF411" i="2" s="1"/>
  <c r="AW513" i="2"/>
  <c r="BN416" i="2"/>
  <c r="BO416" i="2" s="1"/>
  <c r="AR422" i="2"/>
  <c r="BK425" i="2"/>
  <c r="BL425" i="2" s="1"/>
  <c r="BM425" i="2" s="1"/>
  <c r="AT425" i="2"/>
  <c r="CF425" i="2" s="1"/>
  <c r="BE425" i="2"/>
  <c r="BF425" i="2" s="1"/>
  <c r="AR427" i="2"/>
  <c r="U427" i="2"/>
  <c r="BE428" i="2"/>
  <c r="BF428" i="2" s="1"/>
  <c r="BE443" i="2"/>
  <c r="BF443" i="2" s="1"/>
  <c r="AT459" i="2"/>
  <c r="CF459" i="2" s="1"/>
  <c r="BE459" i="2"/>
  <c r="BF459" i="2" s="1"/>
  <c r="L62" i="3"/>
  <c r="L60" i="3" s="1"/>
  <c r="L64" i="3" s="1"/>
  <c r="BP321" i="2"/>
  <c r="BQ321" i="2" s="1"/>
  <c r="BY321" i="2" s="1"/>
  <c r="AY429" i="2"/>
  <c r="BK429" i="2" s="1"/>
  <c r="BL429" i="2" s="1"/>
  <c r="BM429" i="2" s="1"/>
  <c r="AX429" i="2"/>
  <c r="BP332" i="2"/>
  <c r="BQ332" i="2" s="1"/>
  <c r="BY332" i="2" s="1"/>
  <c r="K131" i="3"/>
  <c r="K136" i="3"/>
  <c r="BE344" i="2"/>
  <c r="BF344" i="2" s="1"/>
  <c r="T354" i="2"/>
  <c r="AR354" i="2"/>
  <c r="BX358" i="2"/>
  <c r="BE362" i="2"/>
  <c r="BF362" i="2" s="1"/>
  <c r="BX365" i="2"/>
  <c r="T372" i="2"/>
  <c r="AR372" i="2"/>
  <c r="AR374" i="2"/>
  <c r="BX374" i="2"/>
  <c r="BX376" i="2"/>
  <c r="BX382" i="2"/>
  <c r="P383" i="2"/>
  <c r="AP385" i="2"/>
  <c r="AP391" i="2"/>
  <c r="AT397" i="2"/>
  <c r="CF397" i="2" s="1"/>
  <c r="BE397" i="2"/>
  <c r="BF397" i="2" s="1"/>
  <c r="BK397" i="2"/>
  <c r="BL397" i="2" s="1"/>
  <c r="BM397" i="2" s="1"/>
  <c r="U398" i="2"/>
  <c r="P404" i="2"/>
  <c r="AP406" i="2"/>
  <c r="AR407" i="2"/>
  <c r="BL414" i="2"/>
  <c r="BM414" i="2" s="1"/>
  <c r="CC434" i="2"/>
  <c r="BJ434" i="2"/>
  <c r="BG434" i="2"/>
  <c r="BI434" i="2"/>
  <c r="AT435" i="2"/>
  <c r="CF435" i="2" s="1"/>
  <c r="BE435" i="2"/>
  <c r="BF435" i="2" s="1"/>
  <c r="U311" i="2"/>
  <c r="U312" i="2"/>
  <c r="U315" i="2"/>
  <c r="U317" i="2"/>
  <c r="U318" i="2"/>
  <c r="U320" i="2"/>
  <c r="U321" i="2"/>
  <c r="BP322" i="2"/>
  <c r="BQ322" i="2" s="1"/>
  <c r="BY322" i="2" s="1"/>
  <c r="U323" i="2"/>
  <c r="U324" i="2"/>
  <c r="U326" i="2"/>
  <c r="U327" i="2"/>
  <c r="U329" i="2"/>
  <c r="U333" i="2"/>
  <c r="BX335" i="2"/>
  <c r="AT336" i="2"/>
  <c r="CF336" i="2" s="1"/>
  <c r="U342" i="2"/>
  <c r="K137" i="3"/>
  <c r="AT344" i="2"/>
  <c r="CF344" i="2" s="1"/>
  <c r="AP350" i="2"/>
  <c r="P359" i="2"/>
  <c r="BE361" i="2"/>
  <c r="BF361" i="2" s="1"/>
  <c r="AT362" i="2"/>
  <c r="CF362" i="2" s="1"/>
  <c r="AP368" i="2"/>
  <c r="P377" i="2"/>
  <c r="AT388" i="2"/>
  <c r="CF388" i="2" s="1"/>
  <c r="AT394" i="2"/>
  <c r="CF394" i="2" s="1"/>
  <c r="BE394" i="2"/>
  <c r="BF394" i="2" s="1"/>
  <c r="BK394" i="2"/>
  <c r="BL394" i="2" s="1"/>
  <c r="BM394" i="2" s="1"/>
  <c r="AX493" i="2"/>
  <c r="AY493" i="2"/>
  <c r="BK493" i="2" s="1"/>
  <c r="BL493" i="2" s="1"/>
  <c r="BM493" i="2" s="1"/>
  <c r="AT406" i="2"/>
  <c r="CF406" i="2" s="1"/>
  <c r="BE406" i="2"/>
  <c r="BF406" i="2" s="1"/>
  <c r="BK406" i="2"/>
  <c r="BL406" i="2" s="1"/>
  <c r="BM406" i="2" s="1"/>
  <c r="U410" i="2"/>
  <c r="AR410" i="2"/>
  <c r="U414" i="2"/>
  <c r="BE414" i="2"/>
  <c r="BF414" i="2" s="1"/>
  <c r="BL416" i="2"/>
  <c r="BM416" i="2" s="1"/>
  <c r="BF416" i="2"/>
  <c r="U417" i="2"/>
  <c r="AR418" i="2"/>
  <c r="U418" i="2"/>
  <c r="BE420" i="2"/>
  <c r="BF420" i="2" s="1"/>
  <c r="BK431" i="2"/>
  <c r="BE431" i="2"/>
  <c r="BF431" i="2" s="1"/>
  <c r="BF432" i="2"/>
  <c r="BG436" i="2"/>
  <c r="AT437" i="2"/>
  <c r="CF437" i="2" s="1"/>
  <c r="BK437" i="2"/>
  <c r="BL437" i="2" s="1"/>
  <c r="BM437" i="2" s="1"/>
  <c r="BE437" i="2"/>
  <c r="BF437" i="2" s="1"/>
  <c r="AT445" i="2"/>
  <c r="CF445" i="2" s="1"/>
  <c r="BE445" i="2"/>
  <c r="BF445" i="2" s="1"/>
  <c r="AT460" i="2"/>
  <c r="CF460" i="2" s="1"/>
  <c r="BE460" i="2"/>
  <c r="BF460" i="2" s="1"/>
  <c r="AP288" i="2"/>
  <c r="P301" i="2"/>
  <c r="BX301" i="2"/>
  <c r="P307" i="2"/>
  <c r="BX307" i="2"/>
  <c r="AT340" i="2"/>
  <c r="CF340" i="2" s="1"/>
  <c r="K84" i="3"/>
  <c r="K12" i="3"/>
  <c r="K13" i="3"/>
  <c r="K85" i="3"/>
  <c r="BX343" i="2"/>
  <c r="BE347" i="2"/>
  <c r="BF347" i="2" s="1"/>
  <c r="T357" i="2"/>
  <c r="AR357" i="2"/>
  <c r="BE365" i="2"/>
  <c r="BF365" i="2" s="1"/>
  <c r="AR378" i="2"/>
  <c r="BX379" i="2"/>
  <c r="AT385" i="2"/>
  <c r="CF385" i="2" s="1"/>
  <c r="BE385" i="2"/>
  <c r="BF385" i="2" s="1"/>
  <c r="AT391" i="2"/>
  <c r="CF391" i="2" s="1"/>
  <c r="BK391" i="2"/>
  <c r="BL391" i="2" s="1"/>
  <c r="BM391" i="2" s="1"/>
  <c r="AR395" i="2"/>
  <c r="BL399" i="2"/>
  <c r="BM399" i="2" s="1"/>
  <c r="BN400" i="2"/>
  <c r="BO400" i="2" s="1"/>
  <c r="AW501" i="2"/>
  <c r="BP404" i="2"/>
  <c r="BQ404" i="2" s="1"/>
  <c r="BY404" i="2" s="1"/>
  <c r="BK408" i="2"/>
  <c r="BL408" i="2" s="1"/>
  <c r="BM408" i="2" s="1"/>
  <c r="AW519" i="2"/>
  <c r="BP422" i="2"/>
  <c r="BQ422" i="2" s="1"/>
  <c r="BY422" i="2" s="1"/>
  <c r="BN422" i="2"/>
  <c r="BO422" i="2" s="1"/>
  <c r="AR423" i="2"/>
  <c r="U423" i="2"/>
  <c r="AW534" i="2"/>
  <c r="BP437" i="2"/>
  <c r="BQ437" i="2" s="1"/>
  <c r="BY437" i="2" s="1"/>
  <c r="BN437" i="2"/>
  <c r="BO437" i="2" s="1"/>
  <c r="AO547" i="2"/>
  <c r="AP547" i="2" s="1"/>
  <c r="AO450" i="2"/>
  <c r="AP450" i="2" s="1"/>
  <c r="AR450" i="2" s="1"/>
  <c r="AQ450" i="2"/>
  <c r="U450" i="2"/>
  <c r="AT451" i="2"/>
  <c r="CF451" i="2" s="1"/>
  <c r="BE451" i="2"/>
  <c r="BF451" i="2" s="1"/>
  <c r="AT454" i="2"/>
  <c r="CF454" i="2" s="1"/>
  <c r="BE454" i="2"/>
  <c r="BF454" i="2" s="1"/>
  <c r="BE479" i="2"/>
  <c r="BF479" i="2" s="1"/>
  <c r="AT479" i="2"/>
  <c r="CF479" i="2" s="1"/>
  <c r="AP338" i="2"/>
  <c r="P344" i="2"/>
  <c r="AT347" i="2"/>
  <c r="CF347" i="2" s="1"/>
  <c r="AP353" i="2"/>
  <c r="AT354" i="2"/>
  <c r="CF354" i="2" s="1"/>
  <c r="T356" i="2"/>
  <c r="P362" i="2"/>
  <c r="AT365" i="2"/>
  <c r="CF365" i="2" s="1"/>
  <c r="AP371" i="2"/>
  <c r="BE374" i="2"/>
  <c r="BF374" i="2" s="1"/>
  <c r="BX383" i="2"/>
  <c r="K62" i="3"/>
  <c r="AP386" i="2"/>
  <c r="AR392" i="2"/>
  <c r="BL396" i="2"/>
  <c r="BM396" i="2" s="1"/>
  <c r="BN397" i="2"/>
  <c r="BO397" i="2" s="1"/>
  <c r="BP400" i="2"/>
  <c r="BQ400" i="2" s="1"/>
  <c r="BY400" i="2" s="1"/>
  <c r="BE401" i="2"/>
  <c r="BF401" i="2" s="1"/>
  <c r="BK401" i="2"/>
  <c r="BL401" i="2" s="1"/>
  <c r="BM401" i="2" s="1"/>
  <c r="U402" i="2"/>
  <c r="BX404" i="2"/>
  <c r="AR408" i="2"/>
  <c r="AP409" i="2"/>
  <c r="BE412" i="2"/>
  <c r="BF412" i="2" s="1"/>
  <c r="BN413" i="2"/>
  <c r="BO413" i="2" s="1"/>
  <c r="BE421" i="2"/>
  <c r="BF421" i="2" s="1"/>
  <c r="BK421" i="2"/>
  <c r="BL421" i="2" s="1"/>
  <c r="BM421" i="2" s="1"/>
  <c r="AT421" i="2"/>
  <c r="CF421" i="2" s="1"/>
  <c r="BX421" i="2"/>
  <c r="U426" i="2"/>
  <c r="AT431" i="2"/>
  <c r="CF431" i="2" s="1"/>
  <c r="BJ436" i="2"/>
  <c r="AO440" i="2"/>
  <c r="AP440" i="2" s="1"/>
  <c r="AR480" i="2"/>
  <c r="T480" i="2"/>
  <c r="AW520" i="2"/>
  <c r="AY522" i="2"/>
  <c r="BK522" i="2" s="1"/>
  <c r="BL522" i="2" s="1"/>
  <c r="BM522" i="2" s="1"/>
  <c r="BE529" i="2"/>
  <c r="BF529" i="2" s="1"/>
  <c r="AT529" i="2"/>
  <c r="CF529" i="2" s="1"/>
  <c r="T571" i="2"/>
  <c r="K100" i="3"/>
  <c r="K135" i="3" s="1"/>
  <c r="K33" i="3"/>
  <c r="P414" i="2"/>
  <c r="BP423" i="2"/>
  <c r="BQ423" i="2" s="1"/>
  <c r="BY423" i="2" s="1"/>
  <c r="BE424" i="2"/>
  <c r="BF424" i="2" s="1"/>
  <c r="P427" i="2"/>
  <c r="BX433" i="2"/>
  <c r="AR436" i="2"/>
  <c r="AP460" i="2"/>
  <c r="U506" i="2"/>
  <c r="AT555" i="2"/>
  <c r="CF555" i="2" s="1"/>
  <c r="BE555" i="2"/>
  <c r="BF555" i="2" s="1"/>
  <c r="BP417" i="2"/>
  <c r="BQ417" i="2" s="1"/>
  <c r="BY417" i="2" s="1"/>
  <c r="AR428" i="2"/>
  <c r="BX430" i="2"/>
  <c r="AW531" i="2"/>
  <c r="AX531" i="2" s="1"/>
  <c r="BP434" i="2"/>
  <c r="BQ434" i="2" s="1"/>
  <c r="BY434" i="2" s="1"/>
  <c r="U437" i="2"/>
  <c r="AR469" i="2"/>
  <c r="T469" i="2"/>
  <c r="AT486" i="2"/>
  <c r="CF486" i="2" s="1"/>
  <c r="BE486" i="2"/>
  <c r="BF486" i="2" s="1"/>
  <c r="U524" i="2"/>
  <c r="AR524" i="2"/>
  <c r="AT444" i="2"/>
  <c r="CF444" i="2" s="1"/>
  <c r="BE444" i="2"/>
  <c r="BF444" i="2" s="1"/>
  <c r="AQ448" i="2"/>
  <c r="AO448" i="2"/>
  <c r="AP448" i="2" s="1"/>
  <c r="T448" i="2" s="1"/>
  <c r="T451" i="2"/>
  <c r="AR451" i="2"/>
  <c r="AT457" i="2"/>
  <c r="CF457" i="2" s="1"/>
  <c r="BE457" i="2"/>
  <c r="BF457" i="2" s="1"/>
  <c r="BE468" i="2"/>
  <c r="BF468" i="2" s="1"/>
  <c r="P484" i="2"/>
  <c r="BE498" i="2"/>
  <c r="U509" i="2"/>
  <c r="AR509" i="2"/>
  <c r="BE511" i="2"/>
  <c r="AT511" i="2"/>
  <c r="CF511" i="2" s="1"/>
  <c r="BE521" i="2"/>
  <c r="BF521" i="2" s="1"/>
  <c r="AT521" i="2"/>
  <c r="CF521" i="2" s="1"/>
  <c r="AT536" i="2"/>
  <c r="CF536" i="2" s="1"/>
  <c r="AR425" i="2"/>
  <c r="AR430" i="2"/>
  <c r="U430" i="2"/>
  <c r="AR433" i="2"/>
  <c r="U433" i="2"/>
  <c r="BL434" i="2"/>
  <c r="BM434" i="2" s="1"/>
  <c r="AX535" i="2"/>
  <c r="AY535" i="2"/>
  <c r="BK535" i="2" s="1"/>
  <c r="BL535" i="2" s="1"/>
  <c r="BM535" i="2" s="1"/>
  <c r="AW536" i="2"/>
  <c r="AX536" i="2" s="1"/>
  <c r="BP439" i="2"/>
  <c r="BQ439" i="2" s="1"/>
  <c r="BY439" i="2" s="1"/>
  <c r="BN439" i="2"/>
  <c r="BO439" i="2" s="1"/>
  <c r="BK439" i="2"/>
  <c r="BL439" i="2" s="1"/>
  <c r="BM439" i="2" s="1"/>
  <c r="AQ441" i="2"/>
  <c r="AO441" i="2"/>
  <c r="AP441" i="2" s="1"/>
  <c r="T441" i="2" s="1"/>
  <c r="BE453" i="2"/>
  <c r="BF453" i="2" s="1"/>
  <c r="BE469" i="2"/>
  <c r="BF469" i="2" s="1"/>
  <c r="AT469" i="2"/>
  <c r="CF469" i="2" s="1"/>
  <c r="AT478" i="2"/>
  <c r="CF478" i="2" s="1"/>
  <c r="BE478" i="2"/>
  <c r="BF478" i="2" s="1"/>
  <c r="U483" i="2"/>
  <c r="AR483" i="2"/>
  <c r="BE496" i="2"/>
  <c r="BF496" i="2" s="1"/>
  <c r="AT496" i="2"/>
  <c r="CF496" i="2" s="1"/>
  <c r="U501" i="2"/>
  <c r="AR501" i="2"/>
  <c r="AY511" i="2"/>
  <c r="K93" i="3"/>
  <c r="K91" i="3" s="1"/>
  <c r="K95" i="3" s="1"/>
  <c r="K26" i="3"/>
  <c r="K69" i="3"/>
  <c r="BK404" i="2"/>
  <c r="BL404" i="2" s="1"/>
  <c r="BM404" i="2" s="1"/>
  <c r="BK407" i="2"/>
  <c r="BL407" i="2" s="1"/>
  <c r="BM407" i="2" s="1"/>
  <c r="U413" i="2"/>
  <c r="AS423" i="2"/>
  <c r="BL431" i="2"/>
  <c r="BM431" i="2" s="1"/>
  <c r="J136" i="3"/>
  <c r="AO541" i="2"/>
  <c r="AP541" i="2" s="1"/>
  <c r="AO444" i="2"/>
  <c r="AP444" i="2" s="1"/>
  <c r="BX452" i="2"/>
  <c r="AR467" i="2"/>
  <c r="AR472" i="2"/>
  <c r="AR488" i="2"/>
  <c r="BE490" i="2"/>
  <c r="BF490" i="2" s="1"/>
  <c r="AT490" i="2"/>
  <c r="CF490" i="2" s="1"/>
  <c r="U499" i="2"/>
  <c r="AR499" i="2"/>
  <c r="U518" i="2"/>
  <c r="AR518" i="2"/>
  <c r="BX423" i="2"/>
  <c r="BN428" i="2"/>
  <c r="BO428" i="2" s="1"/>
  <c r="U431" i="2"/>
  <c r="BF438" i="2"/>
  <c r="J137" i="3"/>
  <c r="BE442" i="2"/>
  <c r="BF442" i="2" s="1"/>
  <c r="AT442" i="2"/>
  <c r="CF442" i="2" s="1"/>
  <c r="BJ458" i="2"/>
  <c r="BG458" i="2"/>
  <c r="T459" i="2"/>
  <c r="CC467" i="2"/>
  <c r="BJ467" i="2"/>
  <c r="AT468" i="2"/>
  <c r="CF468" i="2" s="1"/>
  <c r="AT539" i="2"/>
  <c r="CF539" i="2" s="1"/>
  <c r="BE539" i="2"/>
  <c r="BF539" i="2" s="1"/>
  <c r="T568" i="2"/>
  <c r="BP426" i="2"/>
  <c r="BQ426" i="2" s="1"/>
  <c r="BY426" i="2" s="1"/>
  <c r="BP428" i="2"/>
  <c r="BQ428" i="2" s="1"/>
  <c r="BY428" i="2" s="1"/>
  <c r="BE430" i="2"/>
  <c r="BF430" i="2" s="1"/>
  <c r="AW533" i="2"/>
  <c r="AX533" i="2" s="1"/>
  <c r="BP436" i="2"/>
  <c r="BQ436" i="2" s="1"/>
  <c r="BY436" i="2" s="1"/>
  <c r="BN436" i="2"/>
  <c r="BO436" i="2" s="1"/>
  <c r="BK436" i="2"/>
  <c r="BL436" i="2" s="1"/>
  <c r="BM436" i="2" s="1"/>
  <c r="BX439" i="2"/>
  <c r="J84" i="3"/>
  <c r="J85" i="3"/>
  <c r="BX440" i="2"/>
  <c r="AP464" i="2"/>
  <c r="BE470" i="2"/>
  <c r="BF470" i="2" s="1"/>
  <c r="AR471" i="2"/>
  <c r="BE485" i="2"/>
  <c r="AT485" i="2"/>
  <c r="CF485" i="2" s="1"/>
  <c r="AR491" i="2"/>
  <c r="U491" i="2"/>
  <c r="AT492" i="2"/>
  <c r="CF492" i="2" s="1"/>
  <c r="BE492" i="2"/>
  <c r="BF492" i="2" s="1"/>
  <c r="AY514" i="2"/>
  <c r="BN407" i="2"/>
  <c r="BO407" i="2" s="1"/>
  <c r="BN425" i="2"/>
  <c r="BO425" i="2" s="1"/>
  <c r="AX523" i="2"/>
  <c r="AY523" i="2"/>
  <c r="AR434" i="2"/>
  <c r="J131" i="3"/>
  <c r="BE449" i="2"/>
  <c r="BF449" i="2" s="1"/>
  <c r="AP455" i="2"/>
  <c r="T455" i="2" s="1"/>
  <c r="T458" i="2"/>
  <c r="AR458" i="2"/>
  <c r="AY490" i="2"/>
  <c r="BE499" i="2"/>
  <c r="BF499" i="2" s="1"/>
  <c r="AT499" i="2"/>
  <c r="CF499" i="2" s="1"/>
  <c r="AY504" i="2"/>
  <c r="BK504" i="2" s="1"/>
  <c r="BL504" i="2" s="1"/>
  <c r="BM504" i="2" s="1"/>
  <c r="U505" i="2"/>
  <c r="AR505" i="2"/>
  <c r="AR510" i="2"/>
  <c r="U510" i="2"/>
  <c r="AT549" i="2"/>
  <c r="CF549" i="2" s="1"/>
  <c r="BE549" i="2"/>
  <c r="BF549" i="2" s="1"/>
  <c r="BK438" i="2"/>
  <c r="BL438" i="2" s="1"/>
  <c r="BM438" i="2" s="1"/>
  <c r="AT438" i="2"/>
  <c r="CF438" i="2" s="1"/>
  <c r="BG439" i="2"/>
  <c r="CC439" i="2"/>
  <c r="BG452" i="2"/>
  <c r="CC452" i="2"/>
  <c r="AR463" i="2"/>
  <c r="T463" i="2"/>
  <c r="AR466" i="2"/>
  <c r="AT471" i="2"/>
  <c r="CF471" i="2" s="1"/>
  <c r="AR477" i="2"/>
  <c r="AT480" i="2"/>
  <c r="CF480" i="2" s="1"/>
  <c r="BE480" i="2"/>
  <c r="BF480" i="2" s="1"/>
  <c r="U493" i="2"/>
  <c r="BP407" i="2"/>
  <c r="BQ407" i="2" s="1"/>
  <c r="BY407" i="2" s="1"/>
  <c r="AY418" i="2"/>
  <c r="BK418" i="2" s="1"/>
  <c r="BL418" i="2" s="1"/>
  <c r="BM418" i="2" s="1"/>
  <c r="AR421" i="2"/>
  <c r="U421" i="2"/>
  <c r="AS427" i="2"/>
  <c r="BX429" i="2"/>
  <c r="AW527" i="2"/>
  <c r="AX527" i="2" s="1"/>
  <c r="BP430" i="2"/>
  <c r="BQ430" i="2" s="1"/>
  <c r="BY430" i="2" s="1"/>
  <c r="BN430" i="2"/>
  <c r="BO430" i="2" s="1"/>
  <c r="AW530" i="2"/>
  <c r="AX530" i="2" s="1"/>
  <c r="BP433" i="2"/>
  <c r="BQ433" i="2" s="1"/>
  <c r="BY433" i="2" s="1"/>
  <c r="BN433" i="2"/>
  <c r="BO433" i="2" s="1"/>
  <c r="BK433" i="2"/>
  <c r="BL433" i="2" s="1"/>
  <c r="BM433" i="2" s="1"/>
  <c r="BN434" i="2"/>
  <c r="BO434" i="2" s="1"/>
  <c r="AR445" i="2"/>
  <c r="BE447" i="2"/>
  <c r="BF447" i="2" s="1"/>
  <c r="AR454" i="2"/>
  <c r="T454" i="2"/>
  <c r="BE464" i="2"/>
  <c r="BF464" i="2" s="1"/>
  <c r="AT464" i="2"/>
  <c r="CF464" i="2" s="1"/>
  <c r="T482" i="2"/>
  <c r="AR482" i="2"/>
  <c r="AT491" i="2"/>
  <c r="CF491" i="2" s="1"/>
  <c r="BE491" i="2"/>
  <c r="BF491" i="2" s="1"/>
  <c r="AT513" i="2"/>
  <c r="CF513" i="2" s="1"/>
  <c r="BE513" i="2"/>
  <c r="BF513" i="2" s="1"/>
  <c r="U594" i="2"/>
  <c r="U428" i="2"/>
  <c r="P430" i="2"/>
  <c r="BX432" i="2"/>
  <c r="BI439" i="2"/>
  <c r="AT446" i="2"/>
  <c r="CF446" i="2" s="1"/>
  <c r="BE446" i="2"/>
  <c r="BF446" i="2" s="1"/>
  <c r="U448" i="2"/>
  <c r="BJ452" i="2"/>
  <c r="AT458" i="2"/>
  <c r="CF458" i="2" s="1"/>
  <c r="AT463" i="2"/>
  <c r="CF463" i="2" s="1"/>
  <c r="BE463" i="2"/>
  <c r="BF463" i="2" s="1"/>
  <c r="BE465" i="2"/>
  <c r="BF465" i="2" s="1"/>
  <c r="AR465" i="2"/>
  <c r="AR470" i="2"/>
  <c r="BE472" i="2"/>
  <c r="BF472" i="2" s="1"/>
  <c r="BE482" i="2"/>
  <c r="BF482" i="2" s="1"/>
  <c r="BE504" i="2"/>
  <c r="BF504" i="2" s="1"/>
  <c r="AT533" i="2"/>
  <c r="CF533" i="2" s="1"/>
  <c r="BE533" i="2"/>
  <c r="BF533" i="2" s="1"/>
  <c r="BX480" i="2"/>
  <c r="BX493" i="2"/>
  <c r="BE500" i="2"/>
  <c r="BF500" i="2" s="1"/>
  <c r="BE502" i="2"/>
  <c r="BF502" i="2" s="1"/>
  <c r="AT504" i="2"/>
  <c r="CF504" i="2" s="1"/>
  <c r="AR525" i="2"/>
  <c r="U525" i="2"/>
  <c r="I72" i="3"/>
  <c r="I35" i="3"/>
  <c r="I61" i="3"/>
  <c r="I36" i="3"/>
  <c r="I62" i="3"/>
  <c r="I47" i="3"/>
  <c r="I66" i="3"/>
  <c r="I48" i="3"/>
  <c r="I30" i="3"/>
  <c r="I10" i="3"/>
  <c r="I71" i="3"/>
  <c r="I26" i="3"/>
  <c r="I12" i="3"/>
  <c r="I49" i="3"/>
  <c r="I69" i="3"/>
  <c r="I11" i="3"/>
  <c r="I46" i="3"/>
  <c r="I25" i="3"/>
  <c r="I33" i="3"/>
  <c r="I45" i="3"/>
  <c r="I13" i="3"/>
  <c r="I9" i="3"/>
  <c r="I39" i="3" s="1"/>
  <c r="AO635" i="2"/>
  <c r="AP635" i="2" s="1"/>
  <c r="AO537" i="2"/>
  <c r="AP537" i="2" s="1"/>
  <c r="U537" i="2"/>
  <c r="AO710" i="2"/>
  <c r="AP710" i="2" s="1"/>
  <c r="U548" i="2"/>
  <c r="AO548" i="2"/>
  <c r="AP548" i="2" s="1"/>
  <c r="AQ548" i="2"/>
  <c r="AT497" i="2"/>
  <c r="CF497" i="2" s="1"/>
  <c r="AS501" i="2"/>
  <c r="AY503" i="2"/>
  <c r="AT507" i="2"/>
  <c r="CF507" i="2" s="1"/>
  <c r="P515" i="2"/>
  <c r="BF522" i="2"/>
  <c r="BE526" i="2"/>
  <c r="BF526" i="2" s="1"/>
  <c r="AT526" i="2"/>
  <c r="CF526" i="2" s="1"/>
  <c r="AT528" i="2"/>
  <c r="CF528" i="2" s="1"/>
  <c r="BE528" i="2"/>
  <c r="BF528" i="2" s="1"/>
  <c r="AO539" i="2"/>
  <c r="AP539" i="2" s="1"/>
  <c r="AT629" i="2"/>
  <c r="CF629" i="2" s="1"/>
  <c r="BE629" i="2"/>
  <c r="BF629" i="2" s="1"/>
  <c r="BE462" i="2"/>
  <c r="BF462" i="2" s="1"/>
  <c r="AR487" i="2"/>
  <c r="AT500" i="2"/>
  <c r="CF500" i="2" s="1"/>
  <c r="BE508" i="2"/>
  <c r="BF508" i="2" s="1"/>
  <c r="AT508" i="2"/>
  <c r="CF508" i="2" s="1"/>
  <c r="CC515" i="2"/>
  <c r="BJ515" i="2"/>
  <c r="BG515" i="2"/>
  <c r="BE523" i="2"/>
  <c r="BK523" i="2"/>
  <c r="BL523" i="2" s="1"/>
  <c r="BM523" i="2" s="1"/>
  <c r="AT525" i="2"/>
  <c r="CF525" i="2" s="1"/>
  <c r="BE525" i="2"/>
  <c r="BF525" i="2" s="1"/>
  <c r="U530" i="2"/>
  <c r="AR530" i="2"/>
  <c r="BE556" i="2"/>
  <c r="BF556" i="2" s="1"/>
  <c r="BE601" i="2"/>
  <c r="BF601" i="2" s="1"/>
  <c r="AT601" i="2"/>
  <c r="CF601" i="2" s="1"/>
  <c r="AS483" i="2"/>
  <c r="BE487" i="2"/>
  <c r="BF487" i="2" s="1"/>
  <c r="AT487" i="2"/>
  <c r="CF487" i="2" s="1"/>
  <c r="BX491" i="2"/>
  <c r="BF503" i="2"/>
  <c r="BE506" i="2"/>
  <c r="BF506" i="2" s="1"/>
  <c r="AT506" i="2"/>
  <c r="CF506" i="2" s="1"/>
  <c r="AY510" i="2"/>
  <c r="BI510" i="2" s="1"/>
  <c r="U516" i="2"/>
  <c r="BE520" i="2"/>
  <c r="BF520" i="2" s="1"/>
  <c r="AT520" i="2"/>
  <c r="CF520" i="2" s="1"/>
  <c r="BX532" i="2"/>
  <c r="J100" i="3"/>
  <c r="J135" i="3" s="1"/>
  <c r="P444" i="2"/>
  <c r="BX444" i="2"/>
  <c r="J102" i="3"/>
  <c r="AS474" i="2"/>
  <c r="AS488" i="2"/>
  <c r="BE489" i="2"/>
  <c r="BF489" i="2" s="1"/>
  <c r="BE493" i="2"/>
  <c r="BF493" i="2" s="1"/>
  <c r="AT493" i="2"/>
  <c r="CF493" i="2" s="1"/>
  <c r="AY525" i="2"/>
  <c r="U527" i="2"/>
  <c r="U536" i="2"/>
  <c r="AR536" i="2"/>
  <c r="AO715" i="2"/>
  <c r="AP715" i="2" s="1"/>
  <c r="AO563" i="2"/>
  <c r="AP563" i="2" s="1"/>
  <c r="T563" i="2" s="1"/>
  <c r="U563" i="2"/>
  <c r="AQ563" i="2"/>
  <c r="AP452" i="2"/>
  <c r="AP457" i="2"/>
  <c r="AP461" i="2"/>
  <c r="BE484" i="2"/>
  <c r="BF484" i="2" s="1"/>
  <c r="AP485" i="2"/>
  <c r="BF495" i="2"/>
  <c r="BX506" i="2"/>
  <c r="AP512" i="2"/>
  <c r="BE517" i="2"/>
  <c r="BF517" i="2" s="1"/>
  <c r="AT519" i="2"/>
  <c r="CF519" i="2" s="1"/>
  <c r="BE519" i="2"/>
  <c r="BF519" i="2" s="1"/>
  <c r="AP522" i="2"/>
  <c r="AS530" i="2"/>
  <c r="BE553" i="2"/>
  <c r="BF553" i="2" s="1"/>
  <c r="AT553" i="2"/>
  <c r="CF553" i="2" s="1"/>
  <c r="BE558" i="2"/>
  <c r="BF558" i="2" s="1"/>
  <c r="AT558" i="2"/>
  <c r="CF558" i="2" s="1"/>
  <c r="BE602" i="2"/>
  <c r="BF602" i="2" s="1"/>
  <c r="AT602" i="2"/>
  <c r="CF602" i="2" s="1"/>
  <c r="AS477" i="2"/>
  <c r="BE481" i="2"/>
  <c r="BF481" i="2" s="1"/>
  <c r="BF498" i="2"/>
  <c r="AT522" i="2"/>
  <c r="CF522" i="2" s="1"/>
  <c r="AT527" i="2"/>
  <c r="CF527" i="2" s="1"/>
  <c r="BE527" i="2"/>
  <c r="BF527" i="2" s="1"/>
  <c r="BE574" i="2"/>
  <c r="BF574" i="2" s="1"/>
  <c r="AT574" i="2"/>
  <c r="CF574" i="2" s="1"/>
  <c r="U578" i="2"/>
  <c r="AO578" i="2"/>
  <c r="AP578" i="2" s="1"/>
  <c r="AQ578" i="2"/>
  <c r="J93" i="3"/>
  <c r="J91" i="3" s="1"/>
  <c r="J95" i="3" s="1"/>
  <c r="BE494" i="2"/>
  <c r="BF494" i="2" s="1"/>
  <c r="AR497" i="2"/>
  <c r="BE512" i="2"/>
  <c r="BF512" i="2" s="1"/>
  <c r="AQ537" i="2"/>
  <c r="AT551" i="2"/>
  <c r="CF551" i="2" s="1"/>
  <c r="BE551" i="2"/>
  <c r="BF551" i="2" s="1"/>
  <c r="AT514" i="2"/>
  <c r="CF514" i="2" s="1"/>
  <c r="AS524" i="2"/>
  <c r="AR528" i="2"/>
  <c r="U528" i="2"/>
  <c r="CC538" i="2"/>
  <c r="BJ538" i="2"/>
  <c r="BG538" i="2"/>
  <c r="CC543" i="2"/>
  <c r="BJ543" i="2"/>
  <c r="BI543" i="2"/>
  <c r="BG543" i="2"/>
  <c r="T570" i="2"/>
  <c r="BE592" i="2"/>
  <c r="BF592" i="2" s="1"/>
  <c r="AT592" i="2"/>
  <c r="CF592" i="2" s="1"/>
  <c r="AT531" i="2"/>
  <c r="CF531" i="2" s="1"/>
  <c r="BE531" i="2"/>
  <c r="BF531" i="2" s="1"/>
  <c r="I93" i="3"/>
  <c r="I91" i="3" s="1"/>
  <c r="AO643" i="2"/>
  <c r="AP643" i="2" s="1"/>
  <c r="AO543" i="2"/>
  <c r="AP543" i="2" s="1"/>
  <c r="T543" i="2" s="1"/>
  <c r="U543" i="2"/>
  <c r="BE545" i="2"/>
  <c r="BF545" i="2" s="1"/>
  <c r="U566" i="2"/>
  <c r="AT578" i="2"/>
  <c r="CF578" i="2" s="1"/>
  <c r="BE578" i="2"/>
  <c r="BF578" i="2" s="1"/>
  <c r="AT587" i="2"/>
  <c r="CF587" i="2" s="1"/>
  <c r="BE587" i="2"/>
  <c r="BF587" i="2" s="1"/>
  <c r="BE599" i="2"/>
  <c r="BF599" i="2" s="1"/>
  <c r="AT599" i="2"/>
  <c r="CF599" i="2" s="1"/>
  <c r="AP481" i="2"/>
  <c r="AP517" i="2"/>
  <c r="U517" i="2" s="1"/>
  <c r="AW621" i="2"/>
  <c r="AX621" i="2" s="1"/>
  <c r="BN524" i="2"/>
  <c r="BO524" i="2" s="1"/>
  <c r="BP524" i="2"/>
  <c r="BQ524" i="2" s="1"/>
  <c r="BY524" i="2" s="1"/>
  <c r="P538" i="2"/>
  <c r="AO644" i="2"/>
  <c r="AP644" i="2" s="1"/>
  <c r="U541" i="2"/>
  <c r="AS542" i="2"/>
  <c r="AO654" i="2"/>
  <c r="AP654" i="2" s="1"/>
  <c r="AO557" i="2"/>
  <c r="AP557" i="2" s="1"/>
  <c r="AP558" i="2"/>
  <c r="AT591" i="2"/>
  <c r="CF591" i="2" s="1"/>
  <c r="BE591" i="2"/>
  <c r="BF591" i="2" s="1"/>
  <c r="AP484" i="2"/>
  <c r="AP496" i="2"/>
  <c r="AO639" i="2"/>
  <c r="AP639" i="2" s="1"/>
  <c r="AQ542" i="2"/>
  <c r="AR542" i="2" s="1"/>
  <c r="AO711" i="2"/>
  <c r="AP711" i="2" s="1"/>
  <c r="AO549" i="2"/>
  <c r="AP549" i="2" s="1"/>
  <c r="AQ549" i="2"/>
  <c r="AT562" i="2"/>
  <c r="CF562" i="2" s="1"/>
  <c r="BE562" i="2"/>
  <c r="BF562" i="2" s="1"/>
  <c r="CC566" i="2"/>
  <c r="BJ566" i="2"/>
  <c r="BF568" i="2"/>
  <c r="BE577" i="2"/>
  <c r="BF514" i="2"/>
  <c r="I100" i="3"/>
  <c r="I135" i="3" s="1"/>
  <c r="AO709" i="2"/>
  <c r="AQ539" i="2"/>
  <c r="AT544" i="2"/>
  <c r="CF544" i="2" s="1"/>
  <c r="BE544" i="2"/>
  <c r="BF544" i="2" s="1"/>
  <c r="AO648" i="2"/>
  <c r="AP648" i="2" s="1"/>
  <c r="AO653" i="2"/>
  <c r="AP653" i="2" s="1"/>
  <c r="U555" i="2"/>
  <c r="T555" i="2"/>
  <c r="BE560" i="2"/>
  <c r="BF560" i="2" s="1"/>
  <c r="AS561" i="2"/>
  <c r="BX563" i="2"/>
  <c r="BG566" i="2"/>
  <c r="BF575" i="2"/>
  <c r="AT577" i="2"/>
  <c r="CF577" i="2" s="1"/>
  <c r="BE594" i="2"/>
  <c r="BF594" i="2" s="1"/>
  <c r="AT594" i="2"/>
  <c r="CF594" i="2" s="1"/>
  <c r="AT648" i="2"/>
  <c r="CF648" i="2" s="1"/>
  <c r="BE648" i="2"/>
  <c r="BF648" i="2" s="1"/>
  <c r="BF485" i="2"/>
  <c r="BF497" i="2"/>
  <c r="U554" i="2"/>
  <c r="AO554" i="2"/>
  <c r="AP554" i="2" s="1"/>
  <c r="AR554" i="2" s="1"/>
  <c r="BE554" i="2"/>
  <c r="BF554" i="2" s="1"/>
  <c r="AT554" i="2"/>
  <c r="CF554" i="2" s="1"/>
  <c r="AO641" i="2"/>
  <c r="AP641" i="2" s="1"/>
  <c r="AO560" i="2"/>
  <c r="AP560" i="2" s="1"/>
  <c r="AR560" i="2" s="1"/>
  <c r="U560" i="2"/>
  <c r="AS569" i="2"/>
  <c r="AO721" i="2"/>
  <c r="AP721" i="2" s="1"/>
  <c r="AO572" i="2"/>
  <c r="AP572" i="2" s="1"/>
  <c r="AT572" i="2"/>
  <c r="CF572" i="2" s="1"/>
  <c r="BE572" i="2"/>
  <c r="BF572" i="2" s="1"/>
  <c r="BG586" i="2"/>
  <c r="BJ586" i="2"/>
  <c r="CC586" i="2"/>
  <c r="AS603" i="2"/>
  <c r="AO1050" i="2"/>
  <c r="AO989" i="2"/>
  <c r="AO844" i="2"/>
  <c r="AO756" i="2"/>
  <c r="AP756" i="2" s="1"/>
  <c r="U561" i="2"/>
  <c r="AO651" i="2"/>
  <c r="AP651" i="2" s="1"/>
  <c r="AO561" i="2"/>
  <c r="AP561" i="2" s="1"/>
  <c r="AR561" i="2" s="1"/>
  <c r="AQ571" i="2"/>
  <c r="U571" i="2"/>
  <c r="AO1095" i="2"/>
  <c r="AO958" i="2"/>
  <c r="AO814" i="2"/>
  <c r="AO582" i="2"/>
  <c r="AP582" i="2" s="1"/>
  <c r="T582" i="2"/>
  <c r="AT588" i="2"/>
  <c r="CF588" i="2" s="1"/>
  <c r="BE588" i="2"/>
  <c r="BF588" i="2" s="1"/>
  <c r="AO1066" i="2"/>
  <c r="AP1066" i="2" s="1"/>
  <c r="AO930" i="2"/>
  <c r="AP930" i="2" s="1"/>
  <c r="AO791" i="2"/>
  <c r="AP791" i="2" s="1"/>
  <c r="AO670" i="2"/>
  <c r="AP670" i="2" s="1"/>
  <c r="AO600" i="2"/>
  <c r="AP600" i="2" s="1"/>
  <c r="AR600" i="2" s="1"/>
  <c r="T600" i="2"/>
  <c r="AY506" i="2"/>
  <c r="AP511" i="2"/>
  <c r="BF511" i="2"/>
  <c r="AY518" i="2"/>
  <c r="AT534" i="2"/>
  <c r="CF534" i="2" s="1"/>
  <c r="BE534" i="2"/>
  <c r="BF534" i="2" s="1"/>
  <c r="BX538" i="2"/>
  <c r="P546" i="2"/>
  <c r="AS547" i="2"/>
  <c r="BE548" i="2"/>
  <c r="BF548" i="2" s="1"/>
  <c r="BF552" i="2"/>
  <c r="P553" i="2"/>
  <c r="AS567" i="2"/>
  <c r="AS570" i="2"/>
  <c r="BE585" i="2"/>
  <c r="BF585" i="2" s="1"/>
  <c r="AT585" i="2"/>
  <c r="CF585" i="2" s="1"/>
  <c r="AP523" i="2"/>
  <c r="BF523" i="2"/>
  <c r="AP551" i="2"/>
  <c r="P559" i="2"/>
  <c r="BE563" i="2"/>
  <c r="BF563" i="2" s="1"/>
  <c r="AO566" i="2"/>
  <c r="AP566" i="2" s="1"/>
  <c r="AR566" i="2" s="1"/>
  <c r="AS580" i="2"/>
  <c r="AO1094" i="2"/>
  <c r="AP1094" i="2" s="1"/>
  <c r="AO955" i="2"/>
  <c r="AP955" i="2" s="1"/>
  <c r="AO727" i="2"/>
  <c r="AP727" i="2" s="1"/>
  <c r="AO581" i="2"/>
  <c r="AP581" i="2" s="1"/>
  <c r="AR581" i="2" s="1"/>
  <c r="P594" i="2"/>
  <c r="CC609" i="2"/>
  <c r="BG609" i="2"/>
  <c r="BJ609" i="2"/>
  <c r="BG623" i="2"/>
  <c r="CC623" i="2"/>
  <c r="BJ623" i="2"/>
  <c r="BI623" i="2"/>
  <c r="AR637" i="2"/>
  <c r="T637" i="2"/>
  <c r="AT568" i="2"/>
  <c r="CF568" i="2" s="1"/>
  <c r="BF577" i="2"/>
  <c r="BE579" i="2"/>
  <c r="BF579" i="2" s="1"/>
  <c r="AT579" i="2"/>
  <c r="CF579" i="2" s="1"/>
  <c r="AR584" i="2"/>
  <c r="U584" i="2"/>
  <c r="AT610" i="2"/>
  <c r="CF610" i="2" s="1"/>
  <c r="BE537" i="2"/>
  <c r="AO634" i="2"/>
  <c r="AP634" i="2" s="1"/>
  <c r="AO538" i="2"/>
  <c r="AP538" i="2" s="1"/>
  <c r="AR538" i="2" s="1"/>
  <c r="U538" i="2"/>
  <c r="AQ543" i="2"/>
  <c r="AQ568" i="2"/>
  <c r="AR568" i="2" s="1"/>
  <c r="U568" i="2"/>
  <c r="T574" i="2"/>
  <c r="AO957" i="2"/>
  <c r="AP957" i="2" s="1"/>
  <c r="AQ580" i="2"/>
  <c r="AR580" i="2" s="1"/>
  <c r="U580" i="2"/>
  <c r="T580" i="2"/>
  <c r="AP531" i="2"/>
  <c r="I84" i="3"/>
  <c r="I85" i="3"/>
  <c r="AT538" i="2"/>
  <c r="CF538" i="2" s="1"/>
  <c r="AS541" i="2"/>
  <c r="AQ541" i="2"/>
  <c r="T542" i="2"/>
  <c r="AO545" i="2"/>
  <c r="AP545" i="2" s="1"/>
  <c r="U546" i="2"/>
  <c r="AT557" i="2"/>
  <c r="CF557" i="2" s="1"/>
  <c r="BE557" i="2"/>
  <c r="BF557" i="2" s="1"/>
  <c r="AQ557" i="2"/>
  <c r="BE564" i="2"/>
  <c r="BF564" i="2" s="1"/>
  <c r="AT564" i="2"/>
  <c r="CF564" i="2" s="1"/>
  <c r="BX568" i="2"/>
  <c r="AT575" i="2"/>
  <c r="CF575" i="2" s="1"/>
  <c r="AR652" i="2"/>
  <c r="T652" i="2"/>
  <c r="P607" i="2"/>
  <c r="AT622" i="2"/>
  <c r="CF622" i="2" s="1"/>
  <c r="BE622" i="2"/>
  <c r="BF622" i="2" s="1"/>
  <c r="AT624" i="2"/>
  <c r="CF624" i="2" s="1"/>
  <c r="BE624" i="2"/>
  <c r="BF624" i="2" s="1"/>
  <c r="BE626" i="2"/>
  <c r="BF626" i="2" s="1"/>
  <c r="AT626" i="2"/>
  <c r="CF626" i="2" s="1"/>
  <c r="BF627" i="2"/>
  <c r="BF632" i="2"/>
  <c r="CC634" i="2"/>
  <c r="BG634" i="2"/>
  <c r="CC637" i="2"/>
  <c r="BJ637" i="2"/>
  <c r="BI637" i="2"/>
  <c r="BG637" i="2"/>
  <c r="AT652" i="2"/>
  <c r="CF652" i="2" s="1"/>
  <c r="BE652" i="2"/>
  <c r="BF652" i="2" s="1"/>
  <c r="AO713" i="2"/>
  <c r="AP713" i="2" s="1"/>
  <c r="AO556" i="2"/>
  <c r="AP556" i="2" s="1"/>
  <c r="AQ556" i="2"/>
  <c r="AO562" i="2"/>
  <c r="AP562" i="2" s="1"/>
  <c r="AQ573" i="2"/>
  <c r="AR573" i="2" s="1"/>
  <c r="AQ576" i="2"/>
  <c r="AS581" i="2"/>
  <c r="P585" i="2"/>
  <c r="P609" i="2"/>
  <c r="AO1062" i="2"/>
  <c r="AO924" i="2"/>
  <c r="AP924" i="2" s="1"/>
  <c r="AO881" i="2"/>
  <c r="T612" i="2"/>
  <c r="AO676" i="2"/>
  <c r="AP676" i="2" s="1"/>
  <c r="AT628" i="2"/>
  <c r="CF628" i="2" s="1"/>
  <c r="BE628" i="2"/>
  <c r="AP630" i="2"/>
  <c r="U630" i="2" s="1"/>
  <c r="I102" i="3"/>
  <c r="I108" i="3" s="1"/>
  <c r="T659" i="2"/>
  <c r="AR659" i="2"/>
  <c r="AS571" i="2"/>
  <c r="AQ574" i="2"/>
  <c r="U574" i="2"/>
  <c r="AO640" i="2"/>
  <c r="AP640" i="2" s="1"/>
  <c r="T575" i="2"/>
  <c r="AP579" i="2"/>
  <c r="AO1088" i="2"/>
  <c r="AP1088" i="2" s="1"/>
  <c r="AO943" i="2"/>
  <c r="AO688" i="2"/>
  <c r="AP688" i="2" s="1"/>
  <c r="U598" i="2"/>
  <c r="AQ598" i="2"/>
  <c r="AR598" i="2" s="1"/>
  <c r="BJ607" i="2"/>
  <c r="AO1073" i="2"/>
  <c r="AO938" i="2"/>
  <c r="AO689" i="2"/>
  <c r="AP689" i="2" s="1"/>
  <c r="T624" i="2"/>
  <c r="AO624" i="2"/>
  <c r="AP624" i="2" s="1"/>
  <c r="U624" i="2" s="1"/>
  <c r="U625" i="2"/>
  <c r="AO940" i="2"/>
  <c r="AP940" i="2" s="1"/>
  <c r="AO810" i="2"/>
  <c r="AP810" i="2" s="1"/>
  <c r="AO701" i="2"/>
  <c r="AP701" i="2" s="1"/>
  <c r="AQ628" i="2"/>
  <c r="T628" i="2"/>
  <c r="BE631" i="2"/>
  <c r="AT631" i="2"/>
  <c r="CF631" i="2" s="1"/>
  <c r="BG635" i="2"/>
  <c r="CC635" i="2"/>
  <c r="BI646" i="2"/>
  <c r="CC646" i="2"/>
  <c r="BJ646" i="2"/>
  <c r="BG646" i="2"/>
  <c r="BE653" i="2"/>
  <c r="BF653" i="2" s="1"/>
  <c r="AT653" i="2"/>
  <c r="CF653" i="2" s="1"/>
  <c r="U622" i="2"/>
  <c r="BF638" i="2"/>
  <c r="AP655" i="2"/>
  <c r="AP663" i="2"/>
  <c r="T663" i="2" s="1"/>
  <c r="U677" i="2"/>
  <c r="AR677" i="2"/>
  <c r="BK686" i="2"/>
  <c r="AT686" i="2"/>
  <c r="CF686" i="2" s="1"/>
  <c r="BE686" i="2"/>
  <c r="BF686" i="2" s="1"/>
  <c r="AT617" i="2"/>
  <c r="CF617" i="2" s="1"/>
  <c r="BE617" i="2"/>
  <c r="BF617" i="2" s="1"/>
  <c r="AO1083" i="2"/>
  <c r="AO948" i="2"/>
  <c r="AP948" i="2" s="1"/>
  <c r="AO819" i="2"/>
  <c r="AP819" i="2" s="1"/>
  <c r="AR819" i="2" s="1"/>
  <c r="AO706" i="2"/>
  <c r="AO633" i="2"/>
  <c r="AP633" i="2" s="1"/>
  <c r="AR633" i="2" s="1"/>
  <c r="T633" i="2"/>
  <c r="BK643" i="2"/>
  <c r="BL643" i="2" s="1"/>
  <c r="BM643" i="2" s="1"/>
  <c r="AT643" i="2"/>
  <c r="CF643" i="2" s="1"/>
  <c r="BG658" i="2"/>
  <c r="CC658" i="2"/>
  <c r="BJ658" i="2"/>
  <c r="AO540" i="2"/>
  <c r="AP540" i="2" s="1"/>
  <c r="U550" i="2"/>
  <c r="AO661" i="2"/>
  <c r="AP661" i="2" s="1"/>
  <c r="AQ558" i="2"/>
  <c r="AO720" i="2"/>
  <c r="AP720" i="2" s="1"/>
  <c r="U570" i="2"/>
  <c r="AQ570" i="2"/>
  <c r="AR570" i="2" s="1"/>
  <c r="P573" i="2"/>
  <c r="P575" i="2"/>
  <c r="AS583" i="2"/>
  <c r="AT600" i="2"/>
  <c r="CF600" i="2" s="1"/>
  <c r="BE600" i="2"/>
  <c r="BF600" i="2" s="1"/>
  <c r="AO960" i="2"/>
  <c r="AQ603" i="2"/>
  <c r="AR603" i="2" s="1"/>
  <c r="AO681" i="2"/>
  <c r="U603" i="2"/>
  <c r="T603" i="2"/>
  <c r="AO1080" i="2"/>
  <c r="AP1080" i="2" s="1"/>
  <c r="AO937" i="2"/>
  <c r="AO604" i="2"/>
  <c r="AP604" i="2" s="1"/>
  <c r="AR604" i="2" s="1"/>
  <c r="T604" i="2"/>
  <c r="AO672" i="2"/>
  <c r="AP672" i="2" s="1"/>
  <c r="U604" i="2"/>
  <c r="BX611" i="2"/>
  <c r="BE630" i="2"/>
  <c r="BF630" i="2" s="1"/>
  <c r="BK637" i="2"/>
  <c r="BL637" i="2" s="1"/>
  <c r="BM637" i="2" s="1"/>
  <c r="AT637" i="2"/>
  <c r="CF637" i="2" s="1"/>
  <c r="AT654" i="2"/>
  <c r="CF654" i="2" s="1"/>
  <c r="BE654" i="2"/>
  <c r="BF654" i="2" s="1"/>
  <c r="BK654" i="2"/>
  <c r="BL654" i="2" s="1"/>
  <c r="BM654" i="2" s="1"/>
  <c r="AW747" i="2"/>
  <c r="AX747" i="2" s="1"/>
  <c r="BP654" i="2"/>
  <c r="BQ654" i="2" s="1"/>
  <c r="BY654" i="2" s="1"/>
  <c r="AP666" i="2"/>
  <c r="AO553" i="2"/>
  <c r="AP553" i="2" s="1"/>
  <c r="P557" i="2"/>
  <c r="BX557" i="2"/>
  <c r="AO559" i="2"/>
  <c r="AP559" i="2" s="1"/>
  <c r="AR716" i="2"/>
  <c r="T716" i="2"/>
  <c r="AQ564" i="2"/>
  <c r="AR564" i="2" s="1"/>
  <c r="BF565" i="2"/>
  <c r="AO1052" i="2"/>
  <c r="AO911" i="2"/>
  <c r="AO772" i="2"/>
  <c r="AP772" i="2" s="1"/>
  <c r="AO665" i="2"/>
  <c r="AP665" i="2" s="1"/>
  <c r="AQ587" i="2"/>
  <c r="T589" i="2"/>
  <c r="AS593" i="2"/>
  <c r="T610" i="2"/>
  <c r="AO1076" i="2"/>
  <c r="AP1076" i="2" s="1"/>
  <c r="AO928" i="2"/>
  <c r="AP928" i="2" s="1"/>
  <c r="T617" i="2"/>
  <c r="AO685" i="2"/>
  <c r="AO617" i="2"/>
  <c r="AP617" i="2" s="1"/>
  <c r="AT621" i="2"/>
  <c r="CF621" i="2" s="1"/>
  <c r="AT623" i="2"/>
  <c r="CF623" i="2" s="1"/>
  <c r="AT630" i="2"/>
  <c r="CF630" i="2" s="1"/>
  <c r="AS639" i="2"/>
  <c r="BE643" i="2"/>
  <c r="BF643" i="2" s="1"/>
  <c r="AT662" i="2"/>
  <c r="CF662" i="2" s="1"/>
  <c r="BE662" i="2"/>
  <c r="BF662" i="2" s="1"/>
  <c r="T662" i="2"/>
  <c r="AR662" i="2"/>
  <c r="AR714" i="2"/>
  <c r="T714" i="2"/>
  <c r="AP585" i="2"/>
  <c r="AO1071" i="2"/>
  <c r="AP1071" i="2" s="1"/>
  <c r="AO929" i="2"/>
  <c r="AP929" i="2" s="1"/>
  <c r="AO684" i="2"/>
  <c r="AP684" i="2" s="1"/>
  <c r="AO1054" i="2"/>
  <c r="AP1054" i="2" s="1"/>
  <c r="AO918" i="2"/>
  <c r="AP918" i="2" s="1"/>
  <c r="AO671" i="2"/>
  <c r="U590" i="2"/>
  <c r="AO1065" i="2"/>
  <c r="AO910" i="2"/>
  <c r="AO863" i="2"/>
  <c r="AO664" i="2"/>
  <c r="AP664" i="2" s="1"/>
  <c r="AO597" i="2"/>
  <c r="AP597" i="2" s="1"/>
  <c r="AP599" i="2"/>
  <c r="AR599" i="2" s="1"/>
  <c r="P602" i="2"/>
  <c r="AO1087" i="2"/>
  <c r="AO946" i="2"/>
  <c r="AO803" i="2"/>
  <c r="AP803" i="2" s="1"/>
  <c r="AO704" i="2"/>
  <c r="AP704" i="2" s="1"/>
  <c r="AO605" i="2"/>
  <c r="AP605" i="2" s="1"/>
  <c r="AR605" i="2" s="1"/>
  <c r="AS608" i="2"/>
  <c r="BF611" i="2"/>
  <c r="BD614" i="2"/>
  <c r="AS614" i="2"/>
  <c r="AP615" i="2"/>
  <c r="U621" i="2"/>
  <c r="AO636" i="2"/>
  <c r="AP636" i="2" s="1"/>
  <c r="AS640" i="2"/>
  <c r="BJ660" i="2"/>
  <c r="BG660" i="2"/>
  <c r="CC660" i="2"/>
  <c r="AQ553" i="2"/>
  <c r="AQ559" i="2"/>
  <c r="AO656" i="2"/>
  <c r="AP656" i="2" s="1"/>
  <c r="AQ565" i="2"/>
  <c r="BX586" i="2"/>
  <c r="BE589" i="2"/>
  <c r="BF589" i="2" s="1"/>
  <c r="P592" i="2"/>
  <c r="AO1051" i="2"/>
  <c r="AP1051" i="2" s="1"/>
  <c r="AO915" i="2"/>
  <c r="AO782" i="2"/>
  <c r="AP782" i="2" s="1"/>
  <c r="T595" i="2"/>
  <c r="AO674" i="2"/>
  <c r="AP674" i="2" s="1"/>
  <c r="AO595" i="2"/>
  <c r="AP595" i="2" s="1"/>
  <c r="BE597" i="2"/>
  <c r="BF597" i="2" s="1"/>
  <c r="P601" i="2"/>
  <c r="BE615" i="2"/>
  <c r="BF615" i="2" s="1"/>
  <c r="AR687" i="2"/>
  <c r="U687" i="2"/>
  <c r="AT615" i="2"/>
  <c r="CF615" i="2" s="1"/>
  <c r="BE616" i="2"/>
  <c r="BF616" i="2" s="1"/>
  <c r="AT616" i="2"/>
  <c r="CF616" i="2" s="1"/>
  <c r="BJ635" i="2"/>
  <c r="AO638" i="2"/>
  <c r="AP638" i="2" s="1"/>
  <c r="AS576" i="2"/>
  <c r="AO1096" i="2"/>
  <c r="AO956" i="2"/>
  <c r="AP956" i="2" s="1"/>
  <c r="AO779" i="2"/>
  <c r="AP779" i="2" s="1"/>
  <c r="AO673" i="2"/>
  <c r="AP673" i="2" s="1"/>
  <c r="AO589" i="2"/>
  <c r="AP589" i="2" s="1"/>
  <c r="AQ589" i="2"/>
  <c r="P590" i="2"/>
  <c r="P597" i="2"/>
  <c r="AO612" i="2"/>
  <c r="AP612" i="2" s="1"/>
  <c r="AR612" i="2" s="1"/>
  <c r="AO1069" i="2"/>
  <c r="AO933" i="2"/>
  <c r="AP933" i="2" s="1"/>
  <c r="AO797" i="2"/>
  <c r="AP797" i="2" s="1"/>
  <c r="AO693" i="2"/>
  <c r="AP693" i="2" s="1"/>
  <c r="T620" i="2"/>
  <c r="AO620" i="2"/>
  <c r="AP620" i="2" s="1"/>
  <c r="AR620" i="2" s="1"/>
  <c r="BX620" i="2"/>
  <c r="AQ624" i="2"/>
  <c r="P634" i="2"/>
  <c r="P639" i="2"/>
  <c r="BE642" i="2"/>
  <c r="BF642" i="2" s="1"/>
  <c r="AT642" i="2"/>
  <c r="CF642" i="2" s="1"/>
  <c r="BE650" i="2"/>
  <c r="BF650" i="2" s="1"/>
  <c r="AT650" i="2"/>
  <c r="CF650" i="2" s="1"/>
  <c r="AO1077" i="2"/>
  <c r="AO931" i="2"/>
  <c r="AP931" i="2" s="1"/>
  <c r="AO694" i="2"/>
  <c r="AP694" i="2" s="1"/>
  <c r="AO610" i="2"/>
  <c r="AP610" i="2" s="1"/>
  <c r="AR610" i="2" s="1"/>
  <c r="AS612" i="2"/>
  <c r="AO628" i="2"/>
  <c r="AP628" i="2" s="1"/>
  <c r="U628" i="2" s="1"/>
  <c r="AT638" i="2"/>
  <c r="CF638" i="2" s="1"/>
  <c r="AP650" i="2"/>
  <c r="AT657" i="2"/>
  <c r="CF657" i="2" s="1"/>
  <c r="BE657" i="2"/>
  <c r="BF657" i="2" s="1"/>
  <c r="U660" i="2"/>
  <c r="BE688" i="2"/>
  <c r="BF688" i="2" s="1"/>
  <c r="AT688" i="2"/>
  <c r="CF688" i="2" s="1"/>
  <c r="CC718" i="2"/>
  <c r="BI718" i="2"/>
  <c r="BG718" i="2"/>
  <c r="BJ718" i="2"/>
  <c r="AO1075" i="2"/>
  <c r="AO932" i="2"/>
  <c r="AO885" i="2"/>
  <c r="AO724" i="2"/>
  <c r="AP724" i="2" s="1"/>
  <c r="AQ593" i="2"/>
  <c r="AR593" i="2" s="1"/>
  <c r="AO1063" i="2"/>
  <c r="AO927" i="2"/>
  <c r="AP927" i="2" s="1"/>
  <c r="AQ594" i="2"/>
  <c r="AR594" i="2" s="1"/>
  <c r="AO1085" i="2"/>
  <c r="AP1085" i="2" s="1"/>
  <c r="AO950" i="2"/>
  <c r="AP950" i="2" s="1"/>
  <c r="AO817" i="2"/>
  <c r="AP817" i="2" s="1"/>
  <c r="AO609" i="2"/>
  <c r="AP609" i="2" s="1"/>
  <c r="AQ609" i="2"/>
  <c r="AO1078" i="2"/>
  <c r="AP1078" i="2" s="1"/>
  <c r="AO934" i="2"/>
  <c r="AP934" i="2" s="1"/>
  <c r="AO680" i="2"/>
  <c r="AP680" i="2" s="1"/>
  <c r="AO613" i="2"/>
  <c r="AP613" i="2" s="1"/>
  <c r="AQ613" i="2"/>
  <c r="AO1092" i="2"/>
  <c r="AP1092" i="2" s="1"/>
  <c r="AO949" i="2"/>
  <c r="AP949" i="2" s="1"/>
  <c r="AO808" i="2"/>
  <c r="AO705" i="2"/>
  <c r="AP705" i="2" s="1"/>
  <c r="AQ625" i="2"/>
  <c r="AR625" i="2" s="1"/>
  <c r="BE633" i="2"/>
  <c r="BF633" i="2" s="1"/>
  <c r="H13" i="3"/>
  <c r="H84" i="3"/>
  <c r="H85" i="3"/>
  <c r="H12" i="3"/>
  <c r="AP642" i="2"/>
  <c r="AW741" i="2"/>
  <c r="AX741" i="2" s="1"/>
  <c r="BN643" i="2"/>
  <c r="BO643" i="2" s="1"/>
  <c r="AQ647" i="2"/>
  <c r="AO647" i="2"/>
  <c r="AP647" i="2" s="1"/>
  <c r="T647" i="2" s="1"/>
  <c r="AT658" i="2"/>
  <c r="CF658" i="2" s="1"/>
  <c r="BE664" i="2"/>
  <c r="BF664" i="2" s="1"/>
  <c r="AT668" i="2"/>
  <c r="CF668" i="2" s="1"/>
  <c r="BE671" i="2"/>
  <c r="BF671" i="2" s="1"/>
  <c r="AT671" i="2"/>
  <c r="CF671" i="2" s="1"/>
  <c r="P694" i="2"/>
  <c r="AT699" i="2"/>
  <c r="CF699" i="2" s="1"/>
  <c r="BE699" i="2"/>
  <c r="BF699" i="2" s="1"/>
  <c r="AO1058" i="2"/>
  <c r="AP1058" i="2" s="1"/>
  <c r="AO912" i="2"/>
  <c r="AP912" i="2" s="1"/>
  <c r="AO1060" i="2"/>
  <c r="AO919" i="2"/>
  <c r="AP919" i="2" s="1"/>
  <c r="AO780" i="2"/>
  <c r="AP780" i="2" s="1"/>
  <c r="AQ591" i="2"/>
  <c r="AR591" i="2" s="1"/>
  <c r="AO1082" i="2"/>
  <c r="AO939" i="2"/>
  <c r="AO695" i="2"/>
  <c r="AP695" i="2" s="1"/>
  <c r="AO592" i="2"/>
  <c r="AP592" i="2" s="1"/>
  <c r="T592" i="2"/>
  <c r="BX593" i="2"/>
  <c r="AS596" i="2"/>
  <c r="AP596" i="2"/>
  <c r="AO1057" i="2"/>
  <c r="AP1057" i="2" s="1"/>
  <c r="AO921" i="2"/>
  <c r="AO873" i="2"/>
  <c r="AP873" i="2" s="1"/>
  <c r="AO601" i="2"/>
  <c r="AP601" i="2" s="1"/>
  <c r="AQ601" i="2"/>
  <c r="AO1089" i="2"/>
  <c r="AO953" i="2"/>
  <c r="AP953" i="2" s="1"/>
  <c r="U602" i="2"/>
  <c r="AO692" i="2"/>
  <c r="AP692" i="2" s="1"/>
  <c r="BX602" i="2"/>
  <c r="P610" i="2"/>
  <c r="T623" i="2"/>
  <c r="BF628" i="2"/>
  <c r="BX634" i="2"/>
  <c r="BF651" i="2"/>
  <c r="AO658" i="2"/>
  <c r="AP658" i="2" s="1"/>
  <c r="AO660" i="2"/>
  <c r="AP660" i="2" s="1"/>
  <c r="T660" i="2" s="1"/>
  <c r="BX661" i="2"/>
  <c r="AT664" i="2"/>
  <c r="CF664" i="2" s="1"/>
  <c r="BE676" i="2"/>
  <c r="BF676" i="2" s="1"/>
  <c r="BK676" i="2"/>
  <c r="BL676" i="2" s="1"/>
  <c r="BM676" i="2" s="1"/>
  <c r="AT676" i="2"/>
  <c r="CF676" i="2" s="1"/>
  <c r="BE728" i="2"/>
  <c r="AT728" i="2"/>
  <c r="BE729" i="2"/>
  <c r="BF729" i="2" s="1"/>
  <c r="BF636" i="2"/>
  <c r="P647" i="2"/>
  <c r="AO675" i="2"/>
  <c r="AP675" i="2" s="1"/>
  <c r="BI679" i="2"/>
  <c r="BG679" i="2"/>
  <c r="AT680" i="2"/>
  <c r="CF680" i="2" s="1"/>
  <c r="BK680" i="2"/>
  <c r="BL680" i="2" s="1"/>
  <c r="BM680" i="2" s="1"/>
  <c r="AW794" i="2"/>
  <c r="AX794" i="2" s="1"/>
  <c r="BP680" i="2"/>
  <c r="BQ680" i="2" s="1"/>
  <c r="BY680" i="2" s="1"/>
  <c r="AT684" i="2"/>
  <c r="CF684" i="2" s="1"/>
  <c r="BE684" i="2"/>
  <c r="BF684" i="2" s="1"/>
  <c r="BI707" i="2"/>
  <c r="CC707" i="2"/>
  <c r="BJ707" i="2"/>
  <c r="AT660" i="2"/>
  <c r="CF660" i="2" s="1"/>
  <c r="AQ660" i="2"/>
  <c r="AW771" i="2"/>
  <c r="BP664" i="2"/>
  <c r="BQ664" i="2" s="1"/>
  <c r="BY664" i="2" s="1"/>
  <c r="BN664" i="2"/>
  <c r="BO664" i="2" s="1"/>
  <c r="AT675" i="2"/>
  <c r="CF675" i="2" s="1"/>
  <c r="BE675" i="2"/>
  <c r="BF675" i="2" s="1"/>
  <c r="BK675" i="2"/>
  <c r="BL675" i="2" s="1"/>
  <c r="BM675" i="2" s="1"/>
  <c r="AW793" i="2"/>
  <c r="BP676" i="2"/>
  <c r="BQ676" i="2" s="1"/>
  <c r="BY676" i="2" s="1"/>
  <c r="BN676" i="2"/>
  <c r="BO676" i="2" s="1"/>
  <c r="AW786" i="2"/>
  <c r="AX786" i="2" s="1"/>
  <c r="BN686" i="2"/>
  <c r="BO686" i="2" s="1"/>
  <c r="AT665" i="2"/>
  <c r="CF665" i="2" s="1"/>
  <c r="AT678" i="2"/>
  <c r="CF678" i="2" s="1"/>
  <c r="BE678" i="2"/>
  <c r="BF678" i="2" s="1"/>
  <c r="BE700" i="2"/>
  <c r="BF700" i="2" s="1"/>
  <c r="AT711" i="2"/>
  <c r="CF711" i="2" s="1"/>
  <c r="BE711" i="2"/>
  <c r="BF711" i="2" s="1"/>
  <c r="AO1074" i="2"/>
  <c r="AO944" i="2"/>
  <c r="AP944" i="2" s="1"/>
  <c r="AO807" i="2"/>
  <c r="AO619" i="2"/>
  <c r="AP619" i="2" s="1"/>
  <c r="AO702" i="2"/>
  <c r="AP702" i="2" s="1"/>
  <c r="AQ619" i="2"/>
  <c r="AO1090" i="2"/>
  <c r="AP1090" i="2" s="1"/>
  <c r="AO945" i="2"/>
  <c r="AO623" i="2"/>
  <c r="AP623" i="2" s="1"/>
  <c r="AQ623" i="2"/>
  <c r="AT633" i="2"/>
  <c r="CF633" i="2" s="1"/>
  <c r="H100" i="3"/>
  <c r="H135" i="3" s="1"/>
  <c r="H33" i="3"/>
  <c r="BX637" i="2"/>
  <c r="BE641" i="2"/>
  <c r="BF641" i="2" s="1"/>
  <c r="P665" i="2"/>
  <c r="BE668" i="2"/>
  <c r="BF668" i="2" s="1"/>
  <c r="BK673" i="2"/>
  <c r="BL673" i="2" s="1"/>
  <c r="BM673" i="2" s="1"/>
  <c r="BL686" i="2"/>
  <c r="BM686" i="2" s="1"/>
  <c r="AT689" i="2"/>
  <c r="CF689" i="2" s="1"/>
  <c r="AT701" i="2"/>
  <c r="CF701" i="2" s="1"/>
  <c r="P624" i="2"/>
  <c r="P629" i="2"/>
  <c r="H71" i="3"/>
  <c r="H72" i="3"/>
  <c r="H35" i="3"/>
  <c r="H46" i="3"/>
  <c r="H62" i="3"/>
  <c r="H47" i="3"/>
  <c r="H36" i="3"/>
  <c r="H66" i="3"/>
  <c r="H9" i="3"/>
  <c r="H39" i="3" s="1"/>
  <c r="H48" i="3"/>
  <c r="H25" i="3"/>
  <c r="H11" i="3"/>
  <c r="H61" i="3"/>
  <c r="H10" i="3"/>
  <c r="H69" i="3"/>
  <c r="H45" i="3"/>
  <c r="H30" i="3"/>
  <c r="H49" i="3"/>
  <c r="AQ636" i="2"/>
  <c r="P648" i="2"/>
  <c r="AS649" i="2"/>
  <c r="AT655" i="2"/>
  <c r="CF655" i="2" s="1"/>
  <c r="BE655" i="2"/>
  <c r="BF655" i="2" s="1"/>
  <c r="BE661" i="2"/>
  <c r="BF661" i="2" s="1"/>
  <c r="BE669" i="2"/>
  <c r="BF669" i="2" s="1"/>
  <c r="AS677" i="2"/>
  <c r="BE680" i="2"/>
  <c r="BF680" i="2" s="1"/>
  <c r="AO1059" i="2"/>
  <c r="AO917" i="2"/>
  <c r="AP917" i="2" s="1"/>
  <c r="AO867" i="2"/>
  <c r="T593" i="2"/>
  <c r="AO1091" i="2"/>
  <c r="AO954" i="2"/>
  <c r="AQ606" i="2"/>
  <c r="AO707" i="2"/>
  <c r="AP707" i="2" s="1"/>
  <c r="AO1055" i="2"/>
  <c r="AP1055" i="2" s="1"/>
  <c r="AO916" i="2"/>
  <c r="AO869" i="2"/>
  <c r="T607" i="2"/>
  <c r="AP618" i="2"/>
  <c r="U618" i="2" s="1"/>
  <c r="AO1068" i="2"/>
  <c r="AO936" i="2"/>
  <c r="AQ627" i="2"/>
  <c r="AR627" i="2" s="1"/>
  <c r="P637" i="2"/>
  <c r="AT646" i="2"/>
  <c r="CF646" i="2" s="1"/>
  <c r="U647" i="2"/>
  <c r="AO668" i="2"/>
  <c r="AP668" i="2" s="1"/>
  <c r="BI673" i="2"/>
  <c r="BG673" i="2"/>
  <c r="AT674" i="2"/>
  <c r="CF674" i="2" s="1"/>
  <c r="BX675" i="2"/>
  <c r="AO682" i="2"/>
  <c r="AP682" i="2" s="1"/>
  <c r="AT687" i="2"/>
  <c r="CF687" i="2" s="1"/>
  <c r="BE687" i="2"/>
  <c r="BF687" i="2" s="1"/>
  <c r="AW799" i="2"/>
  <c r="AX799" i="2" s="1"/>
  <c r="BP687" i="2"/>
  <c r="BQ687" i="2" s="1"/>
  <c r="BY687" i="2" s="1"/>
  <c r="BG689" i="2"/>
  <c r="BJ689" i="2"/>
  <c r="AS605" i="2"/>
  <c r="AO1097" i="2"/>
  <c r="AP1097" i="2" s="1"/>
  <c r="AO923" i="2"/>
  <c r="AP923" i="2" s="1"/>
  <c r="AO795" i="2"/>
  <c r="AP795" i="2" s="1"/>
  <c r="AO691" i="2"/>
  <c r="AP691" i="2" s="1"/>
  <c r="AQ615" i="2"/>
  <c r="BX615" i="2"/>
  <c r="AT618" i="2"/>
  <c r="CF618" i="2" s="1"/>
  <c r="BE618" i="2"/>
  <c r="BF618" i="2" s="1"/>
  <c r="BF631" i="2"/>
  <c r="AO1053" i="2"/>
  <c r="AP1053" i="2" s="1"/>
  <c r="AO913" i="2"/>
  <c r="AP913" i="2" s="1"/>
  <c r="AO875" i="2"/>
  <c r="T632" i="2"/>
  <c r="AO686" i="2"/>
  <c r="AP686" i="2" s="1"/>
  <c r="AQ632" i="2"/>
  <c r="AR632" i="2" s="1"/>
  <c r="BE645" i="2"/>
  <c r="BF645" i="2" s="1"/>
  <c r="AT645" i="2"/>
  <c r="CF645" i="2" s="1"/>
  <c r="AT651" i="2"/>
  <c r="CF651" i="2" s="1"/>
  <c r="BE667" i="2"/>
  <c r="BF667" i="2" s="1"/>
  <c r="AT673" i="2"/>
  <c r="CF673" i="2" s="1"/>
  <c r="AT683" i="2"/>
  <c r="CF683" i="2" s="1"/>
  <c r="BE683" i="2"/>
  <c r="BF683" i="2" s="1"/>
  <c r="BP686" i="2"/>
  <c r="BQ686" i="2" s="1"/>
  <c r="BY686" i="2" s="1"/>
  <c r="CC701" i="2"/>
  <c r="BJ701" i="2"/>
  <c r="BG701" i="2"/>
  <c r="BE704" i="2"/>
  <c r="BF704" i="2" s="1"/>
  <c r="BK704" i="2"/>
  <c r="BL704" i="2" s="1"/>
  <c r="BM704" i="2" s="1"/>
  <c r="AT704" i="2"/>
  <c r="CF704" i="2" s="1"/>
  <c r="BF621" i="2"/>
  <c r="AO1061" i="2"/>
  <c r="AP1061" i="2" s="1"/>
  <c r="AO925" i="2"/>
  <c r="AP925" i="2" s="1"/>
  <c r="AO883" i="2"/>
  <c r="T622" i="2"/>
  <c r="AO690" i="2"/>
  <c r="AP690" i="2" s="1"/>
  <c r="AQ622" i="2"/>
  <c r="AR622" i="2" s="1"/>
  <c r="AT627" i="2"/>
  <c r="CF627" i="2" s="1"/>
  <c r="BE644" i="2"/>
  <c r="BF644" i="2" s="1"/>
  <c r="AO646" i="2"/>
  <c r="AP646" i="2" s="1"/>
  <c r="P649" i="2"/>
  <c r="P651" i="2"/>
  <c r="BE665" i="2"/>
  <c r="BF665" i="2" s="1"/>
  <c r="AT667" i="2"/>
  <c r="CF667" i="2" s="1"/>
  <c r="AO669" i="2"/>
  <c r="AP669" i="2" s="1"/>
  <c r="AP671" i="2"/>
  <c r="BN680" i="2"/>
  <c r="BO680" i="2" s="1"/>
  <c r="P701" i="2"/>
  <c r="AT717" i="2"/>
  <c r="CF717" i="2" s="1"/>
  <c r="BE717" i="2"/>
  <c r="BF717" i="2" s="1"/>
  <c r="AP631" i="2"/>
  <c r="U631" i="2" s="1"/>
  <c r="AW742" i="2"/>
  <c r="AX742" i="2" s="1"/>
  <c r="BP645" i="2"/>
  <c r="BQ645" i="2" s="1"/>
  <c r="BY645" i="2" s="1"/>
  <c r="BN645" i="2"/>
  <c r="BO645" i="2" s="1"/>
  <c r="BE656" i="2"/>
  <c r="BF656" i="2" s="1"/>
  <c r="AT656" i="2"/>
  <c r="CF656" i="2" s="1"/>
  <c r="P661" i="2"/>
  <c r="AQ663" i="2"/>
  <c r="U663" i="2"/>
  <c r="BE666" i="2"/>
  <c r="BF666" i="2" s="1"/>
  <c r="AS672" i="2"/>
  <c r="BJ674" i="2"/>
  <c r="BG674" i="2"/>
  <c r="AT681" i="2"/>
  <c r="CF681" i="2" s="1"/>
  <c r="BE681" i="2"/>
  <c r="BF681" i="2" s="1"/>
  <c r="AO699" i="2"/>
  <c r="AP699" i="2" s="1"/>
  <c r="BJ702" i="2"/>
  <c r="CC702" i="2"/>
  <c r="BE703" i="2"/>
  <c r="BF703" i="2" s="1"/>
  <c r="AT703" i="2"/>
  <c r="CF703" i="2" s="1"/>
  <c r="CC715" i="2"/>
  <c r="BJ715" i="2"/>
  <c r="AT716" i="2"/>
  <c r="CF716" i="2" s="1"/>
  <c r="BE716" i="2"/>
  <c r="BF716" i="2" s="1"/>
  <c r="AQ723" i="2"/>
  <c r="AO723" i="2"/>
  <c r="AP723" i="2" s="1"/>
  <c r="T723" i="2" s="1"/>
  <c r="U723" i="2"/>
  <c r="AO726" i="2"/>
  <c r="AP726" i="2" s="1"/>
  <c r="AR726" i="2" s="1"/>
  <c r="AL742" i="2"/>
  <c r="CF742" i="2"/>
  <c r="BG715" i="2"/>
  <c r="BE720" i="2"/>
  <c r="BF720" i="2" s="1"/>
  <c r="BK720" i="2"/>
  <c r="BL720" i="2" s="1"/>
  <c r="BM720" i="2" s="1"/>
  <c r="CC719" i="2"/>
  <c r="BJ719" i="2"/>
  <c r="BG719" i="2"/>
  <c r="AT720" i="2"/>
  <c r="CF720" i="2" s="1"/>
  <c r="AT734" i="2"/>
  <c r="BE734" i="2"/>
  <c r="BF734" i="2" s="1"/>
  <c r="AL747" i="2"/>
  <c r="CF747" i="2"/>
  <c r="BN673" i="2"/>
  <c r="BO673" i="2" s="1"/>
  <c r="BN679" i="2"/>
  <c r="BO679" i="2" s="1"/>
  <c r="BX688" i="2"/>
  <c r="BX689" i="2"/>
  <c r="BE708" i="2"/>
  <c r="BF708" i="2" s="1"/>
  <c r="AT718" i="2"/>
  <c r="CF718" i="2" s="1"/>
  <c r="AP722" i="2"/>
  <c r="BE726" i="2"/>
  <c r="AT726" i="2"/>
  <c r="CF726" i="2" s="1"/>
  <c r="AT733" i="2"/>
  <c r="BE733" i="2"/>
  <c r="BF733" i="2" s="1"/>
  <c r="BX710" i="2"/>
  <c r="AT713" i="2"/>
  <c r="CF713" i="2" s="1"/>
  <c r="AW769" i="2"/>
  <c r="BP720" i="2"/>
  <c r="BQ720" i="2" s="1"/>
  <c r="BY720" i="2" s="1"/>
  <c r="BN720" i="2"/>
  <c r="BO720" i="2" s="1"/>
  <c r="BF727" i="2"/>
  <c r="BP673" i="2"/>
  <c r="BQ673" i="2" s="1"/>
  <c r="BY673" i="2" s="1"/>
  <c r="AY801" i="2"/>
  <c r="BK801" i="2" s="1"/>
  <c r="BL801" i="2" s="1"/>
  <c r="BM801" i="2" s="1"/>
  <c r="AX801" i="2"/>
  <c r="BP679" i="2"/>
  <c r="BQ679" i="2" s="1"/>
  <c r="BY679" i="2" s="1"/>
  <c r="AP681" i="2"/>
  <c r="BE682" i="2"/>
  <c r="BF682" i="2" s="1"/>
  <c r="AP685" i="2"/>
  <c r="BE695" i="2"/>
  <c r="BF695" i="2" s="1"/>
  <c r="AT695" i="2"/>
  <c r="CF695" i="2" s="1"/>
  <c r="AT702" i="2"/>
  <c r="CF702" i="2" s="1"/>
  <c r="CC722" i="2"/>
  <c r="BJ722" i="2"/>
  <c r="AT724" i="2"/>
  <c r="CF724" i="2" s="1"/>
  <c r="G93" i="3"/>
  <c r="G91" i="3" s="1"/>
  <c r="G95" i="3" s="1"/>
  <c r="BE775" i="2"/>
  <c r="BF775" i="2" s="1"/>
  <c r="AT775" i="2"/>
  <c r="AW803" i="2"/>
  <c r="BN704" i="2"/>
  <c r="BO704" i="2" s="1"/>
  <c r="BP704" i="2"/>
  <c r="BQ704" i="2" s="1"/>
  <c r="BY704" i="2" s="1"/>
  <c r="AO731" i="2"/>
  <c r="AP731" i="2" s="1"/>
  <c r="AR731" i="2" s="1"/>
  <c r="AO822" i="2"/>
  <c r="AP822" i="2" s="1"/>
  <c r="T822" i="2" s="1"/>
  <c r="U731" i="2"/>
  <c r="AO1072" i="2"/>
  <c r="AP1072" i="2" s="1"/>
  <c r="AO935" i="2"/>
  <c r="AP935" i="2" s="1"/>
  <c r="AO879" i="2"/>
  <c r="AP879" i="2" s="1"/>
  <c r="U879" i="2" s="1"/>
  <c r="AO1064" i="2"/>
  <c r="AO914" i="2"/>
  <c r="AP914" i="2" s="1"/>
  <c r="AO951" i="2"/>
  <c r="AO804" i="2"/>
  <c r="AP804" i="2" s="1"/>
  <c r="U639" i="2"/>
  <c r="U650" i="2"/>
  <c r="P682" i="2"/>
  <c r="AO683" i="2"/>
  <c r="AP683" i="2" s="1"/>
  <c r="AS692" i="2"/>
  <c r="AW788" i="2"/>
  <c r="BP695" i="2"/>
  <c r="BQ695" i="2" s="1"/>
  <c r="BY695" i="2" s="1"/>
  <c r="BN695" i="2"/>
  <c r="BO695" i="2" s="1"/>
  <c r="AT707" i="2"/>
  <c r="CF707" i="2" s="1"/>
  <c r="AT710" i="2"/>
  <c r="CF710" i="2" s="1"/>
  <c r="BE710" i="2"/>
  <c r="BF710" i="2" s="1"/>
  <c r="AO826" i="2"/>
  <c r="AP826" i="2" s="1"/>
  <c r="AQ735" i="2"/>
  <c r="AO735" i="2"/>
  <c r="AP735" i="2" s="1"/>
  <c r="T735" i="2" s="1"/>
  <c r="U735" i="2"/>
  <c r="AP679" i="2"/>
  <c r="AS698" i="2"/>
  <c r="CC712" i="2"/>
  <c r="BJ712" i="2"/>
  <c r="BG712" i="2"/>
  <c r="BE721" i="2"/>
  <c r="BF721" i="2" s="1"/>
  <c r="AT721" i="2"/>
  <c r="CF721" i="2" s="1"/>
  <c r="BE724" i="2"/>
  <c r="BF724" i="2" s="1"/>
  <c r="AL737" i="2"/>
  <c r="CF737" i="2"/>
  <c r="BE685" i="2"/>
  <c r="BF685" i="2" s="1"/>
  <c r="BE691" i="2"/>
  <c r="BF691" i="2" s="1"/>
  <c r="BL695" i="2"/>
  <c r="BM695" i="2" s="1"/>
  <c r="BE706" i="2"/>
  <c r="BF706" i="2" s="1"/>
  <c r="AT706" i="2"/>
  <c r="CF706" i="2" s="1"/>
  <c r="AO712" i="2"/>
  <c r="AP712" i="2" s="1"/>
  <c r="BE713" i="2"/>
  <c r="BF713" i="2" s="1"/>
  <c r="BE723" i="2"/>
  <c r="BF723" i="2" s="1"/>
  <c r="BG731" i="2"/>
  <c r="CC731" i="2"/>
  <c r="BJ731" i="2"/>
  <c r="BE732" i="2"/>
  <c r="BF732" i="2" s="1"/>
  <c r="AT732" i="2"/>
  <c r="AO1093" i="2"/>
  <c r="AO952" i="2"/>
  <c r="AP952" i="2" s="1"/>
  <c r="AO725" i="2"/>
  <c r="AP725" i="2" s="1"/>
  <c r="AO1056" i="2"/>
  <c r="AP1056" i="2" s="1"/>
  <c r="AO922" i="2"/>
  <c r="AO877" i="2"/>
  <c r="AP877" i="2" s="1"/>
  <c r="AO785" i="2"/>
  <c r="AP785" i="2" s="1"/>
  <c r="AO1079" i="2"/>
  <c r="AP1079" i="2" s="1"/>
  <c r="AO942" i="2"/>
  <c r="AP942" i="2" s="1"/>
  <c r="AO697" i="2"/>
  <c r="AP697" i="2" s="1"/>
  <c r="AO1084" i="2"/>
  <c r="AP1084" i="2" s="1"/>
  <c r="AO947" i="2"/>
  <c r="AP947" i="2" s="1"/>
  <c r="AO1081" i="2"/>
  <c r="AO941" i="2"/>
  <c r="AP941" i="2" s="1"/>
  <c r="H93" i="3"/>
  <c r="H91" i="3" s="1"/>
  <c r="H26" i="3"/>
  <c r="AY731" i="2"/>
  <c r="BI731" i="2" s="1"/>
  <c r="AX731" i="2"/>
  <c r="BN637" i="2"/>
  <c r="BO637" i="2" s="1"/>
  <c r="AT685" i="2"/>
  <c r="CF685" i="2" s="1"/>
  <c r="AT690" i="2"/>
  <c r="CF690" i="2" s="1"/>
  <c r="BE690" i="2"/>
  <c r="BF690" i="2" s="1"/>
  <c r="AT691" i="2"/>
  <c r="CF691" i="2" s="1"/>
  <c r="AO700" i="2"/>
  <c r="AP700" i="2" s="1"/>
  <c r="AT715" i="2"/>
  <c r="CF715" i="2" s="1"/>
  <c r="AQ717" i="2"/>
  <c r="AO717" i="2"/>
  <c r="AP717" i="2" s="1"/>
  <c r="U717" i="2"/>
  <c r="AT723" i="2"/>
  <c r="CF723" i="2" s="1"/>
  <c r="BE725" i="2"/>
  <c r="BF725" i="2" s="1"/>
  <c r="AT725" i="2"/>
  <c r="CF725" i="2" s="1"/>
  <c r="G100" i="3"/>
  <c r="G135" i="3" s="1"/>
  <c r="AQ611" i="2"/>
  <c r="AQ616" i="2"/>
  <c r="AQ621" i="2"/>
  <c r="AR621" i="2" s="1"/>
  <c r="AO1070" i="2"/>
  <c r="AP1070" i="2" s="1"/>
  <c r="AO926" i="2"/>
  <c r="AQ631" i="2"/>
  <c r="AQ639" i="2"/>
  <c r="AO978" i="2"/>
  <c r="AP978" i="2" s="1"/>
  <c r="AO1024" i="2"/>
  <c r="AP1024" i="2" s="1"/>
  <c r="AO833" i="2"/>
  <c r="AP678" i="2"/>
  <c r="P685" i="2"/>
  <c r="AS693" i="2"/>
  <c r="AO696" i="2"/>
  <c r="AP696" i="2" s="1"/>
  <c r="BE697" i="2"/>
  <c r="BF697" i="2" s="1"/>
  <c r="AT697" i="2"/>
  <c r="CF697" i="2" s="1"/>
  <c r="AP708" i="2"/>
  <c r="BG722" i="2"/>
  <c r="AT727" i="2"/>
  <c r="CF727" i="2" s="1"/>
  <c r="AR729" i="2"/>
  <c r="T729" i="2"/>
  <c r="BX734" i="2"/>
  <c r="BE747" i="2"/>
  <c r="BF747" i="2" s="1"/>
  <c r="AT761" i="2"/>
  <c r="BE761" i="2"/>
  <c r="BF761" i="2" s="1"/>
  <c r="BE812" i="2"/>
  <c r="BF812" i="2" s="1"/>
  <c r="BE819" i="2"/>
  <c r="BF819" i="2" s="1"/>
  <c r="BX715" i="2"/>
  <c r="BX719" i="2"/>
  <c r="P723" i="2"/>
  <c r="AQ730" i="2"/>
  <c r="U730" i="2"/>
  <c r="AP741" i="2"/>
  <c r="AR741" i="2" s="1"/>
  <c r="AT743" i="2"/>
  <c r="BE743" i="2"/>
  <c r="BF743" i="2" s="1"/>
  <c r="BE755" i="2"/>
  <c r="BF755" i="2" s="1"/>
  <c r="AT755" i="2"/>
  <c r="CF755" i="2" s="1"/>
  <c r="CF765" i="2"/>
  <c r="AT784" i="2"/>
  <c r="BE784" i="2"/>
  <c r="BF784" i="2" s="1"/>
  <c r="BE751" i="2"/>
  <c r="BF751" i="2" s="1"/>
  <c r="AP706" i="2"/>
  <c r="AT722" i="2"/>
  <c r="CF722" i="2" s="1"/>
  <c r="G84" i="3"/>
  <c r="G85" i="3"/>
  <c r="BF736" i="2"/>
  <c r="AT753" i="2"/>
  <c r="BE753" i="2"/>
  <c r="BF753" i="2" s="1"/>
  <c r="AQ773" i="2"/>
  <c r="AO773" i="2"/>
  <c r="AP773" i="2" s="1"/>
  <c r="T773" i="2"/>
  <c r="BE705" i="2"/>
  <c r="BF705" i="2" s="1"/>
  <c r="AP709" i="2"/>
  <c r="AT719" i="2"/>
  <c r="CF719" i="2" s="1"/>
  <c r="P727" i="2"/>
  <c r="BX728" i="2"/>
  <c r="BF739" i="2"/>
  <c r="AO762" i="2"/>
  <c r="AP762" i="2" s="1"/>
  <c r="AQ762" i="2"/>
  <c r="BK763" i="2"/>
  <c r="BL763" i="2" s="1"/>
  <c r="BM763" i="2" s="1"/>
  <c r="BE763" i="2"/>
  <c r="BF763" i="2" s="1"/>
  <c r="AO718" i="2"/>
  <c r="AP718" i="2" s="1"/>
  <c r="U718" i="2"/>
  <c r="T733" i="2"/>
  <c r="AQ733" i="2"/>
  <c r="AR733" i="2" s="1"/>
  <c r="CF751" i="2"/>
  <c r="AT815" i="2"/>
  <c r="BE815" i="2"/>
  <c r="BF815" i="2" s="1"/>
  <c r="AP703" i="2"/>
  <c r="U703" i="2" s="1"/>
  <c r="AQ719" i="2"/>
  <c r="AO719" i="2"/>
  <c r="AP719" i="2" s="1"/>
  <c r="BE745" i="2"/>
  <c r="BF745" i="2" s="1"/>
  <c r="BE774" i="2"/>
  <c r="BF774" i="2" s="1"/>
  <c r="AT774" i="2"/>
  <c r="AO783" i="2"/>
  <c r="AP783" i="2" s="1"/>
  <c r="BF786" i="2"/>
  <c r="CF799" i="2"/>
  <c r="AL799" i="2"/>
  <c r="AO821" i="2"/>
  <c r="AP821" i="2" s="1"/>
  <c r="AT766" i="2"/>
  <c r="BE766" i="2"/>
  <c r="BF766" i="2" s="1"/>
  <c r="AT772" i="2"/>
  <c r="BE772" i="2"/>
  <c r="BF772" i="2" s="1"/>
  <c r="AL773" i="2"/>
  <c r="CF773" i="2"/>
  <c r="AT785" i="2"/>
  <c r="BE785" i="2"/>
  <c r="BF785" i="2" s="1"/>
  <c r="BE787" i="2"/>
  <c r="BF787" i="2" s="1"/>
  <c r="AT787" i="2"/>
  <c r="AS714" i="2"/>
  <c r="AT731" i="2"/>
  <c r="AP732" i="2"/>
  <c r="AR739" i="2"/>
  <c r="AL754" i="2"/>
  <c r="CF754" i="2"/>
  <c r="AL763" i="2"/>
  <c r="CF763" i="2"/>
  <c r="AL767" i="2"/>
  <c r="CF767" i="2"/>
  <c r="AT805" i="2"/>
  <c r="BE805" i="2"/>
  <c r="BF805" i="2" s="1"/>
  <c r="U734" i="2"/>
  <c r="AQ734" i="2"/>
  <c r="AO734" i="2"/>
  <c r="AP734" i="2" s="1"/>
  <c r="AW832" i="2"/>
  <c r="BN737" i="2"/>
  <c r="BO737" i="2" s="1"/>
  <c r="BP737" i="2"/>
  <c r="BQ737" i="2" s="1"/>
  <c r="BY737" i="2" s="1"/>
  <c r="AT749" i="2"/>
  <c r="BE749" i="2"/>
  <c r="BF749" i="2" s="1"/>
  <c r="BE754" i="2"/>
  <c r="BF754" i="2" s="1"/>
  <c r="AT757" i="2"/>
  <c r="BE757" i="2"/>
  <c r="BF757" i="2" s="1"/>
  <c r="AQ765" i="2"/>
  <c r="AO765" i="2"/>
  <c r="AP765" i="2" s="1"/>
  <c r="U765" i="2"/>
  <c r="AT768" i="2"/>
  <c r="BE768" i="2"/>
  <c r="BF768" i="2" s="1"/>
  <c r="BE777" i="2"/>
  <c r="BF777" i="2" s="1"/>
  <c r="AL786" i="2"/>
  <c r="CF786" i="2"/>
  <c r="AO752" i="2"/>
  <c r="AP752" i="2" s="1"/>
  <c r="AR764" i="2"/>
  <c r="T764" i="2"/>
  <c r="AT776" i="2"/>
  <c r="BE776" i="2"/>
  <c r="BF776" i="2" s="1"/>
  <c r="CF777" i="2"/>
  <c r="AL777" i="2"/>
  <c r="AT794" i="2"/>
  <c r="BE794" i="2"/>
  <c r="BF794" i="2" s="1"/>
  <c r="BG832" i="2"/>
  <c r="CC832" i="2"/>
  <c r="BJ832" i="2"/>
  <c r="BE730" i="2"/>
  <c r="BF730" i="2" s="1"/>
  <c r="AO730" i="2"/>
  <c r="AP730" i="2" s="1"/>
  <c r="AQ732" i="2"/>
  <c r="U732" i="2"/>
  <c r="AT739" i="2"/>
  <c r="AR744" i="2"/>
  <c r="BF820" i="2"/>
  <c r="BE830" i="2"/>
  <c r="BF830" i="2" s="1"/>
  <c r="AT830" i="2"/>
  <c r="CF830" i="2" s="1"/>
  <c r="AO976" i="2"/>
  <c r="AP976" i="2" s="1"/>
  <c r="U831" i="2"/>
  <c r="AQ831" i="2"/>
  <c r="AO832" i="2"/>
  <c r="AP832" i="2" s="1"/>
  <c r="AO754" i="2"/>
  <c r="AP754" i="2" s="1"/>
  <c r="AO763" i="2"/>
  <c r="AP763" i="2" s="1"/>
  <c r="U763" i="2"/>
  <c r="AT764" i="2"/>
  <c r="BG793" i="2"/>
  <c r="CC793" i="2"/>
  <c r="T739" i="2"/>
  <c r="AT759" i="2"/>
  <c r="BE760" i="2"/>
  <c r="AT760" i="2"/>
  <c r="BE767" i="2"/>
  <c r="BF767" i="2" s="1"/>
  <c r="BE773" i="2"/>
  <c r="BF773" i="2" s="1"/>
  <c r="AY779" i="2"/>
  <c r="BK779" i="2" s="1"/>
  <c r="BL779" i="2" s="1"/>
  <c r="BM779" i="2" s="1"/>
  <c r="AQ798" i="2"/>
  <c r="AO798" i="2"/>
  <c r="AP798" i="2" s="1"/>
  <c r="BE829" i="2"/>
  <c r="BF829" i="2" s="1"/>
  <c r="AO831" i="2"/>
  <c r="AP831" i="2" s="1"/>
  <c r="BE895" i="2"/>
  <c r="BF895" i="2" s="1"/>
  <c r="AT895" i="2"/>
  <c r="CF895" i="2" s="1"/>
  <c r="AS738" i="2"/>
  <c r="AO830" i="2"/>
  <c r="AP830" i="2" s="1"/>
  <c r="BF742" i="2"/>
  <c r="AQ759" i="2"/>
  <c r="AR759" i="2" s="1"/>
  <c r="T759" i="2"/>
  <c r="AQ763" i="2"/>
  <c r="AQ767" i="2"/>
  <c r="BE780" i="2"/>
  <c r="BF780" i="2" s="1"/>
  <c r="AT780" i="2"/>
  <c r="AT797" i="2"/>
  <c r="BE797" i="2"/>
  <c r="BF797" i="2" s="1"/>
  <c r="BE809" i="2"/>
  <c r="BF809" i="2" s="1"/>
  <c r="AO974" i="2"/>
  <c r="AP974" i="2" s="1"/>
  <c r="AO829" i="2"/>
  <c r="AP829" i="2" s="1"/>
  <c r="AQ829" i="2"/>
  <c r="U829" i="2"/>
  <c r="G49" i="3"/>
  <c r="G71" i="3"/>
  <c r="G72" i="3"/>
  <c r="G33" i="3"/>
  <c r="G45" i="3"/>
  <c r="G35" i="3"/>
  <c r="G46" i="3"/>
  <c r="G62" i="3"/>
  <c r="G47" i="3"/>
  <c r="G36" i="3"/>
  <c r="G66" i="3"/>
  <c r="G48" i="3"/>
  <c r="G30" i="3"/>
  <c r="G10" i="3"/>
  <c r="G69" i="3"/>
  <c r="G11" i="3"/>
  <c r="G25" i="3"/>
  <c r="G12" i="3"/>
  <c r="G26" i="3"/>
  <c r="G61" i="3"/>
  <c r="G9" i="3"/>
  <c r="G39" i="3" s="1"/>
  <c r="G13" i="3"/>
  <c r="AO820" i="2"/>
  <c r="AP820" i="2" s="1"/>
  <c r="AO728" i="2"/>
  <c r="AP728" i="2" s="1"/>
  <c r="G131" i="3"/>
  <c r="BL737" i="2"/>
  <c r="BM737" i="2" s="1"/>
  <c r="AS740" i="2"/>
  <c r="BK756" i="2"/>
  <c r="BL756" i="2" s="1"/>
  <c r="BM756" i="2" s="1"/>
  <c r="AT756" i="2"/>
  <c r="BE756" i="2"/>
  <c r="BF756" i="2" s="1"/>
  <c r="U759" i="2"/>
  <c r="BE762" i="2"/>
  <c r="BF762" i="2" s="1"/>
  <c r="AT762" i="2"/>
  <c r="BE764" i="2"/>
  <c r="BF764" i="2" s="1"/>
  <c r="U772" i="2"/>
  <c r="T772" i="2"/>
  <c r="AQ772" i="2"/>
  <c r="BE783" i="2"/>
  <c r="BF783" i="2" s="1"/>
  <c r="AT783" i="2"/>
  <c r="AO969" i="2"/>
  <c r="AP969" i="2" s="1"/>
  <c r="AQ824" i="2"/>
  <c r="AO824" i="2"/>
  <c r="AP824" i="2" s="1"/>
  <c r="U824" i="2"/>
  <c r="AT833" i="2"/>
  <c r="CF833" i="2" s="1"/>
  <c r="BE833" i="2"/>
  <c r="BF833" i="2" s="1"/>
  <c r="U737" i="2"/>
  <c r="AY741" i="2"/>
  <c r="P743" i="2"/>
  <c r="U757" i="2"/>
  <c r="AO757" i="2"/>
  <c r="AP757" i="2" s="1"/>
  <c r="AR757" i="2" s="1"/>
  <c r="BF760" i="2"/>
  <c r="AW854" i="2"/>
  <c r="BP763" i="2"/>
  <c r="BQ763" i="2" s="1"/>
  <c r="BY763" i="2" s="1"/>
  <c r="BN763" i="2"/>
  <c r="BO763" i="2" s="1"/>
  <c r="U767" i="2"/>
  <c r="AT781" i="2"/>
  <c r="BE781" i="2"/>
  <c r="BF781" i="2" s="1"/>
  <c r="BJ793" i="2"/>
  <c r="BE822" i="2"/>
  <c r="BF822" i="2" s="1"/>
  <c r="AT822" i="2"/>
  <c r="CF822" i="2" s="1"/>
  <c r="AT829" i="2"/>
  <c r="CF829" i="2" s="1"/>
  <c r="BE880" i="2"/>
  <c r="BF880" i="2" s="1"/>
  <c r="AT880" i="2"/>
  <c r="CF880" i="2" s="1"/>
  <c r="AO737" i="2"/>
  <c r="AP737" i="2" s="1"/>
  <c r="AO767" i="2"/>
  <c r="AP767" i="2" s="1"/>
  <c r="AT769" i="2"/>
  <c r="CF769" i="2" s="1"/>
  <c r="BE769" i="2"/>
  <c r="BF769" i="2" s="1"/>
  <c r="BE770" i="2"/>
  <c r="BF770" i="2" s="1"/>
  <c r="AT770" i="2"/>
  <c r="AT824" i="2"/>
  <c r="CF824" i="2" s="1"/>
  <c r="AS746" i="2"/>
  <c r="P749" i="2"/>
  <c r="BF759" i="2"/>
  <c r="AO859" i="2"/>
  <c r="AP859" i="2" s="1"/>
  <c r="U760" i="2"/>
  <c r="AR770" i="2"/>
  <c r="T774" i="2"/>
  <c r="AT779" i="2"/>
  <c r="BE779" i="2"/>
  <c r="BF779" i="2" s="1"/>
  <c r="BE789" i="2"/>
  <c r="BF789" i="2" s="1"/>
  <c r="AT789" i="2"/>
  <c r="BE792" i="2"/>
  <c r="BF792" i="2" s="1"/>
  <c r="AT792" i="2"/>
  <c r="AO736" i="2"/>
  <c r="AP736" i="2" s="1"/>
  <c r="AO738" i="2"/>
  <c r="AP738" i="2" s="1"/>
  <c r="AO740" i="2"/>
  <c r="AP740" i="2" s="1"/>
  <c r="AO742" i="2"/>
  <c r="AP742" i="2" s="1"/>
  <c r="AO746" i="2"/>
  <c r="AP746" i="2" s="1"/>
  <c r="AT778" i="2"/>
  <c r="BE778" i="2"/>
  <c r="BF778" i="2" s="1"/>
  <c r="AT782" i="2"/>
  <c r="T792" i="2"/>
  <c r="AO792" i="2"/>
  <c r="AP792" i="2" s="1"/>
  <c r="AT795" i="2"/>
  <c r="BE795" i="2"/>
  <c r="BF795" i="2" s="1"/>
  <c r="BE796" i="2"/>
  <c r="BF796" i="2" s="1"/>
  <c r="AO805" i="2"/>
  <c r="AP805" i="2" s="1"/>
  <c r="AT808" i="2"/>
  <c r="BE808" i="2"/>
  <c r="BF808" i="2" s="1"/>
  <c r="BN814" i="2"/>
  <c r="BO814" i="2" s="1"/>
  <c r="BP814" i="2"/>
  <c r="BQ814" i="2" s="1"/>
  <c r="BY814" i="2" s="1"/>
  <c r="T818" i="2"/>
  <c r="AQ818" i="2"/>
  <c r="AO818" i="2"/>
  <c r="AT821" i="2"/>
  <c r="CF821" i="2" s="1"/>
  <c r="AO970" i="2"/>
  <c r="AP970" i="2" s="1"/>
  <c r="AQ825" i="2"/>
  <c r="AO825" i="2"/>
  <c r="AP825" i="2" s="1"/>
  <c r="U825" i="2"/>
  <c r="AO972" i="2"/>
  <c r="AP972" i="2" s="1"/>
  <c r="AO827" i="2"/>
  <c r="AP827" i="2" s="1"/>
  <c r="U827" i="2"/>
  <c r="AQ827" i="2"/>
  <c r="AO828" i="2"/>
  <c r="AP828" i="2" s="1"/>
  <c r="T983" i="2"/>
  <c r="AR983" i="2"/>
  <c r="AW950" i="2"/>
  <c r="BP908" i="2"/>
  <c r="BQ908" i="2" s="1"/>
  <c r="BY908" i="2" s="1"/>
  <c r="BN908" i="2"/>
  <c r="BO908" i="2" s="1"/>
  <c r="AQ736" i="2"/>
  <c r="AQ738" i="2"/>
  <c r="AQ740" i="2"/>
  <c r="AQ742" i="2"/>
  <c r="AS744" i="2"/>
  <c r="P747" i="2"/>
  <c r="AS750" i="2"/>
  <c r="AO766" i="2"/>
  <c r="AP766" i="2" s="1"/>
  <c r="AR766" i="2" s="1"/>
  <c r="U766" i="2"/>
  <c r="AS802" i="2"/>
  <c r="T804" i="2"/>
  <c r="AQ804" i="2"/>
  <c r="AO966" i="2"/>
  <c r="U821" i="2"/>
  <c r="AO760" i="2"/>
  <c r="AP760" i="2" s="1"/>
  <c r="AO771" i="2"/>
  <c r="AP771" i="2" s="1"/>
  <c r="AT798" i="2"/>
  <c r="BE798" i="2"/>
  <c r="BF798" i="2" s="1"/>
  <c r="AT800" i="2"/>
  <c r="BE800" i="2"/>
  <c r="BF800" i="2" s="1"/>
  <c r="AO801" i="2"/>
  <c r="AP801" i="2" s="1"/>
  <c r="AO968" i="2"/>
  <c r="AP968" i="2" s="1"/>
  <c r="AO823" i="2"/>
  <c r="AP823" i="2" s="1"/>
  <c r="AR823" i="2" s="1"/>
  <c r="U823" i="2"/>
  <c r="AO774" i="2"/>
  <c r="AP774" i="2" s="1"/>
  <c r="AR774" i="2" s="1"/>
  <c r="AQ776" i="2"/>
  <c r="AO776" i="2"/>
  <c r="AP776" i="2" s="1"/>
  <c r="AY794" i="2"/>
  <c r="AT806" i="2"/>
  <c r="CF806" i="2" s="1"/>
  <c r="BE806" i="2"/>
  <c r="BF806" i="2" s="1"/>
  <c r="AP807" i="2"/>
  <c r="AT820" i="2"/>
  <c r="CF820" i="2" s="1"/>
  <c r="U738" i="2"/>
  <c r="AS752" i="2"/>
  <c r="AP755" i="2"/>
  <c r="BX755" i="2"/>
  <c r="BE758" i="2"/>
  <c r="BF758" i="2" s="1"/>
  <c r="AP768" i="2"/>
  <c r="AQ771" i="2"/>
  <c r="T776" i="2"/>
  <c r="AO787" i="2"/>
  <c r="AP787" i="2" s="1"/>
  <c r="AR787" i="2" s="1"/>
  <c r="AQ787" i="2"/>
  <c r="BF788" i="2"/>
  <c r="BE790" i="2"/>
  <c r="BF790" i="2" s="1"/>
  <c r="AT790" i="2"/>
  <c r="BE801" i="2"/>
  <c r="BF801" i="2" s="1"/>
  <c r="AT801" i="2"/>
  <c r="BE807" i="2"/>
  <c r="BF807" i="2" s="1"/>
  <c r="AT807" i="2"/>
  <c r="AL809" i="2"/>
  <c r="CF809" i="2"/>
  <c r="AO836" i="2"/>
  <c r="AP836" i="2" s="1"/>
  <c r="AO982" i="2"/>
  <c r="AP982" i="2" s="1"/>
  <c r="AQ837" i="2"/>
  <c r="U837" i="2"/>
  <c r="AO837" i="2"/>
  <c r="AP837" i="2" s="1"/>
  <c r="BE844" i="2"/>
  <c r="BF844" i="2" s="1"/>
  <c r="AT844" i="2"/>
  <c r="CF844" i="2" s="1"/>
  <c r="BE848" i="2"/>
  <c r="BF848" i="2" s="1"/>
  <c r="AT848" i="2"/>
  <c r="CF848" i="2" s="1"/>
  <c r="BE857" i="2"/>
  <c r="BF857" i="2" s="1"/>
  <c r="AT857" i="2"/>
  <c r="CF857" i="2" s="1"/>
  <c r="BE865" i="2"/>
  <c r="BF865" i="2" s="1"/>
  <c r="AT865" i="2"/>
  <c r="CF865" i="2" s="1"/>
  <c r="BE872" i="2"/>
  <c r="BF872" i="2" s="1"/>
  <c r="AP769" i="2"/>
  <c r="AT788" i="2"/>
  <c r="AS803" i="2"/>
  <c r="BE804" i="2"/>
  <c r="BF804" i="2" s="1"/>
  <c r="BN817" i="2"/>
  <c r="BO817" i="2" s="1"/>
  <c r="AS828" i="2"/>
  <c r="BE835" i="2"/>
  <c r="BF835" i="2" s="1"/>
  <c r="AO993" i="2"/>
  <c r="AP993" i="2" s="1"/>
  <c r="AO848" i="2"/>
  <c r="AP848" i="2" s="1"/>
  <c r="AR848" i="2" s="1"/>
  <c r="U848" i="2"/>
  <c r="AQ848" i="2"/>
  <c r="AO995" i="2"/>
  <c r="AP995" i="2" s="1"/>
  <c r="AO850" i="2"/>
  <c r="AP850" i="2" s="1"/>
  <c r="T850" i="2" s="1"/>
  <c r="U850" i="2"/>
  <c r="AQ850" i="2"/>
  <c r="BE851" i="2"/>
  <c r="BF851" i="2" s="1"/>
  <c r="AT851" i="2"/>
  <c r="CF851" i="2" s="1"/>
  <c r="AO1002" i="2"/>
  <c r="AP1002" i="2" s="1"/>
  <c r="AQ857" i="2"/>
  <c r="AO857" i="2"/>
  <c r="AP857" i="2" s="1"/>
  <c r="U857" i="2"/>
  <c r="T794" i="2"/>
  <c r="AQ794" i="2"/>
  <c r="AO794" i="2"/>
  <c r="AP794" i="2" s="1"/>
  <c r="U794" i="2" s="1"/>
  <c r="AQ806" i="2"/>
  <c r="AQ815" i="2"/>
  <c r="AO815" i="2"/>
  <c r="AP815" i="2" s="1"/>
  <c r="AO967" i="2"/>
  <c r="AP967" i="2" s="1"/>
  <c r="U822" i="2"/>
  <c r="AP834" i="2"/>
  <c r="AR834" i="2" s="1"/>
  <c r="BE840" i="2"/>
  <c r="BF840" i="2" s="1"/>
  <c r="BK840" i="2"/>
  <c r="BL840" i="2" s="1"/>
  <c r="BM840" i="2" s="1"/>
  <c r="BE855" i="2"/>
  <c r="BF855" i="2" s="1"/>
  <c r="AT855" i="2"/>
  <c r="CF855" i="2" s="1"/>
  <c r="AO775" i="2"/>
  <c r="AP775" i="2" s="1"/>
  <c r="T775" i="2"/>
  <c r="AO777" i="2"/>
  <c r="AP777" i="2" s="1"/>
  <c r="T777" i="2"/>
  <c r="AO789" i="2"/>
  <c r="AP789" i="2" s="1"/>
  <c r="AO799" i="2"/>
  <c r="AP799" i="2" s="1"/>
  <c r="AQ801" i="2"/>
  <c r="AS813" i="2"/>
  <c r="BE826" i="2"/>
  <c r="BF826" i="2" s="1"/>
  <c r="AO973" i="2"/>
  <c r="AP973" i="2" s="1"/>
  <c r="U828" i="2"/>
  <c r="AQ828" i="2"/>
  <c r="AT832" i="2"/>
  <c r="CF832" i="2" s="1"/>
  <c r="CC839" i="2"/>
  <c r="BG839" i="2"/>
  <c r="BE854" i="2"/>
  <c r="BF854" i="2" s="1"/>
  <c r="AT854" i="2"/>
  <c r="CF854" i="2" s="1"/>
  <c r="U770" i="2"/>
  <c r="AO778" i="2"/>
  <c r="AP778" i="2" s="1"/>
  <c r="T780" i="2"/>
  <c r="AO781" i="2"/>
  <c r="AP781" i="2" s="1"/>
  <c r="AR781" i="2" s="1"/>
  <c r="T789" i="2"/>
  <c r="T793" i="2"/>
  <c r="T799" i="2"/>
  <c r="AT817" i="2"/>
  <c r="BE817" i="2"/>
  <c r="BF817" i="2" s="1"/>
  <c r="BE818" i="2"/>
  <c r="BF818" i="2" s="1"/>
  <c r="BF824" i="2"/>
  <c r="AT834" i="2"/>
  <c r="CF834" i="2" s="1"/>
  <c r="AO986" i="2"/>
  <c r="AO841" i="2"/>
  <c r="AP841" i="2" s="1"/>
  <c r="AR841" i="2" s="1"/>
  <c r="AO745" i="2"/>
  <c r="AP745" i="2" s="1"/>
  <c r="AO749" i="2"/>
  <c r="AP749" i="2" s="1"/>
  <c r="AO751" i="2"/>
  <c r="AP751" i="2" s="1"/>
  <c r="AS771" i="2"/>
  <c r="T782" i="2"/>
  <c r="AQ782" i="2"/>
  <c r="AS791" i="2"/>
  <c r="AO793" i="2"/>
  <c r="AP793" i="2" s="1"/>
  <c r="AQ799" i="2"/>
  <c r="AQ812" i="2"/>
  <c r="AO812" i="2"/>
  <c r="AP812" i="2" s="1"/>
  <c r="AP818" i="2"/>
  <c r="AQ822" i="2"/>
  <c r="AP833" i="2"/>
  <c r="AR833" i="2" s="1"/>
  <c r="AS836" i="2"/>
  <c r="U841" i="2"/>
  <c r="BE842" i="2"/>
  <c r="BF842" i="2" s="1"/>
  <c r="AT842" i="2"/>
  <c r="CF842" i="2" s="1"/>
  <c r="BF782" i="2"/>
  <c r="AQ783" i="2"/>
  <c r="AO784" i="2"/>
  <c r="AP784" i="2" s="1"/>
  <c r="AO796" i="2"/>
  <c r="AP796" i="2" s="1"/>
  <c r="AQ796" i="2"/>
  <c r="BE799" i="2"/>
  <c r="BF799" i="2" s="1"/>
  <c r="BE831" i="2"/>
  <c r="BF831" i="2" s="1"/>
  <c r="BE864" i="2"/>
  <c r="BF864" i="2" s="1"/>
  <c r="AT864" i="2"/>
  <c r="CF864" i="2" s="1"/>
  <c r="AP814" i="2"/>
  <c r="AR814" i="2" s="1"/>
  <c r="BL817" i="2"/>
  <c r="BM817" i="2" s="1"/>
  <c r="F85" i="3"/>
  <c r="F84" i="3"/>
  <c r="BX820" i="2"/>
  <c r="BE823" i="2"/>
  <c r="BF823" i="2" s="1"/>
  <c r="AT823" i="2"/>
  <c r="CF823" i="2" s="1"/>
  <c r="AO981" i="2"/>
  <c r="AP981" i="2" s="1"/>
  <c r="AQ836" i="2"/>
  <c r="U836" i="2"/>
  <c r="AO988" i="2"/>
  <c r="AP988" i="2" s="1"/>
  <c r="AQ843" i="2"/>
  <c r="AQ872" i="2"/>
  <c r="AO872" i="2"/>
  <c r="AP872" i="2" s="1"/>
  <c r="AR872" i="2" s="1"/>
  <c r="T872" i="2"/>
  <c r="BN756" i="2"/>
  <c r="BO756" i="2" s="1"/>
  <c r="AQ775" i="2"/>
  <c r="T783" i="2"/>
  <c r="AQ786" i="2"/>
  <c r="AO786" i="2"/>
  <c r="AP786" i="2" s="1"/>
  <c r="AO809" i="2"/>
  <c r="AP809" i="2" s="1"/>
  <c r="T809" i="2"/>
  <c r="BK814" i="2"/>
  <c r="BL814" i="2" s="1"/>
  <c r="BM814" i="2" s="1"/>
  <c r="AT818" i="2"/>
  <c r="AT825" i="2"/>
  <c r="CF825" i="2" s="1"/>
  <c r="BE825" i="2"/>
  <c r="BF825" i="2" s="1"/>
  <c r="AS827" i="2"/>
  <c r="BE847" i="2"/>
  <c r="BF847" i="2" s="1"/>
  <c r="AT847" i="2"/>
  <c r="CF847" i="2" s="1"/>
  <c r="AO996" i="2"/>
  <c r="AP996" i="2" s="1"/>
  <c r="AO851" i="2"/>
  <c r="AP851" i="2" s="1"/>
  <c r="U851" i="2"/>
  <c r="AQ851" i="2"/>
  <c r="BE875" i="2"/>
  <c r="BF875" i="2" s="1"/>
  <c r="AT875" i="2"/>
  <c r="CF875" i="2" s="1"/>
  <c r="BE905" i="2"/>
  <c r="BF905" i="2" s="1"/>
  <c r="AT905" i="2"/>
  <c r="CF905" i="2" s="1"/>
  <c r="AO790" i="2"/>
  <c r="AP790" i="2" s="1"/>
  <c r="BP790" i="2"/>
  <c r="BQ790" i="2" s="1"/>
  <c r="BY790" i="2" s="1"/>
  <c r="BN790" i="2"/>
  <c r="BO790" i="2" s="1"/>
  <c r="AO802" i="2"/>
  <c r="AP802" i="2" s="1"/>
  <c r="AP808" i="2"/>
  <c r="AQ813" i="2"/>
  <c r="AO816" i="2"/>
  <c r="AP816" i="2" s="1"/>
  <c r="AO975" i="2"/>
  <c r="AP975" i="2" s="1"/>
  <c r="AQ830" i="2"/>
  <c r="AW990" i="2"/>
  <c r="AX990" i="2" s="1"/>
  <c r="BN845" i="2"/>
  <c r="BO845" i="2" s="1"/>
  <c r="BP845" i="2"/>
  <c r="BQ845" i="2" s="1"/>
  <c r="BY845" i="2" s="1"/>
  <c r="BE846" i="2"/>
  <c r="BF846" i="2" s="1"/>
  <c r="BD853" i="2"/>
  <c r="F131" i="3" s="1"/>
  <c r="AS853" i="2"/>
  <c r="BE871" i="2"/>
  <c r="BF871" i="2" s="1"/>
  <c r="AT871" i="2"/>
  <c r="CF871" i="2" s="1"/>
  <c r="AP883" i="2"/>
  <c r="U883" i="2" s="1"/>
  <c r="BE888" i="2"/>
  <c r="BF888" i="2" s="1"/>
  <c r="AT888" i="2"/>
  <c r="CF888" i="2" s="1"/>
  <c r="BE901" i="2"/>
  <c r="BF901" i="2" s="1"/>
  <c r="AT901" i="2"/>
  <c r="CF901" i="2" s="1"/>
  <c r="T807" i="2"/>
  <c r="AQ807" i="2"/>
  <c r="AO985" i="2"/>
  <c r="AP985" i="2" s="1"/>
  <c r="AQ840" i="2"/>
  <c r="AT846" i="2"/>
  <c r="CF846" i="2" s="1"/>
  <c r="AQ788" i="2"/>
  <c r="AO788" i="2"/>
  <c r="AP788" i="2" s="1"/>
  <c r="T788" i="2"/>
  <c r="T790" i="2"/>
  <c r="AQ800" i="2"/>
  <c r="AO800" i="2"/>
  <c r="AP800" i="2" s="1"/>
  <c r="T800" i="2"/>
  <c r="T802" i="2"/>
  <c r="AO990" i="2"/>
  <c r="AP990" i="2" s="1"/>
  <c r="AO845" i="2"/>
  <c r="AP845" i="2" s="1"/>
  <c r="BE874" i="2"/>
  <c r="BF874" i="2" s="1"/>
  <c r="AT874" i="2"/>
  <c r="CF874" i="2" s="1"/>
  <c r="AQ898" i="2"/>
  <c r="AO898" i="2"/>
  <c r="AP898" i="2" s="1"/>
  <c r="T898" i="2"/>
  <c r="BE924" i="2"/>
  <c r="BF924" i="2" s="1"/>
  <c r="AT924" i="2"/>
  <c r="CF924" i="2" s="1"/>
  <c r="AO979" i="2"/>
  <c r="U834" i="2"/>
  <c r="BF834" i="2"/>
  <c r="AP835" i="2"/>
  <c r="AT837" i="2"/>
  <c r="CF837" i="2" s="1"/>
  <c r="U840" i="2"/>
  <c r="AP842" i="2"/>
  <c r="AR842" i="2" s="1"/>
  <c r="BE843" i="2"/>
  <c r="AT843" i="2"/>
  <c r="CF843" i="2" s="1"/>
  <c r="BE856" i="2"/>
  <c r="BF856" i="2" s="1"/>
  <c r="AT856" i="2"/>
  <c r="CF856" i="2" s="1"/>
  <c r="AY786" i="2"/>
  <c r="AO813" i="2"/>
  <c r="AP813" i="2" s="1"/>
  <c r="BF821" i="2"/>
  <c r="AP840" i="2"/>
  <c r="BE841" i="2"/>
  <c r="BF841" i="2" s="1"/>
  <c r="U845" i="2"/>
  <c r="AQ866" i="2"/>
  <c r="AO866" i="2"/>
  <c r="AP866" i="2" s="1"/>
  <c r="BE867" i="2"/>
  <c r="BF867" i="2" s="1"/>
  <c r="AT867" i="2"/>
  <c r="CF867" i="2" s="1"/>
  <c r="BP904" i="2"/>
  <c r="BQ904" i="2" s="1"/>
  <c r="BY904" i="2" s="1"/>
  <c r="BN904" i="2"/>
  <c r="BO904" i="2" s="1"/>
  <c r="AW949" i="2"/>
  <c r="AX949" i="2" s="1"/>
  <c r="AP844" i="2"/>
  <c r="AP881" i="2"/>
  <c r="BE893" i="2"/>
  <c r="BF893" i="2" s="1"/>
  <c r="AT893" i="2"/>
  <c r="CF893" i="2" s="1"/>
  <c r="AQ905" i="2"/>
  <c r="AO905" i="2"/>
  <c r="AP905" i="2" s="1"/>
  <c r="T905" i="2"/>
  <c r="F69" i="3"/>
  <c r="F49" i="3"/>
  <c r="F71" i="3"/>
  <c r="F30" i="3"/>
  <c r="F72" i="3"/>
  <c r="F33" i="3"/>
  <c r="F61" i="3"/>
  <c r="F45" i="3"/>
  <c r="F35" i="3"/>
  <c r="F46" i="3"/>
  <c r="F62" i="3"/>
  <c r="F47" i="3"/>
  <c r="F36" i="3"/>
  <c r="F66" i="3"/>
  <c r="F9" i="3"/>
  <c r="F39" i="3" s="1"/>
  <c r="F13" i="3"/>
  <c r="F48" i="3"/>
  <c r="F11" i="3"/>
  <c r="F140" i="3" s="1"/>
  <c r="F25" i="3"/>
  <c r="F26" i="3"/>
  <c r="F12" i="3"/>
  <c r="F10" i="3"/>
  <c r="AO965" i="2"/>
  <c r="AP965" i="2" s="1"/>
  <c r="F100" i="3"/>
  <c r="F135" i="3" s="1"/>
  <c r="AR977" i="2"/>
  <c r="T977" i="2"/>
  <c r="AO838" i="2"/>
  <c r="AP838" i="2" s="1"/>
  <c r="AO984" i="2"/>
  <c r="AP984" i="2" s="1"/>
  <c r="BE852" i="2"/>
  <c r="BF852" i="2" s="1"/>
  <c r="BE858" i="2"/>
  <c r="BF858" i="2" s="1"/>
  <c r="AO1006" i="2"/>
  <c r="AP1006" i="2" s="1"/>
  <c r="AO861" i="2"/>
  <c r="AP861" i="2" s="1"/>
  <c r="AR861" i="2" s="1"/>
  <c r="BE892" i="2"/>
  <c r="BF892" i="2" s="1"/>
  <c r="AT892" i="2"/>
  <c r="CF892" i="2" s="1"/>
  <c r="BJ913" i="2"/>
  <c r="CC913" i="2"/>
  <c r="BG913" i="2"/>
  <c r="BE869" i="2"/>
  <c r="BF869" i="2" s="1"/>
  <c r="AT869" i="2"/>
  <c r="CF869" i="2" s="1"/>
  <c r="AP875" i="2"/>
  <c r="U839" i="2"/>
  <c r="AO987" i="2"/>
  <c r="AP987" i="2" s="1"/>
  <c r="BE849" i="2"/>
  <c r="BF849" i="2" s="1"/>
  <c r="AO1001" i="2"/>
  <c r="AP1001" i="2" s="1"/>
  <c r="AQ856" i="2"/>
  <c r="U856" i="2"/>
  <c r="AQ868" i="2"/>
  <c r="T868" i="2"/>
  <c r="AO868" i="2"/>
  <c r="AP868" i="2" s="1"/>
  <c r="AQ878" i="2"/>
  <c r="AO878" i="2"/>
  <c r="AP878" i="2" s="1"/>
  <c r="T878" i="2"/>
  <c r="BE883" i="2"/>
  <c r="BF883" i="2" s="1"/>
  <c r="AT883" i="2"/>
  <c r="CF883" i="2" s="1"/>
  <c r="F93" i="3"/>
  <c r="F91" i="3" s="1"/>
  <c r="F95" i="3" s="1"/>
  <c r="AO839" i="2"/>
  <c r="AP839" i="2" s="1"/>
  <c r="AY844" i="2"/>
  <c r="BK844" i="2" s="1"/>
  <c r="BL844" i="2" s="1"/>
  <c r="BM844" i="2" s="1"/>
  <c r="T998" i="2"/>
  <c r="AR998" i="2"/>
  <c r="BF859" i="2"/>
  <c r="BE860" i="2"/>
  <c r="BF860" i="2" s="1"/>
  <c r="BE861" i="2"/>
  <c r="BF861" i="2" s="1"/>
  <c r="AT861" i="2"/>
  <c r="CF861" i="2" s="1"/>
  <c r="AX985" i="2"/>
  <c r="AY985" i="2"/>
  <c r="BK985" i="2" s="1"/>
  <c r="BL985" i="2" s="1"/>
  <c r="BM985" i="2" s="1"/>
  <c r="BP840" i="2"/>
  <c r="BQ840" i="2" s="1"/>
  <c r="BY840" i="2" s="1"/>
  <c r="BE850" i="2"/>
  <c r="BF850" i="2" s="1"/>
  <c r="AT850" i="2"/>
  <c r="CF850" i="2" s="1"/>
  <c r="AO999" i="2"/>
  <c r="AP999" i="2" s="1"/>
  <c r="AO854" i="2"/>
  <c r="AP854" i="2" s="1"/>
  <c r="U854" i="2"/>
  <c r="AP870" i="2"/>
  <c r="AO871" i="2"/>
  <c r="AP871" i="2" s="1"/>
  <c r="BE878" i="2"/>
  <c r="BF878" i="2" s="1"/>
  <c r="AT878" i="2"/>
  <c r="CF878" i="2" s="1"/>
  <c r="AS886" i="2"/>
  <c r="AY892" i="2"/>
  <c r="BK892" i="2" s="1"/>
  <c r="BL892" i="2" s="1"/>
  <c r="BM892" i="2" s="1"/>
  <c r="AP855" i="2"/>
  <c r="AO1005" i="2"/>
  <c r="AP1005" i="2" s="1"/>
  <c r="AQ860" i="2"/>
  <c r="U860" i="2"/>
  <c r="AP869" i="2"/>
  <c r="BE879" i="2"/>
  <c r="BF879" i="2" s="1"/>
  <c r="BE881" i="2"/>
  <c r="BF881" i="2" s="1"/>
  <c r="BE884" i="2"/>
  <c r="BF884" i="2" s="1"/>
  <c r="AT884" i="2"/>
  <c r="CF884" i="2" s="1"/>
  <c r="BE894" i="2"/>
  <c r="BF894" i="2" s="1"/>
  <c r="AT894" i="2"/>
  <c r="CF894" i="2" s="1"/>
  <c r="AQ896" i="2"/>
  <c r="U896" i="2"/>
  <c r="T896" i="2"/>
  <c r="BE897" i="2"/>
  <c r="BF897" i="2" s="1"/>
  <c r="BE911" i="2"/>
  <c r="BF911" i="2" s="1"/>
  <c r="AT911" i="2"/>
  <c r="CF911" i="2" s="1"/>
  <c r="AP843" i="2"/>
  <c r="BF843" i="2"/>
  <c r="AO991" i="2"/>
  <c r="AP991" i="2" s="1"/>
  <c r="AO846" i="2"/>
  <c r="AP846" i="2" s="1"/>
  <c r="AO847" i="2"/>
  <c r="AP847" i="2" s="1"/>
  <c r="U852" i="2"/>
  <c r="AP856" i="2"/>
  <c r="AO858" i="2"/>
  <c r="AP858" i="2" s="1"/>
  <c r="AQ865" i="2"/>
  <c r="T865" i="2"/>
  <c r="AT879" i="2"/>
  <c r="CF879" i="2" s="1"/>
  <c r="AQ887" i="2"/>
  <c r="AO887" i="2"/>
  <c r="AP887" i="2" s="1"/>
  <c r="T887" i="2"/>
  <c r="BE903" i="2"/>
  <c r="AT903" i="2"/>
  <c r="CF903" i="2" s="1"/>
  <c r="BE910" i="2"/>
  <c r="AT910" i="2"/>
  <c r="CF910" i="2" s="1"/>
  <c r="BE922" i="2"/>
  <c r="BF922" i="2" s="1"/>
  <c r="AT922" i="2"/>
  <c r="CF922" i="2" s="1"/>
  <c r="AP860" i="2"/>
  <c r="T873" i="2"/>
  <c r="AQ873" i="2"/>
  <c r="AQ890" i="2"/>
  <c r="AO890" i="2"/>
  <c r="AP890" i="2" s="1"/>
  <c r="T890" i="2"/>
  <c r="AQ909" i="2"/>
  <c r="AO909" i="2"/>
  <c r="AP909" i="2" s="1"/>
  <c r="T909" i="2"/>
  <c r="U846" i="2"/>
  <c r="AO994" i="2"/>
  <c r="AP994" i="2" s="1"/>
  <c r="AO849" i="2"/>
  <c r="AP849" i="2" s="1"/>
  <c r="AO1004" i="2"/>
  <c r="AP1004" i="2" s="1"/>
  <c r="U859" i="2"/>
  <c r="AS862" i="2"/>
  <c r="AP863" i="2"/>
  <c r="AO865" i="2"/>
  <c r="AP865" i="2" s="1"/>
  <c r="BE877" i="2"/>
  <c r="BF877" i="2" s="1"/>
  <c r="AT877" i="2"/>
  <c r="CF877" i="2" s="1"/>
  <c r="BE887" i="2"/>
  <c r="BF887" i="2" s="1"/>
  <c r="AQ893" i="2"/>
  <c r="AO893" i="2"/>
  <c r="AP893" i="2" s="1"/>
  <c r="T893" i="2"/>
  <c r="AT897" i="2"/>
  <c r="CF897" i="2" s="1"/>
  <c r="BE902" i="2"/>
  <c r="BF902" i="2" s="1"/>
  <c r="AQ853" i="2"/>
  <c r="AO1000" i="2"/>
  <c r="AP1000" i="2" s="1"/>
  <c r="AO855" i="2"/>
  <c r="AO862" i="2"/>
  <c r="AP862" i="2" s="1"/>
  <c r="T864" i="2"/>
  <c r="AO864" i="2"/>
  <c r="AP864" i="2" s="1"/>
  <c r="BE868" i="2"/>
  <c r="BF868" i="2" s="1"/>
  <c r="BE873" i="2"/>
  <c r="BF873" i="2" s="1"/>
  <c r="AQ877" i="2"/>
  <c r="T877" i="2"/>
  <c r="AQ884" i="2"/>
  <c r="AO884" i="2"/>
  <c r="AP884" i="2" s="1"/>
  <c r="BE899" i="2"/>
  <c r="BF899" i="2" s="1"/>
  <c r="BE904" i="2"/>
  <c r="BF904" i="2" s="1"/>
  <c r="BK904" i="2"/>
  <c r="BL904" i="2" s="1"/>
  <c r="BM904" i="2" s="1"/>
  <c r="AT904" i="2"/>
  <c r="CF904" i="2" s="1"/>
  <c r="BE907" i="2"/>
  <c r="BF907" i="2" s="1"/>
  <c r="AT907" i="2"/>
  <c r="CF907" i="2" s="1"/>
  <c r="AT927" i="2"/>
  <c r="CF927" i="2" s="1"/>
  <c r="BE927" i="2"/>
  <c r="BF927" i="2" s="1"/>
  <c r="T1003" i="2"/>
  <c r="AR1003" i="2"/>
  <c r="AQ871" i="2"/>
  <c r="T871" i="2"/>
  <c r="T879" i="2"/>
  <c r="AQ879" i="2"/>
  <c r="AQ883" i="2"/>
  <c r="T883" i="2"/>
  <c r="E100" i="3"/>
  <c r="E69" i="3"/>
  <c r="AO997" i="2"/>
  <c r="AP997" i="2" s="1"/>
  <c r="AO852" i="2"/>
  <c r="AP852" i="2" s="1"/>
  <c r="BE866" i="2"/>
  <c r="BF866" i="2" s="1"/>
  <c r="AT866" i="2"/>
  <c r="CF866" i="2" s="1"/>
  <c r="T867" i="2"/>
  <c r="AQ867" i="2"/>
  <c r="BE870" i="2"/>
  <c r="BF870" i="2" s="1"/>
  <c r="AT870" i="2"/>
  <c r="CF870" i="2" s="1"/>
  <c r="T885" i="2"/>
  <c r="AQ885" i="2"/>
  <c r="AQ903" i="2"/>
  <c r="AO903" i="2"/>
  <c r="T903" i="2"/>
  <c r="AQ874" i="2"/>
  <c r="T874" i="2"/>
  <c r="BE876" i="2"/>
  <c r="BF876" i="2" s="1"/>
  <c r="AQ880" i="2"/>
  <c r="T880" i="2"/>
  <c r="BE882" i="2"/>
  <c r="BF882" i="2" s="1"/>
  <c r="AQ886" i="2"/>
  <c r="T886" i="2"/>
  <c r="AO888" i="2"/>
  <c r="AP888" i="2" s="1"/>
  <c r="AQ892" i="2"/>
  <c r="AO892" i="2"/>
  <c r="AP892" i="2" s="1"/>
  <c r="AQ897" i="2"/>
  <c r="AO897" i="2"/>
  <c r="AP897" i="2" s="1"/>
  <c r="BE915" i="2"/>
  <c r="BF915" i="2" s="1"/>
  <c r="AT915" i="2"/>
  <c r="CF915" i="2" s="1"/>
  <c r="AT917" i="2"/>
  <c r="CF917" i="2" s="1"/>
  <c r="BE917" i="2"/>
  <c r="BF917" i="2" s="1"/>
  <c r="AT876" i="2"/>
  <c r="CF876" i="2" s="1"/>
  <c r="AT882" i="2"/>
  <c r="CF882" i="2" s="1"/>
  <c r="AS908" i="2"/>
  <c r="AP922" i="2"/>
  <c r="AP867" i="2"/>
  <c r="AP885" i="2"/>
  <c r="AR885" i="2" s="1"/>
  <c r="T888" i="2"/>
  <c r="AQ901" i="2"/>
  <c r="AO901" i="2"/>
  <c r="AP901" i="2" s="1"/>
  <c r="T901" i="2"/>
  <c r="AP911" i="2"/>
  <c r="BE929" i="2"/>
  <c r="BF929" i="2" s="1"/>
  <c r="AT929" i="2"/>
  <c r="CF929" i="2" s="1"/>
  <c r="AP937" i="2"/>
  <c r="AT952" i="2"/>
  <c r="CF952" i="2" s="1"/>
  <c r="BE952" i="2"/>
  <c r="BF952" i="2" s="1"/>
  <c r="AO886" i="2"/>
  <c r="AP886" i="2" s="1"/>
  <c r="BE896" i="2"/>
  <c r="BF896" i="2" s="1"/>
  <c r="AT896" i="2"/>
  <c r="CF896" i="2" s="1"/>
  <c r="AW948" i="2"/>
  <c r="BP909" i="2"/>
  <c r="BQ909" i="2" s="1"/>
  <c r="BY909" i="2" s="1"/>
  <c r="BN909" i="2"/>
  <c r="BO909" i="2" s="1"/>
  <c r="AO874" i="2"/>
  <c r="AP874" i="2" s="1"/>
  <c r="AO880" i="2"/>
  <c r="AP880" i="2" s="1"/>
  <c r="AQ888" i="2"/>
  <c r="AS890" i="2"/>
  <c r="AQ894" i="2"/>
  <c r="AO894" i="2"/>
  <c r="AP894" i="2" s="1"/>
  <c r="T894" i="2"/>
  <c r="AS898" i="2"/>
  <c r="AS900" i="2"/>
  <c r="AS906" i="2"/>
  <c r="BJ914" i="2"/>
  <c r="CC914" i="2"/>
  <c r="BG914" i="2"/>
  <c r="BE921" i="2"/>
  <c r="BF921" i="2" s="1"/>
  <c r="AP926" i="2"/>
  <c r="BE889" i="2"/>
  <c r="BF889" i="2" s="1"/>
  <c r="AT889" i="2"/>
  <c r="CF889" i="2" s="1"/>
  <c r="AW1067" i="2"/>
  <c r="BP920" i="2"/>
  <c r="BQ920" i="2" s="1"/>
  <c r="BY920" i="2" s="1"/>
  <c r="BN920" i="2"/>
  <c r="BO920" i="2" s="1"/>
  <c r="BE923" i="2"/>
  <c r="BF923" i="2" s="1"/>
  <c r="AT923" i="2"/>
  <c r="CF923" i="2" s="1"/>
  <c r="AO1007" i="2"/>
  <c r="AP1007" i="2" s="1"/>
  <c r="AO870" i="2"/>
  <c r="AO876" i="2"/>
  <c r="AP876" i="2" s="1"/>
  <c r="AO882" i="2"/>
  <c r="AP882" i="2" s="1"/>
  <c r="AP903" i="2"/>
  <c r="AR903" i="2" s="1"/>
  <c r="BE944" i="2"/>
  <c r="BF944" i="2" s="1"/>
  <c r="AT944" i="2"/>
  <c r="CF944" i="2" s="1"/>
  <c r="AT947" i="2"/>
  <c r="CF947" i="2" s="1"/>
  <c r="BE947" i="2"/>
  <c r="AQ906" i="2"/>
  <c r="AO906" i="2"/>
  <c r="AP906" i="2" s="1"/>
  <c r="AP916" i="2"/>
  <c r="BE918" i="2"/>
  <c r="BF918" i="2" s="1"/>
  <c r="AP938" i="2"/>
  <c r="AP939" i="2"/>
  <c r="AP954" i="2"/>
  <c r="AQ902" i="2"/>
  <c r="AO902" i="2"/>
  <c r="AP902" i="2" s="1"/>
  <c r="E131" i="3"/>
  <c r="AS928" i="2"/>
  <c r="AQ891" i="2"/>
  <c r="AO891" i="2"/>
  <c r="AP891" i="2" s="1"/>
  <c r="AR891" i="2" s="1"/>
  <c r="AQ895" i="2"/>
  <c r="AO895" i="2"/>
  <c r="AP895" i="2" s="1"/>
  <c r="E84" i="3"/>
  <c r="H21" i="4" s="1"/>
  <c r="E85" i="3"/>
  <c r="E48" i="3"/>
  <c r="E49" i="3"/>
  <c r="AP915" i="2"/>
  <c r="AT925" i="2"/>
  <c r="CF925" i="2" s="1"/>
  <c r="BE925" i="2"/>
  <c r="BF925" i="2" s="1"/>
  <c r="BE940" i="2"/>
  <c r="BF940" i="2" s="1"/>
  <c r="AT942" i="2"/>
  <c r="CF942" i="2" s="1"/>
  <c r="BE942" i="2"/>
  <c r="BF942" i="2" s="1"/>
  <c r="BE951" i="2"/>
  <c r="BF951" i="2" s="1"/>
  <c r="AT951" i="2"/>
  <c r="CF951" i="2" s="1"/>
  <c r="AW1094" i="2"/>
  <c r="AX1094" i="2" s="1"/>
  <c r="BN955" i="2"/>
  <c r="BO955" i="2" s="1"/>
  <c r="BP955" i="2"/>
  <c r="BQ955" i="2" s="1"/>
  <c r="BY955" i="2" s="1"/>
  <c r="AQ899" i="2"/>
  <c r="AO899" i="2"/>
  <c r="AP899" i="2" s="1"/>
  <c r="T906" i="2"/>
  <c r="AQ907" i="2"/>
  <c r="AO907" i="2"/>
  <c r="AP907" i="2" s="1"/>
  <c r="AR907" i="2" s="1"/>
  <c r="E62" i="3"/>
  <c r="E60" i="3" s="1"/>
  <c r="E64" i="3" s="1"/>
  <c r="E93" i="3"/>
  <c r="E91" i="3" s="1"/>
  <c r="E95" i="3" s="1"/>
  <c r="AP910" i="2"/>
  <c r="AS931" i="2"/>
  <c r="BE953" i="2"/>
  <c r="BF953" i="2" s="1"/>
  <c r="AT953" i="2"/>
  <c r="CF953" i="2" s="1"/>
  <c r="AT934" i="2"/>
  <c r="CF934" i="2" s="1"/>
  <c r="BE934" i="2"/>
  <c r="BF934" i="2" s="1"/>
  <c r="BE941" i="2"/>
  <c r="BF941" i="2" s="1"/>
  <c r="AT941" i="2"/>
  <c r="CF941" i="2" s="1"/>
  <c r="AQ908" i="2"/>
  <c r="AO908" i="2"/>
  <c r="AP908" i="2" s="1"/>
  <c r="BE912" i="2"/>
  <c r="BF912" i="2" s="1"/>
  <c r="AT914" i="2"/>
  <c r="CF914" i="2" s="1"/>
  <c r="BE926" i="2"/>
  <c r="BF926" i="2" s="1"/>
  <c r="AT930" i="2"/>
  <c r="CF930" i="2" s="1"/>
  <c r="BE930" i="2"/>
  <c r="BF930" i="2" s="1"/>
  <c r="BF937" i="2"/>
  <c r="AP943" i="2"/>
  <c r="AP958" i="2"/>
  <c r="BE987" i="2"/>
  <c r="BF987" i="2" s="1"/>
  <c r="AT987" i="2"/>
  <c r="CF987" i="2" s="1"/>
  <c r="AO889" i="2"/>
  <c r="AP889" i="2" s="1"/>
  <c r="T899" i="2"/>
  <c r="T907" i="2"/>
  <c r="AT919" i="2"/>
  <c r="CF919" i="2" s="1"/>
  <c r="BE920" i="2"/>
  <c r="BF920" i="2" s="1"/>
  <c r="BK920" i="2"/>
  <c r="BL920" i="2" s="1"/>
  <c r="BM920" i="2" s="1"/>
  <c r="AT920" i="2"/>
  <c r="CF920" i="2" s="1"/>
  <c r="AP932" i="2"/>
  <c r="AT936" i="2"/>
  <c r="CF936" i="2" s="1"/>
  <c r="BE936" i="2"/>
  <c r="BF936" i="2" s="1"/>
  <c r="BE962" i="2"/>
  <c r="BF962" i="2" s="1"/>
  <c r="AT962" i="2"/>
  <c r="CF962" i="2" s="1"/>
  <c r="BF903" i="2"/>
  <c r="AQ904" i="2"/>
  <c r="AO904" i="2"/>
  <c r="AP904" i="2" s="1"/>
  <c r="AS916" i="2"/>
  <c r="BE919" i="2"/>
  <c r="BF919" i="2" s="1"/>
  <c r="AP921" i="2"/>
  <c r="BE946" i="2"/>
  <c r="BF946" i="2" s="1"/>
  <c r="AT946" i="2"/>
  <c r="CF946" i="2" s="1"/>
  <c r="BE966" i="2"/>
  <c r="BF966" i="2" s="1"/>
  <c r="AT966" i="2"/>
  <c r="CF966" i="2" s="1"/>
  <c r="AT935" i="2"/>
  <c r="CF935" i="2" s="1"/>
  <c r="BE935" i="2"/>
  <c r="BF935" i="2" s="1"/>
  <c r="BE974" i="2"/>
  <c r="BF974" i="2" s="1"/>
  <c r="AT974" i="2"/>
  <c r="CF974" i="2" s="1"/>
  <c r="AT976" i="2"/>
  <c r="CF976" i="2" s="1"/>
  <c r="BE976" i="2"/>
  <c r="BF976" i="2" s="1"/>
  <c r="BE932" i="2"/>
  <c r="BF932" i="2" s="1"/>
  <c r="AS933" i="2"/>
  <c r="AT948" i="2"/>
  <c r="CF948" i="2" s="1"/>
  <c r="AW1095" i="2"/>
  <c r="BN958" i="2"/>
  <c r="BO958" i="2" s="1"/>
  <c r="BP958" i="2"/>
  <c r="BQ958" i="2" s="1"/>
  <c r="BY958" i="2" s="1"/>
  <c r="AT943" i="2"/>
  <c r="CF943" i="2" s="1"/>
  <c r="BE945" i="2"/>
  <c r="BF945" i="2" s="1"/>
  <c r="AP946" i="2"/>
  <c r="AT964" i="2"/>
  <c r="CF964" i="2" s="1"/>
  <c r="BE964" i="2"/>
  <c r="BF964" i="2" s="1"/>
  <c r="E102" i="3"/>
  <c r="E108" i="3" s="1"/>
  <c r="E71" i="3"/>
  <c r="E77" i="3" s="1"/>
  <c r="AP936" i="2"/>
  <c r="BE990" i="2"/>
  <c r="BF990" i="2" s="1"/>
  <c r="AT990" i="2"/>
  <c r="CF990" i="2" s="1"/>
  <c r="BE1002" i="2"/>
  <c r="BF1002" i="2" s="1"/>
  <c r="AT1002" i="2"/>
  <c r="CF1002" i="2" s="1"/>
  <c r="AT937" i="2"/>
  <c r="CF937" i="2" s="1"/>
  <c r="BF957" i="2"/>
  <c r="BE975" i="2"/>
  <c r="BF975" i="2" s="1"/>
  <c r="AT975" i="2"/>
  <c r="CF975" i="2" s="1"/>
  <c r="AT992" i="2"/>
  <c r="CF992" i="2" s="1"/>
  <c r="BE992" i="2"/>
  <c r="BF992" i="2" s="1"/>
  <c r="AT939" i="2"/>
  <c r="CF939" i="2" s="1"/>
  <c r="BF948" i="2"/>
  <c r="BF988" i="2"/>
  <c r="BE939" i="2"/>
  <c r="BF939" i="2" s="1"/>
  <c r="BE943" i="2"/>
  <c r="BF943" i="2" s="1"/>
  <c r="AP945" i="2"/>
  <c r="BE958" i="2"/>
  <c r="BF958" i="2" s="1"/>
  <c r="AT958" i="2"/>
  <c r="CF958" i="2" s="1"/>
  <c r="BK958" i="2"/>
  <c r="BL958" i="2" s="1"/>
  <c r="BM958" i="2" s="1"/>
  <c r="BE959" i="2"/>
  <c r="BF959" i="2" s="1"/>
  <c r="AT959" i="2"/>
  <c r="CF959" i="2" s="1"/>
  <c r="BK959" i="2"/>
  <c r="BL959" i="2" s="1"/>
  <c r="BM959" i="2" s="1"/>
  <c r="AT955" i="2"/>
  <c r="CF955" i="2" s="1"/>
  <c r="BE955" i="2"/>
  <c r="BF955" i="2" s="1"/>
  <c r="BK955" i="2"/>
  <c r="BL955" i="2" s="1"/>
  <c r="BM955" i="2" s="1"/>
  <c r="BE995" i="2"/>
  <c r="BF995" i="2" s="1"/>
  <c r="AT995" i="2"/>
  <c r="CF995" i="2" s="1"/>
  <c r="AP960" i="2"/>
  <c r="AT971" i="2"/>
  <c r="CF971" i="2" s="1"/>
  <c r="BE997" i="2"/>
  <c r="BF997" i="2" s="1"/>
  <c r="BE1004" i="2"/>
  <c r="BF1004" i="2" s="1"/>
  <c r="AT1004" i="2"/>
  <c r="CF1004" i="2" s="1"/>
  <c r="BE956" i="2"/>
  <c r="BF956" i="2" s="1"/>
  <c r="BE972" i="2"/>
  <c r="BF972" i="2" s="1"/>
  <c r="BF984" i="2"/>
  <c r="AT1018" i="2"/>
  <c r="CF1018" i="2" s="1"/>
  <c r="BE1018" i="2"/>
  <c r="BF1018" i="2" s="1"/>
  <c r="AS969" i="2"/>
  <c r="BN960" i="2"/>
  <c r="BO960" i="2" s="1"/>
  <c r="BP960" i="2"/>
  <c r="BQ960" i="2" s="1"/>
  <c r="BY960" i="2" s="1"/>
  <c r="AP980" i="2"/>
  <c r="AT981" i="2"/>
  <c r="CF981" i="2" s="1"/>
  <c r="BE981" i="2"/>
  <c r="BF981" i="2" s="1"/>
  <c r="AT956" i="2"/>
  <c r="CF956" i="2" s="1"/>
  <c r="BE986" i="2"/>
  <c r="BF986" i="2" s="1"/>
  <c r="AT986" i="2"/>
  <c r="CF986" i="2" s="1"/>
  <c r="BE991" i="2"/>
  <c r="BF991" i="2" s="1"/>
  <c r="AT991" i="2"/>
  <c r="CF991" i="2" s="1"/>
  <c r="BE968" i="2"/>
  <c r="BF968" i="2" s="1"/>
  <c r="AT968" i="2"/>
  <c r="CF968" i="2" s="1"/>
  <c r="BE971" i="2"/>
  <c r="BF971" i="2" s="1"/>
  <c r="CC973" i="2"/>
  <c r="AT980" i="2"/>
  <c r="CF980" i="2" s="1"/>
  <c r="BE980" i="2"/>
  <c r="BF980" i="2" s="1"/>
  <c r="BK961" i="2"/>
  <c r="BL961" i="2" s="1"/>
  <c r="BM961" i="2" s="1"/>
  <c r="AP989" i="2"/>
  <c r="BF947" i="2"/>
  <c r="AS949" i="2"/>
  <c r="BK957" i="2"/>
  <c r="BL957" i="2" s="1"/>
  <c r="BM957" i="2" s="1"/>
  <c r="AT957" i="2"/>
  <c r="CF957" i="2" s="1"/>
  <c r="AS960" i="2"/>
  <c r="AY963" i="2"/>
  <c r="AP971" i="2"/>
  <c r="AT984" i="2"/>
  <c r="CF984" i="2" s="1"/>
  <c r="E26" i="3"/>
  <c r="E24" i="3" s="1"/>
  <c r="E28" i="3" s="1"/>
  <c r="BE983" i="2"/>
  <c r="BF983" i="2" s="1"/>
  <c r="D93" i="3"/>
  <c r="D91" i="3" s="1"/>
  <c r="D95" i="3" s="1"/>
  <c r="D26" i="3"/>
  <c r="D24" i="3" s="1"/>
  <c r="D28" i="3" s="1"/>
  <c r="AP1008" i="2"/>
  <c r="AT994" i="2"/>
  <c r="CF994" i="2" s="1"/>
  <c r="BE994" i="2"/>
  <c r="BF994" i="2" s="1"/>
  <c r="T1030" i="2"/>
  <c r="AR1030" i="2"/>
  <c r="AT1000" i="2"/>
  <c r="CF1000" i="2" s="1"/>
  <c r="AR1037" i="2"/>
  <c r="T1037" i="2"/>
  <c r="BF967" i="2"/>
  <c r="AT979" i="2"/>
  <c r="CF979" i="2" s="1"/>
  <c r="BE979" i="2"/>
  <c r="BF979" i="2" s="1"/>
  <c r="AT989" i="2"/>
  <c r="CF989" i="2" s="1"/>
  <c r="BE989" i="2"/>
  <c r="BF989" i="2" s="1"/>
  <c r="BE1000" i="2"/>
  <c r="BF1000" i="2" s="1"/>
  <c r="BE982" i="2"/>
  <c r="BF982" i="2" s="1"/>
  <c r="AT985" i="2"/>
  <c r="CF985" i="2" s="1"/>
  <c r="BE998" i="2"/>
  <c r="BF998" i="2" s="1"/>
  <c r="BE1007" i="2"/>
  <c r="BF1007" i="2" s="1"/>
  <c r="AT1008" i="2"/>
  <c r="CF1008" i="2" s="1"/>
  <c r="T1012" i="2"/>
  <c r="AR1012" i="2"/>
  <c r="BJ996" i="2"/>
  <c r="BE1001" i="2"/>
  <c r="BF1001" i="2" s="1"/>
  <c r="BF1003" i="2"/>
  <c r="BE1028" i="2"/>
  <c r="BF1028" i="2" s="1"/>
  <c r="AT1028" i="2"/>
  <c r="T1029" i="2"/>
  <c r="AT978" i="2"/>
  <c r="CF978" i="2" s="1"/>
  <c r="BE978" i="2"/>
  <c r="BF978" i="2" s="1"/>
  <c r="CC996" i="2"/>
  <c r="AT999" i="2"/>
  <c r="CF999" i="2" s="1"/>
  <c r="BE1005" i="2"/>
  <c r="AT1005" i="2"/>
  <c r="CF1005" i="2" s="1"/>
  <c r="BF1005" i="2"/>
  <c r="AT1006" i="2"/>
  <c r="CF1006" i="2" s="1"/>
  <c r="BE1006" i="2"/>
  <c r="BF1006" i="2" s="1"/>
  <c r="BE1016" i="2"/>
  <c r="BF1016" i="2" s="1"/>
  <c r="AT1016" i="2"/>
  <c r="CF1016" i="2" s="1"/>
  <c r="T1017" i="2"/>
  <c r="AR1017" i="2"/>
  <c r="BE1066" i="2"/>
  <c r="AT1066" i="2"/>
  <c r="CF1066" i="2" s="1"/>
  <c r="AS954" i="2"/>
  <c r="E12" i="3"/>
  <c r="E13" i="3"/>
  <c r="BE999" i="2"/>
  <c r="BF999" i="2" s="1"/>
  <c r="BE1010" i="2"/>
  <c r="BF1010" i="2" s="1"/>
  <c r="AT1010" i="2"/>
  <c r="CF1010" i="2" s="1"/>
  <c r="E33" i="3"/>
  <c r="AP966" i="2"/>
  <c r="AP992" i="2"/>
  <c r="BE1008" i="2"/>
  <c r="BE1015" i="2"/>
  <c r="BF1015" i="2" s="1"/>
  <c r="AT1015" i="2"/>
  <c r="BE1019" i="2"/>
  <c r="BF1019" i="2" s="1"/>
  <c r="AT1019" i="2"/>
  <c r="CF1019" i="2" s="1"/>
  <c r="AR1020" i="2"/>
  <c r="T1020" i="2"/>
  <c r="AP951" i="2"/>
  <c r="AP979" i="2"/>
  <c r="BE985" i="2"/>
  <c r="BF985" i="2" s="1"/>
  <c r="AP986" i="2"/>
  <c r="BE1009" i="2"/>
  <c r="BF1009" i="2" s="1"/>
  <c r="AT1009" i="2"/>
  <c r="CF1009" i="2" s="1"/>
  <c r="T1013" i="2"/>
  <c r="AR1013" i="2"/>
  <c r="AR1016" i="2"/>
  <c r="T1016" i="2"/>
  <c r="BE1027" i="2"/>
  <c r="BF1027" i="2" s="1"/>
  <c r="AT1027" i="2"/>
  <c r="CF1027" i="2" s="1"/>
  <c r="AT1033" i="2"/>
  <c r="CF1033" i="2" s="1"/>
  <c r="BE1033" i="2"/>
  <c r="BF1033" i="2" s="1"/>
  <c r="AT1074" i="2"/>
  <c r="CF1074" i="2" s="1"/>
  <c r="BE1074" i="2"/>
  <c r="BF1074" i="2" s="1"/>
  <c r="T1045" i="2"/>
  <c r="AP1062" i="2"/>
  <c r="AT1064" i="2"/>
  <c r="CF1064" i="2" s="1"/>
  <c r="BE1064" i="2"/>
  <c r="CC1076" i="2"/>
  <c r="BG1076" i="2"/>
  <c r="BJ1076" i="2"/>
  <c r="AP1077" i="2"/>
  <c r="AT1022" i="2"/>
  <c r="CF1022" i="2" s="1"/>
  <c r="BE1022" i="2"/>
  <c r="BF1022" i="2" s="1"/>
  <c r="D131" i="3"/>
  <c r="BE1014" i="2"/>
  <c r="BF1014" i="2" s="1"/>
  <c r="AT1014" i="2"/>
  <c r="BF1021" i="2"/>
  <c r="BE1041" i="2"/>
  <c r="AT1041" i="2"/>
  <c r="CF1041" i="2" s="1"/>
  <c r="BE1026" i="2"/>
  <c r="BF1026" i="2" s="1"/>
  <c r="AT1026" i="2"/>
  <c r="AR1033" i="2"/>
  <c r="T1033" i="2"/>
  <c r="AT1039" i="2"/>
  <c r="CF1039" i="2" s="1"/>
  <c r="BE1039" i="2"/>
  <c r="BF1039" i="2" s="1"/>
  <c r="AT1044" i="2"/>
  <c r="AR1010" i="2"/>
  <c r="T1010" i="2"/>
  <c r="BE1013" i="2"/>
  <c r="BF1013" i="2" s="1"/>
  <c r="BE1017" i="2"/>
  <c r="BF1017" i="2" s="1"/>
  <c r="AT1024" i="2"/>
  <c r="T1042" i="2"/>
  <c r="AR1042" i="2"/>
  <c r="AT1029" i="2"/>
  <c r="CF1029" i="2" s="1"/>
  <c r="BE1029" i="2"/>
  <c r="BF1029" i="2" s="1"/>
  <c r="BE1032" i="2"/>
  <c r="BF1032" i="2" s="1"/>
  <c r="AT1032" i="2"/>
  <c r="CF1032" i="2" s="1"/>
  <c r="BE1040" i="2"/>
  <c r="BF1040" i="2" s="1"/>
  <c r="AT1040" i="2"/>
  <c r="CF1040" i="2" s="1"/>
  <c r="BJ1049" i="2"/>
  <c r="BG1049" i="2"/>
  <c r="CC1049" i="2"/>
  <c r="CC1055" i="2"/>
  <c r="BJ1055" i="2"/>
  <c r="BG1055" i="2"/>
  <c r="AP1063" i="2"/>
  <c r="BJ1084" i="2"/>
  <c r="BI1084" i="2"/>
  <c r="BG1084" i="2"/>
  <c r="CC1084" i="2"/>
  <c r="T1021" i="2"/>
  <c r="AR1021" i="2"/>
  <c r="AR1028" i="2"/>
  <c r="T1028" i="2"/>
  <c r="BE1045" i="2"/>
  <c r="BF1045" i="2" s="1"/>
  <c r="AT1045" i="2"/>
  <c r="BJ1048" i="2"/>
  <c r="CC1048" i="2"/>
  <c r="AS1012" i="2"/>
  <c r="AT1021" i="2"/>
  <c r="CF1021" i="2" s="1"/>
  <c r="BF1038" i="2"/>
  <c r="BE1044" i="2"/>
  <c r="BF1044" i="2" s="1"/>
  <c r="BG1048" i="2"/>
  <c r="CF1050" i="2"/>
  <c r="AL1050" i="2"/>
  <c r="BF1024" i="2"/>
  <c r="AT1025" i="2"/>
  <c r="CF1025" i="2" s="1"/>
  <c r="BE1025" i="2"/>
  <c r="BF1025" i="2" s="1"/>
  <c r="T1026" i="2"/>
  <c r="AR1026" i="2"/>
  <c r="BE1035" i="2"/>
  <c r="BF1035" i="2" s="1"/>
  <c r="BF1036" i="2"/>
  <c r="AS1043" i="2"/>
  <c r="CC1057" i="2"/>
  <c r="BJ1057" i="2"/>
  <c r="BG1057" i="2"/>
  <c r="BF1058" i="2"/>
  <c r="D62" i="3"/>
  <c r="D60" i="3" s="1"/>
  <c r="D64" i="3" s="1"/>
  <c r="AP1069" i="2"/>
  <c r="AP1083" i="2"/>
  <c r="AR1015" i="2"/>
  <c r="AR1036" i="2"/>
  <c r="T1036" i="2"/>
  <c r="AT1038" i="2"/>
  <c r="BF1064" i="2"/>
  <c r="U1067" i="2"/>
  <c r="AR1067" i="2"/>
  <c r="AT1073" i="2"/>
  <c r="CF1073" i="2" s="1"/>
  <c r="AR1086" i="2"/>
  <c r="U1086" i="2"/>
  <c r="AR1043" i="2"/>
  <c r="T1043" i="2"/>
  <c r="AS1054" i="2"/>
  <c r="BF1061" i="2"/>
  <c r="D84" i="3"/>
  <c r="H22" i="4" s="1"/>
  <c r="D85" i="3"/>
  <c r="D13" i="3"/>
  <c r="D12" i="3"/>
  <c r="BE1031" i="2"/>
  <c r="BF1031" i="2" s="1"/>
  <c r="AT1049" i="2"/>
  <c r="AP1065" i="2"/>
  <c r="AT1072" i="2"/>
  <c r="CF1072" i="2" s="1"/>
  <c r="BE1072" i="2"/>
  <c r="BF1072" i="2" s="1"/>
  <c r="D100" i="3"/>
  <c r="D33" i="3"/>
  <c r="AS1011" i="2"/>
  <c r="AT1042" i="2"/>
  <c r="CF1042" i="2" s="1"/>
  <c r="BE1042" i="2"/>
  <c r="BF1042" i="2" s="1"/>
  <c r="BE1046" i="2"/>
  <c r="BF1046" i="2" s="1"/>
  <c r="AT1046" i="2"/>
  <c r="CF1046" i="2" s="1"/>
  <c r="AT1080" i="2"/>
  <c r="BE1080" i="2"/>
  <c r="BF1080" i="2" s="1"/>
  <c r="AT1091" i="2"/>
  <c r="CF1091" i="2" s="1"/>
  <c r="BE1091" i="2"/>
  <c r="BF1091" i="2" s="1"/>
  <c r="AP1064" i="2"/>
  <c r="BE1068" i="2"/>
  <c r="BF1068" i="2" s="1"/>
  <c r="AT1068" i="2"/>
  <c r="CF1068" i="2" s="1"/>
  <c r="AT1071" i="2"/>
  <c r="CF1071" i="2" s="1"/>
  <c r="BE1071" i="2"/>
  <c r="BF1071" i="2" s="1"/>
  <c r="AP1014" i="2"/>
  <c r="AT1030" i="2"/>
  <c r="BE1030" i="2"/>
  <c r="BF1030" i="2" s="1"/>
  <c r="AT1047" i="2"/>
  <c r="CF1047" i="2" s="1"/>
  <c r="BE1047" i="2"/>
  <c r="BF1047" i="2" s="1"/>
  <c r="BE1090" i="2"/>
  <c r="BF1090" i="2" s="1"/>
  <c r="AT1097" i="2"/>
  <c r="BE1050" i="2"/>
  <c r="BF1050" i="2" s="1"/>
  <c r="AP1059" i="2"/>
  <c r="BE1062" i="2"/>
  <c r="BF1062" i="2" s="1"/>
  <c r="AT1062" i="2"/>
  <c r="BF1069" i="2"/>
  <c r="AP1075" i="2"/>
  <c r="AT1082" i="2"/>
  <c r="CF1082" i="2" s="1"/>
  <c r="BE1082" i="2"/>
  <c r="BF1082" i="2" s="1"/>
  <c r="BE1085" i="2"/>
  <c r="BF1085" i="2" s="1"/>
  <c r="AT1085" i="2"/>
  <c r="CF1085" i="2" s="1"/>
  <c r="AP1040" i="2"/>
  <c r="BF1041" i="2"/>
  <c r="AP1073" i="2"/>
  <c r="AP1074" i="2"/>
  <c r="AP1041" i="2"/>
  <c r="AT1059" i="2"/>
  <c r="CF1059" i="2" s="1"/>
  <c r="BE1059" i="2"/>
  <c r="BF1059" i="2" s="1"/>
  <c r="AT1090" i="2"/>
  <c r="AS1079" i="2"/>
  <c r="BE1093" i="2"/>
  <c r="BF1093" i="2" s="1"/>
  <c r="AP1082" i="2"/>
  <c r="BJ1088" i="2"/>
  <c r="CC1088" i="2"/>
  <c r="AP1052" i="2"/>
  <c r="AT1061" i="2"/>
  <c r="CF1061" i="2" s="1"/>
  <c r="AS1065" i="2"/>
  <c r="AT1076" i="2"/>
  <c r="CF1076" i="2" s="1"/>
  <c r="AP1027" i="2"/>
  <c r="BF1037" i="2"/>
  <c r="BE1052" i="2"/>
  <c r="BF1052" i="2" s="1"/>
  <c r="BF1053" i="2"/>
  <c r="AS1056" i="2"/>
  <c r="BE1060" i="2"/>
  <c r="BF1060" i="2" s="1"/>
  <c r="BF1073" i="2"/>
  <c r="AT1078" i="2"/>
  <c r="CF1078" i="2" s="1"/>
  <c r="BE1078" i="2"/>
  <c r="BF1078" i="2" s="1"/>
  <c r="E119" i="3"/>
  <c r="E120" i="3"/>
  <c r="D119" i="3"/>
  <c r="D120" i="3"/>
  <c r="D48" i="3"/>
  <c r="D49" i="3"/>
  <c r="AT1070" i="2"/>
  <c r="AT1092" i="2"/>
  <c r="CF1092" i="2" s="1"/>
  <c r="BE1092" i="2"/>
  <c r="BF1092" i="2" s="1"/>
  <c r="BG1094" i="2"/>
  <c r="AT1048" i="2"/>
  <c r="CF1048" i="2" s="1"/>
  <c r="BX1051" i="2"/>
  <c r="D140" i="3" s="1"/>
  <c r="L116" i="4" s="1"/>
  <c r="AT1086" i="2"/>
  <c r="CF1086" i="2" s="1"/>
  <c r="BE1086" i="2"/>
  <c r="BF1086" i="2" s="1"/>
  <c r="BJ1094" i="2"/>
  <c r="CC1094" i="2"/>
  <c r="M60" i="3"/>
  <c r="M64" i="3" s="1"/>
  <c r="AP1050" i="2"/>
  <c r="D69" i="3"/>
  <c r="AT1053" i="2"/>
  <c r="CF1053" i="2" s="1"/>
  <c r="AT1058" i="2"/>
  <c r="CF1058" i="2" s="1"/>
  <c r="BF1066" i="2"/>
  <c r="BE1081" i="2"/>
  <c r="BF1081" i="2" s="1"/>
  <c r="N65" i="3"/>
  <c r="N75" i="3" s="1"/>
  <c r="N60" i="3"/>
  <c r="N64" i="3" s="1"/>
  <c r="AT1081" i="2"/>
  <c r="CF1081" i="2" s="1"/>
  <c r="BE1083" i="2"/>
  <c r="BF1083" i="2" s="1"/>
  <c r="AT1088" i="2"/>
  <c r="CF1088" i="2" s="1"/>
  <c r="AP1091" i="2"/>
  <c r="AP1093" i="2"/>
  <c r="AP1060" i="2"/>
  <c r="AP1068" i="2"/>
  <c r="AS1077" i="2"/>
  <c r="BE1087" i="2"/>
  <c r="BF1087" i="2" s="1"/>
  <c r="AP1087" i="2"/>
  <c r="AP1096" i="2"/>
  <c r="AS1063" i="2"/>
  <c r="AS1089" i="2"/>
  <c r="I29" i="3"/>
  <c r="L127" i="3"/>
  <c r="L89" i="3"/>
  <c r="L90" i="3" s="1"/>
  <c r="E96" i="3"/>
  <c r="L21" i="4" s="1"/>
  <c r="M127" i="3"/>
  <c r="M89" i="3"/>
  <c r="M90" i="3" s="1"/>
  <c r="F137" i="3"/>
  <c r="F106" i="3"/>
  <c r="F136" i="3"/>
  <c r="H106" i="3"/>
  <c r="H136" i="3"/>
  <c r="H137" i="3"/>
  <c r="AP1081" i="2"/>
  <c r="AT1084" i="2"/>
  <c r="CF1084" i="2" s="1"/>
  <c r="AP1095" i="2"/>
  <c r="K60" i="3"/>
  <c r="K64" i="3" s="1"/>
  <c r="AP1089" i="2"/>
  <c r="H121" i="3"/>
  <c r="H123" i="3" s="1"/>
  <c r="H124" i="3" s="1"/>
  <c r="G106" i="3"/>
  <c r="G137" i="3"/>
  <c r="G136" i="3"/>
  <c r="I119" i="3"/>
  <c r="I120" i="3"/>
  <c r="D75" i="3"/>
  <c r="K108" i="3"/>
  <c r="AT1095" i="2"/>
  <c r="BE1095" i="2"/>
  <c r="BF1095" i="2" s="1"/>
  <c r="E140" i="3"/>
  <c r="D89" i="3"/>
  <c r="D90" i="3" s="1"/>
  <c r="D127" i="3"/>
  <c r="AQ1089" i="2"/>
  <c r="AQ1085" i="2"/>
  <c r="AQ1091" i="2"/>
  <c r="I106" i="3"/>
  <c r="I136" i="3"/>
  <c r="I137" i="3"/>
  <c r="K24" i="3"/>
  <c r="K28" i="3" s="1"/>
  <c r="M41" i="3"/>
  <c r="E89" i="3"/>
  <c r="E90" i="3" s="1"/>
  <c r="E127" i="3"/>
  <c r="N89" i="3"/>
  <c r="N90" i="3" s="1"/>
  <c r="G29" i="3"/>
  <c r="N41" i="3"/>
  <c r="AS1096" i="2"/>
  <c r="H29" i="3"/>
  <c r="M136" i="3"/>
  <c r="M137" i="3"/>
  <c r="M106" i="3"/>
  <c r="K106" i="3"/>
  <c r="L136" i="3"/>
  <c r="L137" i="3"/>
  <c r="L106" i="3"/>
  <c r="J29" i="3"/>
  <c r="G120" i="3"/>
  <c r="M21" i="4"/>
  <c r="I21" i="4"/>
  <c r="L85" i="4"/>
  <c r="K85" i="4"/>
  <c r="J85" i="4"/>
  <c r="I85" i="4"/>
  <c r="E84" i="4"/>
  <c r="G85" i="4"/>
  <c r="F85" i="4"/>
  <c r="F21" i="4"/>
  <c r="F120" i="3"/>
  <c r="G21" i="4"/>
  <c r="F89" i="3"/>
  <c r="F90" i="3" s="1"/>
  <c r="N96" i="3"/>
  <c r="J106" i="3"/>
  <c r="J119" i="3"/>
  <c r="J120" i="3"/>
  <c r="M22" i="4"/>
  <c r="J22" i="4"/>
  <c r="I22" i="4"/>
  <c r="G89" i="3"/>
  <c r="G90" i="3" s="1"/>
  <c r="N119" i="3"/>
  <c r="N120" i="3"/>
  <c r="E22" i="4"/>
  <c r="H89" i="3"/>
  <c r="H90" i="3" s="1"/>
  <c r="D96" i="3"/>
  <c r="L22" i="4" s="1"/>
  <c r="L119" i="3"/>
  <c r="L120" i="3"/>
  <c r="C149" i="3"/>
  <c r="D20" i="4"/>
  <c r="M119" i="3"/>
  <c r="M120" i="3"/>
  <c r="L24" i="3"/>
  <c r="L28" i="3" s="1"/>
  <c r="D29" i="3"/>
  <c r="K41" i="3"/>
  <c r="M65" i="3"/>
  <c r="M75" i="3" s="1"/>
  <c r="D115" i="4"/>
  <c r="F116" i="4"/>
  <c r="K39" i="3"/>
  <c r="E29" i="3"/>
  <c r="L41" i="3"/>
  <c r="J108" i="3"/>
  <c r="E116" i="4"/>
  <c r="F127" i="3"/>
  <c r="G127" i="3"/>
  <c r="H127" i="3"/>
  <c r="I89" i="3"/>
  <c r="I90" i="3" s="1"/>
  <c r="CA835" i="2"/>
  <c r="CA891" i="2"/>
  <c r="CA617" i="2"/>
  <c r="CA227" i="2"/>
  <c r="CA84" i="2"/>
  <c r="CA441" i="2"/>
  <c r="CA842" i="2"/>
  <c r="CA768" i="2"/>
  <c r="CA872" i="2"/>
  <c r="CA536" i="2"/>
  <c r="CA302" i="2"/>
  <c r="CA23" i="2"/>
  <c r="CA544" i="2"/>
  <c r="CA769" i="2"/>
  <c r="CA1074" i="2"/>
  <c r="CA878" i="2"/>
  <c r="CA608" i="2"/>
  <c r="CA310" i="2"/>
  <c r="CA472" i="2"/>
  <c r="CA14" i="2"/>
  <c r="CA733" i="2"/>
  <c r="CA1059" i="2"/>
  <c r="CA701" i="2"/>
  <c r="CA430" i="2"/>
  <c r="CA193" i="2"/>
  <c r="CA1017" i="2"/>
  <c r="CA381" i="2"/>
  <c r="CA377" i="2"/>
  <c r="CA918" i="2"/>
  <c r="CA683" i="2"/>
  <c r="CA412" i="2"/>
  <c r="CA218" i="2"/>
  <c r="CA826" i="2"/>
  <c r="CA443" i="2"/>
  <c r="CA542" i="2"/>
  <c r="CA943" i="2"/>
  <c r="CA779" i="2"/>
  <c r="CA424" i="2"/>
  <c r="CA214" i="2"/>
  <c r="CA266" i="2"/>
  <c r="CA260" i="2"/>
  <c r="CA560" i="2"/>
  <c r="CA1052" i="2"/>
  <c r="CA772" i="2"/>
  <c r="CA495" i="2"/>
  <c r="CA64" i="2"/>
  <c r="CA541" i="2"/>
  <c r="CA730" i="2"/>
  <c r="CA976" i="2"/>
  <c r="CA912" i="2"/>
  <c r="CA705" i="2"/>
  <c r="CA408" i="2"/>
  <c r="CA991" i="2"/>
  <c r="CA352" i="2"/>
  <c r="CA465" i="2"/>
  <c r="CA564" i="2"/>
  <c r="CA906" i="2"/>
  <c r="CA620" i="2"/>
  <c r="CA396" i="2"/>
  <c r="CA59" i="2"/>
  <c r="CA820" i="2"/>
  <c r="CA33" i="2"/>
  <c r="CA467" i="2"/>
  <c r="CA894" i="2"/>
  <c r="CA601" i="2"/>
  <c r="CA399" i="2"/>
  <c r="CA62" i="2"/>
  <c r="CA255" i="2"/>
  <c r="CA271" i="2"/>
  <c r="CA440" i="2"/>
  <c r="CA903" i="2"/>
  <c r="CA687" i="2"/>
  <c r="CA317" i="2"/>
  <c r="CA369" i="2"/>
  <c r="CA1035" i="2"/>
  <c r="CA1025" i="2"/>
  <c r="CA273" i="2"/>
  <c r="CA888" i="2"/>
  <c r="CA630" i="2"/>
  <c r="CA335" i="2"/>
  <c r="CA68" i="2"/>
  <c r="CA479" i="2"/>
  <c r="CA967" i="2"/>
  <c r="CA898" i="2"/>
  <c r="CA230" i="2"/>
  <c r="CA275" i="2"/>
  <c r="CA69" i="2"/>
  <c r="CA286" i="2"/>
  <c r="CA899" i="2"/>
  <c r="CA77" i="2"/>
  <c r="CA747" i="2"/>
  <c r="CA73" i="2"/>
  <c r="CA999" i="2"/>
  <c r="CA67" i="2"/>
  <c r="CA395" i="2"/>
  <c r="CA320" i="2"/>
  <c r="CA904" i="2"/>
  <c r="CA358" i="2"/>
  <c r="CA780" i="2"/>
  <c r="CA612" i="2"/>
  <c r="CA303" i="2"/>
  <c r="CA90" i="2"/>
  <c r="CA263" i="2"/>
  <c r="CA720" i="2"/>
  <c r="CA261" i="2"/>
  <c r="CA874" i="2"/>
  <c r="CA593" i="2"/>
  <c r="CA324" i="2"/>
  <c r="CA86" i="2"/>
  <c r="CA344" i="2"/>
  <c r="CA154" i="2"/>
  <c r="CA1075" i="2"/>
  <c r="CA776" i="2"/>
  <c r="CA609" i="2"/>
  <c r="CA231" i="2"/>
  <c r="CA274" i="2"/>
  <c r="CA761" i="2"/>
  <c r="CA568" i="2"/>
  <c r="CA978" i="2"/>
  <c r="CA694" i="2"/>
  <c r="CA431" i="2"/>
  <c r="CA228" i="2"/>
  <c r="CA829" i="2"/>
  <c r="CA1012" i="2"/>
  <c r="CA172" i="2"/>
  <c r="CA929" i="2"/>
  <c r="CA582" i="2"/>
  <c r="CA416" i="2"/>
  <c r="CA355" i="2"/>
  <c r="CA739" i="2"/>
  <c r="CA284" i="2"/>
  <c r="CA374" i="2"/>
  <c r="CA944" i="2"/>
  <c r="CA708" i="2"/>
  <c r="CA407" i="2"/>
  <c r="CA211" i="2"/>
  <c r="CA155" i="2"/>
  <c r="CA442" i="2"/>
  <c r="CA445" i="2"/>
  <c r="CA951" i="2"/>
  <c r="CA693" i="2"/>
  <c r="CA421" i="2"/>
  <c r="CA203" i="2"/>
  <c r="CA546" i="2"/>
  <c r="CA723" i="2"/>
  <c r="CA729" i="2"/>
  <c r="CA892" i="2"/>
  <c r="CA627" i="2"/>
  <c r="CA329" i="2"/>
  <c r="CA715" i="2"/>
  <c r="CA136" i="2"/>
  <c r="CA262" i="2"/>
  <c r="CA252" i="2"/>
  <c r="CA882" i="2"/>
  <c r="CA600" i="2"/>
  <c r="CA239" i="2"/>
  <c r="CA10" i="2"/>
  <c r="CA712" i="2"/>
  <c r="CA110" i="2"/>
  <c r="CA141" i="2"/>
  <c r="CA876" i="2"/>
  <c r="CA603" i="2"/>
  <c r="CA236" i="2"/>
  <c r="CA13" i="2"/>
  <c r="CA973" i="2"/>
  <c r="CA43" i="2"/>
  <c r="CA370" i="2"/>
  <c r="CA886" i="2"/>
  <c r="CA680" i="2"/>
  <c r="CA392" i="2"/>
  <c r="CA65" i="2"/>
  <c r="CA828" i="2"/>
  <c r="CA1006" i="2"/>
  <c r="CA980" i="2"/>
  <c r="CA625" i="2"/>
  <c r="CA63" i="2"/>
  <c r="CA734" i="2"/>
  <c r="CA462" i="2"/>
  <c r="CA108" i="2"/>
  <c r="CA538" i="2"/>
  <c r="CA1003" i="2"/>
  <c r="CA745" i="2"/>
  <c r="CA499" i="2"/>
  <c r="CA787" i="2"/>
  <c r="CA165" i="2"/>
  <c r="CA925" i="2"/>
  <c r="CA385" i="2"/>
  <c r="CA40" i="2"/>
  <c r="CA1088" i="2"/>
  <c r="CA794" i="2"/>
  <c r="CA513" i="2"/>
  <c r="CA309" i="2"/>
  <c r="CA1046" i="2"/>
  <c r="CA148" i="2"/>
  <c r="CA190" i="2"/>
  <c r="CA1091" i="2"/>
  <c r="CA789" i="2"/>
  <c r="CA496" i="2"/>
  <c r="CA316" i="2"/>
  <c r="CA1043" i="2"/>
  <c r="CA145" i="2"/>
  <c r="CA970" i="2"/>
  <c r="CA1056" i="2"/>
  <c r="CA742" i="2"/>
  <c r="CA497" i="2"/>
  <c r="CA76" i="2"/>
  <c r="CA264" i="2"/>
  <c r="CA637" i="2"/>
  <c r="CA474" i="2"/>
  <c r="CA934" i="2"/>
  <c r="CA602" i="2"/>
  <c r="CA429" i="2"/>
  <c r="CA235" i="2"/>
  <c r="CA743" i="2"/>
  <c r="CA1007" i="2"/>
  <c r="CA1008" i="2"/>
  <c r="CA915" i="2"/>
  <c r="CA678" i="2"/>
  <c r="CA406" i="2"/>
  <c r="CA1002" i="2"/>
  <c r="CA648" i="2"/>
  <c r="CA969" i="2"/>
  <c r="CA280" i="2"/>
  <c r="CA950" i="2"/>
  <c r="CA676" i="2"/>
  <c r="CA403" i="2"/>
  <c r="CA202" i="2"/>
  <c r="CA158" i="2"/>
  <c r="CA346" i="2"/>
  <c r="CA277" i="2"/>
  <c r="CA930" i="2"/>
  <c r="CA703" i="2"/>
  <c r="CA525" i="2"/>
  <c r="CA199" i="2"/>
  <c r="CA282" i="2"/>
  <c r="CA562" i="2"/>
  <c r="CA716" i="2"/>
  <c r="CA900" i="2"/>
  <c r="CA633" i="2"/>
  <c r="CA404" i="2"/>
  <c r="CA57" i="2"/>
  <c r="CA965" i="2"/>
  <c r="CA46" i="2"/>
  <c r="CA144" i="2"/>
  <c r="CA866" i="2"/>
  <c r="CA515" i="2"/>
  <c r="CA322" i="2"/>
  <c r="CA378" i="2"/>
  <c r="CA556" i="2"/>
  <c r="CA45" i="2"/>
  <c r="CA657" i="2"/>
  <c r="CA873" i="2"/>
  <c r="CA512" i="2"/>
  <c r="CA307" i="2"/>
  <c r="CA87" i="2"/>
  <c r="CA728" i="2"/>
  <c r="CA1041" i="2"/>
  <c r="CA1028" i="2"/>
  <c r="CA916" i="2"/>
  <c r="CA591" i="2"/>
  <c r="CA233" i="2"/>
  <c r="CA92" i="2"/>
  <c r="CA634" i="2"/>
  <c r="CA38" i="2"/>
  <c r="CA455" i="2"/>
  <c r="CA792" i="2"/>
  <c r="CA506" i="2"/>
  <c r="CA330" i="2"/>
  <c r="CA127" i="2"/>
  <c r="CA995" i="2"/>
  <c r="CA180" i="2"/>
  <c r="CA766" i="2"/>
  <c r="CA781" i="2"/>
  <c r="CA539" i="2"/>
  <c r="CA845" i="2"/>
  <c r="CA685" i="2"/>
  <c r="CA1020" i="2"/>
  <c r="CA666" i="2"/>
  <c r="CA373" i="2"/>
  <c r="CA1057" i="2"/>
  <c r="CA817" i="2"/>
  <c r="CA502" i="2"/>
  <c r="CA215" i="2"/>
  <c r="CA569" i="2"/>
  <c r="CA18" i="2"/>
  <c r="CA276" i="2"/>
  <c r="CA1053" i="2"/>
  <c r="CA807" i="2"/>
  <c r="CA490" i="2"/>
  <c r="CA207" i="2"/>
  <c r="CA986" i="2"/>
  <c r="CA655" i="2"/>
  <c r="CA827" i="2"/>
  <c r="CA1081" i="2"/>
  <c r="CA704" i="2"/>
  <c r="CA433" i="2"/>
  <c r="CA198" i="2"/>
  <c r="CA121" i="2"/>
  <c r="CA478" i="2"/>
  <c r="CA353" i="2"/>
  <c r="CA931" i="2"/>
  <c r="CA587" i="2"/>
  <c r="CA391" i="2"/>
  <c r="CA452" i="2"/>
  <c r="CA573" i="2"/>
  <c r="CA843" i="2"/>
  <c r="CA997" i="2"/>
  <c r="CA863" i="2"/>
  <c r="CA684" i="2"/>
  <c r="CA342" i="2"/>
  <c r="CA54" i="2"/>
  <c r="CA476" i="2"/>
  <c r="CA862" i="2"/>
  <c r="CA129" i="2"/>
  <c r="CA924" i="2"/>
  <c r="CA692" i="2"/>
  <c r="CA413" i="2"/>
  <c r="CA163" i="2"/>
  <c r="CA984" i="2"/>
  <c r="CA25" i="2"/>
  <c r="CA126" i="2"/>
  <c r="CA919" i="2"/>
  <c r="CA645" i="2"/>
  <c r="CA402" i="2"/>
  <c r="CA1022" i="2"/>
  <c r="CA1009" i="2"/>
  <c r="CA359" i="2"/>
  <c r="CA183" i="2"/>
  <c r="CA895" i="2"/>
  <c r="CA677" i="2"/>
  <c r="CA242" i="2"/>
  <c r="CA81" i="2"/>
  <c r="CA746" i="2"/>
  <c r="CA188" i="2"/>
  <c r="CA1080" i="2"/>
  <c r="CA786" i="2"/>
  <c r="CA604" i="2"/>
  <c r="CA331" i="2"/>
  <c r="CA1038" i="2"/>
  <c r="CA32" i="2"/>
  <c r="CA113" i="2"/>
  <c r="CA1096" i="2"/>
  <c r="CA815" i="2"/>
  <c r="CA594" i="2"/>
  <c r="CA296" i="2"/>
  <c r="CA99" i="2"/>
  <c r="CA554" i="2"/>
  <c r="CA36" i="2"/>
  <c r="CA552" i="2"/>
  <c r="CA804" i="2"/>
  <c r="CA509" i="2"/>
  <c r="CA244" i="2"/>
  <c r="CA137" i="2"/>
  <c r="CA457" i="2"/>
  <c r="CA119" i="2"/>
  <c r="CA1090" i="2"/>
  <c r="CA801" i="2"/>
  <c r="CA514" i="2"/>
  <c r="CA312" i="2"/>
  <c r="CA75" i="2"/>
  <c r="CA130" i="2"/>
  <c r="CA34" i="2"/>
  <c r="CA682" i="2"/>
  <c r="CA295" i="2"/>
  <c r="CA410" i="2"/>
  <c r="CA737" i="2"/>
  <c r="CA1005" i="2"/>
  <c r="CA326" i="2"/>
  <c r="CA646" i="2"/>
  <c r="CA314" i="2"/>
  <c r="CA114" i="2"/>
  <c r="CA1077" i="2"/>
  <c r="CA783" i="2"/>
  <c r="CA498" i="2"/>
  <c r="CA82" i="2"/>
  <c r="CA565" i="2"/>
  <c r="CA750" i="2"/>
  <c r="CA1010" i="2"/>
  <c r="CA1061" i="2"/>
  <c r="CA782" i="2"/>
  <c r="CA505" i="2"/>
  <c r="CA79" i="2"/>
  <c r="CA660" i="2"/>
  <c r="CA837" i="2"/>
  <c r="CA719" i="2"/>
  <c r="CA947" i="2"/>
  <c r="CA695" i="2"/>
  <c r="CA485" i="2"/>
  <c r="CA206" i="2"/>
  <c r="CA971" i="2"/>
  <c r="CA28" i="2"/>
  <c r="CA132" i="2"/>
  <c r="CA921" i="2"/>
  <c r="CA622" i="2"/>
  <c r="CA333" i="2"/>
  <c r="CA1045" i="2"/>
  <c r="CA350" i="2"/>
  <c r="CA662" i="2"/>
  <c r="CA741" i="2"/>
  <c r="CA871" i="2"/>
  <c r="CA626" i="2"/>
  <c r="CA308" i="2"/>
  <c r="CA17" i="2"/>
  <c r="CA253" i="2"/>
  <c r="CA755" i="2"/>
  <c r="CA966" i="2"/>
  <c r="CA896" i="2"/>
  <c r="CA632" i="2"/>
  <c r="CA400" i="2"/>
  <c r="CA258" i="2"/>
  <c r="CA1036" i="2"/>
  <c r="CA824" i="2"/>
  <c r="CA1018" i="2"/>
  <c r="CA937" i="2"/>
  <c r="CA670" i="2"/>
  <c r="CA409" i="2"/>
  <c r="CA759" i="2"/>
  <c r="CA838" i="2"/>
  <c r="CA259" i="2"/>
  <c r="CA186" i="2"/>
  <c r="CA884" i="2"/>
  <c r="CA518" i="2"/>
  <c r="CA321" i="2"/>
  <c r="CA475" i="2"/>
  <c r="CA713" i="2"/>
  <c r="CA1004" i="2"/>
  <c r="CA1071" i="2"/>
  <c r="CA868" i="2"/>
  <c r="CA520" i="2"/>
  <c r="CA240" i="2"/>
  <c r="CA985" i="2"/>
  <c r="CA19" i="2"/>
  <c r="CA859" i="2"/>
  <c r="CA1070" i="2"/>
  <c r="CA800" i="2"/>
  <c r="CA519" i="2"/>
  <c r="CA237" i="2"/>
  <c r="CA281" i="2"/>
  <c r="CA459" i="2"/>
  <c r="CA42" i="2"/>
  <c r="CA1095" i="2"/>
  <c r="CA806" i="2"/>
  <c r="CA589" i="2"/>
  <c r="CA325" i="2"/>
  <c r="CA149" i="2"/>
  <c r="CA362" i="2"/>
  <c r="CA470" i="2"/>
  <c r="CA1083" i="2"/>
  <c r="CA810" i="2"/>
  <c r="CA507" i="2"/>
  <c r="CA232" i="2"/>
  <c r="CA987" i="2"/>
  <c r="CA673" i="2"/>
  <c r="CA1060" i="2"/>
  <c r="CA503" i="2"/>
  <c r="CA53" i="2"/>
  <c r="CA913" i="2"/>
  <c r="CA597" i="2"/>
  <c r="CA1014" i="2"/>
  <c r="CA1066" i="2"/>
  <c r="CA724" i="2"/>
  <c r="CA439" i="2"/>
  <c r="CA217" i="2"/>
  <c r="CA458" i="2"/>
  <c r="CA982" i="2"/>
  <c r="CA972" i="2"/>
  <c r="CA1024" i="2"/>
  <c r="CA707" i="2"/>
  <c r="CA436" i="2"/>
  <c r="CA210" i="2"/>
  <c r="CA468" i="2"/>
  <c r="CA731" i="2"/>
  <c r="CA571" i="2"/>
  <c r="CA917" i="2"/>
  <c r="CA624" i="2"/>
  <c r="CA432" i="2"/>
  <c r="CA238" i="2"/>
  <c r="CA974" i="2"/>
  <c r="CA1047" i="2"/>
  <c r="CA1033" i="2"/>
  <c r="CA869" i="2"/>
  <c r="CA690" i="2"/>
  <c r="CA390" i="2"/>
  <c r="CA80" i="2"/>
  <c r="CA142" i="2"/>
  <c r="CA550" i="2"/>
  <c r="CA451" i="2"/>
  <c r="CA867" i="2"/>
  <c r="CA527" i="2"/>
  <c r="CA319" i="2"/>
  <c r="CA169" i="2"/>
  <c r="CA1031" i="2"/>
  <c r="CA553" i="2"/>
  <c r="CA852" i="2"/>
  <c r="CA914" i="2"/>
  <c r="CA671" i="2"/>
  <c r="CA334" i="2"/>
  <c r="CA857" i="2"/>
  <c r="CA735" i="2"/>
  <c r="CA765" i="2"/>
  <c r="CA821" i="2"/>
  <c r="CA908" i="2"/>
  <c r="CA628" i="2"/>
  <c r="CA332" i="2"/>
  <c r="CA572" i="2"/>
  <c r="CA770" i="2"/>
  <c r="CA49" i="2"/>
  <c r="CA1079" i="2"/>
  <c r="CA798" i="2"/>
  <c r="CA605" i="2"/>
  <c r="CA339" i="2"/>
  <c r="CA152" i="2"/>
  <c r="CA111" i="2"/>
  <c r="CA578" i="2"/>
  <c r="CA1063" i="2"/>
  <c r="CA778" i="2"/>
  <c r="CA522" i="2"/>
  <c r="CA94" i="2"/>
  <c r="CA847" i="2"/>
  <c r="CA1013" i="2"/>
  <c r="CA481" i="2"/>
  <c r="CA1087" i="2"/>
  <c r="CA796" i="2"/>
  <c r="CA500" i="2"/>
  <c r="CA91" i="2"/>
  <c r="CA1001" i="2"/>
  <c r="CA1037" i="2"/>
  <c r="CA567" i="2"/>
  <c r="CA1093" i="2"/>
  <c r="CA788" i="2"/>
  <c r="CA508" i="2"/>
  <c r="CA234" i="2"/>
  <c r="CA856" i="2"/>
  <c r="CA993" i="2"/>
  <c r="CA287" i="2"/>
  <c r="CA1082" i="2"/>
  <c r="CA795" i="2"/>
  <c r="CA531" i="2"/>
  <c r="CA85" i="2"/>
  <c r="CA168" i="2"/>
  <c r="CA736" i="2"/>
  <c r="CA1042" i="2"/>
  <c r="CA205" i="2"/>
  <c r="CA889" i="2"/>
  <c r="CA590" i="2"/>
  <c r="CA691" i="2"/>
  <c r="CA526" i="2"/>
  <c r="CA635" i="2"/>
  <c r="CA619" i="2"/>
  <c r="CA173" i="2"/>
  <c r="CA849" i="2"/>
  <c r="CA928" i="2"/>
  <c r="CA700" i="2"/>
  <c r="CA417" i="2"/>
  <c r="CA201" i="2"/>
  <c r="CA382" i="2"/>
  <c r="CA822" i="2"/>
  <c r="CA762" i="2"/>
  <c r="CA956" i="2"/>
  <c r="CA699" i="2"/>
  <c r="CA411" i="2"/>
  <c r="CA216" i="2"/>
  <c r="CA361" i="2"/>
  <c r="CA638" i="2"/>
  <c r="CA256" i="2"/>
  <c r="CA942" i="2"/>
  <c r="CA599" i="2"/>
  <c r="CA414" i="2"/>
  <c r="CA549" i="2"/>
  <c r="CA836" i="2"/>
  <c r="CA988" i="2"/>
  <c r="CA975" i="2"/>
  <c r="CA877" i="2"/>
  <c r="CA688" i="2"/>
  <c r="CA327" i="2"/>
  <c r="CA855" i="2"/>
  <c r="CA1049" i="2"/>
  <c r="CA473" i="2"/>
  <c r="CA1092" i="2"/>
  <c r="CA870" i="2"/>
  <c r="CA613" i="2"/>
  <c r="CA313" i="2"/>
  <c r="CA757" i="2"/>
  <c r="CA990" i="2"/>
  <c r="CA453" i="2"/>
  <c r="CA830" i="2"/>
  <c r="CA865" i="2"/>
  <c r="CA610" i="2"/>
  <c r="CA294" i="2"/>
  <c r="CA60" i="2"/>
  <c r="CA644" i="2"/>
  <c r="CA659" i="2"/>
  <c r="CA767" i="2"/>
  <c r="CA911" i="2"/>
  <c r="CA649" i="2"/>
  <c r="CA423" i="2"/>
  <c r="CA109" i="2"/>
  <c r="CA16" i="2"/>
  <c r="CA1040" i="2"/>
  <c r="CA1085" i="2"/>
  <c r="CA773" i="2"/>
  <c r="CA492" i="2"/>
  <c r="CA243" i="2"/>
  <c r="CA1029" i="2"/>
  <c r="CA29" i="2"/>
  <c r="CA366" i="2"/>
  <c r="CA1069" i="2"/>
  <c r="CA797" i="2"/>
  <c r="CA528" i="2"/>
  <c r="CA58" i="2"/>
  <c r="CA753" i="2"/>
  <c r="CA998" i="2"/>
  <c r="CA269" i="2"/>
  <c r="CA1054" i="2"/>
  <c r="CA777" i="2"/>
  <c r="CA489" i="2"/>
  <c r="CA55" i="2"/>
  <c r="CA840" i="2"/>
  <c r="CA35" i="2"/>
  <c r="CA384" i="2"/>
  <c r="CA1062" i="2"/>
  <c r="CA805" i="2"/>
  <c r="CA488" i="2"/>
  <c r="CA88" i="2"/>
  <c r="CA751" i="2"/>
  <c r="CA1011" i="2"/>
  <c r="CA117" i="2"/>
  <c r="CA1068" i="2"/>
  <c r="CA809" i="2"/>
  <c r="CA493" i="2"/>
  <c r="CA107" i="2"/>
  <c r="CA306" i="2"/>
  <c r="CA551" i="2"/>
  <c r="CA471" i="2"/>
  <c r="CA1064" i="2"/>
  <c r="CA640" i="2"/>
  <c r="CA623" i="2"/>
  <c r="CA250" i="2"/>
  <c r="CA343" i="2"/>
  <c r="CA754" i="2"/>
  <c r="CA933" i="2"/>
  <c r="CA681" i="2"/>
  <c r="CA428" i="2"/>
  <c r="CA209" i="2"/>
  <c r="CA167" i="2"/>
  <c r="CA575" i="2"/>
  <c r="CA658" i="2"/>
  <c r="CA926" i="2"/>
  <c r="CA675" i="2"/>
  <c r="CA491" i="2"/>
  <c r="CA197" i="2"/>
  <c r="CA285" i="2"/>
  <c r="CA268" i="2"/>
  <c r="CA254" i="2"/>
  <c r="CA953" i="2"/>
  <c r="CA679" i="2"/>
  <c r="CA341" i="2"/>
  <c r="CA267" i="2"/>
  <c r="CA722" i="2"/>
  <c r="CA744" i="2"/>
  <c r="CA548" i="2"/>
  <c r="CA880" i="2"/>
  <c r="CA530" i="2"/>
  <c r="CA387" i="2"/>
  <c r="CA841" i="2"/>
  <c r="CA175" i="2"/>
  <c r="CA39" i="2"/>
  <c r="CA1089" i="2"/>
  <c r="CA808" i="2"/>
  <c r="CA534" i="2"/>
  <c r="CA289" i="2"/>
  <c r="CA654" i="2"/>
  <c r="CA150" i="2"/>
  <c r="CA376" i="2"/>
  <c r="CA354" i="2"/>
  <c r="CA864" i="2"/>
  <c r="CA524" i="2"/>
  <c r="CA291" i="2"/>
  <c r="CA66" i="2"/>
  <c r="CA449" i="2"/>
  <c r="CA456" i="2"/>
  <c r="CA643" i="2"/>
  <c r="CA902" i="2"/>
  <c r="CA588" i="2"/>
  <c r="CA245" i="2"/>
  <c r="CA112" i="2"/>
  <c r="CA102" i="2"/>
  <c r="CA647" i="2"/>
  <c r="CA1072" i="2"/>
  <c r="CA887" i="2"/>
  <c r="CA523" i="2"/>
  <c r="CA97" i="2"/>
  <c r="CA992" i="2"/>
  <c r="CA248" i="2"/>
  <c r="CA251" i="2"/>
  <c r="CA946" i="2"/>
  <c r="CA697" i="2"/>
  <c r="CA415" i="2"/>
  <c r="CA222" i="2"/>
  <c r="CA566" i="2"/>
  <c r="CA577" i="2"/>
  <c r="CA120" i="2"/>
  <c r="CA939" i="2"/>
  <c r="CA689" i="2"/>
  <c r="CA487" i="2"/>
  <c r="CA208" i="2"/>
  <c r="CA752" i="2"/>
  <c r="CA159" i="2"/>
  <c r="CA160" i="2"/>
  <c r="CA1094" i="2"/>
  <c r="CA775" i="2"/>
  <c r="CA511" i="2"/>
  <c r="CA220" i="2"/>
  <c r="CA653" i="2"/>
  <c r="CA823" i="2"/>
  <c r="CA994" i="2"/>
  <c r="CA940" i="2"/>
  <c r="CA696" i="2"/>
  <c r="CA422" i="2"/>
  <c r="CA219" i="2"/>
  <c r="CA157" i="2"/>
  <c r="CA360" i="2"/>
  <c r="CA861" i="2"/>
  <c r="CA642" i="2"/>
  <c r="CA147" i="2"/>
  <c r="CA164" i="2"/>
  <c r="CA213" i="2"/>
  <c r="CA784" i="2"/>
  <c r="CA444" i="2"/>
  <c r="CA185" i="2"/>
  <c r="CA661" i="2"/>
  <c r="CA272" i="2"/>
  <c r="CA547" i="2"/>
  <c r="CA922" i="2"/>
  <c r="CA616" i="2"/>
  <c r="CA305" i="2"/>
  <c r="CA758" i="2"/>
  <c r="CA170" i="2"/>
  <c r="CA365" i="2"/>
  <c r="CA450" i="2"/>
  <c r="CA949" i="2"/>
  <c r="CA611" i="2"/>
  <c r="CA299" i="2"/>
  <c r="CA711" i="2"/>
  <c r="CA124" i="2"/>
  <c r="CA171" i="2"/>
  <c r="CA177" i="2"/>
  <c r="CA875" i="2"/>
  <c r="CA585" i="2"/>
  <c r="CA405" i="2"/>
  <c r="CA78" i="2"/>
  <c r="CA447" i="2"/>
  <c r="CA650" i="2"/>
  <c r="CA189" i="2"/>
  <c r="CA790" i="2"/>
  <c r="CA615" i="2"/>
  <c r="CA315" i="2"/>
  <c r="CA375" i="2"/>
  <c r="CA454" i="2"/>
  <c r="CA977" i="2"/>
  <c r="CA1058" i="2"/>
  <c r="CA793" i="2"/>
  <c r="CA501" i="2"/>
  <c r="CA212" i="2"/>
  <c r="CA278" i="2"/>
  <c r="CA357" i="2"/>
  <c r="CA30" i="2"/>
  <c r="CA1097" i="2"/>
  <c r="CA833" i="2"/>
  <c r="CA606" i="2"/>
  <c r="CA301" i="2"/>
  <c r="CA72" i="2"/>
  <c r="CA379" i="2"/>
  <c r="CA356" i="2"/>
  <c r="CA257" i="2"/>
  <c r="CA879" i="2"/>
  <c r="CA521" i="2"/>
  <c r="CA328" i="2"/>
  <c r="CA1027" i="2"/>
  <c r="CA27" i="2"/>
  <c r="CA463" i="2"/>
  <c r="CA1078" i="2"/>
  <c r="CA785" i="2"/>
  <c r="CA494" i="2"/>
  <c r="CA61" i="2"/>
  <c r="CA839" i="2"/>
  <c r="CA249" i="2"/>
  <c r="CA123" i="2"/>
  <c r="CA948" i="2"/>
  <c r="CA668" i="2"/>
  <c r="CA434" i="2"/>
  <c r="CA224" i="2"/>
  <c r="CA477" i="2"/>
  <c r="CA482" i="2"/>
  <c r="CA1039" i="2"/>
  <c r="CA941" i="2"/>
  <c r="CA665" i="2"/>
  <c r="CA516" i="2"/>
  <c r="CA204" i="2"/>
  <c r="CA652" i="2"/>
  <c r="CA968" i="2"/>
  <c r="CA1034" i="2"/>
  <c r="CA957" i="2"/>
  <c r="CA686" i="2"/>
  <c r="CA510" i="2"/>
  <c r="CA196" i="2"/>
  <c r="CA576" i="2"/>
  <c r="CA559" i="2"/>
  <c r="CA851" i="2"/>
  <c r="CA945" i="2"/>
  <c r="CA725" i="2"/>
  <c r="CA437" i="2"/>
  <c r="CA221" i="2"/>
  <c r="CA106" i="2"/>
  <c r="CA265" i="2"/>
  <c r="CA41" i="2"/>
  <c r="CA706" i="2"/>
  <c r="CA656" i="2"/>
  <c r="CA138" i="2"/>
  <c r="CA300" i="2"/>
  <c r="CA802" i="2"/>
  <c r="CA540" i="2"/>
  <c r="CA641" i="2"/>
  <c r="CA721" i="2"/>
  <c r="CA100" i="2"/>
  <c r="CA563" i="2"/>
  <c r="CA466" i="2"/>
  <c r="CA337" i="2"/>
  <c r="CA1019" i="2"/>
  <c r="CA448" i="2"/>
  <c r="CA910" i="2"/>
  <c r="CA674" i="2"/>
  <c r="CA426" i="2"/>
  <c r="CA461" i="2"/>
  <c r="CA1021" i="2"/>
  <c r="CA31" i="2"/>
  <c r="CA351" i="2"/>
  <c r="CA909" i="2"/>
  <c r="CA618" i="2"/>
  <c r="CA397" i="2"/>
  <c r="CA364" i="2"/>
  <c r="CA1016" i="2"/>
  <c r="CA1026" i="2"/>
  <c r="CA1048" i="2"/>
  <c r="CA883" i="2"/>
  <c r="CA672" i="2"/>
  <c r="CA393" i="2"/>
  <c r="CA89" i="2"/>
  <c r="CA247" i="2"/>
  <c r="CA570" i="2"/>
  <c r="CA1076" i="2"/>
  <c r="CA885" i="2"/>
  <c r="CA586" i="2"/>
  <c r="CA297" i="2"/>
  <c r="CA371" i="2"/>
  <c r="CA24" i="2"/>
  <c r="CA732" i="2"/>
  <c r="CA1067" i="2"/>
  <c r="CA811" i="2"/>
  <c r="CA584" i="2"/>
  <c r="CA70" i="2"/>
  <c r="CA115" i="2"/>
  <c r="CA26" i="2"/>
  <c r="CA101" i="2"/>
  <c r="CA1084" i="2"/>
  <c r="CA803" i="2"/>
  <c r="CA598" i="2"/>
  <c r="CA318" i="2"/>
  <c r="CA83" i="2"/>
  <c r="CA139" i="2"/>
  <c r="CA279" i="2"/>
  <c r="CA1086" i="2"/>
  <c r="CA812" i="2"/>
  <c r="CA592" i="2"/>
  <c r="CA298" i="2"/>
  <c r="CA1023" i="2"/>
  <c r="CA345" i="2"/>
  <c r="CA348" i="2"/>
  <c r="CA952" i="2"/>
  <c r="CA771" i="2"/>
  <c r="CA418" i="2"/>
  <c r="CA229" i="2"/>
  <c r="CA763" i="2"/>
  <c r="CA1032" i="2"/>
  <c r="CA1030" i="2"/>
  <c r="CA920" i="2"/>
  <c r="CA667" i="2"/>
  <c r="CA398" i="2"/>
  <c r="CA56" i="2"/>
  <c r="CA347" i="2"/>
  <c r="CA368" i="2"/>
  <c r="CA860" i="2"/>
  <c r="CA936" i="2"/>
  <c r="CA664" i="2"/>
  <c r="CA340" i="2"/>
  <c r="CA1044" i="2"/>
  <c r="CA469" i="2"/>
  <c r="CA853" i="2"/>
  <c r="CA996" i="2"/>
  <c r="CA932" i="2"/>
  <c r="CA607" i="2"/>
  <c r="CA425" i="2"/>
  <c r="CA192" i="2"/>
  <c r="CA372" i="2"/>
  <c r="CA383" i="2"/>
  <c r="CA663" i="2"/>
  <c r="CA923" i="2"/>
  <c r="CA621" i="2"/>
  <c r="CA401" i="2"/>
  <c r="CA834" i="2"/>
  <c r="CA749" i="2"/>
  <c r="CA848" i="2"/>
  <c r="CA283" i="2"/>
  <c r="CA897" i="2"/>
  <c r="CA558" i="2"/>
  <c r="CA11" i="2"/>
  <c r="CA935" i="2"/>
  <c r="CA135" i="2"/>
  <c r="CA890" i="2"/>
  <c r="CA596" i="2"/>
  <c r="CA311" i="2"/>
  <c r="CA71" i="2"/>
  <c r="CA850" i="2"/>
  <c r="CA174" i="2"/>
  <c r="CA246" i="2"/>
  <c r="CA881" i="2"/>
  <c r="CA595" i="2"/>
  <c r="CA419" i="2"/>
  <c r="CA74" i="2"/>
  <c r="CA981" i="2"/>
  <c r="CA858" i="2"/>
  <c r="CA710" i="2"/>
  <c r="CA893" i="2"/>
  <c r="CA533" i="2"/>
  <c r="CA290" i="2"/>
  <c r="CA1000" i="2"/>
  <c r="CA187" i="2"/>
  <c r="CA1015" i="2"/>
  <c r="CA1065" i="2"/>
  <c r="CA774" i="2"/>
  <c r="CA535" i="2"/>
  <c r="CA223" i="2"/>
  <c r="CA161" i="2"/>
  <c r="CA709" i="2"/>
  <c r="CA639" i="2"/>
  <c r="CA954" i="2"/>
  <c r="CA698" i="2"/>
  <c r="CA427" i="2"/>
  <c r="CA225" i="2"/>
  <c r="CA118" i="2"/>
  <c r="CA98" i="2"/>
  <c r="CA832" i="2"/>
  <c r="CA1055" i="2"/>
  <c r="CA799" i="2"/>
  <c r="CA529" i="2"/>
  <c r="CA200" i="2"/>
  <c r="CA95" i="2"/>
  <c r="CA983" i="2"/>
  <c r="CA105" i="2"/>
  <c r="CA1073" i="2"/>
  <c r="CA791" i="2"/>
  <c r="CA504" i="2"/>
  <c r="CA293" i="2"/>
  <c r="CA854" i="2"/>
  <c r="CA22" i="2"/>
  <c r="CA166" i="2"/>
  <c r="CA955" i="2"/>
  <c r="CA702" i="2"/>
  <c r="CA438" i="2"/>
  <c r="CA194" i="2"/>
  <c r="CA574" i="2"/>
  <c r="CA636" i="2"/>
  <c r="CA831" i="2"/>
  <c r="CA938" i="2"/>
  <c r="CA727" i="2"/>
  <c r="CA394" i="2"/>
  <c r="CA846" i="2"/>
  <c r="CA133" i="2"/>
  <c r="CA182" i="2"/>
  <c r="CA740" i="2"/>
  <c r="CA901" i="2"/>
  <c r="CA669" i="2"/>
  <c r="CA388" i="2"/>
  <c r="CA748" i="2"/>
  <c r="CA380" i="2"/>
  <c r="CA480" i="2"/>
  <c r="CA738" i="2"/>
  <c r="CA927" i="2"/>
  <c r="CA631" i="2"/>
  <c r="CA336" i="2"/>
  <c r="CA979" i="2"/>
  <c r="CA288" i="2"/>
  <c r="CA545" i="2"/>
  <c r="CA304" i="2"/>
  <c r="CA96" i="2"/>
  <c r="CA825" i="2"/>
  <c r="CA958" i="2"/>
  <c r="CA1051" i="2"/>
  <c r="CA579" i="2"/>
  <c r="CA537" i="2"/>
  <c r="CA905" i="2"/>
  <c r="CA555" i="2"/>
  <c r="BJ307" i="2" l="1"/>
  <c r="BI307" i="2"/>
  <c r="BG307" i="2"/>
  <c r="CC307" i="2"/>
  <c r="U305" i="2"/>
  <c r="AR305" i="2"/>
  <c r="U405" i="2"/>
  <c r="AR405" i="2"/>
  <c r="U494" i="2"/>
  <c r="AR494" i="2"/>
  <c r="CC67" i="2"/>
  <c r="BJ67" i="2"/>
  <c r="BI67" i="2"/>
  <c r="BG67" i="2"/>
  <c r="AR504" i="2"/>
  <c r="U504" i="2"/>
  <c r="BJ694" i="2"/>
  <c r="BG694" i="2"/>
  <c r="CC694" i="2"/>
  <c r="AR815" i="2"/>
  <c r="M140" i="3"/>
  <c r="L140" i="3"/>
  <c r="AY990" i="2"/>
  <c r="BK990" i="2" s="1"/>
  <c r="BL990" i="2" s="1"/>
  <c r="BM990" i="2" s="1"/>
  <c r="BE130" i="2"/>
  <c r="BF130" i="2" s="1"/>
  <c r="BJ130" i="2" s="1"/>
  <c r="AT694" i="2"/>
  <c r="CF694" i="2" s="1"/>
  <c r="BE126" i="2"/>
  <c r="BF126" i="2" s="1"/>
  <c r="BN37" i="2"/>
  <c r="BO37" i="2" s="1"/>
  <c r="AR920" i="2"/>
  <c r="U726" i="2"/>
  <c r="AR577" i="2"/>
  <c r="T834" i="2"/>
  <c r="AR750" i="2"/>
  <c r="K140" i="3"/>
  <c r="AR748" i="2"/>
  <c r="T741" i="2"/>
  <c r="J77" i="3"/>
  <c r="U588" i="2"/>
  <c r="AR588" i="2"/>
  <c r="CC659" i="2"/>
  <c r="BG659" i="2"/>
  <c r="BJ659" i="2"/>
  <c r="BG1023" i="2"/>
  <c r="BJ1023" i="2"/>
  <c r="CC1023" i="2"/>
  <c r="BG433" i="2"/>
  <c r="CC433" i="2"/>
  <c r="BJ433" i="2"/>
  <c r="BI433" i="2"/>
  <c r="AR747" i="2"/>
  <c r="T747" i="2"/>
  <c r="BG476" i="2"/>
  <c r="CC476" i="2"/>
  <c r="BJ476" i="2"/>
  <c r="BG348" i="2"/>
  <c r="CC348" i="2"/>
  <c r="BJ348" i="2"/>
  <c r="CC837" i="2"/>
  <c r="BJ837" i="2"/>
  <c r="BG837" i="2"/>
  <c r="BJ1070" i="2"/>
  <c r="BG1070" i="2"/>
  <c r="CC1070" i="2"/>
  <c r="U502" i="2"/>
  <c r="AR502" i="2"/>
  <c r="AR439" i="2"/>
  <c r="U439" i="2"/>
  <c r="AR514" i="2"/>
  <c r="U514" i="2"/>
  <c r="T442" i="2"/>
  <c r="AR442" i="2"/>
  <c r="BI909" i="2"/>
  <c r="AT670" i="2"/>
  <c r="CF670" i="2" s="1"/>
  <c r="BE550" i="2"/>
  <c r="BF550" i="2" s="1"/>
  <c r="BE466" i="2"/>
  <c r="BF466" i="2" s="1"/>
  <c r="U397" i="2"/>
  <c r="AR352" i="2"/>
  <c r="BE256" i="2"/>
  <c r="BF256" i="2" s="1"/>
  <c r="T290" i="2"/>
  <c r="U174" i="2"/>
  <c r="AT35" i="2"/>
  <c r="CF35" i="2" s="1"/>
  <c r="AY199" i="2"/>
  <c r="AT177" i="2"/>
  <c r="CF177" i="2" s="1"/>
  <c r="BE46" i="2"/>
  <c r="BF46" i="2" s="1"/>
  <c r="AR80" i="2"/>
  <c r="BE22" i="2"/>
  <c r="BF22" i="2" s="1"/>
  <c r="AT139" i="2"/>
  <c r="CF139" i="2" s="1"/>
  <c r="T76" i="2"/>
  <c r="U313" i="2"/>
  <c r="BE157" i="2"/>
  <c r="BF157" i="2" s="1"/>
  <c r="BK67" i="2"/>
  <c r="BL67" i="2" s="1"/>
  <c r="BM67" i="2" s="1"/>
  <c r="BK132" i="2"/>
  <c r="BL132" i="2" s="1"/>
  <c r="BM132" i="2" s="1"/>
  <c r="CC737" i="2"/>
  <c r="BJ909" i="2"/>
  <c r="BE838" i="2"/>
  <c r="BF838" i="2" s="1"/>
  <c r="AT863" i="2"/>
  <c r="CF863" i="2" s="1"/>
  <c r="AR758" i="2"/>
  <c r="BJ737" i="2"/>
  <c r="BE696" i="2"/>
  <c r="BF696" i="2" s="1"/>
  <c r="AR535" i="2"/>
  <c r="AT456" i="2"/>
  <c r="CF456" i="2" s="1"/>
  <c r="BJ404" i="2"/>
  <c r="BK265" i="2"/>
  <c r="BL265" i="2" s="1"/>
  <c r="BM265" i="2" s="1"/>
  <c r="BK270" i="2"/>
  <c r="BL270" i="2" s="1"/>
  <c r="BM270" i="2" s="1"/>
  <c r="AT238" i="2"/>
  <c r="CF238" i="2" s="1"/>
  <c r="BK177" i="2"/>
  <c r="BL177" i="2" s="1"/>
  <c r="BM177" i="2" s="1"/>
  <c r="T94" i="2"/>
  <c r="BE1075" i="2"/>
  <c r="BF1075" i="2" s="1"/>
  <c r="BE516" i="2"/>
  <c r="BF516" i="2" s="1"/>
  <c r="T443" i="2"/>
  <c r="AR1009" i="2"/>
  <c r="AR877" i="2"/>
  <c r="CC909" i="2"/>
  <c r="BG737" i="2"/>
  <c r="AR611" i="2"/>
  <c r="AT532" i="2"/>
  <c r="CF532" i="2" s="1"/>
  <c r="AY530" i="2"/>
  <c r="CC461" i="2"/>
  <c r="BE475" i="2"/>
  <c r="BF475" i="2" s="1"/>
  <c r="CC510" i="2"/>
  <c r="AR245" i="2"/>
  <c r="AT198" i="2"/>
  <c r="CF198" i="2" s="1"/>
  <c r="AT215" i="2"/>
  <c r="CF215" i="2" s="1"/>
  <c r="BK183" i="2"/>
  <c r="BL183" i="2" s="1"/>
  <c r="BM183" i="2" s="1"/>
  <c r="AT33" i="2"/>
  <c r="CF33" i="2" s="1"/>
  <c r="T43" i="2"/>
  <c r="BE166" i="2"/>
  <c r="BF166" i="2" s="1"/>
  <c r="AR94" i="2"/>
  <c r="T63" i="2"/>
  <c r="AT107" i="2"/>
  <c r="CF107" i="2" s="1"/>
  <c r="U78" i="2"/>
  <c r="AT963" i="2"/>
  <c r="CF963" i="2" s="1"/>
  <c r="AR813" i="2"/>
  <c r="AT845" i="2"/>
  <c r="CF845" i="2" s="1"/>
  <c r="BE765" i="2"/>
  <c r="BF765" i="2" s="1"/>
  <c r="BE811" i="2"/>
  <c r="BF811" i="2" s="1"/>
  <c r="AR804" i="2"/>
  <c r="BE582" i="2"/>
  <c r="BF582" i="2" s="1"/>
  <c r="AT573" i="2"/>
  <c r="CF573" i="2" s="1"/>
  <c r="AT510" i="2"/>
  <c r="CF510" i="2" s="1"/>
  <c r="BG461" i="2"/>
  <c r="BG510" i="2"/>
  <c r="AR456" i="2"/>
  <c r="AR268" i="2"/>
  <c r="BE172" i="2"/>
  <c r="BF172" i="2" s="1"/>
  <c r="BJ172" i="2" s="1"/>
  <c r="BK154" i="2"/>
  <c r="BL154" i="2" s="1"/>
  <c r="BM154" i="2" s="1"/>
  <c r="U63" i="2"/>
  <c r="BE107" i="2"/>
  <c r="BF107" i="2" s="1"/>
  <c r="AR79" i="2"/>
  <c r="AR544" i="2"/>
  <c r="AR446" i="2"/>
  <c r="BK963" i="2"/>
  <c r="BL963" i="2" s="1"/>
  <c r="BM963" i="2" s="1"/>
  <c r="AT810" i="2"/>
  <c r="AR798" i="2"/>
  <c r="BK845" i="2"/>
  <c r="BL845" i="2" s="1"/>
  <c r="BM845" i="2" s="1"/>
  <c r="BE816" i="2"/>
  <c r="BF816" i="2" s="1"/>
  <c r="T649" i="2"/>
  <c r="AT604" i="2"/>
  <c r="CF604" i="2" s="1"/>
  <c r="T554" i="2"/>
  <c r="AT518" i="2"/>
  <c r="CF518" i="2" s="1"/>
  <c r="AR411" i="2"/>
  <c r="AR332" i="2"/>
  <c r="AT257" i="2"/>
  <c r="CF257" i="2" s="1"/>
  <c r="AR227" i="2"/>
  <c r="BN161" i="2"/>
  <c r="BO161" i="2" s="1"/>
  <c r="T79" i="2"/>
  <c r="U534" i="2"/>
  <c r="AR513" i="2"/>
  <c r="AR837" i="2"/>
  <c r="AR667" i="2"/>
  <c r="BE625" i="2"/>
  <c r="BF625" i="2" s="1"/>
  <c r="AR571" i="2"/>
  <c r="BE390" i="2"/>
  <c r="BF390" i="2" s="1"/>
  <c r="BE220" i="2"/>
  <c r="BF220" i="2" s="1"/>
  <c r="BK76" i="2"/>
  <c r="BL76" i="2" s="1"/>
  <c r="BM76" i="2" s="1"/>
  <c r="BK129" i="2"/>
  <c r="BL129" i="2" s="1"/>
  <c r="BM129" i="2" s="1"/>
  <c r="U72" i="2"/>
  <c r="AT65" i="2"/>
  <c r="CF65" i="2" s="1"/>
  <c r="BK43" i="2"/>
  <c r="BL43" i="2" s="1"/>
  <c r="BM43" i="2" s="1"/>
  <c r="BP161" i="2"/>
  <c r="BQ161" i="2" s="1"/>
  <c r="BY161" i="2" s="1"/>
  <c r="AT1023" i="2"/>
  <c r="CF1023" i="2" s="1"/>
  <c r="AT961" i="2"/>
  <c r="CF961" i="2" s="1"/>
  <c r="AT448" i="2"/>
  <c r="CF448" i="2" s="1"/>
  <c r="AR887" i="2"/>
  <c r="T748" i="2"/>
  <c r="BF726" i="2"/>
  <c r="AR606" i="2"/>
  <c r="AR587" i="2"/>
  <c r="BE422" i="2"/>
  <c r="BF422" i="2" s="1"/>
  <c r="BG404" i="2"/>
  <c r="BK390" i="2"/>
  <c r="BL390" i="2" s="1"/>
  <c r="BM390" i="2" s="1"/>
  <c r="BK315" i="2"/>
  <c r="BL315" i="2" s="1"/>
  <c r="BM315" i="2" s="1"/>
  <c r="BK393" i="2"/>
  <c r="BL393" i="2" s="1"/>
  <c r="BM393" i="2" s="1"/>
  <c r="BG288" i="2"/>
  <c r="AT320" i="2"/>
  <c r="CF320" i="2" s="1"/>
  <c r="AT241" i="2"/>
  <c r="CF241" i="2" s="1"/>
  <c r="BK161" i="2"/>
  <c r="BL161" i="2" s="1"/>
  <c r="BM161" i="2" s="1"/>
  <c r="AT226" i="2"/>
  <c r="CF226" i="2" s="1"/>
  <c r="BE205" i="2"/>
  <c r="BF205" i="2" s="1"/>
  <c r="BE154" i="2"/>
  <c r="BF154" i="2" s="1"/>
  <c r="BE175" i="2"/>
  <c r="BF175" i="2" s="1"/>
  <c r="BE43" i="2"/>
  <c r="BF43" i="2" s="1"/>
  <c r="T577" i="2"/>
  <c r="AT422" i="2"/>
  <c r="CF422" i="2" s="1"/>
  <c r="BE372" i="2"/>
  <c r="BF372" i="2" s="1"/>
  <c r="BG372" i="2" s="1"/>
  <c r="AT393" i="2"/>
  <c r="CF393" i="2" s="1"/>
  <c r="BI288" i="2"/>
  <c r="AT125" i="2"/>
  <c r="CF125" i="2" s="1"/>
  <c r="T35" i="2"/>
  <c r="BE885" i="2"/>
  <c r="BF885" i="2" s="1"/>
  <c r="AY780" i="2"/>
  <c r="AT505" i="2"/>
  <c r="CF505" i="2" s="1"/>
  <c r="AY496" i="2"/>
  <c r="BK496" i="2" s="1"/>
  <c r="BL496" i="2" s="1"/>
  <c r="BM496" i="2" s="1"/>
  <c r="AR298" i="2"/>
  <c r="AR223" i="2"/>
  <c r="AT129" i="2"/>
  <c r="CF129" i="2" s="1"/>
  <c r="BE35" i="2"/>
  <c r="BF35" i="2" s="1"/>
  <c r="BJ35" i="2" s="1"/>
  <c r="AR31" i="2"/>
  <c r="AR92" i="2"/>
  <c r="AR762" i="2"/>
  <c r="T560" i="2"/>
  <c r="BE620" i="2"/>
  <c r="BF620" i="2" s="1"/>
  <c r="AT546" i="2"/>
  <c r="CF546" i="2" s="1"/>
  <c r="AT351" i="2"/>
  <c r="CF351" i="2" s="1"/>
  <c r="BE366" i="2"/>
  <c r="BF366" i="2" s="1"/>
  <c r="AR266" i="2"/>
  <c r="N101" i="3"/>
  <c r="BE197" i="2"/>
  <c r="BF197" i="2" s="1"/>
  <c r="BI197" i="2" s="1"/>
  <c r="BE228" i="2"/>
  <c r="BF228" i="2" s="1"/>
  <c r="BJ228" i="2" s="1"/>
  <c r="U163" i="2"/>
  <c r="BE193" i="2"/>
  <c r="BF193" i="2" s="1"/>
  <c r="AT76" i="2"/>
  <c r="CF76" i="2" s="1"/>
  <c r="T38" i="2"/>
  <c r="AT46" i="2"/>
  <c r="CF46" i="2" s="1"/>
  <c r="T25" i="2"/>
  <c r="AT22" i="2"/>
  <c r="CF22" i="2" s="1"/>
  <c r="BE139" i="2"/>
  <c r="BF139" i="2" s="1"/>
  <c r="AY419" i="2"/>
  <c r="BN419" i="2" s="1"/>
  <c r="BO419" i="2" s="1"/>
  <c r="AR1049" i="2"/>
  <c r="I131" i="3"/>
  <c r="I24" i="3"/>
  <c r="I28" i="3" s="1"/>
  <c r="BK288" i="2"/>
  <c r="BL288" i="2" s="1"/>
  <c r="BM288" i="2" s="1"/>
  <c r="AR163" i="2"/>
  <c r="AX161" i="2"/>
  <c r="AR495" i="2"/>
  <c r="BE647" i="2"/>
  <c r="BF647" i="2" s="1"/>
  <c r="CC407" i="2"/>
  <c r="BG407" i="2"/>
  <c r="AR569" i="2"/>
  <c r="T569" i="2"/>
  <c r="U507" i="2"/>
  <c r="AR507" i="2"/>
  <c r="AR607" i="2"/>
  <c r="U607" i="2"/>
  <c r="AR526" i="2"/>
  <c r="U526" i="2"/>
  <c r="AR825" i="2"/>
  <c r="BK731" i="2"/>
  <c r="BL731" i="2" s="1"/>
  <c r="BM731" i="2" s="1"/>
  <c r="AR549" i="2"/>
  <c r="AY531" i="2"/>
  <c r="BK531" i="2" s="1"/>
  <c r="BL531" i="2" s="1"/>
  <c r="BM531" i="2" s="1"/>
  <c r="BE473" i="2"/>
  <c r="BF473" i="2" s="1"/>
  <c r="BG473" i="2" s="1"/>
  <c r="AR473" i="2"/>
  <c r="AY415" i="2"/>
  <c r="BK415" i="2" s="1"/>
  <c r="BL415" i="2" s="1"/>
  <c r="BM415" i="2" s="1"/>
  <c r="BE540" i="2"/>
  <c r="BF540" i="2" s="1"/>
  <c r="BI540" i="2" s="1"/>
  <c r="AT540" i="2"/>
  <c r="CF540" i="2" s="1"/>
  <c r="G77" i="3"/>
  <c r="BK226" i="2"/>
  <c r="BL226" i="2" s="1"/>
  <c r="BM226" i="2" s="1"/>
  <c r="BK206" i="2"/>
  <c r="BL206" i="2" s="1"/>
  <c r="BM206" i="2" s="1"/>
  <c r="BK134" i="2"/>
  <c r="BL134" i="2" s="1"/>
  <c r="BM134" i="2" s="1"/>
  <c r="AR1039" i="2"/>
  <c r="T1039" i="2"/>
  <c r="U37" i="2"/>
  <c r="AR37" i="2"/>
  <c r="BE595" i="2"/>
  <c r="BF595" i="2" s="1"/>
  <c r="AT595" i="2"/>
  <c r="CF595" i="2" s="1"/>
  <c r="AR520" i="2"/>
  <c r="U520" i="2"/>
  <c r="AL745" i="2"/>
  <c r="CF745" i="2"/>
  <c r="AY949" i="2"/>
  <c r="AR890" i="2"/>
  <c r="AR304" i="2"/>
  <c r="AR901" i="2"/>
  <c r="U815" i="2"/>
  <c r="U610" i="2"/>
  <c r="U581" i="2"/>
  <c r="BE590" i="2"/>
  <c r="BF590" i="2" s="1"/>
  <c r="T743" i="2"/>
  <c r="AR474" i="2"/>
  <c r="T474" i="2"/>
  <c r="AR897" i="2"/>
  <c r="F77" i="3"/>
  <c r="AR829" i="2"/>
  <c r="AY621" i="2"/>
  <c r="AR616" i="2"/>
  <c r="AR576" i="2"/>
  <c r="AR574" i="2"/>
  <c r="AT619" i="2"/>
  <c r="CF619" i="2" s="1"/>
  <c r="BE619" i="2"/>
  <c r="BF619" i="2" s="1"/>
  <c r="G60" i="3"/>
  <c r="G64" i="3" s="1"/>
  <c r="G65" i="3"/>
  <c r="G75" i="3" s="1"/>
  <c r="AR867" i="2"/>
  <c r="BE814" i="2"/>
  <c r="BF814" i="2" s="1"/>
  <c r="AT814" i="2"/>
  <c r="AR805" i="2"/>
  <c r="U805" i="2"/>
  <c r="AR824" i="2"/>
  <c r="T824" i="2"/>
  <c r="AR761" i="2"/>
  <c r="T761" i="2"/>
  <c r="AR645" i="2"/>
  <c r="T645" i="2"/>
  <c r="BG613" i="2"/>
  <c r="CC613" i="2"/>
  <c r="BJ613" i="2"/>
  <c r="BI613" i="2"/>
  <c r="U503" i="2"/>
  <c r="AR503" i="2"/>
  <c r="AR546" i="2"/>
  <c r="T546" i="2"/>
  <c r="BJ810" i="2"/>
  <c r="CC810" i="2"/>
  <c r="BG810" i="2"/>
  <c r="AR753" i="2"/>
  <c r="T753" i="2"/>
  <c r="AR771" i="2"/>
  <c r="U771" i="2"/>
  <c r="AR828" i="2"/>
  <c r="T828" i="2"/>
  <c r="AR845" i="2"/>
  <c r="T845" i="2"/>
  <c r="CC73" i="2"/>
  <c r="BJ73" i="2"/>
  <c r="BI73" i="2"/>
  <c r="BG73" i="2"/>
  <c r="AR871" i="2"/>
  <c r="U871" i="2"/>
  <c r="T550" i="2"/>
  <c r="AR550" i="2"/>
  <c r="BI191" i="2"/>
  <c r="BG191" i="2"/>
  <c r="CC191" i="2"/>
  <c r="BJ191" i="2"/>
  <c r="AR444" i="2"/>
  <c r="T444" i="2"/>
  <c r="H60" i="3"/>
  <c r="H64" i="3" s="1"/>
  <c r="AY533" i="2"/>
  <c r="U267" i="2"/>
  <c r="BE206" i="2"/>
  <c r="BF206" i="2" s="1"/>
  <c r="BI206" i="2" s="1"/>
  <c r="AR67" i="2"/>
  <c r="T32" i="2"/>
  <c r="T23" i="2"/>
  <c r="AR1047" i="2"/>
  <c r="T1047" i="2"/>
  <c r="T1044" i="2"/>
  <c r="AR1044" i="2"/>
  <c r="AT977" i="2"/>
  <c r="CF977" i="2" s="1"/>
  <c r="BE977" i="2"/>
  <c r="BF977" i="2" s="1"/>
  <c r="AT663" i="2"/>
  <c r="CF663" i="2" s="1"/>
  <c r="BE663" i="2"/>
  <c r="BF663" i="2" s="1"/>
  <c r="AR586" i="2"/>
  <c r="U586" i="2"/>
  <c r="T462" i="2"/>
  <c r="AR462" i="2"/>
  <c r="AT606" i="2"/>
  <c r="CF606" i="2" s="1"/>
  <c r="BE606" i="2"/>
  <c r="BF606" i="2" s="1"/>
  <c r="AR243" i="2"/>
  <c r="U243" i="2"/>
  <c r="AR336" i="2"/>
  <c r="U336" i="2"/>
  <c r="AR853" i="2"/>
  <c r="F60" i="3"/>
  <c r="F64" i="3" s="1"/>
  <c r="U787" i="2"/>
  <c r="AR773" i="2"/>
  <c r="BK518" i="2"/>
  <c r="BL518" i="2" s="1"/>
  <c r="BM518" i="2" s="1"/>
  <c r="AY536" i="2"/>
  <c r="BK536" i="2" s="1"/>
  <c r="BL536" i="2" s="1"/>
  <c r="BM536" i="2" s="1"/>
  <c r="AR500" i="2"/>
  <c r="U330" i="2"/>
  <c r="BE379" i="2"/>
  <c r="BF379" i="2" s="1"/>
  <c r="BE297" i="2"/>
  <c r="BF297" i="2" s="1"/>
  <c r="T247" i="2"/>
  <c r="U219" i="2"/>
  <c r="AR267" i="2"/>
  <c r="U203" i="2"/>
  <c r="AY151" i="2"/>
  <c r="BK151" i="2" s="1"/>
  <c r="BL151" i="2" s="1"/>
  <c r="BM151" i="2" s="1"/>
  <c r="AT206" i="2"/>
  <c r="CF206" i="2" s="1"/>
  <c r="T185" i="2"/>
  <c r="BK189" i="2"/>
  <c r="BL189" i="2" s="1"/>
  <c r="BM189" i="2" s="1"/>
  <c r="AR104" i="2"/>
  <c r="BP93" i="2"/>
  <c r="BQ93" i="2" s="1"/>
  <c r="BY93" i="2" s="1"/>
  <c r="T67" i="2"/>
  <c r="U22" i="2"/>
  <c r="BE12" i="2"/>
  <c r="BF12" i="2" s="1"/>
  <c r="BN134" i="2"/>
  <c r="BO134" i="2" s="1"/>
  <c r="U32" i="2"/>
  <c r="AT116" i="2"/>
  <c r="CF116" i="2" s="1"/>
  <c r="BE993" i="2"/>
  <c r="BF993" i="2" s="1"/>
  <c r="AT993" i="2"/>
  <c r="CF993" i="2" s="1"/>
  <c r="AR341" i="2"/>
  <c r="U341" i="2"/>
  <c r="T165" i="2"/>
  <c r="U165" i="2"/>
  <c r="BK64" i="2"/>
  <c r="BL64" i="2" s="1"/>
  <c r="BM64" i="2" s="1"/>
  <c r="BE64" i="2"/>
  <c r="BF64" i="2" s="1"/>
  <c r="AT64" i="2"/>
  <c r="CF64" i="2" s="1"/>
  <c r="H24" i="3"/>
  <c r="H28" i="3" s="1"/>
  <c r="T475" i="2"/>
  <c r="BE440" i="2"/>
  <c r="BF440" i="2" s="1"/>
  <c r="U307" i="2"/>
  <c r="T279" i="2"/>
  <c r="AR260" i="2"/>
  <c r="T162" i="2"/>
  <c r="BE114" i="2"/>
  <c r="BF114" i="2" s="1"/>
  <c r="T16" i="2"/>
  <c r="AT12" i="2"/>
  <c r="CF12" i="2" s="1"/>
  <c r="BG70" i="2"/>
  <c r="U60" i="2"/>
  <c r="BE116" i="2"/>
  <c r="BF116" i="2" s="1"/>
  <c r="BJ116" i="2" s="1"/>
  <c r="AT938" i="2"/>
  <c r="CF938" i="2" s="1"/>
  <c r="BE938" i="2"/>
  <c r="BF938" i="2" s="1"/>
  <c r="AR468" i="2"/>
  <c r="T468" i="2"/>
  <c r="U322" i="2"/>
  <c r="AR322" i="2"/>
  <c r="BE161" i="2"/>
  <c r="BF161" i="2" s="1"/>
  <c r="AT161" i="2"/>
  <c r="CF161" i="2" s="1"/>
  <c r="AR818" i="2"/>
  <c r="BE398" i="2"/>
  <c r="BF398" i="2" s="1"/>
  <c r="BE303" i="2"/>
  <c r="BF303" i="2" s="1"/>
  <c r="CC303" i="2" s="1"/>
  <c r="CC312" i="2"/>
  <c r="BJ376" i="2"/>
  <c r="AT317" i="2"/>
  <c r="CF317" i="2" s="1"/>
  <c r="T260" i="2"/>
  <c r="BK114" i="2"/>
  <c r="BL114" i="2" s="1"/>
  <c r="BM114" i="2" s="1"/>
  <c r="AT57" i="2"/>
  <c r="CF57" i="2" s="1"/>
  <c r="BE44" i="2"/>
  <c r="BF44" i="2" s="1"/>
  <c r="BI70" i="2"/>
  <c r="AT10" i="2"/>
  <c r="CF10" i="2" s="1"/>
  <c r="AR68" i="2"/>
  <c r="BE559" i="2"/>
  <c r="BF559" i="2" s="1"/>
  <c r="AT559" i="2"/>
  <c r="CF559" i="2" s="1"/>
  <c r="BE584" i="2"/>
  <c r="BF584" i="2" s="1"/>
  <c r="AT584" i="2"/>
  <c r="CF584" i="2" s="1"/>
  <c r="BE509" i="2"/>
  <c r="BF509" i="2" s="1"/>
  <c r="AT509" i="2"/>
  <c r="CF509" i="2" s="1"/>
  <c r="AR229" i="2"/>
  <c r="U229" i="2"/>
  <c r="BK61" i="2"/>
  <c r="BL61" i="2" s="1"/>
  <c r="BM61" i="2" s="1"/>
  <c r="BE61" i="2"/>
  <c r="BF61" i="2" s="1"/>
  <c r="AT61" i="2"/>
  <c r="CF61" i="2" s="1"/>
  <c r="T848" i="2"/>
  <c r="AR589" i="2"/>
  <c r="AY498" i="2"/>
  <c r="BN498" i="2" s="1"/>
  <c r="BO498" i="2" s="1"/>
  <c r="CC376" i="2"/>
  <c r="AR269" i="2"/>
  <c r="BK57" i="2"/>
  <c r="BL57" i="2" s="1"/>
  <c r="BM57" i="2" s="1"/>
  <c r="AT44" i="2"/>
  <c r="CF44" i="2" s="1"/>
  <c r="BJ70" i="2"/>
  <c r="BK10" i="2"/>
  <c r="BL10" i="2" s="1"/>
  <c r="BM10" i="2" s="1"/>
  <c r="T28" i="2"/>
  <c r="U489" i="2"/>
  <c r="AR489" i="2"/>
  <c r="AR238" i="2"/>
  <c r="U238" i="2"/>
  <c r="AR237" i="2"/>
  <c r="U237" i="2"/>
  <c r="BK41" i="2"/>
  <c r="BL41" i="2" s="1"/>
  <c r="BM41" i="2" s="1"/>
  <c r="AT41" i="2"/>
  <c r="CF41" i="2" s="1"/>
  <c r="BK38" i="2"/>
  <c r="BL38" i="2" s="1"/>
  <c r="BM38" i="2" s="1"/>
  <c r="AT38" i="2"/>
  <c r="CF38" i="2" s="1"/>
  <c r="AY1094" i="2"/>
  <c r="U633" i="2"/>
  <c r="AR578" i="2"/>
  <c r="BI436" i="2"/>
  <c r="AY488" i="2"/>
  <c r="BE389" i="2"/>
  <c r="BF389" i="2" s="1"/>
  <c r="CC389" i="2" s="1"/>
  <c r="AT310" i="2"/>
  <c r="CF310" i="2" s="1"/>
  <c r="T269" i="2"/>
  <c r="AR239" i="2"/>
  <c r="BE231" i="2"/>
  <c r="BF231" i="2" s="1"/>
  <c r="BK100" i="2"/>
  <c r="BL100" i="2" s="1"/>
  <c r="BM100" i="2" s="1"/>
  <c r="BK93" i="2"/>
  <c r="BL93" i="2" s="1"/>
  <c r="BM93" i="2" s="1"/>
  <c r="AR59" i="2"/>
  <c r="T151" i="2"/>
  <c r="BE1020" i="2"/>
  <c r="BF1020" i="2" s="1"/>
  <c r="AT1020" i="2"/>
  <c r="CF1020" i="2" s="1"/>
  <c r="BE891" i="2"/>
  <c r="BF891" i="2" s="1"/>
  <c r="AT891" i="2"/>
  <c r="CF891" i="2" s="1"/>
  <c r="CF730" i="2"/>
  <c r="AL730" i="2"/>
  <c r="T750" i="2"/>
  <c r="BE429" i="2"/>
  <c r="BF429" i="2" s="1"/>
  <c r="BG429" i="2" s="1"/>
  <c r="AT429" i="2"/>
  <c r="CF429" i="2" s="1"/>
  <c r="BE360" i="2"/>
  <c r="BF360" i="2" s="1"/>
  <c r="AT360" i="2"/>
  <c r="CF360" i="2" s="1"/>
  <c r="U600" i="2"/>
  <c r="AT376" i="2"/>
  <c r="CF376" i="2" s="1"/>
  <c r="AR401" i="2"/>
  <c r="T246" i="2"/>
  <c r="AR214" i="2"/>
  <c r="K121" i="3"/>
  <c r="K123" i="3"/>
  <c r="K124" i="3" s="1"/>
  <c r="AL796" i="2"/>
  <c r="CF796" i="2"/>
  <c r="AL804" i="2"/>
  <c r="CF804" i="2"/>
  <c r="AT965" i="2"/>
  <c r="CF965" i="2" s="1"/>
  <c r="BE965" i="2"/>
  <c r="BF965" i="2" s="1"/>
  <c r="BJ679" i="2"/>
  <c r="CC679" i="2"/>
  <c r="AR492" i="2"/>
  <c r="U492" i="2"/>
  <c r="U319" i="2"/>
  <c r="AR319" i="2"/>
  <c r="AR234" i="2"/>
  <c r="U234" i="2"/>
  <c r="T11" i="2"/>
  <c r="AR11" i="2"/>
  <c r="U11" i="2"/>
  <c r="AR898" i="2"/>
  <c r="AT970" i="2"/>
  <c r="CF970" i="2" s="1"/>
  <c r="BE970" i="2"/>
  <c r="BF970" i="2" s="1"/>
  <c r="AL793" i="2"/>
  <c r="CF793" i="2"/>
  <c r="AR479" i="2"/>
  <c r="T479" i="2"/>
  <c r="BE415" i="2"/>
  <c r="BF415" i="2" s="1"/>
  <c r="BG415" i="2" s="1"/>
  <c r="AT415" i="2"/>
  <c r="CF415" i="2" s="1"/>
  <c r="BE598" i="2"/>
  <c r="BF598" i="2" s="1"/>
  <c r="AT598" i="2"/>
  <c r="CF598" i="2" s="1"/>
  <c r="BJ312" i="2"/>
  <c r="BI312" i="2"/>
  <c r="BN34" i="2"/>
  <c r="BO34" i="2" s="1"/>
  <c r="BP34" i="2"/>
  <c r="BQ34" i="2" s="1"/>
  <c r="BY34" i="2" s="1"/>
  <c r="BK34" i="2"/>
  <c r="BL34" i="2" s="1"/>
  <c r="BM34" i="2" s="1"/>
  <c r="T1048" i="2"/>
  <c r="AR1048" i="2"/>
  <c r="BE741" i="2"/>
  <c r="BF741" i="2" s="1"/>
  <c r="BG741" i="2" s="1"/>
  <c r="AT741" i="2"/>
  <c r="BE709" i="2"/>
  <c r="BF709" i="2" s="1"/>
  <c r="CC709" i="2" s="1"/>
  <c r="AT709" i="2"/>
  <c r="CF709" i="2" s="1"/>
  <c r="BI407" i="2"/>
  <c r="BJ407" i="2"/>
  <c r="AR285" i="2"/>
  <c r="T285" i="2"/>
  <c r="U285" i="2"/>
  <c r="T842" i="2"/>
  <c r="AR565" i="2"/>
  <c r="AT119" i="2"/>
  <c r="CF119" i="2" s="1"/>
  <c r="BE535" i="2"/>
  <c r="BF535" i="2" s="1"/>
  <c r="AT535" i="2"/>
  <c r="CF535" i="2" s="1"/>
  <c r="U101" i="2"/>
  <c r="AR101" i="2"/>
  <c r="AR191" i="2"/>
  <c r="T191" i="2"/>
  <c r="BE78" i="2"/>
  <c r="BF78" i="2" s="1"/>
  <c r="BK78" i="2"/>
  <c r="BL78" i="2" s="1"/>
  <c r="BM78" i="2" s="1"/>
  <c r="AT78" i="2"/>
  <c r="CF78" i="2" s="1"/>
  <c r="AR851" i="2"/>
  <c r="G24" i="3"/>
  <c r="G28" i="3" s="1"/>
  <c r="AR732" i="2"/>
  <c r="AY528" i="2"/>
  <c r="BK528" i="2" s="1"/>
  <c r="BL528" i="2" s="1"/>
  <c r="BM528" i="2" s="1"/>
  <c r="BE119" i="2"/>
  <c r="BF119" i="2" s="1"/>
  <c r="BG119" i="2" s="1"/>
  <c r="BE1067" i="2"/>
  <c r="BF1067" i="2" s="1"/>
  <c r="AT1067" i="2"/>
  <c r="BJ973" i="2"/>
  <c r="BG973" i="2"/>
  <c r="U515" i="2"/>
  <c r="AR515" i="2"/>
  <c r="U429" i="2"/>
  <c r="AR429" i="2"/>
  <c r="G140" i="3"/>
  <c r="H77" i="3"/>
  <c r="T561" i="2"/>
  <c r="AR548" i="2"/>
  <c r="AY491" i="2"/>
  <c r="BK491" i="2" s="1"/>
  <c r="BL491" i="2" s="1"/>
  <c r="BM491" i="2" s="1"/>
  <c r="BK430" i="2"/>
  <c r="BL430" i="2" s="1"/>
  <c r="BM430" i="2" s="1"/>
  <c r="AR440" i="2"/>
  <c r="U277" i="2"/>
  <c r="U213" i="2"/>
  <c r="U1" i="1"/>
  <c r="AY157" i="2"/>
  <c r="BK157" i="2" s="1"/>
  <c r="BL157" i="2" s="1"/>
  <c r="BM157" i="2" s="1"/>
  <c r="BE1051" i="2"/>
  <c r="BF1051" i="2" s="1"/>
  <c r="AT1051" i="2"/>
  <c r="CF1051" i="2" s="1"/>
  <c r="AR1046" i="2"/>
  <c r="T1046" i="2"/>
  <c r="AT950" i="2"/>
  <c r="CF950" i="2" s="1"/>
  <c r="BE950" i="2"/>
  <c r="BF950" i="2" s="1"/>
  <c r="AT748" i="2"/>
  <c r="BE748" i="2"/>
  <c r="BF748" i="2" s="1"/>
  <c r="U626" i="2"/>
  <c r="AR626" i="2"/>
  <c r="AT735" i="2"/>
  <c r="BE735" i="2"/>
  <c r="BF735" i="2" s="1"/>
  <c r="T449" i="2"/>
  <c r="AR449" i="2"/>
  <c r="T544" i="2"/>
  <c r="AT296" i="2"/>
  <c r="CF296" i="2" s="1"/>
  <c r="BE296" i="2"/>
  <c r="BF296" i="2" s="1"/>
  <c r="M50" i="3"/>
  <c r="K86" i="3"/>
  <c r="K14" i="3"/>
  <c r="L50" i="3"/>
  <c r="H14" i="3"/>
  <c r="H86" i="3"/>
  <c r="M86" i="3"/>
  <c r="J86" i="3"/>
  <c r="J14" i="3"/>
  <c r="G86" i="3"/>
  <c r="G14" i="3"/>
  <c r="N14" i="3"/>
  <c r="H50" i="3"/>
  <c r="I86" i="3"/>
  <c r="I14" i="3"/>
  <c r="F86" i="3"/>
  <c r="F14" i="3"/>
  <c r="N86" i="3"/>
  <c r="L14" i="3"/>
  <c r="E14" i="3"/>
  <c r="M14" i="3"/>
  <c r="G50" i="3"/>
  <c r="D50" i="3"/>
  <c r="I50" i="3"/>
  <c r="F50" i="3"/>
  <c r="D86" i="3"/>
  <c r="D14" i="3"/>
  <c r="K50" i="3"/>
  <c r="N50" i="3"/>
  <c r="J50" i="3"/>
  <c r="L86" i="3"/>
  <c r="E86" i="3"/>
  <c r="E50" i="3"/>
  <c r="BJ1026" i="2"/>
  <c r="BG1026" i="2"/>
  <c r="CC1026" i="2"/>
  <c r="BG964" i="2"/>
  <c r="CC964" i="2"/>
  <c r="BI964" i="2"/>
  <c r="BJ964" i="2"/>
  <c r="U882" i="2"/>
  <c r="AR882" i="2"/>
  <c r="AR886" i="2"/>
  <c r="U886" i="2"/>
  <c r="AR905" i="2"/>
  <c r="U905" i="2"/>
  <c r="AR809" i="2"/>
  <c r="U809" i="2"/>
  <c r="AR778" i="2"/>
  <c r="U778" i="2"/>
  <c r="AR777" i="2"/>
  <c r="U777" i="2"/>
  <c r="BI845" i="2"/>
  <c r="BG845" i="2"/>
  <c r="BJ845" i="2"/>
  <c r="CC845" i="2"/>
  <c r="CC895" i="2"/>
  <c r="BG895" i="2"/>
  <c r="BJ895" i="2"/>
  <c r="AR718" i="2"/>
  <c r="T718" i="2"/>
  <c r="AR942" i="2"/>
  <c r="U942" i="2"/>
  <c r="BJ687" i="2"/>
  <c r="BI687" i="2"/>
  <c r="BG687" i="2"/>
  <c r="CC687" i="2"/>
  <c r="BG729" i="2"/>
  <c r="BJ729" i="2"/>
  <c r="CC729" i="2"/>
  <c r="CC664" i="2"/>
  <c r="BJ664" i="2"/>
  <c r="BI664" i="2"/>
  <c r="BG664" i="2"/>
  <c r="BJ650" i="2"/>
  <c r="BG650" i="2"/>
  <c r="CC650" i="2"/>
  <c r="CC600" i="2"/>
  <c r="BG600" i="2"/>
  <c r="BJ600" i="2"/>
  <c r="AR676" i="2"/>
  <c r="U676" i="2"/>
  <c r="U670" i="2"/>
  <c r="AR670" i="2"/>
  <c r="CC517" i="2"/>
  <c r="BJ517" i="2"/>
  <c r="BI517" i="2"/>
  <c r="BG517" i="2"/>
  <c r="BJ465" i="2"/>
  <c r="CC465" i="2"/>
  <c r="BG465" i="2"/>
  <c r="BJ499" i="2"/>
  <c r="CC499" i="2"/>
  <c r="BG499" i="2"/>
  <c r="BG412" i="2"/>
  <c r="BI412" i="2"/>
  <c r="BJ412" i="2"/>
  <c r="CC412" i="2"/>
  <c r="BJ422" i="2"/>
  <c r="BI422" i="2"/>
  <c r="BG422" i="2"/>
  <c r="CC422" i="2"/>
  <c r="BG350" i="2"/>
  <c r="BJ350" i="2"/>
  <c r="CC350" i="2"/>
  <c r="BG186" i="2"/>
  <c r="CC186" i="2"/>
  <c r="BJ186" i="2"/>
  <c r="BI186" i="2"/>
  <c r="BG338" i="2"/>
  <c r="CC338" i="2"/>
  <c r="BJ338" i="2"/>
  <c r="BI338" i="2"/>
  <c r="CC197" i="2"/>
  <c r="BJ98" i="2"/>
  <c r="CC98" i="2"/>
  <c r="BI98" i="2"/>
  <c r="BG98" i="2"/>
  <c r="BI213" i="2"/>
  <c r="BG213" i="2"/>
  <c r="CC213" i="2"/>
  <c r="BJ213" i="2"/>
  <c r="BG156" i="2"/>
  <c r="CC156" i="2"/>
  <c r="BJ156" i="2"/>
  <c r="BJ137" i="2"/>
  <c r="CC137" i="2"/>
  <c r="BI137" i="2"/>
  <c r="BG137" i="2"/>
  <c r="BG147" i="2"/>
  <c r="BJ147" i="2"/>
  <c r="BI147" i="2"/>
  <c r="CC147" i="2"/>
  <c r="AR899" i="2"/>
  <c r="U899" i="2"/>
  <c r="CC921" i="2"/>
  <c r="BJ921" i="2"/>
  <c r="BG921" i="2"/>
  <c r="BG922" i="2"/>
  <c r="CC922" i="2"/>
  <c r="BJ922" i="2"/>
  <c r="T987" i="2"/>
  <c r="AR987" i="2"/>
  <c r="AR831" i="2"/>
  <c r="T831" i="2"/>
  <c r="AR734" i="2"/>
  <c r="T734" i="2"/>
  <c r="BJ732" i="2"/>
  <c r="BG732" i="2"/>
  <c r="CC732" i="2"/>
  <c r="CC685" i="2"/>
  <c r="BJ685" i="2"/>
  <c r="BG685" i="2"/>
  <c r="BG661" i="2"/>
  <c r="CC661" i="2"/>
  <c r="BJ661" i="2"/>
  <c r="AR638" i="2"/>
  <c r="T638" i="2"/>
  <c r="AR540" i="2"/>
  <c r="T540" i="2"/>
  <c r="BJ531" i="2"/>
  <c r="BI531" i="2"/>
  <c r="BG531" i="2"/>
  <c r="CC531" i="2"/>
  <c r="BI486" i="2"/>
  <c r="CC486" i="2"/>
  <c r="BG486" i="2"/>
  <c r="BJ486" i="2"/>
  <c r="BG347" i="2"/>
  <c r="BJ347" i="2"/>
  <c r="CC347" i="2"/>
  <c r="BG362" i="2"/>
  <c r="CC362" i="2"/>
  <c r="BJ362" i="2"/>
  <c r="BI362" i="2"/>
  <c r="BJ459" i="2"/>
  <c r="BG459" i="2"/>
  <c r="CC459" i="2"/>
  <c r="BG381" i="2"/>
  <c r="CC381" i="2"/>
  <c r="BJ381" i="2"/>
  <c r="BG353" i="2"/>
  <c r="CC353" i="2"/>
  <c r="BJ353" i="2"/>
  <c r="BJ281" i="2"/>
  <c r="BG281" i="2"/>
  <c r="CC281" i="2"/>
  <c r="BI215" i="2"/>
  <c r="BG215" i="2"/>
  <c r="CC215" i="2"/>
  <c r="BJ215" i="2"/>
  <c r="BJ264" i="2"/>
  <c r="BG264" i="2"/>
  <c r="CC264" i="2"/>
  <c r="BG183" i="2"/>
  <c r="CC183" i="2"/>
  <c r="BJ183" i="2"/>
  <c r="BI183" i="2"/>
  <c r="BJ255" i="2"/>
  <c r="BG255" i="2"/>
  <c r="CC255" i="2"/>
  <c r="BG271" i="2"/>
  <c r="CC271" i="2"/>
  <c r="BJ271" i="2"/>
  <c r="BI109" i="2"/>
  <c r="CC109" i="2"/>
  <c r="BJ109" i="2"/>
  <c r="BG109" i="2"/>
  <c r="BJ74" i="2"/>
  <c r="CC74" i="2"/>
  <c r="BI74" i="2"/>
  <c r="BG74" i="2"/>
  <c r="CC7" i="2"/>
  <c r="BJ7" i="2"/>
  <c r="BI7" i="2"/>
  <c r="BG7" i="2"/>
  <c r="BJ23" i="2"/>
  <c r="CC23" i="2"/>
  <c r="BI23" i="2"/>
  <c r="BG23" i="2"/>
  <c r="AR862" i="2"/>
  <c r="T862" i="2"/>
  <c r="AR909" i="2"/>
  <c r="U909" i="2"/>
  <c r="CC897" i="2"/>
  <c r="BG897" i="2"/>
  <c r="BJ897" i="2"/>
  <c r="AR854" i="2"/>
  <c r="T854" i="2"/>
  <c r="CC893" i="2"/>
  <c r="BJ893" i="2"/>
  <c r="BG893" i="2"/>
  <c r="BG854" i="2"/>
  <c r="CC854" i="2"/>
  <c r="BJ854" i="2"/>
  <c r="AR827" i="2"/>
  <c r="T827" i="2"/>
  <c r="BI808" i="2"/>
  <c r="CC808" i="2"/>
  <c r="BJ808" i="2"/>
  <c r="BG808" i="2"/>
  <c r="CC755" i="2"/>
  <c r="BG755" i="2"/>
  <c r="BJ755" i="2"/>
  <c r="BJ641" i="2"/>
  <c r="BG641" i="2"/>
  <c r="CC641" i="2"/>
  <c r="AR1058" i="2"/>
  <c r="U1058" i="2"/>
  <c r="AR674" i="2"/>
  <c r="U674" i="2"/>
  <c r="AR617" i="2"/>
  <c r="U617" i="2"/>
  <c r="BG462" i="2"/>
  <c r="BJ462" i="2"/>
  <c r="CC462" i="2"/>
  <c r="BJ80" i="2"/>
  <c r="CC80" i="2"/>
  <c r="BI80" i="2"/>
  <c r="BG80" i="2"/>
  <c r="BJ40" i="2"/>
  <c r="BI40" i="2"/>
  <c r="BG40" i="2"/>
  <c r="CC40" i="2"/>
  <c r="BG912" i="2"/>
  <c r="CC912" i="2"/>
  <c r="BJ912" i="2"/>
  <c r="BG877" i="2"/>
  <c r="CC877" i="2"/>
  <c r="BJ877" i="2"/>
  <c r="AR868" i="2"/>
  <c r="U868" i="2"/>
  <c r="AR821" i="2"/>
  <c r="T821" i="2"/>
  <c r="CC761" i="2"/>
  <c r="BJ761" i="2"/>
  <c r="BG761" i="2"/>
  <c r="BJ699" i="2"/>
  <c r="CC699" i="2"/>
  <c r="BG699" i="2"/>
  <c r="CC688" i="2"/>
  <c r="BJ688" i="2"/>
  <c r="BI688" i="2"/>
  <c r="BG688" i="2"/>
  <c r="AR641" i="2"/>
  <c r="T641" i="2"/>
  <c r="CC385" i="2"/>
  <c r="BJ385" i="2"/>
  <c r="BG385" i="2"/>
  <c r="BI420" i="2"/>
  <c r="CC420" i="2"/>
  <c r="BJ420" i="2"/>
  <c r="BG420" i="2"/>
  <c r="BJ270" i="2"/>
  <c r="BI270" i="2"/>
  <c r="BG270" i="2"/>
  <c r="CC270" i="2"/>
  <c r="BJ77" i="2"/>
  <c r="CC77" i="2"/>
  <c r="BI77" i="2"/>
  <c r="BG77" i="2"/>
  <c r="BJ243" i="2"/>
  <c r="BI243" i="2"/>
  <c r="BG243" i="2"/>
  <c r="CC243" i="2"/>
  <c r="BG33" i="2"/>
  <c r="BJ33" i="2"/>
  <c r="BI33" i="2"/>
  <c r="CC33" i="2"/>
  <c r="BJ104" i="2"/>
  <c r="CC104" i="2"/>
  <c r="BI104" i="2"/>
  <c r="BG104" i="2"/>
  <c r="BJ12" i="2"/>
  <c r="BI12" i="2"/>
  <c r="BG12" i="2"/>
  <c r="CC12" i="2"/>
  <c r="BJ20" i="2"/>
  <c r="BI20" i="2"/>
  <c r="BG20" i="2"/>
  <c r="CC20" i="2"/>
  <c r="BJ1060" i="2"/>
  <c r="BG1060" i="2"/>
  <c r="CC1060" i="2"/>
  <c r="CC1010" i="2"/>
  <c r="BJ1010" i="2"/>
  <c r="BG1010" i="2"/>
  <c r="AR904" i="2"/>
  <c r="U904" i="2"/>
  <c r="BG871" i="2"/>
  <c r="CC871" i="2"/>
  <c r="BJ871" i="2"/>
  <c r="BI817" i="2"/>
  <c r="BJ817" i="2"/>
  <c r="BG817" i="2"/>
  <c r="CC817" i="2"/>
  <c r="AR683" i="2"/>
  <c r="U683" i="2"/>
  <c r="BG683" i="2"/>
  <c r="CC683" i="2"/>
  <c r="BJ683" i="2"/>
  <c r="U672" i="2"/>
  <c r="AR672" i="2"/>
  <c r="CC506" i="2"/>
  <c r="BJ506" i="2"/>
  <c r="BI506" i="2"/>
  <c r="BG506" i="2"/>
  <c r="BJ491" i="2"/>
  <c r="CC491" i="2"/>
  <c r="BG491" i="2"/>
  <c r="BG479" i="2"/>
  <c r="BJ479" i="2"/>
  <c r="CC479" i="2"/>
  <c r="BI391" i="2"/>
  <c r="CC391" i="2"/>
  <c r="BJ391" i="2"/>
  <c r="BG391" i="2"/>
  <c r="BJ275" i="2"/>
  <c r="BG275" i="2"/>
  <c r="CC275" i="2"/>
  <c r="BJ258" i="2"/>
  <c r="BG258" i="2"/>
  <c r="CC258" i="2"/>
  <c r="BJ259" i="2"/>
  <c r="BG259" i="2"/>
  <c r="CC259" i="2"/>
  <c r="BJ83" i="2"/>
  <c r="CC83" i="2"/>
  <c r="BI83" i="2"/>
  <c r="BG83" i="2"/>
  <c r="BJ249" i="2"/>
  <c r="BG249" i="2"/>
  <c r="CC249" i="2"/>
  <c r="BG36" i="2"/>
  <c r="BJ36" i="2"/>
  <c r="BI36" i="2"/>
  <c r="CC36" i="2"/>
  <c r="BJ127" i="2"/>
  <c r="BI127" i="2"/>
  <c r="BG127" i="2"/>
  <c r="CC127" i="2"/>
  <c r="BI103" i="2"/>
  <c r="CC103" i="2"/>
  <c r="BJ103" i="2"/>
  <c r="BG103" i="2"/>
  <c r="K720" i="2"/>
  <c r="K717" i="2"/>
  <c r="K725" i="2"/>
  <c r="K714" i="2"/>
  <c r="K724" i="2"/>
  <c r="K716" i="2"/>
  <c r="K726" i="2"/>
  <c r="K695" i="2"/>
  <c r="K689" i="2"/>
  <c r="K686" i="2"/>
  <c r="K683" i="2"/>
  <c r="K719" i="2"/>
  <c r="K694" i="2"/>
  <c r="K691" i="2"/>
  <c r="K722" i="2"/>
  <c r="K715" i="2"/>
  <c r="K707" i="2"/>
  <c r="K710" i="2"/>
  <c r="K693" i="2"/>
  <c r="K727" i="2"/>
  <c r="K713" i="2"/>
  <c r="K690" i="2"/>
  <c r="K687" i="2"/>
  <c r="K684" i="2"/>
  <c r="K708" i="2"/>
  <c r="K700" i="2"/>
  <c r="K699" i="2"/>
  <c r="K696" i="2"/>
  <c r="K721" i="2"/>
  <c r="K712" i="2"/>
  <c r="K661" i="2"/>
  <c r="K647" i="2"/>
  <c r="K636" i="2"/>
  <c r="K698" i="2"/>
  <c r="K692" i="2"/>
  <c r="K685" i="2"/>
  <c r="K680" i="2"/>
  <c r="K674" i="2"/>
  <c r="K658" i="2"/>
  <c r="K688" i="2"/>
  <c r="K681" i="2"/>
  <c r="K675" i="2"/>
  <c r="K702" i="2"/>
  <c r="K669" i="2"/>
  <c r="K666" i="2"/>
  <c r="K663" i="2"/>
  <c r="K652" i="2"/>
  <c r="K644" i="2"/>
  <c r="K641" i="2"/>
  <c r="K718" i="2"/>
  <c r="K704" i="2"/>
  <c r="K660" i="2"/>
  <c r="K649" i="2"/>
  <c r="K638" i="2"/>
  <c r="K703" i="2"/>
  <c r="K678" i="2"/>
  <c r="K672" i="2"/>
  <c r="K662" i="2"/>
  <c r="K648" i="2"/>
  <c r="K723" i="2"/>
  <c r="K711" i="2"/>
  <c r="K705" i="2"/>
  <c r="K673" i="2"/>
  <c r="K643" i="2"/>
  <c r="K677" i="2"/>
  <c r="K667" i="2"/>
  <c r="K655" i="2"/>
  <c r="K645" i="2"/>
  <c r="K701" i="2"/>
  <c r="K651" i="2"/>
  <c r="K697" i="2"/>
  <c r="K654" i="2"/>
  <c r="K653" i="2"/>
  <c r="K709" i="2"/>
  <c r="K640" i="2"/>
  <c r="K637" i="2"/>
  <c r="K670" i="2"/>
  <c r="K679" i="2"/>
  <c r="K676" i="2"/>
  <c r="K665" i="2"/>
  <c r="K659" i="2"/>
  <c r="K671" i="2"/>
  <c r="K664" i="2"/>
  <c r="K639" i="2"/>
  <c r="K634" i="2"/>
  <c r="K668" i="2"/>
  <c r="K657" i="2"/>
  <c r="K656" i="2"/>
  <c r="K706" i="2"/>
  <c r="K682" i="2"/>
  <c r="K646" i="2"/>
  <c r="K635" i="2"/>
  <c r="K642" i="2"/>
  <c r="K650" i="2"/>
  <c r="BJ1091" i="2"/>
  <c r="BG1091" i="2"/>
  <c r="CC1091" i="2"/>
  <c r="BJ971" i="2"/>
  <c r="BG971" i="2"/>
  <c r="CC971" i="2"/>
  <c r="BG1002" i="2"/>
  <c r="BJ1002" i="2"/>
  <c r="CC1002" i="2"/>
  <c r="AR889" i="2"/>
  <c r="U889" i="2"/>
  <c r="CC963" i="2"/>
  <c r="BG963" i="2"/>
  <c r="BI963" i="2"/>
  <c r="BJ963" i="2"/>
  <c r="AR892" i="2"/>
  <c r="U892" i="2"/>
  <c r="CC899" i="2"/>
  <c r="BG899" i="2"/>
  <c r="BJ899" i="2"/>
  <c r="AR865" i="2"/>
  <c r="U865" i="2"/>
  <c r="CC867" i="2"/>
  <c r="BJ867" i="2"/>
  <c r="BG867" i="2"/>
  <c r="BJ847" i="2"/>
  <c r="CC847" i="2"/>
  <c r="BG847" i="2"/>
  <c r="CC800" i="2"/>
  <c r="BJ800" i="2"/>
  <c r="BG800" i="2"/>
  <c r="CC710" i="2"/>
  <c r="BJ710" i="2"/>
  <c r="BG710" i="2"/>
  <c r="BJ616" i="2"/>
  <c r="BG616" i="2"/>
  <c r="CC616" i="2"/>
  <c r="CC624" i="2"/>
  <c r="BJ624" i="2"/>
  <c r="BG624" i="2"/>
  <c r="BG558" i="2"/>
  <c r="CC558" i="2"/>
  <c r="BJ558" i="2"/>
  <c r="BG526" i="2"/>
  <c r="CC526" i="2"/>
  <c r="BJ526" i="2"/>
  <c r="BG354" i="2"/>
  <c r="BJ354" i="2"/>
  <c r="CC354" i="2"/>
  <c r="CC440" i="2"/>
  <c r="BG440" i="2"/>
  <c r="BJ440" i="2"/>
  <c r="CC370" i="2"/>
  <c r="BJ370" i="2"/>
  <c r="BG370" i="2"/>
  <c r="BJ262" i="2"/>
  <c r="BG262" i="2"/>
  <c r="CC262" i="2"/>
  <c r="BG114" i="2"/>
  <c r="CC114" i="2"/>
  <c r="BJ114" i="2"/>
  <c r="BI114" i="2"/>
  <c r="BJ32" i="2"/>
  <c r="BI32" i="2"/>
  <c r="BG32" i="2"/>
  <c r="CC32" i="2"/>
  <c r="BJ65" i="2"/>
  <c r="CC65" i="2"/>
  <c r="BI65" i="2"/>
  <c r="BG65" i="2"/>
  <c r="CC1072" i="2"/>
  <c r="BJ1072" i="2"/>
  <c r="BG1072" i="2"/>
  <c r="BG1015" i="2"/>
  <c r="CC1015" i="2"/>
  <c r="BJ1015" i="2"/>
  <c r="BG923" i="2"/>
  <c r="CC923" i="2"/>
  <c r="BJ923" i="2"/>
  <c r="T852" i="2"/>
  <c r="AR852" i="2"/>
  <c r="AR884" i="2"/>
  <c r="U884" i="2"/>
  <c r="CC852" i="2"/>
  <c r="BG852" i="2"/>
  <c r="BJ852" i="2"/>
  <c r="AR866" i="2"/>
  <c r="U866" i="2"/>
  <c r="AR799" i="2"/>
  <c r="U799" i="2"/>
  <c r="BJ807" i="2"/>
  <c r="CC807" i="2"/>
  <c r="BG807" i="2"/>
  <c r="AR717" i="2"/>
  <c r="T717" i="2"/>
  <c r="CC695" i="2"/>
  <c r="BJ695" i="2"/>
  <c r="BG695" i="2"/>
  <c r="BI695" i="2"/>
  <c r="BI618" i="2"/>
  <c r="BG618" i="2"/>
  <c r="CC618" i="2"/>
  <c r="BJ618" i="2"/>
  <c r="U917" i="2"/>
  <c r="AR917" i="2"/>
  <c r="BJ696" i="2"/>
  <c r="CC696" i="2"/>
  <c r="BG696" i="2"/>
  <c r="AR613" i="2"/>
  <c r="U613" i="2"/>
  <c r="BJ654" i="2"/>
  <c r="BI654" i="2"/>
  <c r="CC654" i="2"/>
  <c r="BG654" i="2"/>
  <c r="BJ487" i="2"/>
  <c r="BG487" i="2"/>
  <c r="CC487" i="2"/>
  <c r="AR537" i="2"/>
  <c r="T537" i="2"/>
  <c r="BJ441" i="2"/>
  <c r="BG441" i="2"/>
  <c r="CC441" i="2"/>
  <c r="BJ261" i="2"/>
  <c r="BI261" i="2"/>
  <c r="BG261" i="2"/>
  <c r="CC261" i="2"/>
  <c r="BJ265" i="2"/>
  <c r="BI265" i="2"/>
  <c r="BG265" i="2"/>
  <c r="CC265" i="2"/>
  <c r="CC284" i="2"/>
  <c r="BJ284" i="2"/>
  <c r="BG284" i="2"/>
  <c r="BG193" i="2"/>
  <c r="CC193" i="2"/>
  <c r="BJ193" i="2"/>
  <c r="BJ41" i="2"/>
  <c r="BI41" i="2"/>
  <c r="BG41" i="2"/>
  <c r="CC41" i="2"/>
  <c r="BG30" i="2"/>
  <c r="BJ30" i="2"/>
  <c r="BI30" i="2"/>
  <c r="CC30" i="2"/>
  <c r="U699" i="2"/>
  <c r="AR699" i="2"/>
  <c r="BJ1095" i="2"/>
  <c r="CC1095" i="2"/>
  <c r="BG1095" i="2"/>
  <c r="CC1035" i="2"/>
  <c r="BG1035" i="2"/>
  <c r="BJ1035" i="2"/>
  <c r="BJ979" i="2"/>
  <c r="BG979" i="2"/>
  <c r="CC979" i="2"/>
  <c r="BJ936" i="2"/>
  <c r="CC936" i="2"/>
  <c r="BG936" i="2"/>
  <c r="BJ987" i="2"/>
  <c r="CC987" i="2"/>
  <c r="BG987" i="2"/>
  <c r="BJ929" i="2"/>
  <c r="BG929" i="2"/>
  <c r="CC929" i="2"/>
  <c r="AR888" i="2"/>
  <c r="U888" i="2"/>
  <c r="AR997" i="2"/>
  <c r="T997" i="2"/>
  <c r="CC902" i="2"/>
  <c r="BG902" i="2"/>
  <c r="BJ902" i="2"/>
  <c r="CC798" i="2"/>
  <c r="BJ798" i="2"/>
  <c r="BG798" i="2"/>
  <c r="AR740" i="2"/>
  <c r="T740" i="2"/>
  <c r="BG830" i="2"/>
  <c r="CC830" i="2"/>
  <c r="BJ830" i="2"/>
  <c r="BG787" i="2"/>
  <c r="BJ787" i="2"/>
  <c r="CC787" i="2"/>
  <c r="BJ644" i="2"/>
  <c r="BG644" i="2"/>
  <c r="CC644" i="2"/>
  <c r="BJ711" i="2"/>
  <c r="CC711" i="2"/>
  <c r="BG711" i="2"/>
  <c r="AR680" i="2"/>
  <c r="U680" i="2"/>
  <c r="U724" i="2"/>
  <c r="AR724" i="2"/>
  <c r="BJ657" i="2"/>
  <c r="BI657" i="2"/>
  <c r="CC657" i="2"/>
  <c r="BG657" i="2"/>
  <c r="U701" i="2"/>
  <c r="AR701" i="2"/>
  <c r="BJ564" i="2"/>
  <c r="BG564" i="2"/>
  <c r="CC564" i="2"/>
  <c r="AR582" i="2"/>
  <c r="U582" i="2"/>
  <c r="BI446" i="2"/>
  <c r="CC446" i="2"/>
  <c r="BJ446" i="2"/>
  <c r="BG446" i="2"/>
  <c r="BJ546" i="2"/>
  <c r="BG546" i="2"/>
  <c r="CC546" i="2"/>
  <c r="BI400" i="2"/>
  <c r="CC400" i="2"/>
  <c r="BJ400" i="2"/>
  <c r="BG400" i="2"/>
  <c r="BG339" i="2"/>
  <c r="BJ339" i="2"/>
  <c r="BI339" i="2"/>
  <c r="CC339" i="2"/>
  <c r="BG256" i="2"/>
  <c r="BJ256" i="2"/>
  <c r="CC256" i="2"/>
  <c r="BI219" i="2"/>
  <c r="BG219" i="2"/>
  <c r="CC219" i="2"/>
  <c r="BJ219" i="2"/>
  <c r="BI244" i="2"/>
  <c r="BG244" i="2"/>
  <c r="BJ244" i="2"/>
  <c r="CC244" i="2"/>
  <c r="CC164" i="2"/>
  <c r="BJ164" i="2"/>
  <c r="BG164" i="2"/>
  <c r="BJ38" i="2"/>
  <c r="BI38" i="2"/>
  <c r="BG38" i="2"/>
  <c r="CC38" i="2"/>
  <c r="BI238" i="2"/>
  <c r="BG238" i="2"/>
  <c r="CC238" i="2"/>
  <c r="BJ238" i="2"/>
  <c r="BJ50" i="2"/>
  <c r="BG50" i="2"/>
  <c r="CC50" i="2"/>
  <c r="BI50" i="2"/>
  <c r="BJ101" i="2"/>
  <c r="BI101" i="2"/>
  <c r="BG101" i="2"/>
  <c r="CC101" i="2"/>
  <c r="BJ92" i="2"/>
  <c r="CC92" i="2"/>
  <c r="BI92" i="2"/>
  <c r="BG92" i="2"/>
  <c r="BG27" i="2"/>
  <c r="BJ27" i="2"/>
  <c r="BI27" i="2"/>
  <c r="CC27" i="2"/>
  <c r="BG22" i="2"/>
  <c r="CC22" i="2"/>
  <c r="BJ22" i="2"/>
  <c r="BI22" i="2"/>
  <c r="BG1059" i="2"/>
  <c r="CC1059" i="2"/>
  <c r="BJ1059" i="2"/>
  <c r="CC958" i="2"/>
  <c r="BJ958" i="2"/>
  <c r="BI958" i="2"/>
  <c r="BG958" i="2"/>
  <c r="CC990" i="2"/>
  <c r="BJ990" i="2"/>
  <c r="BG990" i="2"/>
  <c r="BI990" i="2"/>
  <c r="BJ942" i="2"/>
  <c r="BG942" i="2"/>
  <c r="CC942" i="2"/>
  <c r="AR847" i="2"/>
  <c r="T847" i="2"/>
  <c r="AR839" i="2"/>
  <c r="T839" i="2"/>
  <c r="T838" i="2"/>
  <c r="AR838" i="2"/>
  <c r="BG758" i="2"/>
  <c r="CC758" i="2"/>
  <c r="BJ758" i="2"/>
  <c r="T970" i="2"/>
  <c r="AR970" i="2"/>
  <c r="AR738" i="2"/>
  <c r="T738" i="2"/>
  <c r="AR767" i="2"/>
  <c r="T767" i="2"/>
  <c r="CC751" i="2"/>
  <c r="BJ751" i="2"/>
  <c r="BI751" i="2"/>
  <c r="BG751" i="2"/>
  <c r="BJ666" i="2"/>
  <c r="BG666" i="2"/>
  <c r="CC666" i="2"/>
  <c r="AR675" i="2"/>
  <c r="U675" i="2"/>
  <c r="AR694" i="2"/>
  <c r="U694" i="2"/>
  <c r="AR673" i="2"/>
  <c r="U673" i="2"/>
  <c r="BJ548" i="2"/>
  <c r="CC548" i="2"/>
  <c r="BG548" i="2"/>
  <c r="BJ507" i="2"/>
  <c r="CC507" i="2"/>
  <c r="BG507" i="2"/>
  <c r="CC482" i="2"/>
  <c r="BG482" i="2"/>
  <c r="BJ482" i="2"/>
  <c r="BG369" i="2"/>
  <c r="BJ369" i="2"/>
  <c r="CC369" i="2"/>
  <c r="BG247" i="2"/>
  <c r="BJ247" i="2"/>
  <c r="CC247" i="2"/>
  <c r="CC158" i="2"/>
  <c r="BJ158" i="2"/>
  <c r="BI158" i="2"/>
  <c r="BG158" i="2"/>
  <c r="BG155" i="2"/>
  <c r="CC155" i="2"/>
  <c r="BJ155" i="2"/>
  <c r="BJ62" i="2"/>
  <c r="CC62" i="2"/>
  <c r="BI62" i="2"/>
  <c r="BG62" i="2"/>
  <c r="CC1027" i="2"/>
  <c r="BG1027" i="2"/>
  <c r="BJ1027" i="2"/>
  <c r="BJ980" i="2"/>
  <c r="BG980" i="2"/>
  <c r="CC980" i="2"/>
  <c r="BJ926" i="2"/>
  <c r="BG926" i="2"/>
  <c r="CC926" i="2"/>
  <c r="AR878" i="2"/>
  <c r="U878" i="2"/>
  <c r="AR836" i="2"/>
  <c r="T836" i="2"/>
  <c r="AR765" i="2"/>
  <c r="T765" i="2"/>
  <c r="BJ705" i="2"/>
  <c r="BI705" i="2"/>
  <c r="BG705" i="2"/>
  <c r="CC705" i="2"/>
  <c r="BJ726" i="2"/>
  <c r="BI726" i="2"/>
  <c r="BG726" i="2"/>
  <c r="CC726" i="2"/>
  <c r="CC655" i="2"/>
  <c r="BG655" i="2"/>
  <c r="BJ655" i="2"/>
  <c r="CC1074" i="2"/>
  <c r="BJ1074" i="2"/>
  <c r="BG1074" i="2"/>
  <c r="AR895" i="2"/>
  <c r="U895" i="2"/>
  <c r="AR846" i="2"/>
  <c r="T846" i="2"/>
  <c r="BG841" i="2"/>
  <c r="CC841" i="2"/>
  <c r="BJ841" i="2"/>
  <c r="AR789" i="2"/>
  <c r="U789" i="2"/>
  <c r="BJ801" i="2"/>
  <c r="BI801" i="2"/>
  <c r="BG801" i="2"/>
  <c r="CC801" i="2"/>
  <c r="T974" i="2"/>
  <c r="AR974" i="2"/>
  <c r="AR763" i="2"/>
  <c r="T763" i="2"/>
  <c r="AR783" i="2"/>
  <c r="U783" i="2"/>
  <c r="CC697" i="2"/>
  <c r="BJ697" i="2"/>
  <c r="BG697" i="2"/>
  <c r="U700" i="2"/>
  <c r="AR700" i="2"/>
  <c r="BI680" i="2"/>
  <c r="BJ680" i="2"/>
  <c r="BG680" i="2"/>
  <c r="CC680" i="2"/>
  <c r="AR623" i="2"/>
  <c r="U623" i="2"/>
  <c r="BJ493" i="2"/>
  <c r="CC493" i="2"/>
  <c r="BI493" i="2"/>
  <c r="BG493" i="2"/>
  <c r="BG520" i="2"/>
  <c r="CC520" i="2"/>
  <c r="BJ520" i="2"/>
  <c r="CC373" i="2"/>
  <c r="BJ373" i="2"/>
  <c r="BG373" i="2"/>
  <c r="BG253" i="2"/>
  <c r="CC253" i="2"/>
  <c r="BJ253" i="2"/>
  <c r="CC295" i="2"/>
  <c r="BJ295" i="2"/>
  <c r="BI295" i="2"/>
  <c r="BG295" i="2"/>
  <c r="BJ121" i="2"/>
  <c r="BI121" i="2"/>
  <c r="CC121" i="2"/>
  <c r="BG121" i="2"/>
  <c r="BG226" i="2"/>
  <c r="BI226" i="2"/>
  <c r="CC226" i="2"/>
  <c r="BJ226" i="2"/>
  <c r="CC152" i="2"/>
  <c r="BJ152" i="2"/>
  <c r="BG152" i="2"/>
  <c r="BI100" i="2"/>
  <c r="CC100" i="2"/>
  <c r="BJ100" i="2"/>
  <c r="BG100" i="2"/>
  <c r="BJ59" i="2"/>
  <c r="CC59" i="2"/>
  <c r="BI59" i="2"/>
  <c r="BG59" i="2"/>
  <c r="BG1081" i="2"/>
  <c r="CC1081" i="2"/>
  <c r="BJ1081" i="2"/>
  <c r="CC943" i="2"/>
  <c r="BJ943" i="2"/>
  <c r="BG943" i="2"/>
  <c r="AR894" i="2"/>
  <c r="U894" i="2"/>
  <c r="CC882" i="2"/>
  <c r="BG882" i="2"/>
  <c r="BJ882" i="2"/>
  <c r="AR893" i="2"/>
  <c r="U893" i="2"/>
  <c r="T991" i="2"/>
  <c r="AR991" i="2"/>
  <c r="BG884" i="2"/>
  <c r="CC884" i="2"/>
  <c r="BJ884" i="2"/>
  <c r="AR857" i="2"/>
  <c r="T857" i="2"/>
  <c r="AR792" i="2"/>
  <c r="U792" i="2"/>
  <c r="AR859" i="2"/>
  <c r="T859" i="2"/>
  <c r="AR737" i="2"/>
  <c r="T737" i="2"/>
  <c r="U696" i="2"/>
  <c r="AR696" i="2"/>
  <c r="AR658" i="2"/>
  <c r="T658" i="2"/>
  <c r="AR653" i="2"/>
  <c r="T653" i="2"/>
  <c r="T557" i="2"/>
  <c r="AR557" i="2"/>
  <c r="BG502" i="2"/>
  <c r="CC502" i="2"/>
  <c r="BJ502" i="2"/>
  <c r="CC449" i="2"/>
  <c r="BG449" i="2"/>
  <c r="BJ449" i="2"/>
  <c r="BG229" i="2"/>
  <c r="CC229" i="2"/>
  <c r="BJ229" i="2"/>
  <c r="BI229" i="2"/>
  <c r="BG99" i="2"/>
  <c r="CC99" i="2"/>
  <c r="BJ99" i="2"/>
  <c r="BI99" i="2"/>
  <c r="BJ1078" i="2"/>
  <c r="CC1078" i="2"/>
  <c r="BG1078" i="2"/>
  <c r="CC1046" i="2"/>
  <c r="BJ1046" i="2"/>
  <c r="BG1046" i="2"/>
  <c r="BG976" i="2"/>
  <c r="CC976" i="2"/>
  <c r="BJ976" i="2"/>
  <c r="BG934" i="2"/>
  <c r="CC934" i="2"/>
  <c r="BJ934" i="2"/>
  <c r="BJ918" i="2"/>
  <c r="BG918" i="2"/>
  <c r="CC918" i="2"/>
  <c r="BG917" i="2"/>
  <c r="BJ917" i="2"/>
  <c r="CC917" i="2"/>
  <c r="CC864" i="2"/>
  <c r="BG864" i="2"/>
  <c r="BJ864" i="2"/>
  <c r="AR793" i="2"/>
  <c r="U793" i="2"/>
  <c r="BJ690" i="2"/>
  <c r="BG690" i="2"/>
  <c r="CC690" i="2"/>
  <c r="AR697" i="2"/>
  <c r="U697" i="2"/>
  <c r="AR935" i="2"/>
  <c r="U935" i="2"/>
  <c r="CC703" i="2"/>
  <c r="BG703" i="2"/>
  <c r="BJ703" i="2"/>
  <c r="BI703" i="2"/>
  <c r="U1055" i="2"/>
  <c r="AR1055" i="2"/>
  <c r="BI675" i="2"/>
  <c r="BJ675" i="2"/>
  <c r="CC675" i="2"/>
  <c r="BG675" i="2"/>
  <c r="AR873" i="2"/>
  <c r="U873" i="2"/>
  <c r="BG633" i="2"/>
  <c r="CC633" i="2"/>
  <c r="BJ633" i="2"/>
  <c r="BI633" i="2"/>
  <c r="BJ615" i="2"/>
  <c r="BG615" i="2"/>
  <c r="CC615" i="2"/>
  <c r="U1054" i="2"/>
  <c r="AR1054" i="2"/>
  <c r="T562" i="2"/>
  <c r="AR562" i="2"/>
  <c r="T654" i="2"/>
  <c r="AR654" i="2"/>
  <c r="BG508" i="2"/>
  <c r="CC508" i="2"/>
  <c r="BJ508" i="2"/>
  <c r="CC500" i="2"/>
  <c r="BG500" i="2"/>
  <c r="BJ500" i="2"/>
  <c r="BG302" i="2"/>
  <c r="BI302" i="2"/>
  <c r="BJ302" i="2"/>
  <c r="CC302" i="2"/>
  <c r="BG87" i="2"/>
  <c r="CC87" i="2"/>
  <c r="BJ87" i="2"/>
  <c r="BI87" i="2"/>
  <c r="H65" i="3"/>
  <c r="H75" i="3" s="1"/>
  <c r="U1093" i="2"/>
  <c r="AR1093" i="2"/>
  <c r="AR1027" i="2"/>
  <c r="T1027" i="2"/>
  <c r="CF1090" i="2"/>
  <c r="AL1090" i="2"/>
  <c r="AR1059" i="2"/>
  <c r="U1059" i="2"/>
  <c r="CC1051" i="2"/>
  <c r="BJ1051" i="2"/>
  <c r="BG1051" i="2"/>
  <c r="U1056" i="2"/>
  <c r="AR1056" i="2"/>
  <c r="D135" i="3"/>
  <c r="AT1012" i="2"/>
  <c r="BE1012" i="2"/>
  <c r="BF1012" i="2" s="1"/>
  <c r="CF1015" i="2"/>
  <c r="AL1015" i="2"/>
  <c r="BJ1016" i="2"/>
  <c r="CC1016" i="2"/>
  <c r="BG1016" i="2"/>
  <c r="BI955" i="2"/>
  <c r="CC955" i="2"/>
  <c r="BJ955" i="2"/>
  <c r="BG955" i="2"/>
  <c r="AR949" i="2"/>
  <c r="U949" i="2"/>
  <c r="AR906" i="2"/>
  <c r="U906" i="2"/>
  <c r="BG953" i="2"/>
  <c r="CC953" i="2"/>
  <c r="BJ953" i="2"/>
  <c r="AR915" i="2"/>
  <c r="U915" i="2"/>
  <c r="CC901" i="2"/>
  <c r="BG901" i="2"/>
  <c r="BJ901" i="2"/>
  <c r="CC944" i="2"/>
  <c r="BJ944" i="2"/>
  <c r="BG944" i="2"/>
  <c r="BE906" i="2"/>
  <c r="BF906" i="2" s="1"/>
  <c r="AT906" i="2"/>
  <c r="CF906" i="2" s="1"/>
  <c r="BJ846" i="2"/>
  <c r="BG846" i="2"/>
  <c r="CC846" i="2"/>
  <c r="U887" i="2"/>
  <c r="BG860" i="2"/>
  <c r="CC860" i="2"/>
  <c r="BJ860" i="2"/>
  <c r="AR1006" i="2"/>
  <c r="T1006" i="2"/>
  <c r="AR985" i="2"/>
  <c r="T985" i="2"/>
  <c r="AR808" i="2"/>
  <c r="U808" i="2"/>
  <c r="AR796" i="2"/>
  <c r="U796" i="2"/>
  <c r="U795" i="2"/>
  <c r="AR795" i="2"/>
  <c r="AR794" i="2"/>
  <c r="AT803" i="2"/>
  <c r="BE803" i="2"/>
  <c r="BF803" i="2" s="1"/>
  <c r="AL807" i="2"/>
  <c r="CF807" i="2"/>
  <c r="U807" i="2"/>
  <c r="AR807" i="2"/>
  <c r="AL800" i="2"/>
  <c r="CF800" i="2"/>
  <c r="U818" i="2"/>
  <c r="BJ796" i="2"/>
  <c r="CC796" i="2"/>
  <c r="BG796" i="2"/>
  <c r="CF783" i="2"/>
  <c r="AL783" i="2"/>
  <c r="BI756" i="2"/>
  <c r="BJ756" i="2"/>
  <c r="CC756" i="2"/>
  <c r="BG756" i="2"/>
  <c r="AL780" i="2"/>
  <c r="CF780" i="2"/>
  <c r="AR832" i="2"/>
  <c r="T832" i="2"/>
  <c r="BJ757" i="2"/>
  <c r="CC757" i="2"/>
  <c r="BG757" i="2"/>
  <c r="AL772" i="2"/>
  <c r="CF772" i="2"/>
  <c r="CF774" i="2"/>
  <c r="AL774" i="2"/>
  <c r="CC736" i="2"/>
  <c r="BJ736" i="2"/>
  <c r="BG736" i="2"/>
  <c r="H95" i="3"/>
  <c r="AR725" i="2"/>
  <c r="U725" i="2"/>
  <c r="BJ708" i="2"/>
  <c r="CC708" i="2"/>
  <c r="BG708" i="2"/>
  <c r="CC671" i="2"/>
  <c r="BJ671" i="2"/>
  <c r="BG671" i="2"/>
  <c r="AX771" i="2"/>
  <c r="AY771" i="2"/>
  <c r="BF728" i="2"/>
  <c r="BJ651" i="2"/>
  <c r="CC651" i="2"/>
  <c r="BI651" i="2"/>
  <c r="BG651" i="2"/>
  <c r="U1085" i="2"/>
  <c r="AR1085" i="2"/>
  <c r="U599" i="2"/>
  <c r="AT640" i="2"/>
  <c r="CF640" i="2" s="1"/>
  <c r="BE640" i="2"/>
  <c r="BF640" i="2" s="1"/>
  <c r="U605" i="2"/>
  <c r="AR772" i="2"/>
  <c r="AR553" i="2"/>
  <c r="T553" i="2"/>
  <c r="BJ622" i="2"/>
  <c r="BG622" i="2"/>
  <c r="CC622" i="2"/>
  <c r="AR551" i="2"/>
  <c r="T551" i="2"/>
  <c r="AR567" i="2"/>
  <c r="T567" i="2"/>
  <c r="BN506" i="2"/>
  <c r="BO506" i="2" s="1"/>
  <c r="AW603" i="2"/>
  <c r="BP506" i="2"/>
  <c r="BQ506" i="2" s="1"/>
  <c r="BY506" i="2" s="1"/>
  <c r="CC554" i="2"/>
  <c r="BJ554" i="2"/>
  <c r="BG554" i="2"/>
  <c r="BG559" i="2"/>
  <c r="CC559" i="2"/>
  <c r="BI559" i="2"/>
  <c r="BJ559" i="2"/>
  <c r="BJ620" i="2"/>
  <c r="BG620" i="2"/>
  <c r="CC620" i="2"/>
  <c r="T481" i="2"/>
  <c r="AR481" i="2"/>
  <c r="AR543" i="2"/>
  <c r="BI498" i="2"/>
  <c r="CC498" i="2"/>
  <c r="BJ498" i="2"/>
  <c r="BG498" i="2"/>
  <c r="AR485" i="2"/>
  <c r="U485" i="2"/>
  <c r="BG529" i="2"/>
  <c r="CC529" i="2"/>
  <c r="BJ529" i="2"/>
  <c r="CC556" i="2"/>
  <c r="BJ556" i="2"/>
  <c r="BG556" i="2"/>
  <c r="BI435" i="2"/>
  <c r="BG435" i="2"/>
  <c r="BJ435" i="2"/>
  <c r="CC435" i="2"/>
  <c r="AW611" i="2"/>
  <c r="BP514" i="2"/>
  <c r="BQ514" i="2" s="1"/>
  <c r="BY514" i="2" s="1"/>
  <c r="BN514" i="2"/>
  <c r="BO514" i="2" s="1"/>
  <c r="BK514" i="2"/>
  <c r="BL514" i="2" s="1"/>
  <c r="BM514" i="2" s="1"/>
  <c r="BJ431" i="2"/>
  <c r="BG431" i="2"/>
  <c r="CC431" i="2"/>
  <c r="BI431" i="2"/>
  <c r="BJ450" i="2"/>
  <c r="BG450" i="2"/>
  <c r="CC450" i="2"/>
  <c r="AR448" i="2"/>
  <c r="AY520" i="2"/>
  <c r="BI520" i="2" s="1"/>
  <c r="AX520" i="2"/>
  <c r="T450" i="2"/>
  <c r="BI432" i="2"/>
  <c r="BJ432" i="2"/>
  <c r="BG432" i="2"/>
  <c r="CC432" i="2"/>
  <c r="BJ416" i="2"/>
  <c r="BI416" i="2"/>
  <c r="CC416" i="2"/>
  <c r="BG416" i="2"/>
  <c r="AW590" i="2"/>
  <c r="BP493" i="2"/>
  <c r="BQ493" i="2" s="1"/>
  <c r="BY493" i="2" s="1"/>
  <c r="BN493" i="2"/>
  <c r="BO493" i="2" s="1"/>
  <c r="BI417" i="2"/>
  <c r="CC417" i="2"/>
  <c r="BJ417" i="2"/>
  <c r="BG417" i="2"/>
  <c r="AR391" i="2"/>
  <c r="U391" i="2"/>
  <c r="AR365" i="2"/>
  <c r="T365" i="2"/>
  <c r="AR400" i="2"/>
  <c r="U400" i="2"/>
  <c r="CC392" i="2"/>
  <c r="BG392" i="2"/>
  <c r="BJ392" i="2"/>
  <c r="BI392" i="2"/>
  <c r="BG382" i="2"/>
  <c r="CC382" i="2"/>
  <c r="BJ382" i="2"/>
  <c r="BI396" i="2"/>
  <c r="BG396" i="2"/>
  <c r="CC396" i="2"/>
  <c r="BJ396" i="2"/>
  <c r="BF343" i="2"/>
  <c r="BG345" i="2"/>
  <c r="CC345" i="2"/>
  <c r="BJ345" i="2"/>
  <c r="BI293" i="2"/>
  <c r="BG293" i="2"/>
  <c r="BJ293" i="2"/>
  <c r="CC293" i="2"/>
  <c r="CC364" i="2"/>
  <c r="BG364" i="2"/>
  <c r="BJ364" i="2"/>
  <c r="AX487" i="2"/>
  <c r="AY487" i="2"/>
  <c r="BI487" i="2" s="1"/>
  <c r="CC322" i="2"/>
  <c r="BJ322" i="2"/>
  <c r="BI322" i="2"/>
  <c r="BG322" i="2"/>
  <c r="BG274" i="2"/>
  <c r="CC274" i="2"/>
  <c r="BJ274" i="2"/>
  <c r="AR225" i="2"/>
  <c r="U225" i="2"/>
  <c r="BG210" i="2"/>
  <c r="CC210" i="2"/>
  <c r="BJ210" i="2"/>
  <c r="BI210" i="2"/>
  <c r="BG305" i="2"/>
  <c r="BJ305" i="2"/>
  <c r="BI305" i="2"/>
  <c r="CC305" i="2"/>
  <c r="AR216" i="2"/>
  <c r="U216" i="2"/>
  <c r="AW367" i="2"/>
  <c r="BP270" i="2"/>
  <c r="BQ270" i="2" s="1"/>
  <c r="BY270" i="2" s="1"/>
  <c r="BN270" i="2"/>
  <c r="BO270" i="2" s="1"/>
  <c r="BJ182" i="2"/>
  <c r="BG182" i="2"/>
  <c r="CC182" i="2"/>
  <c r="BG195" i="2"/>
  <c r="BJ195" i="2"/>
  <c r="BI195" i="2"/>
  <c r="CC195" i="2"/>
  <c r="BP163" i="2"/>
  <c r="BQ163" i="2" s="1"/>
  <c r="BY163" i="2" s="1"/>
  <c r="BN163" i="2"/>
  <c r="BO163" i="2" s="1"/>
  <c r="AW251" i="2"/>
  <c r="BG126" i="2"/>
  <c r="CC126" i="2"/>
  <c r="BJ126" i="2"/>
  <c r="BI126" i="2"/>
  <c r="BG81" i="2"/>
  <c r="CC81" i="2"/>
  <c r="BJ81" i="2"/>
  <c r="BI81" i="2"/>
  <c r="BG129" i="2"/>
  <c r="CC129" i="2"/>
  <c r="BJ129" i="2"/>
  <c r="BI129" i="2"/>
  <c r="BG72" i="2"/>
  <c r="CC72" i="2"/>
  <c r="BJ72" i="2"/>
  <c r="BI72" i="2"/>
  <c r="AW274" i="2"/>
  <c r="BN158" i="2"/>
  <c r="BO158" i="2" s="1"/>
  <c r="BP158" i="2"/>
  <c r="BQ158" i="2" s="1"/>
  <c r="BY158" i="2" s="1"/>
  <c r="BN227" i="2"/>
  <c r="BO227" i="2" s="1"/>
  <c r="AW324" i="2"/>
  <c r="BP227" i="2"/>
  <c r="BQ227" i="2" s="1"/>
  <c r="BY227" i="2" s="1"/>
  <c r="AY230" i="2"/>
  <c r="AX230" i="2"/>
  <c r="BG51" i="2"/>
  <c r="BJ51" i="2"/>
  <c r="BI51" i="2"/>
  <c r="CC51" i="2"/>
  <c r="AT163" i="2"/>
  <c r="CF163" i="2" s="1"/>
  <c r="BK163" i="2"/>
  <c r="BL163" i="2" s="1"/>
  <c r="BM163" i="2" s="1"/>
  <c r="BE163" i="2"/>
  <c r="BF163" i="2" s="1"/>
  <c r="AY207" i="2"/>
  <c r="AX207" i="2"/>
  <c r="BJ31" i="2"/>
  <c r="BI31" i="2"/>
  <c r="BG31" i="2"/>
  <c r="CC31" i="2"/>
  <c r="T164" i="2"/>
  <c r="AR164" i="2"/>
  <c r="BG42" i="2"/>
  <c r="BJ42" i="2"/>
  <c r="BI42" i="2"/>
  <c r="CC42" i="2"/>
  <c r="N95" i="3"/>
  <c r="BG189" i="2"/>
  <c r="CC189" i="2"/>
  <c r="BJ189" i="2"/>
  <c r="BI189" i="2"/>
  <c r="BG120" i="2"/>
  <c r="CC120" i="2"/>
  <c r="BJ120" i="2"/>
  <c r="BI120" i="2"/>
  <c r="BG177" i="2"/>
  <c r="BJ177" i="2"/>
  <c r="BI177" i="2"/>
  <c r="CC177" i="2"/>
  <c r="AW293" i="2"/>
  <c r="BP196" i="2"/>
  <c r="BQ196" i="2" s="1"/>
  <c r="BY196" i="2" s="1"/>
  <c r="BN196" i="2"/>
  <c r="BO196" i="2" s="1"/>
  <c r="CC24" i="2"/>
  <c r="BJ24" i="2"/>
  <c r="BI24" i="2"/>
  <c r="BG24" i="2"/>
  <c r="AX187" i="2"/>
  <c r="AY187" i="2"/>
  <c r="BJ95" i="2"/>
  <c r="CC95" i="2"/>
  <c r="BI95" i="2"/>
  <c r="BG95" i="2"/>
  <c r="AY176" i="2"/>
  <c r="AX176" i="2"/>
  <c r="AY153" i="2"/>
  <c r="AX153" i="2"/>
  <c r="BJ115" i="2"/>
  <c r="BI115" i="2"/>
  <c r="CC115" i="2"/>
  <c r="BG115" i="2"/>
  <c r="L121" i="3"/>
  <c r="L123" i="3"/>
  <c r="L124" i="3" s="1"/>
  <c r="K22" i="4"/>
  <c r="Q22" i="4" s="1"/>
  <c r="CF1095" i="2"/>
  <c r="AL1095" i="2"/>
  <c r="AT1089" i="2"/>
  <c r="CF1089" i="2" s="1"/>
  <c r="BE1089" i="2"/>
  <c r="BF1089" i="2" s="1"/>
  <c r="AR1091" i="2"/>
  <c r="U1091" i="2"/>
  <c r="T1050" i="2"/>
  <c r="AR1050" i="2"/>
  <c r="CC1068" i="2"/>
  <c r="BG1068" i="2"/>
  <c r="BJ1068" i="2"/>
  <c r="BJ1097" i="2"/>
  <c r="CC1097" i="2"/>
  <c r="BG1097" i="2"/>
  <c r="BE1054" i="2"/>
  <c r="BF1054" i="2" s="1"/>
  <c r="AT1054" i="2"/>
  <c r="CF1054" i="2" s="1"/>
  <c r="AR1063" i="2"/>
  <c r="U1063" i="2"/>
  <c r="CF1024" i="2"/>
  <c r="AL1024" i="2"/>
  <c r="BJ1021" i="2"/>
  <c r="BG1021" i="2"/>
  <c r="CC1021" i="2"/>
  <c r="U1062" i="2"/>
  <c r="AR1062" i="2"/>
  <c r="T986" i="2"/>
  <c r="AR986" i="2"/>
  <c r="BG982" i="2"/>
  <c r="CC982" i="2"/>
  <c r="BJ982" i="2"/>
  <c r="AR980" i="2"/>
  <c r="T980" i="2"/>
  <c r="CC1018" i="2"/>
  <c r="BJ1018" i="2"/>
  <c r="BG1018" i="2"/>
  <c r="AR933" i="2"/>
  <c r="U933" i="2"/>
  <c r="U946" i="2"/>
  <c r="AR946" i="2"/>
  <c r="BE933" i="2"/>
  <c r="BF933" i="2" s="1"/>
  <c r="AT933" i="2"/>
  <c r="CF933" i="2" s="1"/>
  <c r="BJ935" i="2"/>
  <c r="BG935" i="2"/>
  <c r="CC935" i="2"/>
  <c r="CC930" i="2"/>
  <c r="BJ930" i="2"/>
  <c r="BG930" i="2"/>
  <c r="CC951" i="2"/>
  <c r="BJ951" i="2"/>
  <c r="BG951" i="2"/>
  <c r="BG911" i="2"/>
  <c r="BJ911" i="2"/>
  <c r="CC911" i="2"/>
  <c r="AR954" i="2"/>
  <c r="U954" i="2"/>
  <c r="U901" i="2"/>
  <c r="U885" i="2"/>
  <c r="AR870" i="2"/>
  <c r="U870" i="2"/>
  <c r="BP985" i="2"/>
  <c r="BQ985" i="2" s="1"/>
  <c r="BY985" i="2" s="1"/>
  <c r="AW1029" i="2"/>
  <c r="BN985" i="2"/>
  <c r="BO985" i="2" s="1"/>
  <c r="CC859" i="2"/>
  <c r="BJ859" i="2"/>
  <c r="BI859" i="2"/>
  <c r="BG859" i="2"/>
  <c r="AR881" i="2"/>
  <c r="U881" i="2"/>
  <c r="U898" i="2"/>
  <c r="CF810" i="2"/>
  <c r="AL810" i="2"/>
  <c r="BJ794" i="2"/>
  <c r="BI794" i="2"/>
  <c r="BG794" i="2"/>
  <c r="CC794" i="2"/>
  <c r="CF788" i="2"/>
  <c r="AL788" i="2"/>
  <c r="CC778" i="2"/>
  <c r="BJ778" i="2"/>
  <c r="BG778" i="2"/>
  <c r="AY799" i="2"/>
  <c r="BG773" i="2"/>
  <c r="CC773" i="2"/>
  <c r="BJ773" i="2"/>
  <c r="AW830" i="2"/>
  <c r="BN741" i="2"/>
  <c r="BO741" i="2" s="1"/>
  <c r="BP741" i="2"/>
  <c r="BQ741" i="2" s="1"/>
  <c r="BY741" i="2" s="1"/>
  <c r="BK741" i="2"/>
  <c r="BL741" i="2" s="1"/>
  <c r="BM741" i="2" s="1"/>
  <c r="BG783" i="2"/>
  <c r="CC783" i="2"/>
  <c r="BJ783" i="2"/>
  <c r="AL756" i="2"/>
  <c r="CF756" i="2"/>
  <c r="CC780" i="2"/>
  <c r="BJ780" i="2"/>
  <c r="BG780" i="2"/>
  <c r="BI780" i="2"/>
  <c r="AT738" i="2"/>
  <c r="BE738" i="2"/>
  <c r="BF738" i="2" s="1"/>
  <c r="CF760" i="2"/>
  <c r="AL760" i="2"/>
  <c r="AL764" i="2"/>
  <c r="CF764" i="2"/>
  <c r="CF757" i="2"/>
  <c r="AL757" i="2"/>
  <c r="BG766" i="2"/>
  <c r="CC766" i="2"/>
  <c r="BJ766" i="2"/>
  <c r="BG763" i="2"/>
  <c r="CC763" i="2"/>
  <c r="BJ763" i="2"/>
  <c r="BI763" i="2"/>
  <c r="CC777" i="2"/>
  <c r="BJ777" i="2"/>
  <c r="BG777" i="2"/>
  <c r="AR756" i="2"/>
  <c r="T756" i="2"/>
  <c r="U708" i="2"/>
  <c r="AR708" i="2"/>
  <c r="G138" i="3"/>
  <c r="G139" i="3"/>
  <c r="U941" i="2"/>
  <c r="AR941" i="2"/>
  <c r="AR952" i="2"/>
  <c r="U952" i="2"/>
  <c r="BJ721" i="2"/>
  <c r="CC721" i="2"/>
  <c r="BG721" i="2"/>
  <c r="U914" i="2"/>
  <c r="AR914" i="2"/>
  <c r="BJ734" i="2"/>
  <c r="BG734" i="2"/>
  <c r="CC734" i="2"/>
  <c r="BJ725" i="2"/>
  <c r="BG725" i="2"/>
  <c r="CC725" i="2"/>
  <c r="U664" i="2"/>
  <c r="AR664" i="2"/>
  <c r="AR690" i="2"/>
  <c r="U690" i="2"/>
  <c r="BJ669" i="2"/>
  <c r="BG669" i="2"/>
  <c r="CC669" i="2"/>
  <c r="H139" i="3"/>
  <c r="H138" i="3"/>
  <c r="U944" i="2"/>
  <c r="AR944" i="2"/>
  <c r="AR780" i="2"/>
  <c r="U780" i="2"/>
  <c r="U1092" i="2"/>
  <c r="AR1092" i="2"/>
  <c r="AR636" i="2"/>
  <c r="T636" i="2"/>
  <c r="T655" i="2"/>
  <c r="AR655" i="2"/>
  <c r="AR689" i="2"/>
  <c r="U689" i="2"/>
  <c r="U1088" i="2"/>
  <c r="AR1088" i="2"/>
  <c r="CC629" i="2"/>
  <c r="BJ629" i="2"/>
  <c r="BG629" i="2"/>
  <c r="BI629" i="2"/>
  <c r="BJ579" i="2"/>
  <c r="CC579" i="2"/>
  <c r="BG579" i="2"/>
  <c r="AT567" i="2"/>
  <c r="CF567" i="2" s="1"/>
  <c r="BE567" i="2"/>
  <c r="BF567" i="2" s="1"/>
  <c r="CC575" i="2"/>
  <c r="BG575" i="2"/>
  <c r="BJ575" i="2"/>
  <c r="BI484" i="2"/>
  <c r="BG484" i="2"/>
  <c r="CC484" i="2"/>
  <c r="BJ484" i="2"/>
  <c r="AT474" i="2"/>
  <c r="CF474" i="2" s="1"/>
  <c r="BE474" i="2"/>
  <c r="BF474" i="2" s="1"/>
  <c r="BJ595" i="2"/>
  <c r="CC595" i="2"/>
  <c r="BG595" i="2"/>
  <c r="T548" i="2"/>
  <c r="CC464" i="2"/>
  <c r="BI464" i="2"/>
  <c r="BJ464" i="2"/>
  <c r="BG464" i="2"/>
  <c r="AW587" i="2"/>
  <c r="BP490" i="2"/>
  <c r="BQ490" i="2" s="1"/>
  <c r="BY490" i="2" s="1"/>
  <c r="BN490" i="2"/>
  <c r="BO490" i="2" s="1"/>
  <c r="CC492" i="2"/>
  <c r="BJ492" i="2"/>
  <c r="BG492" i="2"/>
  <c r="T460" i="2"/>
  <c r="AR460" i="2"/>
  <c r="AX501" i="2"/>
  <c r="AY501" i="2"/>
  <c r="BK501" i="2" s="1"/>
  <c r="BL501" i="2" s="1"/>
  <c r="BM501" i="2" s="1"/>
  <c r="BI460" i="2"/>
  <c r="CC460" i="2"/>
  <c r="BJ460" i="2"/>
  <c r="BG460" i="2"/>
  <c r="AR350" i="2"/>
  <c r="T350" i="2"/>
  <c r="CC466" i="2"/>
  <c r="BJ466" i="2"/>
  <c r="BG466" i="2"/>
  <c r="AR385" i="2"/>
  <c r="T385" i="2"/>
  <c r="AX513" i="2"/>
  <c r="AY513" i="2"/>
  <c r="BI513" i="2" s="1"/>
  <c r="AR394" i="2"/>
  <c r="U394" i="2"/>
  <c r="CC377" i="2"/>
  <c r="BG377" i="2"/>
  <c r="BJ377" i="2"/>
  <c r="BI397" i="2"/>
  <c r="CC397" i="2"/>
  <c r="BJ397" i="2"/>
  <c r="BG397" i="2"/>
  <c r="AR362" i="2"/>
  <c r="T362" i="2"/>
  <c r="BJ425" i="2"/>
  <c r="CC425" i="2"/>
  <c r="BI425" i="2"/>
  <c r="BG425" i="2"/>
  <c r="AY499" i="2"/>
  <c r="AX499" i="2"/>
  <c r="CC297" i="2"/>
  <c r="BG297" i="2"/>
  <c r="BI297" i="2"/>
  <c r="BJ297" i="2"/>
  <c r="BJ273" i="2"/>
  <c r="BG273" i="2"/>
  <c r="CC273" i="2"/>
  <c r="CC285" i="2"/>
  <c r="BJ285" i="2"/>
  <c r="BG285" i="2"/>
  <c r="BG289" i="2"/>
  <c r="CC289" i="2"/>
  <c r="BJ289" i="2"/>
  <c r="BG208" i="2"/>
  <c r="CC208" i="2"/>
  <c r="BJ208" i="2"/>
  <c r="BI208" i="2"/>
  <c r="BG192" i="2"/>
  <c r="CC192" i="2"/>
  <c r="BJ192" i="2"/>
  <c r="T189" i="2"/>
  <c r="U189" i="2"/>
  <c r="BG188" i="2"/>
  <c r="CC188" i="2"/>
  <c r="BJ188" i="2"/>
  <c r="AT160" i="2"/>
  <c r="CF160" i="2" s="1"/>
  <c r="BE160" i="2"/>
  <c r="BF160" i="2" s="1"/>
  <c r="BG78" i="2"/>
  <c r="CC78" i="2"/>
  <c r="BJ78" i="2"/>
  <c r="BI78" i="2"/>
  <c r="AW334" i="2"/>
  <c r="BP237" i="2"/>
  <c r="BQ237" i="2" s="1"/>
  <c r="BY237" i="2" s="1"/>
  <c r="BN237" i="2"/>
  <c r="BO237" i="2" s="1"/>
  <c r="BG69" i="2"/>
  <c r="CC69" i="2"/>
  <c r="BJ69" i="2"/>
  <c r="BI69" i="2"/>
  <c r="AW335" i="2"/>
  <c r="AX335" i="2" s="1"/>
  <c r="BP238" i="2"/>
  <c r="BQ238" i="2" s="1"/>
  <c r="BY238" i="2" s="1"/>
  <c r="BN238" i="2"/>
  <c r="BO238" i="2" s="1"/>
  <c r="BG157" i="2"/>
  <c r="CC157" i="2"/>
  <c r="BJ157" i="2"/>
  <c r="BI157" i="2"/>
  <c r="BJ21" i="2"/>
  <c r="BI21" i="2"/>
  <c r="BG21" i="2"/>
  <c r="CC21" i="2"/>
  <c r="BJ28" i="2"/>
  <c r="BI28" i="2"/>
  <c r="BG28" i="2"/>
  <c r="CC28" i="2"/>
  <c r="BG39" i="2"/>
  <c r="BJ39" i="2"/>
  <c r="BI39" i="2"/>
  <c r="CC39" i="2"/>
  <c r="AW247" i="2"/>
  <c r="BP184" i="2"/>
  <c r="BQ184" i="2" s="1"/>
  <c r="BY184" i="2" s="1"/>
  <c r="BN184" i="2"/>
  <c r="BO184" i="2" s="1"/>
  <c r="AX182" i="2"/>
  <c r="AY182" i="2"/>
  <c r="BI182" i="2" s="1"/>
  <c r="BJ118" i="2"/>
  <c r="BI118" i="2"/>
  <c r="CC118" i="2"/>
  <c r="BG118" i="2"/>
  <c r="AY155" i="2"/>
  <c r="BI155" i="2" s="1"/>
  <c r="AX155" i="2"/>
  <c r="AW246" i="2"/>
  <c r="BP177" i="2"/>
  <c r="BQ177" i="2" s="1"/>
  <c r="BY177" i="2" s="1"/>
  <c r="BN177" i="2"/>
  <c r="BO177" i="2" s="1"/>
  <c r="BJ43" i="2"/>
  <c r="BI43" i="2"/>
  <c r="BG43" i="2"/>
  <c r="CC43" i="2"/>
  <c r="AY170" i="2"/>
  <c r="BI170" i="2" s="1"/>
  <c r="AX170" i="2"/>
  <c r="BJ29" i="2"/>
  <c r="BI29" i="2"/>
  <c r="BG29" i="2"/>
  <c r="CC29" i="2"/>
  <c r="BJ68" i="2"/>
  <c r="CC68" i="2"/>
  <c r="BI68" i="2"/>
  <c r="BG68" i="2"/>
  <c r="G121" i="3"/>
  <c r="G123" i="3" s="1"/>
  <c r="G124" i="3" s="1"/>
  <c r="AT1096" i="2"/>
  <c r="CF1096" i="2" s="1"/>
  <c r="BE1096" i="2"/>
  <c r="BF1096" i="2" s="1"/>
  <c r="AR1089" i="2"/>
  <c r="U1089" i="2"/>
  <c r="AT1077" i="2"/>
  <c r="CF1077" i="2" s="1"/>
  <c r="BE1077" i="2"/>
  <c r="BF1077" i="2" s="1"/>
  <c r="U1064" i="2"/>
  <c r="AR1064" i="2"/>
  <c r="CC1064" i="2"/>
  <c r="BG1064" i="2"/>
  <c r="BJ1064" i="2"/>
  <c r="AR1083" i="2"/>
  <c r="U1083" i="2"/>
  <c r="BJ1044" i="2"/>
  <c r="BG1044" i="2"/>
  <c r="CC1044" i="2"/>
  <c r="CC985" i="2"/>
  <c r="BJ985" i="2"/>
  <c r="BI985" i="2"/>
  <c r="BG985" i="2"/>
  <c r="AT954" i="2"/>
  <c r="CF954" i="2" s="1"/>
  <c r="BE954" i="2"/>
  <c r="BF954" i="2" s="1"/>
  <c r="T994" i="2"/>
  <c r="AR994" i="2"/>
  <c r="CF1028" i="2"/>
  <c r="AL1028" i="2"/>
  <c r="BG994" i="2"/>
  <c r="CC994" i="2"/>
  <c r="BJ994" i="2"/>
  <c r="CC1000" i="2"/>
  <c r="BG1000" i="2"/>
  <c r="BJ1000" i="2"/>
  <c r="T971" i="2"/>
  <c r="AR971" i="2"/>
  <c r="BG992" i="2"/>
  <c r="CC992" i="2"/>
  <c r="BJ992" i="2"/>
  <c r="CC945" i="2"/>
  <c r="BG945" i="2"/>
  <c r="BJ945" i="2"/>
  <c r="BG932" i="2"/>
  <c r="CC932" i="2"/>
  <c r="BJ932" i="2"/>
  <c r="U921" i="2"/>
  <c r="AR921" i="2"/>
  <c r="CC962" i="2"/>
  <c r="BI962" i="2"/>
  <c r="BJ962" i="2"/>
  <c r="BG962" i="2"/>
  <c r="CC920" i="2"/>
  <c r="BJ920" i="2"/>
  <c r="BI920" i="2"/>
  <c r="BG920" i="2"/>
  <c r="U957" i="2"/>
  <c r="AR957" i="2"/>
  <c r="U939" i="2"/>
  <c r="AR939" i="2"/>
  <c r="AR1007" i="2"/>
  <c r="T1007" i="2"/>
  <c r="CC889" i="2"/>
  <c r="BJ889" i="2"/>
  <c r="BG889" i="2"/>
  <c r="BE900" i="2"/>
  <c r="BF900" i="2" s="1"/>
  <c r="AT900" i="2"/>
  <c r="CF900" i="2" s="1"/>
  <c r="AR922" i="2"/>
  <c r="U922" i="2"/>
  <c r="BG868" i="2"/>
  <c r="CC868" i="2"/>
  <c r="BJ868" i="2"/>
  <c r="AR856" i="2"/>
  <c r="CC858" i="2"/>
  <c r="BJ858" i="2"/>
  <c r="BG858" i="2"/>
  <c r="BG878" i="2"/>
  <c r="CC878" i="2"/>
  <c r="BJ878" i="2"/>
  <c r="CC888" i="2"/>
  <c r="BJ888" i="2"/>
  <c r="BG888" i="2"/>
  <c r="U802" i="2"/>
  <c r="AR802" i="2"/>
  <c r="AR988" i="2"/>
  <c r="T988" i="2"/>
  <c r="AR784" i="2"/>
  <c r="U784" i="2"/>
  <c r="CC842" i="2"/>
  <c r="BJ842" i="2"/>
  <c r="BG842" i="2"/>
  <c r="AT791" i="2"/>
  <c r="BE791" i="2"/>
  <c r="BF791" i="2" s="1"/>
  <c r="BG851" i="2"/>
  <c r="BJ851" i="2"/>
  <c r="CC851" i="2"/>
  <c r="BJ835" i="2"/>
  <c r="BG835" i="2"/>
  <c r="CC835" i="2"/>
  <c r="CF801" i="2"/>
  <c r="AL801" i="2"/>
  <c r="BE802" i="2"/>
  <c r="BF802" i="2" s="1"/>
  <c r="AT802" i="2"/>
  <c r="CC795" i="2"/>
  <c r="BG795" i="2"/>
  <c r="BJ795" i="2"/>
  <c r="AL778" i="2"/>
  <c r="CF778" i="2"/>
  <c r="AL792" i="2"/>
  <c r="CF792" i="2"/>
  <c r="T829" i="2"/>
  <c r="U798" i="2"/>
  <c r="CF776" i="2"/>
  <c r="AL776" i="2"/>
  <c r="AY832" i="2"/>
  <c r="AX832" i="2"/>
  <c r="CF766" i="2"/>
  <c r="AL766" i="2"/>
  <c r="CC774" i="2"/>
  <c r="BG774" i="2"/>
  <c r="BJ774" i="2"/>
  <c r="U773" i="2"/>
  <c r="AR1024" i="2"/>
  <c r="T1024" i="2"/>
  <c r="CC723" i="2"/>
  <c r="BG723" i="2"/>
  <c r="BJ723" i="2"/>
  <c r="AL775" i="2"/>
  <c r="CF775" i="2"/>
  <c r="BG733" i="2"/>
  <c r="CC733" i="2"/>
  <c r="BJ733" i="2"/>
  <c r="AL734" i="2"/>
  <c r="CF734" i="2"/>
  <c r="CC656" i="2"/>
  <c r="BI656" i="2"/>
  <c r="BJ656" i="2"/>
  <c r="BG656" i="2"/>
  <c r="AX793" i="2"/>
  <c r="AY793" i="2"/>
  <c r="U919" i="2"/>
  <c r="AR919" i="2"/>
  <c r="T642" i="2"/>
  <c r="AR642" i="2"/>
  <c r="AR628" i="2"/>
  <c r="U693" i="2"/>
  <c r="AR693" i="2"/>
  <c r="BG594" i="2"/>
  <c r="CC594" i="2"/>
  <c r="BJ594" i="2"/>
  <c r="AR666" i="2"/>
  <c r="U666" i="2"/>
  <c r="U620" i="2"/>
  <c r="BG648" i="2"/>
  <c r="BJ648" i="2"/>
  <c r="CC648" i="2"/>
  <c r="CC653" i="2"/>
  <c r="BJ653" i="2"/>
  <c r="BG653" i="2"/>
  <c r="T549" i="2"/>
  <c r="BI533" i="2"/>
  <c r="CC533" i="2"/>
  <c r="BG533" i="2"/>
  <c r="BJ533" i="2"/>
  <c r="BG602" i="2"/>
  <c r="BJ602" i="2"/>
  <c r="CC602" i="2"/>
  <c r="AR572" i="2"/>
  <c r="T572" i="2"/>
  <c r="AW633" i="2"/>
  <c r="BN536" i="2"/>
  <c r="BO536" i="2" s="1"/>
  <c r="BP536" i="2"/>
  <c r="BQ536" i="2" s="1"/>
  <c r="BY536" i="2" s="1"/>
  <c r="CC527" i="2"/>
  <c r="BG527" i="2"/>
  <c r="BJ527" i="2"/>
  <c r="CC573" i="2"/>
  <c r="BG573" i="2"/>
  <c r="BJ573" i="2"/>
  <c r="U522" i="2"/>
  <c r="AR522" i="2"/>
  <c r="T461" i="2"/>
  <c r="AR461" i="2"/>
  <c r="BG430" i="2"/>
  <c r="CC430" i="2"/>
  <c r="BJ430" i="2"/>
  <c r="BI430" i="2"/>
  <c r="CC475" i="2"/>
  <c r="BJ475" i="2"/>
  <c r="BG475" i="2"/>
  <c r="CC478" i="2"/>
  <c r="BJ478" i="2"/>
  <c r="BG478" i="2"/>
  <c r="BJ444" i="2"/>
  <c r="BG444" i="2"/>
  <c r="CC444" i="2"/>
  <c r="BN415" i="2"/>
  <c r="BO415" i="2" s="1"/>
  <c r="AW512" i="2"/>
  <c r="BP415" i="2"/>
  <c r="BQ415" i="2" s="1"/>
  <c r="BY415" i="2" s="1"/>
  <c r="K139" i="3"/>
  <c r="K138" i="3"/>
  <c r="BI389" i="2"/>
  <c r="BI358" i="2"/>
  <c r="BJ358" i="2"/>
  <c r="BG358" i="2"/>
  <c r="CC358" i="2"/>
  <c r="BG342" i="2"/>
  <c r="CC342" i="2"/>
  <c r="BJ342" i="2"/>
  <c r="BI342" i="2"/>
  <c r="BJ278" i="2"/>
  <c r="BG278" i="2"/>
  <c r="CC278" i="2"/>
  <c r="BG207" i="2"/>
  <c r="BJ207" i="2"/>
  <c r="BI207" i="2"/>
  <c r="CC207" i="2"/>
  <c r="BJ231" i="2"/>
  <c r="BJ268" i="2"/>
  <c r="BG268" i="2"/>
  <c r="CC268" i="2"/>
  <c r="BG217" i="2"/>
  <c r="CC217" i="2"/>
  <c r="BJ217" i="2"/>
  <c r="BG198" i="2"/>
  <c r="CC198" i="2"/>
  <c r="BJ198" i="2"/>
  <c r="AY373" i="2"/>
  <c r="AX373" i="2"/>
  <c r="BJ113" i="2"/>
  <c r="BG113" i="2"/>
  <c r="CC113" i="2"/>
  <c r="BI113" i="2"/>
  <c r="BG66" i="2"/>
  <c r="CC66" i="2"/>
  <c r="BJ66" i="2"/>
  <c r="BI66" i="2"/>
  <c r="AW312" i="2"/>
  <c r="BP215" i="2"/>
  <c r="BQ215" i="2" s="1"/>
  <c r="BY215" i="2" s="1"/>
  <c r="BN215" i="2"/>
  <c r="BO215" i="2" s="1"/>
  <c r="AW310" i="2"/>
  <c r="BP213" i="2"/>
  <c r="BQ213" i="2" s="1"/>
  <c r="BY213" i="2" s="1"/>
  <c r="BN213" i="2"/>
  <c r="BO213" i="2" s="1"/>
  <c r="BI218" i="2"/>
  <c r="BG218" i="2"/>
  <c r="CC218" i="2"/>
  <c r="BJ218" i="2"/>
  <c r="BG196" i="2"/>
  <c r="CC196" i="2"/>
  <c r="BJ196" i="2"/>
  <c r="BI196" i="2"/>
  <c r="AY198" i="2"/>
  <c r="AX198" i="2"/>
  <c r="BI236" i="2"/>
  <c r="BG236" i="2"/>
  <c r="BJ236" i="2"/>
  <c r="CC236" i="2"/>
  <c r="BI97" i="2"/>
  <c r="BG97" i="2"/>
  <c r="CC97" i="2"/>
  <c r="BJ97" i="2"/>
  <c r="BJ47" i="2"/>
  <c r="BI47" i="2"/>
  <c r="BG47" i="2"/>
  <c r="CC47" i="2"/>
  <c r="BI106" i="2"/>
  <c r="BJ106" i="2"/>
  <c r="BG106" i="2"/>
  <c r="CC106" i="2"/>
  <c r="BG171" i="2"/>
  <c r="CC171" i="2"/>
  <c r="BJ171" i="2"/>
  <c r="AX152" i="2"/>
  <c r="AY152" i="2"/>
  <c r="BI152" i="2" s="1"/>
  <c r="BJ53" i="2"/>
  <c r="BG53" i="2"/>
  <c r="CC53" i="2"/>
  <c r="BI53" i="2"/>
  <c r="BI16" i="2"/>
  <c r="BG16" i="2"/>
  <c r="CC16" i="2"/>
  <c r="BJ16" i="2"/>
  <c r="D136" i="3"/>
  <c r="H116" i="4" s="1"/>
  <c r="D137" i="3"/>
  <c r="G116" i="4" s="1"/>
  <c r="D106" i="3"/>
  <c r="BG1075" i="2"/>
  <c r="BJ1075" i="2"/>
  <c r="CC1075" i="2"/>
  <c r="BG1087" i="2"/>
  <c r="BJ1087" i="2"/>
  <c r="CC1087" i="2"/>
  <c r="CC1082" i="2"/>
  <c r="BJ1082" i="2"/>
  <c r="BG1082" i="2"/>
  <c r="D121" i="3"/>
  <c r="D123" i="3"/>
  <c r="D124" i="3" s="1"/>
  <c r="CC1073" i="2"/>
  <c r="BJ1073" i="2"/>
  <c r="BG1073" i="2"/>
  <c r="AR1082" i="2"/>
  <c r="U1082" i="2"/>
  <c r="AR1074" i="2"/>
  <c r="U1074" i="2"/>
  <c r="CC1040" i="2"/>
  <c r="BG1040" i="2"/>
  <c r="BJ1040" i="2"/>
  <c r="AR1069" i="2"/>
  <c r="U1069" i="2"/>
  <c r="BJ1038" i="2"/>
  <c r="BG1038" i="2"/>
  <c r="CC1038" i="2"/>
  <c r="CF1014" i="2"/>
  <c r="AL1014" i="2"/>
  <c r="AR1077" i="2"/>
  <c r="U1077" i="2"/>
  <c r="BG1047" i="2"/>
  <c r="CC1047" i="2"/>
  <c r="BJ1047" i="2"/>
  <c r="AR979" i="2"/>
  <c r="T979" i="2"/>
  <c r="BF1008" i="2"/>
  <c r="BJ952" i="2"/>
  <c r="BG952" i="2"/>
  <c r="CC952" i="2"/>
  <c r="T993" i="2"/>
  <c r="AR993" i="2"/>
  <c r="AR936" i="2"/>
  <c r="U936" i="2"/>
  <c r="CC919" i="2"/>
  <c r="BJ919" i="2"/>
  <c r="BG919" i="2"/>
  <c r="AR938" i="2"/>
  <c r="U938" i="2"/>
  <c r="BE898" i="2"/>
  <c r="BF898" i="2" s="1"/>
  <c r="AT898" i="2"/>
  <c r="CF898" i="2" s="1"/>
  <c r="BG866" i="2"/>
  <c r="CC866" i="2"/>
  <c r="BJ866" i="2"/>
  <c r="BG865" i="2"/>
  <c r="CC865" i="2"/>
  <c r="BJ865" i="2"/>
  <c r="AR840" i="2"/>
  <c r="T840" i="2"/>
  <c r="AW875" i="2"/>
  <c r="BN786" i="2"/>
  <c r="BO786" i="2" s="1"/>
  <c r="BP786" i="2"/>
  <c r="BQ786" i="2" s="1"/>
  <c r="BY786" i="2" s="1"/>
  <c r="BK786" i="2"/>
  <c r="BL786" i="2" s="1"/>
  <c r="BM786" i="2" s="1"/>
  <c r="U819" i="2"/>
  <c r="AR883" i="2"/>
  <c r="AR801" i="2"/>
  <c r="U801" i="2"/>
  <c r="BG831" i="2"/>
  <c r="BJ831" i="2"/>
  <c r="CC831" i="2"/>
  <c r="AR973" i="2"/>
  <c r="T973" i="2"/>
  <c r="AR967" i="2"/>
  <c r="T967" i="2"/>
  <c r="AW872" i="2"/>
  <c r="BN780" i="2"/>
  <c r="BO780" i="2" s="1"/>
  <c r="BP780" i="2"/>
  <c r="BQ780" i="2" s="1"/>
  <c r="BY780" i="2" s="1"/>
  <c r="AR769" i="2"/>
  <c r="T769" i="2"/>
  <c r="BG857" i="2"/>
  <c r="CC857" i="2"/>
  <c r="BJ857" i="2"/>
  <c r="AL798" i="2"/>
  <c r="CF798" i="2"/>
  <c r="AR972" i="2"/>
  <c r="T972" i="2"/>
  <c r="CF795" i="2"/>
  <c r="AL795" i="2"/>
  <c r="CC769" i="2"/>
  <c r="BG769" i="2"/>
  <c r="BJ769" i="2"/>
  <c r="BG792" i="2"/>
  <c r="BJ792" i="2"/>
  <c r="CC792" i="2"/>
  <c r="CC759" i="2"/>
  <c r="BG759" i="2"/>
  <c r="BJ759" i="2"/>
  <c r="BE740" i="2"/>
  <c r="BF740" i="2" s="1"/>
  <c r="AT740" i="2"/>
  <c r="AL759" i="2"/>
  <c r="CF759" i="2"/>
  <c r="T833" i="2"/>
  <c r="T762" i="2"/>
  <c r="BG815" i="2"/>
  <c r="BJ815" i="2"/>
  <c r="CC815" i="2"/>
  <c r="T732" i="2"/>
  <c r="U947" i="2"/>
  <c r="AR947" i="2"/>
  <c r="AR735" i="2"/>
  <c r="AX788" i="2"/>
  <c r="AY788" i="2"/>
  <c r="CC775" i="2"/>
  <c r="BG775" i="2"/>
  <c r="BJ775" i="2"/>
  <c r="BJ727" i="2"/>
  <c r="BG727" i="2"/>
  <c r="CC727" i="2"/>
  <c r="AL733" i="2"/>
  <c r="CF733" i="2"/>
  <c r="BJ665" i="2"/>
  <c r="BG665" i="2"/>
  <c r="CC665" i="2"/>
  <c r="BG628" i="2"/>
  <c r="CC628" i="2"/>
  <c r="BJ628" i="2"/>
  <c r="U1057" i="2"/>
  <c r="AR1057" i="2"/>
  <c r="U927" i="2"/>
  <c r="AR927" i="2"/>
  <c r="AR797" i="2"/>
  <c r="U797" i="2"/>
  <c r="BG617" i="2"/>
  <c r="BJ617" i="2"/>
  <c r="CC617" i="2"/>
  <c r="U803" i="2"/>
  <c r="AR803" i="2"/>
  <c r="BG585" i="2"/>
  <c r="CC585" i="2"/>
  <c r="BJ585" i="2"/>
  <c r="AR644" i="2"/>
  <c r="T644" i="2"/>
  <c r="AT581" i="2"/>
  <c r="CF581" i="2" s="1"/>
  <c r="BE581" i="2"/>
  <c r="BF581" i="2" s="1"/>
  <c r="T643" i="2"/>
  <c r="AR643" i="2"/>
  <c r="CC627" i="2"/>
  <c r="BJ627" i="2"/>
  <c r="BG627" i="2"/>
  <c r="U531" i="2"/>
  <c r="AR531" i="2"/>
  <c r="BJ610" i="2"/>
  <c r="BG610" i="2"/>
  <c r="CC610" i="2"/>
  <c r="BG577" i="2"/>
  <c r="CC577" i="2"/>
  <c r="BJ577" i="2"/>
  <c r="T651" i="2"/>
  <c r="AR651" i="2"/>
  <c r="T721" i="2"/>
  <c r="AR721" i="2"/>
  <c r="BG568" i="2"/>
  <c r="BJ568" i="2"/>
  <c r="CC568" i="2"/>
  <c r="CC599" i="2"/>
  <c r="BJ599" i="2"/>
  <c r="BG599" i="2"/>
  <c r="T566" i="2"/>
  <c r="AR457" i="2"/>
  <c r="T457" i="2"/>
  <c r="AR539" i="2"/>
  <c r="T710" i="2"/>
  <c r="AR710" i="2"/>
  <c r="I140" i="3"/>
  <c r="CC472" i="2"/>
  <c r="BJ472" i="2"/>
  <c r="BG472" i="2"/>
  <c r="BG456" i="2"/>
  <c r="CC456" i="2"/>
  <c r="BJ456" i="2"/>
  <c r="BJ549" i="2"/>
  <c r="BG549" i="2"/>
  <c r="CC549" i="2"/>
  <c r="AR441" i="2"/>
  <c r="BG468" i="2"/>
  <c r="BJ468" i="2"/>
  <c r="CC468" i="2"/>
  <c r="AR353" i="2"/>
  <c r="T353" i="2"/>
  <c r="CC454" i="2"/>
  <c r="BJ454" i="2"/>
  <c r="BG454" i="2"/>
  <c r="AX534" i="2"/>
  <c r="AY534" i="2"/>
  <c r="BI534" i="2" s="1"/>
  <c r="BI394" i="2"/>
  <c r="CC394" i="2"/>
  <c r="BJ394" i="2"/>
  <c r="BG394" i="2"/>
  <c r="BI409" i="2"/>
  <c r="BJ409" i="2"/>
  <c r="CC409" i="2"/>
  <c r="BG409" i="2"/>
  <c r="BJ411" i="2"/>
  <c r="BG411" i="2"/>
  <c r="CC411" i="2"/>
  <c r="BG344" i="2"/>
  <c r="CC344" i="2"/>
  <c r="BJ344" i="2"/>
  <c r="AW585" i="2"/>
  <c r="BP488" i="2"/>
  <c r="BQ488" i="2" s="1"/>
  <c r="BY488" i="2" s="1"/>
  <c r="BN488" i="2"/>
  <c r="BO488" i="2" s="1"/>
  <c r="T440" i="2"/>
  <c r="AR403" i="2"/>
  <c r="U403" i="2"/>
  <c r="BG387" i="2"/>
  <c r="CC387" i="2"/>
  <c r="BJ387" i="2"/>
  <c r="AW594" i="2"/>
  <c r="BP497" i="2"/>
  <c r="BQ497" i="2" s="1"/>
  <c r="BY497" i="2" s="1"/>
  <c r="BN497" i="2"/>
  <c r="BO497" i="2" s="1"/>
  <c r="BK497" i="2"/>
  <c r="BL497" i="2" s="1"/>
  <c r="BM497" i="2" s="1"/>
  <c r="CC398" i="2"/>
  <c r="BG398" i="2"/>
  <c r="BJ398" i="2"/>
  <c r="BI398" i="2"/>
  <c r="AY385" i="2"/>
  <c r="BI385" i="2" s="1"/>
  <c r="AX385" i="2"/>
  <c r="BI399" i="2"/>
  <c r="BG399" i="2"/>
  <c r="BJ399" i="2"/>
  <c r="CC399" i="2"/>
  <c r="BG318" i="2"/>
  <c r="CC318" i="2"/>
  <c r="BJ318" i="2"/>
  <c r="BI318" i="2"/>
  <c r="BI337" i="2"/>
  <c r="CC337" i="2"/>
  <c r="BJ337" i="2"/>
  <c r="BG337" i="2"/>
  <c r="BG384" i="2"/>
  <c r="CC384" i="2"/>
  <c r="BJ384" i="2"/>
  <c r="BG336" i="2"/>
  <c r="BJ336" i="2"/>
  <c r="BI336" i="2"/>
  <c r="CC336" i="2"/>
  <c r="CC292" i="2"/>
  <c r="BJ292" i="2"/>
  <c r="BI292" i="2"/>
  <c r="BG292" i="2"/>
  <c r="BI232" i="2"/>
  <c r="BG232" i="2"/>
  <c r="CC232" i="2"/>
  <c r="BJ232" i="2"/>
  <c r="CC319" i="2"/>
  <c r="BJ319" i="2"/>
  <c r="BI319" i="2"/>
  <c r="BG319" i="2"/>
  <c r="BI230" i="2"/>
  <c r="BG230" i="2"/>
  <c r="BJ230" i="2"/>
  <c r="CC230" i="2"/>
  <c r="BJ300" i="2"/>
  <c r="BI300" i="2"/>
  <c r="CC300" i="2"/>
  <c r="BG300" i="2"/>
  <c r="BJ240" i="2"/>
  <c r="BI240" i="2"/>
  <c r="BG240" i="2"/>
  <c r="CC240" i="2"/>
  <c r="BG299" i="2"/>
  <c r="CC299" i="2"/>
  <c r="BJ299" i="2"/>
  <c r="BI299" i="2"/>
  <c r="BJ276" i="2"/>
  <c r="BI276" i="2"/>
  <c r="BG276" i="2"/>
  <c r="CC276" i="2"/>
  <c r="BG223" i="2"/>
  <c r="BJ223" i="2"/>
  <c r="BI223" i="2"/>
  <c r="CC223" i="2"/>
  <c r="BG180" i="2"/>
  <c r="BJ180" i="2"/>
  <c r="BI180" i="2"/>
  <c r="CC180" i="2"/>
  <c r="N135" i="3"/>
  <c r="BJ251" i="2"/>
  <c r="BG251" i="2"/>
  <c r="CC251" i="2"/>
  <c r="BG63" i="2"/>
  <c r="CC63" i="2"/>
  <c r="BJ63" i="2"/>
  <c r="BI63" i="2"/>
  <c r="AX202" i="2"/>
  <c r="AY202" i="2"/>
  <c r="BG150" i="2"/>
  <c r="CC150" i="2"/>
  <c r="BJ150" i="2"/>
  <c r="BJ245" i="2"/>
  <c r="BG245" i="2"/>
  <c r="CC245" i="2"/>
  <c r="BJ128" i="2"/>
  <c r="CC128" i="2"/>
  <c r="BI128" i="2"/>
  <c r="BG128" i="2"/>
  <c r="BG102" i="2"/>
  <c r="CC102" i="2"/>
  <c r="BJ102" i="2"/>
  <c r="BI102" i="2"/>
  <c r="BN114" i="2"/>
  <c r="BO114" i="2" s="1"/>
  <c r="BP114" i="2"/>
  <c r="BQ114" i="2" s="1"/>
  <c r="BY114" i="2" s="1"/>
  <c r="BJ89" i="2"/>
  <c r="CC89" i="2"/>
  <c r="BI89" i="2"/>
  <c r="BG89" i="2"/>
  <c r="AW273" i="2"/>
  <c r="BP180" i="2"/>
  <c r="BQ180" i="2" s="1"/>
  <c r="BY180" i="2" s="1"/>
  <c r="BN180" i="2"/>
  <c r="BO180" i="2" s="1"/>
  <c r="BG55" i="2"/>
  <c r="CC55" i="2"/>
  <c r="BJ55" i="2"/>
  <c r="BI55" i="2"/>
  <c r="AY264" i="2"/>
  <c r="BI264" i="2" s="1"/>
  <c r="AX264" i="2"/>
  <c r="J121" i="3"/>
  <c r="G84" i="4"/>
  <c r="F84" i="4"/>
  <c r="J84" i="4"/>
  <c r="I84" i="4"/>
  <c r="E83" i="4"/>
  <c r="L84" i="4"/>
  <c r="K84" i="4"/>
  <c r="AR1095" i="2"/>
  <c r="U1095" i="2"/>
  <c r="AR1073" i="2"/>
  <c r="U1073" i="2"/>
  <c r="U1051" i="2"/>
  <c r="AR1051" i="2"/>
  <c r="BE1043" i="2"/>
  <c r="BF1043" i="2" s="1"/>
  <c r="AT1043" i="2"/>
  <c r="BG1024" i="2"/>
  <c r="BJ1024" i="2"/>
  <c r="CC1024" i="2"/>
  <c r="CF1045" i="2"/>
  <c r="AL1045" i="2"/>
  <c r="BG1013" i="2"/>
  <c r="CC1013" i="2"/>
  <c r="BJ1013" i="2"/>
  <c r="AL1026" i="2"/>
  <c r="CF1026" i="2"/>
  <c r="BJ1025" i="2"/>
  <c r="BG1025" i="2"/>
  <c r="CC1025" i="2"/>
  <c r="BG991" i="2"/>
  <c r="BJ991" i="2"/>
  <c r="CC991" i="2"/>
  <c r="BG1028" i="2"/>
  <c r="CC1028" i="2"/>
  <c r="BJ1028" i="2"/>
  <c r="T975" i="2"/>
  <c r="AR975" i="2"/>
  <c r="CC989" i="2"/>
  <c r="BJ989" i="2"/>
  <c r="BG989" i="2"/>
  <c r="T1008" i="2"/>
  <c r="AR1008" i="2"/>
  <c r="BK960" i="2"/>
  <c r="BL960" i="2" s="1"/>
  <c r="BM960" i="2" s="1"/>
  <c r="AT960" i="2"/>
  <c r="CF960" i="2" s="1"/>
  <c r="BE960" i="2"/>
  <c r="BF960" i="2" s="1"/>
  <c r="BE916" i="2"/>
  <c r="BF916" i="2" s="1"/>
  <c r="AT916" i="2"/>
  <c r="CF916" i="2" s="1"/>
  <c r="AT928" i="2"/>
  <c r="CF928" i="2" s="1"/>
  <c r="BE928" i="2"/>
  <c r="BF928" i="2" s="1"/>
  <c r="AR926" i="2"/>
  <c r="U926" i="2"/>
  <c r="AR858" i="2"/>
  <c r="T858" i="2"/>
  <c r="AR937" i="2"/>
  <c r="U937" i="2"/>
  <c r="CC927" i="2"/>
  <c r="BJ927" i="2"/>
  <c r="BG927" i="2"/>
  <c r="AR855" i="2"/>
  <c r="T855" i="2"/>
  <c r="F29" i="3"/>
  <c r="F24" i="3"/>
  <c r="F28" i="3" s="1"/>
  <c r="CC873" i="2"/>
  <c r="BJ873" i="2"/>
  <c r="BG873" i="2"/>
  <c r="CC776" i="2"/>
  <c r="BG776" i="2"/>
  <c r="BJ776" i="2"/>
  <c r="BG875" i="2"/>
  <c r="BJ875" i="2"/>
  <c r="CC875" i="2"/>
  <c r="BE827" i="2"/>
  <c r="BF827" i="2" s="1"/>
  <c r="AT827" i="2"/>
  <c r="CF827" i="2" s="1"/>
  <c r="BG826" i="2"/>
  <c r="CC826" i="2"/>
  <c r="BJ826" i="2"/>
  <c r="T768" i="2"/>
  <c r="AR768" i="2"/>
  <c r="U800" i="2"/>
  <c r="AR800" i="2"/>
  <c r="CC855" i="2"/>
  <c r="BJ855" i="2"/>
  <c r="BG855" i="2"/>
  <c r="T746" i="2"/>
  <c r="AR746" i="2"/>
  <c r="CF789" i="2"/>
  <c r="AL789" i="2"/>
  <c r="AR976" i="2"/>
  <c r="T976" i="2"/>
  <c r="CC768" i="2"/>
  <c r="BJ768" i="2"/>
  <c r="BG768" i="2"/>
  <c r="BJ754" i="2"/>
  <c r="CC754" i="2"/>
  <c r="BG754" i="2"/>
  <c r="CF787" i="2"/>
  <c r="AL787" i="2"/>
  <c r="AR754" i="2"/>
  <c r="T754" i="2"/>
  <c r="CF815" i="2"/>
  <c r="AL815" i="2"/>
  <c r="AR1084" i="2"/>
  <c r="U1084" i="2"/>
  <c r="BJ691" i="2"/>
  <c r="BG691" i="2"/>
  <c r="CC691" i="2"/>
  <c r="BI691" i="2"/>
  <c r="AT692" i="2"/>
  <c r="CF692" i="2" s="1"/>
  <c r="BE692" i="2"/>
  <c r="BF692" i="2" s="1"/>
  <c r="T730" i="2"/>
  <c r="AR730" i="2"/>
  <c r="BG720" i="2"/>
  <c r="CC720" i="2"/>
  <c r="BI720" i="2"/>
  <c r="BJ720" i="2"/>
  <c r="AR723" i="2"/>
  <c r="AR925" i="2"/>
  <c r="U925" i="2"/>
  <c r="AR1097" i="2"/>
  <c r="U1097" i="2"/>
  <c r="AR682" i="2"/>
  <c r="U682" i="2"/>
  <c r="BJ668" i="2"/>
  <c r="CC668" i="2"/>
  <c r="BG668" i="2"/>
  <c r="U596" i="2"/>
  <c r="AR596" i="2"/>
  <c r="AR912" i="2"/>
  <c r="U912" i="2"/>
  <c r="AT612" i="2"/>
  <c r="CF612" i="2" s="1"/>
  <c r="BE612" i="2"/>
  <c r="BF612" i="2" s="1"/>
  <c r="BG662" i="2"/>
  <c r="BJ662" i="2"/>
  <c r="CC662" i="2"/>
  <c r="BJ638" i="2"/>
  <c r="BG638" i="2"/>
  <c r="CC638" i="2"/>
  <c r="AR579" i="2"/>
  <c r="T579" i="2"/>
  <c r="BG606" i="2"/>
  <c r="BJ606" i="2"/>
  <c r="BI606" i="2"/>
  <c r="CC606" i="2"/>
  <c r="AR545" i="2"/>
  <c r="T545" i="2"/>
  <c r="AR955" i="2"/>
  <c r="U955" i="2"/>
  <c r="BI523" i="2"/>
  <c r="CC523" i="2"/>
  <c r="BJ523" i="2"/>
  <c r="BG523" i="2"/>
  <c r="AT569" i="2"/>
  <c r="CF569" i="2" s="1"/>
  <c r="BE569" i="2"/>
  <c r="BF569" i="2" s="1"/>
  <c r="AR558" i="2"/>
  <c r="T558" i="2"/>
  <c r="AW627" i="2"/>
  <c r="BN530" i="2"/>
  <c r="BO530" i="2" s="1"/>
  <c r="BP530" i="2"/>
  <c r="BQ530" i="2" s="1"/>
  <c r="BY530" i="2" s="1"/>
  <c r="CC587" i="2"/>
  <c r="BJ587" i="2"/>
  <c r="BG587" i="2"/>
  <c r="CC494" i="2"/>
  <c r="BI494" i="2"/>
  <c r="BG494" i="2"/>
  <c r="BJ494" i="2"/>
  <c r="BJ519" i="2"/>
  <c r="CC519" i="2"/>
  <c r="BG519" i="2"/>
  <c r="T452" i="2"/>
  <c r="AR452" i="2"/>
  <c r="AW622" i="2"/>
  <c r="BP525" i="2"/>
  <c r="BQ525" i="2" s="1"/>
  <c r="BY525" i="2" s="1"/>
  <c r="BN525" i="2"/>
  <c r="BO525" i="2" s="1"/>
  <c r="BG445" i="2"/>
  <c r="BJ445" i="2"/>
  <c r="CC445" i="2"/>
  <c r="AW628" i="2"/>
  <c r="BP531" i="2"/>
  <c r="BQ531" i="2" s="1"/>
  <c r="BY531" i="2" s="1"/>
  <c r="BN531" i="2"/>
  <c r="BO531" i="2" s="1"/>
  <c r="AR541" i="2"/>
  <c r="AW608" i="2"/>
  <c r="BP511" i="2"/>
  <c r="BQ511" i="2" s="1"/>
  <c r="BY511" i="2" s="1"/>
  <c r="BN511" i="2"/>
  <c r="BO511" i="2" s="1"/>
  <c r="BK511" i="2"/>
  <c r="BL511" i="2" s="1"/>
  <c r="BM511" i="2" s="1"/>
  <c r="AR386" i="2"/>
  <c r="U386" i="2"/>
  <c r="CC443" i="2"/>
  <c r="BG443" i="2"/>
  <c r="BJ443" i="2"/>
  <c r="BJ408" i="2"/>
  <c r="BI408" i="2"/>
  <c r="BG408" i="2"/>
  <c r="CC408" i="2"/>
  <c r="AX489" i="2"/>
  <c r="AY489" i="2"/>
  <c r="BI489" i="2" s="1"/>
  <c r="AR344" i="2"/>
  <c r="T344" i="2"/>
  <c r="CC455" i="2"/>
  <c r="BI455" i="2"/>
  <c r="BJ455" i="2"/>
  <c r="BG455" i="2"/>
  <c r="CC325" i="2"/>
  <c r="BJ325" i="2"/>
  <c r="BI325" i="2"/>
  <c r="BG325" i="2"/>
  <c r="CC316" i="2"/>
  <c r="BJ316" i="2"/>
  <c r="BI316" i="2"/>
  <c r="BG316" i="2"/>
  <c r="BG286" i="2"/>
  <c r="CC286" i="2"/>
  <c r="BJ286" i="2"/>
  <c r="BG335" i="2"/>
  <c r="BJ335" i="2"/>
  <c r="BI335" i="2"/>
  <c r="CC335" i="2"/>
  <c r="CC355" i="2"/>
  <c r="BJ355" i="2"/>
  <c r="BG355" i="2"/>
  <c r="BJ272" i="2"/>
  <c r="BG272" i="2"/>
  <c r="CC272" i="2"/>
  <c r="CC331" i="2"/>
  <c r="BJ331" i="2"/>
  <c r="BI331" i="2"/>
  <c r="BG331" i="2"/>
  <c r="AR231" i="2"/>
  <c r="U231" i="2"/>
  <c r="BI222" i="2"/>
  <c r="BG222" i="2"/>
  <c r="CC222" i="2"/>
  <c r="BJ222" i="2"/>
  <c r="BJ263" i="2"/>
  <c r="BG263" i="2"/>
  <c r="CC263" i="2"/>
  <c r="BG326" i="2"/>
  <c r="CC326" i="2"/>
  <c r="BJ326" i="2"/>
  <c r="BI326" i="2"/>
  <c r="BJ282" i="2"/>
  <c r="BG282" i="2"/>
  <c r="CC282" i="2"/>
  <c r="BI225" i="2"/>
  <c r="BG225" i="2"/>
  <c r="CC225" i="2"/>
  <c r="BJ225" i="2"/>
  <c r="BG162" i="2"/>
  <c r="CC162" i="2"/>
  <c r="BJ162" i="2"/>
  <c r="AY156" i="2"/>
  <c r="AX156" i="2"/>
  <c r="BG60" i="2"/>
  <c r="CC60" i="2"/>
  <c r="BJ60" i="2"/>
  <c r="BI60" i="2"/>
  <c r="BG190" i="2"/>
  <c r="BI190" i="2"/>
  <c r="CC190" i="2"/>
  <c r="BJ190" i="2"/>
  <c r="BG105" i="2"/>
  <c r="BJ105" i="2"/>
  <c r="BI105" i="2"/>
  <c r="CC105" i="2"/>
  <c r="AW313" i="2"/>
  <c r="AX313" i="2" s="1"/>
  <c r="BP216" i="2"/>
  <c r="BQ216" i="2" s="1"/>
  <c r="BY216" i="2" s="1"/>
  <c r="BN216" i="2"/>
  <c r="BO216" i="2" s="1"/>
  <c r="BJ9" i="2"/>
  <c r="BI9" i="2"/>
  <c r="BG9" i="2"/>
  <c r="CC9" i="2"/>
  <c r="BJ248" i="2"/>
  <c r="BG248" i="2"/>
  <c r="CC248" i="2"/>
  <c r="AW341" i="2"/>
  <c r="BN244" i="2"/>
  <c r="BO244" i="2" s="1"/>
  <c r="BP244" i="2"/>
  <c r="BQ244" i="2" s="1"/>
  <c r="BY244" i="2" s="1"/>
  <c r="AX224" i="2"/>
  <c r="AY224" i="2"/>
  <c r="AX220" i="2"/>
  <c r="AY220" i="2"/>
  <c r="AY197" i="2"/>
  <c r="AX197" i="2"/>
  <c r="BI209" i="2"/>
  <c r="BG209" i="2"/>
  <c r="CC209" i="2"/>
  <c r="BJ209" i="2"/>
  <c r="BG201" i="2"/>
  <c r="CC201" i="2"/>
  <c r="BJ201" i="2"/>
  <c r="BI201" i="2"/>
  <c r="CC170" i="2"/>
  <c r="BJ170" i="2"/>
  <c r="BG170" i="2"/>
  <c r="BJ131" i="2"/>
  <c r="CC131" i="2"/>
  <c r="BI131" i="2"/>
  <c r="BG131" i="2"/>
  <c r="BI154" i="2"/>
  <c r="CC154" i="2"/>
  <c r="BJ154" i="2"/>
  <c r="BG154" i="2"/>
  <c r="AX234" i="2"/>
  <c r="AY234" i="2"/>
  <c r="BJ26" i="2"/>
  <c r="CC26" i="2"/>
  <c r="BI26" i="2"/>
  <c r="BG26" i="2"/>
  <c r="BJ112" i="2"/>
  <c r="BI112" i="2"/>
  <c r="CC112" i="2"/>
  <c r="BG112" i="2"/>
  <c r="BI94" i="2"/>
  <c r="BJ94" i="2"/>
  <c r="BG94" i="2"/>
  <c r="CC94" i="2"/>
  <c r="AX167" i="2"/>
  <c r="AY167" i="2"/>
  <c r="BN186" i="2"/>
  <c r="BO186" i="2" s="1"/>
  <c r="AW257" i="2"/>
  <c r="BP186" i="2"/>
  <c r="BQ186" i="2" s="1"/>
  <c r="BY186" i="2" s="1"/>
  <c r="CC91" i="2"/>
  <c r="BJ91" i="2"/>
  <c r="BI91" i="2"/>
  <c r="BG91" i="2"/>
  <c r="I121" i="3"/>
  <c r="I123" i="3" s="1"/>
  <c r="I124" i="3" s="1"/>
  <c r="AT1063" i="2"/>
  <c r="CF1063" i="2" s="1"/>
  <c r="BE1063" i="2"/>
  <c r="BF1063" i="2" s="1"/>
  <c r="U1068" i="2"/>
  <c r="AR1068" i="2"/>
  <c r="BG1083" i="2"/>
  <c r="CC1083" i="2"/>
  <c r="BJ1083" i="2"/>
  <c r="CC1066" i="2"/>
  <c r="BG1066" i="2"/>
  <c r="BJ1066" i="2"/>
  <c r="BE1056" i="2"/>
  <c r="BF1056" i="2" s="1"/>
  <c r="AT1056" i="2"/>
  <c r="CF1056" i="2" s="1"/>
  <c r="CC1093" i="2"/>
  <c r="BJ1093" i="2"/>
  <c r="BG1093" i="2"/>
  <c r="AL1097" i="2"/>
  <c r="CF1097" i="2"/>
  <c r="BJ1030" i="2"/>
  <c r="BG1030" i="2"/>
  <c r="CC1030" i="2"/>
  <c r="BJ1042" i="2"/>
  <c r="BG1042" i="2"/>
  <c r="CC1042" i="2"/>
  <c r="CC1036" i="2"/>
  <c r="BJ1036" i="2"/>
  <c r="BG1036" i="2"/>
  <c r="CC1014" i="2"/>
  <c r="BJ1014" i="2"/>
  <c r="BG1014" i="2"/>
  <c r="AW1049" i="2"/>
  <c r="BN990" i="2"/>
  <c r="BO990" i="2" s="1"/>
  <c r="BP990" i="2"/>
  <c r="BQ990" i="2" s="1"/>
  <c r="BY990" i="2" s="1"/>
  <c r="CC1003" i="2"/>
  <c r="BG1003" i="2"/>
  <c r="BJ1003" i="2"/>
  <c r="BJ1007" i="2"/>
  <c r="BG1007" i="2"/>
  <c r="CC1007" i="2"/>
  <c r="CC986" i="2"/>
  <c r="BG986" i="2"/>
  <c r="BJ986" i="2"/>
  <c r="BJ984" i="2"/>
  <c r="BG984" i="2"/>
  <c r="CC984" i="2"/>
  <c r="U960" i="2"/>
  <c r="AR960" i="2"/>
  <c r="AR945" i="2"/>
  <c r="U945" i="2"/>
  <c r="BJ959" i="2"/>
  <c r="BI959" i="2"/>
  <c r="CC959" i="2"/>
  <c r="BG959" i="2"/>
  <c r="U907" i="2"/>
  <c r="CC941" i="2"/>
  <c r="BG941" i="2"/>
  <c r="BJ941" i="2"/>
  <c r="BE931" i="2"/>
  <c r="BF931" i="2" s="1"/>
  <c r="AT931" i="2"/>
  <c r="CF931" i="2" s="1"/>
  <c r="CC940" i="2"/>
  <c r="BJ940" i="2"/>
  <c r="BG940" i="2"/>
  <c r="CC896" i="2"/>
  <c r="BJ896" i="2"/>
  <c r="BG896" i="2"/>
  <c r="BI896" i="2"/>
  <c r="CC892" i="2"/>
  <c r="BI892" i="2"/>
  <c r="BJ892" i="2"/>
  <c r="BG892" i="2"/>
  <c r="BE908" i="2"/>
  <c r="BF908" i="2" s="1"/>
  <c r="BK908" i="2"/>
  <c r="BL908" i="2" s="1"/>
  <c r="BM908" i="2" s="1"/>
  <c r="AT908" i="2"/>
  <c r="CF908" i="2" s="1"/>
  <c r="U876" i="2"/>
  <c r="AR876" i="2"/>
  <c r="U863" i="2"/>
  <c r="AR863" i="2"/>
  <c r="BG881" i="2"/>
  <c r="BJ881" i="2"/>
  <c r="CC881" i="2"/>
  <c r="AW989" i="2"/>
  <c r="BP844" i="2"/>
  <c r="BQ844" i="2" s="1"/>
  <c r="BY844" i="2" s="1"/>
  <c r="BN844" i="2"/>
  <c r="BO844" i="2" s="1"/>
  <c r="BG883" i="2"/>
  <c r="CC883" i="2"/>
  <c r="BJ883" i="2"/>
  <c r="BJ838" i="2"/>
  <c r="BG838" i="2"/>
  <c r="CC838" i="2"/>
  <c r="AR835" i="2"/>
  <c r="T835" i="2"/>
  <c r="BG825" i="2"/>
  <c r="BJ825" i="2"/>
  <c r="CC825" i="2"/>
  <c r="BG782" i="2"/>
  <c r="CC782" i="2"/>
  <c r="BJ782" i="2"/>
  <c r="BE836" i="2"/>
  <c r="BF836" i="2" s="1"/>
  <c r="AT836" i="2"/>
  <c r="CF836" i="2" s="1"/>
  <c r="BG781" i="2"/>
  <c r="CC781" i="2"/>
  <c r="BJ781" i="2"/>
  <c r="BG824" i="2"/>
  <c r="BJ824" i="2"/>
  <c r="CC824" i="2"/>
  <c r="BJ789" i="2"/>
  <c r="BG789" i="2"/>
  <c r="CC789" i="2"/>
  <c r="AR850" i="2"/>
  <c r="AR782" i="2"/>
  <c r="U782" i="2"/>
  <c r="AY950" i="2"/>
  <c r="AX950" i="2"/>
  <c r="AR742" i="2"/>
  <c r="T742" i="2"/>
  <c r="AT746" i="2"/>
  <c r="BE746" i="2"/>
  <c r="BF746" i="2" s="1"/>
  <c r="CC765" i="2"/>
  <c r="BJ765" i="2"/>
  <c r="BG765" i="2"/>
  <c r="BG735" i="2"/>
  <c r="BJ735" i="2"/>
  <c r="CC735" i="2"/>
  <c r="CF768" i="2"/>
  <c r="AL768" i="2"/>
  <c r="CC749" i="2"/>
  <c r="BJ749" i="2"/>
  <c r="BG749" i="2"/>
  <c r="T712" i="2"/>
  <c r="AR712" i="2"/>
  <c r="BG739" i="2"/>
  <c r="BJ739" i="2"/>
  <c r="CC739" i="2"/>
  <c r="CF761" i="2"/>
  <c r="AL761" i="2"/>
  <c r="BJ730" i="2"/>
  <c r="BG730" i="2"/>
  <c r="CC730" i="2"/>
  <c r="BG713" i="2"/>
  <c r="CC713" i="2"/>
  <c r="BJ713" i="2"/>
  <c r="AR826" i="2"/>
  <c r="T826" i="2"/>
  <c r="AR691" i="2"/>
  <c r="U691" i="2"/>
  <c r="AR1072" i="2"/>
  <c r="U1072" i="2"/>
  <c r="AX803" i="2"/>
  <c r="AY803" i="2"/>
  <c r="BK803" i="2" s="1"/>
  <c r="BL803" i="2" s="1"/>
  <c r="BM803" i="2" s="1"/>
  <c r="AR728" i="2"/>
  <c r="T728" i="2"/>
  <c r="AR685" i="2"/>
  <c r="U685" i="2"/>
  <c r="AR646" i="2"/>
  <c r="T646" i="2"/>
  <c r="AR1061" i="2"/>
  <c r="U1061" i="2"/>
  <c r="AR695" i="2"/>
  <c r="U695" i="2"/>
  <c r="AR688" i="2"/>
  <c r="U688" i="2"/>
  <c r="U668" i="2"/>
  <c r="AR668" i="2"/>
  <c r="BJ652" i="2"/>
  <c r="BG652" i="2"/>
  <c r="CC652" i="2"/>
  <c r="BJ643" i="2"/>
  <c r="CC643" i="2"/>
  <c r="BI643" i="2"/>
  <c r="BG643" i="2"/>
  <c r="BE596" i="2"/>
  <c r="BF596" i="2" s="1"/>
  <c r="AT596" i="2"/>
  <c r="CF596" i="2" s="1"/>
  <c r="AR934" i="2"/>
  <c r="U934" i="2"/>
  <c r="CC589" i="2"/>
  <c r="BJ589" i="2"/>
  <c r="BI589" i="2"/>
  <c r="BG589" i="2"/>
  <c r="U918" i="2"/>
  <c r="AR918" i="2"/>
  <c r="BI565" i="2"/>
  <c r="BG565" i="2"/>
  <c r="CC565" i="2"/>
  <c r="BJ565" i="2"/>
  <c r="AR661" i="2"/>
  <c r="T661" i="2"/>
  <c r="U612" i="2"/>
  <c r="AR1094" i="2"/>
  <c r="U1094" i="2"/>
  <c r="AR523" i="2"/>
  <c r="U523" i="2"/>
  <c r="BJ534" i="2"/>
  <c r="CC534" i="2"/>
  <c r="BG534" i="2"/>
  <c r="T538" i="2"/>
  <c r="I139" i="3"/>
  <c r="I138" i="3"/>
  <c r="AY527" i="2"/>
  <c r="CC481" i="2"/>
  <c r="BG481" i="2"/>
  <c r="BJ481" i="2"/>
  <c r="AW600" i="2"/>
  <c r="BN503" i="2"/>
  <c r="BO503" i="2" s="1"/>
  <c r="BP503" i="2"/>
  <c r="BQ503" i="2" s="1"/>
  <c r="BY503" i="2" s="1"/>
  <c r="I41" i="3"/>
  <c r="BG447" i="2"/>
  <c r="BJ447" i="2"/>
  <c r="CC447" i="2"/>
  <c r="BJ457" i="2"/>
  <c r="CC457" i="2"/>
  <c r="BG457" i="2"/>
  <c r="U409" i="2"/>
  <c r="AR409" i="2"/>
  <c r="AR406" i="2"/>
  <c r="U406" i="2"/>
  <c r="BJ428" i="2"/>
  <c r="BG428" i="2"/>
  <c r="CC428" i="2"/>
  <c r="BI428" i="2"/>
  <c r="AR347" i="2"/>
  <c r="T347" i="2"/>
  <c r="AY492" i="2"/>
  <c r="BI492" i="2" s="1"/>
  <c r="AX492" i="2"/>
  <c r="CC386" i="2"/>
  <c r="BG386" i="2"/>
  <c r="BJ386" i="2"/>
  <c r="BI386" i="2"/>
  <c r="BN362" i="2"/>
  <c r="BO362" i="2" s="1"/>
  <c r="AW459" i="2"/>
  <c r="BP362" i="2"/>
  <c r="BQ362" i="2" s="1"/>
  <c r="BY362" i="2" s="1"/>
  <c r="AY330" i="2"/>
  <c r="AX330" i="2"/>
  <c r="BJ269" i="2"/>
  <c r="BG269" i="2"/>
  <c r="CC269" i="2"/>
  <c r="AT363" i="2"/>
  <c r="CF363" i="2" s="1"/>
  <c r="BE363" i="2"/>
  <c r="BF363" i="2" s="1"/>
  <c r="AR204" i="2"/>
  <c r="U204" i="2"/>
  <c r="BG205" i="2"/>
  <c r="CC205" i="2"/>
  <c r="BJ205" i="2"/>
  <c r="BI205" i="2"/>
  <c r="BK237" i="2"/>
  <c r="BL237" i="2" s="1"/>
  <c r="BM237" i="2" s="1"/>
  <c r="AR183" i="2"/>
  <c r="T183" i="2"/>
  <c r="BG149" i="2"/>
  <c r="CC149" i="2"/>
  <c r="BJ149" i="2"/>
  <c r="AX171" i="2"/>
  <c r="AY171" i="2"/>
  <c r="BI171" i="2" s="1"/>
  <c r="BJ110" i="2"/>
  <c r="BI110" i="2"/>
  <c r="BG110" i="2"/>
  <c r="CC110" i="2"/>
  <c r="AW325" i="2"/>
  <c r="BP228" i="2"/>
  <c r="BQ228" i="2" s="1"/>
  <c r="BY228" i="2" s="1"/>
  <c r="BN228" i="2"/>
  <c r="BO228" i="2" s="1"/>
  <c r="BK190" i="2"/>
  <c r="BL190" i="2" s="1"/>
  <c r="BM190" i="2" s="1"/>
  <c r="BG135" i="2"/>
  <c r="BJ135" i="2"/>
  <c r="BI135" i="2"/>
  <c r="CC135" i="2"/>
  <c r="AW333" i="2"/>
  <c r="BN236" i="2"/>
  <c r="BO236" i="2" s="1"/>
  <c r="BP236" i="2"/>
  <c r="BQ236" i="2" s="1"/>
  <c r="BY236" i="2" s="1"/>
  <c r="AW301" i="2"/>
  <c r="AX301" i="2" s="1"/>
  <c r="BP204" i="2"/>
  <c r="BQ204" i="2" s="1"/>
  <c r="BY204" i="2" s="1"/>
  <c r="BN204" i="2"/>
  <c r="BO204" i="2" s="1"/>
  <c r="AW297" i="2"/>
  <c r="BP200" i="2"/>
  <c r="BQ200" i="2" s="1"/>
  <c r="BY200" i="2" s="1"/>
  <c r="BN200" i="2"/>
  <c r="BO200" i="2" s="1"/>
  <c r="BI242" i="2"/>
  <c r="BG242" i="2"/>
  <c r="BJ242" i="2"/>
  <c r="CC242" i="2"/>
  <c r="AX193" i="2"/>
  <c r="AY193" i="2"/>
  <c r="BI193" i="2" s="1"/>
  <c r="AX217" i="2"/>
  <c r="AY217" i="2"/>
  <c r="BG141" i="2"/>
  <c r="BJ141" i="2"/>
  <c r="BI141" i="2"/>
  <c r="CC141" i="2"/>
  <c r="BJ125" i="2"/>
  <c r="CC125" i="2"/>
  <c r="BI125" i="2"/>
  <c r="BG125" i="2"/>
  <c r="AX235" i="2"/>
  <c r="AY235" i="2"/>
  <c r="BI200" i="2"/>
  <c r="BG200" i="2"/>
  <c r="BJ200" i="2"/>
  <c r="CC200" i="2"/>
  <c r="AW280" i="2"/>
  <c r="BP169" i="2"/>
  <c r="BQ169" i="2" s="1"/>
  <c r="BY169" i="2" s="1"/>
  <c r="BN169" i="2"/>
  <c r="BO169" i="2" s="1"/>
  <c r="AW298" i="2"/>
  <c r="BP201" i="2"/>
  <c r="BQ201" i="2" s="1"/>
  <c r="BY201" i="2" s="1"/>
  <c r="BN201" i="2"/>
  <c r="BO201" i="2" s="1"/>
  <c r="BG221" i="2"/>
  <c r="CC221" i="2"/>
  <c r="BJ221" i="2"/>
  <c r="M95" i="3"/>
  <c r="AW245" i="2"/>
  <c r="BP102" i="2"/>
  <c r="BQ102" i="2" s="1"/>
  <c r="BY102" i="2" s="1"/>
  <c r="BN102" i="2"/>
  <c r="BO102" i="2" s="1"/>
  <c r="BJ86" i="2"/>
  <c r="CC86" i="2"/>
  <c r="BI86" i="2"/>
  <c r="BG86" i="2"/>
  <c r="AY179" i="2"/>
  <c r="AX179" i="2"/>
  <c r="CC58" i="2"/>
  <c r="BJ58" i="2"/>
  <c r="BI58" i="2"/>
  <c r="BG58" i="2"/>
  <c r="BG10" i="2"/>
  <c r="CC10" i="2"/>
  <c r="BJ10" i="2"/>
  <c r="BI10" i="2"/>
  <c r="BJ17" i="2"/>
  <c r="BG17" i="2"/>
  <c r="CC17" i="2"/>
  <c r="BI17" i="2"/>
  <c r="BJ148" i="2"/>
  <c r="BI148" i="2"/>
  <c r="CC148" i="2"/>
  <c r="BG148" i="2"/>
  <c r="AY261" i="2"/>
  <c r="AX261" i="2"/>
  <c r="BJ107" i="2"/>
  <c r="CC107" i="2"/>
  <c r="BI107" i="2"/>
  <c r="BG107" i="2"/>
  <c r="CC1086" i="2"/>
  <c r="BJ1086" i="2"/>
  <c r="BG1086" i="2"/>
  <c r="E121" i="3"/>
  <c r="E123" i="3" s="1"/>
  <c r="E124" i="3" s="1"/>
  <c r="CC1053" i="2"/>
  <c r="BJ1053" i="2"/>
  <c r="BG1053" i="2"/>
  <c r="AT1079" i="2"/>
  <c r="CF1079" i="2" s="1"/>
  <c r="BE1079" i="2"/>
  <c r="BF1079" i="2" s="1"/>
  <c r="U1075" i="2"/>
  <c r="AR1075" i="2"/>
  <c r="AL1030" i="2"/>
  <c r="CF1030" i="2"/>
  <c r="U1065" i="2"/>
  <c r="AR1065" i="2"/>
  <c r="BJ1029" i="2"/>
  <c r="BG1029" i="2"/>
  <c r="CC1029" i="2"/>
  <c r="CF1038" i="2"/>
  <c r="AL1038" i="2"/>
  <c r="BG1033" i="2"/>
  <c r="BJ1033" i="2"/>
  <c r="CC1033" i="2"/>
  <c r="BG1045" i="2"/>
  <c r="BJ1045" i="2"/>
  <c r="CC1045" i="2"/>
  <c r="CC1017" i="2"/>
  <c r="BJ1017" i="2"/>
  <c r="BG1017" i="2"/>
  <c r="U951" i="2"/>
  <c r="AR951" i="2"/>
  <c r="BJ983" i="2"/>
  <c r="CC983" i="2"/>
  <c r="BG983" i="2"/>
  <c r="CC1001" i="2"/>
  <c r="BJ1001" i="2"/>
  <c r="BG1001" i="2"/>
  <c r="T978" i="2"/>
  <c r="AR978" i="2"/>
  <c r="CC972" i="2"/>
  <c r="BG972" i="2"/>
  <c r="BJ972" i="2"/>
  <c r="BG948" i="2"/>
  <c r="CC948" i="2"/>
  <c r="BJ948" i="2"/>
  <c r="AR902" i="2"/>
  <c r="U902" i="2"/>
  <c r="U958" i="2"/>
  <c r="AR958" i="2"/>
  <c r="CC907" i="2"/>
  <c r="BG907" i="2"/>
  <c r="BI907" i="2"/>
  <c r="BJ907" i="2"/>
  <c r="AR923" i="2"/>
  <c r="U923" i="2"/>
  <c r="AW1092" i="2"/>
  <c r="BP949" i="2"/>
  <c r="BQ949" i="2" s="1"/>
  <c r="BY949" i="2" s="1"/>
  <c r="BN949" i="2"/>
  <c r="BO949" i="2" s="1"/>
  <c r="BG924" i="2"/>
  <c r="BJ924" i="2"/>
  <c r="CC924" i="2"/>
  <c r="BJ849" i="2"/>
  <c r="BG849" i="2"/>
  <c r="CC849" i="2"/>
  <c r="BE862" i="2"/>
  <c r="BF862" i="2" s="1"/>
  <c r="AT862" i="2"/>
  <c r="CF862" i="2" s="1"/>
  <c r="CC885" i="2"/>
  <c r="BG885" i="2"/>
  <c r="BJ885" i="2"/>
  <c r="U875" i="2"/>
  <c r="AR875" i="2"/>
  <c r="T984" i="2"/>
  <c r="AR984" i="2"/>
  <c r="CC856" i="2"/>
  <c r="BG856" i="2"/>
  <c r="BJ856" i="2"/>
  <c r="BG833" i="2"/>
  <c r="BJ833" i="2"/>
  <c r="CC833" i="2"/>
  <c r="CC876" i="2"/>
  <c r="BG876" i="2"/>
  <c r="BJ876" i="2"/>
  <c r="BG834" i="2"/>
  <c r="CC834" i="2"/>
  <c r="BJ834" i="2"/>
  <c r="BG874" i="2"/>
  <c r="CC874" i="2"/>
  <c r="BJ874" i="2"/>
  <c r="U788" i="2"/>
  <c r="AR788" i="2"/>
  <c r="U790" i="2"/>
  <c r="AR790" i="2"/>
  <c r="AR981" i="2"/>
  <c r="T981" i="2"/>
  <c r="T849" i="2"/>
  <c r="AR849" i="2"/>
  <c r="U786" i="2"/>
  <c r="AR786" i="2"/>
  <c r="BG840" i="2"/>
  <c r="BJ840" i="2"/>
  <c r="BI840" i="2"/>
  <c r="CC840" i="2"/>
  <c r="AT828" i="2"/>
  <c r="CF828" i="2" s="1"/>
  <c r="BE828" i="2"/>
  <c r="BF828" i="2" s="1"/>
  <c r="BG848" i="2"/>
  <c r="CC848" i="2"/>
  <c r="BJ848" i="2"/>
  <c r="T982" i="2"/>
  <c r="AR982" i="2"/>
  <c r="AW889" i="2"/>
  <c r="BP794" i="2"/>
  <c r="BQ794" i="2" s="1"/>
  <c r="BY794" i="2" s="1"/>
  <c r="BN794" i="2"/>
  <c r="BO794" i="2" s="1"/>
  <c r="T823" i="2"/>
  <c r="BJ844" i="2"/>
  <c r="CC844" i="2"/>
  <c r="BI844" i="2"/>
  <c r="BG844" i="2"/>
  <c r="CF808" i="2"/>
  <c r="AL808" i="2"/>
  <c r="CC904" i="2"/>
  <c r="BJ904" i="2"/>
  <c r="BI904" i="2"/>
  <c r="BG904" i="2"/>
  <c r="AX854" i="2"/>
  <c r="AY854" i="2"/>
  <c r="BI854" i="2" s="1"/>
  <c r="AW870" i="2"/>
  <c r="BP779" i="2"/>
  <c r="BQ779" i="2" s="1"/>
  <c r="BY779" i="2" s="1"/>
  <c r="BN779" i="2"/>
  <c r="BO779" i="2" s="1"/>
  <c r="AR760" i="2"/>
  <c r="T760" i="2"/>
  <c r="AL749" i="2"/>
  <c r="CF749" i="2"/>
  <c r="BG805" i="2"/>
  <c r="CC805" i="2"/>
  <c r="BJ805" i="2"/>
  <c r="BG785" i="2"/>
  <c r="CC785" i="2"/>
  <c r="BJ785" i="2"/>
  <c r="CC745" i="2"/>
  <c r="BJ745" i="2"/>
  <c r="BG745" i="2"/>
  <c r="BI704" i="2"/>
  <c r="BG704" i="2"/>
  <c r="BJ704" i="2"/>
  <c r="CC704" i="2"/>
  <c r="BG709" i="2"/>
  <c r="BJ709" i="2"/>
  <c r="BG686" i="2"/>
  <c r="BI686" i="2"/>
  <c r="CC686" i="2"/>
  <c r="BJ686" i="2"/>
  <c r="BJ682" i="2"/>
  <c r="CC682" i="2"/>
  <c r="BG682" i="2"/>
  <c r="AT672" i="2"/>
  <c r="CF672" i="2" s="1"/>
  <c r="BE672" i="2"/>
  <c r="BF672" i="2" s="1"/>
  <c r="BG621" i="2"/>
  <c r="BJ621" i="2"/>
  <c r="BI621" i="2"/>
  <c r="CC621" i="2"/>
  <c r="U913" i="2"/>
  <c r="AR913" i="2"/>
  <c r="BE605" i="2"/>
  <c r="BF605" i="2" s="1"/>
  <c r="AT605" i="2"/>
  <c r="CF605" i="2" s="1"/>
  <c r="AT677" i="2"/>
  <c r="CF677" i="2" s="1"/>
  <c r="BE677" i="2"/>
  <c r="BF677" i="2" s="1"/>
  <c r="H140" i="3"/>
  <c r="BJ681" i="2"/>
  <c r="BG681" i="2"/>
  <c r="CC681" i="2"/>
  <c r="BG636" i="2"/>
  <c r="BJ636" i="2"/>
  <c r="CC636" i="2"/>
  <c r="AR1078" i="2"/>
  <c r="U1078" i="2"/>
  <c r="AR779" i="2"/>
  <c r="U779" i="2"/>
  <c r="AR615" i="2"/>
  <c r="U615" i="2"/>
  <c r="AT593" i="2"/>
  <c r="CF593" i="2" s="1"/>
  <c r="BE593" i="2"/>
  <c r="BF593" i="2" s="1"/>
  <c r="AR595" i="2"/>
  <c r="U595" i="2"/>
  <c r="AR810" i="2"/>
  <c r="U810" i="2"/>
  <c r="T640" i="2"/>
  <c r="AR640" i="2"/>
  <c r="BJ582" i="2"/>
  <c r="BG582" i="2"/>
  <c r="BI582" i="2"/>
  <c r="CC582" i="2"/>
  <c r="AT580" i="2"/>
  <c r="CF580" i="2" s="1"/>
  <c r="BE580" i="2"/>
  <c r="BF580" i="2" s="1"/>
  <c r="AT603" i="2"/>
  <c r="CF603" i="2" s="1"/>
  <c r="BE603" i="2"/>
  <c r="BF603" i="2" s="1"/>
  <c r="BI536" i="2"/>
  <c r="CC536" i="2"/>
  <c r="BJ536" i="2"/>
  <c r="BG536" i="2"/>
  <c r="BE477" i="2"/>
  <c r="BF477" i="2" s="1"/>
  <c r="AT477" i="2"/>
  <c r="CF477" i="2" s="1"/>
  <c r="AW607" i="2"/>
  <c r="BP510" i="2"/>
  <c r="BQ510" i="2" s="1"/>
  <c r="BY510" i="2" s="1"/>
  <c r="BN510" i="2"/>
  <c r="BO510" i="2" s="1"/>
  <c r="AT483" i="2"/>
  <c r="CF483" i="2" s="1"/>
  <c r="BE483" i="2"/>
  <c r="BF483" i="2" s="1"/>
  <c r="AT501" i="2"/>
  <c r="CF501" i="2" s="1"/>
  <c r="BE501" i="2"/>
  <c r="BF501" i="2" s="1"/>
  <c r="I60" i="3"/>
  <c r="I64" i="3" s="1"/>
  <c r="I65" i="3"/>
  <c r="I75" i="3" s="1"/>
  <c r="BJ480" i="2"/>
  <c r="BG480" i="2"/>
  <c r="CC480" i="2"/>
  <c r="BI429" i="2"/>
  <c r="AR338" i="2"/>
  <c r="U338" i="2"/>
  <c r="CC451" i="2"/>
  <c r="BJ451" i="2"/>
  <c r="BG451" i="2"/>
  <c r="CC437" i="2"/>
  <c r="BJ437" i="2"/>
  <c r="BG437" i="2"/>
  <c r="BI437" i="2"/>
  <c r="CC388" i="2"/>
  <c r="BJ388" i="2"/>
  <c r="BG388" i="2"/>
  <c r="AR388" i="2"/>
  <c r="U388" i="2"/>
  <c r="AY412" i="2"/>
  <c r="AX412" i="2"/>
  <c r="J41" i="3"/>
  <c r="CC395" i="2"/>
  <c r="BG395" i="2"/>
  <c r="BI395" i="2"/>
  <c r="BJ395" i="2"/>
  <c r="BG315" i="2"/>
  <c r="CC315" i="2"/>
  <c r="BJ315" i="2"/>
  <c r="BI315" i="2"/>
  <c r="BG371" i="2"/>
  <c r="CC371" i="2"/>
  <c r="BJ371" i="2"/>
  <c r="CC313" i="2"/>
  <c r="BJ313" i="2"/>
  <c r="BI313" i="2"/>
  <c r="BG313" i="2"/>
  <c r="BJ266" i="2"/>
  <c r="BG266" i="2"/>
  <c r="CC266" i="2"/>
  <c r="BG330" i="2"/>
  <c r="CC330" i="2"/>
  <c r="BJ330" i="2"/>
  <c r="BI330" i="2"/>
  <c r="L138" i="3"/>
  <c r="L139" i="3"/>
  <c r="CC298" i="2"/>
  <c r="BJ298" i="2"/>
  <c r="BI298" i="2"/>
  <c r="BG298" i="2"/>
  <c r="BG290" i="2"/>
  <c r="BJ290" i="2"/>
  <c r="CC290" i="2"/>
  <c r="BJ267" i="2"/>
  <c r="BG267" i="2"/>
  <c r="CC267" i="2"/>
  <c r="BG283" i="2"/>
  <c r="CC283" i="2"/>
  <c r="BJ283" i="2"/>
  <c r="BJ237" i="2"/>
  <c r="BI237" i="2"/>
  <c r="BG237" i="2"/>
  <c r="CC237" i="2"/>
  <c r="BG90" i="2"/>
  <c r="CC90" i="2"/>
  <c r="BJ90" i="2"/>
  <c r="BI90" i="2"/>
  <c r="AX165" i="2"/>
  <c r="AY165" i="2"/>
  <c r="BI165" i="2" s="1"/>
  <c r="BG187" i="2"/>
  <c r="BJ187" i="2"/>
  <c r="BI187" i="2"/>
  <c r="CC187" i="2"/>
  <c r="AW303" i="2"/>
  <c r="BP206" i="2"/>
  <c r="BQ206" i="2" s="1"/>
  <c r="BY206" i="2" s="1"/>
  <c r="BN206" i="2"/>
  <c r="BO206" i="2" s="1"/>
  <c r="AW336" i="2"/>
  <c r="BN239" i="2"/>
  <c r="BO239" i="2" s="1"/>
  <c r="BP239" i="2"/>
  <c r="BQ239" i="2" s="1"/>
  <c r="BY239" i="2" s="1"/>
  <c r="BI239" i="2"/>
  <c r="BG239" i="2"/>
  <c r="BJ239" i="2"/>
  <c r="CC239" i="2"/>
  <c r="BG179" i="2"/>
  <c r="BJ179" i="2"/>
  <c r="CC179" i="2"/>
  <c r="BI212" i="2"/>
  <c r="BG212" i="2"/>
  <c r="BJ212" i="2"/>
  <c r="CC212" i="2"/>
  <c r="BG45" i="2"/>
  <c r="BJ45" i="2"/>
  <c r="BI45" i="2"/>
  <c r="CC45" i="2"/>
  <c r="BG184" i="2"/>
  <c r="CC184" i="2"/>
  <c r="BI184" i="2"/>
  <c r="BJ184" i="2"/>
  <c r="AY195" i="2"/>
  <c r="AX195" i="2"/>
  <c r="BG199" i="2"/>
  <c r="CC199" i="2"/>
  <c r="BJ199" i="2"/>
  <c r="BI199" i="2"/>
  <c r="AR95" i="2"/>
  <c r="U95" i="2"/>
  <c r="T95" i="2"/>
  <c r="CC85" i="2"/>
  <c r="BJ85" i="2"/>
  <c r="BI85" i="2"/>
  <c r="BG85" i="2"/>
  <c r="BJ145" i="2"/>
  <c r="BI145" i="2"/>
  <c r="CC145" i="2"/>
  <c r="BG145" i="2"/>
  <c r="AY192" i="2"/>
  <c r="AX192" i="2"/>
  <c r="BG49" i="2"/>
  <c r="CC49" i="2"/>
  <c r="BJ49" i="2"/>
  <c r="BI49" i="2"/>
  <c r="AY173" i="2"/>
  <c r="AX173" i="2"/>
  <c r="BG165" i="2"/>
  <c r="BJ165" i="2"/>
  <c r="CC165" i="2"/>
  <c r="N121" i="3"/>
  <c r="N123" i="3" s="1"/>
  <c r="N124" i="3" s="1"/>
  <c r="N136" i="3"/>
  <c r="N137" i="3"/>
  <c r="N106" i="3"/>
  <c r="C147" i="3"/>
  <c r="AR1096" i="2"/>
  <c r="U1096" i="2"/>
  <c r="AR1060" i="2"/>
  <c r="U1060" i="2"/>
  <c r="CC1092" i="2"/>
  <c r="BJ1092" i="2"/>
  <c r="BG1092" i="2"/>
  <c r="BG1052" i="2"/>
  <c r="CC1052" i="2"/>
  <c r="BJ1052" i="2"/>
  <c r="AT1065" i="2"/>
  <c r="BE1065" i="2"/>
  <c r="BF1065" i="2" s="1"/>
  <c r="BJ1041" i="2"/>
  <c r="BG1041" i="2"/>
  <c r="CC1041" i="2"/>
  <c r="BG1069" i="2"/>
  <c r="CC1069" i="2"/>
  <c r="BJ1069" i="2"/>
  <c r="CF1049" i="2"/>
  <c r="AL1049" i="2"/>
  <c r="BG1006" i="2"/>
  <c r="CC1006" i="2"/>
  <c r="BJ1006" i="2"/>
  <c r="BG1039" i="2"/>
  <c r="BJ1039" i="2"/>
  <c r="CC1039" i="2"/>
  <c r="AR992" i="2"/>
  <c r="T992" i="2"/>
  <c r="BG1005" i="2"/>
  <c r="CC1005" i="2"/>
  <c r="BJ1005" i="2"/>
  <c r="BG981" i="2"/>
  <c r="CC981" i="2"/>
  <c r="BJ981" i="2"/>
  <c r="BJ975" i="2"/>
  <c r="BG975" i="2"/>
  <c r="CC975" i="2"/>
  <c r="AT949" i="2"/>
  <c r="CF949" i="2" s="1"/>
  <c r="BK949" i="2"/>
  <c r="BL949" i="2" s="1"/>
  <c r="BM949" i="2" s="1"/>
  <c r="BE949" i="2"/>
  <c r="BF949" i="2" s="1"/>
  <c r="BJ968" i="2"/>
  <c r="BG968" i="2"/>
  <c r="CC968" i="2"/>
  <c r="BJ956" i="2"/>
  <c r="BG956" i="2"/>
  <c r="CC956" i="2"/>
  <c r="BI956" i="2"/>
  <c r="BG966" i="2"/>
  <c r="CC966" i="2"/>
  <c r="BJ966" i="2"/>
  <c r="CC939" i="2"/>
  <c r="BG939" i="2"/>
  <c r="BJ939" i="2"/>
  <c r="BJ946" i="2"/>
  <c r="BG946" i="2"/>
  <c r="CC946" i="2"/>
  <c r="BF910" i="2"/>
  <c r="AR880" i="2"/>
  <c r="U880" i="2"/>
  <c r="BJ915" i="2"/>
  <c r="CC915" i="2"/>
  <c r="BG915" i="2"/>
  <c r="BJ843" i="2"/>
  <c r="BG843" i="2"/>
  <c r="CC843" i="2"/>
  <c r="AW943" i="2"/>
  <c r="BP892" i="2"/>
  <c r="BQ892" i="2" s="1"/>
  <c r="BY892" i="2" s="1"/>
  <c r="BN892" i="2"/>
  <c r="BO892" i="2" s="1"/>
  <c r="AR999" i="2"/>
  <c r="T999" i="2"/>
  <c r="AR864" i="2"/>
  <c r="U864" i="2"/>
  <c r="AR844" i="2"/>
  <c r="T844" i="2"/>
  <c r="AR830" i="2"/>
  <c r="T830" i="2"/>
  <c r="T851" i="2"/>
  <c r="BJ812" i="2"/>
  <c r="BG812" i="2"/>
  <c r="CC812" i="2"/>
  <c r="AT771" i="2"/>
  <c r="CF771" i="2" s="1"/>
  <c r="BE771" i="2"/>
  <c r="BF771" i="2" s="1"/>
  <c r="AR822" i="2"/>
  <c r="BE813" i="2"/>
  <c r="BF813" i="2" s="1"/>
  <c r="AT813" i="2"/>
  <c r="CF813" i="2" s="1"/>
  <c r="BG822" i="2"/>
  <c r="CC822" i="2"/>
  <c r="BJ822" i="2"/>
  <c r="AR755" i="2"/>
  <c r="T755" i="2"/>
  <c r="AR776" i="2"/>
  <c r="BI764" i="2"/>
  <c r="CC764" i="2"/>
  <c r="BG764" i="2"/>
  <c r="BJ764" i="2"/>
  <c r="T825" i="2"/>
  <c r="BI779" i="2"/>
  <c r="CC779" i="2"/>
  <c r="BJ779" i="2"/>
  <c r="BG779" i="2"/>
  <c r="BJ760" i="2"/>
  <c r="BG760" i="2"/>
  <c r="BI760" i="2"/>
  <c r="CC760" i="2"/>
  <c r="BJ809" i="2"/>
  <c r="CC809" i="2"/>
  <c r="BG809" i="2"/>
  <c r="AL739" i="2"/>
  <c r="CF739" i="2"/>
  <c r="AR752" i="2"/>
  <c r="T752" i="2"/>
  <c r="AL805" i="2"/>
  <c r="CF805" i="2"/>
  <c r="AL731" i="2"/>
  <c r="CF731" i="2"/>
  <c r="CF785" i="2"/>
  <c r="AL785" i="2"/>
  <c r="BI706" i="2"/>
  <c r="BG706" i="2"/>
  <c r="CC706" i="2"/>
  <c r="BJ706" i="2"/>
  <c r="BI717" i="2"/>
  <c r="BG717" i="2"/>
  <c r="CC717" i="2"/>
  <c r="BJ717" i="2"/>
  <c r="AR1079" i="2"/>
  <c r="U1079" i="2"/>
  <c r="CF732" i="2"/>
  <c r="AL732" i="2"/>
  <c r="AY769" i="2"/>
  <c r="BI769" i="2" s="1"/>
  <c r="AX769" i="2"/>
  <c r="BG716" i="2"/>
  <c r="CC716" i="2"/>
  <c r="BJ716" i="2"/>
  <c r="U671" i="2"/>
  <c r="AR671" i="2"/>
  <c r="T639" i="2"/>
  <c r="AR639" i="2"/>
  <c r="U1053" i="2"/>
  <c r="AR1053" i="2"/>
  <c r="U707" i="2"/>
  <c r="AR707" i="2"/>
  <c r="CC676" i="2"/>
  <c r="BI676" i="2"/>
  <c r="BG676" i="2"/>
  <c r="BJ676" i="2"/>
  <c r="BK649" i="2"/>
  <c r="BL649" i="2" s="1"/>
  <c r="BM649" i="2" s="1"/>
  <c r="AT649" i="2"/>
  <c r="CF649" i="2" s="1"/>
  <c r="BE649" i="2"/>
  <c r="BF649" i="2" s="1"/>
  <c r="U1090" i="2"/>
  <c r="AR1090" i="2"/>
  <c r="T713" i="2"/>
  <c r="AR713" i="2"/>
  <c r="AR692" i="2"/>
  <c r="U692" i="2"/>
  <c r="AR956" i="2"/>
  <c r="U956" i="2"/>
  <c r="BE614" i="2"/>
  <c r="BF614" i="2" s="1"/>
  <c r="AT614" i="2"/>
  <c r="CF614" i="2" s="1"/>
  <c r="AR684" i="2"/>
  <c r="U684" i="2"/>
  <c r="BI591" i="2"/>
  <c r="CC591" i="2"/>
  <c r="BG591" i="2"/>
  <c r="BJ591" i="2"/>
  <c r="U940" i="2"/>
  <c r="AR940" i="2"/>
  <c r="CC626" i="2"/>
  <c r="BG626" i="2"/>
  <c r="BJ626" i="2"/>
  <c r="BI626" i="2"/>
  <c r="BE541" i="2"/>
  <c r="BF541" i="2" s="1"/>
  <c r="AT541" i="2"/>
  <c r="CF541" i="2" s="1"/>
  <c r="CC604" i="2"/>
  <c r="BJ604" i="2"/>
  <c r="BG604" i="2"/>
  <c r="BI562" i="2"/>
  <c r="CC562" i="2"/>
  <c r="BJ562" i="2"/>
  <c r="BG562" i="2"/>
  <c r="BI552" i="2"/>
  <c r="BG552" i="2"/>
  <c r="CC552" i="2"/>
  <c r="BJ552" i="2"/>
  <c r="U791" i="2"/>
  <c r="AR791" i="2"/>
  <c r="CC532" i="2"/>
  <c r="BJ532" i="2"/>
  <c r="BI532" i="2"/>
  <c r="BG532" i="2"/>
  <c r="AT542" i="2"/>
  <c r="CF542" i="2" s="1"/>
  <c r="BE542" i="2"/>
  <c r="BF542" i="2" s="1"/>
  <c r="CC592" i="2"/>
  <c r="BG592" i="2"/>
  <c r="BJ592" i="2"/>
  <c r="BI592" i="2"/>
  <c r="AW595" i="2"/>
  <c r="BP498" i="2"/>
  <c r="BQ498" i="2" s="1"/>
  <c r="BY498" i="2" s="1"/>
  <c r="BK525" i="2"/>
  <c r="BL525" i="2" s="1"/>
  <c r="BM525" i="2" s="1"/>
  <c r="BJ528" i="2"/>
  <c r="CC528" i="2"/>
  <c r="BG528" i="2"/>
  <c r="AR635" i="2"/>
  <c r="T635" i="2"/>
  <c r="CC442" i="2"/>
  <c r="BJ442" i="2"/>
  <c r="BG442" i="2"/>
  <c r="AT427" i="2"/>
  <c r="CF427" i="2" s="1"/>
  <c r="BE427" i="2"/>
  <c r="BF427" i="2" s="1"/>
  <c r="AW620" i="2"/>
  <c r="BN523" i="2"/>
  <c r="BO523" i="2" s="1"/>
  <c r="BP523" i="2"/>
  <c r="BQ523" i="2" s="1"/>
  <c r="BY523" i="2" s="1"/>
  <c r="BI438" i="2"/>
  <c r="BJ438" i="2"/>
  <c r="CC438" i="2"/>
  <c r="BG438" i="2"/>
  <c r="BK423" i="2"/>
  <c r="BL423" i="2" s="1"/>
  <c r="BM423" i="2" s="1"/>
  <c r="AT423" i="2"/>
  <c r="CF423" i="2" s="1"/>
  <c r="BE423" i="2"/>
  <c r="BF423" i="2" s="1"/>
  <c r="BI340" i="2"/>
  <c r="BJ340" i="2"/>
  <c r="BG340" i="2"/>
  <c r="CC340" i="2"/>
  <c r="BG359" i="2"/>
  <c r="CC359" i="2"/>
  <c r="BJ359" i="2"/>
  <c r="BP432" i="2"/>
  <c r="BQ432" i="2" s="1"/>
  <c r="BY432" i="2" s="1"/>
  <c r="BN432" i="2"/>
  <c r="BO432" i="2" s="1"/>
  <c r="AW529" i="2"/>
  <c r="AY410" i="2"/>
  <c r="AX410" i="2"/>
  <c r="J60" i="3"/>
  <c r="J64" i="3" s="1"/>
  <c r="J65" i="3"/>
  <c r="J75" i="3" s="1"/>
  <c r="AW591" i="2"/>
  <c r="BP494" i="2"/>
  <c r="BQ494" i="2" s="1"/>
  <c r="BY494" i="2" s="1"/>
  <c r="BN494" i="2"/>
  <c r="BO494" i="2" s="1"/>
  <c r="BG375" i="2"/>
  <c r="CC375" i="2"/>
  <c r="BJ375" i="2"/>
  <c r="BG341" i="2"/>
  <c r="CC341" i="2"/>
  <c r="BJ341" i="2"/>
  <c r="BJ260" i="2"/>
  <c r="BG260" i="2"/>
  <c r="CC260" i="2"/>
  <c r="BG379" i="2"/>
  <c r="BJ379" i="2"/>
  <c r="CC379" i="2"/>
  <c r="BG366" i="2"/>
  <c r="CC366" i="2"/>
  <c r="BJ366" i="2"/>
  <c r="BG321" i="2"/>
  <c r="CC321" i="2"/>
  <c r="BJ321" i="2"/>
  <c r="BI321" i="2"/>
  <c r="BE323" i="2"/>
  <c r="BF323" i="2" s="1"/>
  <c r="AT323" i="2"/>
  <c r="CF323" i="2" s="1"/>
  <c r="BI334" i="2"/>
  <c r="CC334" i="2"/>
  <c r="BJ334" i="2"/>
  <c r="BG334" i="2"/>
  <c r="BG314" i="2"/>
  <c r="CC314" i="2"/>
  <c r="BJ314" i="2"/>
  <c r="AR186" i="2"/>
  <c r="T186" i="2"/>
  <c r="U186" i="2"/>
  <c r="CC304" i="2"/>
  <c r="BJ304" i="2"/>
  <c r="BI304" i="2"/>
  <c r="BG304" i="2"/>
  <c r="AR228" i="2"/>
  <c r="U228" i="2"/>
  <c r="BG332" i="2"/>
  <c r="CC332" i="2"/>
  <c r="BJ332" i="2"/>
  <c r="BI332" i="2"/>
  <c r="BK215" i="2"/>
  <c r="BL215" i="2" s="1"/>
  <c r="BM215" i="2" s="1"/>
  <c r="AY185" i="2"/>
  <c r="AX185" i="2"/>
  <c r="BG176" i="2"/>
  <c r="BJ176" i="2"/>
  <c r="CC176" i="2"/>
  <c r="AY323" i="2"/>
  <c r="BK323" i="2" s="1"/>
  <c r="BL323" i="2" s="1"/>
  <c r="BM323" i="2" s="1"/>
  <c r="AX323" i="2"/>
  <c r="BG93" i="2"/>
  <c r="BJ93" i="2"/>
  <c r="BI93" i="2"/>
  <c r="CC93" i="2"/>
  <c r="BN242" i="2"/>
  <c r="BO242" i="2" s="1"/>
  <c r="AW339" i="2"/>
  <c r="BP242" i="2"/>
  <c r="BQ242" i="2" s="1"/>
  <c r="BY242" i="2" s="1"/>
  <c r="BK242" i="2"/>
  <c r="BL242" i="2" s="1"/>
  <c r="BM242" i="2" s="1"/>
  <c r="BG138" i="2"/>
  <c r="BJ138" i="2"/>
  <c r="BI138" i="2"/>
  <c r="CC138" i="2"/>
  <c r="AW296" i="2"/>
  <c r="BP199" i="2"/>
  <c r="BQ199" i="2" s="1"/>
  <c r="BY199" i="2" s="1"/>
  <c r="BN199" i="2"/>
  <c r="BO199" i="2" s="1"/>
  <c r="BI227" i="2"/>
  <c r="BG227" i="2"/>
  <c r="BJ227" i="2"/>
  <c r="CC227" i="2"/>
  <c r="BJ139" i="2"/>
  <c r="BI139" i="2"/>
  <c r="CC139" i="2"/>
  <c r="BG139" i="2"/>
  <c r="AX175" i="2"/>
  <c r="AY175" i="2"/>
  <c r="BI175" i="2" s="1"/>
  <c r="T152" i="2"/>
  <c r="AR152" i="2"/>
  <c r="BK200" i="2"/>
  <c r="BL200" i="2" s="1"/>
  <c r="BM200" i="2" s="1"/>
  <c r="BK199" i="2"/>
  <c r="BL199" i="2" s="1"/>
  <c r="BM199" i="2" s="1"/>
  <c r="BG175" i="2"/>
  <c r="BJ175" i="2"/>
  <c r="CC175" i="2"/>
  <c r="CC82" i="2"/>
  <c r="BJ82" i="2"/>
  <c r="BI82" i="2"/>
  <c r="BG82" i="2"/>
  <c r="BG13" i="2"/>
  <c r="CC13" i="2"/>
  <c r="BJ13" i="2"/>
  <c r="BI13" i="2"/>
  <c r="CC19" i="2"/>
  <c r="BJ19" i="2"/>
  <c r="BI19" i="2"/>
  <c r="BG19" i="2"/>
  <c r="AY164" i="2"/>
  <c r="BI164" i="2" s="1"/>
  <c r="AX164" i="2"/>
  <c r="BJ133" i="2"/>
  <c r="BI133" i="2"/>
  <c r="CC133" i="2"/>
  <c r="BG133" i="2"/>
  <c r="D114" i="4"/>
  <c r="F115" i="4"/>
  <c r="E115" i="4"/>
  <c r="L115" i="4"/>
  <c r="M121" i="3"/>
  <c r="M123" i="3" s="1"/>
  <c r="M124" i="3" s="1"/>
  <c r="CC1085" i="2"/>
  <c r="BJ1085" i="2"/>
  <c r="BG1085" i="2"/>
  <c r="E136" i="3"/>
  <c r="H115" i="4" s="1"/>
  <c r="E137" i="3"/>
  <c r="G115" i="4" s="1"/>
  <c r="E106" i="3"/>
  <c r="AR1087" i="2"/>
  <c r="U1087" i="2"/>
  <c r="BG1050" i="2"/>
  <c r="CC1050" i="2"/>
  <c r="BJ1050" i="2"/>
  <c r="AR1041" i="2"/>
  <c r="T1041" i="2"/>
  <c r="T1040" i="2"/>
  <c r="AR1040" i="2"/>
  <c r="T1014" i="2"/>
  <c r="AR1014" i="2"/>
  <c r="BG1058" i="2"/>
  <c r="CC1058" i="2"/>
  <c r="BJ1058" i="2"/>
  <c r="T1005" i="2"/>
  <c r="AR1005" i="2"/>
  <c r="CC1062" i="2"/>
  <c r="BJ1062" i="2"/>
  <c r="BG1062" i="2"/>
  <c r="CC978" i="2"/>
  <c r="BG978" i="2"/>
  <c r="BJ978" i="2"/>
  <c r="BJ998" i="2"/>
  <c r="CC998" i="2"/>
  <c r="BG998" i="2"/>
  <c r="T1002" i="2"/>
  <c r="AR1002" i="2"/>
  <c r="CC947" i="2"/>
  <c r="BJ947" i="2"/>
  <c r="BI947" i="2"/>
  <c r="BG947" i="2"/>
  <c r="AT969" i="2"/>
  <c r="CF969" i="2" s="1"/>
  <c r="BE969" i="2"/>
  <c r="BF969" i="2" s="1"/>
  <c r="AR950" i="2"/>
  <c r="U950" i="2"/>
  <c r="CC903" i="2"/>
  <c r="BJ903" i="2"/>
  <c r="BG903" i="2"/>
  <c r="AR932" i="2"/>
  <c r="U932" i="2"/>
  <c r="AR910" i="2"/>
  <c r="U910" i="2"/>
  <c r="BJ925" i="2"/>
  <c r="BG925" i="2"/>
  <c r="CC925" i="2"/>
  <c r="AR916" i="2"/>
  <c r="U916" i="2"/>
  <c r="U903" i="2"/>
  <c r="CC870" i="2"/>
  <c r="BG870" i="2"/>
  <c r="BJ870" i="2"/>
  <c r="CC879" i="2"/>
  <c r="BG879" i="2"/>
  <c r="BJ879" i="2"/>
  <c r="T1000" i="2"/>
  <c r="AR1000" i="2"/>
  <c r="CC887" i="2"/>
  <c r="BG887" i="2"/>
  <c r="BJ887" i="2"/>
  <c r="AR843" i="2"/>
  <c r="T843" i="2"/>
  <c r="U869" i="2"/>
  <c r="AR869" i="2"/>
  <c r="BE886" i="2"/>
  <c r="BF886" i="2" s="1"/>
  <c r="AT886" i="2"/>
  <c r="CF886" i="2" s="1"/>
  <c r="BG872" i="2"/>
  <c r="CC872" i="2"/>
  <c r="BJ872" i="2"/>
  <c r="BE853" i="2"/>
  <c r="BF853" i="2" s="1"/>
  <c r="AT853" i="2"/>
  <c r="CF853" i="2" s="1"/>
  <c r="U872" i="2"/>
  <c r="T751" i="2"/>
  <c r="AR751" i="2"/>
  <c r="BG818" i="2"/>
  <c r="BI818" i="2"/>
  <c r="CC818" i="2"/>
  <c r="BJ818" i="2"/>
  <c r="T837" i="2"/>
  <c r="AL790" i="2"/>
  <c r="CF790" i="2"/>
  <c r="BE752" i="2"/>
  <c r="BF752" i="2" s="1"/>
  <c r="AT752" i="2"/>
  <c r="BE750" i="2"/>
  <c r="BF750" i="2" s="1"/>
  <c r="AT750" i="2"/>
  <c r="BG806" i="2"/>
  <c r="BI806" i="2"/>
  <c r="BJ806" i="2"/>
  <c r="CC806" i="2"/>
  <c r="AR736" i="2"/>
  <c r="T736" i="2"/>
  <c r="T757" i="2"/>
  <c r="CF762" i="2"/>
  <c r="AL762" i="2"/>
  <c r="AR820" i="2"/>
  <c r="T820" i="2"/>
  <c r="BG829" i="2"/>
  <c r="CC829" i="2"/>
  <c r="BJ829" i="2"/>
  <c r="BG820" i="2"/>
  <c r="CC820" i="2"/>
  <c r="BJ820" i="2"/>
  <c r="BK794" i="2"/>
  <c r="BL794" i="2" s="1"/>
  <c r="BM794" i="2" s="1"/>
  <c r="U776" i="2"/>
  <c r="BG753" i="2"/>
  <c r="CC753" i="2"/>
  <c r="BJ753" i="2"/>
  <c r="AR706" i="2"/>
  <c r="U706" i="2"/>
  <c r="BJ784" i="2"/>
  <c r="CC784" i="2"/>
  <c r="BG784" i="2"/>
  <c r="CC743" i="2"/>
  <c r="BJ743" i="2"/>
  <c r="BG743" i="2"/>
  <c r="AR1070" i="2"/>
  <c r="U1070" i="2"/>
  <c r="AR785" i="2"/>
  <c r="U785" i="2"/>
  <c r="CC700" i="2"/>
  <c r="BJ700" i="2"/>
  <c r="BG700" i="2"/>
  <c r="AR681" i="2"/>
  <c r="U681" i="2"/>
  <c r="BG670" i="2"/>
  <c r="CC670" i="2"/>
  <c r="BJ670" i="2"/>
  <c r="CC645" i="2"/>
  <c r="BI645" i="2"/>
  <c r="BJ645" i="2"/>
  <c r="BG645" i="2"/>
  <c r="BG631" i="2"/>
  <c r="BJ631" i="2"/>
  <c r="CC631" i="2"/>
  <c r="AR727" i="2"/>
  <c r="U727" i="2"/>
  <c r="AW726" i="2"/>
  <c r="BN621" i="2"/>
  <c r="BO621" i="2" s="1"/>
  <c r="BP621" i="2"/>
  <c r="BQ621" i="2" s="1"/>
  <c r="BY621" i="2" s="1"/>
  <c r="BK621" i="2"/>
  <c r="BL621" i="2" s="1"/>
  <c r="BM621" i="2" s="1"/>
  <c r="CC667" i="2"/>
  <c r="BJ667" i="2"/>
  <c r="BG667" i="2"/>
  <c r="AR592" i="2"/>
  <c r="U592" i="2"/>
  <c r="AR686" i="2"/>
  <c r="U686" i="2"/>
  <c r="T650" i="2"/>
  <c r="AR650" i="2"/>
  <c r="CC597" i="2"/>
  <c r="BJ597" i="2"/>
  <c r="BI597" i="2"/>
  <c r="BG597" i="2"/>
  <c r="AR597" i="2"/>
  <c r="U597" i="2"/>
  <c r="U929" i="2"/>
  <c r="AR929" i="2"/>
  <c r="AR601" i="2"/>
  <c r="U601" i="2"/>
  <c r="BJ539" i="2"/>
  <c r="CC539" i="2"/>
  <c r="BG539" i="2"/>
  <c r="AW615" i="2"/>
  <c r="BN518" i="2"/>
  <c r="BO518" i="2" s="1"/>
  <c r="BP518" i="2"/>
  <c r="BQ518" i="2" s="1"/>
  <c r="BY518" i="2" s="1"/>
  <c r="U930" i="2"/>
  <c r="AR930" i="2"/>
  <c r="T541" i="2"/>
  <c r="BJ578" i="2"/>
  <c r="CC578" i="2"/>
  <c r="BI578" i="2"/>
  <c r="BG578" i="2"/>
  <c r="CC545" i="2"/>
  <c r="BJ545" i="2"/>
  <c r="BG545" i="2"/>
  <c r="CC518" i="2"/>
  <c r="BJ518" i="2"/>
  <c r="BI518" i="2"/>
  <c r="BG518" i="2"/>
  <c r="T578" i="2"/>
  <c r="BJ505" i="2"/>
  <c r="BG505" i="2"/>
  <c r="CC505" i="2"/>
  <c r="U512" i="2"/>
  <c r="AR512" i="2"/>
  <c r="J139" i="3"/>
  <c r="J138" i="3"/>
  <c r="BK506" i="2"/>
  <c r="BL506" i="2" s="1"/>
  <c r="BM506" i="2" s="1"/>
  <c r="BJ525" i="2"/>
  <c r="BI525" i="2"/>
  <c r="CC525" i="2"/>
  <c r="BG525" i="2"/>
  <c r="AW593" i="2"/>
  <c r="BP496" i="2"/>
  <c r="BQ496" i="2" s="1"/>
  <c r="BY496" i="2" s="1"/>
  <c r="BN496" i="2"/>
  <c r="BO496" i="2" s="1"/>
  <c r="CC426" i="2"/>
  <c r="BI426" i="2"/>
  <c r="BG426" i="2"/>
  <c r="BJ426" i="2"/>
  <c r="CC469" i="2"/>
  <c r="BG469" i="2"/>
  <c r="BJ469" i="2"/>
  <c r="AY519" i="2"/>
  <c r="BI519" i="2" s="1"/>
  <c r="AX519" i="2"/>
  <c r="BJ419" i="2"/>
  <c r="CC419" i="2"/>
  <c r="BI419" i="2"/>
  <c r="BG419" i="2"/>
  <c r="CC383" i="2"/>
  <c r="BG383" i="2"/>
  <c r="BJ383" i="2"/>
  <c r="BG351" i="2"/>
  <c r="BJ351" i="2"/>
  <c r="CC351" i="2"/>
  <c r="BG324" i="2"/>
  <c r="CC324" i="2"/>
  <c r="BJ324" i="2"/>
  <c r="BI324" i="2"/>
  <c r="AY505" i="2"/>
  <c r="BI505" i="2" s="1"/>
  <c r="AX505" i="2"/>
  <c r="BG308" i="2"/>
  <c r="CC308" i="2"/>
  <c r="BJ308" i="2"/>
  <c r="AT349" i="2"/>
  <c r="CF349" i="2" s="1"/>
  <c r="BE349" i="2"/>
  <c r="BF349" i="2" s="1"/>
  <c r="CC309" i="2"/>
  <c r="BG309" i="2"/>
  <c r="BJ309" i="2"/>
  <c r="BI309" i="2"/>
  <c r="BJ257" i="2"/>
  <c r="BG257" i="2"/>
  <c r="CC257" i="2"/>
  <c r="BG317" i="2"/>
  <c r="CC317" i="2"/>
  <c r="BJ317" i="2"/>
  <c r="BI317" i="2"/>
  <c r="BG250" i="2"/>
  <c r="BJ250" i="2"/>
  <c r="CC250" i="2"/>
  <c r="BG320" i="2"/>
  <c r="CC320" i="2"/>
  <c r="BJ320" i="2"/>
  <c r="BI320" i="2"/>
  <c r="BJ143" i="2"/>
  <c r="BG143" i="2"/>
  <c r="CC143" i="2"/>
  <c r="BI143" i="2"/>
  <c r="BG108" i="2"/>
  <c r="CC108" i="2"/>
  <c r="BJ108" i="2"/>
  <c r="BI108" i="2"/>
  <c r="BG96" i="2"/>
  <c r="CC96" i="2"/>
  <c r="BJ96" i="2"/>
  <c r="BI96" i="2"/>
  <c r="BI224" i="2"/>
  <c r="BG224" i="2"/>
  <c r="CC224" i="2"/>
  <c r="BJ224" i="2"/>
  <c r="BG132" i="2"/>
  <c r="BI132" i="2"/>
  <c r="CC132" i="2"/>
  <c r="BJ132" i="2"/>
  <c r="AW340" i="2"/>
  <c r="BP243" i="2"/>
  <c r="BQ243" i="2" s="1"/>
  <c r="BY243" i="2" s="1"/>
  <c r="BN243" i="2"/>
  <c r="BO243" i="2" s="1"/>
  <c r="AW326" i="2"/>
  <c r="BP229" i="2"/>
  <c r="BQ229" i="2" s="1"/>
  <c r="BY229" i="2" s="1"/>
  <c r="BN229" i="2"/>
  <c r="BO229" i="2" s="1"/>
  <c r="BK239" i="2"/>
  <c r="BL239" i="2" s="1"/>
  <c r="BM239" i="2" s="1"/>
  <c r="AY162" i="2"/>
  <c r="BI162" i="2" s="1"/>
  <c r="AX162" i="2"/>
  <c r="AW307" i="2"/>
  <c r="BN210" i="2"/>
  <c r="BO210" i="2" s="1"/>
  <c r="BP210" i="2"/>
  <c r="BQ210" i="2" s="1"/>
  <c r="BY210" i="2" s="1"/>
  <c r="AW319" i="2"/>
  <c r="BP222" i="2"/>
  <c r="BQ222" i="2" s="1"/>
  <c r="BY222" i="2" s="1"/>
  <c r="BN222" i="2"/>
  <c r="BO222" i="2" s="1"/>
  <c r="BK228" i="2"/>
  <c r="BL228" i="2" s="1"/>
  <c r="BM228" i="2" s="1"/>
  <c r="AX208" i="2"/>
  <c r="AY208" i="2"/>
  <c r="AR12" i="2"/>
  <c r="T12" i="2"/>
  <c r="BI233" i="2"/>
  <c r="BG233" i="2"/>
  <c r="BJ233" i="2"/>
  <c r="CC233" i="2"/>
  <c r="BJ134" i="2"/>
  <c r="CC134" i="2"/>
  <c r="BI134" i="2"/>
  <c r="BG134" i="2"/>
  <c r="AX205" i="2"/>
  <c r="AY205" i="2"/>
  <c r="AY150" i="2"/>
  <c r="AX150" i="2"/>
  <c r="AY149" i="2"/>
  <c r="BI149" i="2" s="1"/>
  <c r="AX149" i="2"/>
  <c r="AX219" i="2"/>
  <c r="AY219" i="2"/>
  <c r="CC88" i="2"/>
  <c r="BJ88" i="2"/>
  <c r="BI88" i="2"/>
  <c r="BG88" i="2"/>
  <c r="AW253" i="2"/>
  <c r="BN181" i="2"/>
  <c r="BO181" i="2" s="1"/>
  <c r="BP181" i="2"/>
  <c r="BQ181" i="2" s="1"/>
  <c r="BY181" i="2" s="1"/>
  <c r="AR1081" i="2"/>
  <c r="U1081" i="2"/>
  <c r="BG1067" i="2"/>
  <c r="CC1067" i="2"/>
  <c r="CF1062" i="2"/>
  <c r="AL1062" i="2"/>
  <c r="BJ1071" i="2"/>
  <c r="CC1071" i="2"/>
  <c r="BG1071" i="2"/>
  <c r="BJ1034" i="2"/>
  <c r="BG1034" i="2"/>
  <c r="CC1034" i="2"/>
  <c r="BJ1061" i="2"/>
  <c r="CC1061" i="2"/>
  <c r="BG1061" i="2"/>
  <c r="CC1032" i="2"/>
  <c r="BJ1032" i="2"/>
  <c r="BG1032" i="2"/>
  <c r="AR1004" i="2"/>
  <c r="T1004" i="2"/>
  <c r="CC1009" i="2"/>
  <c r="BJ1009" i="2"/>
  <c r="BG1009" i="2"/>
  <c r="BJ999" i="2"/>
  <c r="CC999" i="2"/>
  <c r="BG999" i="2"/>
  <c r="BJ995" i="2"/>
  <c r="BG995" i="2"/>
  <c r="CC995" i="2"/>
  <c r="AR995" i="2"/>
  <c r="T995" i="2"/>
  <c r="T990" i="2"/>
  <c r="AR990" i="2"/>
  <c r="BJ961" i="2"/>
  <c r="BG961" i="2"/>
  <c r="CC961" i="2"/>
  <c r="BI961" i="2"/>
  <c r="AR948" i="2"/>
  <c r="U948" i="2"/>
  <c r="AX1067" i="2"/>
  <c r="AY1067" i="2"/>
  <c r="AX948" i="2"/>
  <c r="AY948" i="2"/>
  <c r="BI948" i="2" s="1"/>
  <c r="U874" i="2"/>
  <c r="AR874" i="2"/>
  <c r="AR911" i="2"/>
  <c r="U911" i="2"/>
  <c r="AR879" i="2"/>
  <c r="U897" i="2"/>
  <c r="U877" i="2"/>
  <c r="U890" i="2"/>
  <c r="AR860" i="2"/>
  <c r="BG869" i="2"/>
  <c r="BJ869" i="2"/>
  <c r="CC869" i="2"/>
  <c r="BG821" i="2"/>
  <c r="CC821" i="2"/>
  <c r="BJ821" i="2"/>
  <c r="AR816" i="2"/>
  <c r="U816" i="2"/>
  <c r="CF818" i="2"/>
  <c r="AL818" i="2"/>
  <c r="T749" i="2"/>
  <c r="AR749" i="2"/>
  <c r="AR817" i="2"/>
  <c r="U817" i="2"/>
  <c r="CC790" i="2"/>
  <c r="BJ790" i="2"/>
  <c r="BI790" i="2"/>
  <c r="BG790" i="2"/>
  <c r="AR968" i="2"/>
  <c r="T968" i="2"/>
  <c r="AL779" i="2"/>
  <c r="CF779" i="2"/>
  <c r="CF770" i="2"/>
  <c r="AL770" i="2"/>
  <c r="CF781" i="2"/>
  <c r="AL781" i="2"/>
  <c r="BE714" i="2"/>
  <c r="BF714" i="2" s="1"/>
  <c r="AT714" i="2"/>
  <c r="CF714" i="2" s="1"/>
  <c r="AL753" i="2"/>
  <c r="CF753" i="2"/>
  <c r="CF784" i="2"/>
  <c r="AL784" i="2"/>
  <c r="BG819" i="2"/>
  <c r="BJ819" i="2"/>
  <c r="BI819" i="2"/>
  <c r="CC819" i="2"/>
  <c r="CC747" i="2"/>
  <c r="BJ747" i="2"/>
  <c r="BG747" i="2"/>
  <c r="AT693" i="2"/>
  <c r="CF693" i="2" s="1"/>
  <c r="BE693" i="2"/>
  <c r="BF693" i="2" s="1"/>
  <c r="AT698" i="2"/>
  <c r="CF698" i="2" s="1"/>
  <c r="BE698" i="2"/>
  <c r="BF698" i="2" s="1"/>
  <c r="AR722" i="2"/>
  <c r="T722" i="2"/>
  <c r="AR631" i="2"/>
  <c r="AR669" i="2"/>
  <c r="U669" i="2"/>
  <c r="T656" i="2"/>
  <c r="AR656" i="2"/>
  <c r="BG647" i="2"/>
  <c r="CC647" i="2"/>
  <c r="BJ647" i="2"/>
  <c r="BI647" i="2"/>
  <c r="U704" i="2"/>
  <c r="AR704" i="2"/>
  <c r="AR660" i="2"/>
  <c r="AR953" i="2"/>
  <c r="U953" i="2"/>
  <c r="AR609" i="2"/>
  <c r="U609" i="2"/>
  <c r="BJ642" i="2"/>
  <c r="BG642" i="2"/>
  <c r="CC642" i="2"/>
  <c r="AR931" i="2"/>
  <c r="U931" i="2"/>
  <c r="BJ630" i="2"/>
  <c r="BG630" i="2"/>
  <c r="CC630" i="2"/>
  <c r="BI630" i="2"/>
  <c r="BJ588" i="2"/>
  <c r="BG588" i="2"/>
  <c r="CC588" i="2"/>
  <c r="BJ611" i="2"/>
  <c r="CC611" i="2"/>
  <c r="BG611" i="2"/>
  <c r="AR1071" i="2"/>
  <c r="U1071" i="2"/>
  <c r="AR559" i="2"/>
  <c r="T559" i="2"/>
  <c r="AR1080" i="2"/>
  <c r="U1080" i="2"/>
  <c r="AT583" i="2"/>
  <c r="CF583" i="2" s="1"/>
  <c r="BE583" i="2"/>
  <c r="BF583" i="2" s="1"/>
  <c r="AT571" i="2"/>
  <c r="CF571" i="2" s="1"/>
  <c r="BE571" i="2"/>
  <c r="BF571" i="2" s="1"/>
  <c r="AR924" i="2"/>
  <c r="U924" i="2"/>
  <c r="T634" i="2"/>
  <c r="AR634" i="2"/>
  <c r="CC563" i="2"/>
  <c r="BJ563" i="2"/>
  <c r="BG563" i="2"/>
  <c r="U1066" i="2"/>
  <c r="AR1066" i="2"/>
  <c r="BJ551" i="2"/>
  <c r="CC551" i="2"/>
  <c r="BG551" i="2"/>
  <c r="BI497" i="2"/>
  <c r="BJ497" i="2"/>
  <c r="BG497" i="2"/>
  <c r="CC497" i="2"/>
  <c r="BE561" i="2"/>
  <c r="BF561" i="2" s="1"/>
  <c r="AT561" i="2"/>
  <c r="CF561" i="2" s="1"/>
  <c r="BI514" i="2"/>
  <c r="BG514" i="2"/>
  <c r="CC514" i="2"/>
  <c r="BJ514" i="2"/>
  <c r="U496" i="2"/>
  <c r="AR496" i="2"/>
  <c r="BJ512" i="2"/>
  <c r="BG512" i="2"/>
  <c r="CC512" i="2"/>
  <c r="BJ448" i="2"/>
  <c r="CC448" i="2"/>
  <c r="BG448" i="2"/>
  <c r="BG553" i="2"/>
  <c r="BJ553" i="2"/>
  <c r="CC553" i="2"/>
  <c r="AR563" i="2"/>
  <c r="U589" i="2"/>
  <c r="BG601" i="2"/>
  <c r="CC601" i="2"/>
  <c r="BJ601" i="2"/>
  <c r="I77" i="3"/>
  <c r="BI504" i="2"/>
  <c r="BJ504" i="2"/>
  <c r="CC504" i="2"/>
  <c r="BG504" i="2"/>
  <c r="CC463" i="2"/>
  <c r="BJ463" i="2"/>
  <c r="BG463" i="2"/>
  <c r="BJ513" i="2"/>
  <c r="BG513" i="2"/>
  <c r="CC513" i="2"/>
  <c r="CC471" i="2"/>
  <c r="BJ471" i="2"/>
  <c r="BG471" i="2"/>
  <c r="AW632" i="2"/>
  <c r="BP535" i="2"/>
  <c r="BQ535" i="2" s="1"/>
  <c r="BY535" i="2" s="1"/>
  <c r="BN535" i="2"/>
  <c r="BO535" i="2" s="1"/>
  <c r="BG521" i="2"/>
  <c r="CC521" i="2"/>
  <c r="BJ521" i="2"/>
  <c r="BI521" i="2"/>
  <c r="CC374" i="2"/>
  <c r="BG374" i="2"/>
  <c r="BJ374" i="2"/>
  <c r="BI406" i="2"/>
  <c r="BJ406" i="2"/>
  <c r="CC406" i="2"/>
  <c r="BG406" i="2"/>
  <c r="AR368" i="2"/>
  <c r="T368" i="2"/>
  <c r="BG378" i="2"/>
  <c r="CC378" i="2"/>
  <c r="BJ378" i="2"/>
  <c r="J140" i="3"/>
  <c r="CC367" i="2"/>
  <c r="BJ367" i="2"/>
  <c r="BG367" i="2"/>
  <c r="M138" i="3"/>
  <c r="M139" i="3"/>
  <c r="BJ303" i="2"/>
  <c r="BG287" i="2"/>
  <c r="CC287" i="2"/>
  <c r="BJ287" i="2"/>
  <c r="BG356" i="2"/>
  <c r="CC356" i="2"/>
  <c r="BJ356" i="2"/>
  <c r="AW500" i="2"/>
  <c r="BP403" i="2"/>
  <c r="BQ403" i="2" s="1"/>
  <c r="BY403" i="2" s="1"/>
  <c r="BN403" i="2"/>
  <c r="BO403" i="2" s="1"/>
  <c r="BI235" i="2"/>
  <c r="BG235" i="2"/>
  <c r="CC235" i="2"/>
  <c r="BJ235" i="2"/>
  <c r="BJ173" i="2"/>
  <c r="BG173" i="2"/>
  <c r="CC173" i="2"/>
  <c r="BJ234" i="2"/>
  <c r="BI234" i="2"/>
  <c r="BG234" i="2"/>
  <c r="CC234" i="2"/>
  <c r="BJ254" i="2"/>
  <c r="BG254" i="2"/>
  <c r="CC254" i="2"/>
  <c r="BJ140" i="2"/>
  <c r="CC140" i="2"/>
  <c r="BI140" i="2"/>
  <c r="BG140" i="2"/>
  <c r="CC18" i="2"/>
  <c r="BJ18" i="2"/>
  <c r="BI18" i="2"/>
  <c r="BG18" i="2"/>
  <c r="BG181" i="2"/>
  <c r="BJ181" i="2"/>
  <c r="BI181" i="2"/>
  <c r="CC181" i="2"/>
  <c r="BK169" i="2"/>
  <c r="BL169" i="2" s="1"/>
  <c r="BM169" i="2" s="1"/>
  <c r="BE169" i="2"/>
  <c r="BF169" i="2" s="1"/>
  <c r="AT169" i="2"/>
  <c r="CF169" i="2" s="1"/>
  <c r="AW320" i="2"/>
  <c r="BP223" i="2"/>
  <c r="BQ223" i="2" s="1"/>
  <c r="BY223" i="2" s="1"/>
  <c r="BN223" i="2"/>
  <c r="BO223" i="2" s="1"/>
  <c r="AW300" i="2"/>
  <c r="BP203" i="2"/>
  <c r="BQ203" i="2" s="1"/>
  <c r="BY203" i="2" s="1"/>
  <c r="BN203" i="2"/>
  <c r="BO203" i="2" s="1"/>
  <c r="AX159" i="2"/>
  <c r="AY159" i="2"/>
  <c r="BI159" i="2" s="1"/>
  <c r="BG174" i="2"/>
  <c r="BJ174" i="2"/>
  <c r="CC174" i="2"/>
  <c r="BI174" i="2"/>
  <c r="BN103" i="2"/>
  <c r="BO103" i="2" s="1"/>
  <c r="AW241" i="2"/>
  <c r="BP103" i="2"/>
  <c r="BQ103" i="2" s="1"/>
  <c r="BY103" i="2" s="1"/>
  <c r="BJ119" i="2"/>
  <c r="BI119" i="2"/>
  <c r="AY209" i="2"/>
  <c r="AX209" i="2"/>
  <c r="AW337" i="2"/>
  <c r="BP240" i="2"/>
  <c r="BQ240" i="2" s="1"/>
  <c r="BY240" i="2" s="1"/>
  <c r="BN240" i="2"/>
  <c r="BO240" i="2" s="1"/>
  <c r="BI228" i="2"/>
  <c r="CC228" i="2"/>
  <c r="BJ136" i="2"/>
  <c r="BI136" i="2"/>
  <c r="CC136" i="2"/>
  <c r="BG136" i="2"/>
  <c r="BG48" i="2"/>
  <c r="BJ48" i="2"/>
  <c r="BI48" i="2"/>
  <c r="CC48" i="2"/>
  <c r="BJ37" i="2"/>
  <c r="BI37" i="2"/>
  <c r="BG37" i="2"/>
  <c r="CC37" i="2"/>
  <c r="AR9" i="2"/>
  <c r="U9" i="2"/>
  <c r="T9" i="2"/>
  <c r="BG168" i="2"/>
  <c r="BJ168" i="2"/>
  <c r="CC168" i="2"/>
  <c r="BG144" i="2"/>
  <c r="CC144" i="2"/>
  <c r="BJ144" i="2"/>
  <c r="BI144" i="2"/>
  <c r="AY188" i="2"/>
  <c r="BI188" i="2" s="1"/>
  <c r="AX188" i="2"/>
  <c r="CC25" i="2"/>
  <c r="BJ25" i="2"/>
  <c r="BI25" i="2"/>
  <c r="BG25" i="2"/>
  <c r="BG117" i="2"/>
  <c r="CC117" i="2"/>
  <c r="BJ117" i="2"/>
  <c r="BI117" i="2"/>
  <c r="AY160" i="2"/>
  <c r="BK160" i="2" s="1"/>
  <c r="BL160" i="2" s="1"/>
  <c r="BM160" i="2" s="1"/>
  <c r="AX214" i="2"/>
  <c r="AY214" i="2"/>
  <c r="AY168" i="2"/>
  <c r="BI168" i="2" s="1"/>
  <c r="AX168" i="2"/>
  <c r="CC79" i="2"/>
  <c r="BJ79" i="2"/>
  <c r="BI79" i="2"/>
  <c r="BG79" i="2"/>
  <c r="BJ56" i="2"/>
  <c r="BG56" i="2"/>
  <c r="CC56" i="2"/>
  <c r="BI56" i="2"/>
  <c r="BK103" i="2"/>
  <c r="BL103" i="2" s="1"/>
  <c r="BM103" i="2" s="1"/>
  <c r="AW282" i="2"/>
  <c r="BN178" i="2"/>
  <c r="BO178" i="2" s="1"/>
  <c r="BP178" i="2"/>
  <c r="BQ178" i="2" s="1"/>
  <c r="BY178" i="2" s="1"/>
  <c r="BK178" i="2"/>
  <c r="BL178" i="2" s="1"/>
  <c r="BM178" i="2" s="1"/>
  <c r="I95" i="3"/>
  <c r="J21" i="4"/>
  <c r="F65" i="3"/>
  <c r="F75" i="3" s="1"/>
  <c r="CC1090" i="2"/>
  <c r="BG1090" i="2"/>
  <c r="BJ1090" i="2"/>
  <c r="CC1080" i="2"/>
  <c r="BG1080" i="2"/>
  <c r="BJ1080" i="2"/>
  <c r="AT1011" i="2"/>
  <c r="BE1011" i="2"/>
  <c r="BF1011" i="2" s="1"/>
  <c r="BJ1020" i="2"/>
  <c r="BG1020" i="2"/>
  <c r="CC1020" i="2"/>
  <c r="BP1094" i="2"/>
  <c r="BQ1094" i="2" s="1"/>
  <c r="BY1094" i="2" s="1"/>
  <c r="BN1094" i="2"/>
  <c r="BO1094" i="2" s="1"/>
  <c r="AL1044" i="2"/>
  <c r="CF1044" i="2"/>
  <c r="BJ967" i="2"/>
  <c r="CC967" i="2"/>
  <c r="BG967" i="2"/>
  <c r="T989" i="2"/>
  <c r="AR989" i="2"/>
  <c r="BG1004" i="2"/>
  <c r="CC1004" i="2"/>
  <c r="BJ1004" i="2"/>
  <c r="BG988" i="2"/>
  <c r="CC988" i="2"/>
  <c r="BJ988" i="2"/>
  <c r="AX1095" i="2"/>
  <c r="AY1095" i="2"/>
  <c r="CC974" i="2"/>
  <c r="BJ974" i="2"/>
  <c r="BG974" i="2"/>
  <c r="U891" i="2"/>
  <c r="U943" i="2"/>
  <c r="AR943" i="2"/>
  <c r="CC894" i="2"/>
  <c r="BJ894" i="2"/>
  <c r="BG894" i="2"/>
  <c r="U867" i="2"/>
  <c r="E135" i="3"/>
  <c r="BJ861" i="2"/>
  <c r="BG861" i="2"/>
  <c r="CC861" i="2"/>
  <c r="BJ850" i="2"/>
  <c r="BG850" i="2"/>
  <c r="CC850" i="2"/>
  <c r="T856" i="2"/>
  <c r="T861" i="2"/>
  <c r="F138" i="3"/>
  <c r="F139" i="3"/>
  <c r="U814" i="2"/>
  <c r="U813" i="2"/>
  <c r="AR812" i="2"/>
  <c r="U812" i="2"/>
  <c r="T745" i="2"/>
  <c r="AR745" i="2"/>
  <c r="CF817" i="2"/>
  <c r="AL817" i="2"/>
  <c r="U781" i="2"/>
  <c r="U775" i="2"/>
  <c r="AR775" i="2"/>
  <c r="CC788" i="2"/>
  <c r="BI788" i="2"/>
  <c r="BG788" i="2"/>
  <c r="BJ788" i="2"/>
  <c r="U774" i="2"/>
  <c r="T766" i="2"/>
  <c r="BE744" i="2"/>
  <c r="BF744" i="2" s="1"/>
  <c r="AT744" i="2"/>
  <c r="CF782" i="2"/>
  <c r="AL782" i="2"/>
  <c r="BG762" i="2"/>
  <c r="BJ762" i="2"/>
  <c r="CC762" i="2"/>
  <c r="G41" i="3"/>
  <c r="BG797" i="2"/>
  <c r="CC797" i="2"/>
  <c r="BJ797" i="2"/>
  <c r="CC742" i="2"/>
  <c r="BJ742" i="2"/>
  <c r="BG742" i="2"/>
  <c r="BJ816" i="2"/>
  <c r="CC816" i="2"/>
  <c r="BI816" i="2"/>
  <c r="BG816" i="2"/>
  <c r="CF794" i="2"/>
  <c r="AL794" i="2"/>
  <c r="CC786" i="2"/>
  <c r="BI786" i="2"/>
  <c r="BJ786" i="2"/>
  <c r="BG786" i="2"/>
  <c r="AR719" i="2"/>
  <c r="T719" i="2"/>
  <c r="BI811" i="2"/>
  <c r="BG811" i="2"/>
  <c r="CC811" i="2"/>
  <c r="BJ811" i="2"/>
  <c r="AY742" i="2"/>
  <c r="BI742" i="2" s="1"/>
  <c r="CF743" i="2"/>
  <c r="AL743" i="2"/>
  <c r="AY747" i="2"/>
  <c r="BI747" i="2" s="1"/>
  <c r="AW822" i="2"/>
  <c r="BN731" i="2"/>
  <c r="BO731" i="2" s="1"/>
  <c r="BP731" i="2"/>
  <c r="BQ731" i="2" s="1"/>
  <c r="BY731" i="2" s="1"/>
  <c r="AR705" i="2"/>
  <c r="U705" i="2"/>
  <c r="U702" i="2"/>
  <c r="AR702" i="2"/>
  <c r="CF728" i="2"/>
  <c r="AL728" i="2"/>
  <c r="AR647" i="2"/>
  <c r="AT576" i="2"/>
  <c r="CF576" i="2" s="1"/>
  <c r="BE576" i="2"/>
  <c r="BF576" i="2" s="1"/>
  <c r="AT608" i="2"/>
  <c r="CF608" i="2" s="1"/>
  <c r="BE608" i="2"/>
  <c r="BF608" i="2" s="1"/>
  <c r="AR585" i="2"/>
  <c r="U585" i="2"/>
  <c r="BE639" i="2"/>
  <c r="AT639" i="2"/>
  <c r="CF639" i="2" s="1"/>
  <c r="U928" i="2"/>
  <c r="AR928" i="2"/>
  <c r="U665" i="2"/>
  <c r="AR665" i="2"/>
  <c r="AR663" i="2"/>
  <c r="AR556" i="2"/>
  <c r="T556" i="2"/>
  <c r="T539" i="2"/>
  <c r="BF537" i="2"/>
  <c r="AR547" i="2"/>
  <c r="T547" i="2"/>
  <c r="BJ511" i="2"/>
  <c r="BI511" i="2"/>
  <c r="CC511" i="2"/>
  <c r="BG511" i="2"/>
  <c r="CC574" i="2"/>
  <c r="BG574" i="2"/>
  <c r="BJ574" i="2"/>
  <c r="CC485" i="2"/>
  <c r="BJ485" i="2"/>
  <c r="BG485" i="2"/>
  <c r="BI485" i="2"/>
  <c r="U484" i="2"/>
  <c r="AR484" i="2"/>
  <c r="BJ544" i="2"/>
  <c r="CC544" i="2"/>
  <c r="BG544" i="2"/>
  <c r="AT524" i="2"/>
  <c r="CF524" i="2" s="1"/>
  <c r="BK524" i="2"/>
  <c r="BL524" i="2" s="1"/>
  <c r="BM524" i="2" s="1"/>
  <c r="BE524" i="2"/>
  <c r="BF524" i="2" s="1"/>
  <c r="T715" i="2"/>
  <c r="AR715" i="2"/>
  <c r="BG489" i="2"/>
  <c r="BJ489" i="2"/>
  <c r="CC489" i="2"/>
  <c r="BP491" i="2"/>
  <c r="BQ491" i="2" s="1"/>
  <c r="BY491" i="2" s="1"/>
  <c r="AW601" i="2"/>
  <c r="BP504" i="2"/>
  <c r="BQ504" i="2" s="1"/>
  <c r="BY504" i="2" s="1"/>
  <c r="BN504" i="2"/>
  <c r="BO504" i="2" s="1"/>
  <c r="BG414" i="2"/>
  <c r="CC414" i="2"/>
  <c r="BJ414" i="2"/>
  <c r="BI414" i="2"/>
  <c r="CC470" i="2"/>
  <c r="BJ470" i="2"/>
  <c r="BG470" i="2"/>
  <c r="BK490" i="2"/>
  <c r="BL490" i="2" s="1"/>
  <c r="BM490" i="2" s="1"/>
  <c r="BI496" i="2"/>
  <c r="BG496" i="2"/>
  <c r="CC496" i="2"/>
  <c r="BJ496" i="2"/>
  <c r="BG424" i="2"/>
  <c r="CC424" i="2"/>
  <c r="BJ424" i="2"/>
  <c r="BI424" i="2"/>
  <c r="AR371" i="2"/>
  <c r="T371" i="2"/>
  <c r="AW526" i="2"/>
  <c r="BP429" i="2"/>
  <c r="BQ429" i="2" s="1"/>
  <c r="BY429" i="2" s="1"/>
  <c r="BN429" i="2"/>
  <c r="BO429" i="2" s="1"/>
  <c r="CC380" i="2"/>
  <c r="BG380" i="2"/>
  <c r="BJ380" i="2"/>
  <c r="BG418" i="2"/>
  <c r="CC418" i="2"/>
  <c r="BJ418" i="2"/>
  <c r="BI418" i="2"/>
  <c r="BK503" i="2"/>
  <c r="BL503" i="2" s="1"/>
  <c r="BM503" i="2" s="1"/>
  <c r="BI403" i="2"/>
  <c r="CC403" i="2"/>
  <c r="BG403" i="2"/>
  <c r="BJ403" i="2"/>
  <c r="J24" i="3"/>
  <c r="J28" i="3" s="1"/>
  <c r="BI393" i="2"/>
  <c r="BG393" i="2"/>
  <c r="CC393" i="2"/>
  <c r="BJ393" i="2"/>
  <c r="BJ413" i="2"/>
  <c r="BG413" i="2"/>
  <c r="CC413" i="2"/>
  <c r="BI413" i="2"/>
  <c r="BG368" i="2"/>
  <c r="BJ368" i="2"/>
  <c r="CC368" i="2"/>
  <c r="BK306" i="2"/>
  <c r="BL306" i="2" s="1"/>
  <c r="BM306" i="2" s="1"/>
  <c r="AT306" i="2"/>
  <c r="CF306" i="2" s="1"/>
  <c r="BE306" i="2"/>
  <c r="BF306" i="2" s="1"/>
  <c r="BG333" i="2"/>
  <c r="CC333" i="2"/>
  <c r="BJ333" i="2"/>
  <c r="BI333" i="2"/>
  <c r="BI402" i="2"/>
  <c r="BG402" i="2"/>
  <c r="CC402" i="2"/>
  <c r="BJ402" i="2"/>
  <c r="CC352" i="2"/>
  <c r="BJ352" i="2"/>
  <c r="BG352" i="2"/>
  <c r="CC328" i="2"/>
  <c r="BJ328" i="2"/>
  <c r="BI328" i="2"/>
  <c r="BG328" i="2"/>
  <c r="AR192" i="2"/>
  <c r="U192" i="2"/>
  <c r="BG202" i="2"/>
  <c r="BI202" i="2"/>
  <c r="CC202" i="2"/>
  <c r="BJ202" i="2"/>
  <c r="BG214" i="2"/>
  <c r="CC214" i="2"/>
  <c r="BJ214" i="2"/>
  <c r="BI214" i="2"/>
  <c r="BJ167" i="2"/>
  <c r="BG167" i="2"/>
  <c r="BI167" i="2"/>
  <c r="CC167" i="2"/>
  <c r="BJ246" i="2"/>
  <c r="BG246" i="2"/>
  <c r="CC246" i="2"/>
  <c r="BG329" i="2"/>
  <c r="CC329" i="2"/>
  <c r="BJ329" i="2"/>
  <c r="BI329" i="2"/>
  <c r="BG204" i="2"/>
  <c r="CC204" i="2"/>
  <c r="BJ204" i="2"/>
  <c r="BI204" i="2"/>
  <c r="AW277" i="2"/>
  <c r="BN166" i="2"/>
  <c r="BO166" i="2" s="1"/>
  <c r="BP166" i="2"/>
  <c r="BQ166" i="2" s="1"/>
  <c r="BY166" i="2" s="1"/>
  <c r="AW291" i="2"/>
  <c r="BP194" i="2"/>
  <c r="BQ194" i="2" s="1"/>
  <c r="BY194" i="2" s="1"/>
  <c r="BN194" i="2"/>
  <c r="BO194" i="2" s="1"/>
  <c r="N70" i="3"/>
  <c r="AW154" i="2"/>
  <c r="AX154" i="2" s="1"/>
  <c r="BN14" i="2"/>
  <c r="BO14" i="2" s="1"/>
  <c r="BK14" i="2"/>
  <c r="BL14" i="2" s="1"/>
  <c r="BM14" i="2" s="1"/>
  <c r="BP14" i="2"/>
  <c r="BQ14" i="2" s="1"/>
  <c r="BY14" i="2" s="1"/>
  <c r="BJ146" i="2"/>
  <c r="BG146" i="2"/>
  <c r="CC146" i="2"/>
  <c r="BI146" i="2"/>
  <c r="BG57" i="2"/>
  <c r="BI57" i="2"/>
  <c r="CC57" i="2"/>
  <c r="BJ57" i="2"/>
  <c r="AW329" i="2"/>
  <c r="BP232" i="2"/>
  <c r="BQ232" i="2" s="1"/>
  <c r="BY232" i="2" s="1"/>
  <c r="BN232" i="2"/>
  <c r="BO232" i="2" s="1"/>
  <c r="AX221" i="2"/>
  <c r="AY221" i="2"/>
  <c r="AX211" i="2"/>
  <c r="AY211" i="2"/>
  <c r="BI211" i="2" s="1"/>
  <c r="AY231" i="2"/>
  <c r="AX231" i="2"/>
  <c r="BJ15" i="2"/>
  <c r="BI15" i="2"/>
  <c r="BG15" i="2"/>
  <c r="CC15" i="2"/>
  <c r="BE151" i="2"/>
  <c r="BF151" i="2" s="1"/>
  <c r="AT151" i="2"/>
  <c r="CF151" i="2" s="1"/>
  <c r="BJ11" i="2"/>
  <c r="BI11" i="2"/>
  <c r="BG11" i="2"/>
  <c r="CC11" i="2"/>
  <c r="BK216" i="2"/>
  <c r="BL216" i="2" s="1"/>
  <c r="BM216" i="2" s="1"/>
  <c r="BJ166" i="2"/>
  <c r="BI166" i="2"/>
  <c r="CC166" i="2"/>
  <c r="BG166" i="2"/>
  <c r="BJ71" i="2"/>
  <c r="CC71" i="2"/>
  <c r="BI71" i="2"/>
  <c r="BG71" i="2"/>
  <c r="M20" i="4"/>
  <c r="L20" i="4"/>
  <c r="K20" i="4"/>
  <c r="J20" i="4"/>
  <c r="I20" i="4"/>
  <c r="G20" i="4"/>
  <c r="F20" i="4"/>
  <c r="E20" i="4"/>
  <c r="D19" i="4"/>
  <c r="H20" i="4"/>
  <c r="F121" i="3"/>
  <c r="F123" i="3" s="1"/>
  <c r="F124" i="3" s="1"/>
  <c r="K21" i="4"/>
  <c r="H133" i="3"/>
  <c r="H122" i="3"/>
  <c r="CF1070" i="2"/>
  <c r="AL1070" i="2"/>
  <c r="BG1037" i="2"/>
  <c r="CC1037" i="2"/>
  <c r="BJ1037" i="2"/>
  <c r="AR1052" i="2"/>
  <c r="U1052" i="2"/>
  <c r="AL1080" i="2"/>
  <c r="CF1080" i="2"/>
  <c r="BJ1031" i="2"/>
  <c r="BG1031" i="2"/>
  <c r="CC1031" i="2"/>
  <c r="CC1022" i="2"/>
  <c r="BJ1022" i="2"/>
  <c r="BG1022" i="2"/>
  <c r="BG1019" i="2"/>
  <c r="CC1019" i="2"/>
  <c r="BJ1019" i="2"/>
  <c r="AR966" i="2"/>
  <c r="T966" i="2"/>
  <c r="T996" i="2"/>
  <c r="AR996" i="2"/>
  <c r="BJ997" i="2"/>
  <c r="CC997" i="2"/>
  <c r="BG997" i="2"/>
  <c r="BJ957" i="2"/>
  <c r="BI957" i="2"/>
  <c r="CC957" i="2"/>
  <c r="BG957" i="2"/>
  <c r="BJ937" i="2"/>
  <c r="BG937" i="2"/>
  <c r="CC937" i="2"/>
  <c r="BE890" i="2"/>
  <c r="BF890" i="2" s="1"/>
  <c r="AT890" i="2"/>
  <c r="CF890" i="2" s="1"/>
  <c r="CC905" i="2"/>
  <c r="BI905" i="2"/>
  <c r="BG905" i="2"/>
  <c r="BJ905" i="2"/>
  <c r="AR908" i="2"/>
  <c r="U908" i="2"/>
  <c r="T853" i="2"/>
  <c r="T860" i="2"/>
  <c r="T1001" i="2"/>
  <c r="AR1001" i="2"/>
  <c r="AR965" i="2"/>
  <c r="T965" i="2"/>
  <c r="F41" i="3"/>
  <c r="BG823" i="2"/>
  <c r="CC823" i="2"/>
  <c r="BJ823" i="2"/>
  <c r="BG863" i="2"/>
  <c r="BJ863" i="2"/>
  <c r="CC863" i="2"/>
  <c r="T841" i="2"/>
  <c r="BG799" i="2"/>
  <c r="BI799" i="2"/>
  <c r="CC799" i="2"/>
  <c r="BJ799" i="2"/>
  <c r="BJ804" i="2"/>
  <c r="CC804" i="2"/>
  <c r="BG804" i="2"/>
  <c r="U804" i="2"/>
  <c r="CC770" i="2"/>
  <c r="BG770" i="2"/>
  <c r="BJ770" i="2"/>
  <c r="BG880" i="2"/>
  <c r="CC880" i="2"/>
  <c r="BJ880" i="2"/>
  <c r="BK780" i="2"/>
  <c r="BL780" i="2" s="1"/>
  <c r="BM780" i="2" s="1"/>
  <c r="AR969" i="2"/>
  <c r="T969" i="2"/>
  <c r="CF797" i="2"/>
  <c r="AL797" i="2"/>
  <c r="BJ767" i="2"/>
  <c r="CC767" i="2"/>
  <c r="BG767" i="2"/>
  <c r="CF816" i="2"/>
  <c r="AL816" i="2"/>
  <c r="AR711" i="2"/>
  <c r="T711" i="2"/>
  <c r="BG772" i="2"/>
  <c r="CC772" i="2"/>
  <c r="BJ772" i="2"/>
  <c r="T709" i="2"/>
  <c r="AR709" i="2"/>
  <c r="AR720" i="2"/>
  <c r="T720" i="2"/>
  <c r="U678" i="2"/>
  <c r="AR678" i="2"/>
  <c r="BG724" i="2"/>
  <c r="BJ724" i="2"/>
  <c r="CC724" i="2"/>
  <c r="AR679" i="2"/>
  <c r="U679" i="2"/>
  <c r="T731" i="2"/>
  <c r="AW884" i="2"/>
  <c r="BN801" i="2"/>
  <c r="BO801" i="2" s="1"/>
  <c r="BP801" i="2"/>
  <c r="BQ801" i="2" s="1"/>
  <c r="BY801" i="2" s="1"/>
  <c r="BJ625" i="2"/>
  <c r="CC625" i="2"/>
  <c r="BG625" i="2"/>
  <c r="CC678" i="2"/>
  <c r="BG678" i="2"/>
  <c r="BJ678" i="2"/>
  <c r="H41" i="3"/>
  <c r="AR619" i="2"/>
  <c r="U619" i="2"/>
  <c r="BJ684" i="2"/>
  <c r="BG684" i="2"/>
  <c r="CC684" i="2"/>
  <c r="BJ663" i="2"/>
  <c r="BG663" i="2"/>
  <c r="CC663" i="2"/>
  <c r="AR1076" i="2"/>
  <c r="U1076" i="2"/>
  <c r="AR624" i="2"/>
  <c r="BI632" i="2"/>
  <c r="CC632" i="2"/>
  <c r="BJ632" i="2"/>
  <c r="BG632" i="2"/>
  <c r="BJ557" i="2"/>
  <c r="BI557" i="2"/>
  <c r="CC557" i="2"/>
  <c r="BG557" i="2"/>
  <c r="CC550" i="2"/>
  <c r="BJ550" i="2"/>
  <c r="BG550" i="2"/>
  <c r="AT570" i="2"/>
  <c r="CF570" i="2" s="1"/>
  <c r="BE570" i="2"/>
  <c r="BF570" i="2" s="1"/>
  <c r="BE547" i="2"/>
  <c r="BF547" i="2" s="1"/>
  <c r="AT547" i="2"/>
  <c r="CF547" i="2" s="1"/>
  <c r="AR511" i="2"/>
  <c r="U511" i="2"/>
  <c r="CC572" i="2"/>
  <c r="BG572" i="2"/>
  <c r="BJ572" i="2"/>
  <c r="BG560" i="2"/>
  <c r="CC560" i="2"/>
  <c r="BJ560" i="2"/>
  <c r="AR648" i="2"/>
  <c r="T648" i="2"/>
  <c r="AT530" i="2"/>
  <c r="CF530" i="2" s="1"/>
  <c r="BE530" i="2"/>
  <c r="BF530" i="2" s="1"/>
  <c r="BK530" i="2"/>
  <c r="BL530" i="2" s="1"/>
  <c r="BM530" i="2" s="1"/>
  <c r="BJ495" i="2"/>
  <c r="BG495" i="2"/>
  <c r="CC495" i="2"/>
  <c r="CC555" i="2"/>
  <c r="BJ555" i="2"/>
  <c r="BG555" i="2"/>
  <c r="BE488" i="2"/>
  <c r="BF488" i="2" s="1"/>
  <c r="BK488" i="2"/>
  <c r="BL488" i="2" s="1"/>
  <c r="BM488" i="2" s="1"/>
  <c r="AT488" i="2"/>
  <c r="CF488" i="2" s="1"/>
  <c r="BJ503" i="2"/>
  <c r="CC503" i="2"/>
  <c r="BI503" i="2"/>
  <c r="BG503" i="2"/>
  <c r="BJ522" i="2"/>
  <c r="BI522" i="2"/>
  <c r="BG522" i="2"/>
  <c r="CC522" i="2"/>
  <c r="BK510" i="2"/>
  <c r="BL510" i="2" s="1"/>
  <c r="BM510" i="2" s="1"/>
  <c r="AW515" i="2"/>
  <c r="BP418" i="2"/>
  <c r="BQ418" i="2" s="1"/>
  <c r="BY418" i="2" s="1"/>
  <c r="BN418" i="2"/>
  <c r="BO418" i="2" s="1"/>
  <c r="T464" i="2"/>
  <c r="AR464" i="2"/>
  <c r="BG490" i="2"/>
  <c r="CC490" i="2"/>
  <c r="BI490" i="2"/>
  <c r="BJ490" i="2"/>
  <c r="BG453" i="2"/>
  <c r="BJ453" i="2"/>
  <c r="CC453" i="2"/>
  <c r="AW619" i="2"/>
  <c r="BN522" i="2"/>
  <c r="BO522" i="2" s="1"/>
  <c r="BP522" i="2"/>
  <c r="BQ522" i="2" s="1"/>
  <c r="BY522" i="2" s="1"/>
  <c r="BG421" i="2"/>
  <c r="CC421" i="2"/>
  <c r="BI421" i="2"/>
  <c r="BJ421" i="2"/>
  <c r="CC401" i="2"/>
  <c r="BG401" i="2"/>
  <c r="BJ401" i="2"/>
  <c r="BI401" i="2"/>
  <c r="AR288" i="2"/>
  <c r="U288" i="2"/>
  <c r="BG361" i="2"/>
  <c r="BJ361" i="2"/>
  <c r="CC361" i="2"/>
  <c r="BG365" i="2"/>
  <c r="BJ365" i="2"/>
  <c r="CC365" i="2"/>
  <c r="AW495" i="2"/>
  <c r="BP398" i="2"/>
  <c r="BQ398" i="2" s="1"/>
  <c r="BY398" i="2" s="1"/>
  <c r="BN398" i="2"/>
  <c r="BO398" i="2" s="1"/>
  <c r="BI390" i="2"/>
  <c r="BG390" i="2"/>
  <c r="CC390" i="2"/>
  <c r="BJ390" i="2"/>
  <c r="BG327" i="2"/>
  <c r="CC327" i="2"/>
  <c r="BJ327" i="2"/>
  <c r="BI327" i="2"/>
  <c r="L95" i="3"/>
  <c r="CC346" i="2"/>
  <c r="BG346" i="2"/>
  <c r="BJ346" i="2"/>
  <c r="BG220" i="2"/>
  <c r="CC220" i="2"/>
  <c r="BJ220" i="2"/>
  <c r="BI220" i="2"/>
  <c r="CC310" i="2"/>
  <c r="BJ310" i="2"/>
  <c r="BI310" i="2"/>
  <c r="BG310" i="2"/>
  <c r="U262" i="2"/>
  <c r="T262" i="2"/>
  <c r="AR262" i="2"/>
  <c r="BG280" i="2"/>
  <c r="CC280" i="2"/>
  <c r="BJ280" i="2"/>
  <c r="BJ252" i="2"/>
  <c r="BG252" i="2"/>
  <c r="CC252" i="2"/>
  <c r="BJ279" i="2"/>
  <c r="BG279" i="2"/>
  <c r="CC279" i="2"/>
  <c r="BG161" i="2"/>
  <c r="BJ161" i="2"/>
  <c r="CC161" i="2"/>
  <c r="BI161" i="2"/>
  <c r="BG277" i="2"/>
  <c r="CC277" i="2"/>
  <c r="BJ277" i="2"/>
  <c r="BG311" i="2"/>
  <c r="CC311" i="2"/>
  <c r="BJ311" i="2"/>
  <c r="BI311" i="2"/>
  <c r="BI241" i="2"/>
  <c r="BG241" i="2"/>
  <c r="CC241" i="2"/>
  <c r="BJ241" i="2"/>
  <c r="AW252" i="2"/>
  <c r="BP183" i="2"/>
  <c r="BQ183" i="2" s="1"/>
  <c r="BY183" i="2" s="1"/>
  <c r="BN183" i="2"/>
  <c r="BO183" i="2" s="1"/>
  <c r="BG123" i="2"/>
  <c r="CC123" i="2"/>
  <c r="BJ123" i="2"/>
  <c r="BI123" i="2"/>
  <c r="BG178" i="2"/>
  <c r="BJ178" i="2"/>
  <c r="BI178" i="2"/>
  <c r="CC178" i="2"/>
  <c r="BG84" i="2"/>
  <c r="CC84" i="2"/>
  <c r="BJ84" i="2"/>
  <c r="BI84" i="2"/>
  <c r="BG75" i="2"/>
  <c r="CC75" i="2"/>
  <c r="BJ75" i="2"/>
  <c r="BI75" i="2"/>
  <c r="AW256" i="2"/>
  <c r="BN172" i="2"/>
  <c r="BO172" i="2" s="1"/>
  <c r="BP172" i="2"/>
  <c r="BQ172" i="2" s="1"/>
  <c r="BY172" i="2" s="1"/>
  <c r="BK172" i="2"/>
  <c r="BL172" i="2" s="1"/>
  <c r="BM172" i="2" s="1"/>
  <c r="BG54" i="2"/>
  <c r="BI54" i="2"/>
  <c r="CC54" i="2"/>
  <c r="BJ54" i="2"/>
  <c r="AW322" i="2"/>
  <c r="AX322" i="2" s="1"/>
  <c r="BP225" i="2"/>
  <c r="BQ225" i="2" s="1"/>
  <c r="BY225" i="2" s="1"/>
  <c r="BN225" i="2"/>
  <c r="BO225" i="2" s="1"/>
  <c r="BJ122" i="2"/>
  <c r="BI122" i="2"/>
  <c r="BG122" i="2"/>
  <c r="CC122" i="2"/>
  <c r="BG211" i="2"/>
  <c r="CC211" i="2"/>
  <c r="BJ211" i="2"/>
  <c r="BJ34" i="2"/>
  <c r="BI34" i="2"/>
  <c r="BG34" i="2"/>
  <c r="CC34" i="2"/>
  <c r="BK238" i="2"/>
  <c r="BL238" i="2" s="1"/>
  <c r="BM238" i="2" s="1"/>
  <c r="BK166" i="2"/>
  <c r="BL166" i="2" s="1"/>
  <c r="BM166" i="2" s="1"/>
  <c r="BJ142" i="2"/>
  <c r="BI142" i="2"/>
  <c r="CC142" i="2"/>
  <c r="BG142" i="2"/>
  <c r="AY212" i="2"/>
  <c r="AX212" i="2"/>
  <c r="BG111" i="2"/>
  <c r="CC111" i="2"/>
  <c r="BJ111" i="2"/>
  <c r="BI111" i="2"/>
  <c r="AW287" i="2"/>
  <c r="BP157" i="2"/>
  <c r="BQ157" i="2" s="1"/>
  <c r="BY157" i="2" s="1"/>
  <c r="BN157" i="2"/>
  <c r="BO157" i="2" s="1"/>
  <c r="BI216" i="2"/>
  <c r="BG216" i="2"/>
  <c r="CC216" i="2"/>
  <c r="BJ216" i="2"/>
  <c r="CC76" i="2"/>
  <c r="BJ76" i="2"/>
  <c r="BI76" i="2"/>
  <c r="BG76" i="2"/>
  <c r="BJ44" i="2"/>
  <c r="BI44" i="2"/>
  <c r="BG44" i="2"/>
  <c r="CC44" i="2"/>
  <c r="BI46" i="2"/>
  <c r="BG46" i="2"/>
  <c r="CC46" i="2"/>
  <c r="BJ46" i="2"/>
  <c r="N130" i="3"/>
  <c r="N132" i="3" s="1"/>
  <c r="N134" i="3" s="1"/>
  <c r="BJ14" i="2"/>
  <c r="BI14" i="2"/>
  <c r="BG14" i="2"/>
  <c r="CC14" i="2"/>
  <c r="BG159" i="2"/>
  <c r="BJ159" i="2"/>
  <c r="CC159" i="2"/>
  <c r="BG52" i="2"/>
  <c r="CC52" i="2"/>
  <c r="BJ52" i="2"/>
  <c r="BI52" i="2"/>
  <c r="CC116" i="2" l="1"/>
  <c r="BG228" i="2"/>
  <c r="BG116" i="2"/>
  <c r="BJ197" i="2"/>
  <c r="BI116" i="2"/>
  <c r="CC35" i="2"/>
  <c r="CC130" i="2"/>
  <c r="BN528" i="2"/>
  <c r="BO528" i="2" s="1"/>
  <c r="BG35" i="2"/>
  <c r="BG130" i="2"/>
  <c r="BG197" i="2"/>
  <c r="BP528" i="2"/>
  <c r="BQ528" i="2" s="1"/>
  <c r="BY528" i="2" s="1"/>
  <c r="BI35" i="2"/>
  <c r="BI130" i="2"/>
  <c r="AW625" i="2"/>
  <c r="BG172" i="2"/>
  <c r="CC172" i="2"/>
  <c r="BJ206" i="2"/>
  <c r="BI172" i="2"/>
  <c r="BJ372" i="2"/>
  <c r="BJ540" i="2"/>
  <c r="CC372" i="2"/>
  <c r="CC516" i="2"/>
  <c r="BG516" i="2"/>
  <c r="BJ516" i="2"/>
  <c r="BK419" i="2"/>
  <c r="BL419" i="2" s="1"/>
  <c r="BM419" i="2" s="1"/>
  <c r="BP419" i="2"/>
  <c r="BQ419" i="2" s="1"/>
  <c r="BY419" i="2" s="1"/>
  <c r="AW516" i="2"/>
  <c r="BI1067" i="2"/>
  <c r="BI231" i="2"/>
  <c r="CF814" i="2"/>
  <c r="AL814" i="2"/>
  <c r="Q21" i="4"/>
  <c r="BG814" i="2"/>
  <c r="CC814" i="2"/>
  <c r="BJ814" i="2"/>
  <c r="BI814" i="2"/>
  <c r="BG540" i="2"/>
  <c r="CC540" i="2"/>
  <c r="CC619" i="2"/>
  <c r="BJ619" i="2"/>
  <c r="BG619" i="2"/>
  <c r="CC590" i="2"/>
  <c r="BG590" i="2"/>
  <c r="BJ590" i="2"/>
  <c r="CC473" i="2"/>
  <c r="BJ473" i="2"/>
  <c r="BI491" i="2"/>
  <c r="BG950" i="2"/>
  <c r="CC950" i="2"/>
  <c r="BJ950" i="2"/>
  <c r="BI296" i="2"/>
  <c r="BG296" i="2"/>
  <c r="CC296" i="2"/>
  <c r="BJ296" i="2"/>
  <c r="AL741" i="2"/>
  <c r="CF741" i="2"/>
  <c r="BI509" i="2"/>
  <c r="CC509" i="2"/>
  <c r="BJ509" i="2"/>
  <c r="BG509" i="2"/>
  <c r="BJ938" i="2"/>
  <c r="BG938" i="2"/>
  <c r="CC938" i="2"/>
  <c r="CC535" i="2"/>
  <c r="BJ535" i="2"/>
  <c r="BG535" i="2"/>
  <c r="BG993" i="2"/>
  <c r="CC993" i="2"/>
  <c r="BJ993" i="2"/>
  <c r="K133" i="3"/>
  <c r="K122" i="3"/>
  <c r="BG584" i="2"/>
  <c r="BJ584" i="2"/>
  <c r="CC584" i="2"/>
  <c r="Q20" i="4"/>
  <c r="R20" i="4" s="1"/>
  <c r="R21" i="4" s="1"/>
  <c r="R22" i="4" s="1"/>
  <c r="BN491" i="2"/>
  <c r="BO491" i="2" s="1"/>
  <c r="BK498" i="2"/>
  <c r="BL498" i="2" s="1"/>
  <c r="BM498" i="2" s="1"/>
  <c r="BJ1067" i="2"/>
  <c r="CC429" i="2"/>
  <c r="BJ389" i="2"/>
  <c r="CC206" i="2"/>
  <c r="CC891" i="2"/>
  <c r="BG891" i="2"/>
  <c r="BJ891" i="2"/>
  <c r="BJ64" i="2"/>
  <c r="BI64" i="2"/>
  <c r="BG64" i="2"/>
  <c r="CC64" i="2"/>
  <c r="AW630" i="2"/>
  <c r="BK533" i="2"/>
  <c r="BL533" i="2" s="1"/>
  <c r="BM533" i="2" s="1"/>
  <c r="AW588" i="2"/>
  <c r="AY588" i="2" s="1"/>
  <c r="BJ429" i="2"/>
  <c r="BG389" i="2"/>
  <c r="BG206" i="2"/>
  <c r="BG970" i="2"/>
  <c r="BJ970" i="2"/>
  <c r="CC970" i="2"/>
  <c r="BJ977" i="2"/>
  <c r="BG977" i="2"/>
  <c r="CC977" i="2"/>
  <c r="BI303" i="2"/>
  <c r="BN151" i="2"/>
  <c r="BO151" i="2" s="1"/>
  <c r="AL735" i="2"/>
  <c r="CF735" i="2"/>
  <c r="BI741" i="2"/>
  <c r="BI528" i="2"/>
  <c r="BP151" i="2"/>
  <c r="BQ151" i="2" s="1"/>
  <c r="BY151" i="2" s="1"/>
  <c r="CC415" i="2"/>
  <c r="BJ965" i="2"/>
  <c r="BG965" i="2"/>
  <c r="CC965" i="2"/>
  <c r="CC61" i="2"/>
  <c r="BJ61" i="2"/>
  <c r="BI61" i="2"/>
  <c r="BG61" i="2"/>
  <c r="BG303" i="2"/>
  <c r="CC741" i="2"/>
  <c r="AW272" i="2"/>
  <c r="BI415" i="2"/>
  <c r="CC231" i="2"/>
  <c r="BI1094" i="2"/>
  <c r="BK1094" i="2"/>
  <c r="BL1094" i="2" s="1"/>
  <c r="BM1094" i="2" s="1"/>
  <c r="CC119" i="2"/>
  <c r="BI535" i="2"/>
  <c r="BJ741" i="2"/>
  <c r="BJ415" i="2"/>
  <c r="BG231" i="2"/>
  <c r="BJ748" i="2"/>
  <c r="CC748" i="2"/>
  <c r="BG748" i="2"/>
  <c r="BG360" i="2"/>
  <c r="CC360" i="2"/>
  <c r="BJ360" i="2"/>
  <c r="I130" i="3"/>
  <c r="I132" i="3" s="1"/>
  <c r="I134" i="3" s="1"/>
  <c r="CF748" i="2"/>
  <c r="AL748" i="2"/>
  <c r="AL1067" i="2"/>
  <c r="CF1067" i="2"/>
  <c r="BJ598" i="2"/>
  <c r="BG598" i="2"/>
  <c r="CC598" i="2"/>
  <c r="K815" i="2"/>
  <c r="K808" i="2"/>
  <c r="K795" i="2"/>
  <c r="K783" i="2"/>
  <c r="K819" i="2"/>
  <c r="K805" i="2"/>
  <c r="K793" i="2"/>
  <c r="K801" i="2"/>
  <c r="K789" i="2"/>
  <c r="K800" i="2"/>
  <c r="K788" i="2"/>
  <c r="K782" i="2"/>
  <c r="K779" i="2"/>
  <c r="K807" i="2"/>
  <c r="K804" i="2"/>
  <c r="K799" i="2"/>
  <c r="K797" i="2"/>
  <c r="K792" i="2"/>
  <c r="K787" i="2"/>
  <c r="K785" i="2"/>
  <c r="K776" i="2"/>
  <c r="K818" i="2"/>
  <c r="K809" i="2"/>
  <c r="K816" i="2"/>
  <c r="K806" i="2"/>
  <c r="K796" i="2"/>
  <c r="K784" i="2"/>
  <c r="K769" i="2"/>
  <c r="K759" i="2"/>
  <c r="K817" i="2"/>
  <c r="K812" i="2"/>
  <c r="K811" i="2"/>
  <c r="K810" i="2"/>
  <c r="K798" i="2"/>
  <c r="K813" i="2"/>
  <c r="K802" i="2"/>
  <c r="K781" i="2"/>
  <c r="K778" i="2"/>
  <c r="K803" i="2"/>
  <c r="K777" i="2"/>
  <c r="K775" i="2"/>
  <c r="K766" i="2"/>
  <c r="K770" i="2"/>
  <c r="K790" i="2"/>
  <c r="K762" i="2"/>
  <c r="K774" i="2"/>
  <c r="K756" i="2"/>
  <c r="K749" i="2"/>
  <c r="K768" i="2"/>
  <c r="K758" i="2"/>
  <c r="K794" i="2"/>
  <c r="K755" i="2"/>
  <c r="K746" i="2"/>
  <c r="K742" i="2"/>
  <c r="K740" i="2"/>
  <c r="K738" i="2"/>
  <c r="K736" i="2"/>
  <c r="K760" i="2"/>
  <c r="K786" i="2"/>
  <c r="K753" i="2"/>
  <c r="K748" i="2"/>
  <c r="K757" i="2"/>
  <c r="K750" i="2"/>
  <c r="K764" i="2"/>
  <c r="K745" i="2"/>
  <c r="K734" i="2"/>
  <c r="K732" i="2"/>
  <c r="K730" i="2"/>
  <c r="K767" i="2"/>
  <c r="K743" i="2"/>
  <c r="K741" i="2"/>
  <c r="K791" i="2"/>
  <c r="K771" i="2"/>
  <c r="K739" i="2"/>
  <c r="K763" i="2"/>
  <c r="K754" i="2"/>
  <c r="K744" i="2"/>
  <c r="K737" i="2"/>
  <c r="K729" i="2"/>
  <c r="K773" i="2"/>
  <c r="K751" i="2"/>
  <c r="K765" i="2"/>
  <c r="K814" i="2"/>
  <c r="K772" i="2"/>
  <c r="K761" i="2"/>
  <c r="K780" i="2"/>
  <c r="K747" i="2"/>
  <c r="K752" i="2"/>
  <c r="K735" i="2"/>
  <c r="K728" i="2"/>
  <c r="K731" i="2"/>
  <c r="K733" i="2"/>
  <c r="CC614" i="2"/>
  <c r="BJ614" i="2"/>
  <c r="BI614" i="2"/>
  <c r="BG614" i="2"/>
  <c r="K908" i="2"/>
  <c r="K896" i="2"/>
  <c r="K903" i="2"/>
  <c r="K907" i="2"/>
  <c r="K902" i="2"/>
  <c r="K888" i="2"/>
  <c r="K906" i="2"/>
  <c r="K898" i="2"/>
  <c r="K905" i="2"/>
  <c r="K900" i="2"/>
  <c r="K890" i="2"/>
  <c r="K884" i="2"/>
  <c r="K878" i="2"/>
  <c r="K872" i="2"/>
  <c r="K866" i="2"/>
  <c r="K857" i="2"/>
  <c r="K909" i="2"/>
  <c r="K883" i="2"/>
  <c r="K877" i="2"/>
  <c r="K891" i="2"/>
  <c r="K861" i="2"/>
  <c r="K856" i="2"/>
  <c r="K901" i="2"/>
  <c r="K904" i="2"/>
  <c r="K897" i="2"/>
  <c r="K892" i="2"/>
  <c r="K886" i="2"/>
  <c r="K880" i="2"/>
  <c r="K874" i="2"/>
  <c r="K868" i="2"/>
  <c r="K858" i="2"/>
  <c r="K854" i="2"/>
  <c r="K851" i="2"/>
  <c r="K848" i="2"/>
  <c r="K845" i="2"/>
  <c r="K895" i="2"/>
  <c r="K893" i="2"/>
  <c r="K887" i="2"/>
  <c r="K889" i="2"/>
  <c r="K885" i="2"/>
  <c r="K879" i="2"/>
  <c r="K873" i="2"/>
  <c r="K864" i="2"/>
  <c r="K862" i="2"/>
  <c r="K855" i="2"/>
  <c r="K882" i="2"/>
  <c r="K876" i="2"/>
  <c r="K859" i="2"/>
  <c r="K849" i="2"/>
  <c r="K899" i="2"/>
  <c r="K844" i="2"/>
  <c r="K865" i="2"/>
  <c r="K863" i="2"/>
  <c r="K846" i="2"/>
  <c r="K850" i="2"/>
  <c r="K843" i="2"/>
  <c r="K840" i="2"/>
  <c r="K870" i="2"/>
  <c r="K869" i="2"/>
  <c r="K842" i="2"/>
  <c r="K835" i="2"/>
  <c r="K847" i="2"/>
  <c r="K837" i="2"/>
  <c r="K833" i="2"/>
  <c r="K827" i="2"/>
  <c r="K821" i="2"/>
  <c r="K875" i="2"/>
  <c r="K841" i="2"/>
  <c r="K836" i="2"/>
  <c r="K832" i="2"/>
  <c r="K820" i="2"/>
  <c r="K881" i="2"/>
  <c r="K871" i="2"/>
  <c r="K894" i="2"/>
  <c r="K867" i="2"/>
  <c r="K853" i="2"/>
  <c r="K852" i="2"/>
  <c r="K829" i="2"/>
  <c r="K828" i="2"/>
  <c r="K860" i="2"/>
  <c r="K824" i="2"/>
  <c r="K826" i="2"/>
  <c r="K831" i="2"/>
  <c r="K834" i="2"/>
  <c r="K825" i="2"/>
  <c r="K823" i="2"/>
  <c r="K830" i="2"/>
  <c r="K839" i="2"/>
  <c r="K838" i="2"/>
  <c r="K822" i="2"/>
  <c r="AX495" i="2"/>
  <c r="AY495" i="2"/>
  <c r="AX277" i="2"/>
  <c r="AY277" i="2"/>
  <c r="E138" i="3"/>
  <c r="J115" i="4" s="1"/>
  <c r="E139" i="3"/>
  <c r="K115" i="4" s="1"/>
  <c r="AX337" i="2"/>
  <c r="AY337" i="2"/>
  <c r="BG714" i="2"/>
  <c r="BI714" i="2"/>
  <c r="CC714" i="2"/>
  <c r="BJ714" i="2"/>
  <c r="AW258" i="2"/>
  <c r="BN150" i="2"/>
  <c r="BO150" i="2" s="1"/>
  <c r="BP150" i="2"/>
  <c r="BQ150" i="2" s="1"/>
  <c r="BY150" i="2" s="1"/>
  <c r="BK150" i="2"/>
  <c r="BL150" i="2" s="1"/>
  <c r="BM150" i="2" s="1"/>
  <c r="AY593" i="2"/>
  <c r="BI593" i="2" s="1"/>
  <c r="AX593" i="2"/>
  <c r="I115" i="4"/>
  <c r="BG323" i="2"/>
  <c r="CC323" i="2"/>
  <c r="BJ323" i="2"/>
  <c r="BI323" i="2"/>
  <c r="AY298" i="2"/>
  <c r="AX298" i="2"/>
  <c r="AX459" i="2"/>
  <c r="AY459" i="2"/>
  <c r="AY341" i="2"/>
  <c r="AX341" i="2"/>
  <c r="BG827" i="2"/>
  <c r="CC827" i="2"/>
  <c r="BJ827" i="2"/>
  <c r="M130" i="3"/>
  <c r="M132" i="3" s="1"/>
  <c r="M134" i="3" s="1"/>
  <c r="CC740" i="2"/>
  <c r="BJ740" i="2"/>
  <c r="BG740" i="2"/>
  <c r="BJ1008" i="2"/>
  <c r="BG1008" i="2"/>
  <c r="CC1008" i="2"/>
  <c r="CF791" i="2"/>
  <c r="AL791" i="2"/>
  <c r="AW596" i="2"/>
  <c r="BP499" i="2"/>
  <c r="BQ499" i="2" s="1"/>
  <c r="BY499" i="2" s="1"/>
  <c r="BN499" i="2"/>
  <c r="BO499" i="2" s="1"/>
  <c r="BK499" i="2"/>
  <c r="BL499" i="2" s="1"/>
  <c r="BM499" i="2" s="1"/>
  <c r="AW255" i="2"/>
  <c r="BP176" i="2"/>
  <c r="BQ176" i="2" s="1"/>
  <c r="BY176" i="2" s="1"/>
  <c r="BN176" i="2"/>
  <c r="BO176" i="2" s="1"/>
  <c r="BK176" i="2"/>
  <c r="BL176" i="2" s="1"/>
  <c r="BM176" i="2" s="1"/>
  <c r="AY590" i="2"/>
  <c r="AX590" i="2"/>
  <c r="AX611" i="2"/>
  <c r="AY611" i="2"/>
  <c r="G130" i="3"/>
  <c r="G132" i="3" s="1"/>
  <c r="G134" i="3" s="1"/>
  <c r="CC906" i="2"/>
  <c r="BJ906" i="2"/>
  <c r="BG906" i="2"/>
  <c r="AX628" i="2"/>
  <c r="AY628" i="2"/>
  <c r="AY627" i="2"/>
  <c r="AX627" i="2"/>
  <c r="J133" i="3"/>
  <c r="J122" i="3"/>
  <c r="N138" i="3"/>
  <c r="N139" i="3"/>
  <c r="D130" i="3"/>
  <c r="D132" i="3" s="1"/>
  <c r="D134" i="3" s="1"/>
  <c r="AX1029" i="2"/>
  <c r="AY1029" i="2"/>
  <c r="AX293" i="2"/>
  <c r="AY293" i="2"/>
  <c r="AY324" i="2"/>
  <c r="AX324" i="2"/>
  <c r="BJ640" i="2"/>
  <c r="BG640" i="2"/>
  <c r="CC640" i="2"/>
  <c r="AW863" i="2"/>
  <c r="BP771" i="2"/>
  <c r="BQ771" i="2" s="1"/>
  <c r="BY771" i="2" s="1"/>
  <c r="BN771" i="2"/>
  <c r="BO771" i="2" s="1"/>
  <c r="CF803" i="2"/>
  <c r="AL803" i="2"/>
  <c r="AX601" i="2"/>
  <c r="AY601" i="2"/>
  <c r="BN1095" i="2"/>
  <c r="BO1095" i="2" s="1"/>
  <c r="BP1095" i="2"/>
  <c r="BQ1095" i="2" s="1"/>
  <c r="BY1095" i="2" s="1"/>
  <c r="BK1095" i="2"/>
  <c r="BL1095" i="2" s="1"/>
  <c r="BM1095" i="2" s="1"/>
  <c r="BJ853" i="2"/>
  <c r="BI853" i="2"/>
  <c r="BG853" i="2"/>
  <c r="CC853" i="2"/>
  <c r="AW305" i="2"/>
  <c r="BP208" i="2"/>
  <c r="BQ208" i="2" s="1"/>
  <c r="BY208" i="2" s="1"/>
  <c r="BN208" i="2"/>
  <c r="BO208" i="2" s="1"/>
  <c r="BK208" i="2"/>
  <c r="BL208" i="2" s="1"/>
  <c r="BM208" i="2" s="1"/>
  <c r="AW861" i="2"/>
  <c r="BP769" i="2"/>
  <c r="BQ769" i="2" s="1"/>
  <c r="BY769" i="2" s="1"/>
  <c r="BN769" i="2"/>
  <c r="BO769" i="2" s="1"/>
  <c r="BK769" i="2"/>
  <c r="BL769" i="2" s="1"/>
  <c r="BM769" i="2" s="1"/>
  <c r="BI501" i="2"/>
  <c r="BG501" i="2"/>
  <c r="BJ501" i="2"/>
  <c r="CC501" i="2"/>
  <c r="AW624" i="2"/>
  <c r="BN527" i="2"/>
  <c r="BO527" i="2" s="1"/>
  <c r="BP527" i="2"/>
  <c r="BQ527" i="2" s="1"/>
  <c r="BY527" i="2" s="1"/>
  <c r="BK527" i="2"/>
  <c r="BL527" i="2" s="1"/>
  <c r="BM527" i="2" s="1"/>
  <c r="CC608" i="2"/>
  <c r="BJ608" i="2"/>
  <c r="BG608" i="2"/>
  <c r="CF1011" i="2"/>
  <c r="AL1011" i="2"/>
  <c r="AW306" i="2"/>
  <c r="AX306" i="2" s="1"/>
  <c r="BP209" i="2"/>
  <c r="BQ209" i="2" s="1"/>
  <c r="BY209" i="2" s="1"/>
  <c r="BN209" i="2"/>
  <c r="BO209" i="2" s="1"/>
  <c r="BK209" i="2"/>
  <c r="BL209" i="2" s="1"/>
  <c r="BM209" i="2" s="1"/>
  <c r="AW248" i="2"/>
  <c r="BN159" i="2"/>
  <c r="BO159" i="2" s="1"/>
  <c r="BP159" i="2"/>
  <c r="BQ159" i="2" s="1"/>
  <c r="BY159" i="2" s="1"/>
  <c r="BK159" i="2"/>
  <c r="BL159" i="2" s="1"/>
  <c r="BM159" i="2" s="1"/>
  <c r="AY253" i="2"/>
  <c r="AX253" i="2"/>
  <c r="AX726" i="2"/>
  <c r="AY726" i="2"/>
  <c r="BJ813" i="2"/>
  <c r="BI813" i="2"/>
  <c r="BG813" i="2"/>
  <c r="CC813" i="2"/>
  <c r="N133" i="3"/>
  <c r="N122" i="3"/>
  <c r="AW289" i="2"/>
  <c r="BP192" i="2"/>
  <c r="BQ192" i="2" s="1"/>
  <c r="BY192" i="2" s="1"/>
  <c r="BN192" i="2"/>
  <c r="BO192" i="2" s="1"/>
  <c r="BK192" i="2"/>
  <c r="BL192" i="2" s="1"/>
  <c r="BM192" i="2" s="1"/>
  <c r="CC677" i="2"/>
  <c r="BJ677" i="2"/>
  <c r="BG677" i="2"/>
  <c r="CC862" i="2"/>
  <c r="BJ862" i="2"/>
  <c r="BG862" i="2"/>
  <c r="BG363" i="2"/>
  <c r="CC363" i="2"/>
  <c r="BJ363" i="2"/>
  <c r="BI363" i="2"/>
  <c r="AW1085" i="2"/>
  <c r="BP950" i="2"/>
  <c r="BQ950" i="2" s="1"/>
  <c r="BY950" i="2" s="1"/>
  <c r="BN950" i="2"/>
  <c r="BO950" i="2" s="1"/>
  <c r="BK950" i="2"/>
  <c r="BL950" i="2" s="1"/>
  <c r="BM950" i="2" s="1"/>
  <c r="BI950" i="2"/>
  <c r="AY257" i="2"/>
  <c r="AX257" i="2"/>
  <c r="J123" i="3"/>
  <c r="J124" i="3" s="1"/>
  <c r="BG1077" i="2"/>
  <c r="BJ1077" i="2"/>
  <c r="CC1077" i="2"/>
  <c r="BJ160" i="2"/>
  <c r="BI160" i="2"/>
  <c r="CC160" i="2"/>
  <c r="BG160" i="2"/>
  <c r="CC567" i="2"/>
  <c r="BJ567" i="2"/>
  <c r="BG567" i="2"/>
  <c r="BI567" i="2"/>
  <c r="AW304" i="2"/>
  <c r="BP207" i="2"/>
  <c r="BQ207" i="2" s="1"/>
  <c r="BY207" i="2" s="1"/>
  <c r="BN207" i="2"/>
  <c r="BO207" i="2" s="1"/>
  <c r="BK207" i="2"/>
  <c r="BL207" i="2" s="1"/>
  <c r="BM207" i="2" s="1"/>
  <c r="F130" i="3"/>
  <c r="F132" i="3" s="1"/>
  <c r="F134" i="3" s="1"/>
  <c r="AW309" i="2"/>
  <c r="BP212" i="2"/>
  <c r="BQ212" i="2" s="1"/>
  <c r="BY212" i="2" s="1"/>
  <c r="BN212" i="2"/>
  <c r="BO212" i="2" s="1"/>
  <c r="BK212" i="2"/>
  <c r="BL212" i="2" s="1"/>
  <c r="BM212" i="2" s="1"/>
  <c r="BG547" i="2"/>
  <c r="CC547" i="2"/>
  <c r="BJ547" i="2"/>
  <c r="AX526" i="2"/>
  <c r="AY526" i="2"/>
  <c r="AY326" i="2"/>
  <c r="AX326" i="2"/>
  <c r="CF750" i="2"/>
  <c r="AL750" i="2"/>
  <c r="BG886" i="2"/>
  <c r="CC886" i="2"/>
  <c r="BJ886" i="2"/>
  <c r="M133" i="3"/>
  <c r="M122" i="3"/>
  <c r="BN175" i="2"/>
  <c r="BO175" i="2" s="1"/>
  <c r="AW254" i="2"/>
  <c r="BP175" i="2"/>
  <c r="BQ175" i="2" s="1"/>
  <c r="BY175" i="2" s="1"/>
  <c r="BK175" i="2"/>
  <c r="BL175" i="2" s="1"/>
  <c r="BM175" i="2" s="1"/>
  <c r="AX296" i="2"/>
  <c r="AY296" i="2"/>
  <c r="AW284" i="2"/>
  <c r="BN165" i="2"/>
  <c r="BO165" i="2" s="1"/>
  <c r="BP165" i="2"/>
  <c r="BQ165" i="2" s="1"/>
  <c r="BY165" i="2" s="1"/>
  <c r="BK165" i="2"/>
  <c r="BL165" i="2" s="1"/>
  <c r="BM165" i="2" s="1"/>
  <c r="BJ672" i="2"/>
  <c r="CC672" i="2"/>
  <c r="BG672" i="2"/>
  <c r="AX870" i="2"/>
  <c r="AY870" i="2"/>
  <c r="AW358" i="2"/>
  <c r="BK261" i="2"/>
  <c r="BL261" i="2" s="1"/>
  <c r="BM261" i="2" s="1"/>
  <c r="AX280" i="2"/>
  <c r="AY280" i="2"/>
  <c r="CC928" i="2"/>
  <c r="BJ928" i="2"/>
  <c r="BG928" i="2"/>
  <c r="AW482" i="2"/>
  <c r="BP385" i="2"/>
  <c r="BQ385" i="2" s="1"/>
  <c r="BY385" i="2" s="1"/>
  <c r="BN385" i="2"/>
  <c r="BO385" i="2" s="1"/>
  <c r="BK385" i="2"/>
  <c r="BL385" i="2" s="1"/>
  <c r="BM385" i="2" s="1"/>
  <c r="BI527" i="2"/>
  <c r="AY247" i="2"/>
  <c r="AX247" i="2"/>
  <c r="CC474" i="2"/>
  <c r="BJ474" i="2"/>
  <c r="BG474" i="2"/>
  <c r="BG933" i="2"/>
  <c r="CC933" i="2"/>
  <c r="BJ933" i="2"/>
  <c r="BG163" i="2"/>
  <c r="CC163" i="2"/>
  <c r="BJ163" i="2"/>
  <c r="BI163" i="2"/>
  <c r="BI1095" i="2"/>
  <c r="AW318" i="2"/>
  <c r="AX318" i="2" s="1"/>
  <c r="BP221" i="2"/>
  <c r="BQ221" i="2" s="1"/>
  <c r="BY221" i="2" s="1"/>
  <c r="BN221" i="2"/>
  <c r="BO221" i="2" s="1"/>
  <c r="BK221" i="2"/>
  <c r="BL221" i="2" s="1"/>
  <c r="BM221" i="2" s="1"/>
  <c r="BG1011" i="2"/>
  <c r="CC1011" i="2"/>
  <c r="BJ1011" i="2"/>
  <c r="AX252" i="2"/>
  <c r="AY252" i="2"/>
  <c r="CC570" i="2"/>
  <c r="BJ570" i="2"/>
  <c r="BI570" i="2"/>
  <c r="BG570" i="2"/>
  <c r="M19" i="4"/>
  <c r="L19" i="4"/>
  <c r="K19" i="4"/>
  <c r="J19" i="4"/>
  <c r="I19" i="4"/>
  <c r="D18" i="4"/>
  <c r="H19" i="4"/>
  <c r="G19" i="4"/>
  <c r="F19" i="4"/>
  <c r="E19" i="4"/>
  <c r="BG151" i="2"/>
  <c r="CC151" i="2"/>
  <c r="BJ151" i="2"/>
  <c r="BI151" i="2"/>
  <c r="AX588" i="2"/>
  <c r="BJ576" i="2"/>
  <c r="CC576" i="2"/>
  <c r="BG576" i="2"/>
  <c r="AX822" i="2"/>
  <c r="AY822" i="2"/>
  <c r="BJ571" i="2"/>
  <c r="BG571" i="2"/>
  <c r="CC571" i="2"/>
  <c r="BG698" i="2"/>
  <c r="CC698" i="2"/>
  <c r="BI698" i="2"/>
  <c r="BJ698" i="2"/>
  <c r="BJ750" i="2"/>
  <c r="CC750" i="2"/>
  <c r="BG750" i="2"/>
  <c r="CC969" i="2"/>
  <c r="BJ969" i="2"/>
  <c r="BG969" i="2"/>
  <c r="AX591" i="2"/>
  <c r="AY591" i="2"/>
  <c r="BJ541" i="2"/>
  <c r="CC541" i="2"/>
  <c r="BG541" i="2"/>
  <c r="CC771" i="2"/>
  <c r="BJ771" i="2"/>
  <c r="BG771" i="2"/>
  <c r="BI771" i="2"/>
  <c r="BI483" i="2"/>
  <c r="BJ483" i="2"/>
  <c r="BG483" i="2"/>
  <c r="CC483" i="2"/>
  <c r="BJ603" i="2"/>
  <c r="BG603" i="2"/>
  <c r="CC603" i="2"/>
  <c r="BG828" i="2"/>
  <c r="CC828" i="2"/>
  <c r="BJ828" i="2"/>
  <c r="E122" i="3"/>
  <c r="E133" i="3"/>
  <c r="AY245" i="2"/>
  <c r="AX245" i="2"/>
  <c r="AX297" i="2"/>
  <c r="AY297" i="2"/>
  <c r="AX1049" i="2"/>
  <c r="AY1049" i="2"/>
  <c r="BG1056" i="2"/>
  <c r="BJ1056" i="2"/>
  <c r="CC1056" i="2"/>
  <c r="BJ1063" i="2"/>
  <c r="BG1063" i="2"/>
  <c r="CC1063" i="2"/>
  <c r="AW275" i="2"/>
  <c r="BP167" i="2"/>
  <c r="BQ167" i="2" s="1"/>
  <c r="BY167" i="2" s="1"/>
  <c r="BN167" i="2"/>
  <c r="BO167" i="2" s="1"/>
  <c r="BK167" i="2"/>
  <c r="BL167" i="2" s="1"/>
  <c r="BM167" i="2" s="1"/>
  <c r="AW260" i="2"/>
  <c r="BP156" i="2"/>
  <c r="BQ156" i="2" s="1"/>
  <c r="BY156" i="2" s="1"/>
  <c r="BN156" i="2"/>
  <c r="BO156" i="2" s="1"/>
  <c r="BK156" i="2"/>
  <c r="BL156" i="2" s="1"/>
  <c r="BM156" i="2" s="1"/>
  <c r="BG569" i="2"/>
  <c r="BJ569" i="2"/>
  <c r="CC569" i="2"/>
  <c r="AW361" i="2"/>
  <c r="BP264" i="2"/>
  <c r="BQ264" i="2" s="1"/>
  <c r="BY264" i="2" s="1"/>
  <c r="BN264" i="2"/>
  <c r="BO264" i="2" s="1"/>
  <c r="BK264" i="2"/>
  <c r="BL264" i="2" s="1"/>
  <c r="BM264" i="2" s="1"/>
  <c r="AX872" i="2"/>
  <c r="AY872" i="2"/>
  <c r="AW881" i="2"/>
  <c r="BN793" i="2"/>
  <c r="BO793" i="2" s="1"/>
  <c r="BP793" i="2"/>
  <c r="BQ793" i="2" s="1"/>
  <c r="BY793" i="2" s="1"/>
  <c r="BI793" i="2"/>
  <c r="BK793" i="2"/>
  <c r="BL793" i="2" s="1"/>
  <c r="BM793" i="2" s="1"/>
  <c r="AX246" i="2"/>
  <c r="AY246" i="2"/>
  <c r="AW893" i="2"/>
  <c r="BN799" i="2"/>
  <c r="BO799" i="2" s="1"/>
  <c r="BP799" i="2"/>
  <c r="BQ799" i="2" s="1"/>
  <c r="BY799" i="2" s="1"/>
  <c r="BK799" i="2"/>
  <c r="BL799" i="2" s="1"/>
  <c r="BM799" i="2" s="1"/>
  <c r="L133" i="3"/>
  <c r="L122" i="3"/>
  <c r="AW616" i="2"/>
  <c r="BP519" i="2"/>
  <c r="BQ519" i="2" s="1"/>
  <c r="BY519" i="2" s="1"/>
  <c r="BN519" i="2"/>
  <c r="BO519" i="2" s="1"/>
  <c r="BK519" i="2"/>
  <c r="BL519" i="2" s="1"/>
  <c r="BM519" i="2" s="1"/>
  <c r="AX1092" i="2"/>
  <c r="AY1092" i="2"/>
  <c r="AY329" i="2"/>
  <c r="AX329" i="2"/>
  <c r="AW841" i="2"/>
  <c r="BP747" i="2"/>
  <c r="BQ747" i="2" s="1"/>
  <c r="BY747" i="2" s="1"/>
  <c r="BN747" i="2"/>
  <c r="BO747" i="2" s="1"/>
  <c r="BK747" i="2"/>
  <c r="BL747" i="2" s="1"/>
  <c r="BM747" i="2" s="1"/>
  <c r="CF744" i="2"/>
  <c r="AL744" i="2"/>
  <c r="AW268" i="2"/>
  <c r="BP168" i="2"/>
  <c r="BQ168" i="2" s="1"/>
  <c r="BY168" i="2" s="1"/>
  <c r="BN168" i="2"/>
  <c r="BO168" i="2" s="1"/>
  <c r="BK168" i="2"/>
  <c r="BL168" i="2" s="1"/>
  <c r="BM168" i="2" s="1"/>
  <c r="CF752" i="2"/>
  <c r="AL752" i="2"/>
  <c r="BP323" i="2"/>
  <c r="BQ323" i="2" s="1"/>
  <c r="BY323" i="2" s="1"/>
  <c r="BN323" i="2"/>
  <c r="BO323" i="2" s="1"/>
  <c r="AW420" i="2"/>
  <c r="BG542" i="2"/>
  <c r="CC542" i="2"/>
  <c r="BJ542" i="2"/>
  <c r="BJ649" i="2"/>
  <c r="BG649" i="2"/>
  <c r="CC649" i="2"/>
  <c r="BI649" i="2"/>
  <c r="AW999" i="2"/>
  <c r="BN854" i="2"/>
  <c r="BO854" i="2" s="1"/>
  <c r="BP854" i="2"/>
  <c r="BQ854" i="2" s="1"/>
  <c r="BY854" i="2" s="1"/>
  <c r="BK854" i="2"/>
  <c r="BL854" i="2" s="1"/>
  <c r="BM854" i="2" s="1"/>
  <c r="K997" i="2"/>
  <c r="K1000" i="2"/>
  <c r="K1003" i="2"/>
  <c r="K999" i="2"/>
  <c r="K981" i="2"/>
  <c r="K990" i="2"/>
  <c r="K982" i="2"/>
  <c r="K970" i="2"/>
  <c r="K958" i="2"/>
  <c r="K985" i="2"/>
  <c r="K973" i="2"/>
  <c r="K961" i="2"/>
  <c r="K1002" i="2"/>
  <c r="K986" i="2"/>
  <c r="K963" i="2"/>
  <c r="K980" i="2"/>
  <c r="K954" i="2"/>
  <c r="K1005" i="2"/>
  <c r="K998" i="2"/>
  <c r="K992" i="2"/>
  <c r="K988" i="2"/>
  <c r="K987" i="2"/>
  <c r="K968" i="2"/>
  <c r="K966" i="2"/>
  <c r="K955" i="2"/>
  <c r="K991" i="2"/>
  <c r="K977" i="2"/>
  <c r="K959" i="2"/>
  <c r="K1004" i="2"/>
  <c r="K993" i="2"/>
  <c r="K983" i="2"/>
  <c r="K974" i="2"/>
  <c r="K994" i="2"/>
  <c r="K969" i="2"/>
  <c r="K960" i="2"/>
  <c r="K995" i="2"/>
  <c r="K976" i="2"/>
  <c r="K975" i="2"/>
  <c r="K971" i="2"/>
  <c r="K996" i="2"/>
  <c r="K1006" i="2"/>
  <c r="K967" i="2"/>
  <c r="K965" i="2"/>
  <c r="K943" i="2"/>
  <c r="K950" i="2"/>
  <c r="K937" i="2"/>
  <c r="K938" i="2"/>
  <c r="K989" i="2"/>
  <c r="K939" i="2"/>
  <c r="K953" i="2"/>
  <c r="K947" i="2"/>
  <c r="K940" i="2"/>
  <c r="K928" i="2"/>
  <c r="K1001" i="2"/>
  <c r="K984" i="2"/>
  <c r="K948" i="2"/>
  <c r="K957" i="2"/>
  <c r="K952" i="2"/>
  <c r="K945" i="2"/>
  <c r="K978" i="2"/>
  <c r="K1007" i="2"/>
  <c r="K979" i="2"/>
  <c r="K941" i="2"/>
  <c r="K915" i="2"/>
  <c r="K962" i="2"/>
  <c r="K926" i="2"/>
  <c r="K916" i="2"/>
  <c r="K956" i="2"/>
  <c r="K917" i="2"/>
  <c r="K964" i="2"/>
  <c r="K927" i="2"/>
  <c r="K918" i="2"/>
  <c r="K949" i="2"/>
  <c r="K935" i="2"/>
  <c r="K929" i="2"/>
  <c r="K920" i="2"/>
  <c r="K942" i="2"/>
  <c r="K934" i="2"/>
  <c r="K921" i="2"/>
  <c r="K951" i="2"/>
  <c r="K922" i="2"/>
  <c r="K944" i="2"/>
  <c r="K936" i="2"/>
  <c r="K931" i="2"/>
  <c r="K924" i="2"/>
  <c r="K923" i="2"/>
  <c r="K930" i="2"/>
  <c r="K933" i="2"/>
  <c r="K972" i="2"/>
  <c r="K913" i="2"/>
  <c r="K912" i="2"/>
  <c r="K932" i="2"/>
  <c r="K925" i="2"/>
  <c r="K911" i="2"/>
  <c r="K910" i="2"/>
  <c r="K914" i="2"/>
  <c r="K946" i="2"/>
  <c r="K919" i="2"/>
  <c r="AX600" i="2"/>
  <c r="AY600" i="2"/>
  <c r="AW903" i="2"/>
  <c r="BN803" i="2"/>
  <c r="BO803" i="2" s="1"/>
  <c r="BP803" i="2"/>
  <c r="BQ803" i="2" s="1"/>
  <c r="BY803" i="2" s="1"/>
  <c r="AX989" i="2"/>
  <c r="AY989" i="2"/>
  <c r="CC908" i="2"/>
  <c r="BJ908" i="2"/>
  <c r="BI908" i="2"/>
  <c r="BG908" i="2"/>
  <c r="AW294" i="2"/>
  <c r="BP197" i="2"/>
  <c r="BQ197" i="2" s="1"/>
  <c r="BY197" i="2" s="1"/>
  <c r="BN197" i="2"/>
  <c r="BO197" i="2" s="1"/>
  <c r="BK197" i="2"/>
  <c r="BL197" i="2" s="1"/>
  <c r="BM197" i="2" s="1"/>
  <c r="AW586" i="2"/>
  <c r="BP489" i="2"/>
  <c r="BQ489" i="2" s="1"/>
  <c r="BY489" i="2" s="1"/>
  <c r="BN489" i="2"/>
  <c r="BO489" i="2" s="1"/>
  <c r="BK489" i="2"/>
  <c r="BL489" i="2" s="1"/>
  <c r="BM489" i="2" s="1"/>
  <c r="BJ692" i="2"/>
  <c r="CC692" i="2"/>
  <c r="BG692" i="2"/>
  <c r="AY310" i="2"/>
  <c r="AX310" i="2"/>
  <c r="AW610" i="2"/>
  <c r="BP513" i="2"/>
  <c r="BQ513" i="2" s="1"/>
  <c r="BY513" i="2" s="1"/>
  <c r="BN513" i="2"/>
  <c r="BO513" i="2" s="1"/>
  <c r="BK513" i="2"/>
  <c r="BL513" i="2" s="1"/>
  <c r="BM513" i="2" s="1"/>
  <c r="AX587" i="2"/>
  <c r="AY587" i="2"/>
  <c r="AW263" i="2"/>
  <c r="BP187" i="2"/>
  <c r="BQ187" i="2" s="1"/>
  <c r="BY187" i="2" s="1"/>
  <c r="BN187" i="2"/>
  <c r="BO187" i="2" s="1"/>
  <c r="BK187" i="2"/>
  <c r="BL187" i="2" s="1"/>
  <c r="BM187" i="2" s="1"/>
  <c r="AX274" i="2"/>
  <c r="AY274" i="2"/>
  <c r="F133" i="3"/>
  <c r="F122" i="3"/>
  <c r="AX632" i="2"/>
  <c r="AY632" i="2"/>
  <c r="AW302" i="2"/>
  <c r="BN205" i="2"/>
  <c r="BO205" i="2" s="1"/>
  <c r="BP205" i="2"/>
  <c r="BQ205" i="2" s="1"/>
  <c r="BY205" i="2" s="1"/>
  <c r="BK205" i="2"/>
  <c r="BL205" i="2" s="1"/>
  <c r="BM205" i="2" s="1"/>
  <c r="J130" i="3"/>
  <c r="J132" i="3" s="1"/>
  <c r="J134" i="3" s="1"/>
  <c r="BJ744" i="2"/>
  <c r="CC744" i="2"/>
  <c r="BG744" i="2"/>
  <c r="AX282" i="2"/>
  <c r="AY282" i="2"/>
  <c r="AW311" i="2"/>
  <c r="BP214" i="2"/>
  <c r="BQ214" i="2" s="1"/>
  <c r="BY214" i="2" s="1"/>
  <c r="BN214" i="2"/>
  <c r="BO214" i="2" s="1"/>
  <c r="BK214" i="2"/>
  <c r="BL214" i="2" s="1"/>
  <c r="BM214" i="2" s="1"/>
  <c r="AW279" i="2"/>
  <c r="BP188" i="2"/>
  <c r="BQ188" i="2" s="1"/>
  <c r="BY188" i="2" s="1"/>
  <c r="BN188" i="2"/>
  <c r="BO188" i="2" s="1"/>
  <c r="BK188" i="2"/>
  <c r="BL188" i="2" s="1"/>
  <c r="BM188" i="2" s="1"/>
  <c r="AX300" i="2"/>
  <c r="AY300" i="2"/>
  <c r="AY319" i="2"/>
  <c r="AX319" i="2"/>
  <c r="AY340" i="2"/>
  <c r="AX340" i="2"/>
  <c r="BJ752" i="2"/>
  <c r="CC752" i="2"/>
  <c r="BG752" i="2"/>
  <c r="AW285" i="2"/>
  <c r="BN164" i="2"/>
  <c r="BO164" i="2" s="1"/>
  <c r="BP164" i="2"/>
  <c r="BQ164" i="2" s="1"/>
  <c r="BY164" i="2" s="1"/>
  <c r="BK164" i="2"/>
  <c r="BL164" i="2" s="1"/>
  <c r="BM164" i="2" s="1"/>
  <c r="AY620" i="2"/>
  <c r="AX620" i="2"/>
  <c r="BK771" i="2"/>
  <c r="BL771" i="2" s="1"/>
  <c r="BM771" i="2" s="1"/>
  <c r="BG1065" i="2"/>
  <c r="BJ1065" i="2"/>
  <c r="CC1065" i="2"/>
  <c r="L130" i="3"/>
  <c r="L132" i="3" s="1"/>
  <c r="L134" i="3" s="1"/>
  <c r="CC605" i="2"/>
  <c r="BJ605" i="2"/>
  <c r="BG605" i="2"/>
  <c r="BI605" i="2"/>
  <c r="AW314" i="2"/>
  <c r="BN217" i="2"/>
  <c r="BO217" i="2" s="1"/>
  <c r="BP217" i="2"/>
  <c r="BQ217" i="2" s="1"/>
  <c r="BY217" i="2" s="1"/>
  <c r="BK217" i="2"/>
  <c r="BL217" i="2" s="1"/>
  <c r="BM217" i="2" s="1"/>
  <c r="AY325" i="2"/>
  <c r="AX325" i="2"/>
  <c r="BG596" i="2"/>
  <c r="CC596" i="2"/>
  <c r="BJ596" i="2"/>
  <c r="AW331" i="2"/>
  <c r="BP234" i="2"/>
  <c r="BQ234" i="2" s="1"/>
  <c r="BY234" i="2" s="1"/>
  <c r="BN234" i="2"/>
  <c r="BO234" i="2" s="1"/>
  <c r="BK234" i="2"/>
  <c r="BL234" i="2" s="1"/>
  <c r="BM234" i="2" s="1"/>
  <c r="AW317" i="2"/>
  <c r="BP220" i="2"/>
  <c r="BQ220" i="2" s="1"/>
  <c r="BY220" i="2" s="1"/>
  <c r="BN220" i="2"/>
  <c r="BO220" i="2" s="1"/>
  <c r="BK220" i="2"/>
  <c r="BL220" i="2" s="1"/>
  <c r="BM220" i="2" s="1"/>
  <c r="AX272" i="2"/>
  <c r="AY272" i="2"/>
  <c r="BI612" i="2"/>
  <c r="CC612" i="2"/>
  <c r="BJ612" i="2"/>
  <c r="BG612" i="2"/>
  <c r="AW631" i="2"/>
  <c r="BN534" i="2"/>
  <c r="BO534" i="2" s="1"/>
  <c r="BK534" i="2"/>
  <c r="BL534" i="2" s="1"/>
  <c r="BM534" i="2" s="1"/>
  <c r="BP534" i="2"/>
  <c r="BQ534" i="2" s="1"/>
  <c r="BY534" i="2" s="1"/>
  <c r="BG581" i="2"/>
  <c r="BI581" i="2"/>
  <c r="CC581" i="2"/>
  <c r="BJ581" i="2"/>
  <c r="K1087" i="2"/>
  <c r="K1096" i="2"/>
  <c r="K1093" i="2"/>
  <c r="K1083" i="2"/>
  <c r="K1079" i="2"/>
  <c r="K1075" i="2"/>
  <c r="K1071" i="2"/>
  <c r="K1094" i="2"/>
  <c r="K1092" i="2"/>
  <c r="K1090" i="2"/>
  <c r="K1088" i="2"/>
  <c r="K1085" i="2"/>
  <c r="K1076" i="2"/>
  <c r="K1060" i="2"/>
  <c r="K1091" i="2"/>
  <c r="K1078" i="2"/>
  <c r="K1080" i="2"/>
  <c r="K1056" i="2"/>
  <c r="K1077" i="2"/>
  <c r="K1073" i="2"/>
  <c r="K1058" i="2"/>
  <c r="K1053" i="2"/>
  <c r="K1038" i="2"/>
  <c r="K1034" i="2"/>
  <c r="K1025" i="2"/>
  <c r="K1069" i="2"/>
  <c r="K1055" i="2"/>
  <c r="K1051" i="2"/>
  <c r="K1048" i="2"/>
  <c r="K1043" i="2"/>
  <c r="K1039" i="2"/>
  <c r="K1086" i="2"/>
  <c r="K1070" i="2"/>
  <c r="K1061" i="2"/>
  <c r="K1035" i="2"/>
  <c r="K1031" i="2"/>
  <c r="K1026" i="2"/>
  <c r="K1082" i="2"/>
  <c r="K1068" i="2"/>
  <c r="K1057" i="2"/>
  <c r="K1097" i="2"/>
  <c r="K1066" i="2"/>
  <c r="K1049" i="2"/>
  <c r="K1067" i="2"/>
  <c r="K1045" i="2"/>
  <c r="K1064" i="2"/>
  <c r="K1033" i="2"/>
  <c r="K1029" i="2"/>
  <c r="K1081" i="2"/>
  <c r="K1063" i="2"/>
  <c r="K1052" i="2"/>
  <c r="K1050" i="2"/>
  <c r="K1062" i="2"/>
  <c r="K1044" i="2"/>
  <c r="K1032" i="2"/>
  <c r="K1042" i="2"/>
  <c r="K1046" i="2"/>
  <c r="K1095" i="2"/>
  <c r="K1084" i="2"/>
  <c r="K1024" i="2"/>
  <c r="K1023" i="2"/>
  <c r="K1021" i="2"/>
  <c r="K1072" i="2"/>
  <c r="K1037" i="2"/>
  <c r="K1054" i="2"/>
  <c r="K1040" i="2"/>
  <c r="K1012" i="2"/>
  <c r="K1041" i="2"/>
  <c r="K1016" i="2"/>
  <c r="K1074" i="2"/>
  <c r="K1028" i="2"/>
  <c r="K1030" i="2"/>
  <c r="K1089" i="2"/>
  <c r="K1020" i="2"/>
  <c r="K1022" i="2"/>
  <c r="K1059" i="2"/>
  <c r="K1019" i="2"/>
  <c r="K1017" i="2"/>
  <c r="K1065" i="2"/>
  <c r="K1027" i="2"/>
  <c r="K1047" i="2"/>
  <c r="K1015" i="2"/>
  <c r="K1011" i="2"/>
  <c r="K1018" i="2"/>
  <c r="K1036" i="2"/>
  <c r="K1008" i="2"/>
  <c r="K1014" i="2"/>
  <c r="K1010" i="2"/>
  <c r="K1009" i="2"/>
  <c r="K1013" i="2"/>
  <c r="AW295" i="2"/>
  <c r="BN198" i="2"/>
  <c r="BO198" i="2" s="1"/>
  <c r="BP198" i="2"/>
  <c r="BQ198" i="2" s="1"/>
  <c r="BY198" i="2" s="1"/>
  <c r="BK198" i="2"/>
  <c r="BL198" i="2" s="1"/>
  <c r="BM198" i="2" s="1"/>
  <c r="AW470" i="2"/>
  <c r="BP373" i="2"/>
  <c r="BQ373" i="2" s="1"/>
  <c r="BY373" i="2" s="1"/>
  <c r="BN373" i="2"/>
  <c r="BO373" i="2" s="1"/>
  <c r="BK373" i="2"/>
  <c r="BL373" i="2" s="1"/>
  <c r="BM373" i="2" s="1"/>
  <c r="AY633" i="2"/>
  <c r="AX633" i="2"/>
  <c r="AW278" i="2"/>
  <c r="BP155" i="2"/>
  <c r="BQ155" i="2" s="1"/>
  <c r="BY155" i="2" s="1"/>
  <c r="BN155" i="2"/>
  <c r="BO155" i="2" s="1"/>
  <c r="BK155" i="2"/>
  <c r="BL155" i="2" s="1"/>
  <c r="BM155" i="2" s="1"/>
  <c r="BJ1012" i="2"/>
  <c r="CC1012" i="2"/>
  <c r="BG1012" i="2"/>
  <c r="AX884" i="2"/>
  <c r="AY884" i="2"/>
  <c r="CC890" i="2"/>
  <c r="BJ890" i="2"/>
  <c r="BG890" i="2"/>
  <c r="BJ306" i="2"/>
  <c r="BI306" i="2"/>
  <c r="CC306" i="2"/>
  <c r="BG306" i="2"/>
  <c r="AX500" i="2"/>
  <c r="AY500" i="2"/>
  <c r="BJ583" i="2"/>
  <c r="CC583" i="2"/>
  <c r="BI583" i="2"/>
  <c r="BG583" i="2"/>
  <c r="BG693" i="2"/>
  <c r="CC693" i="2"/>
  <c r="BJ693" i="2"/>
  <c r="AW316" i="2"/>
  <c r="BP219" i="2"/>
  <c r="BQ219" i="2" s="1"/>
  <c r="BY219" i="2" s="1"/>
  <c r="BN219" i="2"/>
  <c r="BO219" i="2" s="1"/>
  <c r="BK219" i="2"/>
  <c r="BL219" i="2" s="1"/>
  <c r="BM219" i="2" s="1"/>
  <c r="AW602" i="2"/>
  <c r="BP505" i="2"/>
  <c r="BQ505" i="2" s="1"/>
  <c r="BY505" i="2" s="1"/>
  <c r="BN505" i="2"/>
  <c r="BO505" i="2" s="1"/>
  <c r="BK505" i="2"/>
  <c r="BL505" i="2" s="1"/>
  <c r="BM505" i="2" s="1"/>
  <c r="BI176" i="2"/>
  <c r="BG427" i="2"/>
  <c r="CC427" i="2"/>
  <c r="BI427" i="2"/>
  <c r="BJ427" i="2"/>
  <c r="BJ949" i="2"/>
  <c r="BI949" i="2"/>
  <c r="BG949" i="2"/>
  <c r="CC949" i="2"/>
  <c r="AL1065" i="2"/>
  <c r="CF1065" i="2"/>
  <c r="AX336" i="2"/>
  <c r="AY336" i="2"/>
  <c r="BJ580" i="2"/>
  <c r="BI580" i="2"/>
  <c r="CC580" i="2"/>
  <c r="BG580" i="2"/>
  <c r="AW589" i="2"/>
  <c r="BP492" i="2"/>
  <c r="BQ492" i="2" s="1"/>
  <c r="BY492" i="2" s="1"/>
  <c r="BN492" i="2"/>
  <c r="BO492" i="2" s="1"/>
  <c r="BK492" i="2"/>
  <c r="BL492" i="2" s="1"/>
  <c r="BM492" i="2" s="1"/>
  <c r="I133" i="3"/>
  <c r="I122" i="3"/>
  <c r="CC916" i="2"/>
  <c r="BJ916" i="2"/>
  <c r="BG916" i="2"/>
  <c r="L83" i="4"/>
  <c r="K83" i="4"/>
  <c r="J83" i="4"/>
  <c r="I83" i="4"/>
  <c r="G83" i="4"/>
  <c r="F83" i="4"/>
  <c r="E82" i="4"/>
  <c r="BI150" i="2"/>
  <c r="D122" i="3"/>
  <c r="D133" i="3"/>
  <c r="M34" i="3"/>
  <c r="BN152" i="2"/>
  <c r="BO152" i="2" s="1"/>
  <c r="AW266" i="2"/>
  <c r="BP152" i="2"/>
  <c r="BQ152" i="2" s="1"/>
  <c r="BY152" i="2" s="1"/>
  <c r="BK152" i="2"/>
  <c r="BL152" i="2" s="1"/>
  <c r="BM152" i="2" s="1"/>
  <c r="BI198" i="2"/>
  <c r="BJ954" i="2"/>
  <c r="CC954" i="2"/>
  <c r="BI954" i="2"/>
  <c r="BG954" i="2"/>
  <c r="CC1096" i="2"/>
  <c r="BJ1096" i="2"/>
  <c r="BG1096" i="2"/>
  <c r="AW598" i="2"/>
  <c r="BP501" i="2"/>
  <c r="BQ501" i="2" s="1"/>
  <c r="BY501" i="2" s="1"/>
  <c r="BN501" i="2"/>
  <c r="BO501" i="2" s="1"/>
  <c r="CC738" i="2"/>
  <c r="BG738" i="2"/>
  <c r="BJ738" i="2"/>
  <c r="AL1012" i="2"/>
  <c r="CF1012" i="2"/>
  <c r="BI156" i="2"/>
  <c r="BI499" i="2"/>
  <c r="AX287" i="2"/>
  <c r="AY287" i="2"/>
  <c r="BI530" i="2"/>
  <c r="CC530" i="2"/>
  <c r="BJ530" i="2"/>
  <c r="BG530" i="2"/>
  <c r="AW833" i="2"/>
  <c r="BP742" i="2"/>
  <c r="BQ742" i="2" s="1"/>
  <c r="BY742" i="2" s="1"/>
  <c r="BN742" i="2"/>
  <c r="BO742" i="2" s="1"/>
  <c r="BK742" i="2"/>
  <c r="BL742" i="2" s="1"/>
  <c r="BM742" i="2" s="1"/>
  <c r="BN160" i="2"/>
  <c r="BO160" i="2" s="1"/>
  <c r="AW269" i="2"/>
  <c r="BP160" i="2"/>
  <c r="BQ160" i="2" s="1"/>
  <c r="BY160" i="2" s="1"/>
  <c r="AX241" i="2"/>
  <c r="AY241" i="2"/>
  <c r="M101" i="3" s="1"/>
  <c r="AW1083" i="2"/>
  <c r="BP948" i="2"/>
  <c r="BQ948" i="2" s="1"/>
  <c r="BY948" i="2" s="1"/>
  <c r="BN948" i="2"/>
  <c r="BO948" i="2" s="1"/>
  <c r="BK948" i="2"/>
  <c r="BL948" i="2" s="1"/>
  <c r="BM948" i="2" s="1"/>
  <c r="AY615" i="2"/>
  <c r="AX615" i="2"/>
  <c r="AW507" i="2"/>
  <c r="BP410" i="2"/>
  <c r="BQ410" i="2" s="1"/>
  <c r="BY410" i="2" s="1"/>
  <c r="BN410" i="2"/>
  <c r="BO410" i="2" s="1"/>
  <c r="BK410" i="2"/>
  <c r="BL410" i="2" s="1"/>
  <c r="BM410" i="2" s="1"/>
  <c r="BI410" i="2"/>
  <c r="AW250" i="2"/>
  <c r="BP173" i="2"/>
  <c r="BQ173" i="2" s="1"/>
  <c r="BY173" i="2" s="1"/>
  <c r="BN173" i="2"/>
  <c r="BO173" i="2" s="1"/>
  <c r="BK173" i="2"/>
  <c r="BL173" i="2" s="1"/>
  <c r="BM173" i="2" s="1"/>
  <c r="AW292" i="2"/>
  <c r="BK195" i="2"/>
  <c r="BL195" i="2" s="1"/>
  <c r="BM195" i="2" s="1"/>
  <c r="AX607" i="2"/>
  <c r="AY607" i="2"/>
  <c r="BG593" i="2"/>
  <c r="CC593" i="2"/>
  <c r="BJ593" i="2"/>
  <c r="AX889" i="2"/>
  <c r="AY889" i="2"/>
  <c r="AW332" i="2"/>
  <c r="AX332" i="2" s="1"/>
  <c r="BP235" i="2"/>
  <c r="BQ235" i="2" s="1"/>
  <c r="BY235" i="2" s="1"/>
  <c r="BN235" i="2"/>
  <c r="BO235" i="2" s="1"/>
  <c r="BK235" i="2"/>
  <c r="BL235" i="2" s="1"/>
  <c r="BM235" i="2" s="1"/>
  <c r="AW290" i="2"/>
  <c r="BP193" i="2"/>
  <c r="BQ193" i="2" s="1"/>
  <c r="BY193" i="2" s="1"/>
  <c r="BN193" i="2"/>
  <c r="BO193" i="2" s="1"/>
  <c r="BK193" i="2"/>
  <c r="BL193" i="2" s="1"/>
  <c r="BM193" i="2" s="1"/>
  <c r="AX625" i="2"/>
  <c r="AY625" i="2"/>
  <c r="CC836" i="2"/>
  <c r="BJ836" i="2"/>
  <c r="BG836" i="2"/>
  <c r="CC931" i="2"/>
  <c r="BG931" i="2"/>
  <c r="BJ931" i="2"/>
  <c r="AW321" i="2"/>
  <c r="AX321" i="2" s="1"/>
  <c r="BP224" i="2"/>
  <c r="BQ224" i="2" s="1"/>
  <c r="BY224" i="2" s="1"/>
  <c r="BN224" i="2"/>
  <c r="BO224" i="2" s="1"/>
  <c r="BK224" i="2"/>
  <c r="BL224" i="2" s="1"/>
  <c r="BM224" i="2" s="1"/>
  <c r="AY608" i="2"/>
  <c r="AX608" i="2"/>
  <c r="AX622" i="2"/>
  <c r="AY622" i="2"/>
  <c r="AL1043" i="2"/>
  <c r="CF1043" i="2"/>
  <c r="AX875" i="2"/>
  <c r="AY875" i="2"/>
  <c r="AY312" i="2"/>
  <c r="AX312" i="2"/>
  <c r="AW977" i="2"/>
  <c r="BN832" i="2"/>
  <c r="BO832" i="2" s="1"/>
  <c r="BP832" i="2"/>
  <c r="BQ832" i="2" s="1"/>
  <c r="BY832" i="2" s="1"/>
  <c r="BK832" i="2"/>
  <c r="BL832" i="2" s="1"/>
  <c r="BM832" i="2" s="1"/>
  <c r="BI832" i="2"/>
  <c r="CC900" i="2"/>
  <c r="BJ900" i="2"/>
  <c r="BI900" i="2"/>
  <c r="BG900" i="2"/>
  <c r="CF738" i="2"/>
  <c r="AL738" i="2"/>
  <c r="BG1054" i="2"/>
  <c r="CC1054" i="2"/>
  <c r="BJ1054" i="2"/>
  <c r="AW584" i="2"/>
  <c r="BP487" i="2"/>
  <c r="BQ487" i="2" s="1"/>
  <c r="BY487" i="2" s="1"/>
  <c r="BN487" i="2"/>
  <c r="BO487" i="2" s="1"/>
  <c r="BK487" i="2"/>
  <c r="BL487" i="2" s="1"/>
  <c r="BM487" i="2" s="1"/>
  <c r="D138" i="3"/>
  <c r="J116" i="4" s="1"/>
  <c r="D139" i="3"/>
  <c r="K116" i="4" s="1"/>
  <c r="I116" i="4"/>
  <c r="AY256" i="2"/>
  <c r="AX256" i="2"/>
  <c r="AX619" i="2"/>
  <c r="AY619" i="2"/>
  <c r="AY291" i="2"/>
  <c r="AX291" i="2"/>
  <c r="AY320" i="2"/>
  <c r="AX320" i="2"/>
  <c r="BI173" i="2"/>
  <c r="CC561" i="2"/>
  <c r="BI561" i="2"/>
  <c r="BG561" i="2"/>
  <c r="BJ561" i="2"/>
  <c r="F114" i="4"/>
  <c r="E114" i="4"/>
  <c r="L114" i="4"/>
  <c r="D113" i="4"/>
  <c r="K114" i="4"/>
  <c r="J114" i="4"/>
  <c r="I114" i="4"/>
  <c r="H114" i="4"/>
  <c r="G114" i="4"/>
  <c r="CC423" i="2"/>
  <c r="BJ423" i="2"/>
  <c r="BI423" i="2"/>
  <c r="BG423" i="2"/>
  <c r="AW509" i="2"/>
  <c r="BN412" i="2"/>
  <c r="BO412" i="2" s="1"/>
  <c r="BP412" i="2"/>
  <c r="BQ412" i="2" s="1"/>
  <c r="BY412" i="2" s="1"/>
  <c r="BK412" i="2"/>
  <c r="BL412" i="2" s="1"/>
  <c r="BM412" i="2" s="1"/>
  <c r="BJ1079" i="2"/>
  <c r="CC1079" i="2"/>
  <c r="BG1079" i="2"/>
  <c r="AW271" i="2"/>
  <c r="BP179" i="2"/>
  <c r="BQ179" i="2" s="1"/>
  <c r="BY179" i="2" s="1"/>
  <c r="BN179" i="2"/>
  <c r="BO179" i="2" s="1"/>
  <c r="BK179" i="2"/>
  <c r="BL179" i="2" s="1"/>
  <c r="BM179" i="2" s="1"/>
  <c r="BI221" i="2"/>
  <c r="BJ746" i="2"/>
  <c r="CC746" i="2"/>
  <c r="BG746" i="2"/>
  <c r="BJ960" i="2"/>
  <c r="BI960" i="2"/>
  <c r="CC960" i="2"/>
  <c r="BG960" i="2"/>
  <c r="BJ1043" i="2"/>
  <c r="BG1043" i="2"/>
  <c r="CC1043" i="2"/>
  <c r="AY585" i="2"/>
  <c r="AX585" i="2"/>
  <c r="AW894" i="2"/>
  <c r="BP788" i="2"/>
  <c r="BQ788" i="2" s="1"/>
  <c r="BY788" i="2" s="1"/>
  <c r="BN788" i="2"/>
  <c r="BO788" i="2" s="1"/>
  <c r="BK788" i="2"/>
  <c r="BL788" i="2" s="1"/>
  <c r="BM788" i="2" s="1"/>
  <c r="CC898" i="2"/>
  <c r="BJ898" i="2"/>
  <c r="BG898" i="2"/>
  <c r="AW283" i="2"/>
  <c r="BN170" i="2"/>
  <c r="BO170" i="2" s="1"/>
  <c r="BP170" i="2"/>
  <c r="BQ170" i="2" s="1"/>
  <c r="BY170" i="2" s="1"/>
  <c r="BK170" i="2"/>
  <c r="BL170" i="2" s="1"/>
  <c r="BM170" i="2" s="1"/>
  <c r="AY334" i="2"/>
  <c r="AX334" i="2"/>
  <c r="BJ1089" i="2"/>
  <c r="CC1089" i="2"/>
  <c r="BG1089" i="2"/>
  <c r="AY307" i="2"/>
  <c r="AX307" i="2"/>
  <c r="AX529" i="2"/>
  <c r="AY529" i="2"/>
  <c r="AX515" i="2"/>
  <c r="AY515" i="2"/>
  <c r="BI488" i="2"/>
  <c r="CC488" i="2"/>
  <c r="BJ488" i="2"/>
  <c r="BG488" i="2"/>
  <c r="AW328" i="2"/>
  <c r="BP231" i="2"/>
  <c r="BQ231" i="2" s="1"/>
  <c r="BY231" i="2" s="1"/>
  <c r="BN231" i="2"/>
  <c r="BO231" i="2" s="1"/>
  <c r="BK231" i="2"/>
  <c r="BL231" i="2" s="1"/>
  <c r="BM231" i="2" s="1"/>
  <c r="BG537" i="2"/>
  <c r="CC537" i="2"/>
  <c r="BJ537" i="2"/>
  <c r="H130" i="3"/>
  <c r="H132" i="3" s="1"/>
  <c r="H134" i="3" s="1"/>
  <c r="BF639" i="2"/>
  <c r="BP1067" i="2"/>
  <c r="BQ1067" i="2" s="1"/>
  <c r="BY1067" i="2" s="1"/>
  <c r="BN1067" i="2"/>
  <c r="BO1067" i="2" s="1"/>
  <c r="BK1067" i="2"/>
  <c r="BL1067" i="2" s="1"/>
  <c r="BM1067" i="2" s="1"/>
  <c r="AW281" i="2"/>
  <c r="BP149" i="2"/>
  <c r="BQ149" i="2" s="1"/>
  <c r="BY149" i="2" s="1"/>
  <c r="BN149" i="2"/>
  <c r="BO149" i="2" s="1"/>
  <c r="BK149" i="2"/>
  <c r="BL149" i="2" s="1"/>
  <c r="BM149" i="2" s="1"/>
  <c r="AX339" i="2"/>
  <c r="AY339" i="2"/>
  <c r="BG910" i="2"/>
  <c r="CC910" i="2"/>
  <c r="BJ910" i="2"/>
  <c r="BI179" i="2"/>
  <c r="AX303" i="2"/>
  <c r="AY303" i="2"/>
  <c r="AY333" i="2"/>
  <c r="AX333" i="2"/>
  <c r="AW427" i="2"/>
  <c r="BP330" i="2"/>
  <c r="BQ330" i="2" s="1"/>
  <c r="BY330" i="2" s="1"/>
  <c r="BN330" i="2"/>
  <c r="BO330" i="2" s="1"/>
  <c r="BK330" i="2"/>
  <c r="BL330" i="2" s="1"/>
  <c r="BM330" i="2" s="1"/>
  <c r="AL746" i="2"/>
  <c r="CF746" i="2"/>
  <c r="E130" i="3"/>
  <c r="E132" i="3" s="1"/>
  <c r="E134" i="3" s="1"/>
  <c r="AX512" i="2"/>
  <c r="AY512" i="2"/>
  <c r="AL802" i="2"/>
  <c r="CF802" i="2"/>
  <c r="CC791" i="2"/>
  <c r="BG791" i="2"/>
  <c r="BJ791" i="2"/>
  <c r="AW267" i="2"/>
  <c r="BP153" i="2"/>
  <c r="BQ153" i="2" s="1"/>
  <c r="BY153" i="2" s="1"/>
  <c r="BN153" i="2"/>
  <c r="BO153" i="2" s="1"/>
  <c r="BI153" i="2"/>
  <c r="BK153" i="2"/>
  <c r="BL153" i="2" s="1"/>
  <c r="BM153" i="2" s="1"/>
  <c r="AY251" i="2"/>
  <c r="AX251" i="2"/>
  <c r="BG343" i="2"/>
  <c r="BJ343" i="2"/>
  <c r="CC343" i="2"/>
  <c r="BI373" i="2"/>
  <c r="AW308" i="2"/>
  <c r="BP211" i="2"/>
  <c r="BQ211" i="2" s="1"/>
  <c r="BY211" i="2" s="1"/>
  <c r="BN211" i="2"/>
  <c r="BO211" i="2" s="1"/>
  <c r="BK211" i="2"/>
  <c r="BL211" i="2" s="1"/>
  <c r="BM211" i="2" s="1"/>
  <c r="BI524" i="2"/>
  <c r="CC524" i="2"/>
  <c r="BG524" i="2"/>
  <c r="BJ524" i="2"/>
  <c r="BG169" i="2"/>
  <c r="CC169" i="2"/>
  <c r="BJ169" i="2"/>
  <c r="BI169" i="2"/>
  <c r="AW249" i="2"/>
  <c r="BP162" i="2"/>
  <c r="BQ162" i="2" s="1"/>
  <c r="BY162" i="2" s="1"/>
  <c r="BN162" i="2"/>
  <c r="BO162" i="2" s="1"/>
  <c r="BK162" i="2"/>
  <c r="BL162" i="2" s="1"/>
  <c r="BM162" i="2" s="1"/>
  <c r="BI349" i="2"/>
  <c r="CC349" i="2"/>
  <c r="BJ349" i="2"/>
  <c r="BG349" i="2"/>
  <c r="AW259" i="2"/>
  <c r="BP185" i="2"/>
  <c r="BQ185" i="2" s="1"/>
  <c r="BY185" i="2" s="1"/>
  <c r="BN185" i="2"/>
  <c r="BO185" i="2" s="1"/>
  <c r="BI185" i="2"/>
  <c r="BK185" i="2"/>
  <c r="BL185" i="2" s="1"/>
  <c r="BM185" i="2" s="1"/>
  <c r="AX595" i="2"/>
  <c r="AY595" i="2"/>
  <c r="AX943" i="2"/>
  <c r="AY943" i="2"/>
  <c r="CC477" i="2"/>
  <c r="BG477" i="2"/>
  <c r="BJ477" i="2"/>
  <c r="AW286" i="2"/>
  <c r="BP171" i="2"/>
  <c r="BQ171" i="2" s="1"/>
  <c r="BY171" i="2" s="1"/>
  <c r="BN171" i="2"/>
  <c r="BO171" i="2" s="1"/>
  <c r="BK171" i="2"/>
  <c r="BL171" i="2" s="1"/>
  <c r="BM171" i="2" s="1"/>
  <c r="AX273" i="2"/>
  <c r="AY273" i="2"/>
  <c r="AW299" i="2"/>
  <c r="BP202" i="2"/>
  <c r="BQ202" i="2" s="1"/>
  <c r="BY202" i="2" s="1"/>
  <c r="BN202" i="2"/>
  <c r="BO202" i="2" s="1"/>
  <c r="BK202" i="2"/>
  <c r="BL202" i="2" s="1"/>
  <c r="BM202" i="2" s="1"/>
  <c r="AX594" i="2"/>
  <c r="AY594" i="2"/>
  <c r="AL740" i="2"/>
  <c r="CF740" i="2"/>
  <c r="BI217" i="2"/>
  <c r="CC802" i="2"/>
  <c r="BJ802" i="2"/>
  <c r="BG802" i="2"/>
  <c r="G133" i="3"/>
  <c r="G122" i="3"/>
  <c r="AW262" i="2"/>
  <c r="BP182" i="2"/>
  <c r="BQ182" i="2" s="1"/>
  <c r="BY182" i="2" s="1"/>
  <c r="BN182" i="2"/>
  <c r="BO182" i="2" s="1"/>
  <c r="BK182" i="2"/>
  <c r="BL182" i="2" s="1"/>
  <c r="BM182" i="2" s="1"/>
  <c r="BI192" i="2"/>
  <c r="AX830" i="2"/>
  <c r="AY830" i="2"/>
  <c r="BN230" i="2"/>
  <c r="BO230" i="2" s="1"/>
  <c r="AW327" i="2"/>
  <c r="BP230" i="2"/>
  <c r="BQ230" i="2" s="1"/>
  <c r="BY230" i="2" s="1"/>
  <c r="BK230" i="2"/>
  <c r="BL230" i="2" s="1"/>
  <c r="BM230" i="2" s="1"/>
  <c r="AY367" i="2"/>
  <c r="AX367" i="2"/>
  <c r="K130" i="3"/>
  <c r="K132" i="3" s="1"/>
  <c r="K134" i="3" s="1"/>
  <c r="AW617" i="2"/>
  <c r="BP520" i="2"/>
  <c r="BQ520" i="2" s="1"/>
  <c r="BY520" i="2" s="1"/>
  <c r="BN520" i="2"/>
  <c r="BO520" i="2" s="1"/>
  <c r="BK520" i="2"/>
  <c r="BL520" i="2" s="1"/>
  <c r="BM520" i="2" s="1"/>
  <c r="AX603" i="2"/>
  <c r="AY603" i="2"/>
  <c r="BG728" i="2"/>
  <c r="CC728" i="2"/>
  <c r="BJ728" i="2"/>
  <c r="BI803" i="2"/>
  <c r="CC803" i="2"/>
  <c r="BG803" i="2"/>
  <c r="BJ803" i="2"/>
  <c r="AX516" i="2" l="1"/>
  <c r="AY516" i="2"/>
  <c r="AY630" i="2"/>
  <c r="AX630" i="2"/>
  <c r="AW706" i="2"/>
  <c r="BP633" i="2"/>
  <c r="BQ633" i="2" s="1"/>
  <c r="BY633" i="2" s="1"/>
  <c r="BN633" i="2"/>
  <c r="BO633" i="2" s="1"/>
  <c r="BK633" i="2"/>
  <c r="BL633" i="2" s="1"/>
  <c r="BM633" i="2" s="1"/>
  <c r="BP603" i="2"/>
  <c r="BQ603" i="2" s="1"/>
  <c r="BY603" i="2" s="1"/>
  <c r="AW681" i="2"/>
  <c r="BN603" i="2"/>
  <c r="BO603" i="2" s="1"/>
  <c r="BK603" i="2"/>
  <c r="BL603" i="2" s="1"/>
  <c r="BM603" i="2" s="1"/>
  <c r="BJ639" i="2"/>
  <c r="BG639" i="2"/>
  <c r="CC639" i="2"/>
  <c r="BP320" i="2"/>
  <c r="BQ320" i="2" s="1"/>
  <c r="BY320" i="2" s="1"/>
  <c r="AW417" i="2"/>
  <c r="AX417" i="2" s="1"/>
  <c r="BN320" i="2"/>
  <c r="BO320" i="2" s="1"/>
  <c r="BK320" i="2"/>
  <c r="BL320" i="2" s="1"/>
  <c r="BM320" i="2" s="1"/>
  <c r="AW690" i="2"/>
  <c r="BP622" i="2"/>
  <c r="BQ622" i="2" s="1"/>
  <c r="BY622" i="2" s="1"/>
  <c r="BN622" i="2"/>
  <c r="BO622" i="2" s="1"/>
  <c r="BK622" i="2"/>
  <c r="BL622" i="2" s="1"/>
  <c r="BM622" i="2" s="1"/>
  <c r="BI622" i="2"/>
  <c r="AY602" i="2"/>
  <c r="AX602" i="2"/>
  <c r="AX285" i="2"/>
  <c r="AY285" i="2"/>
  <c r="AX881" i="2"/>
  <c r="AY881" i="2"/>
  <c r="AW354" i="2"/>
  <c r="BN257" i="2"/>
  <c r="BO257" i="2" s="1"/>
  <c r="BP257" i="2"/>
  <c r="BQ257" i="2" s="1"/>
  <c r="BY257" i="2" s="1"/>
  <c r="BK257" i="2"/>
  <c r="BL257" i="2" s="1"/>
  <c r="BM257" i="2" s="1"/>
  <c r="BI257" i="2"/>
  <c r="AW421" i="2"/>
  <c r="AX421" i="2" s="1"/>
  <c r="BP324" i="2"/>
  <c r="BQ324" i="2" s="1"/>
  <c r="BY324" i="2" s="1"/>
  <c r="BN324" i="2"/>
  <c r="BO324" i="2" s="1"/>
  <c r="BK324" i="2"/>
  <c r="BL324" i="2" s="1"/>
  <c r="BM324" i="2" s="1"/>
  <c r="AW701" i="2"/>
  <c r="BP628" i="2"/>
  <c r="BQ628" i="2" s="1"/>
  <c r="BY628" i="2" s="1"/>
  <c r="BN628" i="2"/>
  <c r="BO628" i="2" s="1"/>
  <c r="BK628" i="2"/>
  <c r="BL628" i="2" s="1"/>
  <c r="BM628" i="2" s="1"/>
  <c r="BI628" i="2"/>
  <c r="AW438" i="2"/>
  <c r="AX438" i="2" s="1"/>
  <c r="BP341" i="2"/>
  <c r="BQ341" i="2" s="1"/>
  <c r="BY341" i="2" s="1"/>
  <c r="BN341" i="2"/>
  <c r="BO341" i="2" s="1"/>
  <c r="BK341" i="2"/>
  <c r="BL341" i="2" s="1"/>
  <c r="BM341" i="2" s="1"/>
  <c r="BI341" i="2"/>
  <c r="AW374" i="2"/>
  <c r="BP277" i="2"/>
  <c r="BQ277" i="2" s="1"/>
  <c r="BY277" i="2" s="1"/>
  <c r="BN277" i="2"/>
  <c r="BO277" i="2" s="1"/>
  <c r="BK277" i="2"/>
  <c r="BL277" i="2" s="1"/>
  <c r="BM277" i="2" s="1"/>
  <c r="BI277" i="2"/>
  <c r="AX249" i="2"/>
  <c r="AY249" i="2"/>
  <c r="AY308" i="2"/>
  <c r="AX308" i="2"/>
  <c r="AY267" i="2"/>
  <c r="AX267" i="2"/>
  <c r="AW431" i="2"/>
  <c r="AX431" i="2" s="1"/>
  <c r="BP334" i="2"/>
  <c r="BQ334" i="2" s="1"/>
  <c r="BY334" i="2" s="1"/>
  <c r="BN334" i="2"/>
  <c r="BO334" i="2" s="1"/>
  <c r="BK334" i="2"/>
  <c r="BL334" i="2" s="1"/>
  <c r="BM334" i="2" s="1"/>
  <c r="AX894" i="2"/>
  <c r="AY894" i="2"/>
  <c r="AY420" i="2"/>
  <c r="AX420" i="2"/>
  <c r="AW919" i="2"/>
  <c r="BP872" i="2"/>
  <c r="BQ872" i="2" s="1"/>
  <c r="BY872" i="2" s="1"/>
  <c r="BN872" i="2"/>
  <c r="BO872" i="2" s="1"/>
  <c r="BK872" i="2"/>
  <c r="BL872" i="2" s="1"/>
  <c r="BM872" i="2" s="1"/>
  <c r="BI872" i="2"/>
  <c r="AW967" i="2"/>
  <c r="BP822" i="2"/>
  <c r="BQ822" i="2" s="1"/>
  <c r="BY822" i="2" s="1"/>
  <c r="BN822" i="2"/>
  <c r="BO822" i="2" s="1"/>
  <c r="BK822" i="2"/>
  <c r="BL822" i="2" s="1"/>
  <c r="BM822" i="2" s="1"/>
  <c r="BI822" i="2"/>
  <c r="AW377" i="2"/>
  <c r="BP280" i="2"/>
  <c r="BQ280" i="2" s="1"/>
  <c r="BY280" i="2" s="1"/>
  <c r="BN280" i="2"/>
  <c r="BO280" i="2" s="1"/>
  <c r="BK280" i="2"/>
  <c r="BL280" i="2" s="1"/>
  <c r="BM280" i="2" s="1"/>
  <c r="BI280" i="2"/>
  <c r="AY248" i="2"/>
  <c r="AX248" i="2"/>
  <c r="AW390" i="2"/>
  <c r="AX390" i="2" s="1"/>
  <c r="BP293" i="2"/>
  <c r="BQ293" i="2" s="1"/>
  <c r="BY293" i="2" s="1"/>
  <c r="BN293" i="2"/>
  <c r="BO293" i="2" s="1"/>
  <c r="BK293" i="2"/>
  <c r="BL293" i="2" s="1"/>
  <c r="BM293" i="2" s="1"/>
  <c r="AW556" i="2"/>
  <c r="BP459" i="2"/>
  <c r="BQ459" i="2" s="1"/>
  <c r="BY459" i="2" s="1"/>
  <c r="BN459" i="2"/>
  <c r="BO459" i="2" s="1"/>
  <c r="BK459" i="2"/>
  <c r="BL459" i="2" s="1"/>
  <c r="BM459" i="2" s="1"/>
  <c r="BI459" i="2"/>
  <c r="AW975" i="2"/>
  <c r="BP830" i="2"/>
  <c r="BQ830" i="2" s="1"/>
  <c r="BY830" i="2" s="1"/>
  <c r="BN830" i="2"/>
  <c r="BO830" i="2" s="1"/>
  <c r="BK830" i="2"/>
  <c r="BL830" i="2" s="1"/>
  <c r="BM830" i="2" s="1"/>
  <c r="BI830" i="2"/>
  <c r="AW597" i="2"/>
  <c r="BP500" i="2"/>
  <c r="BQ500" i="2" s="1"/>
  <c r="BY500" i="2" s="1"/>
  <c r="BN500" i="2"/>
  <c r="BO500" i="2" s="1"/>
  <c r="BK500" i="2"/>
  <c r="BL500" i="2" s="1"/>
  <c r="BM500" i="2" s="1"/>
  <c r="BI500" i="2"/>
  <c r="AW369" i="2"/>
  <c r="BN272" i="2"/>
  <c r="BO272" i="2" s="1"/>
  <c r="BP272" i="2"/>
  <c r="BQ272" i="2" s="1"/>
  <c r="BY272" i="2" s="1"/>
  <c r="BK272" i="2"/>
  <c r="BL272" i="2" s="1"/>
  <c r="BM272" i="2" s="1"/>
  <c r="BI272" i="2"/>
  <c r="AW436" i="2"/>
  <c r="AX436" i="2" s="1"/>
  <c r="BP339" i="2"/>
  <c r="BQ339" i="2" s="1"/>
  <c r="BY339" i="2" s="1"/>
  <c r="BN339" i="2"/>
  <c r="BO339" i="2" s="1"/>
  <c r="BK339" i="2"/>
  <c r="BL339" i="2" s="1"/>
  <c r="BM339" i="2" s="1"/>
  <c r="AW612" i="2"/>
  <c r="BN515" i="2"/>
  <c r="BO515" i="2" s="1"/>
  <c r="BP515" i="2"/>
  <c r="BQ515" i="2" s="1"/>
  <c r="BY515" i="2" s="1"/>
  <c r="BK515" i="2"/>
  <c r="BL515" i="2" s="1"/>
  <c r="BM515" i="2" s="1"/>
  <c r="BI515" i="2"/>
  <c r="L113" i="4"/>
  <c r="K113" i="4"/>
  <c r="J113" i="4"/>
  <c r="I113" i="4"/>
  <c r="F113" i="4"/>
  <c r="E113" i="4"/>
  <c r="D112" i="4"/>
  <c r="H113" i="4"/>
  <c r="G113" i="4"/>
  <c r="BP291" i="2"/>
  <c r="BQ291" i="2" s="1"/>
  <c r="BY291" i="2" s="1"/>
  <c r="AW388" i="2"/>
  <c r="BK291" i="2"/>
  <c r="BL291" i="2" s="1"/>
  <c r="BM291" i="2" s="1"/>
  <c r="BN291" i="2"/>
  <c r="BO291" i="2" s="1"/>
  <c r="BI291" i="2"/>
  <c r="AX584" i="2"/>
  <c r="AY584" i="2"/>
  <c r="BP889" i="2"/>
  <c r="BQ889" i="2" s="1"/>
  <c r="BY889" i="2" s="1"/>
  <c r="AW934" i="2"/>
  <c r="BN889" i="2"/>
  <c r="BO889" i="2" s="1"/>
  <c r="BK889" i="2"/>
  <c r="BL889" i="2" s="1"/>
  <c r="BM889" i="2" s="1"/>
  <c r="BI889" i="2"/>
  <c r="AX1083" i="2"/>
  <c r="AY1083" i="2"/>
  <c r="AX470" i="2"/>
  <c r="AY470" i="2"/>
  <c r="AX279" i="2"/>
  <c r="AY279" i="2"/>
  <c r="AY260" i="2"/>
  <c r="AX260" i="2"/>
  <c r="AY284" i="2"/>
  <c r="AX284" i="2"/>
  <c r="AW669" i="2"/>
  <c r="BN585" i="2"/>
  <c r="BO585" i="2" s="1"/>
  <c r="BP585" i="2"/>
  <c r="BQ585" i="2" s="1"/>
  <c r="BY585" i="2" s="1"/>
  <c r="BK585" i="2"/>
  <c r="BL585" i="2" s="1"/>
  <c r="BM585" i="2" s="1"/>
  <c r="BI585" i="2"/>
  <c r="BP619" i="2"/>
  <c r="BQ619" i="2" s="1"/>
  <c r="BY619" i="2" s="1"/>
  <c r="AW702" i="2"/>
  <c r="BN619" i="2"/>
  <c r="BO619" i="2" s="1"/>
  <c r="BK619" i="2"/>
  <c r="BL619" i="2" s="1"/>
  <c r="BM619" i="2" s="1"/>
  <c r="BI619" i="2"/>
  <c r="AW696" i="2"/>
  <c r="BN608" i="2"/>
  <c r="BO608" i="2" s="1"/>
  <c r="BP608" i="2"/>
  <c r="BQ608" i="2" s="1"/>
  <c r="BY608" i="2" s="1"/>
  <c r="BK608" i="2"/>
  <c r="BL608" i="2" s="1"/>
  <c r="BM608" i="2" s="1"/>
  <c r="AY250" i="2"/>
  <c r="AX250" i="2"/>
  <c r="AW338" i="2"/>
  <c r="BK241" i="2"/>
  <c r="BL241" i="2" s="1"/>
  <c r="BM241" i="2" s="1"/>
  <c r="AX589" i="2"/>
  <c r="AY589" i="2"/>
  <c r="AY263" i="2"/>
  <c r="AX263" i="2"/>
  <c r="AX841" i="2"/>
  <c r="AY841" i="2"/>
  <c r="BN1049" i="2"/>
  <c r="BO1049" i="2" s="1"/>
  <c r="BP1049" i="2"/>
  <c r="BQ1049" i="2" s="1"/>
  <c r="BY1049" i="2" s="1"/>
  <c r="BI1049" i="2"/>
  <c r="BK1049" i="2"/>
  <c r="BL1049" i="2" s="1"/>
  <c r="BM1049" i="2" s="1"/>
  <c r="AW349" i="2"/>
  <c r="BP252" i="2"/>
  <c r="BQ252" i="2" s="1"/>
  <c r="BY252" i="2" s="1"/>
  <c r="BN252" i="2"/>
  <c r="BO252" i="2" s="1"/>
  <c r="BK252" i="2"/>
  <c r="BL252" i="2" s="1"/>
  <c r="BM252" i="2" s="1"/>
  <c r="BI252" i="2"/>
  <c r="AW344" i="2"/>
  <c r="BN247" i="2"/>
  <c r="BO247" i="2" s="1"/>
  <c r="BP247" i="2"/>
  <c r="BQ247" i="2" s="1"/>
  <c r="BY247" i="2" s="1"/>
  <c r="BK247" i="2"/>
  <c r="BL247" i="2" s="1"/>
  <c r="BM247" i="2" s="1"/>
  <c r="BI247" i="2"/>
  <c r="AW393" i="2"/>
  <c r="AX393" i="2" s="1"/>
  <c r="BP296" i="2"/>
  <c r="BQ296" i="2" s="1"/>
  <c r="BY296" i="2" s="1"/>
  <c r="BN296" i="2"/>
  <c r="BO296" i="2" s="1"/>
  <c r="BK296" i="2"/>
  <c r="BL296" i="2" s="1"/>
  <c r="BM296" i="2" s="1"/>
  <c r="AY624" i="2"/>
  <c r="AX624" i="2"/>
  <c r="AY305" i="2"/>
  <c r="AX305" i="2"/>
  <c r="BP1029" i="2"/>
  <c r="BQ1029" i="2" s="1"/>
  <c r="BY1029" i="2" s="1"/>
  <c r="BN1029" i="2"/>
  <c r="BO1029" i="2" s="1"/>
  <c r="BK1029" i="2"/>
  <c r="BL1029" i="2" s="1"/>
  <c r="BM1029" i="2" s="1"/>
  <c r="BI1029" i="2"/>
  <c r="AX255" i="2"/>
  <c r="AY255" i="2"/>
  <c r="AX258" i="2"/>
  <c r="AY258" i="2"/>
  <c r="AY358" i="2"/>
  <c r="AX358" i="2"/>
  <c r="AX309" i="2"/>
  <c r="AY309" i="2"/>
  <c r="BP298" i="2"/>
  <c r="BQ298" i="2" s="1"/>
  <c r="BY298" i="2" s="1"/>
  <c r="BN298" i="2"/>
  <c r="BO298" i="2" s="1"/>
  <c r="AW395" i="2"/>
  <c r="AX395" i="2" s="1"/>
  <c r="BK298" i="2"/>
  <c r="BL298" i="2" s="1"/>
  <c r="BM298" i="2" s="1"/>
  <c r="AW592" i="2"/>
  <c r="BN495" i="2"/>
  <c r="BO495" i="2" s="1"/>
  <c r="BP495" i="2"/>
  <c r="BQ495" i="2" s="1"/>
  <c r="BY495" i="2" s="1"/>
  <c r="BK495" i="2"/>
  <c r="BL495" i="2" s="1"/>
  <c r="BM495" i="2" s="1"/>
  <c r="BI495" i="2"/>
  <c r="AX427" i="2"/>
  <c r="AY427" i="2"/>
  <c r="AW705" i="2"/>
  <c r="BP625" i="2"/>
  <c r="BQ625" i="2" s="1"/>
  <c r="BY625" i="2" s="1"/>
  <c r="BN625" i="2"/>
  <c r="BO625" i="2" s="1"/>
  <c r="BK625" i="2"/>
  <c r="BL625" i="2" s="1"/>
  <c r="BM625" i="2" s="1"/>
  <c r="BI625" i="2"/>
  <c r="AY598" i="2"/>
  <c r="AX598" i="2"/>
  <c r="AW422" i="2"/>
  <c r="AX422" i="2" s="1"/>
  <c r="BP325" i="2"/>
  <c r="BQ325" i="2" s="1"/>
  <c r="BY325" i="2" s="1"/>
  <c r="BN325" i="2"/>
  <c r="BO325" i="2" s="1"/>
  <c r="BK325" i="2"/>
  <c r="BL325" i="2" s="1"/>
  <c r="BM325" i="2" s="1"/>
  <c r="AX617" i="2"/>
  <c r="AY617" i="2"/>
  <c r="AW682" i="2"/>
  <c r="BN594" i="2"/>
  <c r="BO594" i="2" s="1"/>
  <c r="BP594" i="2"/>
  <c r="BQ594" i="2" s="1"/>
  <c r="BY594" i="2" s="1"/>
  <c r="BK594" i="2"/>
  <c r="BL594" i="2" s="1"/>
  <c r="BM594" i="2" s="1"/>
  <c r="BI594" i="2"/>
  <c r="AY259" i="2"/>
  <c r="AX259" i="2"/>
  <c r="AX283" i="2"/>
  <c r="AY283" i="2"/>
  <c r="AX977" i="2"/>
  <c r="AY977" i="2"/>
  <c r="AX302" i="2"/>
  <c r="AY302" i="2"/>
  <c r="AW426" i="2"/>
  <c r="AX426" i="2" s="1"/>
  <c r="BP329" i="2"/>
  <c r="BQ329" i="2" s="1"/>
  <c r="BY329" i="2" s="1"/>
  <c r="BN329" i="2"/>
  <c r="BO329" i="2" s="1"/>
  <c r="BK329" i="2"/>
  <c r="BL329" i="2" s="1"/>
  <c r="BM329" i="2" s="1"/>
  <c r="AY893" i="2"/>
  <c r="AX893" i="2"/>
  <c r="BP297" i="2"/>
  <c r="BQ297" i="2" s="1"/>
  <c r="BY297" i="2" s="1"/>
  <c r="AW394" i="2"/>
  <c r="AX394" i="2" s="1"/>
  <c r="BN297" i="2"/>
  <c r="BO297" i="2" s="1"/>
  <c r="BK297" i="2"/>
  <c r="BL297" i="2" s="1"/>
  <c r="BM297" i="2" s="1"/>
  <c r="M18" i="4"/>
  <c r="L18" i="4"/>
  <c r="K18" i="4"/>
  <c r="J18" i="4"/>
  <c r="I18" i="4"/>
  <c r="E18" i="4"/>
  <c r="D17" i="4"/>
  <c r="H18" i="4"/>
  <c r="G18" i="4"/>
  <c r="F18" i="4"/>
  <c r="AW956" i="2"/>
  <c r="BP870" i="2"/>
  <c r="BQ870" i="2" s="1"/>
  <c r="BY870" i="2" s="1"/>
  <c r="BN870" i="2"/>
  <c r="BO870" i="2" s="1"/>
  <c r="BK870" i="2"/>
  <c r="BL870" i="2" s="1"/>
  <c r="BM870" i="2" s="1"/>
  <c r="BI870" i="2"/>
  <c r="AX1085" i="2"/>
  <c r="AY1085" i="2"/>
  <c r="AX509" i="2"/>
  <c r="AY509" i="2"/>
  <c r="AY266" i="2"/>
  <c r="AX266" i="2"/>
  <c r="AX999" i="2"/>
  <c r="AY999" i="2"/>
  <c r="AW430" i="2"/>
  <c r="AX430" i="2" s="1"/>
  <c r="BP333" i="2"/>
  <c r="BQ333" i="2" s="1"/>
  <c r="BY333" i="2" s="1"/>
  <c r="BN333" i="2"/>
  <c r="BO333" i="2" s="1"/>
  <c r="BK333" i="2"/>
  <c r="BL333" i="2" s="1"/>
  <c r="BM333" i="2" s="1"/>
  <c r="AW353" i="2"/>
  <c r="BN256" i="2"/>
  <c r="BO256" i="2" s="1"/>
  <c r="BP256" i="2"/>
  <c r="BQ256" i="2" s="1"/>
  <c r="BY256" i="2" s="1"/>
  <c r="BK256" i="2"/>
  <c r="BL256" i="2" s="1"/>
  <c r="BM256" i="2" s="1"/>
  <c r="BI256" i="2"/>
  <c r="AY269" i="2"/>
  <c r="AX269" i="2"/>
  <c r="AX295" i="2"/>
  <c r="AY295" i="2"/>
  <c r="AY317" i="2"/>
  <c r="AX317" i="2"/>
  <c r="AW437" i="2"/>
  <c r="AX437" i="2" s="1"/>
  <c r="BP340" i="2"/>
  <c r="BQ340" i="2" s="1"/>
  <c r="BY340" i="2" s="1"/>
  <c r="BN340" i="2"/>
  <c r="BO340" i="2" s="1"/>
  <c r="BK340" i="2"/>
  <c r="BL340" i="2" s="1"/>
  <c r="BM340" i="2" s="1"/>
  <c r="AY311" i="2"/>
  <c r="AX311" i="2"/>
  <c r="AW686" i="2"/>
  <c r="AX686" i="2" s="1"/>
  <c r="BN632" i="2"/>
  <c r="BO632" i="2" s="1"/>
  <c r="BP632" i="2"/>
  <c r="BQ632" i="2" s="1"/>
  <c r="BY632" i="2" s="1"/>
  <c r="BK632" i="2"/>
  <c r="BL632" i="2" s="1"/>
  <c r="BM632" i="2" s="1"/>
  <c r="BN1092" i="2"/>
  <c r="BO1092" i="2" s="1"/>
  <c r="BP1092" i="2"/>
  <c r="BQ1092" i="2" s="1"/>
  <c r="BY1092" i="2" s="1"/>
  <c r="BK1092" i="2"/>
  <c r="BL1092" i="2" s="1"/>
  <c r="BM1092" i="2" s="1"/>
  <c r="BI1092" i="2"/>
  <c r="AW343" i="2"/>
  <c r="BP246" i="2"/>
  <c r="BQ246" i="2" s="1"/>
  <c r="BY246" i="2" s="1"/>
  <c r="BN246" i="2"/>
  <c r="BO246" i="2" s="1"/>
  <c r="BK246" i="2"/>
  <c r="BL246" i="2" s="1"/>
  <c r="BM246" i="2" s="1"/>
  <c r="BI246" i="2"/>
  <c r="AY361" i="2"/>
  <c r="AX361" i="2"/>
  <c r="AX275" i="2"/>
  <c r="AY275" i="2"/>
  <c r="BI603" i="2"/>
  <c r="AW423" i="2"/>
  <c r="AX423" i="2" s="1"/>
  <c r="BP326" i="2"/>
  <c r="BQ326" i="2" s="1"/>
  <c r="BY326" i="2" s="1"/>
  <c r="BN326" i="2"/>
  <c r="BO326" i="2" s="1"/>
  <c r="BK326" i="2"/>
  <c r="BL326" i="2" s="1"/>
  <c r="BM326" i="2" s="1"/>
  <c r="AW818" i="2"/>
  <c r="BN726" i="2"/>
  <c r="BO726" i="2" s="1"/>
  <c r="BP726" i="2"/>
  <c r="BQ726" i="2" s="1"/>
  <c r="BY726" i="2" s="1"/>
  <c r="BK726" i="2"/>
  <c r="BL726" i="2" s="1"/>
  <c r="BM726" i="2" s="1"/>
  <c r="AX863" i="2"/>
  <c r="AY863" i="2"/>
  <c r="AX286" i="2"/>
  <c r="AY286" i="2"/>
  <c r="AW626" i="2"/>
  <c r="BN529" i="2"/>
  <c r="BO529" i="2" s="1"/>
  <c r="BP529" i="2"/>
  <c r="BQ529" i="2" s="1"/>
  <c r="BY529" i="2" s="1"/>
  <c r="BK529" i="2"/>
  <c r="BL529" i="2" s="1"/>
  <c r="BM529" i="2" s="1"/>
  <c r="BI529" i="2"/>
  <c r="AW384" i="2"/>
  <c r="BN287" i="2"/>
  <c r="BO287" i="2" s="1"/>
  <c r="BP287" i="2"/>
  <c r="BQ287" i="2" s="1"/>
  <c r="BY287" i="2" s="1"/>
  <c r="BK287" i="2"/>
  <c r="BL287" i="2" s="1"/>
  <c r="BM287" i="2" s="1"/>
  <c r="BI287" i="2"/>
  <c r="AY316" i="2"/>
  <c r="AX316" i="2"/>
  <c r="AW665" i="2"/>
  <c r="BN587" i="2"/>
  <c r="BO587" i="2" s="1"/>
  <c r="BP587" i="2"/>
  <c r="BQ587" i="2" s="1"/>
  <c r="BY587" i="2" s="1"/>
  <c r="BK587" i="2"/>
  <c r="BL587" i="2" s="1"/>
  <c r="BM587" i="2" s="1"/>
  <c r="BI587" i="2"/>
  <c r="AW1050" i="2"/>
  <c r="BP989" i="2"/>
  <c r="BQ989" i="2" s="1"/>
  <c r="BY989" i="2" s="1"/>
  <c r="BN989" i="2"/>
  <c r="BO989" i="2" s="1"/>
  <c r="BK989" i="2"/>
  <c r="BL989" i="2" s="1"/>
  <c r="BM989" i="2" s="1"/>
  <c r="BI989" i="2"/>
  <c r="AY262" i="2"/>
  <c r="AX262" i="2"/>
  <c r="AW400" i="2"/>
  <c r="AX400" i="2" s="1"/>
  <c r="BP303" i="2"/>
  <c r="BQ303" i="2" s="1"/>
  <c r="BY303" i="2" s="1"/>
  <c r="BN303" i="2"/>
  <c r="BO303" i="2" s="1"/>
  <c r="BK303" i="2"/>
  <c r="BL303" i="2" s="1"/>
  <c r="BM303" i="2" s="1"/>
  <c r="AX281" i="2"/>
  <c r="AY281" i="2"/>
  <c r="AW404" i="2"/>
  <c r="AX404" i="2" s="1"/>
  <c r="BN307" i="2"/>
  <c r="BO307" i="2" s="1"/>
  <c r="BP307" i="2"/>
  <c r="BQ307" i="2" s="1"/>
  <c r="BY307" i="2" s="1"/>
  <c r="BK307" i="2"/>
  <c r="BL307" i="2" s="1"/>
  <c r="BM307" i="2" s="1"/>
  <c r="M70" i="3"/>
  <c r="AW409" i="2"/>
  <c r="AX409" i="2" s="1"/>
  <c r="BP312" i="2"/>
  <c r="BQ312" i="2" s="1"/>
  <c r="BY312" i="2" s="1"/>
  <c r="BN312" i="2"/>
  <c r="BO312" i="2" s="1"/>
  <c r="BK312" i="2"/>
  <c r="BL312" i="2" s="1"/>
  <c r="BM312" i="2" s="1"/>
  <c r="AW379" i="2"/>
  <c r="BP282" i="2"/>
  <c r="BQ282" i="2" s="1"/>
  <c r="BY282" i="2" s="1"/>
  <c r="BN282" i="2"/>
  <c r="BO282" i="2" s="1"/>
  <c r="BK282" i="2"/>
  <c r="BL282" i="2" s="1"/>
  <c r="BM282" i="2" s="1"/>
  <c r="BI282" i="2"/>
  <c r="AX586" i="2"/>
  <c r="AY586" i="2"/>
  <c r="AW675" i="2"/>
  <c r="AX675" i="2" s="1"/>
  <c r="BP591" i="2"/>
  <c r="BQ591" i="2" s="1"/>
  <c r="BY591" i="2" s="1"/>
  <c r="BN591" i="2"/>
  <c r="BO591" i="2" s="1"/>
  <c r="BK591" i="2"/>
  <c r="BL591" i="2" s="1"/>
  <c r="BM591" i="2" s="1"/>
  <c r="Q19" i="4"/>
  <c r="AY254" i="2"/>
  <c r="AX254" i="2"/>
  <c r="AW623" i="2"/>
  <c r="BN526" i="2"/>
  <c r="BO526" i="2" s="1"/>
  <c r="BP526" i="2"/>
  <c r="BQ526" i="2" s="1"/>
  <c r="BY526" i="2" s="1"/>
  <c r="BK526" i="2"/>
  <c r="BL526" i="2" s="1"/>
  <c r="BM526" i="2" s="1"/>
  <c r="BI526" i="2"/>
  <c r="AY596" i="2"/>
  <c r="AX596" i="2"/>
  <c r="AW464" i="2"/>
  <c r="BP367" i="2"/>
  <c r="BQ367" i="2" s="1"/>
  <c r="BY367" i="2" s="1"/>
  <c r="BN367" i="2"/>
  <c r="BO367" i="2" s="1"/>
  <c r="BK367" i="2"/>
  <c r="BL367" i="2" s="1"/>
  <c r="BM367" i="2" s="1"/>
  <c r="BI367" i="2"/>
  <c r="AW348" i="2"/>
  <c r="BN251" i="2"/>
  <c r="BO251" i="2" s="1"/>
  <c r="BP251" i="2"/>
  <c r="BQ251" i="2" s="1"/>
  <c r="BY251" i="2" s="1"/>
  <c r="BK251" i="2"/>
  <c r="BL251" i="2" s="1"/>
  <c r="BM251" i="2" s="1"/>
  <c r="BI251" i="2"/>
  <c r="AW609" i="2"/>
  <c r="BN512" i="2"/>
  <c r="BO512" i="2" s="1"/>
  <c r="BP512" i="2"/>
  <c r="BQ512" i="2" s="1"/>
  <c r="BY512" i="2" s="1"/>
  <c r="BK512" i="2"/>
  <c r="BL512" i="2" s="1"/>
  <c r="BM512" i="2" s="1"/>
  <c r="BI512" i="2"/>
  <c r="AX271" i="2"/>
  <c r="AY271" i="2"/>
  <c r="BP875" i="2"/>
  <c r="BQ875" i="2" s="1"/>
  <c r="BY875" i="2" s="1"/>
  <c r="BN875" i="2"/>
  <c r="BO875" i="2" s="1"/>
  <c r="AW913" i="2"/>
  <c r="BK875" i="2"/>
  <c r="BL875" i="2" s="1"/>
  <c r="BM875" i="2" s="1"/>
  <c r="BI875" i="2"/>
  <c r="BN607" i="2"/>
  <c r="BO607" i="2" s="1"/>
  <c r="AW668" i="2"/>
  <c r="BP607" i="2"/>
  <c r="BQ607" i="2" s="1"/>
  <c r="BY607" i="2" s="1"/>
  <c r="BK607" i="2"/>
  <c r="BL607" i="2" s="1"/>
  <c r="BM607" i="2" s="1"/>
  <c r="BI607" i="2"/>
  <c r="AX507" i="2"/>
  <c r="AY507" i="2"/>
  <c r="C148" i="3"/>
  <c r="AW433" i="2"/>
  <c r="AX433" i="2" s="1"/>
  <c r="BN336" i="2"/>
  <c r="BO336" i="2" s="1"/>
  <c r="BP336" i="2"/>
  <c r="BQ336" i="2" s="1"/>
  <c r="BY336" i="2" s="1"/>
  <c r="BK336" i="2"/>
  <c r="BL336" i="2" s="1"/>
  <c r="BM336" i="2" s="1"/>
  <c r="AX278" i="2"/>
  <c r="AY278" i="2"/>
  <c r="AX631" i="2"/>
  <c r="AY631" i="2"/>
  <c r="AY314" i="2"/>
  <c r="AX314" i="2"/>
  <c r="AW693" i="2"/>
  <c r="BN620" i="2"/>
  <c r="BO620" i="2" s="1"/>
  <c r="BP620" i="2"/>
  <c r="BQ620" i="2" s="1"/>
  <c r="BY620" i="2" s="1"/>
  <c r="BK620" i="2"/>
  <c r="BL620" i="2" s="1"/>
  <c r="BM620" i="2" s="1"/>
  <c r="BI620" i="2"/>
  <c r="AW416" i="2"/>
  <c r="AX416" i="2" s="1"/>
  <c r="BP319" i="2"/>
  <c r="BQ319" i="2" s="1"/>
  <c r="BY319" i="2" s="1"/>
  <c r="BN319" i="2"/>
  <c r="BO319" i="2" s="1"/>
  <c r="BK319" i="2"/>
  <c r="BL319" i="2" s="1"/>
  <c r="BM319" i="2" s="1"/>
  <c r="AX903" i="2"/>
  <c r="AY903" i="2"/>
  <c r="AW342" i="2"/>
  <c r="BN245" i="2"/>
  <c r="BO245" i="2" s="1"/>
  <c r="BP245" i="2"/>
  <c r="BQ245" i="2" s="1"/>
  <c r="BY245" i="2" s="1"/>
  <c r="BK245" i="2"/>
  <c r="BL245" i="2" s="1"/>
  <c r="BM245" i="2" s="1"/>
  <c r="BI245" i="2"/>
  <c r="AW666" i="2"/>
  <c r="BP588" i="2"/>
  <c r="BQ588" i="2" s="1"/>
  <c r="BY588" i="2" s="1"/>
  <c r="BN588" i="2"/>
  <c r="BO588" i="2" s="1"/>
  <c r="BK588" i="2"/>
  <c r="BL588" i="2" s="1"/>
  <c r="BM588" i="2" s="1"/>
  <c r="BI588" i="2"/>
  <c r="AX482" i="2"/>
  <c r="AY482" i="2"/>
  <c r="BN611" i="2"/>
  <c r="BO611" i="2" s="1"/>
  <c r="AW678" i="2"/>
  <c r="BP611" i="2"/>
  <c r="BQ611" i="2" s="1"/>
  <c r="BY611" i="2" s="1"/>
  <c r="BK611" i="2"/>
  <c r="BL611" i="2" s="1"/>
  <c r="BM611" i="2" s="1"/>
  <c r="BI611" i="2"/>
  <c r="AW434" i="2"/>
  <c r="AX434" i="2" s="1"/>
  <c r="BP337" i="2"/>
  <c r="BQ337" i="2" s="1"/>
  <c r="BY337" i="2" s="1"/>
  <c r="BN337" i="2"/>
  <c r="BO337" i="2" s="1"/>
  <c r="BK337" i="2"/>
  <c r="BL337" i="2" s="1"/>
  <c r="BM337" i="2" s="1"/>
  <c r="AW1088" i="2"/>
  <c r="BN943" i="2"/>
  <c r="BO943" i="2" s="1"/>
  <c r="BP943" i="2"/>
  <c r="BQ943" i="2" s="1"/>
  <c r="BY943" i="2" s="1"/>
  <c r="BK943" i="2"/>
  <c r="BL943" i="2" s="1"/>
  <c r="BM943" i="2" s="1"/>
  <c r="BI943" i="2"/>
  <c r="AY328" i="2"/>
  <c r="AX328" i="2"/>
  <c r="AX290" i="2"/>
  <c r="AY290" i="2"/>
  <c r="AW397" i="2"/>
  <c r="AX397" i="2" s="1"/>
  <c r="BP300" i="2"/>
  <c r="BQ300" i="2" s="1"/>
  <c r="BY300" i="2" s="1"/>
  <c r="BN300" i="2"/>
  <c r="BO300" i="2" s="1"/>
  <c r="BK300" i="2"/>
  <c r="BL300" i="2" s="1"/>
  <c r="BM300" i="2" s="1"/>
  <c r="AY610" i="2"/>
  <c r="AX610" i="2"/>
  <c r="AW670" i="2"/>
  <c r="BN600" i="2"/>
  <c r="BO600" i="2" s="1"/>
  <c r="BK600" i="2"/>
  <c r="BL600" i="2" s="1"/>
  <c r="BM600" i="2" s="1"/>
  <c r="BP600" i="2"/>
  <c r="BQ600" i="2" s="1"/>
  <c r="BY600" i="2" s="1"/>
  <c r="BI600" i="2"/>
  <c r="AY268" i="2"/>
  <c r="AX268" i="2"/>
  <c r="AY304" i="2"/>
  <c r="AX304" i="2"/>
  <c r="AX289" i="2"/>
  <c r="AY289" i="2"/>
  <c r="AW350" i="2"/>
  <c r="BN253" i="2"/>
  <c r="BO253" i="2" s="1"/>
  <c r="BP253" i="2"/>
  <c r="BQ253" i="2" s="1"/>
  <c r="BY253" i="2" s="1"/>
  <c r="BK253" i="2"/>
  <c r="BL253" i="2" s="1"/>
  <c r="BM253" i="2" s="1"/>
  <c r="BI253" i="2"/>
  <c r="AY331" i="2"/>
  <c r="AX331" i="2"/>
  <c r="AW371" i="2"/>
  <c r="BP274" i="2"/>
  <c r="BQ274" i="2" s="1"/>
  <c r="BY274" i="2" s="1"/>
  <c r="BN274" i="2"/>
  <c r="BO274" i="2" s="1"/>
  <c r="BK274" i="2"/>
  <c r="BL274" i="2" s="1"/>
  <c r="BM274" i="2" s="1"/>
  <c r="BI274" i="2"/>
  <c r="AX299" i="2"/>
  <c r="AY299" i="2"/>
  <c r="AW691" i="2"/>
  <c r="BN615" i="2"/>
  <c r="BO615" i="2" s="1"/>
  <c r="BP615" i="2"/>
  <c r="BQ615" i="2" s="1"/>
  <c r="BY615" i="2" s="1"/>
  <c r="BK615" i="2"/>
  <c r="BL615" i="2" s="1"/>
  <c r="BM615" i="2" s="1"/>
  <c r="BI615" i="2"/>
  <c r="L82" i="4"/>
  <c r="K82" i="4"/>
  <c r="J82" i="4"/>
  <c r="I82" i="4"/>
  <c r="E81" i="4"/>
  <c r="G82" i="4"/>
  <c r="F82" i="4"/>
  <c r="AY327" i="2"/>
  <c r="AX327" i="2"/>
  <c r="AW370" i="2"/>
  <c r="BP273" i="2"/>
  <c r="BQ273" i="2" s="1"/>
  <c r="BY273" i="2" s="1"/>
  <c r="BN273" i="2"/>
  <c r="BO273" i="2" s="1"/>
  <c r="BK273" i="2"/>
  <c r="BL273" i="2" s="1"/>
  <c r="BM273" i="2" s="1"/>
  <c r="BI273" i="2"/>
  <c r="AW674" i="2"/>
  <c r="BN595" i="2"/>
  <c r="BO595" i="2" s="1"/>
  <c r="BP595" i="2"/>
  <c r="BQ595" i="2" s="1"/>
  <c r="BY595" i="2" s="1"/>
  <c r="BK595" i="2"/>
  <c r="BL595" i="2" s="1"/>
  <c r="BM595" i="2" s="1"/>
  <c r="BI595" i="2"/>
  <c r="AX292" i="2"/>
  <c r="AY292" i="2"/>
  <c r="AX833" i="2"/>
  <c r="AY833" i="2"/>
  <c r="AW926" i="2"/>
  <c r="BP884" i="2"/>
  <c r="BQ884" i="2" s="1"/>
  <c r="BY884" i="2" s="1"/>
  <c r="BN884" i="2"/>
  <c r="BO884" i="2" s="1"/>
  <c r="BK884" i="2"/>
  <c r="BL884" i="2" s="1"/>
  <c r="BM884" i="2" s="1"/>
  <c r="BI884" i="2"/>
  <c r="BP310" i="2"/>
  <c r="BQ310" i="2" s="1"/>
  <c r="BY310" i="2" s="1"/>
  <c r="BN310" i="2"/>
  <c r="BO310" i="2" s="1"/>
  <c r="AW407" i="2"/>
  <c r="AX407" i="2" s="1"/>
  <c r="BK310" i="2"/>
  <c r="BL310" i="2" s="1"/>
  <c r="BM310" i="2" s="1"/>
  <c r="AY294" i="2"/>
  <c r="AX294" i="2"/>
  <c r="AX616" i="2"/>
  <c r="AY616" i="2"/>
  <c r="BI608" i="2"/>
  <c r="AX861" i="2"/>
  <c r="AY861" i="2"/>
  <c r="AW677" i="2"/>
  <c r="BP601" i="2"/>
  <c r="BQ601" i="2" s="1"/>
  <c r="BY601" i="2" s="1"/>
  <c r="BN601" i="2"/>
  <c r="BO601" i="2" s="1"/>
  <c r="BK601" i="2"/>
  <c r="BL601" i="2" s="1"/>
  <c r="BM601" i="2" s="1"/>
  <c r="BI601" i="2"/>
  <c r="AW699" i="2"/>
  <c r="BP627" i="2"/>
  <c r="BQ627" i="2" s="1"/>
  <c r="BY627" i="2" s="1"/>
  <c r="BN627" i="2"/>
  <c r="BO627" i="2" s="1"/>
  <c r="BK627" i="2"/>
  <c r="BL627" i="2" s="1"/>
  <c r="BM627" i="2" s="1"/>
  <c r="BI627" i="2"/>
  <c r="AW671" i="2"/>
  <c r="BP590" i="2"/>
  <c r="BQ590" i="2" s="1"/>
  <c r="BY590" i="2" s="1"/>
  <c r="BN590" i="2"/>
  <c r="BO590" i="2" s="1"/>
  <c r="BK590" i="2"/>
  <c r="BL590" i="2" s="1"/>
  <c r="BM590" i="2" s="1"/>
  <c r="BI590" i="2"/>
  <c r="AW724" i="2"/>
  <c r="BP593" i="2"/>
  <c r="BQ593" i="2" s="1"/>
  <c r="BY593" i="2" s="1"/>
  <c r="BN593" i="2"/>
  <c r="BO593" i="2" s="1"/>
  <c r="BK593" i="2"/>
  <c r="BL593" i="2" s="1"/>
  <c r="BM593" i="2" s="1"/>
  <c r="BI516" i="2" l="1"/>
  <c r="AW613" i="2"/>
  <c r="BN516" i="2"/>
  <c r="BO516" i="2" s="1"/>
  <c r="BK516" i="2"/>
  <c r="BL516" i="2" s="1"/>
  <c r="BM516" i="2" s="1"/>
  <c r="BP516" i="2"/>
  <c r="BQ516" i="2" s="1"/>
  <c r="BY516" i="2" s="1"/>
  <c r="AW703" i="2"/>
  <c r="BK630" i="2"/>
  <c r="BL630" i="2" s="1"/>
  <c r="BM630" i="2" s="1"/>
  <c r="AY379" i="2"/>
  <c r="AX379" i="2"/>
  <c r="AW408" i="2"/>
  <c r="AX408" i="2" s="1"/>
  <c r="BP311" i="2"/>
  <c r="BQ311" i="2" s="1"/>
  <c r="BY311" i="2" s="1"/>
  <c r="BN311" i="2"/>
  <c r="BO311" i="2" s="1"/>
  <c r="BK311" i="2"/>
  <c r="BL311" i="2" s="1"/>
  <c r="BM311" i="2" s="1"/>
  <c r="AW606" i="2"/>
  <c r="BN509" i="2"/>
  <c r="BO509" i="2" s="1"/>
  <c r="BP509" i="2"/>
  <c r="BQ509" i="2" s="1"/>
  <c r="BY509" i="2" s="1"/>
  <c r="BK509" i="2"/>
  <c r="BL509" i="2" s="1"/>
  <c r="BM509" i="2" s="1"/>
  <c r="AW396" i="2"/>
  <c r="AX396" i="2" s="1"/>
  <c r="BN299" i="2"/>
  <c r="BO299" i="2" s="1"/>
  <c r="BP299" i="2"/>
  <c r="BQ299" i="2" s="1"/>
  <c r="BY299" i="2" s="1"/>
  <c r="BK299" i="2"/>
  <c r="BL299" i="2" s="1"/>
  <c r="BM299" i="2" s="1"/>
  <c r="AX670" i="2"/>
  <c r="AY670" i="2"/>
  <c r="AX342" i="2"/>
  <c r="AY342" i="2"/>
  <c r="L70" i="3" s="1"/>
  <c r="AW351" i="2"/>
  <c r="BN254" i="2"/>
  <c r="BO254" i="2" s="1"/>
  <c r="BP254" i="2"/>
  <c r="BQ254" i="2" s="1"/>
  <c r="BY254" i="2" s="1"/>
  <c r="BK254" i="2"/>
  <c r="BL254" i="2" s="1"/>
  <c r="BM254" i="2" s="1"/>
  <c r="BI254" i="2"/>
  <c r="AW355" i="2"/>
  <c r="BP258" i="2"/>
  <c r="BQ258" i="2" s="1"/>
  <c r="BY258" i="2" s="1"/>
  <c r="BN258" i="2"/>
  <c r="BO258" i="2" s="1"/>
  <c r="BK258" i="2"/>
  <c r="BL258" i="2" s="1"/>
  <c r="BM258" i="2" s="1"/>
  <c r="BI258" i="2"/>
  <c r="AY350" i="2"/>
  <c r="AX350" i="2"/>
  <c r="AW579" i="2"/>
  <c r="BP482" i="2"/>
  <c r="BQ482" i="2" s="1"/>
  <c r="BY482" i="2" s="1"/>
  <c r="BN482" i="2"/>
  <c r="BO482" i="2" s="1"/>
  <c r="BK482" i="2"/>
  <c r="BL482" i="2" s="1"/>
  <c r="BM482" i="2" s="1"/>
  <c r="BI482" i="2"/>
  <c r="AW946" i="2"/>
  <c r="BP903" i="2"/>
  <c r="BQ903" i="2" s="1"/>
  <c r="BY903" i="2" s="1"/>
  <c r="BN903" i="2"/>
  <c r="BO903" i="2" s="1"/>
  <c r="BK903" i="2"/>
  <c r="BL903" i="2" s="1"/>
  <c r="BM903" i="2" s="1"/>
  <c r="BI903" i="2"/>
  <c r="AW411" i="2"/>
  <c r="BP314" i="2"/>
  <c r="BQ314" i="2" s="1"/>
  <c r="BY314" i="2" s="1"/>
  <c r="BN314" i="2"/>
  <c r="BO314" i="2" s="1"/>
  <c r="BK314" i="2"/>
  <c r="BL314" i="2" s="1"/>
  <c r="BM314" i="2" s="1"/>
  <c r="BI314" i="2"/>
  <c r="AY343" i="2"/>
  <c r="AX343" i="2"/>
  <c r="AY349" i="2"/>
  <c r="AX349" i="2"/>
  <c r="AY338" i="2"/>
  <c r="AX338" i="2"/>
  <c r="AW357" i="2"/>
  <c r="BN260" i="2"/>
  <c r="BO260" i="2" s="1"/>
  <c r="BP260" i="2"/>
  <c r="BQ260" i="2" s="1"/>
  <c r="BY260" i="2" s="1"/>
  <c r="BK260" i="2"/>
  <c r="BL260" i="2" s="1"/>
  <c r="BM260" i="2" s="1"/>
  <c r="BI260" i="2"/>
  <c r="AW683" i="2"/>
  <c r="BN584" i="2"/>
  <c r="BO584" i="2" s="1"/>
  <c r="BP584" i="2"/>
  <c r="BQ584" i="2" s="1"/>
  <c r="BY584" i="2" s="1"/>
  <c r="BK584" i="2"/>
  <c r="BL584" i="2" s="1"/>
  <c r="BM584" i="2" s="1"/>
  <c r="BI584" i="2"/>
  <c r="AX967" i="2"/>
  <c r="AY967" i="2"/>
  <c r="AY374" i="2"/>
  <c r="AX374" i="2"/>
  <c r="AW376" i="2"/>
  <c r="BP279" i="2"/>
  <c r="BQ279" i="2" s="1"/>
  <c r="BY279" i="2" s="1"/>
  <c r="BN279" i="2"/>
  <c r="BO279" i="2" s="1"/>
  <c r="BK279" i="2"/>
  <c r="BL279" i="2" s="1"/>
  <c r="BM279" i="2" s="1"/>
  <c r="BI279" i="2"/>
  <c r="AW692" i="2"/>
  <c r="BN602" i="2"/>
  <c r="BO602" i="2" s="1"/>
  <c r="BP602" i="2"/>
  <c r="BQ602" i="2" s="1"/>
  <c r="BY602" i="2" s="1"/>
  <c r="BK602" i="2"/>
  <c r="BL602" i="2" s="1"/>
  <c r="BM602" i="2" s="1"/>
  <c r="BI602" i="2"/>
  <c r="AW352" i="2"/>
  <c r="BP255" i="2"/>
  <c r="BQ255" i="2" s="1"/>
  <c r="BY255" i="2" s="1"/>
  <c r="BN255" i="2"/>
  <c r="BO255" i="2" s="1"/>
  <c r="BK255" i="2"/>
  <c r="BL255" i="2" s="1"/>
  <c r="BM255" i="2" s="1"/>
  <c r="BI255" i="2"/>
  <c r="AW1006" i="2"/>
  <c r="BN861" i="2"/>
  <c r="BO861" i="2" s="1"/>
  <c r="BP861" i="2"/>
  <c r="BQ861" i="2" s="1"/>
  <c r="BY861" i="2" s="1"/>
  <c r="BK861" i="2"/>
  <c r="BL861" i="2" s="1"/>
  <c r="BM861" i="2" s="1"/>
  <c r="BI861" i="2"/>
  <c r="AX674" i="2"/>
  <c r="AY674" i="2"/>
  <c r="AX1088" i="2"/>
  <c r="AY1088" i="2"/>
  <c r="AX464" i="2"/>
  <c r="AY464" i="2"/>
  <c r="AX665" i="2"/>
  <c r="AY665" i="2"/>
  <c r="AX626" i="2"/>
  <c r="AY626" i="2"/>
  <c r="AY353" i="2"/>
  <c r="AX353" i="2"/>
  <c r="AW688" i="2"/>
  <c r="BP598" i="2"/>
  <c r="BQ598" i="2" s="1"/>
  <c r="BY598" i="2" s="1"/>
  <c r="BN598" i="2"/>
  <c r="BO598" i="2" s="1"/>
  <c r="BK598" i="2"/>
  <c r="BL598" i="2" s="1"/>
  <c r="BM598" i="2" s="1"/>
  <c r="BI598" i="2"/>
  <c r="AX592" i="2"/>
  <c r="AY592" i="2"/>
  <c r="AW347" i="2"/>
  <c r="BN250" i="2"/>
  <c r="BO250" i="2" s="1"/>
  <c r="BP250" i="2"/>
  <c r="BQ250" i="2" s="1"/>
  <c r="BY250" i="2" s="1"/>
  <c r="BK250" i="2"/>
  <c r="BL250" i="2" s="1"/>
  <c r="BM250" i="2" s="1"/>
  <c r="BI250" i="2"/>
  <c r="L34" i="3"/>
  <c r="AW345" i="2"/>
  <c r="BN248" i="2"/>
  <c r="BO248" i="2" s="1"/>
  <c r="BP248" i="2"/>
  <c r="BQ248" i="2" s="1"/>
  <c r="BY248" i="2" s="1"/>
  <c r="BK248" i="2"/>
  <c r="BL248" i="2" s="1"/>
  <c r="BM248" i="2" s="1"/>
  <c r="BI248" i="2"/>
  <c r="AW386" i="2"/>
  <c r="BP289" i="2"/>
  <c r="BQ289" i="2" s="1"/>
  <c r="BY289" i="2" s="1"/>
  <c r="BN289" i="2"/>
  <c r="BO289" i="2" s="1"/>
  <c r="BK289" i="2"/>
  <c r="BL289" i="2" s="1"/>
  <c r="BM289" i="2" s="1"/>
  <c r="BI289" i="2"/>
  <c r="AW700" i="2"/>
  <c r="BN631" i="2"/>
  <c r="BO631" i="2" s="1"/>
  <c r="BP631" i="2"/>
  <c r="BQ631" i="2" s="1"/>
  <c r="BY631" i="2" s="1"/>
  <c r="BK631" i="2"/>
  <c r="BL631" i="2" s="1"/>
  <c r="BM631" i="2" s="1"/>
  <c r="BI631" i="2"/>
  <c r="AW356" i="2"/>
  <c r="BN259" i="2"/>
  <c r="BO259" i="2" s="1"/>
  <c r="BP259" i="2"/>
  <c r="BQ259" i="2" s="1"/>
  <c r="BY259" i="2" s="1"/>
  <c r="BK259" i="2"/>
  <c r="BL259" i="2" s="1"/>
  <c r="BM259" i="2" s="1"/>
  <c r="BI259" i="2"/>
  <c r="AX671" i="2"/>
  <c r="AY671" i="2"/>
  <c r="AW375" i="2"/>
  <c r="BN278" i="2"/>
  <c r="BO278" i="2" s="1"/>
  <c r="BP278" i="2"/>
  <c r="BQ278" i="2" s="1"/>
  <c r="BY278" i="2" s="1"/>
  <c r="BK278" i="2"/>
  <c r="BL278" i="2" s="1"/>
  <c r="BM278" i="2" s="1"/>
  <c r="BI278" i="2"/>
  <c r="AX668" i="2"/>
  <c r="AY668" i="2"/>
  <c r="AW383" i="2"/>
  <c r="BP286" i="2"/>
  <c r="BQ286" i="2" s="1"/>
  <c r="BY286" i="2" s="1"/>
  <c r="BN286" i="2"/>
  <c r="BO286" i="2" s="1"/>
  <c r="BK286" i="2"/>
  <c r="BL286" i="2" s="1"/>
  <c r="BM286" i="2" s="1"/>
  <c r="BI286" i="2"/>
  <c r="BP1085" i="2"/>
  <c r="BQ1085" i="2" s="1"/>
  <c r="BY1085" i="2" s="1"/>
  <c r="BN1085" i="2"/>
  <c r="BO1085" i="2" s="1"/>
  <c r="BK1085" i="2"/>
  <c r="BL1085" i="2" s="1"/>
  <c r="BM1085" i="2" s="1"/>
  <c r="BI1085" i="2"/>
  <c r="AW567" i="2"/>
  <c r="BP470" i="2"/>
  <c r="BQ470" i="2" s="1"/>
  <c r="BY470" i="2" s="1"/>
  <c r="BN470" i="2"/>
  <c r="BO470" i="2" s="1"/>
  <c r="BK470" i="2"/>
  <c r="BL470" i="2" s="1"/>
  <c r="BM470" i="2" s="1"/>
  <c r="BI470" i="2"/>
  <c r="AX975" i="2"/>
  <c r="AY975" i="2"/>
  <c r="AW364" i="2"/>
  <c r="BP267" i="2"/>
  <c r="BQ267" i="2" s="1"/>
  <c r="BY267" i="2" s="1"/>
  <c r="BN267" i="2"/>
  <c r="BO267" i="2" s="1"/>
  <c r="BK267" i="2"/>
  <c r="BL267" i="2" s="1"/>
  <c r="BM267" i="2" s="1"/>
  <c r="BI267" i="2"/>
  <c r="AX677" i="2"/>
  <c r="AY677" i="2"/>
  <c r="G81" i="4"/>
  <c r="F81" i="4"/>
  <c r="E80" i="4"/>
  <c r="L81" i="4"/>
  <c r="K81" i="4"/>
  <c r="J81" i="4"/>
  <c r="I81" i="4"/>
  <c r="AW694" i="2"/>
  <c r="BP610" i="2"/>
  <c r="BQ610" i="2" s="1"/>
  <c r="BY610" i="2" s="1"/>
  <c r="BN610" i="2"/>
  <c r="BO610" i="2" s="1"/>
  <c r="BK610" i="2"/>
  <c r="BL610" i="2" s="1"/>
  <c r="BM610" i="2" s="1"/>
  <c r="BI610" i="2"/>
  <c r="L101" i="3"/>
  <c r="M17" i="4"/>
  <c r="L17" i="4"/>
  <c r="K17" i="4"/>
  <c r="J17" i="4"/>
  <c r="Q17" i="4" s="1"/>
  <c r="I17" i="4"/>
  <c r="H17" i="4"/>
  <c r="G17" i="4"/>
  <c r="F17" i="4"/>
  <c r="E17" i="4"/>
  <c r="D16" i="4"/>
  <c r="BP893" i="2"/>
  <c r="BQ893" i="2" s="1"/>
  <c r="BY893" i="2" s="1"/>
  <c r="AW945" i="2"/>
  <c r="BN893" i="2"/>
  <c r="BO893" i="2" s="1"/>
  <c r="BK893" i="2"/>
  <c r="BL893" i="2" s="1"/>
  <c r="BM893" i="2" s="1"/>
  <c r="BI893" i="2"/>
  <c r="BP304" i="2"/>
  <c r="BQ304" i="2" s="1"/>
  <c r="BY304" i="2" s="1"/>
  <c r="BN304" i="2"/>
  <c r="BO304" i="2" s="1"/>
  <c r="AW401" i="2"/>
  <c r="AX401" i="2" s="1"/>
  <c r="BK304" i="2"/>
  <c r="BL304" i="2" s="1"/>
  <c r="BM304" i="2" s="1"/>
  <c r="AX609" i="2"/>
  <c r="AY609" i="2"/>
  <c r="AW667" i="2"/>
  <c r="BP596" i="2"/>
  <c r="BQ596" i="2" s="1"/>
  <c r="BY596" i="2" s="1"/>
  <c r="BN596" i="2"/>
  <c r="BO596" i="2" s="1"/>
  <c r="BK596" i="2"/>
  <c r="BL596" i="2" s="1"/>
  <c r="BM596" i="2" s="1"/>
  <c r="BI596" i="2"/>
  <c r="AW359" i="2"/>
  <c r="BN262" i="2"/>
  <c r="BO262" i="2" s="1"/>
  <c r="BP262" i="2"/>
  <c r="BQ262" i="2" s="1"/>
  <c r="BY262" i="2" s="1"/>
  <c r="BK262" i="2"/>
  <c r="BL262" i="2" s="1"/>
  <c r="BM262" i="2" s="1"/>
  <c r="BI262" i="2"/>
  <c r="BP316" i="2"/>
  <c r="BQ316" i="2" s="1"/>
  <c r="BY316" i="2" s="1"/>
  <c r="BN316" i="2"/>
  <c r="BO316" i="2" s="1"/>
  <c r="AW413" i="2"/>
  <c r="AX413" i="2" s="1"/>
  <c r="BK316" i="2"/>
  <c r="BL316" i="2" s="1"/>
  <c r="BM316" i="2" s="1"/>
  <c r="AW372" i="2"/>
  <c r="BN275" i="2"/>
  <c r="BO275" i="2" s="1"/>
  <c r="BP275" i="2"/>
  <c r="BQ275" i="2" s="1"/>
  <c r="BY275" i="2" s="1"/>
  <c r="BK275" i="2"/>
  <c r="BL275" i="2" s="1"/>
  <c r="BM275" i="2" s="1"/>
  <c r="BI275" i="2"/>
  <c r="Q18" i="4"/>
  <c r="AX669" i="2"/>
  <c r="AY669" i="2"/>
  <c r="AW697" i="2"/>
  <c r="BN616" i="2"/>
  <c r="BO616" i="2" s="1"/>
  <c r="BP616" i="2"/>
  <c r="BQ616" i="2" s="1"/>
  <c r="BY616" i="2" s="1"/>
  <c r="BK616" i="2"/>
  <c r="BL616" i="2" s="1"/>
  <c r="BM616" i="2" s="1"/>
  <c r="BI616" i="2"/>
  <c r="AW684" i="2"/>
  <c r="BN586" i="2"/>
  <c r="BO586" i="2" s="1"/>
  <c r="BP586" i="2"/>
  <c r="BQ586" i="2" s="1"/>
  <c r="BY586" i="2" s="1"/>
  <c r="BK586" i="2"/>
  <c r="BL586" i="2" s="1"/>
  <c r="BM586" i="2" s="1"/>
  <c r="BI586" i="2"/>
  <c r="AW910" i="2"/>
  <c r="BP863" i="2"/>
  <c r="BQ863" i="2" s="1"/>
  <c r="BY863" i="2" s="1"/>
  <c r="BN863" i="2"/>
  <c r="BO863" i="2" s="1"/>
  <c r="BK863" i="2"/>
  <c r="BL863" i="2" s="1"/>
  <c r="BM863" i="2" s="1"/>
  <c r="BI863" i="2"/>
  <c r="BP317" i="2"/>
  <c r="BQ317" i="2" s="1"/>
  <c r="BY317" i="2" s="1"/>
  <c r="AW414" i="2"/>
  <c r="AX414" i="2" s="1"/>
  <c r="BN317" i="2"/>
  <c r="BO317" i="2" s="1"/>
  <c r="BK317" i="2"/>
  <c r="BL317" i="2" s="1"/>
  <c r="BM317" i="2" s="1"/>
  <c r="AW986" i="2"/>
  <c r="BP841" i="2"/>
  <c r="BQ841" i="2" s="1"/>
  <c r="BY841" i="2" s="1"/>
  <c r="BN841" i="2"/>
  <c r="BO841" i="2" s="1"/>
  <c r="BK841" i="2"/>
  <c r="BL841" i="2" s="1"/>
  <c r="BM841" i="2" s="1"/>
  <c r="BI841" i="2"/>
  <c r="BP1083" i="2"/>
  <c r="BQ1083" i="2" s="1"/>
  <c r="BY1083" i="2" s="1"/>
  <c r="BN1083" i="2"/>
  <c r="BO1083" i="2" s="1"/>
  <c r="BK1083" i="2"/>
  <c r="BL1083" i="2" s="1"/>
  <c r="BM1083" i="2" s="1"/>
  <c r="BI1083" i="2"/>
  <c r="AX388" i="2"/>
  <c r="AY388" i="2"/>
  <c r="AX369" i="2"/>
  <c r="AY369" i="2"/>
  <c r="AX919" i="2"/>
  <c r="AY919" i="2"/>
  <c r="AW405" i="2"/>
  <c r="BP308" i="2"/>
  <c r="BQ308" i="2" s="1"/>
  <c r="BY308" i="2" s="1"/>
  <c r="BN308" i="2"/>
  <c r="BO308" i="2" s="1"/>
  <c r="BK308" i="2"/>
  <c r="BL308" i="2" s="1"/>
  <c r="BM308" i="2" s="1"/>
  <c r="BI308" i="2"/>
  <c r="AY681" i="2"/>
  <c r="AX681" i="2"/>
  <c r="AW978" i="2"/>
  <c r="BN833" i="2"/>
  <c r="BO833" i="2" s="1"/>
  <c r="BP833" i="2"/>
  <c r="BQ833" i="2" s="1"/>
  <c r="BY833" i="2" s="1"/>
  <c r="BK833" i="2"/>
  <c r="BL833" i="2" s="1"/>
  <c r="BM833" i="2" s="1"/>
  <c r="BI833" i="2"/>
  <c r="AW365" i="2"/>
  <c r="BN268" i="2"/>
  <c r="BO268" i="2" s="1"/>
  <c r="BP268" i="2"/>
  <c r="BQ268" i="2" s="1"/>
  <c r="BY268" i="2" s="1"/>
  <c r="BK268" i="2"/>
  <c r="BL268" i="2" s="1"/>
  <c r="BM268" i="2" s="1"/>
  <c r="BI268" i="2"/>
  <c r="AW387" i="2"/>
  <c r="BK290" i="2"/>
  <c r="BL290" i="2" s="1"/>
  <c r="BM290" i="2" s="1"/>
  <c r="BP290" i="2"/>
  <c r="BQ290" i="2" s="1"/>
  <c r="BY290" i="2" s="1"/>
  <c r="BN290" i="2"/>
  <c r="BO290" i="2" s="1"/>
  <c r="BI290" i="2"/>
  <c r="AX666" i="2"/>
  <c r="AY666" i="2"/>
  <c r="AW392" i="2"/>
  <c r="AX392" i="2" s="1"/>
  <c r="BP295" i="2"/>
  <c r="BQ295" i="2" s="1"/>
  <c r="BY295" i="2" s="1"/>
  <c r="BN295" i="2"/>
  <c r="BO295" i="2" s="1"/>
  <c r="BK295" i="2"/>
  <c r="BL295" i="2" s="1"/>
  <c r="BM295" i="2" s="1"/>
  <c r="AW399" i="2"/>
  <c r="AX399" i="2" s="1"/>
  <c r="BP302" i="2"/>
  <c r="BQ302" i="2" s="1"/>
  <c r="BY302" i="2" s="1"/>
  <c r="BN302" i="2"/>
  <c r="BO302" i="2" s="1"/>
  <c r="BK302" i="2"/>
  <c r="BL302" i="2" s="1"/>
  <c r="BM302" i="2" s="1"/>
  <c r="AX682" i="2"/>
  <c r="AY682" i="2"/>
  <c r="AX696" i="2"/>
  <c r="AY696" i="2"/>
  <c r="AW346" i="2"/>
  <c r="BN249" i="2"/>
  <c r="BO249" i="2" s="1"/>
  <c r="BP249" i="2"/>
  <c r="BQ249" i="2" s="1"/>
  <c r="BY249" i="2" s="1"/>
  <c r="BK249" i="2"/>
  <c r="BL249" i="2" s="1"/>
  <c r="BM249" i="2" s="1"/>
  <c r="BI249" i="2"/>
  <c r="AX690" i="2"/>
  <c r="AY690" i="2"/>
  <c r="AX913" i="2"/>
  <c r="AY913" i="2"/>
  <c r="BP617" i="2"/>
  <c r="BQ617" i="2" s="1"/>
  <c r="BY617" i="2" s="1"/>
  <c r="AW685" i="2"/>
  <c r="BN617" i="2"/>
  <c r="BO617" i="2" s="1"/>
  <c r="BK617" i="2"/>
  <c r="BL617" i="2" s="1"/>
  <c r="BM617" i="2" s="1"/>
  <c r="BI617" i="2"/>
  <c r="AY371" i="2"/>
  <c r="AX371" i="2"/>
  <c r="AX370" i="2"/>
  <c r="AY370" i="2"/>
  <c r="AW458" i="2"/>
  <c r="BP361" i="2"/>
  <c r="BQ361" i="2" s="1"/>
  <c r="BY361" i="2" s="1"/>
  <c r="BN361" i="2"/>
  <c r="BO361" i="2" s="1"/>
  <c r="BK361" i="2"/>
  <c r="BL361" i="2" s="1"/>
  <c r="BM361" i="2" s="1"/>
  <c r="BI361" i="2"/>
  <c r="AX344" i="2"/>
  <c r="AY344" i="2"/>
  <c r="AX377" i="2"/>
  <c r="AY377" i="2"/>
  <c r="AW517" i="2"/>
  <c r="BK420" i="2"/>
  <c r="BL420" i="2" s="1"/>
  <c r="BM420" i="2" s="1"/>
  <c r="AX699" i="2"/>
  <c r="AY699" i="2"/>
  <c r="BP294" i="2"/>
  <c r="BQ294" i="2" s="1"/>
  <c r="BY294" i="2" s="1"/>
  <c r="AW391" i="2"/>
  <c r="AX391" i="2" s="1"/>
  <c r="BN294" i="2"/>
  <c r="BO294" i="2" s="1"/>
  <c r="BK294" i="2"/>
  <c r="BL294" i="2" s="1"/>
  <c r="BM294" i="2" s="1"/>
  <c r="AW389" i="2"/>
  <c r="BP292" i="2"/>
  <c r="BQ292" i="2" s="1"/>
  <c r="BY292" i="2" s="1"/>
  <c r="BN292" i="2"/>
  <c r="BO292" i="2" s="1"/>
  <c r="BK292" i="2"/>
  <c r="BL292" i="2" s="1"/>
  <c r="BM292" i="2" s="1"/>
  <c r="AW1015" i="2"/>
  <c r="BP977" i="2"/>
  <c r="BQ977" i="2" s="1"/>
  <c r="BY977" i="2" s="1"/>
  <c r="BN977" i="2"/>
  <c r="BO977" i="2" s="1"/>
  <c r="BK977" i="2"/>
  <c r="BL977" i="2" s="1"/>
  <c r="BM977" i="2" s="1"/>
  <c r="BI977" i="2"/>
  <c r="BP427" i="2"/>
  <c r="BQ427" i="2" s="1"/>
  <c r="BY427" i="2" s="1"/>
  <c r="BN427" i="2"/>
  <c r="BO427" i="2" s="1"/>
  <c r="AW524" i="2"/>
  <c r="AX524" i="2" s="1"/>
  <c r="BK427" i="2"/>
  <c r="BL427" i="2" s="1"/>
  <c r="BM427" i="2" s="1"/>
  <c r="AW402" i="2"/>
  <c r="AX402" i="2" s="1"/>
  <c r="BN305" i="2"/>
  <c r="BO305" i="2" s="1"/>
  <c r="BP305" i="2"/>
  <c r="BQ305" i="2" s="1"/>
  <c r="BY305" i="2" s="1"/>
  <c r="BK305" i="2"/>
  <c r="BL305" i="2" s="1"/>
  <c r="BM305" i="2" s="1"/>
  <c r="AW360" i="2"/>
  <c r="BN263" i="2"/>
  <c r="BO263" i="2" s="1"/>
  <c r="BP263" i="2"/>
  <c r="BQ263" i="2" s="1"/>
  <c r="BY263" i="2" s="1"/>
  <c r="BK263" i="2"/>
  <c r="BL263" i="2" s="1"/>
  <c r="BM263" i="2" s="1"/>
  <c r="BI263" i="2"/>
  <c r="AX612" i="2"/>
  <c r="AY612" i="2"/>
  <c r="AX556" i="2"/>
  <c r="AY556" i="2"/>
  <c r="AW939" i="2"/>
  <c r="BP894" i="2"/>
  <c r="BQ894" i="2" s="1"/>
  <c r="BY894" i="2" s="1"/>
  <c r="BN894" i="2"/>
  <c r="BO894" i="2" s="1"/>
  <c r="BK894" i="2"/>
  <c r="BL894" i="2" s="1"/>
  <c r="BM894" i="2" s="1"/>
  <c r="BI894" i="2"/>
  <c r="AW924" i="2"/>
  <c r="BP881" i="2"/>
  <c r="BQ881" i="2" s="1"/>
  <c r="BY881" i="2" s="1"/>
  <c r="BN881" i="2"/>
  <c r="BO881" i="2" s="1"/>
  <c r="BK881" i="2"/>
  <c r="BL881" i="2" s="1"/>
  <c r="BM881" i="2" s="1"/>
  <c r="BI881" i="2"/>
  <c r="AX926" i="2"/>
  <c r="AY926" i="2"/>
  <c r="AW428" i="2"/>
  <c r="AX428" i="2" s="1"/>
  <c r="BP331" i="2"/>
  <c r="BQ331" i="2" s="1"/>
  <c r="BY331" i="2" s="1"/>
  <c r="BN331" i="2"/>
  <c r="BO331" i="2" s="1"/>
  <c r="BK331" i="2"/>
  <c r="BL331" i="2" s="1"/>
  <c r="BM331" i="2" s="1"/>
  <c r="BN999" i="2"/>
  <c r="BO999" i="2" s="1"/>
  <c r="AW1036" i="2"/>
  <c r="BP999" i="2"/>
  <c r="BQ999" i="2" s="1"/>
  <c r="BY999" i="2" s="1"/>
  <c r="BK999" i="2"/>
  <c r="BL999" i="2" s="1"/>
  <c r="BM999" i="2" s="1"/>
  <c r="BI999" i="2"/>
  <c r="AX705" i="2"/>
  <c r="AY705" i="2"/>
  <c r="AW406" i="2"/>
  <c r="AX406" i="2" s="1"/>
  <c r="BP309" i="2"/>
  <c r="BQ309" i="2" s="1"/>
  <c r="BY309" i="2" s="1"/>
  <c r="BN309" i="2"/>
  <c r="BO309" i="2" s="1"/>
  <c r="BK309" i="2"/>
  <c r="BL309" i="2" s="1"/>
  <c r="BM309" i="2" s="1"/>
  <c r="AX354" i="2"/>
  <c r="AY354" i="2"/>
  <c r="AW424" i="2"/>
  <c r="BP327" i="2"/>
  <c r="BQ327" i="2" s="1"/>
  <c r="BY327" i="2" s="1"/>
  <c r="BN327" i="2"/>
  <c r="BO327" i="2" s="1"/>
  <c r="BK327" i="2"/>
  <c r="BL327" i="2" s="1"/>
  <c r="BM327" i="2" s="1"/>
  <c r="AW425" i="2"/>
  <c r="AX425" i="2" s="1"/>
  <c r="BP328" i="2"/>
  <c r="BQ328" i="2" s="1"/>
  <c r="BY328" i="2" s="1"/>
  <c r="BN328" i="2"/>
  <c r="BO328" i="2" s="1"/>
  <c r="BK328" i="2"/>
  <c r="BL328" i="2" s="1"/>
  <c r="BM328" i="2" s="1"/>
  <c r="AX348" i="2"/>
  <c r="AY348" i="2"/>
  <c r="AX623" i="2"/>
  <c r="AY623" i="2"/>
  <c r="AW378" i="2"/>
  <c r="BN281" i="2"/>
  <c r="BO281" i="2" s="1"/>
  <c r="BP281" i="2"/>
  <c r="BQ281" i="2" s="1"/>
  <c r="BY281" i="2" s="1"/>
  <c r="BK281" i="2"/>
  <c r="BL281" i="2" s="1"/>
  <c r="BM281" i="2" s="1"/>
  <c r="BI281" i="2"/>
  <c r="AX1050" i="2"/>
  <c r="AY1050" i="2"/>
  <c r="AX384" i="2"/>
  <c r="AY384" i="2"/>
  <c r="AW366" i="2"/>
  <c r="BN269" i="2"/>
  <c r="BO269" i="2" s="1"/>
  <c r="BP269" i="2"/>
  <c r="BQ269" i="2" s="1"/>
  <c r="BY269" i="2" s="1"/>
  <c r="BK269" i="2"/>
  <c r="BL269" i="2" s="1"/>
  <c r="BM269" i="2" s="1"/>
  <c r="BI269" i="2"/>
  <c r="AY956" i="2"/>
  <c r="AX956" i="2"/>
  <c r="BP589" i="2"/>
  <c r="BQ589" i="2" s="1"/>
  <c r="BY589" i="2" s="1"/>
  <c r="AW673" i="2"/>
  <c r="AX673" i="2" s="1"/>
  <c r="BN589" i="2"/>
  <c r="BO589" i="2" s="1"/>
  <c r="BK589" i="2"/>
  <c r="BL589" i="2" s="1"/>
  <c r="BM589" i="2" s="1"/>
  <c r="L112" i="4"/>
  <c r="K112" i="4"/>
  <c r="J112" i="4"/>
  <c r="I112" i="4"/>
  <c r="H112" i="4"/>
  <c r="G112" i="4"/>
  <c r="D111" i="4"/>
  <c r="F112" i="4"/>
  <c r="E112" i="4"/>
  <c r="AY724" i="2"/>
  <c r="AX724" i="2"/>
  <c r="AX691" i="2"/>
  <c r="AY691" i="2"/>
  <c r="AX678" i="2"/>
  <c r="AY678" i="2"/>
  <c r="AX693" i="2"/>
  <c r="AY693" i="2"/>
  <c r="AW604" i="2"/>
  <c r="BP507" i="2"/>
  <c r="BQ507" i="2" s="1"/>
  <c r="BY507" i="2" s="1"/>
  <c r="BN507" i="2"/>
  <c r="BO507" i="2" s="1"/>
  <c r="BK507" i="2"/>
  <c r="BL507" i="2" s="1"/>
  <c r="BM507" i="2" s="1"/>
  <c r="BI507" i="2"/>
  <c r="AW368" i="2"/>
  <c r="BP271" i="2"/>
  <c r="BQ271" i="2" s="1"/>
  <c r="BY271" i="2" s="1"/>
  <c r="BN271" i="2"/>
  <c r="BO271" i="2" s="1"/>
  <c r="BK271" i="2"/>
  <c r="BL271" i="2" s="1"/>
  <c r="BM271" i="2" s="1"/>
  <c r="BI271" i="2"/>
  <c r="AX818" i="2"/>
  <c r="AY818" i="2"/>
  <c r="AW363" i="2"/>
  <c r="BN266" i="2"/>
  <c r="BO266" i="2" s="1"/>
  <c r="BP266" i="2"/>
  <c r="BQ266" i="2" s="1"/>
  <c r="BY266" i="2" s="1"/>
  <c r="BK266" i="2"/>
  <c r="BL266" i="2" s="1"/>
  <c r="BM266" i="2" s="1"/>
  <c r="BI266" i="2"/>
  <c r="AW380" i="2"/>
  <c r="BP283" i="2"/>
  <c r="BQ283" i="2" s="1"/>
  <c r="BY283" i="2" s="1"/>
  <c r="BN283" i="2"/>
  <c r="BO283" i="2" s="1"/>
  <c r="BK283" i="2"/>
  <c r="BL283" i="2" s="1"/>
  <c r="BM283" i="2" s="1"/>
  <c r="BI283" i="2"/>
  <c r="AW455" i="2"/>
  <c r="BK358" i="2"/>
  <c r="BL358" i="2" s="1"/>
  <c r="BM358" i="2" s="1"/>
  <c r="AW689" i="2"/>
  <c r="BN624" i="2"/>
  <c r="BO624" i="2" s="1"/>
  <c r="BP624" i="2"/>
  <c r="BQ624" i="2" s="1"/>
  <c r="BY624" i="2" s="1"/>
  <c r="BK624" i="2"/>
  <c r="BL624" i="2" s="1"/>
  <c r="BM624" i="2" s="1"/>
  <c r="BI624" i="2"/>
  <c r="AX702" i="2"/>
  <c r="AY702" i="2"/>
  <c r="AW381" i="2"/>
  <c r="BP284" i="2"/>
  <c r="BQ284" i="2" s="1"/>
  <c r="BY284" i="2" s="1"/>
  <c r="BN284" i="2"/>
  <c r="BO284" i="2" s="1"/>
  <c r="BK284" i="2"/>
  <c r="BL284" i="2" s="1"/>
  <c r="BM284" i="2" s="1"/>
  <c r="BI284" i="2"/>
  <c r="AX934" i="2"/>
  <c r="AY934" i="2"/>
  <c r="AY597" i="2"/>
  <c r="AX597" i="2"/>
  <c r="AX701" i="2"/>
  <c r="AY701" i="2"/>
  <c r="BP285" i="2"/>
  <c r="BQ285" i="2" s="1"/>
  <c r="BY285" i="2" s="1"/>
  <c r="AW382" i="2"/>
  <c r="BN285" i="2"/>
  <c r="BO285" i="2" s="1"/>
  <c r="BK285" i="2"/>
  <c r="BL285" i="2" s="1"/>
  <c r="BM285" i="2" s="1"/>
  <c r="BI285" i="2"/>
  <c r="AX706" i="2"/>
  <c r="AY706" i="2"/>
  <c r="AX613" i="2" l="1"/>
  <c r="AY613" i="2"/>
  <c r="AX703" i="2"/>
  <c r="AY703" i="2"/>
  <c r="AX455" i="2"/>
  <c r="AY455" i="2"/>
  <c r="BP623" i="2"/>
  <c r="BQ623" i="2" s="1"/>
  <c r="BY623" i="2" s="1"/>
  <c r="BN623" i="2"/>
  <c r="BO623" i="2" s="1"/>
  <c r="AW687" i="2"/>
  <c r="AX687" i="2" s="1"/>
  <c r="BK623" i="2"/>
  <c r="BL623" i="2" s="1"/>
  <c r="BM623" i="2" s="1"/>
  <c r="AW451" i="2"/>
  <c r="BP354" i="2"/>
  <c r="BQ354" i="2" s="1"/>
  <c r="BY354" i="2" s="1"/>
  <c r="BN354" i="2"/>
  <c r="BO354" i="2" s="1"/>
  <c r="BK354" i="2"/>
  <c r="BL354" i="2" s="1"/>
  <c r="BM354" i="2" s="1"/>
  <c r="BI354" i="2"/>
  <c r="AW467" i="2"/>
  <c r="BP370" i="2"/>
  <c r="BQ370" i="2" s="1"/>
  <c r="BY370" i="2" s="1"/>
  <c r="BN370" i="2"/>
  <c r="BO370" i="2" s="1"/>
  <c r="BK370" i="2"/>
  <c r="BL370" i="2" s="1"/>
  <c r="BM370" i="2" s="1"/>
  <c r="BI370" i="2"/>
  <c r="AX387" i="2"/>
  <c r="AY387" i="2"/>
  <c r="BP681" i="2"/>
  <c r="BQ681" i="2" s="1"/>
  <c r="BY681" i="2" s="1"/>
  <c r="BN681" i="2"/>
  <c r="BO681" i="2" s="1"/>
  <c r="BK681" i="2"/>
  <c r="BL681" i="2" s="1"/>
  <c r="BM681" i="2" s="1"/>
  <c r="BI681" i="2"/>
  <c r="AX372" i="2"/>
  <c r="AY372" i="2"/>
  <c r="AX945" i="2"/>
  <c r="AY945" i="2"/>
  <c r="AX383" i="2"/>
  <c r="AY383" i="2"/>
  <c r="BP626" i="2"/>
  <c r="BQ626" i="2" s="1"/>
  <c r="BY626" i="2" s="1"/>
  <c r="AW679" i="2"/>
  <c r="AX679" i="2" s="1"/>
  <c r="BN626" i="2"/>
  <c r="BO626" i="2" s="1"/>
  <c r="BK626" i="2"/>
  <c r="BL626" i="2" s="1"/>
  <c r="BM626" i="2" s="1"/>
  <c r="AX692" i="2"/>
  <c r="AY692" i="2"/>
  <c r="AY946" i="2"/>
  <c r="AX946" i="2"/>
  <c r="AY355" i="2"/>
  <c r="AX355" i="2"/>
  <c r="AW785" i="2"/>
  <c r="BP678" i="2"/>
  <c r="BQ678" i="2" s="1"/>
  <c r="BY678" i="2" s="1"/>
  <c r="BN678" i="2"/>
  <c r="BO678" i="2" s="1"/>
  <c r="BK678" i="2"/>
  <c r="BL678" i="2" s="1"/>
  <c r="BM678" i="2" s="1"/>
  <c r="BI678" i="2"/>
  <c r="AX360" i="2"/>
  <c r="AY360" i="2"/>
  <c r="AW776" i="2"/>
  <c r="BN668" i="2"/>
  <c r="BO668" i="2" s="1"/>
  <c r="BP668" i="2"/>
  <c r="BQ668" i="2" s="1"/>
  <c r="BY668" i="2" s="1"/>
  <c r="BK668" i="2"/>
  <c r="BL668" i="2" s="1"/>
  <c r="BM668" i="2" s="1"/>
  <c r="BI668" i="2"/>
  <c r="AW440" i="2"/>
  <c r="BP343" i="2"/>
  <c r="BQ343" i="2" s="1"/>
  <c r="BY343" i="2" s="1"/>
  <c r="BN343" i="2"/>
  <c r="BO343" i="2" s="1"/>
  <c r="BK343" i="2"/>
  <c r="BL343" i="2" s="1"/>
  <c r="BM343" i="2" s="1"/>
  <c r="BI343" i="2"/>
  <c r="AX366" i="2"/>
  <c r="AY366" i="2"/>
  <c r="AW445" i="2"/>
  <c r="BP348" i="2"/>
  <c r="BQ348" i="2" s="1"/>
  <c r="BY348" i="2" s="1"/>
  <c r="BN348" i="2"/>
  <c r="BO348" i="2" s="1"/>
  <c r="BI348" i="2"/>
  <c r="BK348" i="2"/>
  <c r="BL348" i="2" s="1"/>
  <c r="BM348" i="2" s="1"/>
  <c r="AX1015" i="2"/>
  <c r="AY1015" i="2"/>
  <c r="AX517" i="2"/>
  <c r="AY517" i="2"/>
  <c r="AX667" i="2"/>
  <c r="AY667" i="2"/>
  <c r="M16" i="4"/>
  <c r="L16" i="4"/>
  <c r="K16" i="4"/>
  <c r="J16" i="4"/>
  <c r="I16" i="4"/>
  <c r="D15" i="4"/>
  <c r="H16" i="4"/>
  <c r="G16" i="4"/>
  <c r="F16" i="4"/>
  <c r="E16" i="4"/>
  <c r="AW783" i="2"/>
  <c r="BP677" i="2"/>
  <c r="BQ677" i="2" s="1"/>
  <c r="BY677" i="2" s="1"/>
  <c r="BN677" i="2"/>
  <c r="BO677" i="2" s="1"/>
  <c r="BK677" i="2"/>
  <c r="BL677" i="2" s="1"/>
  <c r="BM677" i="2" s="1"/>
  <c r="BI677" i="2"/>
  <c r="AY356" i="2"/>
  <c r="AX356" i="2"/>
  <c r="AY347" i="2"/>
  <c r="AX347" i="2"/>
  <c r="AW772" i="2"/>
  <c r="BN665" i="2"/>
  <c r="BO665" i="2" s="1"/>
  <c r="BP665" i="2"/>
  <c r="BQ665" i="2" s="1"/>
  <c r="BY665" i="2" s="1"/>
  <c r="BK665" i="2"/>
  <c r="BL665" i="2" s="1"/>
  <c r="BM665" i="2" s="1"/>
  <c r="BI665" i="2"/>
  <c r="AY1006" i="2"/>
  <c r="AX1006" i="2"/>
  <c r="AX683" i="2"/>
  <c r="AY683" i="2"/>
  <c r="AY382" i="2"/>
  <c r="AX382" i="2"/>
  <c r="AX381" i="2"/>
  <c r="AY381" i="2"/>
  <c r="AW795" i="2"/>
  <c r="BP691" i="2"/>
  <c r="BQ691" i="2" s="1"/>
  <c r="BY691" i="2" s="1"/>
  <c r="BN691" i="2"/>
  <c r="BO691" i="2" s="1"/>
  <c r="BK691" i="2"/>
  <c r="BL691" i="2" s="1"/>
  <c r="BM691" i="2" s="1"/>
  <c r="AW481" i="2"/>
  <c r="BP384" i="2"/>
  <c r="BQ384" i="2" s="1"/>
  <c r="BY384" i="2" s="1"/>
  <c r="BN384" i="2"/>
  <c r="BO384" i="2" s="1"/>
  <c r="BK384" i="2"/>
  <c r="BL384" i="2" s="1"/>
  <c r="BM384" i="2" s="1"/>
  <c r="BI384" i="2"/>
  <c r="AW474" i="2"/>
  <c r="BP377" i="2"/>
  <c r="BQ377" i="2" s="1"/>
  <c r="BY377" i="2" s="1"/>
  <c r="BN377" i="2"/>
  <c r="BO377" i="2" s="1"/>
  <c r="BK377" i="2"/>
  <c r="BL377" i="2" s="1"/>
  <c r="BM377" i="2" s="1"/>
  <c r="BI377" i="2"/>
  <c r="AW468" i="2"/>
  <c r="BP371" i="2"/>
  <c r="BQ371" i="2" s="1"/>
  <c r="BY371" i="2" s="1"/>
  <c r="BN371" i="2"/>
  <c r="BO371" i="2" s="1"/>
  <c r="BK371" i="2"/>
  <c r="BL371" i="2" s="1"/>
  <c r="BM371" i="2" s="1"/>
  <c r="BI371" i="2"/>
  <c r="AW708" i="2"/>
  <c r="BP609" i="2"/>
  <c r="BQ609" i="2" s="1"/>
  <c r="BY609" i="2" s="1"/>
  <c r="BN609" i="2"/>
  <c r="BO609" i="2" s="1"/>
  <c r="BK609" i="2"/>
  <c r="BL609" i="2" s="1"/>
  <c r="BM609" i="2" s="1"/>
  <c r="BI609" i="2"/>
  <c r="AX567" i="2"/>
  <c r="AY567" i="2"/>
  <c r="AX386" i="2"/>
  <c r="AY386" i="2"/>
  <c r="AW695" i="2"/>
  <c r="AX695" i="2" s="1"/>
  <c r="BP592" i="2"/>
  <c r="BQ592" i="2" s="1"/>
  <c r="BY592" i="2" s="1"/>
  <c r="BN592" i="2"/>
  <c r="BO592" i="2" s="1"/>
  <c r="BK592" i="2"/>
  <c r="BL592" i="2" s="1"/>
  <c r="BM592" i="2" s="1"/>
  <c r="AW807" i="2"/>
  <c r="BP702" i="2"/>
  <c r="BQ702" i="2" s="1"/>
  <c r="BY702" i="2" s="1"/>
  <c r="BN702" i="2"/>
  <c r="BO702" i="2" s="1"/>
  <c r="BI702" i="2"/>
  <c r="BK702" i="2"/>
  <c r="BL702" i="2" s="1"/>
  <c r="BM702" i="2" s="1"/>
  <c r="AY939" i="2"/>
  <c r="AX939" i="2"/>
  <c r="AY697" i="2"/>
  <c r="AX697" i="2"/>
  <c r="AW561" i="2"/>
  <c r="BN464" i="2"/>
  <c r="BO464" i="2" s="1"/>
  <c r="BP464" i="2"/>
  <c r="BQ464" i="2" s="1"/>
  <c r="BY464" i="2" s="1"/>
  <c r="BK464" i="2"/>
  <c r="BL464" i="2" s="1"/>
  <c r="BM464" i="2" s="1"/>
  <c r="AW810" i="2"/>
  <c r="BN701" i="2"/>
  <c r="BO701" i="2" s="1"/>
  <c r="BP701" i="2"/>
  <c r="BQ701" i="2" s="1"/>
  <c r="BY701" i="2" s="1"/>
  <c r="BI701" i="2"/>
  <c r="BK701" i="2"/>
  <c r="BL701" i="2" s="1"/>
  <c r="BM701" i="2" s="1"/>
  <c r="AX380" i="2"/>
  <c r="AY380" i="2"/>
  <c r="AY368" i="2"/>
  <c r="AX368" i="2"/>
  <c r="BP1050" i="2"/>
  <c r="BQ1050" i="2" s="1"/>
  <c r="BY1050" i="2" s="1"/>
  <c r="BN1050" i="2"/>
  <c r="BO1050" i="2" s="1"/>
  <c r="BK1050" i="2"/>
  <c r="BL1050" i="2" s="1"/>
  <c r="BM1050" i="2" s="1"/>
  <c r="BI1050" i="2"/>
  <c r="AW1070" i="2"/>
  <c r="BN926" i="2"/>
  <c r="BO926" i="2" s="1"/>
  <c r="BP926" i="2"/>
  <c r="BQ926" i="2" s="1"/>
  <c r="BY926" i="2" s="1"/>
  <c r="BK926" i="2"/>
  <c r="BL926" i="2" s="1"/>
  <c r="BM926" i="2" s="1"/>
  <c r="BI926" i="2"/>
  <c r="AW713" i="2"/>
  <c r="BP556" i="2"/>
  <c r="BQ556" i="2" s="1"/>
  <c r="BY556" i="2" s="1"/>
  <c r="BN556" i="2"/>
  <c r="BO556" i="2" s="1"/>
  <c r="BK556" i="2"/>
  <c r="BL556" i="2" s="1"/>
  <c r="BM556" i="2" s="1"/>
  <c r="BI556" i="2"/>
  <c r="AW441" i="2"/>
  <c r="BN344" i="2"/>
  <c r="BO344" i="2" s="1"/>
  <c r="BP344" i="2"/>
  <c r="BQ344" i="2" s="1"/>
  <c r="BY344" i="2" s="1"/>
  <c r="BK344" i="2"/>
  <c r="BL344" i="2" s="1"/>
  <c r="BM344" i="2" s="1"/>
  <c r="BI344" i="2"/>
  <c r="AY346" i="2"/>
  <c r="AX346" i="2"/>
  <c r="AY365" i="2"/>
  <c r="AX365" i="2"/>
  <c r="AX405" i="2"/>
  <c r="AY405" i="2"/>
  <c r="AW778" i="2"/>
  <c r="BN669" i="2"/>
  <c r="BO669" i="2" s="1"/>
  <c r="BP669" i="2"/>
  <c r="BQ669" i="2" s="1"/>
  <c r="BY669" i="2" s="1"/>
  <c r="BK669" i="2"/>
  <c r="BL669" i="2" s="1"/>
  <c r="BM669" i="2" s="1"/>
  <c r="BI669" i="2"/>
  <c r="AX694" i="2"/>
  <c r="AY694" i="2"/>
  <c r="AY376" i="2"/>
  <c r="AX376" i="2"/>
  <c r="AY579" i="2"/>
  <c r="AX579" i="2"/>
  <c r="AX351" i="2"/>
  <c r="AY351" i="2"/>
  <c r="AX606" i="2"/>
  <c r="AY606" i="2"/>
  <c r="AW789" i="2"/>
  <c r="BN724" i="2"/>
  <c r="BO724" i="2" s="1"/>
  <c r="BP724" i="2"/>
  <c r="BQ724" i="2" s="1"/>
  <c r="BY724" i="2" s="1"/>
  <c r="BK724" i="2"/>
  <c r="BL724" i="2" s="1"/>
  <c r="BM724" i="2" s="1"/>
  <c r="BI724" i="2"/>
  <c r="AW808" i="2"/>
  <c r="BN705" i="2"/>
  <c r="BO705" i="2" s="1"/>
  <c r="BP705" i="2"/>
  <c r="BQ705" i="2" s="1"/>
  <c r="BY705" i="2" s="1"/>
  <c r="BK705" i="2"/>
  <c r="BL705" i="2" s="1"/>
  <c r="BM705" i="2" s="1"/>
  <c r="AX389" i="2"/>
  <c r="AY389" i="2"/>
  <c r="AW804" i="2"/>
  <c r="BP696" i="2"/>
  <c r="BQ696" i="2" s="1"/>
  <c r="BY696" i="2" s="1"/>
  <c r="BN696" i="2"/>
  <c r="BO696" i="2" s="1"/>
  <c r="BK696" i="2"/>
  <c r="BL696" i="2" s="1"/>
  <c r="BM696" i="2" s="1"/>
  <c r="BI696" i="2"/>
  <c r="AW773" i="2"/>
  <c r="BN666" i="2"/>
  <c r="BO666" i="2" s="1"/>
  <c r="BP666" i="2"/>
  <c r="BQ666" i="2" s="1"/>
  <c r="BY666" i="2" s="1"/>
  <c r="BK666" i="2"/>
  <c r="BL666" i="2" s="1"/>
  <c r="BM666" i="2" s="1"/>
  <c r="BI666" i="2"/>
  <c r="AW1060" i="2"/>
  <c r="BP919" i="2"/>
  <c r="BQ919" i="2" s="1"/>
  <c r="BY919" i="2" s="1"/>
  <c r="BN919" i="2"/>
  <c r="BO919" i="2" s="1"/>
  <c r="BK919" i="2"/>
  <c r="BL919" i="2" s="1"/>
  <c r="BM919" i="2" s="1"/>
  <c r="BI919" i="2"/>
  <c r="AX910" i="2"/>
  <c r="AY910" i="2"/>
  <c r="BP1088" i="2"/>
  <c r="BQ1088" i="2" s="1"/>
  <c r="BY1088" i="2" s="1"/>
  <c r="BN1088" i="2"/>
  <c r="BO1088" i="2" s="1"/>
  <c r="BK1088" i="2"/>
  <c r="BL1088" i="2" s="1"/>
  <c r="BM1088" i="2" s="1"/>
  <c r="BI1088" i="2"/>
  <c r="AW439" i="2"/>
  <c r="AX439" i="2" s="1"/>
  <c r="BP342" i="2"/>
  <c r="BQ342" i="2" s="1"/>
  <c r="BY342" i="2" s="1"/>
  <c r="BN342" i="2"/>
  <c r="BO342" i="2" s="1"/>
  <c r="BK342" i="2"/>
  <c r="BL342" i="2" s="1"/>
  <c r="BM342" i="2" s="1"/>
  <c r="AW676" i="2"/>
  <c r="AX676" i="2" s="1"/>
  <c r="BP612" i="2"/>
  <c r="BQ612" i="2" s="1"/>
  <c r="BY612" i="2" s="1"/>
  <c r="BN612" i="2"/>
  <c r="BO612" i="2" s="1"/>
  <c r="BK612" i="2"/>
  <c r="BL612" i="2" s="1"/>
  <c r="BM612" i="2" s="1"/>
  <c r="AX685" i="2"/>
  <c r="AY685" i="2"/>
  <c r="AX375" i="2"/>
  <c r="AY375" i="2"/>
  <c r="AX352" i="2"/>
  <c r="AY352" i="2"/>
  <c r="AW471" i="2"/>
  <c r="BP374" i="2"/>
  <c r="BQ374" i="2" s="1"/>
  <c r="BY374" i="2" s="1"/>
  <c r="BN374" i="2"/>
  <c r="BO374" i="2" s="1"/>
  <c r="BK374" i="2"/>
  <c r="BL374" i="2" s="1"/>
  <c r="BM374" i="2" s="1"/>
  <c r="BI374" i="2"/>
  <c r="AX357" i="2"/>
  <c r="AY357" i="2"/>
  <c r="AX411" i="2"/>
  <c r="AY411" i="2"/>
  <c r="AW447" i="2"/>
  <c r="BP350" i="2"/>
  <c r="BQ350" i="2" s="1"/>
  <c r="BY350" i="2" s="1"/>
  <c r="BN350" i="2"/>
  <c r="BO350" i="2" s="1"/>
  <c r="BK350" i="2"/>
  <c r="BL350" i="2" s="1"/>
  <c r="BM350" i="2" s="1"/>
  <c r="BI350" i="2"/>
  <c r="AW664" i="2"/>
  <c r="AX664" i="2" s="1"/>
  <c r="BP597" i="2"/>
  <c r="BQ597" i="2" s="1"/>
  <c r="BY597" i="2" s="1"/>
  <c r="BN597" i="2"/>
  <c r="BO597" i="2" s="1"/>
  <c r="BK597" i="2"/>
  <c r="BL597" i="2" s="1"/>
  <c r="BM597" i="2" s="1"/>
  <c r="AW781" i="2"/>
  <c r="BP682" i="2"/>
  <c r="BQ682" i="2" s="1"/>
  <c r="BY682" i="2" s="1"/>
  <c r="BN682" i="2"/>
  <c r="BO682" i="2" s="1"/>
  <c r="BK682" i="2"/>
  <c r="BL682" i="2" s="1"/>
  <c r="BM682" i="2" s="1"/>
  <c r="BI682" i="2"/>
  <c r="AW466" i="2"/>
  <c r="BN369" i="2"/>
  <c r="BO369" i="2" s="1"/>
  <c r="BP369" i="2"/>
  <c r="BQ369" i="2" s="1"/>
  <c r="BY369" i="2" s="1"/>
  <c r="BK369" i="2"/>
  <c r="BL369" i="2" s="1"/>
  <c r="BM369" i="2" s="1"/>
  <c r="BI369" i="2"/>
  <c r="AX345" i="2"/>
  <c r="AY345" i="2"/>
  <c r="AW1011" i="2"/>
  <c r="BN967" i="2"/>
  <c r="BO967" i="2" s="1"/>
  <c r="BP967" i="2"/>
  <c r="BQ967" i="2" s="1"/>
  <c r="BY967" i="2" s="1"/>
  <c r="BK967" i="2"/>
  <c r="BL967" i="2" s="1"/>
  <c r="BM967" i="2" s="1"/>
  <c r="BI967" i="2"/>
  <c r="AW791" i="2"/>
  <c r="BP670" i="2"/>
  <c r="BQ670" i="2" s="1"/>
  <c r="BY670" i="2" s="1"/>
  <c r="BN670" i="2"/>
  <c r="BO670" i="2" s="1"/>
  <c r="BK670" i="2"/>
  <c r="BL670" i="2" s="1"/>
  <c r="BM670" i="2" s="1"/>
  <c r="BI670" i="2"/>
  <c r="AY364" i="2"/>
  <c r="AX364" i="2"/>
  <c r="AW774" i="2"/>
  <c r="BP671" i="2"/>
  <c r="BQ671" i="2" s="1"/>
  <c r="BY671" i="2" s="1"/>
  <c r="BN671" i="2"/>
  <c r="BO671" i="2" s="1"/>
  <c r="BK671" i="2"/>
  <c r="BL671" i="2" s="1"/>
  <c r="BM671" i="2" s="1"/>
  <c r="BI671" i="2"/>
  <c r="AW1078" i="2"/>
  <c r="BP934" i="2"/>
  <c r="BQ934" i="2" s="1"/>
  <c r="BY934" i="2" s="1"/>
  <c r="BN934" i="2"/>
  <c r="BO934" i="2" s="1"/>
  <c r="BK934" i="2"/>
  <c r="BL934" i="2" s="1"/>
  <c r="BM934" i="2" s="1"/>
  <c r="BI934" i="2"/>
  <c r="I111" i="4"/>
  <c r="H111" i="4"/>
  <c r="G111" i="4"/>
  <c r="D110" i="4"/>
  <c r="F111" i="4"/>
  <c r="E111" i="4"/>
  <c r="L111" i="4"/>
  <c r="K111" i="4"/>
  <c r="J111" i="4"/>
  <c r="AW1096" i="2"/>
  <c r="BN956" i="2"/>
  <c r="BO956" i="2" s="1"/>
  <c r="BP956" i="2"/>
  <c r="BQ956" i="2" s="1"/>
  <c r="BY956" i="2" s="1"/>
  <c r="BK956" i="2"/>
  <c r="BL956" i="2" s="1"/>
  <c r="BM956" i="2" s="1"/>
  <c r="AW1053" i="2"/>
  <c r="BP913" i="2"/>
  <c r="BQ913" i="2" s="1"/>
  <c r="BY913" i="2" s="1"/>
  <c r="BK913" i="2"/>
  <c r="BL913" i="2" s="1"/>
  <c r="BM913" i="2" s="1"/>
  <c r="BN913" i="2"/>
  <c r="BO913" i="2" s="1"/>
  <c r="BI913" i="2"/>
  <c r="AX359" i="2"/>
  <c r="AY359" i="2"/>
  <c r="AW1048" i="2"/>
  <c r="BN975" i="2"/>
  <c r="BO975" i="2" s="1"/>
  <c r="BP975" i="2"/>
  <c r="BQ975" i="2" s="1"/>
  <c r="BY975" i="2" s="1"/>
  <c r="BK975" i="2"/>
  <c r="BL975" i="2" s="1"/>
  <c r="BM975" i="2" s="1"/>
  <c r="BI975" i="2"/>
  <c r="AX700" i="2"/>
  <c r="AY700" i="2"/>
  <c r="AX688" i="2"/>
  <c r="AY688" i="2"/>
  <c r="AW435" i="2"/>
  <c r="BP338" i="2"/>
  <c r="BQ338" i="2" s="1"/>
  <c r="BY338" i="2" s="1"/>
  <c r="BN338" i="2"/>
  <c r="BO338" i="2" s="1"/>
  <c r="BK338" i="2"/>
  <c r="BL338" i="2" s="1"/>
  <c r="BM338" i="2" s="1"/>
  <c r="AX986" i="2"/>
  <c r="AY986" i="2"/>
  <c r="AW782" i="2"/>
  <c r="BP674" i="2"/>
  <c r="BQ674" i="2" s="1"/>
  <c r="BY674" i="2" s="1"/>
  <c r="BN674" i="2"/>
  <c r="BO674" i="2" s="1"/>
  <c r="BI674" i="2"/>
  <c r="BK674" i="2"/>
  <c r="BL674" i="2" s="1"/>
  <c r="BM674" i="2" s="1"/>
  <c r="AW819" i="2"/>
  <c r="BN706" i="2"/>
  <c r="BO706" i="2" s="1"/>
  <c r="BP706" i="2"/>
  <c r="BQ706" i="2" s="1"/>
  <c r="BY706" i="2" s="1"/>
  <c r="BK706" i="2"/>
  <c r="BL706" i="2" s="1"/>
  <c r="BM706" i="2" s="1"/>
  <c r="AX689" i="2"/>
  <c r="AY689" i="2"/>
  <c r="AX363" i="2"/>
  <c r="AY363" i="2"/>
  <c r="AX604" i="2"/>
  <c r="AY604" i="2"/>
  <c r="AX978" i="2"/>
  <c r="AY978" i="2"/>
  <c r="AW485" i="2"/>
  <c r="BP388" i="2"/>
  <c r="BQ388" i="2" s="1"/>
  <c r="BY388" i="2" s="1"/>
  <c r="BN388" i="2"/>
  <c r="BO388" i="2" s="1"/>
  <c r="BK388" i="2"/>
  <c r="BL388" i="2" s="1"/>
  <c r="BM388" i="2" s="1"/>
  <c r="BI388" i="2"/>
  <c r="L80" i="4"/>
  <c r="K80" i="4"/>
  <c r="J80" i="4"/>
  <c r="I80" i="4"/>
  <c r="G80" i="4"/>
  <c r="F80" i="4"/>
  <c r="E79" i="4"/>
  <c r="AW905" i="2"/>
  <c r="BN818" i="2"/>
  <c r="BO818" i="2" s="1"/>
  <c r="BP818" i="2"/>
  <c r="BQ818" i="2" s="1"/>
  <c r="BY818" i="2" s="1"/>
  <c r="BK818" i="2"/>
  <c r="BL818" i="2" s="1"/>
  <c r="BM818" i="2" s="1"/>
  <c r="AW797" i="2"/>
  <c r="BN693" i="2"/>
  <c r="BO693" i="2" s="1"/>
  <c r="BP693" i="2"/>
  <c r="BQ693" i="2" s="1"/>
  <c r="BY693" i="2" s="1"/>
  <c r="BK693" i="2"/>
  <c r="BL693" i="2" s="1"/>
  <c r="BM693" i="2" s="1"/>
  <c r="BI693" i="2"/>
  <c r="AX378" i="2"/>
  <c r="AY378" i="2"/>
  <c r="AX424" i="2"/>
  <c r="AY424" i="2"/>
  <c r="AX1036" i="2"/>
  <c r="AY1036" i="2"/>
  <c r="AX924" i="2"/>
  <c r="AY924" i="2"/>
  <c r="AW809" i="2"/>
  <c r="BN699" i="2"/>
  <c r="BO699" i="2" s="1"/>
  <c r="BP699" i="2"/>
  <c r="BQ699" i="2" s="1"/>
  <c r="BY699" i="2" s="1"/>
  <c r="BK699" i="2"/>
  <c r="BL699" i="2" s="1"/>
  <c r="BM699" i="2" s="1"/>
  <c r="BI699" i="2"/>
  <c r="AX458" i="2"/>
  <c r="AY458" i="2"/>
  <c r="AW798" i="2"/>
  <c r="BP690" i="2"/>
  <c r="BQ690" i="2" s="1"/>
  <c r="BY690" i="2" s="1"/>
  <c r="BN690" i="2"/>
  <c r="BO690" i="2" s="1"/>
  <c r="BK690" i="2"/>
  <c r="BL690" i="2" s="1"/>
  <c r="BM690" i="2" s="1"/>
  <c r="BI690" i="2"/>
  <c r="AX684" i="2"/>
  <c r="AY684" i="2"/>
  <c r="AW450" i="2"/>
  <c r="BP353" i="2"/>
  <c r="BQ353" i="2" s="1"/>
  <c r="BY353" i="2" s="1"/>
  <c r="BN353" i="2"/>
  <c r="BO353" i="2" s="1"/>
  <c r="BK353" i="2"/>
  <c r="BL353" i="2" s="1"/>
  <c r="BM353" i="2" s="1"/>
  <c r="BI353" i="2"/>
  <c r="AW446" i="2"/>
  <c r="BP349" i="2"/>
  <c r="BQ349" i="2" s="1"/>
  <c r="BY349" i="2" s="1"/>
  <c r="BN349" i="2"/>
  <c r="BO349" i="2" s="1"/>
  <c r="BK349" i="2"/>
  <c r="BL349" i="2" s="1"/>
  <c r="BM349" i="2" s="1"/>
  <c r="AW476" i="2"/>
  <c r="BP379" i="2"/>
  <c r="BQ379" i="2" s="1"/>
  <c r="BY379" i="2" s="1"/>
  <c r="BN379" i="2"/>
  <c r="BO379" i="2" s="1"/>
  <c r="BK379" i="2"/>
  <c r="BL379" i="2" s="1"/>
  <c r="BM379" i="2" s="1"/>
  <c r="BI379" i="2"/>
  <c r="BP613" i="2" l="1"/>
  <c r="BQ613" i="2" s="1"/>
  <c r="BY613" i="2" s="1"/>
  <c r="BN613" i="2"/>
  <c r="BO613" i="2" s="1"/>
  <c r="AW680" i="2"/>
  <c r="AX680" i="2" s="1"/>
  <c r="BK613" i="2"/>
  <c r="BL613" i="2" s="1"/>
  <c r="BM613" i="2" s="1"/>
  <c r="AW811" i="2"/>
  <c r="BK703" i="2"/>
  <c r="BL703" i="2" s="1"/>
  <c r="BM703" i="2" s="1"/>
  <c r="AX467" i="2"/>
  <c r="AY467" i="2"/>
  <c r="AW787" i="2"/>
  <c r="BN684" i="2"/>
  <c r="BO684" i="2" s="1"/>
  <c r="BP684" i="2"/>
  <c r="BQ684" i="2" s="1"/>
  <c r="BY684" i="2" s="1"/>
  <c r="BK684" i="2"/>
  <c r="BL684" i="2" s="1"/>
  <c r="BM684" i="2" s="1"/>
  <c r="BI684" i="2"/>
  <c r="AW460" i="2"/>
  <c r="BP363" i="2"/>
  <c r="BQ363" i="2" s="1"/>
  <c r="BY363" i="2" s="1"/>
  <c r="BN363" i="2"/>
  <c r="BO363" i="2" s="1"/>
  <c r="BK363" i="2"/>
  <c r="BL363" i="2" s="1"/>
  <c r="BM363" i="2" s="1"/>
  <c r="AW443" i="2"/>
  <c r="BP346" i="2"/>
  <c r="BQ346" i="2" s="1"/>
  <c r="BY346" i="2" s="1"/>
  <c r="BN346" i="2"/>
  <c r="BO346" i="2" s="1"/>
  <c r="BK346" i="2"/>
  <c r="BL346" i="2" s="1"/>
  <c r="BM346" i="2" s="1"/>
  <c r="BI346" i="2"/>
  <c r="AX809" i="2"/>
  <c r="AY809" i="2"/>
  <c r="AW775" i="2"/>
  <c r="BP667" i="2"/>
  <c r="BQ667" i="2" s="1"/>
  <c r="BY667" i="2" s="1"/>
  <c r="BN667" i="2"/>
  <c r="BO667" i="2" s="1"/>
  <c r="BK667" i="2"/>
  <c r="BL667" i="2" s="1"/>
  <c r="BM667" i="2" s="1"/>
  <c r="BI667" i="2"/>
  <c r="AX776" i="2"/>
  <c r="AY776" i="2"/>
  <c r="AW802" i="2"/>
  <c r="BP692" i="2"/>
  <c r="BQ692" i="2" s="1"/>
  <c r="BY692" i="2" s="1"/>
  <c r="BN692" i="2"/>
  <c r="BO692" i="2" s="1"/>
  <c r="BK692" i="2"/>
  <c r="BL692" i="2" s="1"/>
  <c r="BM692" i="2" s="1"/>
  <c r="BI692" i="2"/>
  <c r="AX476" i="2"/>
  <c r="AY476" i="2"/>
  <c r="AW1062" i="2"/>
  <c r="BN924" i="2"/>
  <c r="BO924" i="2" s="1"/>
  <c r="BP924" i="2"/>
  <c r="BQ924" i="2" s="1"/>
  <c r="BY924" i="2" s="1"/>
  <c r="BK924" i="2"/>
  <c r="BL924" i="2" s="1"/>
  <c r="BM924" i="2" s="1"/>
  <c r="BI924" i="2"/>
  <c r="AX797" i="2"/>
  <c r="AY797" i="2"/>
  <c r="AW800" i="2"/>
  <c r="BN689" i="2"/>
  <c r="BO689" i="2" s="1"/>
  <c r="BP689" i="2"/>
  <c r="BQ689" i="2" s="1"/>
  <c r="BY689" i="2" s="1"/>
  <c r="BI689" i="2"/>
  <c r="BK689" i="2"/>
  <c r="BL689" i="2" s="1"/>
  <c r="BM689" i="2" s="1"/>
  <c r="AW1046" i="2"/>
  <c r="BP986" i="2"/>
  <c r="BQ986" i="2" s="1"/>
  <c r="BY986" i="2" s="1"/>
  <c r="BN986" i="2"/>
  <c r="BO986" i="2" s="1"/>
  <c r="BK986" i="2"/>
  <c r="BL986" i="2" s="1"/>
  <c r="BM986" i="2" s="1"/>
  <c r="BI986" i="2"/>
  <c r="AW1082" i="2"/>
  <c r="BN939" i="2"/>
  <c r="BO939" i="2" s="1"/>
  <c r="BP939" i="2"/>
  <c r="BQ939" i="2" s="1"/>
  <c r="BY939" i="2" s="1"/>
  <c r="BK939" i="2"/>
  <c r="BL939" i="2" s="1"/>
  <c r="BM939" i="2" s="1"/>
  <c r="BI939" i="2"/>
  <c r="AW718" i="2"/>
  <c r="BP567" i="2"/>
  <c r="BQ567" i="2" s="1"/>
  <c r="BY567" i="2" s="1"/>
  <c r="BN567" i="2"/>
  <c r="BO567" i="2" s="1"/>
  <c r="BK567" i="2"/>
  <c r="BL567" i="2" s="1"/>
  <c r="BM567" i="2" s="1"/>
  <c r="AY783" i="2"/>
  <c r="AX783" i="2"/>
  <c r="AW457" i="2"/>
  <c r="BP360" i="2"/>
  <c r="BQ360" i="2" s="1"/>
  <c r="BY360" i="2" s="1"/>
  <c r="BN360" i="2"/>
  <c r="BO360" i="2" s="1"/>
  <c r="BI360" i="2"/>
  <c r="BK360" i="2"/>
  <c r="BL360" i="2" s="1"/>
  <c r="BM360" i="2" s="1"/>
  <c r="AW442" i="2"/>
  <c r="BP345" i="2"/>
  <c r="BQ345" i="2" s="1"/>
  <c r="BY345" i="2" s="1"/>
  <c r="BN345" i="2"/>
  <c r="BO345" i="2" s="1"/>
  <c r="BK345" i="2"/>
  <c r="BL345" i="2" s="1"/>
  <c r="BM345" i="2" s="1"/>
  <c r="BI345" i="2"/>
  <c r="AW473" i="2"/>
  <c r="BP376" i="2"/>
  <c r="BQ376" i="2" s="1"/>
  <c r="BY376" i="2" s="1"/>
  <c r="BN376" i="2"/>
  <c r="BO376" i="2" s="1"/>
  <c r="BK376" i="2"/>
  <c r="BL376" i="2" s="1"/>
  <c r="BM376" i="2" s="1"/>
  <c r="BI376" i="2"/>
  <c r="AW1065" i="2"/>
  <c r="BN910" i="2"/>
  <c r="BO910" i="2" s="1"/>
  <c r="BP910" i="2"/>
  <c r="BQ910" i="2" s="1"/>
  <c r="BY910" i="2" s="1"/>
  <c r="BK910" i="2"/>
  <c r="BL910" i="2" s="1"/>
  <c r="BM910" i="2" s="1"/>
  <c r="BI910" i="2"/>
  <c r="AX468" i="2"/>
  <c r="AY468" i="2"/>
  <c r="AX1096" i="2"/>
  <c r="AY1096" i="2"/>
  <c r="AY789" i="2"/>
  <c r="AX789" i="2"/>
  <c r="AX1070" i="2"/>
  <c r="AY1070" i="2"/>
  <c r="AY795" i="2"/>
  <c r="AX795" i="2"/>
  <c r="AW614" i="2"/>
  <c r="BK517" i="2"/>
  <c r="BL517" i="2" s="1"/>
  <c r="BM517" i="2" s="1"/>
  <c r="AX450" i="2"/>
  <c r="AY450" i="2"/>
  <c r="AW792" i="2"/>
  <c r="BP694" i="2"/>
  <c r="BQ694" i="2" s="1"/>
  <c r="BY694" i="2" s="1"/>
  <c r="BN694" i="2"/>
  <c r="BO694" i="2" s="1"/>
  <c r="BK694" i="2"/>
  <c r="BL694" i="2" s="1"/>
  <c r="BM694" i="2" s="1"/>
  <c r="BI694" i="2"/>
  <c r="AW483" i="2"/>
  <c r="BP386" i="2"/>
  <c r="BQ386" i="2" s="1"/>
  <c r="BY386" i="2" s="1"/>
  <c r="BN386" i="2"/>
  <c r="BO386" i="2" s="1"/>
  <c r="BK386" i="2"/>
  <c r="BL386" i="2" s="1"/>
  <c r="BM386" i="2" s="1"/>
  <c r="BP1036" i="2"/>
  <c r="BQ1036" i="2" s="1"/>
  <c r="BY1036" i="2" s="1"/>
  <c r="BN1036" i="2"/>
  <c r="BO1036" i="2" s="1"/>
  <c r="BK1036" i="2"/>
  <c r="BL1036" i="2" s="1"/>
  <c r="BM1036" i="2" s="1"/>
  <c r="BI1036" i="2"/>
  <c r="AX1048" i="2"/>
  <c r="AY1048" i="2"/>
  <c r="AX471" i="2"/>
  <c r="AY471" i="2"/>
  <c r="AX804" i="2"/>
  <c r="AY804" i="2"/>
  <c r="AW707" i="2"/>
  <c r="BP606" i="2"/>
  <c r="BQ606" i="2" s="1"/>
  <c r="BY606" i="2" s="1"/>
  <c r="BN606" i="2"/>
  <c r="BO606" i="2" s="1"/>
  <c r="BK606" i="2"/>
  <c r="BL606" i="2" s="1"/>
  <c r="BM606" i="2" s="1"/>
  <c r="AX810" i="2"/>
  <c r="AY810" i="2"/>
  <c r="AW478" i="2"/>
  <c r="BP381" i="2"/>
  <c r="BQ381" i="2" s="1"/>
  <c r="BY381" i="2" s="1"/>
  <c r="BN381" i="2"/>
  <c r="BO381" i="2" s="1"/>
  <c r="BK381" i="2"/>
  <c r="BL381" i="2" s="1"/>
  <c r="BM381" i="2" s="1"/>
  <c r="BI381" i="2"/>
  <c r="AX451" i="2"/>
  <c r="AY451" i="2"/>
  <c r="AX773" i="2"/>
  <c r="AY773" i="2"/>
  <c r="AW469" i="2"/>
  <c r="BN372" i="2"/>
  <c r="BO372" i="2" s="1"/>
  <c r="BP372" i="2"/>
  <c r="BQ372" i="2" s="1"/>
  <c r="BY372" i="2" s="1"/>
  <c r="BK372" i="2"/>
  <c r="BL372" i="2" s="1"/>
  <c r="BM372" i="2" s="1"/>
  <c r="BI372" i="2"/>
  <c r="AW461" i="2"/>
  <c r="BP364" i="2"/>
  <c r="BQ364" i="2" s="1"/>
  <c r="BY364" i="2" s="1"/>
  <c r="BN364" i="2"/>
  <c r="BO364" i="2" s="1"/>
  <c r="BK364" i="2"/>
  <c r="BL364" i="2" s="1"/>
  <c r="BM364" i="2" s="1"/>
  <c r="BI364" i="2"/>
  <c r="AW456" i="2"/>
  <c r="BP359" i="2"/>
  <c r="BQ359" i="2" s="1"/>
  <c r="BY359" i="2" s="1"/>
  <c r="BN359" i="2"/>
  <c r="BO359" i="2" s="1"/>
  <c r="BK359" i="2"/>
  <c r="BL359" i="2" s="1"/>
  <c r="BM359" i="2" s="1"/>
  <c r="BI359" i="2"/>
  <c r="AX1078" i="2"/>
  <c r="AY1078" i="2"/>
  <c r="AX791" i="2"/>
  <c r="AY791" i="2"/>
  <c r="AX466" i="2"/>
  <c r="AY466" i="2"/>
  <c r="AW449" i="2"/>
  <c r="BP352" i="2"/>
  <c r="BQ352" i="2" s="1"/>
  <c r="BY352" i="2" s="1"/>
  <c r="BN352" i="2"/>
  <c r="BO352" i="2" s="1"/>
  <c r="BK352" i="2"/>
  <c r="BL352" i="2" s="1"/>
  <c r="BM352" i="2" s="1"/>
  <c r="BI352" i="2"/>
  <c r="AW486" i="2"/>
  <c r="BK389" i="2"/>
  <c r="BL389" i="2" s="1"/>
  <c r="BM389" i="2" s="1"/>
  <c r="AX441" i="2"/>
  <c r="AY441" i="2"/>
  <c r="AY772" i="2"/>
  <c r="AX772" i="2"/>
  <c r="BN1015" i="2"/>
  <c r="BO1015" i="2" s="1"/>
  <c r="BP1015" i="2"/>
  <c r="BQ1015" i="2" s="1"/>
  <c r="BY1015" i="2" s="1"/>
  <c r="BK1015" i="2"/>
  <c r="BL1015" i="2" s="1"/>
  <c r="BM1015" i="2" s="1"/>
  <c r="BI1015" i="2"/>
  <c r="AW484" i="2"/>
  <c r="BP387" i="2"/>
  <c r="BQ387" i="2" s="1"/>
  <c r="BY387" i="2" s="1"/>
  <c r="BN387" i="2"/>
  <c r="BO387" i="2" s="1"/>
  <c r="BK387" i="2"/>
  <c r="BL387" i="2" s="1"/>
  <c r="BM387" i="2" s="1"/>
  <c r="BI387" i="2"/>
  <c r="AY445" i="2"/>
  <c r="AX445" i="2"/>
  <c r="AW805" i="2"/>
  <c r="BP697" i="2"/>
  <c r="BQ697" i="2" s="1"/>
  <c r="BY697" i="2" s="1"/>
  <c r="BN697" i="2"/>
  <c r="BO697" i="2" s="1"/>
  <c r="BK697" i="2"/>
  <c r="BL697" i="2" s="1"/>
  <c r="BM697" i="2" s="1"/>
  <c r="BI697" i="2"/>
  <c r="AX446" i="2"/>
  <c r="AY446" i="2"/>
  <c r="AX798" i="2"/>
  <c r="AY798" i="2"/>
  <c r="AW521" i="2"/>
  <c r="BK424" i="2"/>
  <c r="BL424" i="2" s="1"/>
  <c r="BM424" i="2" s="1"/>
  <c r="AX905" i="2"/>
  <c r="AY905" i="2"/>
  <c r="AX1060" i="2"/>
  <c r="AY1060" i="2"/>
  <c r="AW448" i="2"/>
  <c r="BN351" i="2"/>
  <c r="BO351" i="2" s="1"/>
  <c r="BP351" i="2"/>
  <c r="BQ351" i="2" s="1"/>
  <c r="BY351" i="2" s="1"/>
  <c r="BK351" i="2"/>
  <c r="BL351" i="2" s="1"/>
  <c r="BM351" i="2" s="1"/>
  <c r="BI351" i="2"/>
  <c r="AX778" i="2"/>
  <c r="AY778" i="2"/>
  <c r="AX474" i="2"/>
  <c r="AY474" i="2"/>
  <c r="AY440" i="2"/>
  <c r="AX440" i="2"/>
  <c r="AX1053" i="2"/>
  <c r="AY1053" i="2"/>
  <c r="BP1006" i="2"/>
  <c r="BQ1006" i="2" s="1"/>
  <c r="BY1006" i="2" s="1"/>
  <c r="BN1006" i="2"/>
  <c r="BO1006" i="2" s="1"/>
  <c r="AW1041" i="2"/>
  <c r="BK1006" i="2"/>
  <c r="BL1006" i="2" s="1"/>
  <c r="BM1006" i="2" s="1"/>
  <c r="BI1006" i="2"/>
  <c r="AX782" i="2"/>
  <c r="AY782" i="2"/>
  <c r="AW555" i="2"/>
  <c r="BN458" i="2"/>
  <c r="BO458" i="2" s="1"/>
  <c r="BP458" i="2"/>
  <c r="BQ458" i="2" s="1"/>
  <c r="BY458" i="2" s="1"/>
  <c r="BK458" i="2"/>
  <c r="BL458" i="2" s="1"/>
  <c r="BM458" i="2" s="1"/>
  <c r="BI458" i="2"/>
  <c r="L79" i="4"/>
  <c r="K79" i="4"/>
  <c r="J79" i="4"/>
  <c r="I79" i="4"/>
  <c r="E78" i="4"/>
  <c r="G79" i="4"/>
  <c r="F79" i="4"/>
  <c r="AY435" i="2"/>
  <c r="AX435" i="2"/>
  <c r="AW472" i="2"/>
  <c r="BP375" i="2"/>
  <c r="BQ375" i="2" s="1"/>
  <c r="BY375" i="2" s="1"/>
  <c r="BN375" i="2"/>
  <c r="BO375" i="2" s="1"/>
  <c r="BK375" i="2"/>
  <c r="BL375" i="2" s="1"/>
  <c r="BM375" i="2" s="1"/>
  <c r="BI375" i="2"/>
  <c r="AW502" i="2"/>
  <c r="BP405" i="2"/>
  <c r="BQ405" i="2" s="1"/>
  <c r="BY405" i="2" s="1"/>
  <c r="BN405" i="2"/>
  <c r="BO405" i="2" s="1"/>
  <c r="BK405" i="2"/>
  <c r="BL405" i="2" s="1"/>
  <c r="BM405" i="2" s="1"/>
  <c r="BI405" i="2"/>
  <c r="AW444" i="2"/>
  <c r="BN347" i="2"/>
  <c r="BO347" i="2" s="1"/>
  <c r="BP347" i="2"/>
  <c r="BQ347" i="2" s="1"/>
  <c r="BY347" i="2" s="1"/>
  <c r="BK347" i="2"/>
  <c r="BL347" i="2" s="1"/>
  <c r="BM347" i="2" s="1"/>
  <c r="BI347" i="2"/>
  <c r="M15" i="4"/>
  <c r="L15" i="4"/>
  <c r="K15" i="4"/>
  <c r="J15" i="4"/>
  <c r="I15" i="4"/>
  <c r="H15" i="4"/>
  <c r="G15" i="4"/>
  <c r="F15" i="4"/>
  <c r="E15" i="4"/>
  <c r="D14" i="4"/>
  <c r="AX481" i="2"/>
  <c r="AY481" i="2"/>
  <c r="AW1087" i="2"/>
  <c r="BP946" i="2"/>
  <c r="BQ946" i="2" s="1"/>
  <c r="BY946" i="2" s="1"/>
  <c r="BN946" i="2"/>
  <c r="BO946" i="2" s="1"/>
  <c r="BK946" i="2"/>
  <c r="BL946" i="2" s="1"/>
  <c r="BM946" i="2" s="1"/>
  <c r="BI946" i="2"/>
  <c r="AX485" i="2"/>
  <c r="AY485" i="2"/>
  <c r="AX447" i="2"/>
  <c r="AY447" i="2"/>
  <c r="AY807" i="2"/>
  <c r="AX807" i="2"/>
  <c r="K34" i="3"/>
  <c r="AW475" i="2"/>
  <c r="BN378" i="2"/>
  <c r="BO378" i="2" s="1"/>
  <c r="BP378" i="2"/>
  <c r="BQ378" i="2" s="1"/>
  <c r="BY378" i="2" s="1"/>
  <c r="BK378" i="2"/>
  <c r="BL378" i="2" s="1"/>
  <c r="BM378" i="2" s="1"/>
  <c r="BI378" i="2"/>
  <c r="AW1024" i="2"/>
  <c r="BP978" i="2"/>
  <c r="BQ978" i="2" s="1"/>
  <c r="BY978" i="2" s="1"/>
  <c r="BK978" i="2"/>
  <c r="BL978" i="2" s="1"/>
  <c r="BM978" i="2" s="1"/>
  <c r="BN978" i="2"/>
  <c r="BO978" i="2" s="1"/>
  <c r="BI978" i="2"/>
  <c r="AW790" i="2"/>
  <c r="AX790" i="2" s="1"/>
  <c r="BP688" i="2"/>
  <c r="BQ688" i="2" s="1"/>
  <c r="BY688" i="2" s="1"/>
  <c r="BN688" i="2"/>
  <c r="BO688" i="2" s="1"/>
  <c r="BK688" i="2"/>
  <c r="BL688" i="2" s="1"/>
  <c r="BM688" i="2" s="1"/>
  <c r="AW508" i="2"/>
  <c r="BP411" i="2"/>
  <c r="BQ411" i="2" s="1"/>
  <c r="BY411" i="2" s="1"/>
  <c r="BN411" i="2"/>
  <c r="BO411" i="2" s="1"/>
  <c r="BK411" i="2"/>
  <c r="BL411" i="2" s="1"/>
  <c r="BM411" i="2" s="1"/>
  <c r="BI411" i="2"/>
  <c r="AX561" i="2"/>
  <c r="AY561" i="2"/>
  <c r="AX708" i="2"/>
  <c r="AY708" i="2"/>
  <c r="AW777" i="2"/>
  <c r="BN683" i="2"/>
  <c r="BO683" i="2" s="1"/>
  <c r="BP683" i="2"/>
  <c r="BQ683" i="2" s="1"/>
  <c r="BY683" i="2" s="1"/>
  <c r="BK683" i="2"/>
  <c r="BL683" i="2" s="1"/>
  <c r="BM683" i="2" s="1"/>
  <c r="BI683" i="2"/>
  <c r="K101" i="3"/>
  <c r="AX785" i="2"/>
  <c r="AY785" i="2"/>
  <c r="AW463" i="2"/>
  <c r="BP366" i="2"/>
  <c r="BQ366" i="2" s="1"/>
  <c r="BY366" i="2" s="1"/>
  <c r="BN366" i="2"/>
  <c r="BO366" i="2" s="1"/>
  <c r="BK366" i="2"/>
  <c r="BL366" i="2" s="1"/>
  <c r="BM366" i="2" s="1"/>
  <c r="BI366" i="2"/>
  <c r="AX819" i="2"/>
  <c r="AY819" i="2"/>
  <c r="AW479" i="2"/>
  <c r="BP382" i="2"/>
  <c r="BQ382" i="2" s="1"/>
  <c r="BY382" i="2" s="1"/>
  <c r="BN382" i="2"/>
  <c r="BO382" i="2" s="1"/>
  <c r="BK382" i="2"/>
  <c r="BL382" i="2" s="1"/>
  <c r="BM382" i="2" s="1"/>
  <c r="BI382" i="2"/>
  <c r="AW480" i="2"/>
  <c r="BP383" i="2"/>
  <c r="BQ383" i="2" s="1"/>
  <c r="BY383" i="2" s="1"/>
  <c r="BN383" i="2"/>
  <c r="BO383" i="2" s="1"/>
  <c r="BK383" i="2"/>
  <c r="BL383" i="2" s="1"/>
  <c r="BM383" i="2" s="1"/>
  <c r="BI383" i="2"/>
  <c r="F110" i="4"/>
  <c r="E110" i="4"/>
  <c r="L110" i="4"/>
  <c r="G110" i="4"/>
  <c r="D109" i="4"/>
  <c r="K110" i="4"/>
  <c r="J110" i="4"/>
  <c r="I110" i="4"/>
  <c r="H110" i="4"/>
  <c r="AW723" i="2"/>
  <c r="BN579" i="2"/>
  <c r="BO579" i="2" s="1"/>
  <c r="BP579" i="2"/>
  <c r="BQ579" i="2" s="1"/>
  <c r="BY579" i="2" s="1"/>
  <c r="BK579" i="2"/>
  <c r="BL579" i="2" s="1"/>
  <c r="BM579" i="2" s="1"/>
  <c r="BI579" i="2"/>
  <c r="AW465" i="2"/>
  <c r="BP368" i="2"/>
  <c r="BQ368" i="2" s="1"/>
  <c r="BY368" i="2" s="1"/>
  <c r="BN368" i="2"/>
  <c r="BO368" i="2" s="1"/>
  <c r="BK368" i="2"/>
  <c r="BL368" i="2" s="1"/>
  <c r="BM368" i="2" s="1"/>
  <c r="BI368" i="2"/>
  <c r="AW453" i="2"/>
  <c r="BP356" i="2"/>
  <c r="BQ356" i="2" s="1"/>
  <c r="BY356" i="2" s="1"/>
  <c r="BN356" i="2"/>
  <c r="BO356" i="2" s="1"/>
  <c r="BK356" i="2"/>
  <c r="BL356" i="2" s="1"/>
  <c r="BM356" i="2" s="1"/>
  <c r="BI356" i="2"/>
  <c r="Q16" i="4"/>
  <c r="AW1090" i="2"/>
  <c r="BP945" i="2"/>
  <c r="BQ945" i="2" s="1"/>
  <c r="BY945" i="2" s="1"/>
  <c r="BN945" i="2"/>
  <c r="BO945" i="2" s="1"/>
  <c r="BK945" i="2"/>
  <c r="BL945" i="2" s="1"/>
  <c r="BM945" i="2" s="1"/>
  <c r="BI945" i="2"/>
  <c r="AW552" i="2"/>
  <c r="BK455" i="2"/>
  <c r="BL455" i="2" s="1"/>
  <c r="BM455" i="2" s="1"/>
  <c r="BP604" i="2"/>
  <c r="BQ604" i="2" s="1"/>
  <c r="BY604" i="2" s="1"/>
  <c r="AW672" i="2"/>
  <c r="BN604" i="2"/>
  <c r="BO604" i="2" s="1"/>
  <c r="BK604" i="2"/>
  <c r="BL604" i="2" s="1"/>
  <c r="BM604" i="2" s="1"/>
  <c r="BI604" i="2"/>
  <c r="AW812" i="2"/>
  <c r="BN700" i="2"/>
  <c r="BO700" i="2" s="1"/>
  <c r="BP700" i="2"/>
  <c r="BQ700" i="2" s="1"/>
  <c r="BY700" i="2" s="1"/>
  <c r="BK700" i="2"/>
  <c r="BL700" i="2" s="1"/>
  <c r="BM700" i="2" s="1"/>
  <c r="BI700" i="2"/>
  <c r="AX774" i="2"/>
  <c r="AY774" i="2"/>
  <c r="AY1011" i="2"/>
  <c r="AX1011" i="2"/>
  <c r="AX781" i="2"/>
  <c r="AY781" i="2"/>
  <c r="AW454" i="2"/>
  <c r="BP357" i="2"/>
  <c r="BQ357" i="2" s="1"/>
  <c r="BY357" i="2" s="1"/>
  <c r="BK357" i="2"/>
  <c r="BL357" i="2" s="1"/>
  <c r="BM357" i="2" s="1"/>
  <c r="BN357" i="2"/>
  <c r="BO357" i="2" s="1"/>
  <c r="BI357" i="2"/>
  <c r="AW796" i="2"/>
  <c r="BP685" i="2"/>
  <c r="BQ685" i="2" s="1"/>
  <c r="BY685" i="2" s="1"/>
  <c r="BN685" i="2"/>
  <c r="BO685" i="2" s="1"/>
  <c r="BK685" i="2"/>
  <c r="BL685" i="2" s="1"/>
  <c r="BM685" i="2" s="1"/>
  <c r="BI685" i="2"/>
  <c r="AX808" i="2"/>
  <c r="AY808" i="2"/>
  <c r="AW462" i="2"/>
  <c r="BN365" i="2"/>
  <c r="BO365" i="2" s="1"/>
  <c r="BP365" i="2"/>
  <c r="BQ365" i="2" s="1"/>
  <c r="BY365" i="2" s="1"/>
  <c r="BK365" i="2"/>
  <c r="BL365" i="2" s="1"/>
  <c r="BM365" i="2" s="1"/>
  <c r="BI365" i="2"/>
  <c r="AX713" i="2"/>
  <c r="AY713" i="2"/>
  <c r="AW477" i="2"/>
  <c r="BP380" i="2"/>
  <c r="BQ380" i="2" s="1"/>
  <c r="BY380" i="2" s="1"/>
  <c r="BN380" i="2"/>
  <c r="BO380" i="2" s="1"/>
  <c r="BK380" i="2"/>
  <c r="BL380" i="2" s="1"/>
  <c r="BM380" i="2" s="1"/>
  <c r="BI380" i="2"/>
  <c r="AW452" i="2"/>
  <c r="BP355" i="2"/>
  <c r="BQ355" i="2" s="1"/>
  <c r="BY355" i="2" s="1"/>
  <c r="BN355" i="2"/>
  <c r="BO355" i="2" s="1"/>
  <c r="BK355" i="2"/>
  <c r="BL355" i="2" s="1"/>
  <c r="BM355" i="2" s="1"/>
  <c r="BI355" i="2"/>
  <c r="AX811" i="2" l="1"/>
  <c r="AY811" i="2"/>
  <c r="AY454" i="2"/>
  <c r="AX454" i="2"/>
  <c r="AY1087" i="2"/>
  <c r="AX1087" i="2"/>
  <c r="AX484" i="2"/>
  <c r="AY484" i="2"/>
  <c r="AX469" i="2"/>
  <c r="AY469" i="2"/>
  <c r="AW547" i="2"/>
  <c r="BP450" i="2"/>
  <c r="BQ450" i="2" s="1"/>
  <c r="BY450" i="2" s="1"/>
  <c r="BN450" i="2"/>
  <c r="BO450" i="2" s="1"/>
  <c r="BK450" i="2"/>
  <c r="BL450" i="2" s="1"/>
  <c r="BM450" i="2" s="1"/>
  <c r="BI450" i="2"/>
  <c r="AW565" i="2"/>
  <c r="BP468" i="2"/>
  <c r="BQ468" i="2" s="1"/>
  <c r="BY468" i="2" s="1"/>
  <c r="BN468" i="2"/>
  <c r="BO468" i="2" s="1"/>
  <c r="BK468" i="2"/>
  <c r="BL468" i="2" s="1"/>
  <c r="BM468" i="2" s="1"/>
  <c r="BI468" i="2"/>
  <c r="AY443" i="2"/>
  <c r="AX443" i="2"/>
  <c r="AW904" i="2"/>
  <c r="AX904" i="2" s="1"/>
  <c r="BN808" i="2"/>
  <c r="BO808" i="2" s="1"/>
  <c r="BP808" i="2"/>
  <c r="BQ808" i="2" s="1"/>
  <c r="BY808" i="2" s="1"/>
  <c r="BK808" i="2"/>
  <c r="BL808" i="2" s="1"/>
  <c r="BM808" i="2" s="1"/>
  <c r="BP781" i="2"/>
  <c r="BQ781" i="2" s="1"/>
  <c r="BY781" i="2" s="1"/>
  <c r="BN781" i="2"/>
  <c r="BO781" i="2" s="1"/>
  <c r="AW878" i="2"/>
  <c r="BK781" i="2"/>
  <c r="BL781" i="2" s="1"/>
  <c r="BM781" i="2" s="1"/>
  <c r="BI781" i="2"/>
  <c r="AX777" i="2"/>
  <c r="AY777" i="2"/>
  <c r="AW578" i="2"/>
  <c r="BP481" i="2"/>
  <c r="BQ481" i="2" s="1"/>
  <c r="BY481" i="2" s="1"/>
  <c r="BN481" i="2"/>
  <c r="BO481" i="2" s="1"/>
  <c r="BK481" i="2"/>
  <c r="BL481" i="2" s="1"/>
  <c r="BM481" i="2" s="1"/>
  <c r="BI481" i="2"/>
  <c r="AW867" i="2"/>
  <c r="BN773" i="2"/>
  <c r="BO773" i="2" s="1"/>
  <c r="BP773" i="2"/>
  <c r="BQ773" i="2" s="1"/>
  <c r="BY773" i="2" s="1"/>
  <c r="BK773" i="2"/>
  <c r="BL773" i="2" s="1"/>
  <c r="BM773" i="2" s="1"/>
  <c r="BI773" i="2"/>
  <c r="AX473" i="2"/>
  <c r="AY473" i="2"/>
  <c r="AW873" i="2"/>
  <c r="BP783" i="2"/>
  <c r="BQ783" i="2" s="1"/>
  <c r="BY783" i="2" s="1"/>
  <c r="BN783" i="2"/>
  <c r="BO783" i="2" s="1"/>
  <c r="BK783" i="2"/>
  <c r="BL783" i="2" s="1"/>
  <c r="BM783" i="2" s="1"/>
  <c r="BI783" i="2"/>
  <c r="AX462" i="2"/>
  <c r="AY462" i="2"/>
  <c r="AX475" i="2"/>
  <c r="AY475" i="2"/>
  <c r="AW817" i="2"/>
  <c r="AX817" i="2" s="1"/>
  <c r="BP708" i="2"/>
  <c r="BQ708" i="2" s="1"/>
  <c r="BY708" i="2" s="1"/>
  <c r="BN708" i="2"/>
  <c r="BO708" i="2" s="1"/>
  <c r="BK708" i="2"/>
  <c r="BL708" i="2" s="1"/>
  <c r="BM708" i="2" s="1"/>
  <c r="BI708" i="2"/>
  <c r="BN1053" i="2"/>
  <c r="BO1053" i="2" s="1"/>
  <c r="BP1053" i="2"/>
  <c r="BQ1053" i="2" s="1"/>
  <c r="BY1053" i="2" s="1"/>
  <c r="BK1053" i="2"/>
  <c r="BL1053" i="2" s="1"/>
  <c r="BM1053" i="2" s="1"/>
  <c r="BI1053" i="2"/>
  <c r="AX448" i="2"/>
  <c r="AY448" i="2"/>
  <c r="AX456" i="2"/>
  <c r="AY456" i="2"/>
  <c r="AX672" i="2"/>
  <c r="AY672" i="2"/>
  <c r="AX723" i="2"/>
  <c r="AY723" i="2"/>
  <c r="AW898" i="2"/>
  <c r="BN807" i="2"/>
  <c r="BO807" i="2" s="1"/>
  <c r="BP807" i="2"/>
  <c r="BQ807" i="2" s="1"/>
  <c r="BY807" i="2" s="1"/>
  <c r="BK807" i="2"/>
  <c r="BL807" i="2" s="1"/>
  <c r="BM807" i="2" s="1"/>
  <c r="BI807" i="2"/>
  <c r="M14" i="4"/>
  <c r="L14" i="4"/>
  <c r="K14" i="4"/>
  <c r="J14" i="4"/>
  <c r="I14" i="4"/>
  <c r="D13" i="4"/>
  <c r="H14" i="4"/>
  <c r="G14" i="4"/>
  <c r="F14" i="4"/>
  <c r="E14" i="4"/>
  <c r="AX472" i="2"/>
  <c r="AY472" i="2"/>
  <c r="BK1060" i="2"/>
  <c r="BL1060" i="2" s="1"/>
  <c r="BM1060" i="2" s="1"/>
  <c r="BP1060" i="2"/>
  <c r="BQ1060" i="2" s="1"/>
  <c r="BY1060" i="2" s="1"/>
  <c r="BN1060" i="2"/>
  <c r="BO1060" i="2" s="1"/>
  <c r="BI1060" i="2"/>
  <c r="AX449" i="2"/>
  <c r="AY449" i="2"/>
  <c r="AW548" i="2"/>
  <c r="BN451" i="2"/>
  <c r="BO451" i="2" s="1"/>
  <c r="BP451" i="2"/>
  <c r="BQ451" i="2" s="1"/>
  <c r="BY451" i="2" s="1"/>
  <c r="BK451" i="2"/>
  <c r="BL451" i="2" s="1"/>
  <c r="BM451" i="2" s="1"/>
  <c r="BI451" i="2"/>
  <c r="AX707" i="2"/>
  <c r="AY707" i="2"/>
  <c r="AX614" i="2"/>
  <c r="AY614" i="2"/>
  <c r="BK614" i="2" s="1"/>
  <c r="BL614" i="2" s="1"/>
  <c r="BM614" i="2" s="1"/>
  <c r="AX1046" i="2"/>
  <c r="AY1046" i="2"/>
  <c r="AX1062" i="2"/>
  <c r="AY1062" i="2"/>
  <c r="BP1011" i="2"/>
  <c r="BQ1011" i="2" s="1"/>
  <c r="BY1011" i="2" s="1"/>
  <c r="BN1011" i="2"/>
  <c r="BO1011" i="2" s="1"/>
  <c r="BK1011" i="2"/>
  <c r="BL1011" i="2" s="1"/>
  <c r="BM1011" i="2" s="1"/>
  <c r="BI1011" i="2"/>
  <c r="BN561" i="2"/>
  <c r="BO561" i="2" s="1"/>
  <c r="AW651" i="2"/>
  <c r="BP561" i="2"/>
  <c r="BQ561" i="2" s="1"/>
  <c r="BY561" i="2" s="1"/>
  <c r="BK561" i="2"/>
  <c r="BL561" i="2" s="1"/>
  <c r="BM561" i="2" s="1"/>
  <c r="AW544" i="2"/>
  <c r="BP447" i="2"/>
  <c r="BQ447" i="2" s="1"/>
  <c r="BY447" i="2" s="1"/>
  <c r="BN447" i="2"/>
  <c r="BO447" i="2" s="1"/>
  <c r="BK447" i="2"/>
  <c r="BL447" i="2" s="1"/>
  <c r="BM447" i="2" s="1"/>
  <c r="BI447" i="2"/>
  <c r="AW563" i="2"/>
  <c r="BP466" i="2"/>
  <c r="BQ466" i="2" s="1"/>
  <c r="BY466" i="2" s="1"/>
  <c r="BN466" i="2"/>
  <c r="BO466" i="2" s="1"/>
  <c r="BK466" i="2"/>
  <c r="BL466" i="2" s="1"/>
  <c r="BM466" i="2" s="1"/>
  <c r="BI466" i="2"/>
  <c r="BN804" i="2"/>
  <c r="BO804" i="2" s="1"/>
  <c r="AW902" i="2"/>
  <c r="BP804" i="2"/>
  <c r="BQ804" i="2" s="1"/>
  <c r="BY804" i="2" s="1"/>
  <c r="BK804" i="2"/>
  <c r="BL804" i="2" s="1"/>
  <c r="BM804" i="2" s="1"/>
  <c r="BI804" i="2"/>
  <c r="AW573" i="2"/>
  <c r="BP476" i="2"/>
  <c r="BQ476" i="2" s="1"/>
  <c r="BY476" i="2" s="1"/>
  <c r="BN476" i="2"/>
  <c r="BO476" i="2" s="1"/>
  <c r="BK476" i="2"/>
  <c r="BL476" i="2" s="1"/>
  <c r="BM476" i="2" s="1"/>
  <c r="BI476" i="2"/>
  <c r="AX460" i="2"/>
  <c r="AY460" i="2"/>
  <c r="AX477" i="2"/>
  <c r="AY477" i="2"/>
  <c r="AW868" i="2"/>
  <c r="BN774" i="2"/>
  <c r="BO774" i="2" s="1"/>
  <c r="BP774" i="2"/>
  <c r="BQ774" i="2" s="1"/>
  <c r="BY774" i="2" s="1"/>
  <c r="BK774" i="2"/>
  <c r="BL774" i="2" s="1"/>
  <c r="BM774" i="2" s="1"/>
  <c r="BI774" i="2"/>
  <c r="AX453" i="2"/>
  <c r="AY453" i="2"/>
  <c r="AY480" i="2"/>
  <c r="AX480" i="2"/>
  <c r="AY463" i="2"/>
  <c r="AX463" i="2"/>
  <c r="AX444" i="2"/>
  <c r="AY444" i="2"/>
  <c r="AW532" i="2"/>
  <c r="BK435" i="2"/>
  <c r="BL435" i="2" s="1"/>
  <c r="BM435" i="2" s="1"/>
  <c r="AW537" i="2"/>
  <c r="BN440" i="2"/>
  <c r="BO440" i="2" s="1"/>
  <c r="BP440" i="2"/>
  <c r="BQ440" i="2" s="1"/>
  <c r="BY440" i="2" s="1"/>
  <c r="BK440" i="2"/>
  <c r="BL440" i="2" s="1"/>
  <c r="BM440" i="2" s="1"/>
  <c r="BI440" i="2"/>
  <c r="AW947" i="2"/>
  <c r="BP905" i="2"/>
  <c r="BQ905" i="2" s="1"/>
  <c r="BY905" i="2" s="1"/>
  <c r="BN905" i="2"/>
  <c r="BO905" i="2" s="1"/>
  <c r="BK905" i="2"/>
  <c r="BL905" i="2" s="1"/>
  <c r="BM905" i="2" s="1"/>
  <c r="AX805" i="2"/>
  <c r="AY805" i="2"/>
  <c r="AX483" i="2"/>
  <c r="AY483" i="2"/>
  <c r="AW886" i="2"/>
  <c r="BN795" i="2"/>
  <c r="BO795" i="2" s="1"/>
  <c r="BP795" i="2"/>
  <c r="BQ795" i="2" s="1"/>
  <c r="BY795" i="2" s="1"/>
  <c r="BK795" i="2"/>
  <c r="BL795" i="2" s="1"/>
  <c r="BM795" i="2" s="1"/>
  <c r="BI795" i="2"/>
  <c r="AX718" i="2"/>
  <c r="AY718" i="2"/>
  <c r="AX775" i="2"/>
  <c r="AY775" i="2"/>
  <c r="AW770" i="2"/>
  <c r="BP713" i="2"/>
  <c r="BQ713" i="2" s="1"/>
  <c r="BY713" i="2" s="1"/>
  <c r="BN713" i="2"/>
  <c r="BO713" i="2" s="1"/>
  <c r="BK713" i="2"/>
  <c r="BL713" i="2" s="1"/>
  <c r="BM713" i="2" s="1"/>
  <c r="BI713" i="2"/>
  <c r="AX552" i="2"/>
  <c r="AY552" i="2"/>
  <c r="AW877" i="2"/>
  <c r="BP785" i="2"/>
  <c r="BQ785" i="2" s="1"/>
  <c r="BY785" i="2" s="1"/>
  <c r="BN785" i="2"/>
  <c r="BO785" i="2" s="1"/>
  <c r="BK785" i="2"/>
  <c r="BL785" i="2" s="1"/>
  <c r="BM785" i="2" s="1"/>
  <c r="BI785" i="2"/>
  <c r="AW582" i="2"/>
  <c r="BP485" i="2"/>
  <c r="BQ485" i="2" s="1"/>
  <c r="BY485" i="2" s="1"/>
  <c r="BN485" i="2"/>
  <c r="BO485" i="2" s="1"/>
  <c r="BK485" i="2"/>
  <c r="BL485" i="2" s="1"/>
  <c r="BM485" i="2" s="1"/>
  <c r="AX555" i="2"/>
  <c r="AY555" i="2"/>
  <c r="AW571" i="2"/>
  <c r="BP474" i="2"/>
  <c r="BQ474" i="2" s="1"/>
  <c r="BY474" i="2" s="1"/>
  <c r="BN474" i="2"/>
  <c r="BO474" i="2" s="1"/>
  <c r="BK474" i="2"/>
  <c r="BL474" i="2" s="1"/>
  <c r="BM474" i="2" s="1"/>
  <c r="BI474" i="2"/>
  <c r="AW864" i="2"/>
  <c r="BP772" i="2"/>
  <c r="BQ772" i="2" s="1"/>
  <c r="BY772" i="2" s="1"/>
  <c r="BN772" i="2"/>
  <c r="BO772" i="2" s="1"/>
  <c r="BK772" i="2"/>
  <c r="BL772" i="2" s="1"/>
  <c r="BM772" i="2" s="1"/>
  <c r="BI772" i="2"/>
  <c r="AW874" i="2"/>
  <c r="BN791" i="2"/>
  <c r="BO791" i="2" s="1"/>
  <c r="BP791" i="2"/>
  <c r="BQ791" i="2" s="1"/>
  <c r="BY791" i="2" s="1"/>
  <c r="BK791" i="2"/>
  <c r="BL791" i="2" s="1"/>
  <c r="BM791" i="2" s="1"/>
  <c r="BI791" i="2"/>
  <c r="BP471" i="2"/>
  <c r="BQ471" i="2" s="1"/>
  <c r="BY471" i="2" s="1"/>
  <c r="AW568" i="2"/>
  <c r="BN471" i="2"/>
  <c r="BO471" i="2" s="1"/>
  <c r="BK471" i="2"/>
  <c r="BL471" i="2" s="1"/>
  <c r="BM471" i="2" s="1"/>
  <c r="BI471" i="2"/>
  <c r="K70" i="3"/>
  <c r="BP1070" i="2"/>
  <c r="BQ1070" i="2" s="1"/>
  <c r="BY1070" i="2" s="1"/>
  <c r="BN1070" i="2"/>
  <c r="BO1070" i="2" s="1"/>
  <c r="BK1070" i="2"/>
  <c r="BL1070" i="2" s="1"/>
  <c r="BM1070" i="2" s="1"/>
  <c r="BI1070" i="2"/>
  <c r="AX1065" i="2"/>
  <c r="AY1065" i="2"/>
  <c r="AX442" i="2"/>
  <c r="AY442" i="2"/>
  <c r="AW891" i="2"/>
  <c r="BP809" i="2"/>
  <c r="BQ809" i="2" s="1"/>
  <c r="BY809" i="2" s="1"/>
  <c r="BN809" i="2"/>
  <c r="BO809" i="2" s="1"/>
  <c r="BK809" i="2"/>
  <c r="BL809" i="2" s="1"/>
  <c r="BM809" i="2" s="1"/>
  <c r="BI809" i="2"/>
  <c r="AX796" i="2"/>
  <c r="AY796" i="2"/>
  <c r="AX1024" i="2"/>
  <c r="AY1024" i="2"/>
  <c r="AW871" i="2"/>
  <c r="BP782" i="2"/>
  <c r="BQ782" i="2" s="1"/>
  <c r="BY782" i="2" s="1"/>
  <c r="BN782" i="2"/>
  <c r="BO782" i="2" s="1"/>
  <c r="BK782" i="2"/>
  <c r="BL782" i="2" s="1"/>
  <c r="BM782" i="2" s="1"/>
  <c r="BI782" i="2"/>
  <c r="AW542" i="2"/>
  <c r="BP445" i="2"/>
  <c r="BQ445" i="2" s="1"/>
  <c r="BY445" i="2" s="1"/>
  <c r="BN445" i="2"/>
  <c r="BO445" i="2" s="1"/>
  <c r="BK445" i="2"/>
  <c r="BL445" i="2" s="1"/>
  <c r="BM445" i="2" s="1"/>
  <c r="BI445" i="2"/>
  <c r="BP441" i="2"/>
  <c r="BQ441" i="2" s="1"/>
  <c r="BY441" i="2" s="1"/>
  <c r="AW538" i="2"/>
  <c r="BN441" i="2"/>
  <c r="BO441" i="2" s="1"/>
  <c r="BK441" i="2"/>
  <c r="BL441" i="2" s="1"/>
  <c r="BM441" i="2" s="1"/>
  <c r="BI441" i="2"/>
  <c r="AX461" i="2"/>
  <c r="AY461" i="2"/>
  <c r="L109" i="4"/>
  <c r="K109" i="4"/>
  <c r="J109" i="4"/>
  <c r="I109" i="4"/>
  <c r="H109" i="4"/>
  <c r="G109" i="4"/>
  <c r="F109" i="4"/>
  <c r="E109" i="4"/>
  <c r="D108" i="4"/>
  <c r="AW866" i="2"/>
  <c r="BP778" i="2"/>
  <c r="BQ778" i="2" s="1"/>
  <c r="BY778" i="2" s="1"/>
  <c r="BN778" i="2"/>
  <c r="BO778" i="2" s="1"/>
  <c r="BK778" i="2"/>
  <c r="BL778" i="2" s="1"/>
  <c r="BM778" i="2" s="1"/>
  <c r="BI778" i="2"/>
  <c r="AX521" i="2"/>
  <c r="AY521" i="2"/>
  <c r="BP1078" i="2"/>
  <c r="BQ1078" i="2" s="1"/>
  <c r="BY1078" i="2" s="1"/>
  <c r="BN1078" i="2"/>
  <c r="BO1078" i="2" s="1"/>
  <c r="BK1078" i="2"/>
  <c r="BL1078" i="2" s="1"/>
  <c r="BM1078" i="2" s="1"/>
  <c r="BI1078" i="2"/>
  <c r="BN1048" i="2"/>
  <c r="BO1048" i="2" s="1"/>
  <c r="BP1048" i="2"/>
  <c r="BQ1048" i="2" s="1"/>
  <c r="BY1048" i="2" s="1"/>
  <c r="BK1048" i="2"/>
  <c r="BL1048" i="2" s="1"/>
  <c r="BM1048" i="2" s="1"/>
  <c r="BI1048" i="2"/>
  <c r="AX800" i="2"/>
  <c r="AY800" i="2"/>
  <c r="Q15" i="4"/>
  <c r="H78" i="4"/>
  <c r="G78" i="4"/>
  <c r="F78" i="4"/>
  <c r="E77" i="4"/>
  <c r="L78" i="4"/>
  <c r="K78" i="4"/>
  <c r="J78" i="4"/>
  <c r="I78" i="4"/>
  <c r="AW883" i="2"/>
  <c r="BN798" i="2"/>
  <c r="BO798" i="2" s="1"/>
  <c r="BP798" i="2"/>
  <c r="BQ798" i="2" s="1"/>
  <c r="BY798" i="2" s="1"/>
  <c r="BK798" i="2"/>
  <c r="BL798" i="2" s="1"/>
  <c r="BM798" i="2" s="1"/>
  <c r="BI798" i="2"/>
  <c r="AX478" i="2"/>
  <c r="AY478" i="2"/>
  <c r="AW885" i="2"/>
  <c r="BP789" i="2"/>
  <c r="BQ789" i="2" s="1"/>
  <c r="BY789" i="2" s="1"/>
  <c r="BN789" i="2"/>
  <c r="BO789" i="2" s="1"/>
  <c r="BK789" i="2"/>
  <c r="BL789" i="2" s="1"/>
  <c r="BM789" i="2" s="1"/>
  <c r="BI789" i="2"/>
  <c r="AW888" i="2"/>
  <c r="BP797" i="2"/>
  <c r="BQ797" i="2" s="1"/>
  <c r="BY797" i="2" s="1"/>
  <c r="BN797" i="2"/>
  <c r="BO797" i="2" s="1"/>
  <c r="BK797" i="2"/>
  <c r="BL797" i="2" s="1"/>
  <c r="BM797" i="2" s="1"/>
  <c r="BI797" i="2"/>
  <c r="AX787" i="2"/>
  <c r="AY787" i="2"/>
  <c r="AX479" i="2"/>
  <c r="AY479" i="2"/>
  <c r="AX508" i="2"/>
  <c r="AY508" i="2"/>
  <c r="AX502" i="2"/>
  <c r="AY502" i="2"/>
  <c r="AX486" i="2"/>
  <c r="AY486" i="2"/>
  <c r="AW897" i="2"/>
  <c r="BP810" i="2"/>
  <c r="BQ810" i="2" s="1"/>
  <c r="BY810" i="2" s="1"/>
  <c r="BN810" i="2"/>
  <c r="BO810" i="2" s="1"/>
  <c r="BI810" i="2"/>
  <c r="BK810" i="2"/>
  <c r="BL810" i="2" s="1"/>
  <c r="BM810" i="2" s="1"/>
  <c r="BN1096" i="2"/>
  <c r="BO1096" i="2" s="1"/>
  <c r="BP1096" i="2"/>
  <c r="BQ1096" i="2" s="1"/>
  <c r="BY1096" i="2" s="1"/>
  <c r="BK1096" i="2"/>
  <c r="BL1096" i="2" s="1"/>
  <c r="BM1096" i="2" s="1"/>
  <c r="BI1096" i="2"/>
  <c r="AX1082" i="2"/>
  <c r="AY1082" i="2"/>
  <c r="AX802" i="2"/>
  <c r="AY802" i="2"/>
  <c r="BP467" i="2"/>
  <c r="BQ467" i="2" s="1"/>
  <c r="BY467" i="2" s="1"/>
  <c r="AW564" i="2"/>
  <c r="BN467" i="2"/>
  <c r="BO467" i="2" s="1"/>
  <c r="BK467" i="2"/>
  <c r="BL467" i="2" s="1"/>
  <c r="BM467" i="2" s="1"/>
  <c r="BI467" i="2"/>
  <c r="AX452" i="2"/>
  <c r="AY452" i="2"/>
  <c r="AX465" i="2"/>
  <c r="AY465" i="2"/>
  <c r="AX812" i="2"/>
  <c r="AY812" i="2"/>
  <c r="AX1090" i="2"/>
  <c r="AY1090" i="2"/>
  <c r="AW909" i="2"/>
  <c r="AX909" i="2" s="1"/>
  <c r="BP819" i="2"/>
  <c r="BQ819" i="2" s="1"/>
  <c r="BY819" i="2" s="1"/>
  <c r="BK819" i="2"/>
  <c r="BL819" i="2" s="1"/>
  <c r="BM819" i="2" s="1"/>
  <c r="BN819" i="2"/>
  <c r="BO819" i="2" s="1"/>
  <c r="AX1041" i="2"/>
  <c r="AY1041" i="2"/>
  <c r="AW543" i="2"/>
  <c r="BP446" i="2"/>
  <c r="BQ446" i="2" s="1"/>
  <c r="BY446" i="2" s="1"/>
  <c r="BN446" i="2"/>
  <c r="BO446" i="2" s="1"/>
  <c r="BK446" i="2"/>
  <c r="BL446" i="2" s="1"/>
  <c r="BM446" i="2" s="1"/>
  <c r="AX792" i="2"/>
  <c r="AY792" i="2"/>
  <c r="AX457" i="2"/>
  <c r="AY457" i="2"/>
  <c r="AW869" i="2"/>
  <c r="BN776" i="2"/>
  <c r="BO776" i="2" s="1"/>
  <c r="BP776" i="2"/>
  <c r="BQ776" i="2" s="1"/>
  <c r="BY776" i="2" s="1"/>
  <c r="BK776" i="2"/>
  <c r="BL776" i="2" s="1"/>
  <c r="BM776" i="2" s="1"/>
  <c r="BI776" i="2"/>
  <c r="J34" i="3" l="1"/>
  <c r="AW900" i="2"/>
  <c r="BK811" i="2"/>
  <c r="BL811" i="2" s="1"/>
  <c r="BM811" i="2" s="1"/>
  <c r="AX543" i="2"/>
  <c r="AY543" i="2"/>
  <c r="AX891" i="2"/>
  <c r="AY891" i="2"/>
  <c r="AX582" i="2"/>
  <c r="AY582" i="2"/>
  <c r="AX770" i="2"/>
  <c r="AY770" i="2"/>
  <c r="AW895" i="2"/>
  <c r="BN805" i="2"/>
  <c r="BO805" i="2" s="1"/>
  <c r="BP805" i="2"/>
  <c r="BQ805" i="2" s="1"/>
  <c r="BY805" i="2" s="1"/>
  <c r="BK805" i="2"/>
  <c r="BL805" i="2" s="1"/>
  <c r="BM805" i="2" s="1"/>
  <c r="BI805" i="2"/>
  <c r="AX573" i="2"/>
  <c r="AY573" i="2"/>
  <c r="BN1041" i="2"/>
  <c r="BO1041" i="2" s="1"/>
  <c r="BP1041" i="2"/>
  <c r="BQ1041" i="2" s="1"/>
  <c r="BY1041" i="2" s="1"/>
  <c r="BK1041" i="2"/>
  <c r="BL1041" i="2" s="1"/>
  <c r="BM1041" i="2" s="1"/>
  <c r="BI1041" i="2"/>
  <c r="AW549" i="2"/>
  <c r="BP452" i="2"/>
  <c r="BQ452" i="2" s="1"/>
  <c r="BY452" i="2" s="1"/>
  <c r="BN452" i="2"/>
  <c r="BO452" i="2" s="1"/>
  <c r="BK452" i="2"/>
  <c r="BL452" i="2" s="1"/>
  <c r="BM452" i="2" s="1"/>
  <c r="BI452" i="2"/>
  <c r="AW605" i="2"/>
  <c r="BP508" i="2"/>
  <c r="BQ508" i="2" s="1"/>
  <c r="BY508" i="2" s="1"/>
  <c r="BN508" i="2"/>
  <c r="BO508" i="2" s="1"/>
  <c r="BK508" i="2"/>
  <c r="BL508" i="2" s="1"/>
  <c r="BM508" i="2" s="1"/>
  <c r="BI508" i="2"/>
  <c r="AX866" i="2"/>
  <c r="AY866" i="2"/>
  <c r="AW539" i="2"/>
  <c r="BN442" i="2"/>
  <c r="BO442" i="2" s="1"/>
  <c r="BP442" i="2"/>
  <c r="BQ442" i="2" s="1"/>
  <c r="BY442" i="2" s="1"/>
  <c r="BK442" i="2"/>
  <c r="BL442" i="2" s="1"/>
  <c r="BM442" i="2" s="1"/>
  <c r="BI442" i="2"/>
  <c r="AX568" i="2"/>
  <c r="AY568" i="2"/>
  <c r="AX864" i="2"/>
  <c r="AY864" i="2"/>
  <c r="AW865" i="2"/>
  <c r="BP775" i="2"/>
  <c r="BQ775" i="2" s="1"/>
  <c r="BY775" i="2" s="1"/>
  <c r="BN775" i="2"/>
  <c r="BO775" i="2" s="1"/>
  <c r="BK775" i="2"/>
  <c r="BL775" i="2" s="1"/>
  <c r="BM775" i="2" s="1"/>
  <c r="BI775" i="2"/>
  <c r="AX898" i="2"/>
  <c r="AY898" i="2"/>
  <c r="AX532" i="2"/>
  <c r="AY532" i="2"/>
  <c r="J70" i="3" s="1"/>
  <c r="BP1062" i="2"/>
  <c r="BQ1062" i="2" s="1"/>
  <c r="BY1062" i="2" s="1"/>
  <c r="BN1062" i="2"/>
  <c r="BO1062" i="2" s="1"/>
  <c r="BK1062" i="2"/>
  <c r="BL1062" i="2" s="1"/>
  <c r="BM1062" i="2" s="1"/>
  <c r="BI1062" i="2"/>
  <c r="AX548" i="2"/>
  <c r="AY548" i="2"/>
  <c r="AW765" i="2"/>
  <c r="BP723" i="2"/>
  <c r="BQ723" i="2" s="1"/>
  <c r="BY723" i="2" s="1"/>
  <c r="BN723" i="2"/>
  <c r="BO723" i="2" s="1"/>
  <c r="BK723" i="2"/>
  <c r="BL723" i="2" s="1"/>
  <c r="BM723" i="2" s="1"/>
  <c r="BI723" i="2"/>
  <c r="AX547" i="2"/>
  <c r="AY547" i="2"/>
  <c r="AX578" i="2"/>
  <c r="AY578" i="2"/>
  <c r="AW566" i="2"/>
  <c r="BP469" i="2"/>
  <c r="BQ469" i="2" s="1"/>
  <c r="BY469" i="2" s="1"/>
  <c r="BN469" i="2"/>
  <c r="BO469" i="2" s="1"/>
  <c r="BK469" i="2"/>
  <c r="BL469" i="2" s="1"/>
  <c r="BM469" i="2" s="1"/>
  <c r="BI469" i="2"/>
  <c r="AW899" i="2"/>
  <c r="BN812" i="2"/>
  <c r="BO812" i="2" s="1"/>
  <c r="BP812" i="2"/>
  <c r="BQ812" i="2" s="1"/>
  <c r="BY812" i="2" s="1"/>
  <c r="BK812" i="2"/>
  <c r="BL812" i="2" s="1"/>
  <c r="BM812" i="2" s="1"/>
  <c r="BI812" i="2"/>
  <c r="L108" i="4"/>
  <c r="K108" i="4"/>
  <c r="J108" i="4"/>
  <c r="I108" i="4"/>
  <c r="H108" i="4"/>
  <c r="G108" i="4"/>
  <c r="D107" i="4"/>
  <c r="F108" i="4"/>
  <c r="E108" i="4"/>
  <c r="AX869" i="2"/>
  <c r="AY869" i="2"/>
  <c r="AX885" i="2"/>
  <c r="AY885" i="2"/>
  <c r="L77" i="4"/>
  <c r="K77" i="4"/>
  <c r="J77" i="4"/>
  <c r="G77" i="4"/>
  <c r="F77" i="4"/>
  <c r="E76" i="4"/>
  <c r="I77" i="4"/>
  <c r="H77" i="4"/>
  <c r="AX538" i="2"/>
  <c r="AY538" i="2"/>
  <c r="BP1024" i="2"/>
  <c r="BQ1024" i="2" s="1"/>
  <c r="BY1024" i="2" s="1"/>
  <c r="BN1024" i="2"/>
  <c r="BO1024" i="2" s="1"/>
  <c r="BK1024" i="2"/>
  <c r="BL1024" i="2" s="1"/>
  <c r="BM1024" i="2" s="1"/>
  <c r="BI1024" i="2"/>
  <c r="AW574" i="2"/>
  <c r="BP477" i="2"/>
  <c r="BQ477" i="2" s="1"/>
  <c r="BY477" i="2" s="1"/>
  <c r="BN477" i="2"/>
  <c r="BO477" i="2" s="1"/>
  <c r="BK477" i="2"/>
  <c r="BL477" i="2" s="1"/>
  <c r="BM477" i="2" s="1"/>
  <c r="BI477" i="2"/>
  <c r="AX902" i="2"/>
  <c r="AY902" i="2"/>
  <c r="BP1046" i="2"/>
  <c r="BQ1046" i="2" s="1"/>
  <c r="BY1046" i="2" s="1"/>
  <c r="BN1046" i="2"/>
  <c r="BO1046" i="2" s="1"/>
  <c r="BK1046" i="2"/>
  <c r="BL1046" i="2" s="1"/>
  <c r="BM1046" i="2" s="1"/>
  <c r="BI1046" i="2"/>
  <c r="AW784" i="2"/>
  <c r="BP672" i="2"/>
  <c r="BQ672" i="2" s="1"/>
  <c r="BY672" i="2" s="1"/>
  <c r="BN672" i="2"/>
  <c r="BO672" i="2" s="1"/>
  <c r="BK672" i="2"/>
  <c r="BL672" i="2" s="1"/>
  <c r="BM672" i="2" s="1"/>
  <c r="BI672" i="2"/>
  <c r="BP473" i="2"/>
  <c r="BQ473" i="2" s="1"/>
  <c r="BY473" i="2" s="1"/>
  <c r="AW570" i="2"/>
  <c r="BN473" i="2"/>
  <c r="BO473" i="2" s="1"/>
  <c r="BK473" i="2"/>
  <c r="BL473" i="2" s="1"/>
  <c r="BM473" i="2" s="1"/>
  <c r="BI473" i="2"/>
  <c r="AW879" i="2"/>
  <c r="BN777" i="2"/>
  <c r="BO777" i="2" s="1"/>
  <c r="BP777" i="2"/>
  <c r="BQ777" i="2" s="1"/>
  <c r="BY777" i="2" s="1"/>
  <c r="BK777" i="2"/>
  <c r="BL777" i="2" s="1"/>
  <c r="BM777" i="2" s="1"/>
  <c r="BI777" i="2"/>
  <c r="BP443" i="2"/>
  <c r="BQ443" i="2" s="1"/>
  <c r="BY443" i="2" s="1"/>
  <c r="AW540" i="2"/>
  <c r="BN443" i="2"/>
  <c r="BO443" i="2" s="1"/>
  <c r="BK443" i="2"/>
  <c r="BL443" i="2" s="1"/>
  <c r="BM443" i="2" s="1"/>
  <c r="BI443" i="2"/>
  <c r="AW541" i="2"/>
  <c r="BN444" i="2"/>
  <c r="BO444" i="2" s="1"/>
  <c r="BP444" i="2"/>
  <c r="BQ444" i="2" s="1"/>
  <c r="BY444" i="2" s="1"/>
  <c r="BK444" i="2"/>
  <c r="BL444" i="2" s="1"/>
  <c r="BM444" i="2" s="1"/>
  <c r="BI444" i="2"/>
  <c r="AW554" i="2"/>
  <c r="BP457" i="2"/>
  <c r="BQ457" i="2" s="1"/>
  <c r="BY457" i="2" s="1"/>
  <c r="BN457" i="2"/>
  <c r="BO457" i="2" s="1"/>
  <c r="BK457" i="2"/>
  <c r="BL457" i="2" s="1"/>
  <c r="BM457" i="2" s="1"/>
  <c r="BI457" i="2"/>
  <c r="AW880" i="2"/>
  <c r="BP787" i="2"/>
  <c r="BQ787" i="2" s="1"/>
  <c r="BY787" i="2" s="1"/>
  <c r="BN787" i="2"/>
  <c r="BO787" i="2" s="1"/>
  <c r="BK787" i="2"/>
  <c r="BL787" i="2" s="1"/>
  <c r="BM787" i="2" s="1"/>
  <c r="BI787" i="2"/>
  <c r="AW575" i="2"/>
  <c r="BP478" i="2"/>
  <c r="BQ478" i="2" s="1"/>
  <c r="BY478" i="2" s="1"/>
  <c r="BN478" i="2"/>
  <c r="BO478" i="2" s="1"/>
  <c r="BK478" i="2"/>
  <c r="BL478" i="2" s="1"/>
  <c r="BM478" i="2" s="1"/>
  <c r="BI478" i="2"/>
  <c r="AX877" i="2"/>
  <c r="AY877" i="2"/>
  <c r="AX947" i="2"/>
  <c r="AY947" i="2"/>
  <c r="Q14" i="4"/>
  <c r="AW581" i="2"/>
  <c r="BP484" i="2"/>
  <c r="BQ484" i="2" s="1"/>
  <c r="BY484" i="2" s="1"/>
  <c r="BN484" i="2"/>
  <c r="BO484" i="2" s="1"/>
  <c r="BK484" i="2"/>
  <c r="BL484" i="2" s="1"/>
  <c r="BM484" i="2" s="1"/>
  <c r="AW583" i="2"/>
  <c r="BK486" i="2"/>
  <c r="BL486" i="2" s="1"/>
  <c r="BM486" i="2" s="1"/>
  <c r="AW576" i="2"/>
  <c r="BN479" i="2"/>
  <c r="BO479" i="2" s="1"/>
  <c r="BP479" i="2"/>
  <c r="BQ479" i="2" s="1"/>
  <c r="BY479" i="2" s="1"/>
  <c r="BK479" i="2"/>
  <c r="BL479" i="2" s="1"/>
  <c r="BM479" i="2" s="1"/>
  <c r="BI479" i="2"/>
  <c r="BN1065" i="2"/>
  <c r="BO1065" i="2" s="1"/>
  <c r="BP1065" i="2"/>
  <c r="BQ1065" i="2" s="1"/>
  <c r="BY1065" i="2" s="1"/>
  <c r="BK1065" i="2"/>
  <c r="BL1065" i="2" s="1"/>
  <c r="BM1065" i="2" s="1"/>
  <c r="BI1065" i="2"/>
  <c r="AW760" i="2"/>
  <c r="BP718" i="2"/>
  <c r="BQ718" i="2" s="1"/>
  <c r="BY718" i="2" s="1"/>
  <c r="BN718" i="2"/>
  <c r="BO718" i="2" s="1"/>
  <c r="BK718" i="2"/>
  <c r="BL718" i="2" s="1"/>
  <c r="BM718" i="2" s="1"/>
  <c r="AX544" i="2"/>
  <c r="AY544" i="2"/>
  <c r="AW546" i="2"/>
  <c r="BN449" i="2"/>
  <c r="BO449" i="2" s="1"/>
  <c r="BP449" i="2"/>
  <c r="BQ449" i="2" s="1"/>
  <c r="BY449" i="2" s="1"/>
  <c r="BK449" i="2"/>
  <c r="BL449" i="2" s="1"/>
  <c r="BM449" i="2" s="1"/>
  <c r="BI449" i="2"/>
  <c r="M13" i="4"/>
  <c r="L13" i="4"/>
  <c r="K13" i="4"/>
  <c r="J13" i="4"/>
  <c r="I13" i="4"/>
  <c r="F13" i="4"/>
  <c r="E13" i="4"/>
  <c r="D12" i="4"/>
  <c r="H13" i="4"/>
  <c r="G13" i="4"/>
  <c r="AY564" i="2"/>
  <c r="AX564" i="2"/>
  <c r="AW882" i="2"/>
  <c r="BP796" i="2"/>
  <c r="BQ796" i="2" s="1"/>
  <c r="BY796" i="2" s="1"/>
  <c r="BN796" i="2"/>
  <c r="BO796" i="2" s="1"/>
  <c r="BK796" i="2"/>
  <c r="BL796" i="2" s="1"/>
  <c r="BM796" i="2" s="1"/>
  <c r="BI796" i="2"/>
  <c r="AX571" i="2"/>
  <c r="AY571" i="2"/>
  <c r="AW657" i="2"/>
  <c r="BK552" i="2"/>
  <c r="BL552" i="2" s="1"/>
  <c r="BM552" i="2" s="1"/>
  <c r="AW560" i="2"/>
  <c r="BN463" i="2"/>
  <c r="BO463" i="2" s="1"/>
  <c r="BP463" i="2"/>
  <c r="BQ463" i="2" s="1"/>
  <c r="BY463" i="2" s="1"/>
  <c r="BK463" i="2"/>
  <c r="BL463" i="2" s="1"/>
  <c r="BM463" i="2" s="1"/>
  <c r="BI463" i="2"/>
  <c r="AW557" i="2"/>
  <c r="BN460" i="2"/>
  <c r="BO460" i="2" s="1"/>
  <c r="BP460" i="2"/>
  <c r="BQ460" i="2" s="1"/>
  <c r="BY460" i="2" s="1"/>
  <c r="BK460" i="2"/>
  <c r="BL460" i="2" s="1"/>
  <c r="BM460" i="2" s="1"/>
  <c r="AX651" i="2"/>
  <c r="AY651" i="2"/>
  <c r="AW553" i="2"/>
  <c r="BP456" i="2"/>
  <c r="BQ456" i="2" s="1"/>
  <c r="BY456" i="2" s="1"/>
  <c r="BN456" i="2"/>
  <c r="BO456" i="2" s="1"/>
  <c r="BK456" i="2"/>
  <c r="BL456" i="2" s="1"/>
  <c r="BM456" i="2" s="1"/>
  <c r="BI456" i="2"/>
  <c r="AX871" i="2"/>
  <c r="AY871" i="2"/>
  <c r="AX868" i="2"/>
  <c r="AY868" i="2"/>
  <c r="AX873" i="2"/>
  <c r="AY873" i="2"/>
  <c r="AW887" i="2"/>
  <c r="BN792" i="2"/>
  <c r="BO792" i="2" s="1"/>
  <c r="BP792" i="2"/>
  <c r="BQ792" i="2" s="1"/>
  <c r="BY792" i="2" s="1"/>
  <c r="BK792" i="2"/>
  <c r="BL792" i="2" s="1"/>
  <c r="BM792" i="2" s="1"/>
  <c r="BI792" i="2"/>
  <c r="BP1090" i="2"/>
  <c r="BQ1090" i="2" s="1"/>
  <c r="BY1090" i="2" s="1"/>
  <c r="BN1090" i="2"/>
  <c r="BO1090" i="2" s="1"/>
  <c r="BK1090" i="2"/>
  <c r="BL1090" i="2" s="1"/>
  <c r="BM1090" i="2" s="1"/>
  <c r="BI1090" i="2"/>
  <c r="AW618" i="2"/>
  <c r="BK521" i="2"/>
  <c r="BL521" i="2" s="1"/>
  <c r="BM521" i="2" s="1"/>
  <c r="AX874" i="2"/>
  <c r="AY874" i="2"/>
  <c r="AW653" i="2"/>
  <c r="BP555" i="2"/>
  <c r="BQ555" i="2" s="1"/>
  <c r="BY555" i="2" s="1"/>
  <c r="BN555" i="2"/>
  <c r="BO555" i="2" s="1"/>
  <c r="BK555" i="2"/>
  <c r="BL555" i="2" s="1"/>
  <c r="BM555" i="2" s="1"/>
  <c r="BI555" i="2"/>
  <c r="AW572" i="2"/>
  <c r="BP475" i="2"/>
  <c r="BQ475" i="2" s="1"/>
  <c r="BY475" i="2" s="1"/>
  <c r="BN475" i="2"/>
  <c r="BO475" i="2" s="1"/>
  <c r="BK475" i="2"/>
  <c r="BL475" i="2" s="1"/>
  <c r="BM475" i="2" s="1"/>
  <c r="BI475" i="2"/>
  <c r="AY897" i="2"/>
  <c r="AX897" i="2"/>
  <c r="AW577" i="2"/>
  <c r="BP480" i="2"/>
  <c r="BQ480" i="2" s="1"/>
  <c r="BY480" i="2" s="1"/>
  <c r="BN480" i="2"/>
  <c r="BO480" i="2" s="1"/>
  <c r="BK480" i="2"/>
  <c r="BL480" i="2" s="1"/>
  <c r="BM480" i="2" s="1"/>
  <c r="BI480" i="2"/>
  <c r="AW816" i="2"/>
  <c r="BN707" i="2"/>
  <c r="BO707" i="2" s="1"/>
  <c r="BP707" i="2"/>
  <c r="BQ707" i="2" s="1"/>
  <c r="BY707" i="2" s="1"/>
  <c r="BK707" i="2"/>
  <c r="BL707" i="2" s="1"/>
  <c r="BM707" i="2" s="1"/>
  <c r="AW545" i="2"/>
  <c r="BN448" i="2"/>
  <c r="BO448" i="2" s="1"/>
  <c r="BP448" i="2"/>
  <c r="BQ448" i="2" s="1"/>
  <c r="BY448" i="2" s="1"/>
  <c r="BK448" i="2"/>
  <c r="BL448" i="2" s="1"/>
  <c r="BM448" i="2" s="1"/>
  <c r="BI448" i="2"/>
  <c r="AX878" i="2"/>
  <c r="AY878" i="2"/>
  <c r="BP1087" i="2"/>
  <c r="BQ1087" i="2" s="1"/>
  <c r="BY1087" i="2" s="1"/>
  <c r="BN1087" i="2"/>
  <c r="BO1087" i="2" s="1"/>
  <c r="BK1087" i="2"/>
  <c r="BL1087" i="2" s="1"/>
  <c r="BM1087" i="2" s="1"/>
  <c r="BI1087" i="2"/>
  <c r="AX886" i="2"/>
  <c r="AY886" i="2"/>
  <c r="AW550" i="2"/>
  <c r="BP453" i="2"/>
  <c r="BQ453" i="2" s="1"/>
  <c r="BY453" i="2" s="1"/>
  <c r="BN453" i="2"/>
  <c r="BO453" i="2" s="1"/>
  <c r="BK453" i="2"/>
  <c r="BL453" i="2" s="1"/>
  <c r="BM453" i="2" s="1"/>
  <c r="BI453" i="2"/>
  <c r="AW569" i="2"/>
  <c r="BP472" i="2"/>
  <c r="BQ472" i="2" s="1"/>
  <c r="BY472" i="2" s="1"/>
  <c r="BN472" i="2"/>
  <c r="BO472" i="2" s="1"/>
  <c r="BK472" i="2"/>
  <c r="BL472" i="2" s="1"/>
  <c r="BM472" i="2" s="1"/>
  <c r="BI472" i="2"/>
  <c r="AW559" i="2"/>
  <c r="BP462" i="2"/>
  <c r="BQ462" i="2" s="1"/>
  <c r="BY462" i="2" s="1"/>
  <c r="BN462" i="2"/>
  <c r="BO462" i="2" s="1"/>
  <c r="BK462" i="2"/>
  <c r="BL462" i="2" s="1"/>
  <c r="BM462" i="2" s="1"/>
  <c r="BI462" i="2"/>
  <c r="AY565" i="2"/>
  <c r="AX565" i="2"/>
  <c r="AX563" i="2"/>
  <c r="AY563" i="2"/>
  <c r="AX867" i="2"/>
  <c r="AY867" i="2"/>
  <c r="AW901" i="2"/>
  <c r="BP802" i="2"/>
  <c r="BQ802" i="2" s="1"/>
  <c r="BY802" i="2" s="1"/>
  <c r="BN802" i="2"/>
  <c r="BO802" i="2" s="1"/>
  <c r="BK802" i="2"/>
  <c r="BL802" i="2" s="1"/>
  <c r="BM802" i="2" s="1"/>
  <c r="BI802" i="2"/>
  <c r="AW890" i="2"/>
  <c r="BP800" i="2"/>
  <c r="BQ800" i="2" s="1"/>
  <c r="BY800" i="2" s="1"/>
  <c r="BN800" i="2"/>
  <c r="BO800" i="2" s="1"/>
  <c r="BK800" i="2"/>
  <c r="BL800" i="2" s="1"/>
  <c r="BM800" i="2" s="1"/>
  <c r="BI800" i="2"/>
  <c r="BN1082" i="2"/>
  <c r="BO1082" i="2" s="1"/>
  <c r="BP1082" i="2"/>
  <c r="BQ1082" i="2" s="1"/>
  <c r="BY1082" i="2" s="1"/>
  <c r="BK1082" i="2"/>
  <c r="BL1082" i="2" s="1"/>
  <c r="BM1082" i="2" s="1"/>
  <c r="BI1082" i="2"/>
  <c r="AY542" i="2"/>
  <c r="AX542" i="2"/>
  <c r="AW580" i="2"/>
  <c r="BN483" i="2"/>
  <c r="BO483" i="2" s="1"/>
  <c r="BP483" i="2"/>
  <c r="BQ483" i="2" s="1"/>
  <c r="BY483" i="2" s="1"/>
  <c r="BK483" i="2"/>
  <c r="BL483" i="2" s="1"/>
  <c r="BM483" i="2" s="1"/>
  <c r="BP465" i="2"/>
  <c r="BQ465" i="2" s="1"/>
  <c r="BY465" i="2" s="1"/>
  <c r="BN465" i="2"/>
  <c r="BO465" i="2" s="1"/>
  <c r="BK465" i="2"/>
  <c r="BL465" i="2" s="1"/>
  <c r="BM465" i="2" s="1"/>
  <c r="AW562" i="2"/>
  <c r="BI465" i="2"/>
  <c r="AW599" i="2"/>
  <c r="BP502" i="2"/>
  <c r="BQ502" i="2" s="1"/>
  <c r="BY502" i="2" s="1"/>
  <c r="BN502" i="2"/>
  <c r="BO502" i="2" s="1"/>
  <c r="BK502" i="2"/>
  <c r="BL502" i="2" s="1"/>
  <c r="BM502" i="2" s="1"/>
  <c r="BI502" i="2"/>
  <c r="AX888" i="2"/>
  <c r="AY888" i="2"/>
  <c r="AX883" i="2"/>
  <c r="AY883" i="2"/>
  <c r="AW558" i="2"/>
  <c r="BP461" i="2"/>
  <c r="BQ461" i="2" s="1"/>
  <c r="BY461" i="2" s="1"/>
  <c r="BN461" i="2"/>
  <c r="BO461" i="2" s="1"/>
  <c r="BK461" i="2"/>
  <c r="BL461" i="2" s="1"/>
  <c r="BM461" i="2" s="1"/>
  <c r="BI461" i="2"/>
  <c r="AX537" i="2"/>
  <c r="AY537" i="2"/>
  <c r="AW551" i="2"/>
  <c r="BN454" i="2"/>
  <c r="BO454" i="2" s="1"/>
  <c r="BP454" i="2"/>
  <c r="BQ454" i="2" s="1"/>
  <c r="BY454" i="2" s="1"/>
  <c r="BK454" i="2"/>
  <c r="BL454" i="2" s="1"/>
  <c r="BM454" i="2" s="1"/>
  <c r="BI454" i="2"/>
  <c r="Q13" i="4" l="1"/>
  <c r="AY900" i="2"/>
  <c r="AX900" i="2"/>
  <c r="AY562" i="2"/>
  <c r="AX562" i="2"/>
  <c r="AX901" i="2"/>
  <c r="AY901" i="2"/>
  <c r="AY618" i="2"/>
  <c r="AX618" i="2"/>
  <c r="AW918" i="2"/>
  <c r="BP868" i="2"/>
  <c r="BQ868" i="2" s="1"/>
  <c r="BY868" i="2" s="1"/>
  <c r="BN868" i="2"/>
  <c r="BO868" i="2" s="1"/>
  <c r="BK868" i="2"/>
  <c r="BL868" i="2" s="1"/>
  <c r="BM868" i="2" s="1"/>
  <c r="BI868" i="2"/>
  <c r="AY576" i="2"/>
  <c r="AX576" i="2"/>
  <c r="L76" i="4"/>
  <c r="K76" i="4"/>
  <c r="J76" i="4"/>
  <c r="I76" i="4"/>
  <c r="E75" i="4"/>
  <c r="H76" i="4"/>
  <c r="G76" i="4"/>
  <c r="F76" i="4"/>
  <c r="I107" i="4"/>
  <c r="H107" i="4"/>
  <c r="G107" i="4"/>
  <c r="D106" i="4"/>
  <c r="F107" i="4"/>
  <c r="E107" i="4"/>
  <c r="L107" i="4"/>
  <c r="K107" i="4"/>
  <c r="J107" i="4"/>
  <c r="AX558" i="2"/>
  <c r="AY558" i="2"/>
  <c r="AW917" i="2"/>
  <c r="BN867" i="2"/>
  <c r="BO867" i="2" s="1"/>
  <c r="BP867" i="2"/>
  <c r="BQ867" i="2" s="1"/>
  <c r="BY867" i="2" s="1"/>
  <c r="BK867" i="2"/>
  <c r="BL867" i="2" s="1"/>
  <c r="BM867" i="2" s="1"/>
  <c r="BI867" i="2"/>
  <c r="AX765" i="2"/>
  <c r="AY765" i="2"/>
  <c r="AY539" i="2"/>
  <c r="AX539" i="2"/>
  <c r="AY549" i="2"/>
  <c r="AX549" i="2"/>
  <c r="AY816" i="2"/>
  <c r="AX816" i="2"/>
  <c r="AW915" i="2"/>
  <c r="BP871" i="2"/>
  <c r="BQ871" i="2" s="1"/>
  <c r="BY871" i="2" s="1"/>
  <c r="BN871" i="2"/>
  <c r="BO871" i="2" s="1"/>
  <c r="BK871" i="2"/>
  <c r="BL871" i="2" s="1"/>
  <c r="BM871" i="2" s="1"/>
  <c r="BI871" i="2"/>
  <c r="AX554" i="2"/>
  <c r="AY554" i="2"/>
  <c r="AW710" i="2"/>
  <c r="BN548" i="2"/>
  <c r="BO548" i="2" s="1"/>
  <c r="BP548" i="2"/>
  <c r="BQ548" i="2" s="1"/>
  <c r="BY548" i="2" s="1"/>
  <c r="BK548" i="2"/>
  <c r="BL548" i="2" s="1"/>
  <c r="BM548" i="2" s="1"/>
  <c r="BI548" i="2"/>
  <c r="AW912" i="2"/>
  <c r="BP866" i="2"/>
  <c r="BQ866" i="2" s="1"/>
  <c r="BY866" i="2" s="1"/>
  <c r="BN866" i="2"/>
  <c r="BO866" i="2" s="1"/>
  <c r="BK866" i="2"/>
  <c r="BL866" i="2" s="1"/>
  <c r="BM866" i="2" s="1"/>
  <c r="BI866" i="2"/>
  <c r="AX895" i="2"/>
  <c r="AY895" i="2"/>
  <c r="AW715" i="2"/>
  <c r="BP563" i="2"/>
  <c r="BQ563" i="2" s="1"/>
  <c r="BY563" i="2" s="1"/>
  <c r="BN563" i="2"/>
  <c r="BO563" i="2" s="1"/>
  <c r="BK563" i="2"/>
  <c r="BL563" i="2" s="1"/>
  <c r="BM563" i="2" s="1"/>
  <c r="BI563" i="2"/>
  <c r="AY572" i="2"/>
  <c r="AX572" i="2"/>
  <c r="AX760" i="2"/>
  <c r="AY760" i="2"/>
  <c r="AX574" i="2"/>
  <c r="AY574" i="2"/>
  <c r="BP770" i="2"/>
  <c r="BQ770" i="2" s="1"/>
  <c r="BY770" i="2" s="1"/>
  <c r="AW845" i="2"/>
  <c r="AX845" i="2" s="1"/>
  <c r="BN770" i="2"/>
  <c r="BO770" i="2" s="1"/>
  <c r="BK770" i="2"/>
  <c r="BL770" i="2" s="1"/>
  <c r="BM770" i="2" s="1"/>
  <c r="BI770" i="2"/>
  <c r="BP888" i="2"/>
  <c r="BQ888" i="2" s="1"/>
  <c r="BY888" i="2" s="1"/>
  <c r="AW933" i="2"/>
  <c r="BN888" i="2"/>
  <c r="BO888" i="2" s="1"/>
  <c r="BK888" i="2"/>
  <c r="BL888" i="2" s="1"/>
  <c r="BM888" i="2" s="1"/>
  <c r="BI888" i="2"/>
  <c r="AX569" i="2"/>
  <c r="AY569" i="2"/>
  <c r="AW927" i="2"/>
  <c r="BP878" i="2"/>
  <c r="BQ878" i="2" s="1"/>
  <c r="BY878" i="2" s="1"/>
  <c r="BN878" i="2"/>
  <c r="BO878" i="2" s="1"/>
  <c r="BK878" i="2"/>
  <c r="BL878" i="2" s="1"/>
  <c r="BM878" i="2" s="1"/>
  <c r="BI878" i="2"/>
  <c r="AX882" i="2"/>
  <c r="AY882" i="2"/>
  <c r="AX575" i="2"/>
  <c r="AY575" i="2"/>
  <c r="AX784" i="2"/>
  <c r="AY784" i="2"/>
  <c r="AX566" i="2"/>
  <c r="AY566" i="2"/>
  <c r="AX865" i="2"/>
  <c r="AY865" i="2"/>
  <c r="BP883" i="2"/>
  <c r="BQ883" i="2" s="1"/>
  <c r="BY883" i="2" s="1"/>
  <c r="BN883" i="2"/>
  <c r="BO883" i="2" s="1"/>
  <c r="AW925" i="2"/>
  <c r="BK883" i="2"/>
  <c r="BL883" i="2" s="1"/>
  <c r="BM883" i="2" s="1"/>
  <c r="BI883" i="2"/>
  <c r="AY557" i="2"/>
  <c r="AX557" i="2"/>
  <c r="AX583" i="2"/>
  <c r="AY583" i="2"/>
  <c r="BK583" i="2" s="1"/>
  <c r="BL583" i="2" s="1"/>
  <c r="BM583" i="2" s="1"/>
  <c r="AX879" i="2"/>
  <c r="AY879" i="2"/>
  <c r="AW647" i="2"/>
  <c r="BP578" i="2"/>
  <c r="BQ578" i="2" s="1"/>
  <c r="BY578" i="2" s="1"/>
  <c r="BN578" i="2"/>
  <c r="BO578" i="2" s="1"/>
  <c r="BK578" i="2"/>
  <c r="BL578" i="2" s="1"/>
  <c r="BM578" i="2" s="1"/>
  <c r="BP864" i="2"/>
  <c r="BQ864" i="2" s="1"/>
  <c r="BY864" i="2" s="1"/>
  <c r="AW911" i="2"/>
  <c r="BN864" i="2"/>
  <c r="BO864" i="2" s="1"/>
  <c r="BK864" i="2"/>
  <c r="BL864" i="2" s="1"/>
  <c r="BM864" i="2" s="1"/>
  <c r="BI864" i="2"/>
  <c r="BN582" i="2"/>
  <c r="BO582" i="2" s="1"/>
  <c r="BP582" i="2"/>
  <c r="BQ582" i="2" s="1"/>
  <c r="BY582" i="2" s="1"/>
  <c r="BK582" i="2"/>
  <c r="BL582" i="2" s="1"/>
  <c r="BM582" i="2" s="1"/>
  <c r="AY551" i="2"/>
  <c r="AX551" i="2"/>
  <c r="AW656" i="2"/>
  <c r="BP565" i="2"/>
  <c r="BQ565" i="2" s="1"/>
  <c r="BY565" i="2" s="1"/>
  <c r="BN565" i="2"/>
  <c r="BO565" i="2" s="1"/>
  <c r="BK565" i="2"/>
  <c r="BL565" i="2" s="1"/>
  <c r="BM565" i="2" s="1"/>
  <c r="AW716" i="2"/>
  <c r="BN564" i="2"/>
  <c r="BO564" i="2" s="1"/>
  <c r="BP564" i="2"/>
  <c r="BQ564" i="2" s="1"/>
  <c r="BY564" i="2" s="1"/>
  <c r="BK564" i="2"/>
  <c r="BL564" i="2" s="1"/>
  <c r="BM564" i="2" s="1"/>
  <c r="BI564" i="2"/>
  <c r="AY581" i="2"/>
  <c r="AX581" i="2"/>
  <c r="AW932" i="2"/>
  <c r="BN885" i="2"/>
  <c r="BO885" i="2" s="1"/>
  <c r="BP885" i="2"/>
  <c r="BQ885" i="2" s="1"/>
  <c r="BY885" i="2" s="1"/>
  <c r="BK885" i="2"/>
  <c r="BL885" i="2" s="1"/>
  <c r="BM885" i="2" s="1"/>
  <c r="BI885" i="2"/>
  <c r="AW635" i="2"/>
  <c r="BP537" i="2"/>
  <c r="BQ537" i="2" s="1"/>
  <c r="BY537" i="2" s="1"/>
  <c r="BN537" i="2"/>
  <c r="BO537" i="2" s="1"/>
  <c r="BK537" i="2"/>
  <c r="BL537" i="2" s="1"/>
  <c r="BM537" i="2" s="1"/>
  <c r="BI537" i="2"/>
  <c r="AY890" i="2"/>
  <c r="AX890" i="2"/>
  <c r="AX577" i="2"/>
  <c r="AY577" i="2"/>
  <c r="AX560" i="2"/>
  <c r="AY560" i="2"/>
  <c r="AY541" i="2"/>
  <c r="AX541" i="2"/>
  <c r="AW663" i="2"/>
  <c r="BN547" i="2"/>
  <c r="BO547" i="2" s="1"/>
  <c r="BP547" i="2"/>
  <c r="BQ547" i="2" s="1"/>
  <c r="BY547" i="2" s="1"/>
  <c r="BK547" i="2"/>
  <c r="BL547" i="2" s="1"/>
  <c r="BM547" i="2" s="1"/>
  <c r="BI547" i="2"/>
  <c r="AW719" i="2"/>
  <c r="BP568" i="2"/>
  <c r="BQ568" i="2" s="1"/>
  <c r="BY568" i="2" s="1"/>
  <c r="BN568" i="2"/>
  <c r="BO568" i="2" s="1"/>
  <c r="BK568" i="2"/>
  <c r="BL568" i="2" s="1"/>
  <c r="BM568" i="2" s="1"/>
  <c r="BI568" i="2"/>
  <c r="BP891" i="2"/>
  <c r="BQ891" i="2" s="1"/>
  <c r="BY891" i="2" s="1"/>
  <c r="AW936" i="2"/>
  <c r="BN891" i="2"/>
  <c r="BO891" i="2" s="1"/>
  <c r="BI891" i="2"/>
  <c r="BK891" i="2"/>
  <c r="BL891" i="2" s="1"/>
  <c r="BM891" i="2" s="1"/>
  <c r="AY605" i="2"/>
  <c r="AX605" i="2"/>
  <c r="AW722" i="2"/>
  <c r="BN573" i="2"/>
  <c r="BO573" i="2" s="1"/>
  <c r="BP573" i="2"/>
  <c r="BQ573" i="2" s="1"/>
  <c r="BY573" i="2" s="1"/>
  <c r="BK573" i="2"/>
  <c r="BL573" i="2" s="1"/>
  <c r="BM573" i="2" s="1"/>
  <c r="BI573" i="2"/>
  <c r="AW629" i="2"/>
  <c r="BK532" i="2"/>
  <c r="BL532" i="2" s="1"/>
  <c r="BM532" i="2" s="1"/>
  <c r="AX550" i="2"/>
  <c r="AY550" i="2"/>
  <c r="AW930" i="2"/>
  <c r="BP874" i="2"/>
  <c r="BQ874" i="2" s="1"/>
  <c r="BY874" i="2" s="1"/>
  <c r="BN874" i="2"/>
  <c r="BO874" i="2" s="1"/>
  <c r="BK874" i="2"/>
  <c r="BL874" i="2" s="1"/>
  <c r="BM874" i="2" s="1"/>
  <c r="BI874" i="2"/>
  <c r="AY887" i="2"/>
  <c r="AX887" i="2"/>
  <c r="AW756" i="2"/>
  <c r="AX756" i="2" s="1"/>
  <c r="BN651" i="2"/>
  <c r="BO651" i="2" s="1"/>
  <c r="BP651" i="2"/>
  <c r="BQ651" i="2" s="1"/>
  <c r="BY651" i="2" s="1"/>
  <c r="BK651" i="2"/>
  <c r="BL651" i="2" s="1"/>
  <c r="BM651" i="2" s="1"/>
  <c r="AX657" i="2"/>
  <c r="AY657" i="2"/>
  <c r="BK657" i="2" s="1"/>
  <c r="BL657" i="2" s="1"/>
  <c r="BM657" i="2" s="1"/>
  <c r="M12" i="4"/>
  <c r="L12" i="4"/>
  <c r="K12" i="4"/>
  <c r="J12" i="4"/>
  <c r="I12" i="4"/>
  <c r="D11" i="4"/>
  <c r="H12" i="4"/>
  <c r="G12" i="4"/>
  <c r="F12" i="4"/>
  <c r="E12" i="4"/>
  <c r="AX546" i="2"/>
  <c r="AY546" i="2"/>
  <c r="AX880" i="2"/>
  <c r="AY880" i="2"/>
  <c r="AX570" i="2"/>
  <c r="AY570" i="2"/>
  <c r="AW951" i="2"/>
  <c r="BP902" i="2"/>
  <c r="BQ902" i="2" s="1"/>
  <c r="BY902" i="2" s="1"/>
  <c r="BN902" i="2"/>
  <c r="BO902" i="2" s="1"/>
  <c r="BK902" i="2"/>
  <c r="BL902" i="2" s="1"/>
  <c r="BM902" i="2" s="1"/>
  <c r="BI902" i="2"/>
  <c r="AW643" i="2"/>
  <c r="AX643" i="2" s="1"/>
  <c r="BP543" i="2"/>
  <c r="BQ543" i="2" s="1"/>
  <c r="BY543" i="2" s="1"/>
  <c r="BN543" i="2"/>
  <c r="BO543" i="2" s="1"/>
  <c r="BK543" i="2"/>
  <c r="BL543" i="2" s="1"/>
  <c r="BM543" i="2" s="1"/>
  <c r="AX580" i="2"/>
  <c r="AY580" i="2"/>
  <c r="AX553" i="2"/>
  <c r="AY553" i="2"/>
  <c r="AW1084" i="2"/>
  <c r="BP947" i="2"/>
  <c r="BQ947" i="2" s="1"/>
  <c r="BY947" i="2" s="1"/>
  <c r="BN947" i="2"/>
  <c r="BO947" i="2" s="1"/>
  <c r="BK947" i="2"/>
  <c r="BL947" i="2" s="1"/>
  <c r="BM947" i="2" s="1"/>
  <c r="AW916" i="2"/>
  <c r="BP869" i="2"/>
  <c r="BQ869" i="2" s="1"/>
  <c r="BY869" i="2" s="1"/>
  <c r="BN869" i="2"/>
  <c r="BO869" i="2" s="1"/>
  <c r="BK869" i="2"/>
  <c r="BL869" i="2" s="1"/>
  <c r="BM869" i="2" s="1"/>
  <c r="BI869" i="2"/>
  <c r="AX599" i="2"/>
  <c r="AY599" i="2"/>
  <c r="AW639" i="2"/>
  <c r="BP542" i="2"/>
  <c r="BQ542" i="2" s="1"/>
  <c r="BY542" i="2" s="1"/>
  <c r="BN542" i="2"/>
  <c r="BO542" i="2" s="1"/>
  <c r="BK542" i="2"/>
  <c r="BL542" i="2" s="1"/>
  <c r="BM542" i="2" s="1"/>
  <c r="BI542" i="2"/>
  <c r="AW923" i="2"/>
  <c r="BP886" i="2"/>
  <c r="BQ886" i="2" s="1"/>
  <c r="BY886" i="2" s="1"/>
  <c r="BN886" i="2"/>
  <c r="BO886" i="2" s="1"/>
  <c r="BK886" i="2"/>
  <c r="BL886" i="2" s="1"/>
  <c r="BM886" i="2" s="1"/>
  <c r="BI886" i="2"/>
  <c r="AX545" i="2"/>
  <c r="AY545" i="2"/>
  <c r="AW940" i="2"/>
  <c r="BP897" i="2"/>
  <c r="BQ897" i="2" s="1"/>
  <c r="BY897" i="2" s="1"/>
  <c r="BN897" i="2"/>
  <c r="BO897" i="2" s="1"/>
  <c r="BK897" i="2"/>
  <c r="BL897" i="2" s="1"/>
  <c r="BM897" i="2" s="1"/>
  <c r="BI897" i="2"/>
  <c r="AW921" i="2"/>
  <c r="BN873" i="2"/>
  <c r="BO873" i="2" s="1"/>
  <c r="BP873" i="2"/>
  <c r="BQ873" i="2" s="1"/>
  <c r="BY873" i="2" s="1"/>
  <c r="BK873" i="2"/>
  <c r="BL873" i="2" s="1"/>
  <c r="BM873" i="2" s="1"/>
  <c r="BI873" i="2"/>
  <c r="AW658" i="2"/>
  <c r="BP571" i="2"/>
  <c r="BQ571" i="2" s="1"/>
  <c r="BY571" i="2" s="1"/>
  <c r="BN571" i="2"/>
  <c r="BO571" i="2" s="1"/>
  <c r="BK571" i="2"/>
  <c r="BL571" i="2" s="1"/>
  <c r="BM571" i="2" s="1"/>
  <c r="BI571" i="2"/>
  <c r="AW642" i="2"/>
  <c r="BP544" i="2"/>
  <c r="BQ544" i="2" s="1"/>
  <c r="BY544" i="2" s="1"/>
  <c r="BN544" i="2"/>
  <c r="BO544" i="2" s="1"/>
  <c r="BK544" i="2"/>
  <c r="BL544" i="2" s="1"/>
  <c r="BM544" i="2" s="1"/>
  <c r="BI544" i="2"/>
  <c r="AW922" i="2"/>
  <c r="BP877" i="2"/>
  <c r="BQ877" i="2" s="1"/>
  <c r="BY877" i="2" s="1"/>
  <c r="BN877" i="2"/>
  <c r="BO877" i="2" s="1"/>
  <c r="BK877" i="2"/>
  <c r="BL877" i="2" s="1"/>
  <c r="BM877" i="2" s="1"/>
  <c r="BI877" i="2"/>
  <c r="BP898" i="2"/>
  <c r="BQ898" i="2" s="1"/>
  <c r="BY898" i="2" s="1"/>
  <c r="AW944" i="2"/>
  <c r="BN898" i="2"/>
  <c r="BO898" i="2" s="1"/>
  <c r="BK898" i="2"/>
  <c r="BL898" i="2" s="1"/>
  <c r="BM898" i="2" s="1"/>
  <c r="BI898" i="2"/>
  <c r="AX653" i="2"/>
  <c r="AY653" i="2"/>
  <c r="AW634" i="2"/>
  <c r="BP538" i="2"/>
  <c r="BQ538" i="2" s="1"/>
  <c r="BY538" i="2" s="1"/>
  <c r="BN538" i="2"/>
  <c r="BO538" i="2" s="1"/>
  <c r="BK538" i="2"/>
  <c r="BL538" i="2" s="1"/>
  <c r="BM538" i="2" s="1"/>
  <c r="BI538" i="2"/>
  <c r="AX559" i="2"/>
  <c r="AY559" i="2"/>
  <c r="AX540" i="2"/>
  <c r="AY540" i="2"/>
  <c r="AX899" i="2"/>
  <c r="AY899" i="2"/>
  <c r="J101" i="3"/>
  <c r="H79" i="4" s="1"/>
  <c r="Q12" i="4" l="1"/>
  <c r="I34" i="3"/>
  <c r="AW964" i="2"/>
  <c r="BK900" i="2"/>
  <c r="BL900" i="2" s="1"/>
  <c r="BM900" i="2" s="1"/>
  <c r="AW929" i="2"/>
  <c r="BP880" i="2"/>
  <c r="BQ880" i="2" s="1"/>
  <c r="BY880" i="2" s="1"/>
  <c r="BN880" i="2"/>
  <c r="BO880" i="2" s="1"/>
  <c r="BK880" i="2"/>
  <c r="BL880" i="2" s="1"/>
  <c r="BM880" i="2" s="1"/>
  <c r="BI880" i="2"/>
  <c r="AW636" i="2"/>
  <c r="BN577" i="2"/>
  <c r="BO577" i="2" s="1"/>
  <c r="BP577" i="2"/>
  <c r="BQ577" i="2" s="1"/>
  <c r="BY577" i="2" s="1"/>
  <c r="BK577" i="2"/>
  <c r="BL577" i="2" s="1"/>
  <c r="BM577" i="2" s="1"/>
  <c r="BI577" i="2"/>
  <c r="AX911" i="2"/>
  <c r="AY911" i="2"/>
  <c r="AW652" i="2"/>
  <c r="BN576" i="2"/>
  <c r="BO576" i="2" s="1"/>
  <c r="BP576" i="2"/>
  <c r="BQ576" i="2" s="1"/>
  <c r="BY576" i="2" s="1"/>
  <c r="BK576" i="2"/>
  <c r="BL576" i="2" s="1"/>
  <c r="BM576" i="2" s="1"/>
  <c r="BI576" i="2"/>
  <c r="AY634" i="2"/>
  <c r="AX634" i="2"/>
  <c r="AW704" i="2"/>
  <c r="AX704" i="2" s="1"/>
  <c r="BP605" i="2"/>
  <c r="BQ605" i="2" s="1"/>
  <c r="BY605" i="2" s="1"/>
  <c r="BN605" i="2"/>
  <c r="BO605" i="2" s="1"/>
  <c r="BK605" i="2"/>
  <c r="BL605" i="2" s="1"/>
  <c r="BM605" i="2" s="1"/>
  <c r="AX933" i="2"/>
  <c r="AY933" i="2"/>
  <c r="AW721" i="2"/>
  <c r="BP572" i="2"/>
  <c r="BQ572" i="2" s="1"/>
  <c r="BY572" i="2" s="1"/>
  <c r="BN572" i="2"/>
  <c r="BO572" i="2" s="1"/>
  <c r="BK572" i="2"/>
  <c r="BL572" i="2" s="1"/>
  <c r="BM572" i="2" s="1"/>
  <c r="BI572" i="2"/>
  <c r="AX912" i="2"/>
  <c r="AY912" i="2"/>
  <c r="AY915" i="2"/>
  <c r="AX915" i="2"/>
  <c r="AY719" i="2"/>
  <c r="AX719" i="2"/>
  <c r="AW928" i="2"/>
  <c r="BP882" i="2"/>
  <c r="BQ882" i="2" s="1"/>
  <c r="BY882" i="2" s="1"/>
  <c r="BN882" i="2"/>
  <c r="BO882" i="2" s="1"/>
  <c r="BK882" i="2"/>
  <c r="BL882" i="2" s="1"/>
  <c r="BM882" i="2" s="1"/>
  <c r="BI882" i="2"/>
  <c r="AW752" i="2"/>
  <c r="BP653" i="2"/>
  <c r="BQ653" i="2" s="1"/>
  <c r="BY653" i="2" s="1"/>
  <c r="BN653" i="2"/>
  <c r="BO653" i="2" s="1"/>
  <c r="BK653" i="2"/>
  <c r="BL653" i="2" s="1"/>
  <c r="BM653" i="2" s="1"/>
  <c r="BI653" i="2"/>
  <c r="AW648" i="2"/>
  <c r="BP546" i="2"/>
  <c r="BQ546" i="2" s="1"/>
  <c r="BY546" i="2" s="1"/>
  <c r="BN546" i="2"/>
  <c r="BO546" i="2" s="1"/>
  <c r="BK546" i="2"/>
  <c r="BL546" i="2" s="1"/>
  <c r="BM546" i="2" s="1"/>
  <c r="BI546" i="2"/>
  <c r="AX930" i="2"/>
  <c r="AY930" i="2"/>
  <c r="AX656" i="2"/>
  <c r="AY656" i="2"/>
  <c r="AX925" i="2"/>
  <c r="AY925" i="2"/>
  <c r="AX922" i="2"/>
  <c r="AY922" i="2"/>
  <c r="AW941" i="2"/>
  <c r="BP899" i="2"/>
  <c r="BQ899" i="2" s="1"/>
  <c r="BY899" i="2" s="1"/>
  <c r="BN899" i="2"/>
  <c r="BO899" i="2" s="1"/>
  <c r="BK899" i="2"/>
  <c r="BL899" i="2" s="1"/>
  <c r="BM899" i="2" s="1"/>
  <c r="BI899" i="2"/>
  <c r="AW650" i="2"/>
  <c r="BP550" i="2"/>
  <c r="BQ550" i="2" s="1"/>
  <c r="BY550" i="2" s="1"/>
  <c r="BN550" i="2"/>
  <c r="BO550" i="2" s="1"/>
  <c r="BK550" i="2"/>
  <c r="BL550" i="2" s="1"/>
  <c r="BM550" i="2" s="1"/>
  <c r="BI550" i="2"/>
  <c r="AW938" i="2"/>
  <c r="BP890" i="2"/>
  <c r="BQ890" i="2" s="1"/>
  <c r="BY890" i="2" s="1"/>
  <c r="BN890" i="2"/>
  <c r="BO890" i="2" s="1"/>
  <c r="BK890" i="2"/>
  <c r="BL890" i="2" s="1"/>
  <c r="BM890" i="2" s="1"/>
  <c r="BI890" i="2"/>
  <c r="AX932" i="2"/>
  <c r="AY932" i="2"/>
  <c r="AW907" i="2"/>
  <c r="BP816" i="2"/>
  <c r="BQ816" i="2" s="1"/>
  <c r="BY816" i="2" s="1"/>
  <c r="BN816" i="2"/>
  <c r="BO816" i="2" s="1"/>
  <c r="BK816" i="2"/>
  <c r="BL816" i="2" s="1"/>
  <c r="BM816" i="2" s="1"/>
  <c r="AX917" i="2"/>
  <c r="AY917" i="2"/>
  <c r="AX921" i="2"/>
  <c r="AY921" i="2"/>
  <c r="AX923" i="2"/>
  <c r="AY923" i="2"/>
  <c r="AX916" i="2"/>
  <c r="AY916" i="2"/>
  <c r="AW655" i="2"/>
  <c r="BN551" i="2"/>
  <c r="BO551" i="2" s="1"/>
  <c r="BP551" i="2"/>
  <c r="BQ551" i="2" s="1"/>
  <c r="BY551" i="2" s="1"/>
  <c r="BK551" i="2"/>
  <c r="BL551" i="2" s="1"/>
  <c r="BM551" i="2" s="1"/>
  <c r="BI551" i="2"/>
  <c r="BN558" i="2"/>
  <c r="BO558" i="2" s="1"/>
  <c r="BP558" i="2"/>
  <c r="BQ558" i="2" s="1"/>
  <c r="BY558" i="2" s="1"/>
  <c r="BK558" i="2"/>
  <c r="BL558" i="2" s="1"/>
  <c r="BM558" i="2" s="1"/>
  <c r="AW661" i="2"/>
  <c r="BI558" i="2"/>
  <c r="AW727" i="2"/>
  <c r="BP581" i="2"/>
  <c r="BQ581" i="2" s="1"/>
  <c r="BY581" i="2" s="1"/>
  <c r="BN581" i="2"/>
  <c r="BO581" i="2" s="1"/>
  <c r="BK581" i="2"/>
  <c r="BL581" i="2" s="1"/>
  <c r="BM581" i="2" s="1"/>
  <c r="AW914" i="2"/>
  <c r="BP865" i="2"/>
  <c r="BQ865" i="2" s="1"/>
  <c r="BY865" i="2" s="1"/>
  <c r="BN865" i="2"/>
  <c r="BO865" i="2" s="1"/>
  <c r="BK865" i="2"/>
  <c r="BL865" i="2" s="1"/>
  <c r="BM865" i="2" s="1"/>
  <c r="BI865" i="2"/>
  <c r="AX642" i="2"/>
  <c r="AY642" i="2"/>
  <c r="AY629" i="2"/>
  <c r="BK629" i="2" s="1"/>
  <c r="BL629" i="2" s="1"/>
  <c r="BM629" i="2" s="1"/>
  <c r="AX629" i="2"/>
  <c r="AX663" i="2"/>
  <c r="AY663" i="2"/>
  <c r="AW935" i="2"/>
  <c r="BN879" i="2"/>
  <c r="BO879" i="2" s="1"/>
  <c r="BP879" i="2"/>
  <c r="BQ879" i="2" s="1"/>
  <c r="BY879" i="2" s="1"/>
  <c r="BK879" i="2"/>
  <c r="BL879" i="2" s="1"/>
  <c r="BM879" i="2" s="1"/>
  <c r="BI879" i="2"/>
  <c r="AX715" i="2"/>
  <c r="AY715" i="2"/>
  <c r="AX710" i="2"/>
  <c r="AY710" i="2"/>
  <c r="H75" i="4"/>
  <c r="G75" i="4"/>
  <c r="F75" i="4"/>
  <c r="E74" i="4"/>
  <c r="L75" i="4"/>
  <c r="K75" i="4"/>
  <c r="J75" i="4"/>
  <c r="I75" i="4"/>
  <c r="AY936" i="2"/>
  <c r="AX936" i="2"/>
  <c r="AX918" i="2"/>
  <c r="AY918" i="2"/>
  <c r="AW714" i="2"/>
  <c r="BN559" i="2"/>
  <c r="BO559" i="2" s="1"/>
  <c r="BP559" i="2"/>
  <c r="BQ559" i="2" s="1"/>
  <c r="BY559" i="2" s="1"/>
  <c r="BK559" i="2"/>
  <c r="BL559" i="2" s="1"/>
  <c r="BM559" i="2" s="1"/>
  <c r="AX944" i="2"/>
  <c r="AY944" i="2"/>
  <c r="AW717" i="2"/>
  <c r="BP566" i="2"/>
  <c r="BQ566" i="2" s="1"/>
  <c r="BY566" i="2" s="1"/>
  <c r="BN566" i="2"/>
  <c r="BO566" i="2" s="1"/>
  <c r="BK566" i="2"/>
  <c r="BL566" i="2" s="1"/>
  <c r="BM566" i="2" s="1"/>
  <c r="BI566" i="2"/>
  <c r="AX927" i="2"/>
  <c r="AY927" i="2"/>
  <c r="BP895" i="2"/>
  <c r="BQ895" i="2" s="1"/>
  <c r="BY895" i="2" s="1"/>
  <c r="BN895" i="2"/>
  <c r="BO895" i="2" s="1"/>
  <c r="AW942" i="2"/>
  <c r="BK895" i="2"/>
  <c r="BL895" i="2" s="1"/>
  <c r="BM895" i="2" s="1"/>
  <c r="BI895" i="2"/>
  <c r="AW712" i="2"/>
  <c r="BN554" i="2"/>
  <c r="BO554" i="2" s="1"/>
  <c r="BP554" i="2"/>
  <c r="BQ554" i="2" s="1"/>
  <c r="BY554" i="2" s="1"/>
  <c r="BK554" i="2"/>
  <c r="BL554" i="2" s="1"/>
  <c r="BM554" i="2" s="1"/>
  <c r="BI554" i="2"/>
  <c r="AW709" i="2"/>
  <c r="BP539" i="2"/>
  <c r="BQ539" i="2" s="1"/>
  <c r="BY539" i="2" s="1"/>
  <c r="BN539" i="2"/>
  <c r="BO539" i="2" s="1"/>
  <c r="BK539" i="2"/>
  <c r="BL539" i="2" s="1"/>
  <c r="BM539" i="2" s="1"/>
  <c r="BI539" i="2"/>
  <c r="AW698" i="2"/>
  <c r="BK618" i="2"/>
  <c r="BL618" i="2" s="1"/>
  <c r="BM618" i="2" s="1"/>
  <c r="AW637" i="2"/>
  <c r="AX637" i="2" s="1"/>
  <c r="BP540" i="2"/>
  <c r="BQ540" i="2" s="1"/>
  <c r="BY540" i="2" s="1"/>
  <c r="BN540" i="2"/>
  <c r="BO540" i="2" s="1"/>
  <c r="BK540" i="2"/>
  <c r="BL540" i="2" s="1"/>
  <c r="BM540" i="2" s="1"/>
  <c r="AW711" i="2"/>
  <c r="BP549" i="2"/>
  <c r="BQ549" i="2" s="1"/>
  <c r="BY549" i="2" s="1"/>
  <c r="BN549" i="2"/>
  <c r="BO549" i="2" s="1"/>
  <c r="BK549" i="2"/>
  <c r="BL549" i="2" s="1"/>
  <c r="BM549" i="2" s="1"/>
  <c r="BI549" i="2"/>
  <c r="AX1084" i="2"/>
  <c r="AY1084" i="2"/>
  <c r="M11" i="4"/>
  <c r="L11" i="4"/>
  <c r="K11" i="4"/>
  <c r="J11" i="4"/>
  <c r="Q11" i="4" s="1"/>
  <c r="R11" i="4" s="1"/>
  <c r="R12" i="4" s="1"/>
  <c r="R13" i="4" s="1"/>
  <c r="R14" i="4" s="1"/>
  <c r="R15" i="4" s="1"/>
  <c r="R16" i="4" s="1"/>
  <c r="R17" i="4" s="1"/>
  <c r="R18" i="4" s="1"/>
  <c r="R19" i="4" s="1"/>
  <c r="I11" i="4"/>
  <c r="H11" i="4"/>
  <c r="G11" i="4"/>
  <c r="F11" i="4"/>
  <c r="E11" i="4"/>
  <c r="AW644" i="2"/>
  <c r="BN541" i="2"/>
  <c r="BO541" i="2" s="1"/>
  <c r="BP541" i="2"/>
  <c r="BQ541" i="2" s="1"/>
  <c r="BY541" i="2" s="1"/>
  <c r="BK541" i="2"/>
  <c r="BL541" i="2" s="1"/>
  <c r="BM541" i="2" s="1"/>
  <c r="BI541" i="2"/>
  <c r="BN569" i="2"/>
  <c r="BO569" i="2" s="1"/>
  <c r="AW660" i="2"/>
  <c r="BP569" i="2"/>
  <c r="BQ569" i="2" s="1"/>
  <c r="BY569" i="2" s="1"/>
  <c r="BK569" i="2"/>
  <c r="BL569" i="2" s="1"/>
  <c r="BM569" i="2" s="1"/>
  <c r="BI569" i="2"/>
  <c r="AW640" i="2"/>
  <c r="BP574" i="2"/>
  <c r="BQ574" i="2" s="1"/>
  <c r="BY574" i="2" s="1"/>
  <c r="BN574" i="2"/>
  <c r="BO574" i="2" s="1"/>
  <c r="BK574" i="2"/>
  <c r="BL574" i="2" s="1"/>
  <c r="BM574" i="2" s="1"/>
  <c r="BI574" i="2"/>
  <c r="AW862" i="2"/>
  <c r="BN765" i="2"/>
  <c r="BO765" i="2" s="1"/>
  <c r="BP765" i="2"/>
  <c r="BQ765" i="2" s="1"/>
  <c r="BY765" i="2" s="1"/>
  <c r="BK765" i="2"/>
  <c r="BL765" i="2" s="1"/>
  <c r="BM765" i="2" s="1"/>
  <c r="BI765" i="2"/>
  <c r="BP901" i="2"/>
  <c r="BQ901" i="2" s="1"/>
  <c r="BY901" i="2" s="1"/>
  <c r="AW953" i="2"/>
  <c r="BN901" i="2"/>
  <c r="BO901" i="2" s="1"/>
  <c r="BK901" i="2"/>
  <c r="BL901" i="2" s="1"/>
  <c r="BM901" i="2" s="1"/>
  <c r="BI901" i="2"/>
  <c r="AX647" i="2"/>
  <c r="AY647" i="2"/>
  <c r="AX940" i="2"/>
  <c r="AY940" i="2"/>
  <c r="AX639" i="2"/>
  <c r="AY639" i="2"/>
  <c r="AW662" i="2"/>
  <c r="BN553" i="2"/>
  <c r="BO553" i="2" s="1"/>
  <c r="BP553" i="2"/>
  <c r="BQ553" i="2" s="1"/>
  <c r="BY553" i="2" s="1"/>
  <c r="BK553" i="2"/>
  <c r="BL553" i="2" s="1"/>
  <c r="BM553" i="2" s="1"/>
  <c r="BI553" i="2"/>
  <c r="AY951" i="2"/>
  <c r="AX951" i="2"/>
  <c r="AW931" i="2"/>
  <c r="BP887" i="2"/>
  <c r="BQ887" i="2" s="1"/>
  <c r="BY887" i="2" s="1"/>
  <c r="BN887" i="2"/>
  <c r="BO887" i="2" s="1"/>
  <c r="BK887" i="2"/>
  <c r="BL887" i="2" s="1"/>
  <c r="BM887" i="2" s="1"/>
  <c r="BI887" i="2"/>
  <c r="AX635" i="2"/>
  <c r="AY635" i="2"/>
  <c r="AW876" i="2"/>
  <c r="BP784" i="2"/>
  <c r="BQ784" i="2" s="1"/>
  <c r="BY784" i="2" s="1"/>
  <c r="BN784" i="2"/>
  <c r="BO784" i="2" s="1"/>
  <c r="BK784" i="2"/>
  <c r="BL784" i="2" s="1"/>
  <c r="BM784" i="2" s="1"/>
  <c r="BI784" i="2"/>
  <c r="AW646" i="2"/>
  <c r="BP545" i="2"/>
  <c r="BQ545" i="2" s="1"/>
  <c r="BY545" i="2" s="1"/>
  <c r="BN545" i="2"/>
  <c r="BO545" i="2" s="1"/>
  <c r="BK545" i="2"/>
  <c r="BL545" i="2" s="1"/>
  <c r="BM545" i="2" s="1"/>
  <c r="BI545" i="2"/>
  <c r="AW725" i="2"/>
  <c r="BN599" i="2"/>
  <c r="BO599" i="2" s="1"/>
  <c r="BP599" i="2"/>
  <c r="BQ599" i="2" s="1"/>
  <c r="BY599" i="2" s="1"/>
  <c r="BK599" i="2"/>
  <c r="BL599" i="2" s="1"/>
  <c r="BM599" i="2" s="1"/>
  <c r="BI599" i="2"/>
  <c r="AW720" i="2"/>
  <c r="AX720" i="2" s="1"/>
  <c r="BN570" i="2"/>
  <c r="BO570" i="2" s="1"/>
  <c r="BP570" i="2"/>
  <c r="BQ570" i="2" s="1"/>
  <c r="BY570" i="2" s="1"/>
  <c r="BK570" i="2"/>
  <c r="BL570" i="2" s="1"/>
  <c r="BM570" i="2" s="1"/>
  <c r="AW641" i="2"/>
  <c r="BP560" i="2"/>
  <c r="BQ560" i="2" s="1"/>
  <c r="BY560" i="2" s="1"/>
  <c r="BN560" i="2"/>
  <c r="BO560" i="2" s="1"/>
  <c r="BK560" i="2"/>
  <c r="BL560" i="2" s="1"/>
  <c r="BM560" i="2" s="1"/>
  <c r="BI560" i="2"/>
  <c r="I101" i="3"/>
  <c r="H80" i="4" s="1"/>
  <c r="AX716" i="2"/>
  <c r="AY716" i="2"/>
  <c r="AW859" i="2"/>
  <c r="BP760" i="2"/>
  <c r="BQ760" i="2" s="1"/>
  <c r="BY760" i="2" s="1"/>
  <c r="BN760" i="2"/>
  <c r="BO760" i="2" s="1"/>
  <c r="BK760" i="2"/>
  <c r="BL760" i="2" s="1"/>
  <c r="BM760" i="2" s="1"/>
  <c r="AX658" i="2"/>
  <c r="AY658" i="2"/>
  <c r="BP580" i="2"/>
  <c r="BQ580" i="2" s="1"/>
  <c r="BY580" i="2" s="1"/>
  <c r="BN580" i="2"/>
  <c r="BO580" i="2" s="1"/>
  <c r="I70" i="3"/>
  <c r="BK580" i="2"/>
  <c r="BL580" i="2" s="1"/>
  <c r="BM580" i="2" s="1"/>
  <c r="AY722" i="2"/>
  <c r="AX722" i="2"/>
  <c r="AW654" i="2"/>
  <c r="AX654" i="2" s="1"/>
  <c r="BN557" i="2"/>
  <c r="BO557" i="2" s="1"/>
  <c r="BP557" i="2"/>
  <c r="BQ557" i="2" s="1"/>
  <c r="BY557" i="2" s="1"/>
  <c r="BK557" i="2"/>
  <c r="BL557" i="2" s="1"/>
  <c r="BM557" i="2" s="1"/>
  <c r="BN575" i="2"/>
  <c r="BO575" i="2" s="1"/>
  <c r="AW638" i="2"/>
  <c r="BP575" i="2"/>
  <c r="BQ575" i="2" s="1"/>
  <c r="BY575" i="2" s="1"/>
  <c r="BK575" i="2"/>
  <c r="BL575" i="2" s="1"/>
  <c r="BM575" i="2" s="1"/>
  <c r="BI575" i="2"/>
  <c r="F106" i="4"/>
  <c r="E106" i="4"/>
  <c r="L106" i="4"/>
  <c r="J106" i="4"/>
  <c r="I106" i="4"/>
  <c r="H106" i="4"/>
  <c r="G106" i="4"/>
  <c r="D105" i="4"/>
  <c r="K106" i="4"/>
  <c r="AW659" i="2"/>
  <c r="BP562" i="2"/>
  <c r="BQ562" i="2" s="1"/>
  <c r="BY562" i="2" s="1"/>
  <c r="BN562" i="2"/>
  <c r="BO562" i="2" s="1"/>
  <c r="BK562" i="2"/>
  <c r="BL562" i="2" s="1"/>
  <c r="BM562" i="2" s="1"/>
  <c r="AX964" i="2" l="1"/>
  <c r="AY964" i="2"/>
  <c r="BK964" i="2" s="1"/>
  <c r="BL964" i="2" s="1"/>
  <c r="BM964" i="2" s="1"/>
  <c r="L105" i="4"/>
  <c r="K105" i="4"/>
  <c r="J105" i="4"/>
  <c r="I105" i="4"/>
  <c r="H105" i="4"/>
  <c r="G105" i="4"/>
  <c r="F105" i="4"/>
  <c r="E105" i="4"/>
  <c r="AX641" i="2"/>
  <c r="AY641" i="2"/>
  <c r="AW733" i="2"/>
  <c r="BN639" i="2"/>
  <c r="BO639" i="2" s="1"/>
  <c r="BP639" i="2"/>
  <c r="BQ639" i="2" s="1"/>
  <c r="BY639" i="2" s="1"/>
  <c r="BK639" i="2"/>
  <c r="BL639" i="2" s="1"/>
  <c r="BM639" i="2" s="1"/>
  <c r="BI639" i="2"/>
  <c r="AY660" i="2"/>
  <c r="AX660" i="2"/>
  <c r="AW759" i="2"/>
  <c r="BP715" i="2"/>
  <c r="BQ715" i="2" s="1"/>
  <c r="BY715" i="2" s="1"/>
  <c r="BN715" i="2"/>
  <c r="BO715" i="2" s="1"/>
  <c r="BI715" i="2"/>
  <c r="BK715" i="2"/>
  <c r="BL715" i="2" s="1"/>
  <c r="BM715" i="2" s="1"/>
  <c r="AW1057" i="2"/>
  <c r="BP921" i="2"/>
  <c r="BQ921" i="2" s="1"/>
  <c r="BY921" i="2" s="1"/>
  <c r="BN921" i="2"/>
  <c r="BO921" i="2" s="1"/>
  <c r="BK921" i="2"/>
  <c r="BL921" i="2" s="1"/>
  <c r="BM921" i="2" s="1"/>
  <c r="BI921" i="2"/>
  <c r="AX941" i="2"/>
  <c r="AY941" i="2"/>
  <c r="AW1052" i="2"/>
  <c r="BP911" i="2"/>
  <c r="BQ911" i="2" s="1"/>
  <c r="BY911" i="2" s="1"/>
  <c r="BN911" i="2"/>
  <c r="BO911" i="2" s="1"/>
  <c r="BK911" i="2"/>
  <c r="BL911" i="2" s="1"/>
  <c r="BM911" i="2" s="1"/>
  <c r="BI911" i="2"/>
  <c r="AW1068" i="2"/>
  <c r="BP936" i="2"/>
  <c r="BQ936" i="2" s="1"/>
  <c r="BY936" i="2" s="1"/>
  <c r="BN936" i="2"/>
  <c r="BO936" i="2" s="1"/>
  <c r="BK936" i="2"/>
  <c r="BL936" i="2" s="1"/>
  <c r="BM936" i="2" s="1"/>
  <c r="BI936" i="2"/>
  <c r="AW1056" i="2"/>
  <c r="BP922" i="2"/>
  <c r="BQ922" i="2" s="1"/>
  <c r="BY922" i="2" s="1"/>
  <c r="BN922" i="2"/>
  <c r="BO922" i="2" s="1"/>
  <c r="BK922" i="2"/>
  <c r="BL922" i="2" s="1"/>
  <c r="BM922" i="2" s="1"/>
  <c r="BI922" i="2"/>
  <c r="AY648" i="2"/>
  <c r="AX648" i="2"/>
  <c r="AW762" i="2"/>
  <c r="BP719" i="2"/>
  <c r="BQ719" i="2" s="1"/>
  <c r="BY719" i="2" s="1"/>
  <c r="BN719" i="2"/>
  <c r="BO719" i="2" s="1"/>
  <c r="BK719" i="2"/>
  <c r="BL719" i="2" s="1"/>
  <c r="BM719" i="2" s="1"/>
  <c r="BI719" i="2"/>
  <c r="BP940" i="2"/>
  <c r="BQ940" i="2" s="1"/>
  <c r="BY940" i="2" s="1"/>
  <c r="BN940" i="2"/>
  <c r="BO940" i="2" s="1"/>
  <c r="BK940" i="2"/>
  <c r="BL940" i="2" s="1"/>
  <c r="BM940" i="2" s="1"/>
  <c r="BI940" i="2"/>
  <c r="AW1059" i="2"/>
  <c r="BN917" i="2"/>
  <c r="BO917" i="2" s="1"/>
  <c r="BP917" i="2"/>
  <c r="BQ917" i="2" s="1"/>
  <c r="BY917" i="2" s="1"/>
  <c r="BK917" i="2"/>
  <c r="BL917" i="2" s="1"/>
  <c r="BM917" i="2" s="1"/>
  <c r="BI917" i="2"/>
  <c r="AX938" i="2"/>
  <c r="AY938" i="2"/>
  <c r="AY712" i="2"/>
  <c r="AX712" i="2"/>
  <c r="AX717" i="2"/>
  <c r="AY717" i="2"/>
  <c r="AW1061" i="2"/>
  <c r="BP925" i="2"/>
  <c r="BQ925" i="2" s="1"/>
  <c r="BY925" i="2" s="1"/>
  <c r="BN925" i="2"/>
  <c r="BO925" i="2" s="1"/>
  <c r="BK925" i="2"/>
  <c r="BL925" i="2" s="1"/>
  <c r="BM925" i="2" s="1"/>
  <c r="BI925" i="2"/>
  <c r="AW1051" i="2"/>
  <c r="BP915" i="2"/>
  <c r="BQ915" i="2" s="1"/>
  <c r="BY915" i="2" s="1"/>
  <c r="BN915" i="2"/>
  <c r="BO915" i="2" s="1"/>
  <c r="BK915" i="2"/>
  <c r="BL915" i="2" s="1"/>
  <c r="BM915" i="2" s="1"/>
  <c r="BI915" i="2"/>
  <c r="AY646" i="2"/>
  <c r="AX646" i="2"/>
  <c r="AX862" i="2"/>
  <c r="AY862" i="2"/>
  <c r="AX859" i="2"/>
  <c r="AY859" i="2"/>
  <c r="AX931" i="2"/>
  <c r="AY931" i="2"/>
  <c r="AW737" i="2"/>
  <c r="AX737" i="2" s="1"/>
  <c r="BP647" i="2"/>
  <c r="BQ647" i="2" s="1"/>
  <c r="BY647" i="2" s="1"/>
  <c r="BN647" i="2"/>
  <c r="BO647" i="2" s="1"/>
  <c r="BK647" i="2"/>
  <c r="BL647" i="2" s="1"/>
  <c r="BM647" i="2" s="1"/>
  <c r="AW1074" i="2"/>
  <c r="BP944" i="2"/>
  <c r="BQ944" i="2" s="1"/>
  <c r="BY944" i="2" s="1"/>
  <c r="BN944" i="2"/>
  <c r="BO944" i="2" s="1"/>
  <c r="BK944" i="2"/>
  <c r="BL944" i="2" s="1"/>
  <c r="BM944" i="2" s="1"/>
  <c r="BI944" i="2"/>
  <c r="AW1058" i="2"/>
  <c r="BN912" i="2"/>
  <c r="BO912" i="2" s="1"/>
  <c r="BP912" i="2"/>
  <c r="BQ912" i="2" s="1"/>
  <c r="BY912" i="2" s="1"/>
  <c r="BK912" i="2"/>
  <c r="BL912" i="2" s="1"/>
  <c r="BM912" i="2" s="1"/>
  <c r="BI912" i="2"/>
  <c r="AW767" i="2"/>
  <c r="BN716" i="2"/>
  <c r="BO716" i="2" s="1"/>
  <c r="BP716" i="2"/>
  <c r="BQ716" i="2" s="1"/>
  <c r="BY716" i="2" s="1"/>
  <c r="BK716" i="2"/>
  <c r="BL716" i="2" s="1"/>
  <c r="BM716" i="2" s="1"/>
  <c r="BI716" i="2"/>
  <c r="BP1084" i="2"/>
  <c r="BQ1084" i="2" s="1"/>
  <c r="BY1084" i="2" s="1"/>
  <c r="BN1084" i="2"/>
  <c r="BO1084" i="2" s="1"/>
  <c r="BK1084" i="2"/>
  <c r="BL1084" i="2" s="1"/>
  <c r="BM1084" i="2" s="1"/>
  <c r="AX698" i="2"/>
  <c r="AY698" i="2"/>
  <c r="AX914" i="2"/>
  <c r="AY914" i="2"/>
  <c r="AW751" i="2"/>
  <c r="BP656" i="2"/>
  <c r="BQ656" i="2" s="1"/>
  <c r="BY656" i="2" s="1"/>
  <c r="BN656" i="2"/>
  <c r="BO656" i="2" s="1"/>
  <c r="BK656" i="2"/>
  <c r="BL656" i="2" s="1"/>
  <c r="BM656" i="2" s="1"/>
  <c r="AW754" i="2"/>
  <c r="BP658" i="2"/>
  <c r="BQ658" i="2" s="1"/>
  <c r="BY658" i="2" s="1"/>
  <c r="BN658" i="2"/>
  <c r="BO658" i="2" s="1"/>
  <c r="BI658" i="2"/>
  <c r="BK658" i="2"/>
  <c r="BL658" i="2" s="1"/>
  <c r="BM658" i="2" s="1"/>
  <c r="AW766" i="2"/>
  <c r="BP722" i="2"/>
  <c r="BQ722" i="2" s="1"/>
  <c r="BY722" i="2" s="1"/>
  <c r="BN722" i="2"/>
  <c r="BO722" i="2" s="1"/>
  <c r="BI722" i="2"/>
  <c r="BK722" i="2"/>
  <c r="BL722" i="2" s="1"/>
  <c r="BM722" i="2" s="1"/>
  <c r="AW1086" i="2"/>
  <c r="BP951" i="2"/>
  <c r="BQ951" i="2" s="1"/>
  <c r="BY951" i="2" s="1"/>
  <c r="BN951" i="2"/>
  <c r="BO951" i="2" s="1"/>
  <c r="BK951" i="2"/>
  <c r="BL951" i="2" s="1"/>
  <c r="BM951" i="2" s="1"/>
  <c r="BI951" i="2"/>
  <c r="AX942" i="2"/>
  <c r="AY942" i="2"/>
  <c r="L74" i="4"/>
  <c r="K74" i="4"/>
  <c r="J74" i="4"/>
  <c r="I74" i="4"/>
  <c r="H74" i="4"/>
  <c r="G74" i="4"/>
  <c r="F74" i="4"/>
  <c r="AX935" i="2"/>
  <c r="AY935" i="2"/>
  <c r="AX752" i="2"/>
  <c r="AY752" i="2"/>
  <c r="AW728" i="2"/>
  <c r="BP634" i="2"/>
  <c r="BQ634" i="2" s="1"/>
  <c r="BY634" i="2" s="1"/>
  <c r="BN634" i="2"/>
  <c r="BO634" i="2" s="1"/>
  <c r="BK634" i="2"/>
  <c r="BL634" i="2" s="1"/>
  <c r="BM634" i="2" s="1"/>
  <c r="BI634" i="2"/>
  <c r="AY636" i="2"/>
  <c r="AX636" i="2"/>
  <c r="AX644" i="2"/>
  <c r="AY644" i="2"/>
  <c r="AW738" i="2"/>
  <c r="BN663" i="2"/>
  <c r="BO663" i="2" s="1"/>
  <c r="BP663" i="2"/>
  <c r="BQ663" i="2" s="1"/>
  <c r="BY663" i="2" s="1"/>
  <c r="BK663" i="2"/>
  <c r="BL663" i="2" s="1"/>
  <c r="BM663" i="2" s="1"/>
  <c r="BI663" i="2"/>
  <c r="AX655" i="2"/>
  <c r="AY655" i="2"/>
  <c r="AX907" i="2"/>
  <c r="AY907" i="2"/>
  <c r="AX650" i="2"/>
  <c r="AY650" i="2"/>
  <c r="AW1066" i="2"/>
  <c r="BP930" i="2"/>
  <c r="BQ930" i="2" s="1"/>
  <c r="BY930" i="2" s="1"/>
  <c r="BN930" i="2"/>
  <c r="BO930" i="2" s="1"/>
  <c r="BK930" i="2"/>
  <c r="BL930" i="2" s="1"/>
  <c r="BM930" i="2" s="1"/>
  <c r="BI930" i="2"/>
  <c r="AX640" i="2"/>
  <c r="AY640" i="2"/>
  <c r="AW1055" i="2"/>
  <c r="BN916" i="2"/>
  <c r="BO916" i="2" s="1"/>
  <c r="BP916" i="2"/>
  <c r="BQ916" i="2" s="1"/>
  <c r="BY916" i="2" s="1"/>
  <c r="BK916" i="2"/>
  <c r="BL916" i="2" s="1"/>
  <c r="BM916" i="2" s="1"/>
  <c r="BI916" i="2"/>
  <c r="AW1075" i="2"/>
  <c r="BP932" i="2"/>
  <c r="BQ932" i="2" s="1"/>
  <c r="BY932" i="2" s="1"/>
  <c r="BN932" i="2"/>
  <c r="BO932" i="2" s="1"/>
  <c r="BK932" i="2"/>
  <c r="BL932" i="2" s="1"/>
  <c r="BM932" i="2" s="1"/>
  <c r="BI932" i="2"/>
  <c r="AY953" i="2"/>
  <c r="AX953" i="2"/>
  <c r="AW1063" i="2"/>
  <c r="BP927" i="2"/>
  <c r="BQ927" i="2" s="1"/>
  <c r="BY927" i="2" s="1"/>
  <c r="BN927" i="2"/>
  <c r="BO927" i="2" s="1"/>
  <c r="BK927" i="2"/>
  <c r="BL927" i="2" s="1"/>
  <c r="BM927" i="2" s="1"/>
  <c r="BI927" i="2"/>
  <c r="AX714" i="2"/>
  <c r="AY714" i="2"/>
  <c r="AX727" i="2"/>
  <c r="AY727" i="2"/>
  <c r="AY638" i="2"/>
  <c r="AX638" i="2"/>
  <c r="AX876" i="2"/>
  <c r="AY876" i="2"/>
  <c r="AX659" i="2"/>
  <c r="AY659" i="2"/>
  <c r="AY725" i="2"/>
  <c r="AX725" i="2"/>
  <c r="AW729" i="2"/>
  <c r="BN635" i="2"/>
  <c r="BO635" i="2" s="1"/>
  <c r="BP635" i="2"/>
  <c r="BQ635" i="2" s="1"/>
  <c r="BY635" i="2" s="1"/>
  <c r="BI635" i="2"/>
  <c r="BK635" i="2"/>
  <c r="BL635" i="2" s="1"/>
  <c r="BM635" i="2" s="1"/>
  <c r="AX709" i="2"/>
  <c r="AY709" i="2"/>
  <c r="AW1054" i="2"/>
  <c r="BN918" i="2"/>
  <c r="BO918" i="2" s="1"/>
  <c r="BP918" i="2"/>
  <c r="BQ918" i="2" s="1"/>
  <c r="BY918" i="2" s="1"/>
  <c r="BK918" i="2"/>
  <c r="BL918" i="2" s="1"/>
  <c r="BM918" i="2" s="1"/>
  <c r="BI918" i="2"/>
  <c r="AW768" i="2"/>
  <c r="BN710" i="2"/>
  <c r="BO710" i="2" s="1"/>
  <c r="BP710" i="2"/>
  <c r="BQ710" i="2" s="1"/>
  <c r="BY710" i="2" s="1"/>
  <c r="BK710" i="2"/>
  <c r="BL710" i="2" s="1"/>
  <c r="BM710" i="2" s="1"/>
  <c r="BI710" i="2"/>
  <c r="BP923" i="2"/>
  <c r="BQ923" i="2" s="1"/>
  <c r="BY923" i="2" s="1"/>
  <c r="BN923" i="2"/>
  <c r="BO923" i="2" s="1"/>
  <c r="BK923" i="2"/>
  <c r="BL923" i="2" s="1"/>
  <c r="BM923" i="2" s="1"/>
  <c r="AW1097" i="2"/>
  <c r="BI923" i="2"/>
  <c r="AX721" i="2"/>
  <c r="AY721" i="2"/>
  <c r="AY662" i="2"/>
  <c r="AX662" i="2"/>
  <c r="AX711" i="2"/>
  <c r="AY711" i="2"/>
  <c r="AW736" i="2"/>
  <c r="BN642" i="2"/>
  <c r="BO642" i="2" s="1"/>
  <c r="BP642" i="2"/>
  <c r="BQ642" i="2" s="1"/>
  <c r="BY642" i="2" s="1"/>
  <c r="BK642" i="2"/>
  <c r="BL642" i="2" s="1"/>
  <c r="BM642" i="2" s="1"/>
  <c r="BI642" i="2"/>
  <c r="AX661" i="2"/>
  <c r="AY661" i="2"/>
  <c r="AX928" i="2"/>
  <c r="AY928" i="2"/>
  <c r="AW1069" i="2"/>
  <c r="BN933" i="2"/>
  <c r="BO933" i="2" s="1"/>
  <c r="BP933" i="2"/>
  <c r="BQ933" i="2" s="1"/>
  <c r="BY933" i="2" s="1"/>
  <c r="BK933" i="2"/>
  <c r="BL933" i="2" s="1"/>
  <c r="BM933" i="2" s="1"/>
  <c r="BI933" i="2"/>
  <c r="AX652" i="2"/>
  <c r="AY652" i="2"/>
  <c r="AX929" i="2"/>
  <c r="AY929" i="2"/>
  <c r="AX1058" i="2" l="1"/>
  <c r="AY1058" i="2"/>
  <c r="AX768" i="2"/>
  <c r="AY768" i="2"/>
  <c r="AW745" i="2"/>
  <c r="BN650" i="2"/>
  <c r="BO650" i="2" s="1"/>
  <c r="BP650" i="2"/>
  <c r="BQ650" i="2" s="1"/>
  <c r="BY650" i="2" s="1"/>
  <c r="BK650" i="2"/>
  <c r="BL650" i="2" s="1"/>
  <c r="BM650" i="2" s="1"/>
  <c r="BI650" i="2"/>
  <c r="AW1072" i="2"/>
  <c r="BP935" i="2"/>
  <c r="BQ935" i="2" s="1"/>
  <c r="BY935" i="2" s="1"/>
  <c r="BN935" i="2"/>
  <c r="BO935" i="2" s="1"/>
  <c r="BK935" i="2"/>
  <c r="BL935" i="2" s="1"/>
  <c r="BM935" i="2" s="1"/>
  <c r="BI935" i="2"/>
  <c r="AW1007" i="2"/>
  <c r="BN862" i="2"/>
  <c r="BO862" i="2" s="1"/>
  <c r="BP862" i="2"/>
  <c r="BQ862" i="2" s="1"/>
  <c r="BY862" i="2" s="1"/>
  <c r="BK862" i="2"/>
  <c r="BL862" i="2" s="1"/>
  <c r="BM862" i="2" s="1"/>
  <c r="BI862" i="2"/>
  <c r="AY1059" i="2"/>
  <c r="AX1059" i="2"/>
  <c r="AW732" i="2"/>
  <c r="BN641" i="2"/>
  <c r="BO641" i="2" s="1"/>
  <c r="BP641" i="2"/>
  <c r="BQ641" i="2" s="1"/>
  <c r="BY641" i="2" s="1"/>
  <c r="BK641" i="2"/>
  <c r="BL641" i="2" s="1"/>
  <c r="BM641" i="2" s="1"/>
  <c r="BI641" i="2"/>
  <c r="AY1066" i="2"/>
  <c r="AX1066" i="2"/>
  <c r="AW757" i="2"/>
  <c r="BP721" i="2"/>
  <c r="BQ721" i="2" s="1"/>
  <c r="BY721" i="2" s="1"/>
  <c r="BN721" i="2"/>
  <c r="BO721" i="2" s="1"/>
  <c r="BK721" i="2"/>
  <c r="BL721" i="2" s="1"/>
  <c r="BM721" i="2" s="1"/>
  <c r="BI721" i="2"/>
  <c r="AW815" i="2"/>
  <c r="BP725" i="2"/>
  <c r="BQ725" i="2" s="1"/>
  <c r="BY725" i="2" s="1"/>
  <c r="BN725" i="2"/>
  <c r="BO725" i="2" s="1"/>
  <c r="BK725" i="2"/>
  <c r="BL725" i="2" s="1"/>
  <c r="BM725" i="2" s="1"/>
  <c r="BI725" i="2"/>
  <c r="AX754" i="2"/>
  <c r="AY754" i="2"/>
  <c r="AX1061" i="2"/>
  <c r="AY1061" i="2"/>
  <c r="AX1075" i="2"/>
  <c r="AY1075" i="2"/>
  <c r="AW1071" i="2"/>
  <c r="BN929" i="2"/>
  <c r="BO929" i="2" s="1"/>
  <c r="BP929" i="2"/>
  <c r="BQ929" i="2" s="1"/>
  <c r="BY929" i="2" s="1"/>
  <c r="BK929" i="2"/>
  <c r="BL929" i="2" s="1"/>
  <c r="BM929" i="2" s="1"/>
  <c r="BI929" i="2"/>
  <c r="AW755" i="2"/>
  <c r="BP659" i="2"/>
  <c r="BQ659" i="2" s="1"/>
  <c r="BY659" i="2" s="1"/>
  <c r="BN659" i="2"/>
  <c r="BO659" i="2" s="1"/>
  <c r="BI659" i="2"/>
  <c r="BK659" i="2"/>
  <c r="BL659" i="2" s="1"/>
  <c r="BM659" i="2" s="1"/>
  <c r="AW954" i="2"/>
  <c r="BP907" i="2"/>
  <c r="BQ907" i="2" s="1"/>
  <c r="BY907" i="2" s="1"/>
  <c r="BN907" i="2"/>
  <c r="BO907" i="2" s="1"/>
  <c r="BK907" i="2"/>
  <c r="BL907" i="2" s="1"/>
  <c r="BM907" i="2" s="1"/>
  <c r="AW730" i="2"/>
  <c r="BN636" i="2"/>
  <c r="BO636" i="2" s="1"/>
  <c r="BK636" i="2"/>
  <c r="BL636" i="2" s="1"/>
  <c r="BM636" i="2" s="1"/>
  <c r="BP636" i="2"/>
  <c r="BQ636" i="2" s="1"/>
  <c r="BY636" i="2" s="1"/>
  <c r="BI636" i="2"/>
  <c r="BP717" i="2"/>
  <c r="BQ717" i="2" s="1"/>
  <c r="BY717" i="2" s="1"/>
  <c r="BN717" i="2"/>
  <c r="BO717" i="2" s="1"/>
  <c r="AW763" i="2"/>
  <c r="AX763" i="2" s="1"/>
  <c r="BK717" i="2"/>
  <c r="BL717" i="2" s="1"/>
  <c r="BM717" i="2" s="1"/>
  <c r="AY1069" i="2"/>
  <c r="AX1069" i="2"/>
  <c r="AW764" i="2"/>
  <c r="BN714" i="2"/>
  <c r="BO714" i="2" s="1"/>
  <c r="BP714" i="2"/>
  <c r="BQ714" i="2" s="1"/>
  <c r="BY714" i="2" s="1"/>
  <c r="BK714" i="2"/>
  <c r="BL714" i="2" s="1"/>
  <c r="BM714" i="2" s="1"/>
  <c r="AW1076" i="2"/>
  <c r="BN928" i="2"/>
  <c r="BO928" i="2" s="1"/>
  <c r="BP928" i="2"/>
  <c r="BQ928" i="2" s="1"/>
  <c r="BY928" i="2" s="1"/>
  <c r="BK928" i="2"/>
  <c r="BL928" i="2" s="1"/>
  <c r="BM928" i="2" s="1"/>
  <c r="BI928" i="2"/>
  <c r="AX1057" i="2"/>
  <c r="AY1057" i="2"/>
  <c r="AW748" i="2"/>
  <c r="BP661" i="2"/>
  <c r="BQ661" i="2" s="1"/>
  <c r="BY661" i="2" s="1"/>
  <c r="BN661" i="2"/>
  <c r="BO661" i="2" s="1"/>
  <c r="BK661" i="2"/>
  <c r="BL661" i="2" s="1"/>
  <c r="BM661" i="2" s="1"/>
  <c r="BI661" i="2"/>
  <c r="AX1097" i="2"/>
  <c r="AY1097" i="2"/>
  <c r="AY1086" i="2"/>
  <c r="AX1086" i="2"/>
  <c r="AX1074" i="2"/>
  <c r="AY1074" i="2"/>
  <c r="AW740" i="2"/>
  <c r="BP646" i="2"/>
  <c r="BQ646" i="2" s="1"/>
  <c r="BY646" i="2" s="1"/>
  <c r="BN646" i="2"/>
  <c r="BO646" i="2" s="1"/>
  <c r="BK646" i="2"/>
  <c r="BL646" i="2" s="1"/>
  <c r="BM646" i="2" s="1"/>
  <c r="AX738" i="2"/>
  <c r="AY738" i="2"/>
  <c r="AW1004" i="2"/>
  <c r="BK859" i="2"/>
  <c r="BL859" i="2" s="1"/>
  <c r="BM859" i="2" s="1"/>
  <c r="BP859" i="2"/>
  <c r="BQ859" i="2" s="1"/>
  <c r="BY859" i="2" s="1"/>
  <c r="BN859" i="2"/>
  <c r="BO859" i="2" s="1"/>
  <c r="AY729" i="2"/>
  <c r="AX729" i="2"/>
  <c r="AW743" i="2"/>
  <c r="BN648" i="2"/>
  <c r="BO648" i="2" s="1"/>
  <c r="BP648" i="2"/>
  <c r="BQ648" i="2" s="1"/>
  <c r="BY648" i="2" s="1"/>
  <c r="BK648" i="2"/>
  <c r="BL648" i="2" s="1"/>
  <c r="BM648" i="2" s="1"/>
  <c r="BI648" i="2"/>
  <c r="AW753" i="2"/>
  <c r="BN652" i="2"/>
  <c r="BO652" i="2" s="1"/>
  <c r="BP652" i="2"/>
  <c r="BQ652" i="2" s="1"/>
  <c r="BY652" i="2" s="1"/>
  <c r="BK652" i="2"/>
  <c r="BL652" i="2" s="1"/>
  <c r="BM652" i="2" s="1"/>
  <c r="BI652" i="2"/>
  <c r="AX1054" i="2"/>
  <c r="AY1054" i="2"/>
  <c r="AW937" i="2"/>
  <c r="BP876" i="2"/>
  <c r="BQ876" i="2" s="1"/>
  <c r="BY876" i="2" s="1"/>
  <c r="BN876" i="2"/>
  <c r="BO876" i="2" s="1"/>
  <c r="BK876" i="2"/>
  <c r="BL876" i="2" s="1"/>
  <c r="BM876" i="2" s="1"/>
  <c r="BI876" i="2"/>
  <c r="AX1063" i="2"/>
  <c r="AY1063" i="2"/>
  <c r="AX1055" i="2"/>
  <c r="AY1055" i="2"/>
  <c r="AW750" i="2"/>
  <c r="BP655" i="2"/>
  <c r="BQ655" i="2" s="1"/>
  <c r="BY655" i="2" s="1"/>
  <c r="BN655" i="2"/>
  <c r="BO655" i="2" s="1"/>
  <c r="BK655" i="2"/>
  <c r="BL655" i="2" s="1"/>
  <c r="BM655" i="2" s="1"/>
  <c r="BI655" i="2"/>
  <c r="AX1056" i="2"/>
  <c r="AY1056" i="2"/>
  <c r="AY1052" i="2"/>
  <c r="AX1052" i="2"/>
  <c r="AY759" i="2"/>
  <c r="AX759" i="2"/>
  <c r="AW761" i="2"/>
  <c r="BP709" i="2"/>
  <c r="BQ709" i="2" s="1"/>
  <c r="BY709" i="2" s="1"/>
  <c r="BN709" i="2"/>
  <c r="BO709" i="2" s="1"/>
  <c r="BK709" i="2"/>
  <c r="BL709" i="2" s="1"/>
  <c r="BM709" i="2" s="1"/>
  <c r="BI709" i="2"/>
  <c r="AW735" i="2"/>
  <c r="BN640" i="2"/>
  <c r="BO640" i="2" s="1"/>
  <c r="BP640" i="2"/>
  <c r="BQ640" i="2" s="1"/>
  <c r="BY640" i="2" s="1"/>
  <c r="BK640" i="2"/>
  <c r="BL640" i="2" s="1"/>
  <c r="BM640" i="2" s="1"/>
  <c r="BI640" i="2"/>
  <c r="AX751" i="2"/>
  <c r="AY751" i="2"/>
  <c r="AX767" i="2"/>
  <c r="AY767" i="2"/>
  <c r="BP712" i="2"/>
  <c r="BQ712" i="2" s="1"/>
  <c r="BY712" i="2" s="1"/>
  <c r="BN712" i="2"/>
  <c r="BO712" i="2" s="1"/>
  <c r="AW746" i="2"/>
  <c r="BK712" i="2"/>
  <c r="BL712" i="2" s="1"/>
  <c r="BM712" i="2" s="1"/>
  <c r="BI712" i="2"/>
  <c r="AW1081" i="2"/>
  <c r="BP941" i="2"/>
  <c r="BQ941" i="2" s="1"/>
  <c r="BY941" i="2" s="1"/>
  <c r="BN941" i="2"/>
  <c r="BO941" i="2" s="1"/>
  <c r="BK941" i="2"/>
  <c r="BL941" i="2" s="1"/>
  <c r="BM941" i="2" s="1"/>
  <c r="BI941" i="2"/>
  <c r="AW847" i="2"/>
  <c r="BP752" i="2"/>
  <c r="BQ752" i="2" s="1"/>
  <c r="BY752" i="2" s="1"/>
  <c r="BN752" i="2"/>
  <c r="BO752" i="2" s="1"/>
  <c r="BK752" i="2"/>
  <c r="BL752" i="2" s="1"/>
  <c r="BM752" i="2" s="1"/>
  <c r="BI752" i="2"/>
  <c r="AW744" i="2"/>
  <c r="BN662" i="2"/>
  <c r="BO662" i="2" s="1"/>
  <c r="BP662" i="2"/>
  <c r="BQ662" i="2" s="1"/>
  <c r="BY662" i="2" s="1"/>
  <c r="BK662" i="2"/>
  <c r="BL662" i="2" s="1"/>
  <c r="BM662" i="2" s="1"/>
  <c r="BI662" i="2"/>
  <c r="AW739" i="2"/>
  <c r="BN644" i="2"/>
  <c r="BO644" i="2" s="1"/>
  <c r="BP644" i="2"/>
  <c r="BQ644" i="2" s="1"/>
  <c r="BY644" i="2" s="1"/>
  <c r="BK644" i="2"/>
  <c r="BL644" i="2" s="1"/>
  <c r="BM644" i="2" s="1"/>
  <c r="BI644" i="2"/>
  <c r="AW1089" i="2"/>
  <c r="BP953" i="2"/>
  <c r="BQ953" i="2" s="1"/>
  <c r="BY953" i="2" s="1"/>
  <c r="BN953" i="2"/>
  <c r="BO953" i="2" s="1"/>
  <c r="BK953" i="2"/>
  <c r="BL953" i="2" s="1"/>
  <c r="BM953" i="2" s="1"/>
  <c r="BI953" i="2"/>
  <c r="AW1064" i="2"/>
  <c r="BP914" i="2"/>
  <c r="BQ914" i="2" s="1"/>
  <c r="BY914" i="2" s="1"/>
  <c r="BN914" i="2"/>
  <c r="BO914" i="2" s="1"/>
  <c r="BI914" i="2"/>
  <c r="BK914" i="2"/>
  <c r="BL914" i="2" s="1"/>
  <c r="BM914" i="2" s="1"/>
  <c r="AW1073" i="2"/>
  <c r="BN938" i="2"/>
  <c r="BO938" i="2" s="1"/>
  <c r="BP938" i="2"/>
  <c r="BQ938" i="2" s="1"/>
  <c r="BY938" i="2" s="1"/>
  <c r="BK938" i="2"/>
  <c r="BL938" i="2" s="1"/>
  <c r="BM938" i="2" s="1"/>
  <c r="BI938" i="2"/>
  <c r="AW749" i="2"/>
  <c r="BP660" i="2"/>
  <c r="BQ660" i="2" s="1"/>
  <c r="BY660" i="2" s="1"/>
  <c r="BN660" i="2"/>
  <c r="BO660" i="2" s="1"/>
  <c r="BI660" i="2"/>
  <c r="BK660" i="2"/>
  <c r="BL660" i="2" s="1"/>
  <c r="BM660" i="2" s="1"/>
  <c r="AY733" i="2"/>
  <c r="AX733" i="2"/>
  <c r="AX736" i="2"/>
  <c r="AY736" i="2"/>
  <c r="AW734" i="2"/>
  <c r="BP638" i="2"/>
  <c r="BQ638" i="2" s="1"/>
  <c r="BY638" i="2" s="1"/>
  <c r="BN638" i="2"/>
  <c r="BO638" i="2" s="1"/>
  <c r="BK638" i="2"/>
  <c r="BL638" i="2" s="1"/>
  <c r="BM638" i="2" s="1"/>
  <c r="BI638" i="2"/>
  <c r="AX728" i="2"/>
  <c r="AY728" i="2"/>
  <c r="AW758" i="2"/>
  <c r="BP711" i="2"/>
  <c r="BQ711" i="2" s="1"/>
  <c r="BY711" i="2" s="1"/>
  <c r="BN711" i="2"/>
  <c r="BO711" i="2" s="1"/>
  <c r="BK711" i="2"/>
  <c r="BL711" i="2" s="1"/>
  <c r="BM711" i="2" s="1"/>
  <c r="BI711" i="2"/>
  <c r="AW813" i="2"/>
  <c r="BP727" i="2"/>
  <c r="BQ727" i="2" s="1"/>
  <c r="BY727" i="2" s="1"/>
  <c r="BN727" i="2"/>
  <c r="BO727" i="2" s="1"/>
  <c r="BK727" i="2"/>
  <c r="BL727" i="2" s="1"/>
  <c r="BM727" i="2" s="1"/>
  <c r="BI727" i="2"/>
  <c r="H101" i="3"/>
  <c r="H81" i="4" s="1"/>
  <c r="AX766" i="2"/>
  <c r="AY766" i="2"/>
  <c r="AW806" i="2"/>
  <c r="BK698" i="2"/>
  <c r="BL698" i="2" s="1"/>
  <c r="BM698" i="2" s="1"/>
  <c r="H70" i="3"/>
  <c r="AW1077" i="2"/>
  <c r="BP931" i="2"/>
  <c r="BQ931" i="2" s="1"/>
  <c r="BY931" i="2" s="1"/>
  <c r="BN931" i="2"/>
  <c r="BO931" i="2" s="1"/>
  <c r="BK931" i="2"/>
  <c r="BL931" i="2" s="1"/>
  <c r="BM931" i="2" s="1"/>
  <c r="BI931" i="2"/>
  <c r="AX1051" i="2"/>
  <c r="AY1051" i="2"/>
  <c r="H34" i="3"/>
  <c r="AW1079" i="2"/>
  <c r="BP942" i="2"/>
  <c r="BQ942" i="2" s="1"/>
  <c r="BY942" i="2" s="1"/>
  <c r="BN942" i="2"/>
  <c r="BO942" i="2" s="1"/>
  <c r="BK942" i="2"/>
  <c r="BL942" i="2" s="1"/>
  <c r="BM942" i="2" s="1"/>
  <c r="BI942" i="2"/>
  <c r="AX762" i="2"/>
  <c r="AY762" i="2"/>
  <c r="AX1068" i="2"/>
  <c r="AY1068" i="2"/>
  <c r="AY758" i="2" l="1"/>
  <c r="AX758" i="2"/>
  <c r="BP1063" i="2"/>
  <c r="BQ1063" i="2" s="1"/>
  <c r="BY1063" i="2" s="1"/>
  <c r="BN1063" i="2"/>
  <c r="BO1063" i="2" s="1"/>
  <c r="BK1063" i="2"/>
  <c r="BL1063" i="2" s="1"/>
  <c r="BM1063" i="2" s="1"/>
  <c r="BI1063" i="2"/>
  <c r="BP1068" i="2"/>
  <c r="BQ1068" i="2" s="1"/>
  <c r="BY1068" i="2" s="1"/>
  <c r="BN1068" i="2"/>
  <c r="BO1068" i="2" s="1"/>
  <c r="BK1068" i="2"/>
  <c r="BL1068" i="2" s="1"/>
  <c r="BM1068" i="2" s="1"/>
  <c r="BI1068" i="2"/>
  <c r="AX749" i="2"/>
  <c r="AY749" i="2"/>
  <c r="AX730" i="2"/>
  <c r="AY730" i="2"/>
  <c r="AX1079" i="2"/>
  <c r="AY1079" i="2"/>
  <c r="AX1007" i="2"/>
  <c r="AY1007" i="2"/>
  <c r="AX744" i="2"/>
  <c r="AY744" i="2"/>
  <c r="AX735" i="2"/>
  <c r="AY735" i="2"/>
  <c r="AX764" i="2"/>
  <c r="AY764" i="2"/>
  <c r="AX815" i="2"/>
  <c r="AY815" i="2"/>
  <c r="AX732" i="2"/>
  <c r="AY732" i="2"/>
  <c r="AX1072" i="2"/>
  <c r="AY1072" i="2"/>
  <c r="AW849" i="2"/>
  <c r="BP762" i="2"/>
  <c r="BQ762" i="2" s="1"/>
  <c r="BY762" i="2" s="1"/>
  <c r="BN762" i="2"/>
  <c r="BO762" i="2" s="1"/>
  <c r="BK762" i="2"/>
  <c r="BL762" i="2" s="1"/>
  <c r="BM762" i="2" s="1"/>
  <c r="BI762" i="2"/>
  <c r="AX746" i="2"/>
  <c r="AY746" i="2"/>
  <c r="AX748" i="2"/>
  <c r="AY748" i="2"/>
  <c r="AY1071" i="2"/>
  <c r="AX1071" i="2"/>
  <c r="AX813" i="2"/>
  <c r="AY813" i="2"/>
  <c r="AX734" i="2"/>
  <c r="AY734" i="2"/>
  <c r="AX1089" i="2"/>
  <c r="AY1089" i="2"/>
  <c r="AX937" i="2"/>
  <c r="AY937" i="2"/>
  <c r="AY743" i="2"/>
  <c r="AX743" i="2"/>
  <c r="AX740" i="2"/>
  <c r="AY740" i="2"/>
  <c r="BN1057" i="2"/>
  <c r="BO1057" i="2" s="1"/>
  <c r="BP1057" i="2"/>
  <c r="BQ1057" i="2" s="1"/>
  <c r="BY1057" i="2" s="1"/>
  <c r="BK1057" i="2"/>
  <c r="BL1057" i="2" s="1"/>
  <c r="BM1057" i="2" s="1"/>
  <c r="BI1057" i="2"/>
  <c r="BN1069" i="2"/>
  <c r="BO1069" i="2" s="1"/>
  <c r="BP1069" i="2"/>
  <c r="BQ1069" i="2" s="1"/>
  <c r="BY1069" i="2" s="1"/>
  <c r="BK1069" i="2"/>
  <c r="BL1069" i="2" s="1"/>
  <c r="BM1069" i="2" s="1"/>
  <c r="BI1069" i="2"/>
  <c r="BN1075" i="2"/>
  <c r="BO1075" i="2" s="1"/>
  <c r="BP1075" i="2"/>
  <c r="BQ1075" i="2" s="1"/>
  <c r="BY1075" i="2" s="1"/>
  <c r="BK1075" i="2"/>
  <c r="BL1075" i="2" s="1"/>
  <c r="BM1075" i="2" s="1"/>
  <c r="BI1075" i="2"/>
  <c r="BP1059" i="2"/>
  <c r="BQ1059" i="2" s="1"/>
  <c r="BY1059" i="2" s="1"/>
  <c r="BN1059" i="2"/>
  <c r="BO1059" i="2" s="1"/>
  <c r="BK1059" i="2"/>
  <c r="BL1059" i="2" s="1"/>
  <c r="BM1059" i="2" s="1"/>
  <c r="BI1059" i="2"/>
  <c r="AX1077" i="2"/>
  <c r="AY1077" i="2"/>
  <c r="AW828" i="2"/>
  <c r="BP736" i="2"/>
  <c r="BQ736" i="2" s="1"/>
  <c r="BY736" i="2" s="1"/>
  <c r="BN736" i="2"/>
  <c r="BO736" i="2" s="1"/>
  <c r="BK736" i="2"/>
  <c r="BL736" i="2" s="1"/>
  <c r="BM736" i="2" s="1"/>
  <c r="BI736" i="2"/>
  <c r="BP1054" i="2"/>
  <c r="BQ1054" i="2" s="1"/>
  <c r="BY1054" i="2" s="1"/>
  <c r="BN1054" i="2"/>
  <c r="BO1054" i="2" s="1"/>
  <c r="BK1054" i="2"/>
  <c r="BL1054" i="2" s="1"/>
  <c r="BM1054" i="2" s="1"/>
  <c r="BI1054" i="2"/>
  <c r="BN1074" i="2"/>
  <c r="BO1074" i="2" s="1"/>
  <c r="BP1074" i="2"/>
  <c r="BQ1074" i="2" s="1"/>
  <c r="BY1074" i="2" s="1"/>
  <c r="BK1074" i="2"/>
  <c r="BL1074" i="2" s="1"/>
  <c r="BM1074" i="2" s="1"/>
  <c r="BI1074" i="2"/>
  <c r="AX954" i="2"/>
  <c r="AY954" i="2"/>
  <c r="AX1073" i="2"/>
  <c r="AY1073" i="2"/>
  <c r="AW852" i="2"/>
  <c r="BP767" i="2"/>
  <c r="BQ767" i="2" s="1"/>
  <c r="BY767" i="2" s="1"/>
  <c r="BN767" i="2"/>
  <c r="BO767" i="2" s="1"/>
  <c r="BK767" i="2"/>
  <c r="BL767" i="2" s="1"/>
  <c r="BM767" i="2" s="1"/>
  <c r="BI767" i="2"/>
  <c r="AX750" i="2"/>
  <c r="AY750" i="2"/>
  <c r="AW821" i="2"/>
  <c r="BN729" i="2"/>
  <c r="BO729" i="2" s="1"/>
  <c r="BP729" i="2"/>
  <c r="BQ729" i="2" s="1"/>
  <c r="BY729" i="2" s="1"/>
  <c r="BK729" i="2"/>
  <c r="BL729" i="2" s="1"/>
  <c r="BM729" i="2" s="1"/>
  <c r="BI729" i="2"/>
  <c r="BP1061" i="2"/>
  <c r="BQ1061" i="2" s="1"/>
  <c r="BY1061" i="2" s="1"/>
  <c r="BN1061" i="2"/>
  <c r="BO1061" i="2" s="1"/>
  <c r="BK1061" i="2"/>
  <c r="BL1061" i="2" s="1"/>
  <c r="BM1061" i="2" s="1"/>
  <c r="BI1061" i="2"/>
  <c r="AW850" i="2"/>
  <c r="BN766" i="2"/>
  <c r="BO766" i="2" s="1"/>
  <c r="BP766" i="2"/>
  <c r="BQ766" i="2" s="1"/>
  <c r="BY766" i="2" s="1"/>
  <c r="BK766" i="2"/>
  <c r="BL766" i="2" s="1"/>
  <c r="BM766" i="2" s="1"/>
  <c r="BI766" i="2"/>
  <c r="AW857" i="2"/>
  <c r="BN759" i="2"/>
  <c r="BO759" i="2" s="1"/>
  <c r="BP759" i="2"/>
  <c r="BQ759" i="2" s="1"/>
  <c r="BY759" i="2" s="1"/>
  <c r="BK759" i="2"/>
  <c r="BL759" i="2" s="1"/>
  <c r="BM759" i="2" s="1"/>
  <c r="BI759" i="2"/>
  <c r="BP1066" i="2"/>
  <c r="BQ1066" i="2" s="1"/>
  <c r="BY1066" i="2" s="1"/>
  <c r="BN1066" i="2"/>
  <c r="BO1066" i="2" s="1"/>
  <c r="BK1066" i="2"/>
  <c r="BL1066" i="2" s="1"/>
  <c r="BM1066" i="2" s="1"/>
  <c r="BI1066" i="2"/>
  <c r="AX847" i="2"/>
  <c r="AY847" i="2"/>
  <c r="AY761" i="2"/>
  <c r="AX761" i="2"/>
  <c r="BP1055" i="2"/>
  <c r="BQ1055" i="2" s="1"/>
  <c r="BY1055" i="2" s="1"/>
  <c r="BN1055" i="2"/>
  <c r="BO1055" i="2" s="1"/>
  <c r="BK1055" i="2"/>
  <c r="BL1055" i="2" s="1"/>
  <c r="BM1055" i="2" s="1"/>
  <c r="BI1055" i="2"/>
  <c r="AX757" i="2"/>
  <c r="AY757" i="2"/>
  <c r="AX745" i="2"/>
  <c r="AY745" i="2"/>
  <c r="AX739" i="2"/>
  <c r="AY739" i="2"/>
  <c r="AX806" i="2"/>
  <c r="AY806" i="2"/>
  <c r="AW827" i="2"/>
  <c r="BN733" i="2"/>
  <c r="BO733" i="2" s="1"/>
  <c r="BP733" i="2"/>
  <c r="BQ733" i="2" s="1"/>
  <c r="BY733" i="2" s="1"/>
  <c r="BK733" i="2"/>
  <c r="BL733" i="2" s="1"/>
  <c r="BM733" i="2" s="1"/>
  <c r="BI733" i="2"/>
  <c r="BP751" i="2"/>
  <c r="BQ751" i="2" s="1"/>
  <c r="BY751" i="2" s="1"/>
  <c r="BN751" i="2"/>
  <c r="BO751" i="2" s="1"/>
  <c r="AW840" i="2"/>
  <c r="AX840" i="2" s="1"/>
  <c r="BK751" i="2"/>
  <c r="BL751" i="2" s="1"/>
  <c r="BM751" i="2" s="1"/>
  <c r="BP1086" i="2"/>
  <c r="BQ1086" i="2" s="1"/>
  <c r="BY1086" i="2" s="1"/>
  <c r="BN1086" i="2"/>
  <c r="BO1086" i="2" s="1"/>
  <c r="BK1086" i="2"/>
  <c r="BL1086" i="2" s="1"/>
  <c r="BM1086" i="2" s="1"/>
  <c r="BI1086" i="2"/>
  <c r="AW851" i="2"/>
  <c r="BP754" i="2"/>
  <c r="BQ754" i="2" s="1"/>
  <c r="BY754" i="2" s="1"/>
  <c r="BN754" i="2"/>
  <c r="BO754" i="2" s="1"/>
  <c r="BK754" i="2"/>
  <c r="BL754" i="2" s="1"/>
  <c r="BM754" i="2" s="1"/>
  <c r="BI754" i="2"/>
  <c r="BP768" i="2"/>
  <c r="BQ768" i="2" s="1"/>
  <c r="BY768" i="2" s="1"/>
  <c r="BN768" i="2"/>
  <c r="BO768" i="2" s="1"/>
  <c r="AW835" i="2"/>
  <c r="BK768" i="2"/>
  <c r="BL768" i="2" s="1"/>
  <c r="BM768" i="2" s="1"/>
  <c r="BI768" i="2"/>
  <c r="AW820" i="2"/>
  <c r="BP728" i="2"/>
  <c r="BQ728" i="2" s="1"/>
  <c r="BY728" i="2" s="1"/>
  <c r="BN728" i="2"/>
  <c r="BO728" i="2" s="1"/>
  <c r="BK728" i="2"/>
  <c r="BL728" i="2" s="1"/>
  <c r="BM728" i="2" s="1"/>
  <c r="BI728" i="2"/>
  <c r="AX1004" i="2"/>
  <c r="AY1004" i="2"/>
  <c r="AX1076" i="2"/>
  <c r="AY1076" i="2"/>
  <c r="AY755" i="2"/>
  <c r="AX755" i="2"/>
  <c r="BP1058" i="2"/>
  <c r="BQ1058" i="2" s="1"/>
  <c r="BY1058" i="2" s="1"/>
  <c r="BN1058" i="2"/>
  <c r="BO1058" i="2" s="1"/>
  <c r="BK1058" i="2"/>
  <c r="BL1058" i="2" s="1"/>
  <c r="BM1058" i="2" s="1"/>
  <c r="BI1058" i="2"/>
  <c r="BN1097" i="2"/>
  <c r="BO1097" i="2" s="1"/>
  <c r="BP1097" i="2"/>
  <c r="BQ1097" i="2" s="1"/>
  <c r="BY1097" i="2" s="1"/>
  <c r="BK1097" i="2"/>
  <c r="BL1097" i="2" s="1"/>
  <c r="BM1097" i="2" s="1"/>
  <c r="BI1097" i="2"/>
  <c r="BP1051" i="2"/>
  <c r="BQ1051" i="2" s="1"/>
  <c r="BY1051" i="2" s="1"/>
  <c r="BN1051" i="2"/>
  <c r="BO1051" i="2" s="1"/>
  <c r="BK1051" i="2"/>
  <c r="BL1051" i="2" s="1"/>
  <c r="BM1051" i="2" s="1"/>
  <c r="BI1051" i="2"/>
  <c r="AY1064" i="2"/>
  <c r="AX1064" i="2"/>
  <c r="BP1052" i="2"/>
  <c r="BQ1052" i="2" s="1"/>
  <c r="BY1052" i="2" s="1"/>
  <c r="BN1052" i="2"/>
  <c r="BO1052" i="2" s="1"/>
  <c r="BK1052" i="2"/>
  <c r="BL1052" i="2" s="1"/>
  <c r="BM1052" i="2" s="1"/>
  <c r="BI1052" i="2"/>
  <c r="AX753" i="2"/>
  <c r="AY753" i="2"/>
  <c r="AW860" i="2"/>
  <c r="BP738" i="2"/>
  <c r="BQ738" i="2" s="1"/>
  <c r="BY738" i="2" s="1"/>
  <c r="BN738" i="2"/>
  <c r="BO738" i="2" s="1"/>
  <c r="BK738" i="2"/>
  <c r="BL738" i="2" s="1"/>
  <c r="BM738" i="2" s="1"/>
  <c r="BI738" i="2"/>
  <c r="AX1081" i="2"/>
  <c r="AY1081" i="2"/>
  <c r="BP1056" i="2"/>
  <c r="BQ1056" i="2" s="1"/>
  <c r="BY1056" i="2" s="1"/>
  <c r="BN1056" i="2"/>
  <c r="BO1056" i="2" s="1"/>
  <c r="BK1056" i="2"/>
  <c r="BL1056" i="2" s="1"/>
  <c r="BM1056" i="2" s="1"/>
  <c r="BI1056" i="2"/>
  <c r="AX828" i="2" l="1"/>
  <c r="AY828" i="2"/>
  <c r="AX850" i="2"/>
  <c r="AY850" i="2"/>
  <c r="AW823" i="2"/>
  <c r="BP734" i="2"/>
  <c r="BQ734" i="2" s="1"/>
  <c r="BY734" i="2" s="1"/>
  <c r="BN734" i="2"/>
  <c r="BO734" i="2" s="1"/>
  <c r="BK734" i="2"/>
  <c r="BL734" i="2" s="1"/>
  <c r="BM734" i="2" s="1"/>
  <c r="BI734" i="2"/>
  <c r="AW855" i="2"/>
  <c r="BP757" i="2"/>
  <c r="BQ757" i="2" s="1"/>
  <c r="BY757" i="2" s="1"/>
  <c r="BN757" i="2"/>
  <c r="BO757" i="2" s="1"/>
  <c r="BK757" i="2"/>
  <c r="BL757" i="2" s="1"/>
  <c r="BM757" i="2" s="1"/>
  <c r="BI757" i="2"/>
  <c r="AW858" i="2"/>
  <c r="BP744" i="2"/>
  <c r="BQ744" i="2" s="1"/>
  <c r="BY744" i="2" s="1"/>
  <c r="BN744" i="2"/>
  <c r="BO744" i="2" s="1"/>
  <c r="BK744" i="2"/>
  <c r="BL744" i="2" s="1"/>
  <c r="BM744" i="2" s="1"/>
  <c r="BI744" i="2"/>
  <c r="AW839" i="2"/>
  <c r="BP753" i="2"/>
  <c r="BQ753" i="2" s="1"/>
  <c r="BY753" i="2" s="1"/>
  <c r="BN753" i="2"/>
  <c r="BO753" i="2" s="1"/>
  <c r="BK753" i="2"/>
  <c r="BL753" i="2" s="1"/>
  <c r="BM753" i="2" s="1"/>
  <c r="BI753" i="2"/>
  <c r="AW856" i="2"/>
  <c r="BP749" i="2"/>
  <c r="BQ749" i="2" s="1"/>
  <c r="BY749" i="2" s="1"/>
  <c r="BN749" i="2"/>
  <c r="BO749" i="2" s="1"/>
  <c r="BK749" i="2"/>
  <c r="BL749" i="2" s="1"/>
  <c r="BM749" i="2" s="1"/>
  <c r="BI749" i="2"/>
  <c r="BP750" i="2"/>
  <c r="BQ750" i="2" s="1"/>
  <c r="BY750" i="2" s="1"/>
  <c r="AW848" i="2"/>
  <c r="BN750" i="2"/>
  <c r="BO750" i="2" s="1"/>
  <c r="BK750" i="2"/>
  <c r="BL750" i="2" s="1"/>
  <c r="BM750" i="2" s="1"/>
  <c r="BI750" i="2"/>
  <c r="BP1004" i="2"/>
  <c r="BQ1004" i="2" s="1"/>
  <c r="BY1004" i="2" s="1"/>
  <c r="AW1040" i="2"/>
  <c r="BN1004" i="2"/>
  <c r="BO1004" i="2" s="1"/>
  <c r="BK1004" i="2"/>
  <c r="BL1004" i="2" s="1"/>
  <c r="BM1004" i="2" s="1"/>
  <c r="BI1004" i="2"/>
  <c r="BP1081" i="2"/>
  <c r="BQ1081" i="2" s="1"/>
  <c r="BY1081" i="2" s="1"/>
  <c r="BN1081" i="2"/>
  <c r="BO1081" i="2" s="1"/>
  <c r="BK1081" i="2"/>
  <c r="BL1081" i="2" s="1"/>
  <c r="BM1081" i="2" s="1"/>
  <c r="BI1081" i="2"/>
  <c r="G34" i="3"/>
  <c r="BN813" i="2"/>
  <c r="BO813" i="2" s="1"/>
  <c r="BP813" i="2"/>
  <c r="BQ813" i="2" s="1"/>
  <c r="BY813" i="2" s="1"/>
  <c r="BK813" i="2"/>
  <c r="BL813" i="2" s="1"/>
  <c r="BM813" i="2" s="1"/>
  <c r="AX849" i="2"/>
  <c r="AY849" i="2"/>
  <c r="BN1089" i="2"/>
  <c r="BO1089" i="2" s="1"/>
  <c r="BP1089" i="2"/>
  <c r="BQ1089" i="2" s="1"/>
  <c r="BY1089" i="2" s="1"/>
  <c r="BK1089" i="2"/>
  <c r="BL1089" i="2" s="1"/>
  <c r="BM1089" i="2" s="1"/>
  <c r="BI1089" i="2"/>
  <c r="AW826" i="2"/>
  <c r="BN735" i="2"/>
  <c r="BO735" i="2" s="1"/>
  <c r="BP735" i="2"/>
  <c r="BQ735" i="2" s="1"/>
  <c r="BY735" i="2" s="1"/>
  <c r="BK735" i="2"/>
  <c r="BL735" i="2" s="1"/>
  <c r="BM735" i="2" s="1"/>
  <c r="BI735" i="2"/>
  <c r="BP1072" i="2"/>
  <c r="BQ1072" i="2" s="1"/>
  <c r="BY1072" i="2" s="1"/>
  <c r="BN1072" i="2"/>
  <c r="BO1072" i="2" s="1"/>
  <c r="BK1072" i="2"/>
  <c r="BL1072" i="2" s="1"/>
  <c r="BM1072" i="2" s="1"/>
  <c r="BI1072" i="2"/>
  <c r="AW1047" i="2"/>
  <c r="BP1007" i="2"/>
  <c r="BQ1007" i="2" s="1"/>
  <c r="BY1007" i="2" s="1"/>
  <c r="BN1007" i="2"/>
  <c r="BO1007" i="2" s="1"/>
  <c r="BK1007" i="2"/>
  <c r="BL1007" i="2" s="1"/>
  <c r="BM1007" i="2" s="1"/>
  <c r="BI1007" i="2"/>
  <c r="AX821" i="2"/>
  <c r="AY821" i="2"/>
  <c r="AW842" i="2"/>
  <c r="BP745" i="2"/>
  <c r="BQ745" i="2" s="1"/>
  <c r="BY745" i="2" s="1"/>
  <c r="BN745" i="2"/>
  <c r="BO745" i="2" s="1"/>
  <c r="BK745" i="2"/>
  <c r="BL745" i="2" s="1"/>
  <c r="BM745" i="2" s="1"/>
  <c r="BI745" i="2"/>
  <c r="AX852" i="2"/>
  <c r="AY852" i="2"/>
  <c r="AW831" i="2"/>
  <c r="BP740" i="2"/>
  <c r="BQ740" i="2" s="1"/>
  <c r="BY740" i="2" s="1"/>
  <c r="BN740" i="2"/>
  <c r="BO740" i="2" s="1"/>
  <c r="BK740" i="2"/>
  <c r="BL740" i="2" s="1"/>
  <c r="BM740" i="2" s="1"/>
  <c r="BI740" i="2"/>
  <c r="BP1076" i="2"/>
  <c r="BQ1076" i="2" s="1"/>
  <c r="BY1076" i="2" s="1"/>
  <c r="BN1076" i="2"/>
  <c r="BO1076" i="2" s="1"/>
  <c r="BI1076" i="2"/>
  <c r="BK1076" i="2"/>
  <c r="BL1076" i="2" s="1"/>
  <c r="BM1076" i="2" s="1"/>
  <c r="BN1064" i="2"/>
  <c r="BO1064" i="2" s="1"/>
  <c r="BP1064" i="2"/>
  <c r="BQ1064" i="2" s="1"/>
  <c r="BY1064" i="2" s="1"/>
  <c r="BK1064" i="2"/>
  <c r="BL1064" i="2" s="1"/>
  <c r="BM1064" i="2" s="1"/>
  <c r="BI1064" i="2"/>
  <c r="AX851" i="2"/>
  <c r="AY851" i="2"/>
  <c r="BN1073" i="2"/>
  <c r="BO1073" i="2" s="1"/>
  <c r="BP1073" i="2"/>
  <c r="BQ1073" i="2" s="1"/>
  <c r="BY1073" i="2" s="1"/>
  <c r="BK1073" i="2"/>
  <c r="BL1073" i="2" s="1"/>
  <c r="BM1073" i="2" s="1"/>
  <c r="BI1073" i="2"/>
  <c r="BN1071" i="2"/>
  <c r="BO1071" i="2" s="1"/>
  <c r="BP1071" i="2"/>
  <c r="BQ1071" i="2" s="1"/>
  <c r="BY1071" i="2" s="1"/>
  <c r="BK1071" i="2"/>
  <c r="BL1071" i="2" s="1"/>
  <c r="BM1071" i="2" s="1"/>
  <c r="BI1071" i="2"/>
  <c r="AW825" i="2"/>
  <c r="BP732" i="2"/>
  <c r="BQ732" i="2" s="1"/>
  <c r="BY732" i="2" s="1"/>
  <c r="BN732" i="2"/>
  <c r="BO732" i="2" s="1"/>
  <c r="BK732" i="2"/>
  <c r="BL732" i="2" s="1"/>
  <c r="BM732" i="2" s="1"/>
  <c r="BI732" i="2"/>
  <c r="BN1079" i="2"/>
  <c r="BO1079" i="2" s="1"/>
  <c r="BP1079" i="2"/>
  <c r="BQ1079" i="2" s="1"/>
  <c r="BY1079" i="2" s="1"/>
  <c r="BK1079" i="2"/>
  <c r="BL1079" i="2" s="1"/>
  <c r="BM1079" i="2" s="1"/>
  <c r="BI1079" i="2"/>
  <c r="AW992" i="2"/>
  <c r="BN847" i="2"/>
  <c r="BO847" i="2" s="1"/>
  <c r="BP847" i="2"/>
  <c r="BQ847" i="2" s="1"/>
  <c r="BY847" i="2" s="1"/>
  <c r="BK847" i="2"/>
  <c r="BL847" i="2" s="1"/>
  <c r="BM847" i="2" s="1"/>
  <c r="BI847" i="2"/>
  <c r="AW853" i="2"/>
  <c r="BN764" i="2"/>
  <c r="BO764" i="2" s="1"/>
  <c r="BP764" i="2"/>
  <c r="BQ764" i="2" s="1"/>
  <c r="BY764" i="2" s="1"/>
  <c r="BK764" i="2"/>
  <c r="BL764" i="2" s="1"/>
  <c r="BM764" i="2" s="1"/>
  <c r="AY820" i="2"/>
  <c r="AX820" i="2"/>
  <c r="AX827" i="2"/>
  <c r="AY827" i="2"/>
  <c r="AW846" i="2"/>
  <c r="BP748" i="2"/>
  <c r="BQ748" i="2" s="1"/>
  <c r="BY748" i="2" s="1"/>
  <c r="BN748" i="2"/>
  <c r="BO748" i="2" s="1"/>
  <c r="BK748" i="2"/>
  <c r="BL748" i="2" s="1"/>
  <c r="BM748" i="2" s="1"/>
  <c r="BI748" i="2"/>
  <c r="BP1077" i="2"/>
  <c r="BQ1077" i="2" s="1"/>
  <c r="BY1077" i="2" s="1"/>
  <c r="BN1077" i="2"/>
  <c r="BO1077" i="2" s="1"/>
  <c r="BK1077" i="2"/>
  <c r="BL1077" i="2" s="1"/>
  <c r="BM1077" i="2" s="1"/>
  <c r="BI1077" i="2"/>
  <c r="G101" i="3"/>
  <c r="H82" i="4" s="1"/>
  <c r="AW896" i="2"/>
  <c r="BK806" i="2"/>
  <c r="BL806" i="2" s="1"/>
  <c r="BM806" i="2" s="1"/>
  <c r="G70" i="3"/>
  <c r="AX857" i="2"/>
  <c r="AY857" i="2"/>
  <c r="AW1091" i="2"/>
  <c r="BN954" i="2"/>
  <c r="BO954" i="2" s="1"/>
  <c r="BP954" i="2"/>
  <c r="BQ954" i="2" s="1"/>
  <c r="BY954" i="2" s="1"/>
  <c r="BK954" i="2"/>
  <c r="BL954" i="2" s="1"/>
  <c r="BM954" i="2" s="1"/>
  <c r="BP743" i="2"/>
  <c r="BQ743" i="2" s="1"/>
  <c r="BY743" i="2" s="1"/>
  <c r="AW836" i="2"/>
  <c r="BN743" i="2"/>
  <c r="BO743" i="2" s="1"/>
  <c r="BK743" i="2"/>
  <c r="BL743" i="2" s="1"/>
  <c r="BM743" i="2" s="1"/>
  <c r="BI743" i="2"/>
  <c r="AW906" i="2"/>
  <c r="BP815" i="2"/>
  <c r="BQ815" i="2" s="1"/>
  <c r="BY815" i="2" s="1"/>
  <c r="BN815" i="2"/>
  <c r="BO815" i="2" s="1"/>
  <c r="BK815" i="2"/>
  <c r="BL815" i="2" s="1"/>
  <c r="BM815" i="2" s="1"/>
  <c r="BI815" i="2"/>
  <c r="AW824" i="2"/>
  <c r="BP730" i="2"/>
  <c r="BQ730" i="2" s="1"/>
  <c r="BY730" i="2" s="1"/>
  <c r="BN730" i="2"/>
  <c r="BO730" i="2" s="1"/>
  <c r="BK730" i="2"/>
  <c r="BL730" i="2" s="1"/>
  <c r="BM730" i="2" s="1"/>
  <c r="BI730" i="2"/>
  <c r="AW829" i="2"/>
  <c r="BN739" i="2"/>
  <c r="BO739" i="2" s="1"/>
  <c r="BP739" i="2"/>
  <c r="BQ739" i="2" s="1"/>
  <c r="BY739" i="2" s="1"/>
  <c r="BK739" i="2"/>
  <c r="BL739" i="2" s="1"/>
  <c r="BM739" i="2" s="1"/>
  <c r="BI739" i="2"/>
  <c r="AX835" i="2"/>
  <c r="AY835" i="2"/>
  <c r="AX860" i="2"/>
  <c r="AY860" i="2"/>
  <c r="AW843" i="2"/>
  <c r="BN755" i="2"/>
  <c r="BO755" i="2" s="1"/>
  <c r="BP755" i="2"/>
  <c r="BQ755" i="2" s="1"/>
  <c r="BY755" i="2" s="1"/>
  <c r="BK755" i="2"/>
  <c r="BL755" i="2" s="1"/>
  <c r="BM755" i="2" s="1"/>
  <c r="BI755" i="2"/>
  <c r="AW837" i="2"/>
  <c r="BP761" i="2"/>
  <c r="BQ761" i="2" s="1"/>
  <c r="BY761" i="2" s="1"/>
  <c r="BN761" i="2"/>
  <c r="BO761" i="2" s="1"/>
  <c r="BK761" i="2"/>
  <c r="BL761" i="2" s="1"/>
  <c r="BM761" i="2" s="1"/>
  <c r="BI761" i="2"/>
  <c r="AW1080" i="2"/>
  <c r="BP937" i="2"/>
  <c r="BQ937" i="2" s="1"/>
  <c r="BY937" i="2" s="1"/>
  <c r="BN937" i="2"/>
  <c r="BO937" i="2" s="1"/>
  <c r="BK937" i="2"/>
  <c r="BL937" i="2" s="1"/>
  <c r="BM937" i="2" s="1"/>
  <c r="BI937" i="2"/>
  <c r="AW838" i="2"/>
  <c r="BP746" i="2"/>
  <c r="BQ746" i="2" s="1"/>
  <c r="BY746" i="2" s="1"/>
  <c r="BN746" i="2"/>
  <c r="BO746" i="2" s="1"/>
  <c r="BK746" i="2"/>
  <c r="BL746" i="2" s="1"/>
  <c r="BM746" i="2" s="1"/>
  <c r="BI746" i="2"/>
  <c r="AW834" i="2"/>
  <c r="BP758" i="2"/>
  <c r="BQ758" i="2" s="1"/>
  <c r="BY758" i="2" s="1"/>
  <c r="BN758" i="2"/>
  <c r="BO758" i="2" s="1"/>
  <c r="BK758" i="2"/>
  <c r="BL758" i="2" s="1"/>
  <c r="BM758" i="2" s="1"/>
  <c r="BI758" i="2"/>
  <c r="AX836" i="2" l="1"/>
  <c r="AY836" i="2"/>
  <c r="AW965" i="2"/>
  <c r="BN820" i="2"/>
  <c r="BO820" i="2" s="1"/>
  <c r="BP820" i="2"/>
  <c r="BQ820" i="2" s="1"/>
  <c r="BY820" i="2" s="1"/>
  <c r="BK820" i="2"/>
  <c r="BL820" i="2" s="1"/>
  <c r="BM820" i="2" s="1"/>
  <c r="BI820" i="2"/>
  <c r="AX842" i="2"/>
  <c r="AY842" i="2"/>
  <c r="AX855" i="2"/>
  <c r="AY855" i="2"/>
  <c r="AX843" i="2"/>
  <c r="AY843" i="2"/>
  <c r="AW966" i="2"/>
  <c r="BN821" i="2"/>
  <c r="BO821" i="2" s="1"/>
  <c r="BP821" i="2"/>
  <c r="BQ821" i="2" s="1"/>
  <c r="BY821" i="2" s="1"/>
  <c r="BK821" i="2"/>
  <c r="BL821" i="2" s="1"/>
  <c r="BM821" i="2" s="1"/>
  <c r="BI821" i="2"/>
  <c r="AW1005" i="2"/>
  <c r="BP860" i="2"/>
  <c r="BQ860" i="2" s="1"/>
  <c r="BY860" i="2" s="1"/>
  <c r="BN860" i="2"/>
  <c r="BO860" i="2" s="1"/>
  <c r="BK860" i="2"/>
  <c r="BL860" i="2" s="1"/>
  <c r="BM860" i="2" s="1"/>
  <c r="BI860" i="2"/>
  <c r="AX839" i="2"/>
  <c r="AY839" i="2"/>
  <c r="AX834" i="2"/>
  <c r="AY834" i="2"/>
  <c r="AX1080" i="2"/>
  <c r="AY1080" i="2"/>
  <c r="AX824" i="2"/>
  <c r="AY824" i="2"/>
  <c r="AW996" i="2"/>
  <c r="BN851" i="2"/>
  <c r="BO851" i="2" s="1"/>
  <c r="BP851" i="2"/>
  <c r="BQ851" i="2" s="1"/>
  <c r="BY851" i="2" s="1"/>
  <c r="BK851" i="2"/>
  <c r="BL851" i="2" s="1"/>
  <c r="BM851" i="2" s="1"/>
  <c r="BI851" i="2"/>
  <c r="AX848" i="2"/>
  <c r="AY848" i="2"/>
  <c r="AW980" i="2"/>
  <c r="BP835" i="2"/>
  <c r="BQ835" i="2" s="1"/>
  <c r="BY835" i="2" s="1"/>
  <c r="BN835" i="2"/>
  <c r="BO835" i="2" s="1"/>
  <c r="BK835" i="2"/>
  <c r="BL835" i="2" s="1"/>
  <c r="BM835" i="2" s="1"/>
  <c r="BI835" i="2"/>
  <c r="AX853" i="2"/>
  <c r="AY853" i="2"/>
  <c r="AY826" i="2"/>
  <c r="AX826" i="2"/>
  <c r="AX1091" i="2"/>
  <c r="AY1091" i="2"/>
  <c r="AX831" i="2"/>
  <c r="AY831" i="2"/>
  <c r="AX823" i="2"/>
  <c r="AY823" i="2"/>
  <c r="AW1002" i="2"/>
  <c r="BP857" i="2"/>
  <c r="BQ857" i="2" s="1"/>
  <c r="BY857" i="2" s="1"/>
  <c r="BN857" i="2"/>
  <c r="BO857" i="2" s="1"/>
  <c r="BK857" i="2"/>
  <c r="BL857" i="2" s="1"/>
  <c r="BM857" i="2" s="1"/>
  <c r="BI857" i="2"/>
  <c r="AX825" i="2"/>
  <c r="AY825" i="2"/>
  <c r="AW997" i="2"/>
  <c r="BP852" i="2"/>
  <c r="BQ852" i="2" s="1"/>
  <c r="BY852" i="2" s="1"/>
  <c r="BN852" i="2"/>
  <c r="BO852" i="2" s="1"/>
  <c r="BK852" i="2"/>
  <c r="BL852" i="2" s="1"/>
  <c r="BM852" i="2" s="1"/>
  <c r="BI852" i="2"/>
  <c r="AW995" i="2"/>
  <c r="BP850" i="2"/>
  <c r="BQ850" i="2" s="1"/>
  <c r="BY850" i="2" s="1"/>
  <c r="BN850" i="2"/>
  <c r="BO850" i="2" s="1"/>
  <c r="BK850" i="2"/>
  <c r="BL850" i="2" s="1"/>
  <c r="BM850" i="2" s="1"/>
  <c r="BI850" i="2"/>
  <c r="AX1047" i="2"/>
  <c r="AY1047" i="2"/>
  <c r="AX858" i="2"/>
  <c r="AY858" i="2"/>
  <c r="AX838" i="2"/>
  <c r="AY838" i="2"/>
  <c r="AX837" i="2"/>
  <c r="AY837" i="2"/>
  <c r="AX906" i="2"/>
  <c r="AY906" i="2"/>
  <c r="AX846" i="2"/>
  <c r="AY846" i="2"/>
  <c r="AW973" i="2"/>
  <c r="BP828" i="2"/>
  <c r="BQ828" i="2" s="1"/>
  <c r="BY828" i="2" s="1"/>
  <c r="BN828" i="2"/>
  <c r="BO828" i="2" s="1"/>
  <c r="BK828" i="2"/>
  <c r="BL828" i="2" s="1"/>
  <c r="BM828" i="2" s="1"/>
  <c r="BI828" i="2"/>
  <c r="AW972" i="2"/>
  <c r="BN827" i="2"/>
  <c r="BO827" i="2" s="1"/>
  <c r="BP827" i="2"/>
  <c r="BQ827" i="2" s="1"/>
  <c r="BY827" i="2" s="1"/>
  <c r="BK827" i="2"/>
  <c r="BL827" i="2" s="1"/>
  <c r="BM827" i="2" s="1"/>
  <c r="BI827" i="2"/>
  <c r="AX992" i="2"/>
  <c r="AY992" i="2"/>
  <c r="AW994" i="2"/>
  <c r="BP849" i="2"/>
  <c r="BQ849" i="2" s="1"/>
  <c r="BY849" i="2" s="1"/>
  <c r="BN849" i="2"/>
  <c r="BO849" i="2" s="1"/>
  <c r="BK849" i="2"/>
  <c r="BL849" i="2" s="1"/>
  <c r="BM849" i="2" s="1"/>
  <c r="BI849" i="2"/>
  <c r="AX856" i="2"/>
  <c r="AY856" i="2"/>
  <c r="AX829" i="2"/>
  <c r="AY829" i="2"/>
  <c r="AX896" i="2"/>
  <c r="AY896" i="2"/>
  <c r="AX1040" i="2"/>
  <c r="AY1040" i="2"/>
  <c r="F34" i="3" l="1"/>
  <c r="BP992" i="2"/>
  <c r="BQ992" i="2" s="1"/>
  <c r="BY992" i="2" s="1"/>
  <c r="AW1027" i="2"/>
  <c r="BN992" i="2"/>
  <c r="BO992" i="2" s="1"/>
  <c r="BK992" i="2"/>
  <c r="BL992" i="2" s="1"/>
  <c r="BM992" i="2" s="1"/>
  <c r="BI992" i="2"/>
  <c r="AW991" i="2"/>
  <c r="BP846" i="2"/>
  <c r="BQ846" i="2" s="1"/>
  <c r="BY846" i="2" s="1"/>
  <c r="BN846" i="2"/>
  <c r="BO846" i="2" s="1"/>
  <c r="BK846" i="2"/>
  <c r="BL846" i="2" s="1"/>
  <c r="BM846" i="2" s="1"/>
  <c r="BI846" i="2"/>
  <c r="AW971" i="2"/>
  <c r="BP826" i="2"/>
  <c r="BQ826" i="2" s="1"/>
  <c r="BY826" i="2" s="1"/>
  <c r="BN826" i="2"/>
  <c r="BO826" i="2" s="1"/>
  <c r="BK826" i="2"/>
  <c r="BL826" i="2" s="1"/>
  <c r="BM826" i="2" s="1"/>
  <c r="BI826" i="2"/>
  <c r="AW962" i="2"/>
  <c r="BK896" i="2"/>
  <c r="BL896" i="2" s="1"/>
  <c r="BM896" i="2" s="1"/>
  <c r="F70" i="3"/>
  <c r="AW998" i="2"/>
  <c r="BP853" i="2"/>
  <c r="BQ853" i="2" s="1"/>
  <c r="BY853" i="2" s="1"/>
  <c r="BN853" i="2"/>
  <c r="BO853" i="2" s="1"/>
  <c r="BK853" i="2"/>
  <c r="BL853" i="2" s="1"/>
  <c r="BM853" i="2" s="1"/>
  <c r="AW987" i="2"/>
  <c r="BP842" i="2"/>
  <c r="BQ842" i="2" s="1"/>
  <c r="BY842" i="2" s="1"/>
  <c r="BN842" i="2"/>
  <c r="BO842" i="2" s="1"/>
  <c r="BK842" i="2"/>
  <c r="BL842" i="2" s="1"/>
  <c r="BM842" i="2" s="1"/>
  <c r="BI842" i="2"/>
  <c r="AW952" i="2"/>
  <c r="BP906" i="2"/>
  <c r="BQ906" i="2" s="1"/>
  <c r="BY906" i="2" s="1"/>
  <c r="BN906" i="2"/>
  <c r="BO906" i="2" s="1"/>
  <c r="BK906" i="2"/>
  <c r="BL906" i="2" s="1"/>
  <c r="BM906" i="2" s="1"/>
  <c r="BI906" i="2"/>
  <c r="AY996" i="2"/>
  <c r="AX996" i="2"/>
  <c r="AW974" i="2"/>
  <c r="BP829" i="2"/>
  <c r="BQ829" i="2" s="1"/>
  <c r="BY829" i="2" s="1"/>
  <c r="BN829" i="2"/>
  <c r="BO829" i="2" s="1"/>
  <c r="BK829" i="2"/>
  <c r="BL829" i="2" s="1"/>
  <c r="BM829" i="2" s="1"/>
  <c r="BI829" i="2"/>
  <c r="AW969" i="2"/>
  <c r="BP824" i="2"/>
  <c r="BQ824" i="2" s="1"/>
  <c r="BY824" i="2" s="1"/>
  <c r="BN824" i="2"/>
  <c r="BO824" i="2" s="1"/>
  <c r="BK824" i="2"/>
  <c r="BL824" i="2" s="1"/>
  <c r="BM824" i="2" s="1"/>
  <c r="BI824" i="2"/>
  <c r="AX1005" i="2"/>
  <c r="AY1005" i="2"/>
  <c r="AW982" i="2"/>
  <c r="BP837" i="2"/>
  <c r="BQ837" i="2" s="1"/>
  <c r="BY837" i="2" s="1"/>
  <c r="BN837" i="2"/>
  <c r="BO837" i="2" s="1"/>
  <c r="BK837" i="2"/>
  <c r="BL837" i="2" s="1"/>
  <c r="BM837" i="2" s="1"/>
  <c r="BI837" i="2"/>
  <c r="AX995" i="2"/>
  <c r="AY995" i="2"/>
  <c r="AX1002" i="2"/>
  <c r="AY1002" i="2"/>
  <c r="AW1001" i="2"/>
  <c r="BP856" i="2"/>
  <c r="BQ856" i="2" s="1"/>
  <c r="BY856" i="2" s="1"/>
  <c r="BN856" i="2"/>
  <c r="BO856" i="2" s="1"/>
  <c r="BK856" i="2"/>
  <c r="BL856" i="2" s="1"/>
  <c r="BM856" i="2" s="1"/>
  <c r="BI856" i="2"/>
  <c r="AW968" i="2"/>
  <c r="BP823" i="2"/>
  <c r="BQ823" i="2" s="1"/>
  <c r="BY823" i="2" s="1"/>
  <c r="BN823" i="2"/>
  <c r="BO823" i="2" s="1"/>
  <c r="BK823" i="2"/>
  <c r="BL823" i="2" s="1"/>
  <c r="BM823" i="2" s="1"/>
  <c r="BI823" i="2"/>
  <c r="BP1080" i="2"/>
  <c r="BQ1080" i="2" s="1"/>
  <c r="BY1080" i="2" s="1"/>
  <c r="BN1080" i="2"/>
  <c r="BO1080" i="2" s="1"/>
  <c r="BK1080" i="2"/>
  <c r="BL1080" i="2" s="1"/>
  <c r="BM1080" i="2" s="1"/>
  <c r="BI1080" i="2"/>
  <c r="AX972" i="2"/>
  <c r="AY972" i="2"/>
  <c r="AW983" i="2"/>
  <c r="BP838" i="2"/>
  <c r="BQ838" i="2" s="1"/>
  <c r="BY838" i="2" s="1"/>
  <c r="BN838" i="2"/>
  <c r="BO838" i="2" s="1"/>
  <c r="BK838" i="2"/>
  <c r="BL838" i="2" s="1"/>
  <c r="BM838" i="2" s="1"/>
  <c r="BI838" i="2"/>
  <c r="AW976" i="2"/>
  <c r="BN831" i="2"/>
  <c r="BO831" i="2" s="1"/>
  <c r="BK831" i="2"/>
  <c r="BL831" i="2" s="1"/>
  <c r="BM831" i="2" s="1"/>
  <c r="BP831" i="2"/>
  <c r="BQ831" i="2" s="1"/>
  <c r="BY831" i="2" s="1"/>
  <c r="BI831" i="2"/>
  <c r="AY980" i="2"/>
  <c r="AX980" i="2"/>
  <c r="AW979" i="2"/>
  <c r="BP834" i="2"/>
  <c r="BQ834" i="2" s="1"/>
  <c r="BY834" i="2" s="1"/>
  <c r="BN834" i="2"/>
  <c r="BO834" i="2" s="1"/>
  <c r="BK834" i="2"/>
  <c r="BL834" i="2" s="1"/>
  <c r="BM834" i="2" s="1"/>
  <c r="BI834" i="2"/>
  <c r="AW1003" i="2"/>
  <c r="BN858" i="2"/>
  <c r="BO858" i="2" s="1"/>
  <c r="BP858" i="2"/>
  <c r="BQ858" i="2" s="1"/>
  <c r="BY858" i="2" s="1"/>
  <c r="BK858" i="2"/>
  <c r="BL858" i="2" s="1"/>
  <c r="BM858" i="2" s="1"/>
  <c r="BI858" i="2"/>
  <c r="AW993" i="2"/>
  <c r="BN848" i="2"/>
  <c r="BO848" i="2" s="1"/>
  <c r="BP848" i="2"/>
  <c r="BQ848" i="2" s="1"/>
  <c r="BY848" i="2" s="1"/>
  <c r="BK848" i="2"/>
  <c r="BL848" i="2" s="1"/>
  <c r="BM848" i="2" s="1"/>
  <c r="BI848" i="2"/>
  <c r="AX966" i="2"/>
  <c r="AY966" i="2"/>
  <c r="AY965" i="2"/>
  <c r="AX965" i="2"/>
  <c r="AX997" i="2"/>
  <c r="AY997" i="2"/>
  <c r="BP1091" i="2"/>
  <c r="BQ1091" i="2" s="1"/>
  <c r="BY1091" i="2" s="1"/>
  <c r="BN1091" i="2"/>
  <c r="BO1091" i="2" s="1"/>
  <c r="BK1091" i="2"/>
  <c r="BL1091" i="2" s="1"/>
  <c r="BM1091" i="2" s="1"/>
  <c r="BI1091" i="2"/>
  <c r="AW984" i="2"/>
  <c r="BN839" i="2"/>
  <c r="BO839" i="2" s="1"/>
  <c r="BP839" i="2"/>
  <c r="BQ839" i="2" s="1"/>
  <c r="BY839" i="2" s="1"/>
  <c r="BK839" i="2"/>
  <c r="BL839" i="2" s="1"/>
  <c r="BM839" i="2" s="1"/>
  <c r="BI839" i="2"/>
  <c r="AW988" i="2"/>
  <c r="BP843" i="2"/>
  <c r="BQ843" i="2" s="1"/>
  <c r="BY843" i="2" s="1"/>
  <c r="BN843" i="2"/>
  <c r="BO843" i="2" s="1"/>
  <c r="BK843" i="2"/>
  <c r="BL843" i="2" s="1"/>
  <c r="BM843" i="2" s="1"/>
  <c r="BI843" i="2"/>
  <c r="F101" i="3"/>
  <c r="H83" i="4" s="1"/>
  <c r="BP1047" i="2"/>
  <c r="BQ1047" i="2" s="1"/>
  <c r="BY1047" i="2" s="1"/>
  <c r="BN1047" i="2"/>
  <c r="BO1047" i="2" s="1"/>
  <c r="BK1047" i="2"/>
  <c r="BL1047" i="2" s="1"/>
  <c r="BM1047" i="2" s="1"/>
  <c r="BI1047" i="2"/>
  <c r="AW970" i="2"/>
  <c r="BP825" i="2"/>
  <c r="BQ825" i="2" s="1"/>
  <c r="BY825" i="2" s="1"/>
  <c r="BN825" i="2"/>
  <c r="BO825" i="2" s="1"/>
  <c r="BK825" i="2"/>
  <c r="BL825" i="2" s="1"/>
  <c r="BM825" i="2" s="1"/>
  <c r="BI825" i="2"/>
  <c r="AW981" i="2"/>
  <c r="BN836" i="2"/>
  <c r="BO836" i="2" s="1"/>
  <c r="BP836" i="2"/>
  <c r="BQ836" i="2" s="1"/>
  <c r="BY836" i="2" s="1"/>
  <c r="BK836" i="2"/>
  <c r="BL836" i="2" s="1"/>
  <c r="BM836" i="2" s="1"/>
  <c r="BI836" i="2"/>
  <c r="BN1040" i="2"/>
  <c r="BO1040" i="2" s="1"/>
  <c r="BP1040" i="2"/>
  <c r="BQ1040" i="2" s="1"/>
  <c r="BY1040" i="2" s="1"/>
  <c r="BK1040" i="2"/>
  <c r="BL1040" i="2" s="1"/>
  <c r="BM1040" i="2" s="1"/>
  <c r="BI1040" i="2"/>
  <c r="AY994" i="2"/>
  <c r="AX994" i="2"/>
  <c r="AX973" i="2"/>
  <c r="AY973" i="2"/>
  <c r="AW1000" i="2"/>
  <c r="BP855" i="2"/>
  <c r="BQ855" i="2" s="1"/>
  <c r="BY855" i="2" s="1"/>
  <c r="BN855" i="2"/>
  <c r="BO855" i="2" s="1"/>
  <c r="BK855" i="2"/>
  <c r="BL855" i="2" s="1"/>
  <c r="BM855" i="2" s="1"/>
  <c r="BI855" i="2"/>
  <c r="AX987" i="2" l="1"/>
  <c r="AY987" i="2"/>
  <c r="AW1033" i="2"/>
  <c r="BP997" i="2"/>
  <c r="BQ997" i="2" s="1"/>
  <c r="BY997" i="2" s="1"/>
  <c r="BN997" i="2"/>
  <c r="BO997" i="2" s="1"/>
  <c r="BK997" i="2"/>
  <c r="BL997" i="2" s="1"/>
  <c r="BM997" i="2" s="1"/>
  <c r="BI997" i="2"/>
  <c r="AW1039" i="2"/>
  <c r="BP996" i="2"/>
  <c r="BQ996" i="2" s="1"/>
  <c r="BY996" i="2" s="1"/>
  <c r="BN996" i="2"/>
  <c r="BO996" i="2" s="1"/>
  <c r="BI996" i="2"/>
  <c r="BK996" i="2"/>
  <c r="BL996" i="2" s="1"/>
  <c r="BM996" i="2" s="1"/>
  <c r="AW1034" i="2"/>
  <c r="BN994" i="2"/>
  <c r="BO994" i="2" s="1"/>
  <c r="BP994" i="2"/>
  <c r="BQ994" i="2" s="1"/>
  <c r="BY994" i="2" s="1"/>
  <c r="BK994" i="2"/>
  <c r="BL994" i="2" s="1"/>
  <c r="BM994" i="2" s="1"/>
  <c r="BI994" i="2"/>
  <c r="AX988" i="2"/>
  <c r="AY988" i="2"/>
  <c r="AW1045" i="2"/>
  <c r="BN1002" i="2"/>
  <c r="BO1002" i="2" s="1"/>
  <c r="BP1002" i="2"/>
  <c r="BQ1002" i="2" s="1"/>
  <c r="BY1002" i="2" s="1"/>
  <c r="BK1002" i="2"/>
  <c r="BL1002" i="2" s="1"/>
  <c r="BM1002" i="2" s="1"/>
  <c r="BI1002" i="2"/>
  <c r="AX998" i="2"/>
  <c r="AY998" i="2"/>
  <c r="BN972" i="2"/>
  <c r="BO972" i="2" s="1"/>
  <c r="AW1014" i="2"/>
  <c r="BP972" i="2"/>
  <c r="BQ972" i="2" s="1"/>
  <c r="BY972" i="2" s="1"/>
  <c r="BK972" i="2"/>
  <c r="BL972" i="2" s="1"/>
  <c r="BM972" i="2" s="1"/>
  <c r="BI972" i="2"/>
  <c r="AX974" i="2"/>
  <c r="AY974" i="2"/>
  <c r="AY981" i="2"/>
  <c r="AX981" i="2"/>
  <c r="AX1001" i="2"/>
  <c r="AY1001" i="2"/>
  <c r="BP965" i="2"/>
  <c r="BQ965" i="2" s="1"/>
  <c r="BY965" i="2" s="1"/>
  <c r="AW1009" i="2"/>
  <c r="BN965" i="2"/>
  <c r="BO965" i="2" s="1"/>
  <c r="BK965" i="2"/>
  <c r="BL965" i="2" s="1"/>
  <c r="BM965" i="2" s="1"/>
  <c r="BI965" i="2"/>
  <c r="AX1003" i="2"/>
  <c r="AY1003" i="2"/>
  <c r="AX976" i="2"/>
  <c r="AY976" i="2"/>
  <c r="AX991" i="2"/>
  <c r="AY991" i="2"/>
  <c r="AY993" i="2"/>
  <c r="AX993" i="2"/>
  <c r="AW1030" i="2"/>
  <c r="BN1005" i="2"/>
  <c r="BO1005" i="2" s="1"/>
  <c r="BP1005" i="2"/>
  <c r="BQ1005" i="2" s="1"/>
  <c r="BY1005" i="2" s="1"/>
  <c r="BK1005" i="2"/>
  <c r="BL1005" i="2" s="1"/>
  <c r="BM1005" i="2" s="1"/>
  <c r="BI1005" i="2"/>
  <c r="AY970" i="2"/>
  <c r="AX970" i="2"/>
  <c r="AW1008" i="2"/>
  <c r="BN966" i="2"/>
  <c r="BO966" i="2" s="1"/>
  <c r="BP966" i="2"/>
  <c r="BQ966" i="2" s="1"/>
  <c r="BY966" i="2" s="1"/>
  <c r="BK966" i="2"/>
  <c r="BL966" i="2" s="1"/>
  <c r="BM966" i="2" s="1"/>
  <c r="BI966" i="2"/>
  <c r="AW1035" i="2"/>
  <c r="BP995" i="2"/>
  <c r="BQ995" i="2" s="1"/>
  <c r="BY995" i="2" s="1"/>
  <c r="BN995" i="2"/>
  <c r="BO995" i="2" s="1"/>
  <c r="BK995" i="2"/>
  <c r="BL995" i="2" s="1"/>
  <c r="BM995" i="2" s="1"/>
  <c r="BI995" i="2"/>
  <c r="AX1000" i="2"/>
  <c r="AY1000" i="2"/>
  <c r="AX971" i="2"/>
  <c r="AY971" i="2"/>
  <c r="AX969" i="2"/>
  <c r="AY969" i="2"/>
  <c r="AX952" i="2"/>
  <c r="AY952" i="2"/>
  <c r="AX962" i="2"/>
  <c r="AY962" i="2"/>
  <c r="BK962" i="2" s="1"/>
  <c r="BL962" i="2" s="1"/>
  <c r="BM962" i="2" s="1"/>
  <c r="AX982" i="2"/>
  <c r="AY982" i="2"/>
  <c r="AX984" i="2"/>
  <c r="AY984" i="2"/>
  <c r="AX1027" i="2"/>
  <c r="AY1027" i="2"/>
  <c r="AW1028" i="2"/>
  <c r="BN980" i="2"/>
  <c r="BO980" i="2" s="1"/>
  <c r="BP980" i="2"/>
  <c r="BQ980" i="2" s="1"/>
  <c r="BY980" i="2" s="1"/>
  <c r="BK980" i="2"/>
  <c r="BL980" i="2" s="1"/>
  <c r="BM980" i="2" s="1"/>
  <c r="BI980" i="2"/>
  <c r="AW1020" i="2"/>
  <c r="BP973" i="2"/>
  <c r="BQ973" i="2" s="1"/>
  <c r="BY973" i="2" s="1"/>
  <c r="BN973" i="2"/>
  <c r="BO973" i="2" s="1"/>
  <c r="BK973" i="2"/>
  <c r="BL973" i="2" s="1"/>
  <c r="BM973" i="2" s="1"/>
  <c r="BI973" i="2"/>
  <c r="AX979" i="2"/>
  <c r="AY979" i="2"/>
  <c r="AX983" i="2"/>
  <c r="AY983" i="2"/>
  <c r="AX968" i="2"/>
  <c r="AY968" i="2"/>
  <c r="AW1021" i="2" l="1"/>
  <c r="BN981" i="2"/>
  <c r="BO981" i="2" s="1"/>
  <c r="BP981" i="2"/>
  <c r="BQ981" i="2" s="1"/>
  <c r="BY981" i="2" s="1"/>
  <c r="BK981" i="2"/>
  <c r="BL981" i="2" s="1"/>
  <c r="BM981" i="2" s="1"/>
  <c r="BI981" i="2"/>
  <c r="AW1010" i="2"/>
  <c r="BN970" i="2"/>
  <c r="BO970" i="2" s="1"/>
  <c r="BP970" i="2"/>
  <c r="BQ970" i="2" s="1"/>
  <c r="BY970" i="2" s="1"/>
  <c r="BK970" i="2"/>
  <c r="BL970" i="2" s="1"/>
  <c r="BM970" i="2" s="1"/>
  <c r="BI970" i="2"/>
  <c r="BP1003" i="2"/>
  <c r="BQ1003" i="2" s="1"/>
  <c r="BY1003" i="2" s="1"/>
  <c r="AW1042" i="2"/>
  <c r="BN1003" i="2"/>
  <c r="BO1003" i="2" s="1"/>
  <c r="BK1003" i="2"/>
  <c r="BL1003" i="2" s="1"/>
  <c r="BM1003" i="2" s="1"/>
  <c r="BI1003" i="2"/>
  <c r="BP974" i="2"/>
  <c r="BQ974" i="2" s="1"/>
  <c r="BY974" i="2" s="1"/>
  <c r="AW1016" i="2"/>
  <c r="BN974" i="2"/>
  <c r="BO974" i="2" s="1"/>
  <c r="BK974" i="2"/>
  <c r="BL974" i="2" s="1"/>
  <c r="BM974" i="2" s="1"/>
  <c r="BI974" i="2"/>
  <c r="AX1008" i="2"/>
  <c r="AY1008" i="2"/>
  <c r="AW1019" i="2"/>
  <c r="BN982" i="2"/>
  <c r="BO982" i="2" s="1"/>
  <c r="BK982" i="2"/>
  <c r="BL982" i="2" s="1"/>
  <c r="BM982" i="2" s="1"/>
  <c r="BP982" i="2"/>
  <c r="BQ982" i="2" s="1"/>
  <c r="BY982" i="2" s="1"/>
  <c r="BI982" i="2"/>
  <c r="AX1045" i="2"/>
  <c r="AY1045" i="2"/>
  <c r="AX1039" i="2"/>
  <c r="AY1039" i="2"/>
  <c r="AW1017" i="2"/>
  <c r="BP971" i="2"/>
  <c r="BQ971" i="2" s="1"/>
  <c r="BY971" i="2" s="1"/>
  <c r="BN971" i="2"/>
  <c r="BO971" i="2" s="1"/>
  <c r="BK971" i="2"/>
  <c r="BL971" i="2" s="1"/>
  <c r="BM971" i="2" s="1"/>
  <c r="BI971" i="2"/>
  <c r="AW1018" i="2"/>
  <c r="BN976" i="2"/>
  <c r="BO976" i="2" s="1"/>
  <c r="BP976" i="2"/>
  <c r="BQ976" i="2" s="1"/>
  <c r="BY976" i="2" s="1"/>
  <c r="BK976" i="2"/>
  <c r="BL976" i="2" s="1"/>
  <c r="BM976" i="2" s="1"/>
  <c r="BI976" i="2"/>
  <c r="AW1043" i="2"/>
  <c r="BN1000" i="2"/>
  <c r="BO1000" i="2" s="1"/>
  <c r="BP1000" i="2"/>
  <c r="BQ1000" i="2" s="1"/>
  <c r="BY1000" i="2" s="1"/>
  <c r="BK1000" i="2"/>
  <c r="BL1000" i="2" s="1"/>
  <c r="BM1000" i="2" s="1"/>
  <c r="BI1000" i="2"/>
  <c r="AW1026" i="2"/>
  <c r="BP988" i="2"/>
  <c r="BQ988" i="2" s="1"/>
  <c r="BY988" i="2" s="1"/>
  <c r="BN988" i="2"/>
  <c r="BO988" i="2" s="1"/>
  <c r="BK988" i="2"/>
  <c r="BL988" i="2" s="1"/>
  <c r="BM988" i="2" s="1"/>
  <c r="BI988" i="2"/>
  <c r="AX1033" i="2"/>
  <c r="AY1033" i="2"/>
  <c r="BN1027" i="2"/>
  <c r="BO1027" i="2" s="1"/>
  <c r="BP1027" i="2"/>
  <c r="BQ1027" i="2" s="1"/>
  <c r="BY1027" i="2" s="1"/>
  <c r="BK1027" i="2"/>
  <c r="BL1027" i="2" s="1"/>
  <c r="BM1027" i="2" s="1"/>
  <c r="BI1027" i="2"/>
  <c r="AW1023" i="2"/>
  <c r="BN984" i="2"/>
  <c r="BO984" i="2" s="1"/>
  <c r="BP984" i="2"/>
  <c r="BQ984" i="2" s="1"/>
  <c r="BY984" i="2" s="1"/>
  <c r="BK984" i="2"/>
  <c r="BL984" i="2" s="1"/>
  <c r="BM984" i="2" s="1"/>
  <c r="BI984" i="2"/>
  <c r="AY1020" i="2"/>
  <c r="AX1020" i="2"/>
  <c r="AW1044" i="2"/>
  <c r="BP979" i="2"/>
  <c r="BQ979" i="2" s="1"/>
  <c r="BY979" i="2" s="1"/>
  <c r="BN979" i="2"/>
  <c r="BO979" i="2" s="1"/>
  <c r="BK979" i="2"/>
  <c r="BL979" i="2" s="1"/>
  <c r="BM979" i="2" s="1"/>
  <c r="BI979" i="2"/>
  <c r="AW1013" i="2"/>
  <c r="BN968" i="2"/>
  <c r="BO968" i="2" s="1"/>
  <c r="BP968" i="2"/>
  <c r="BQ968" i="2" s="1"/>
  <c r="BY968" i="2" s="1"/>
  <c r="BK968" i="2"/>
  <c r="BL968" i="2" s="1"/>
  <c r="BM968" i="2" s="1"/>
  <c r="BI968" i="2"/>
  <c r="AW1093" i="2"/>
  <c r="BP952" i="2"/>
  <c r="BQ952" i="2" s="1"/>
  <c r="BY952" i="2" s="1"/>
  <c r="BN952" i="2"/>
  <c r="BO952" i="2" s="1"/>
  <c r="BK952" i="2"/>
  <c r="BL952" i="2" s="1"/>
  <c r="BM952" i="2" s="1"/>
  <c r="BI952" i="2"/>
  <c r="E70" i="3"/>
  <c r="AX1035" i="2"/>
  <c r="AY1035" i="2"/>
  <c r="AX1030" i="2"/>
  <c r="AY1030" i="2"/>
  <c r="AX1009" i="2"/>
  <c r="AY1009" i="2"/>
  <c r="AX1014" i="2"/>
  <c r="AY1014" i="2"/>
  <c r="AW1031" i="2"/>
  <c r="BN983" i="2"/>
  <c r="BO983" i="2" s="1"/>
  <c r="BP983" i="2"/>
  <c r="BQ983" i="2" s="1"/>
  <c r="BY983" i="2" s="1"/>
  <c r="BK983" i="2"/>
  <c r="BL983" i="2" s="1"/>
  <c r="BM983" i="2" s="1"/>
  <c r="BI983" i="2"/>
  <c r="AW1012" i="2"/>
  <c r="BN969" i="2"/>
  <c r="BO969" i="2" s="1"/>
  <c r="BP969" i="2"/>
  <c r="BQ969" i="2" s="1"/>
  <c r="BY969" i="2" s="1"/>
  <c r="BK969" i="2"/>
  <c r="BL969" i="2" s="1"/>
  <c r="BM969" i="2" s="1"/>
  <c r="BI969" i="2"/>
  <c r="AW1037" i="2"/>
  <c r="BP993" i="2"/>
  <c r="BQ993" i="2" s="1"/>
  <c r="BY993" i="2" s="1"/>
  <c r="BN993" i="2"/>
  <c r="BO993" i="2" s="1"/>
  <c r="BK993" i="2"/>
  <c r="BL993" i="2" s="1"/>
  <c r="BM993" i="2" s="1"/>
  <c r="BI993" i="2"/>
  <c r="E34" i="3"/>
  <c r="AW1032" i="2"/>
  <c r="BP998" i="2"/>
  <c r="BQ998" i="2" s="1"/>
  <c r="BY998" i="2" s="1"/>
  <c r="BN998" i="2"/>
  <c r="BO998" i="2" s="1"/>
  <c r="BK998" i="2"/>
  <c r="BL998" i="2" s="1"/>
  <c r="BM998" i="2" s="1"/>
  <c r="BI998" i="2"/>
  <c r="AW1025" i="2"/>
  <c r="BN987" i="2"/>
  <c r="BO987" i="2" s="1"/>
  <c r="BP987" i="2"/>
  <c r="BQ987" i="2" s="1"/>
  <c r="BY987" i="2" s="1"/>
  <c r="BK987" i="2"/>
  <c r="BL987" i="2" s="1"/>
  <c r="BM987" i="2" s="1"/>
  <c r="BI987" i="2"/>
  <c r="AX1028" i="2"/>
  <c r="AY1028" i="2"/>
  <c r="AW1022" i="2"/>
  <c r="BN991" i="2"/>
  <c r="BO991" i="2" s="1"/>
  <c r="BP991" i="2"/>
  <c r="BQ991" i="2" s="1"/>
  <c r="BY991" i="2" s="1"/>
  <c r="BK991" i="2"/>
  <c r="BL991" i="2" s="1"/>
  <c r="BM991" i="2" s="1"/>
  <c r="BI991" i="2"/>
  <c r="BP1001" i="2"/>
  <c r="BQ1001" i="2" s="1"/>
  <c r="BY1001" i="2" s="1"/>
  <c r="BN1001" i="2"/>
  <c r="BO1001" i="2" s="1"/>
  <c r="AW1038" i="2"/>
  <c r="BK1001" i="2"/>
  <c r="BL1001" i="2" s="1"/>
  <c r="BM1001" i="2" s="1"/>
  <c r="BI1001" i="2"/>
  <c r="AX1034" i="2"/>
  <c r="AY1034" i="2"/>
  <c r="BP1030" i="2" l="1"/>
  <c r="BQ1030" i="2" s="1"/>
  <c r="BY1030" i="2" s="1"/>
  <c r="BN1030" i="2"/>
  <c r="BO1030" i="2" s="1"/>
  <c r="BK1030" i="2"/>
  <c r="BL1030" i="2" s="1"/>
  <c r="BM1030" i="2" s="1"/>
  <c r="BI1030" i="2"/>
  <c r="AX1019" i="2"/>
  <c r="AY1019" i="2"/>
  <c r="AX1022" i="2"/>
  <c r="AY1022" i="2"/>
  <c r="AX1017" i="2"/>
  <c r="AY1017" i="2"/>
  <c r="BP1028" i="2"/>
  <c r="BQ1028" i="2" s="1"/>
  <c r="BY1028" i="2" s="1"/>
  <c r="BN1028" i="2"/>
  <c r="BO1028" i="2" s="1"/>
  <c r="BK1028" i="2"/>
  <c r="BL1028" i="2" s="1"/>
  <c r="BM1028" i="2" s="1"/>
  <c r="BI1028" i="2"/>
  <c r="BN1039" i="2"/>
  <c r="BO1039" i="2" s="1"/>
  <c r="BP1039" i="2"/>
  <c r="BQ1039" i="2" s="1"/>
  <c r="BY1039" i="2" s="1"/>
  <c r="BK1039" i="2"/>
  <c r="BL1039" i="2" s="1"/>
  <c r="BM1039" i="2" s="1"/>
  <c r="BI1039" i="2"/>
  <c r="AX1043" i="2"/>
  <c r="AY1043" i="2"/>
  <c r="AX1010" i="2"/>
  <c r="AY1010" i="2"/>
  <c r="AX1013" i="2"/>
  <c r="AY1013" i="2"/>
  <c r="BP1008" i="2"/>
  <c r="BQ1008" i="2" s="1"/>
  <c r="BY1008" i="2" s="1"/>
  <c r="BN1008" i="2"/>
  <c r="BO1008" i="2" s="1"/>
  <c r="BK1008" i="2"/>
  <c r="BL1008" i="2" s="1"/>
  <c r="BM1008" i="2" s="1"/>
  <c r="BI1008" i="2"/>
  <c r="AX1032" i="2"/>
  <c r="AY1032" i="2"/>
  <c r="BP1034" i="2"/>
  <c r="BQ1034" i="2" s="1"/>
  <c r="BY1034" i="2" s="1"/>
  <c r="BN1034" i="2"/>
  <c r="BO1034" i="2" s="1"/>
  <c r="BK1034" i="2"/>
  <c r="BL1034" i="2" s="1"/>
  <c r="BM1034" i="2" s="1"/>
  <c r="BI1034" i="2"/>
  <c r="AX1031" i="2"/>
  <c r="AY1031" i="2"/>
  <c r="AX1044" i="2"/>
  <c r="AY1044" i="2"/>
  <c r="BN1033" i="2"/>
  <c r="BO1033" i="2" s="1"/>
  <c r="BP1033" i="2"/>
  <c r="BQ1033" i="2" s="1"/>
  <c r="BY1033" i="2" s="1"/>
  <c r="BK1033" i="2"/>
  <c r="BL1033" i="2" s="1"/>
  <c r="BM1033" i="2" s="1"/>
  <c r="BI1033" i="2"/>
  <c r="BN1045" i="2"/>
  <c r="BO1045" i="2" s="1"/>
  <c r="BP1045" i="2"/>
  <c r="BQ1045" i="2" s="1"/>
  <c r="BY1045" i="2" s="1"/>
  <c r="BK1045" i="2"/>
  <c r="BL1045" i="2" s="1"/>
  <c r="BM1045" i="2" s="1"/>
  <c r="BI1045" i="2"/>
  <c r="AX1016" i="2"/>
  <c r="AY1016" i="2"/>
  <c r="AY1042" i="2"/>
  <c r="AX1042" i="2"/>
  <c r="AX1026" i="2"/>
  <c r="AY1026" i="2"/>
  <c r="AX1023" i="2"/>
  <c r="AY1023" i="2"/>
  <c r="AX1038" i="2"/>
  <c r="AY1038" i="2"/>
  <c r="BP1014" i="2"/>
  <c r="BQ1014" i="2" s="1"/>
  <c r="BY1014" i="2" s="1"/>
  <c r="BN1014" i="2"/>
  <c r="BO1014" i="2" s="1"/>
  <c r="BK1014" i="2"/>
  <c r="BL1014" i="2" s="1"/>
  <c r="BM1014" i="2" s="1"/>
  <c r="BI1014" i="2"/>
  <c r="AY1037" i="2"/>
  <c r="AX1037" i="2"/>
  <c r="AX1093" i="2"/>
  <c r="AY1093" i="2"/>
  <c r="BN1020" i="2"/>
  <c r="BO1020" i="2" s="1"/>
  <c r="BK1020" i="2"/>
  <c r="BL1020" i="2" s="1"/>
  <c r="BM1020" i="2" s="1"/>
  <c r="BP1020" i="2"/>
  <c r="BQ1020" i="2" s="1"/>
  <c r="BY1020" i="2" s="1"/>
  <c r="BI1020" i="2"/>
  <c r="AX1012" i="2"/>
  <c r="AY1012" i="2"/>
  <c r="BN1035" i="2"/>
  <c r="BO1035" i="2" s="1"/>
  <c r="BP1035" i="2"/>
  <c r="BQ1035" i="2" s="1"/>
  <c r="BY1035" i="2" s="1"/>
  <c r="BK1035" i="2"/>
  <c r="BL1035" i="2" s="1"/>
  <c r="BM1035" i="2" s="1"/>
  <c r="BI1035" i="2"/>
  <c r="AY1025" i="2"/>
  <c r="AX1025" i="2"/>
  <c r="BP1009" i="2"/>
  <c r="BQ1009" i="2" s="1"/>
  <c r="BY1009" i="2" s="1"/>
  <c r="BN1009" i="2"/>
  <c r="BO1009" i="2" s="1"/>
  <c r="BK1009" i="2"/>
  <c r="BL1009" i="2" s="1"/>
  <c r="BM1009" i="2" s="1"/>
  <c r="BI1009" i="2"/>
  <c r="AX1018" i="2"/>
  <c r="AY1018" i="2"/>
  <c r="AX1021" i="2"/>
  <c r="AY1021" i="2"/>
  <c r="BP1018" i="2" l="1"/>
  <c r="BQ1018" i="2" s="1"/>
  <c r="BY1018" i="2" s="1"/>
  <c r="BN1018" i="2"/>
  <c r="BO1018" i="2" s="1"/>
  <c r="BK1018" i="2"/>
  <c r="BL1018" i="2" s="1"/>
  <c r="BM1018" i="2" s="1"/>
  <c r="BI1018" i="2"/>
  <c r="BN1017" i="2"/>
  <c r="BO1017" i="2" s="1"/>
  <c r="BP1017" i="2"/>
  <c r="BQ1017" i="2" s="1"/>
  <c r="BY1017" i="2" s="1"/>
  <c r="BK1017" i="2"/>
  <c r="BL1017" i="2" s="1"/>
  <c r="BM1017" i="2" s="1"/>
  <c r="BI1017" i="2"/>
  <c r="BP1023" i="2"/>
  <c r="BQ1023" i="2" s="1"/>
  <c r="BY1023" i="2" s="1"/>
  <c r="BN1023" i="2"/>
  <c r="BO1023" i="2" s="1"/>
  <c r="BK1023" i="2"/>
  <c r="BL1023" i="2" s="1"/>
  <c r="BM1023" i="2" s="1"/>
  <c r="BI1023" i="2"/>
  <c r="BP1032" i="2"/>
  <c r="BQ1032" i="2" s="1"/>
  <c r="BY1032" i="2" s="1"/>
  <c r="BN1032" i="2"/>
  <c r="BO1032" i="2" s="1"/>
  <c r="BK1032" i="2"/>
  <c r="BL1032" i="2" s="1"/>
  <c r="BM1032" i="2" s="1"/>
  <c r="BI1032" i="2"/>
  <c r="BN1043" i="2"/>
  <c r="BO1043" i="2" s="1"/>
  <c r="BP1043" i="2"/>
  <c r="BQ1043" i="2" s="1"/>
  <c r="BY1043" i="2" s="1"/>
  <c r="BK1043" i="2"/>
  <c r="BL1043" i="2" s="1"/>
  <c r="BM1043" i="2" s="1"/>
  <c r="BI1043" i="2"/>
  <c r="BP1022" i="2"/>
  <c r="BQ1022" i="2" s="1"/>
  <c r="BY1022" i="2" s="1"/>
  <c r="BN1022" i="2"/>
  <c r="BO1022" i="2" s="1"/>
  <c r="BK1022" i="2"/>
  <c r="BL1022" i="2" s="1"/>
  <c r="BM1022" i="2" s="1"/>
  <c r="BI1022" i="2"/>
  <c r="BP1013" i="2"/>
  <c r="BQ1013" i="2" s="1"/>
  <c r="BY1013" i="2" s="1"/>
  <c r="BN1013" i="2"/>
  <c r="BO1013" i="2" s="1"/>
  <c r="BK1013" i="2"/>
  <c r="BL1013" i="2" s="1"/>
  <c r="BM1013" i="2" s="1"/>
  <c r="BI1013" i="2"/>
  <c r="BP1093" i="2"/>
  <c r="BQ1093" i="2" s="1"/>
  <c r="BY1093" i="2" s="1"/>
  <c r="BN1093" i="2"/>
  <c r="BO1093" i="2" s="1"/>
  <c r="BK1093" i="2"/>
  <c r="BL1093" i="2" s="1"/>
  <c r="BM1093" i="2" s="1"/>
  <c r="BI1093" i="2"/>
  <c r="E101" i="3"/>
  <c r="H84" i="4" s="1"/>
  <c r="D70" i="3"/>
  <c r="BN1026" i="2"/>
  <c r="BO1026" i="2" s="1"/>
  <c r="BP1026" i="2"/>
  <c r="BQ1026" i="2" s="1"/>
  <c r="BY1026" i="2" s="1"/>
  <c r="BK1026" i="2"/>
  <c r="BL1026" i="2" s="1"/>
  <c r="BM1026" i="2" s="1"/>
  <c r="BI1026" i="2"/>
  <c r="BP1019" i="2"/>
  <c r="BQ1019" i="2" s="1"/>
  <c r="BY1019" i="2" s="1"/>
  <c r="BN1019" i="2"/>
  <c r="BO1019" i="2" s="1"/>
  <c r="BK1019" i="2"/>
  <c r="BL1019" i="2" s="1"/>
  <c r="BM1019" i="2" s="1"/>
  <c r="BI1019" i="2"/>
  <c r="BP1038" i="2"/>
  <c r="BQ1038" i="2" s="1"/>
  <c r="BY1038" i="2" s="1"/>
  <c r="BN1038" i="2"/>
  <c r="BO1038" i="2" s="1"/>
  <c r="BK1038" i="2"/>
  <c r="BL1038" i="2" s="1"/>
  <c r="BM1038" i="2" s="1"/>
  <c r="BI1038" i="2"/>
  <c r="BP1025" i="2"/>
  <c r="BQ1025" i="2" s="1"/>
  <c r="BY1025" i="2" s="1"/>
  <c r="BN1025" i="2"/>
  <c r="BO1025" i="2" s="1"/>
  <c r="BK1025" i="2"/>
  <c r="BL1025" i="2" s="1"/>
  <c r="BM1025" i="2" s="1"/>
  <c r="BI1025" i="2"/>
  <c r="BN1010" i="2"/>
  <c r="BO1010" i="2" s="1"/>
  <c r="BP1010" i="2"/>
  <c r="BQ1010" i="2" s="1"/>
  <c r="BY1010" i="2" s="1"/>
  <c r="BK1010" i="2"/>
  <c r="BL1010" i="2" s="1"/>
  <c r="BM1010" i="2" s="1"/>
  <c r="BI1010" i="2"/>
  <c r="BN1044" i="2"/>
  <c r="BO1044" i="2" s="1"/>
  <c r="BP1044" i="2"/>
  <c r="BQ1044" i="2" s="1"/>
  <c r="BY1044" i="2" s="1"/>
  <c r="BK1044" i="2"/>
  <c r="BL1044" i="2" s="1"/>
  <c r="BM1044" i="2" s="1"/>
  <c r="BI1044" i="2"/>
  <c r="BN1037" i="2"/>
  <c r="BO1037" i="2" s="1"/>
  <c r="BP1037" i="2"/>
  <c r="BQ1037" i="2" s="1"/>
  <c r="BY1037" i="2" s="1"/>
  <c r="BK1037" i="2"/>
  <c r="BL1037" i="2" s="1"/>
  <c r="BM1037" i="2" s="1"/>
  <c r="BI1037" i="2"/>
  <c r="BP1042" i="2"/>
  <c r="BQ1042" i="2" s="1"/>
  <c r="BY1042" i="2" s="1"/>
  <c r="BN1042" i="2"/>
  <c r="BO1042" i="2" s="1"/>
  <c r="BK1042" i="2"/>
  <c r="BL1042" i="2" s="1"/>
  <c r="BM1042" i="2" s="1"/>
  <c r="BI1042" i="2"/>
  <c r="BN1012" i="2"/>
  <c r="BO1012" i="2" s="1"/>
  <c r="BP1012" i="2"/>
  <c r="BQ1012" i="2" s="1"/>
  <c r="BY1012" i="2" s="1"/>
  <c r="BK1012" i="2"/>
  <c r="BL1012" i="2" s="1"/>
  <c r="BM1012" i="2" s="1"/>
  <c r="BI1012" i="2"/>
  <c r="BP1021" i="2"/>
  <c r="BQ1021" i="2" s="1"/>
  <c r="BY1021" i="2" s="1"/>
  <c r="BN1021" i="2"/>
  <c r="BO1021" i="2" s="1"/>
  <c r="BK1021" i="2"/>
  <c r="BL1021" i="2" s="1"/>
  <c r="BM1021" i="2" s="1"/>
  <c r="BI1021" i="2"/>
  <c r="BN1016" i="2"/>
  <c r="BO1016" i="2" s="1"/>
  <c r="BP1016" i="2"/>
  <c r="BQ1016" i="2" s="1"/>
  <c r="BY1016" i="2" s="1"/>
  <c r="BK1016" i="2"/>
  <c r="BL1016" i="2" s="1"/>
  <c r="BM1016" i="2" s="1"/>
  <c r="BI1016" i="2"/>
  <c r="BP1031" i="2"/>
  <c r="BQ1031" i="2" s="1"/>
  <c r="BY1031" i="2" s="1"/>
  <c r="BN1031" i="2"/>
  <c r="BO1031" i="2" s="1"/>
  <c r="BK1031" i="2"/>
  <c r="BL1031" i="2" s="1"/>
  <c r="BM1031" i="2" s="1"/>
  <c r="BI1031" i="2"/>
  <c r="D34" i="3"/>
  <c r="D101" i="3"/>
  <c r="H8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tc={38971D40-7CAC-4709-A4C3-8F403C15D1A6}</author>
    <author>tc={7A6F9556-5534-4101-8249-DC17ADE397E9}</author>
    <author>tc={C44726FC-73FD-430F-ADF7-5B80A23F4AC5}</author>
    <author>tc={BE7E4B5F-63A6-4742-AFFC-A22A755DE6D2}</author>
    <author>tc={7F4C9243-0A08-449A-AFBF-F638A537D804}</author>
    <author>tc={55FAAB12-0845-4220-9A09-57BBCCD83F42}</author>
    <author>tc={BD807B63-4E15-4D82-8AE1-DD8B258E838F}</author>
    <author>tc={3175972E-3D4D-4C27-8EC5-40A4AB68C105}</author>
    <author>tc={A9EF34C4-DC52-481D-B89B-57368ACC46D6}</author>
    <author>tc={EADA9CED-0FAB-4887-905B-95921EB9A69D}</author>
    <author>tc={C8DCA24F-AB66-414A-BFF8-FBCF8318EB57}</author>
    <author>tc={D976CCA4-0868-45B1-B7D0-3E4396A7732F}</author>
    <author>tc={2454CF94-18CA-4FAC-92FF-7570754FAC6C}</author>
    <author>tc={47025E1E-BE50-4E92-B0EC-5600F7DB570B}</author>
    <author>tc={94C0C581-881E-4E94-9A8D-0F05F7825D29}</author>
    <author>tc={B17D49CA-7037-4C2C-906F-C873085E275C}</author>
    <author>tc={D775A8C3-2C0A-444C-8AC1-9481242B784D}</author>
    <author>tc={966E8B56-A186-4AA2-B5F7-FA9A04C353E0}</author>
    <author>tc={8C0FC320-5E88-43C7-A548-E092D622F28C}</author>
  </authors>
  <commentList>
    <comment ref="O36" authorId="0" shapeId="0" xr:uid="{38971D40-7CAC-4709-A4C3-8F403C15D1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37" authorId="1" shapeId="0" xr:uid="{7A6F9556-5534-4101-8249-DC17ADE397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38" authorId="2" shapeId="0" xr:uid="{C44726FC-73FD-430F-ADF7-5B80A23F4A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39" authorId="3" shapeId="0" xr:uid="{BE7E4B5F-63A6-4742-AFFC-A22A755DE6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40" authorId="4" shapeId="0" xr:uid="{7F4C9243-0A08-449A-AFBF-F638A537D8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41" authorId="5" shapeId="0" xr:uid="{55FAAB12-0845-4220-9A09-57BBCCD83F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42" authorId="6" shapeId="0" xr:uid="{BD807B63-4E15-4D82-8AE1-DD8B258E83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O43" authorId="7" shapeId="0" xr:uid="{3175972E-3D4D-4C27-8EC5-40A4AB68C1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pedir rescisão a partir do 48º mês, com antecedência mínima de 12 meses para a retirada.</t>
      </text>
    </comment>
    <comment ref="B44" authorId="8" shapeId="0" xr:uid="{A9EF34C4-DC52-481D-B89B-57368ACC46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</t>
      </text>
    </comment>
    <comment ref="B45" authorId="9" shapeId="0" xr:uid="{EADA9CED-0FAB-4887-905B-95921EB9A6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</t>
      </text>
    </comment>
    <comment ref="B47" authorId="10" shapeId="0" xr:uid="{C8DCA24F-AB66-414A-BFF8-FBCF8318EB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60" authorId="11" shapeId="0" xr:uid="{D976CCA4-0868-45B1-B7D0-3E4396A773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B67" authorId="12" shapeId="0" xr:uid="{2454CF94-18CA-4FAC-92FF-7570754FAC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cobrança do custo de disponibilidade</t>
      </text>
    </comment>
    <comment ref="B82" authorId="13" shapeId="0" xr:uid="{47025E1E-BE50-4E92-B0EC-5600F7DB57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cobrança do custo de disponibilidade</t>
      </text>
    </comment>
    <comment ref="B88" authorId="14" shapeId="0" xr:uid="{94C0C581-881E-4E94-9A8D-0F05F7825D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compensação</t>
      </text>
    </comment>
    <comment ref="B94" authorId="15" shapeId="0" xr:uid="{B17D49CA-7037-4C2C-906F-C873085E27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compensação</t>
      </text>
    </comment>
    <comment ref="B98" authorId="16" shapeId="0" xr:uid="{D775A8C3-2C0A-444C-8AC1-9481242B78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B99" authorId="17" shapeId="0" xr:uid="{966E8B56-A186-4AA2-B5F7-FA9A04C353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100" authorId="18" shapeId="0" xr:uid="{8C0FC320-5E88-43C7-A548-E092D622F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tc={4DD0A3A1-FF0D-4020-9ADC-9626F7DE04FC}</author>
    <author>tc={64ABBD6D-1955-4227-B559-4D8C946ACFD6}</author>
    <author>tc={6A9D083B-143A-4E14-B66A-CAC1451935AB}</author>
    <author>tc={77A51FE2-C812-46AB-9673-A54B306A8B53}</author>
    <author>tc={0C488010-CF8A-44AE-A756-C71F4F416A0E}</author>
    <author>tc={4F39BD19-5FFE-4768-A719-EEC01822E4D0}</author>
    <author>tc={36436174-8F11-4E73-8A4C-E4906B51AC3B}</author>
    <author>tc={D23D3C84-D860-4428-81BF-61760EC2CAD0}</author>
    <author>tc={54482CDC-5F56-4D9E-B33A-C88684D914CE}</author>
    <author>tc={4D7A80E1-3D65-4016-B4C6-096B537AB37D}</author>
    <author>tc={089DD765-F71C-449C-8AD8-067428E60339}</author>
    <author>tc={AFF19821-9B1E-474D-BFAA-8AF2B098D30E}</author>
    <author>tc={0636C68E-5E8B-4AA3-A4A8-B87A2DA2A84C}</author>
    <author>tc={0B1BC10C-6161-4AB1-8735-AD934A6AC14E}</author>
    <author>tc={43718D2F-3B30-46D3-BC41-99EE5FFBD100}</author>
    <author>tc={6E0BB5F4-00D7-411E-9B59-1D6B0F7CEAEC}</author>
    <author>tc={704DA44F-2E96-4080-BEE7-39076F0C4060}</author>
    <author>tc={7E68D1CE-8508-4AE1-B358-AFF4895711D6}</author>
    <author>tc={8CD50E59-4E98-40D8-8E05-3E033F6B19EB}</author>
    <author>tc={819F1A66-04C3-401D-BE3B-0262EF47BEE3}</author>
    <author>tc={990DDAFE-25F0-4591-B8B4-2F057AC7C702}</author>
    <author>tc={CB1FDAA4-E112-4ADD-922F-9A906CA5B984}</author>
    <author>tc={5D92AEC3-D6AB-4FB0-9BFF-26AAD4A5A186}</author>
    <author>tc={E55BD9E3-7CC7-4A6A-962C-8167EA646E02}</author>
    <author>tc={F3E8D52E-F131-424B-B569-4191C28E439E}</author>
    <author>tc={EB9037A8-CD6E-403E-913E-FA96D9662A22}</author>
    <author>tc={4C97FC8D-E1EB-437C-BF84-588B3A6506AB}</author>
    <author>tc={8F8644ED-2724-4B81-9F4A-4665F9CC04C8}</author>
    <author>tc={CA62FC5B-62C8-408E-B8C3-95521738A5AA}</author>
    <author>tc={0F467C89-1BEA-42FD-87FD-6B9F0764A5AD}</author>
    <author>tc={497722C1-048B-4E27-AED1-AA633A1BB157}</author>
    <author>tc={31462663-F292-4E50-AFDB-987CE0D8DC15}</author>
    <author>tc={44A276FE-BC43-48E1-B811-F1285DAE05CD}</author>
    <author>tc={C45B1CAC-30D2-47E1-83E3-651793F20898}</author>
    <author>tc={1E05AB64-4881-4574-9325-7A40C62B6B2E}</author>
    <author>tc={9ABFE835-92FA-439C-AC18-187D6ECAA504}</author>
    <author>tc={8D051A29-4A42-4E16-9523-EA86F7EF2733}</author>
    <author>tc={A1301511-F422-4800-B234-F63FDB9DC8A3}</author>
    <author>tc={57DBCAC5-4D57-4A21-9EB4-9B579023702E}</author>
    <author>tc={B32884AF-FEAD-4786-A2DA-63301E434348}</author>
    <author>tc={2AA2E21E-65A1-45CD-B62D-6581A34C0401}</author>
    <author>tc={9C348D17-2914-4E40-8819-08B5A51EF19D}</author>
    <author>tc={002D89A7-DBBB-4DE8-903F-35B362718B67}</author>
    <author>tc={5FA663CE-12BF-4725-B92C-F8926688C331}</author>
    <author>tc={3BCC4748-A2A2-4057-B798-C1BB6442AE1A}</author>
    <author>tc={38C613FF-6432-4C6D-8C2D-7D3134993B5B}</author>
    <author>tc={F367B556-326A-4DA9-A708-D8AB81D8D51D}</author>
    <author>tc={9D84BCAB-5C8E-46DB-B860-B25C0F2D9A75}</author>
    <author>tc={D6AE7A5D-26C4-44FE-AFBC-D14786CFE75A}</author>
    <author>tc={A86E3C79-90A7-4CCF-ACB6-F85D550B6433}</author>
    <author>tc={BB86E710-B74A-4725-9A16-E08595015B82}</author>
    <author>tc={64C6CAFA-4037-4A2E-92CC-B668BCDA3AB7}</author>
    <author>tc={C4555007-CF91-48F8-AB35-70873D0A78E2}</author>
    <author>tc={17BE5356-433F-4DD8-9739-655F067A4C06}</author>
    <author>tc={22920058-C5EB-469B-8E9F-4407BAE085D6}</author>
    <author>tc={D8524323-E044-40B5-971D-7474D60BFE67}</author>
    <author>tc={0B9C278C-38F1-45DB-943E-B94F236EC377}</author>
    <author>tc={EB93C7D0-B715-4333-8AED-94B867255898}</author>
    <author>tc={2D1DF74A-97FD-4307-8ECC-3E3A04F8C6E0}</author>
    <author>tc={870F3AD7-A96D-4B28-B025-9A614CA3FA44}</author>
    <author>tc={9AE9EC49-0CBA-4F2C-B45E-058F924907E0}</author>
    <author>tc={08DC1495-2ECD-41AA-B4DB-8DCD9091FFE2}</author>
    <author>tc={2892A0E5-A942-4464-B17D-8842D9696989}</author>
    <author>tc={CC434731-B9C6-4E39-BB15-AD2B8BA8A5FF}</author>
    <author>tc={023AE0BD-45BA-4933-A390-629A8999F4B5}</author>
    <author>tc={9398A378-1118-4DD4-9FBD-4BD865009483}</author>
    <author>tc={E3088E8D-2431-44A7-8BAF-74E886BD350D}</author>
    <author>tc={0FDF43A3-1698-40E1-B155-BE4F3494B35F}</author>
    <author>tc={6AE5E6C9-E02B-4E56-99BC-3F2E9B1CEA74}</author>
    <author>tc={5712C087-0A4C-4C39-A071-E6AB8A347160}</author>
    <author>tc={A068E110-66E9-4BDF-8DA3-5F82BEAB5F15}</author>
    <author>tc={C4FBC48C-F4DE-4D5A-B654-A153836042EC}</author>
    <author>tc={FD323E10-6335-4647-B95C-F40F5C37D225}</author>
    <author>tc={5FEDD8DB-E3AF-4CE8-B59C-D06C6BAD18C5}</author>
    <author>tc={8A7D204B-B404-4158-8A21-0A301507814D}</author>
    <author>tc={EB2BB3A8-6B5A-4DE6-8C86-E372EEBF4FB2}</author>
    <author>tc={56E339C9-F806-47A4-BC09-0BA535377796}</author>
    <author>tc={30DE11B9-CA28-47CB-AE0D-CFE977963231}</author>
    <author>tc={77A83695-11DA-4137-8958-C110FB1C0FBA}</author>
    <author>tc={35340716-59A6-4BEC-9BB1-C9DBB4F68CCD}</author>
    <author>tc={E5FDF02D-98A2-416C-8928-940E9653D71E}</author>
    <author>tc={D18B796B-FCFB-44CE-B043-E7E0F19B2591}</author>
    <author>tc={AC7969DD-EB37-4A67-8A53-061075E7DEBA}</author>
    <author>tc={49A48300-C557-40E8-959B-79D5D5B5BA1E}</author>
    <author>tc={78C99880-8FE2-42C6-B020-5ABA8CBAE705}</author>
    <author>tc={FEA6544B-2E59-438B-92C6-BE2E91A95461}</author>
    <author>tc={1E9C244C-B242-4EEE-83FA-1DDB2347A62C}</author>
    <author>tc={AE53AA9A-3F14-41FD-B0F3-0FE4E2819BE1}</author>
    <author>tc={57154B80-A612-43FF-B402-341E8B58CED0}</author>
    <author>tc={A5D0427E-1E44-4B44-8C0E-56E9BDAF44C1}</author>
    <author>tc={4944645F-4D3C-4FA1-9C46-A1F222D5AB37}</author>
    <author>tc={A08D3671-EDB9-4D8C-8555-531BDF17157F}</author>
    <author>tc={703F9CC0-2B02-4798-B725-972A738F8116}</author>
    <author>tc={81561592-D9D7-4079-A1F5-68241B9853B0}</author>
    <author>tc={5B37E5B5-9265-4ED1-AE4B-1525BA84A5A8}</author>
    <author>tc={99C9BFF6-6375-4153-B893-886F4D444915}</author>
    <author>tc={F8459F4F-0DC2-40F4-BA5C-2740D4E6D024}</author>
    <author>tc={8B7F5A5E-DB04-4E9B-8CA6-80C6E3B3D37F}</author>
    <author>tc={AD92451F-255E-4DC2-9A16-17B52BE3A0E1}</author>
    <author>tc={35B80131-5147-4D0C-8D08-F616968C54FE}</author>
    <author>tc={68468D64-2605-45B3-B68C-1F8B84B392AB}</author>
    <author>tc={C004F088-9291-4E79-A92E-9843A1F5D6A3}</author>
    <author>tc={937F0926-0B4E-42C2-993C-8C35926EBDEE}</author>
    <author>tc={9D1C8DB1-F3EA-4C60-B4FF-465B6BE3A8D2}</author>
    <author>tc={2EEFFDF5-17FF-4CDD-B178-459966E49E0B}</author>
    <author>tc={2D340AF5-C74E-418E-82B5-23BB10F84435}</author>
    <author>tc={82165A43-05FF-41E8-9FB0-0F7EED91D05A}</author>
    <author>tc={B0419884-55EB-4E4A-B7F6-ED37A8023280}</author>
    <author>tc={D3F0FA53-91F0-4C72-B756-C7FED1356A57}</author>
    <author>tc={82589FAB-51BB-434F-9872-8B6F5ACAB9FB}</author>
    <author>tc={72DF63F5-3CA5-47E4-BE2D-C73D34D2B188}</author>
    <author>tc={D6EFB7C7-F06E-4B24-B08F-9EA5616395CA}</author>
    <author>tc={110F3414-C1F4-45BA-8EA5-63B41AB5E5EA}</author>
    <author>tc={FEC38A57-CC78-4E0C-BE5E-1AA0D606DB08}</author>
    <author>tc={410050C5-25ED-413B-860F-7498A4C9A6FC}</author>
    <author>tc={51FB3CEC-89F5-45D3-B527-8E77EF3C80D8}</author>
    <author>tc={7A48298C-314F-49CB-B0C8-CC1E52BCA0CE}</author>
    <author>tc={E68652EC-9DE1-4530-BFFF-F94967D82DD2}</author>
    <author>tc={4A4C2A4C-32BB-4C4B-B1FE-C072859354AC}</author>
    <author>tc={B788576E-75FB-4E25-A4F0-FD5962B6885A}</author>
    <author>tc={D827C8C1-506D-4F45-AF38-8BD759531805}</author>
    <author>tc={0399FEB7-2770-4D24-9736-9338452EA965}</author>
    <author>tc={D5C3AB81-AC5B-40D2-BF46-7DF762DEF8A4}</author>
    <author>tc={305CEAE3-3C01-40D0-AC17-84B233484658}</author>
    <author>tc={0010EB47-E9ED-4A3A-B531-2519C0484DF8}</author>
    <author>tc={48F7BFCF-6BC4-47F0-AAC7-821964E98412}</author>
    <author>tc={91055F99-4A93-4872-BBB8-A32DC2D2143A}</author>
    <author>tc={B912CF8F-14AC-43FE-80B8-8B8E8B1529F6}</author>
    <author>tc={2ED0BEF2-E2AE-40C3-9E15-4AA75A956E9F}</author>
    <author>tc={463A5C99-8501-4FCE-93EB-E9D15815C2D6}</author>
    <author>tc={68E9ECAC-1CA4-4255-B99C-E323657F2DE2}</author>
    <author>tc={CFC63533-3A96-423A-82D1-2787BD7B7E66}</author>
    <author>tc={F9F8A8A7-C49C-4B3D-935C-243A6F1504C1}</author>
    <author>tc={9EF3EF9B-B42F-4D74-B144-B67EF3D9D132}</author>
    <author>tc={9B4588D7-E83F-4D55-9F2A-7A5BF29AD836}</author>
    <author>tc={419BCB12-860F-4447-89A1-B6C2B64D592D}</author>
    <author>tc={CF56036F-23C4-4B8B-9A6A-81E8F84C14AA}</author>
    <author>tc={CD594C15-F56F-4C9A-B5ED-F5A1AEE18808}</author>
    <author>tc={9FF4E4DA-9450-4B5B-8780-D9F44B87B88F}</author>
    <author>tc={7BB3BD6F-8095-4C5C-AF6B-B369E09FFECD}</author>
    <author>tc={DF5561DC-31A3-4FFF-AEF7-1E2E942F2438}</author>
    <author>tc={69B8976B-7A6D-4FEE-A9BF-93E12DD475C3}</author>
    <author>tc={B5E38F25-C7D5-4F59-A61A-9746B6E6BC87}</author>
    <author>tc={CFF96159-F033-493F-B63B-3849BCDE932A}</author>
    <author>tc={5E04973F-D4CA-48B6-8F88-4C80D3805E37}</author>
    <author>tc={901C8C06-97B1-48B3-98A7-E0D2A5B3A720}</author>
    <author>tc={883EBFA3-08E5-417C-9FF5-840AA4A5553C}</author>
    <author>tc={6954F3FA-3980-4886-B5A3-809479683DA5}</author>
    <author>tc={050D495B-03EF-4AE4-A1C3-6A92299C57F5}</author>
    <author>tc={16B2E581-40A0-4F42-9E9E-491560B54530}</author>
    <author>tc={A73741C9-A728-408D-8F79-A9B0FB664662}</author>
    <author>tc={302C7499-06EE-4A1B-9D42-F5C1EABBF2B7}</author>
    <author>tc={4DA9A3D9-95E2-434D-8BB7-AF5475082210}</author>
    <author>tc={6C7D8892-538B-47BD-A39B-6DC84F071F59}</author>
    <author>tc={0EA34265-ADFD-48A5-8E49-21D36800F033}</author>
    <author>tc={2E111295-3A80-4CD5-AD15-4864B829E51A}</author>
    <author>tc={39DF04E2-7C63-47BE-BEBE-207879E095F0}</author>
    <author>tc={9B75B091-DC7C-410B-9E29-4E954C24FF85}</author>
    <author>tc={2D51941C-9CEE-4B4F-8C53-6596CBA77E05}</author>
    <author>tc={CA78634B-A558-4692-917B-66701C12A231}</author>
    <author>tc={D575842E-CC95-4993-9830-09DBADD106C8}</author>
    <author>tc={20A54D41-A98F-4CFB-ADE3-B1AA0D522E44}</author>
    <author>tc={A7A8503F-82E2-4A12-A92B-41ADEB8F1ACC}</author>
    <author>tc={63B8C26E-D3E0-48E9-A5A0-C4ED67CBD291}</author>
    <author>tc={BF21418C-CA1C-4B1F-9A1A-867D8BB727F2}</author>
    <author>tc={60C9E46D-B12C-46BF-A805-81DA9295A10E}</author>
    <author>tc={FC5D3666-DD2C-4709-BE03-B6E91954CE5F}</author>
    <author>tc={D4408EF3-1C8D-434B-912B-59EF92A2F878}</author>
    <author>tc={CACC1D38-4E65-474A-B4D7-B2895F919949}</author>
    <author>tc={B8A802A1-F401-42F8-8FA4-78606FFEC4D8}</author>
    <author>tc={99FD797F-8370-4B9F-9684-B427B2B5D1BF}</author>
  </authors>
  <commentList>
    <comment ref="AQ8" authorId="0" shapeId="0" xr:uid="{4DD0A3A1-FF0D-4020-9ADC-9626F7DE0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Geração Total * % rateio cada UC</t>
      </text>
    </comment>
    <comment ref="C9" authorId="1" shapeId="0" xr:uid="{64ABBD6D-1955-4227-B559-4D8C946ACF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</t>
      </text>
    </comment>
    <comment ref="C10" authorId="2" shapeId="0" xr:uid="{6A9D083B-143A-4E14-B66A-CAC1451935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
</t>
      </text>
    </comment>
    <comment ref="C11" authorId="3" shapeId="0" xr:uid="{77A51FE2-C812-46AB-9673-A54B306A8B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
</t>
      </text>
    </comment>
    <comment ref="C14" authorId="4" shapeId="0" xr:uid="{0C488010-CF8A-44AE-A756-C71F4F416A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consumo</t>
      </text>
    </comment>
    <comment ref="C32" authorId="5" shapeId="0" xr:uid="{4F39BD19-5FFE-4768-A719-EEC01822E4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</t>
      </text>
    </comment>
    <comment ref="C34" authorId="6" shapeId="0" xr:uid="{36436174-8F11-4E73-8A4C-E4906B51AC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compensação</t>
      </text>
    </comment>
    <comment ref="C37" authorId="7" shapeId="0" xr:uid="{D23D3C84-D860-4428-81BF-61760EC2CA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está vinculada a essa usina no CVS para o portal, mas não foi enviada para o rateio para a EMS
Responder:
    Houve erro e não foi incluída no rateio. Pode ser incluída nos próximos rateios</t>
      </text>
    </comment>
    <comment ref="C40" authorId="8" shapeId="0" xr:uid="{54482CDC-5F56-4D9E-B33A-C88684D914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
</t>
      </text>
    </comment>
    <comment ref="C50" authorId="9" shapeId="0" xr:uid="{4D7A80E1-3D65-4016-B4C6-096B537AB3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Estava na usina GDI, mas está como inativa e devem ser removidas</t>
      </text>
    </comment>
    <comment ref="C51" authorId="10" shapeId="0" xr:uid="{089DD765-F71C-449C-8AD8-067428E603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Também esta inativa (O pastor pediu para retirar do rateio)</t>
      </text>
    </comment>
    <comment ref="C52" authorId="11" shapeId="0" xr:uid="{AFF19821-9B1E-474D-BFAA-8AF2B098D3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C65" authorId="12" shapeId="0" xr:uid="{0636C68E-5E8B-4AA3-A4A8-B87A2DA2A8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C72" authorId="13" shapeId="0" xr:uid="{0B1BC10C-6161-4AB1-8735-AD934A6AC1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cobrança do custo de disponibilidade</t>
      </text>
    </comment>
    <comment ref="C87" authorId="14" shapeId="0" xr:uid="{43718D2F-3B30-46D3-BC41-99EE5FFBD1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cobrança do custo de disponibilidade</t>
      </text>
    </comment>
    <comment ref="C93" authorId="15" shapeId="0" xr:uid="{6E0BB5F4-00D7-411E-9B59-1D6B0F7CEA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compensação</t>
      </text>
    </comment>
    <comment ref="C103" authorId="16" shapeId="0" xr:uid="{704DA44F-2E96-4080-BEE7-39076F0C40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C104" authorId="17" shapeId="0" xr:uid="{7E68D1CE-8508-4AE1-B358-AFF4895711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C105" authorId="18" shapeId="0" xr:uid="{8CD50E59-4E98-40D8-8E05-3E033F6B19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</t>
      </text>
    </comment>
    <comment ref="AF105" authorId="19" shapeId="0" xr:uid="{819F1A66-04C3-401D-BE3B-0262EF47BEE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134" authorId="20" shapeId="0" xr:uid="{990DDAFE-25F0-4591-B8B4-2F057AC7C7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está vinculada a essa usina no CVS para o portal, mas não foi enviada para o rateio para a EMS
Responder:
    Houve erro e não foi incluída no rateio. Pode ser incluída nos próximos rateios</t>
      </text>
    </comment>
    <comment ref="C147" authorId="21" shapeId="0" xr:uid="{CB1FDAA4-E112-4ADD-922F-9A906CA5B9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Estava na usina GDI, mas está como inativa e devem ser removidas</t>
      </text>
    </comment>
    <comment ref="C148" authorId="22" shapeId="0" xr:uid="{5D92AEC3-D6AB-4FB0-9BFF-26AAD4A5A1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Também esta inativa</t>
      </text>
    </comment>
    <comment ref="C189" authorId="23" shapeId="0" xr:uid="{E55BD9E3-7CC7-4A6A-962C-8167EA646E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Estava na usina GDI, mas está como inativa e devem ser removidas</t>
      </text>
    </comment>
    <comment ref="C190" authorId="24" shapeId="0" xr:uid="{F3E8D52E-F131-424B-B569-4191C28E43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Também esta inativa</t>
      </text>
    </comment>
    <comment ref="C191" authorId="25" shapeId="0" xr:uid="{EB9037A8-CD6E-403E-913E-FA96D9662A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rateio 0 mas teve crédito inj. 
</t>
      </text>
    </comment>
    <comment ref="C192" authorId="26" shapeId="0" xr:uid="{4C97FC8D-E1EB-437C-BF84-588B3A6506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AF192" authorId="27" shapeId="0" xr:uid="{8F8644ED-2724-4B81-9F4A-4665F9CC04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193" authorId="28" shapeId="0" xr:uid="{CA62FC5B-62C8-408E-B8C3-95521738A5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193" authorId="29" shapeId="0" xr:uid="{0F467C89-1BEA-42FD-87FD-6B9F0764A5A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193" authorId="30" shapeId="0" xr:uid="{497722C1-048B-4E27-AED1-AA633A1BB1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195" authorId="31" shapeId="0" xr:uid="{31462663-F292-4E50-AFDB-987CE0D8D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A211" authorId="32" shapeId="0" xr:uid="{44A276FE-BC43-48E1-B811-F1285DAE05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real emitido: R$ 27,76. Foi adicionado o dobro do valor pois a UC realizou o pagamento em duplicidade nesta referencia (Uma vez pagamento com desconto[R$ 27,76], uma vez sem[R$ 37,01]). A duplicidade foi inserida a fim de garantir um desconto à UC na ref. Agosto/2025.</t>
      </text>
    </comment>
    <comment ref="BB211" authorId="33" shapeId="0" xr:uid="{C45B1CAC-30D2-47E1-83E3-651793F208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em duplicidade segundo card do ClickUp 10/175073-6.</t>
      </text>
    </comment>
    <comment ref="C226" authorId="34" shapeId="0" xr:uid="{1E05AB64-4881-4574-9325-7A40C62B6B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C241" authorId="35" shapeId="0" xr:uid="{9ABFE835-92FA-439C-AC18-187D6ECAA5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C246" authorId="36" shapeId="0" xr:uid="{8D051A29-4A42-4E16-9523-EA86F7EF27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47" authorId="37" shapeId="0" xr:uid="{A1301511-F422-4800-B234-F63FDB9DC8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49" authorId="38" shapeId="0" xr:uid="{57DBCAC5-4D57-4A21-9EB4-9B5790237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50" authorId="39" shapeId="0" xr:uid="{B32884AF-FEAD-4786-A2DA-63301E4343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53" authorId="40" shapeId="0" xr:uid="{2AA2E21E-65A1-45CD-B62D-6581A34C0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54" authorId="41" shapeId="0" xr:uid="{9C348D17-2914-4E40-8819-08B5A51EF1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55" authorId="42" shapeId="0" xr:uid="{002D89A7-DBBB-4DE8-903F-35B362718B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59" authorId="43" shapeId="0" xr:uid="{5FA663CE-12BF-4725-B92C-F8926688C3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0" authorId="44" shapeId="0" xr:uid="{3BCC4748-A2A2-4057-B798-C1BB6442AE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2" authorId="45" shapeId="0" xr:uid="{38C613FF-6432-4C6D-8C2D-7D3134993B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3" authorId="46" shapeId="0" xr:uid="{F367B556-326A-4DA9-A708-D8AB81D8D5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4" authorId="47" shapeId="0" xr:uid="{9D84BCAB-5C8E-46DB-B860-B25C0F2D9A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7" authorId="48" shapeId="0" xr:uid="{D6AE7A5D-26C4-44FE-AFBC-D14786CFE7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8" authorId="49" shapeId="0" xr:uid="{A86E3C79-90A7-4CCF-ACB6-F85D550B64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69" authorId="50" shapeId="0" xr:uid="{BB86E710-B74A-4725-9A16-E08595015B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74" authorId="51" shapeId="0" xr:uid="{64C6CAFA-4037-4A2E-92CC-B668BCDA3A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75" authorId="52" shapeId="0" xr:uid="{C4555007-CF91-48F8-AB35-70873D0A78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80" authorId="53" shapeId="0" xr:uid="{17BE5356-433F-4DD8-9739-655F067A4C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83" authorId="54" shapeId="0" xr:uid="{22920058-C5EB-469B-8E9F-4407BAE085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84" authorId="55" shapeId="0" xr:uid="{D8524323-E044-40B5-971D-7474D60BFE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85" authorId="56" shapeId="0" xr:uid="{0B9C278C-38F1-45DB-943E-B94F236EC3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88" authorId="57" shapeId="0" xr:uid="{EB93C7D0-B715-4333-8AED-94B8672558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C289" authorId="58" shapeId="0" xr:uid="{2D1DF74A-97FD-4307-8ECC-3E3A04F8C6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AF289" authorId="59" shapeId="0" xr:uid="{870F3AD7-A96D-4B28-B025-9A614CA3FA4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290" authorId="60" shapeId="0" xr:uid="{9AE9EC49-0CBA-4F2C-B45E-058F924907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290" authorId="61" shapeId="0" xr:uid="{08DC1495-2ECD-41AA-B4DB-8DCD9091FF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290" authorId="62" shapeId="0" xr:uid="{2892A0E5-A942-4464-B17D-8842D969698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292" authorId="63" shapeId="0" xr:uid="{CC434731-B9C6-4E39-BB15-AD2B8BA8A5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A308" authorId="64" shapeId="0" xr:uid="{023AE0BD-45BA-4933-A390-629A8999F4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real emitido: R$ 16,80. Foi adicionado o dobro do valor pois a UC realizou o pagamento em duplicidade nesta referencia (Uma vez pagamento com desconto [R$ 16,80], uma vez sem [R$ 22,40]). A duplicidade foi inserida a fim de garantir um desconto à UC na ref. Agosto/2025.</t>
      </text>
    </comment>
    <comment ref="BB308" authorId="65" shapeId="0" xr:uid="{9398A378-1118-4DD4-9FBD-4BD8650094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em duplicidade segundo card 10/175073-6 do ClickUp.</t>
      </text>
    </comment>
    <comment ref="C323" authorId="66" shapeId="0" xr:uid="{E3088E8D-2431-44A7-8BAF-74E886BD350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C327" authorId="67" shapeId="0" xr:uid="{0FDF43A3-1698-40E1-B155-BE4F3494B35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Estava riscado no rateio enviado com o numero: 3507698 escrito a mão. 
Responder:
    UC 10/512142-1 inda sem fatura de Março na distribuidora. </t>
      </text>
    </comment>
    <comment ref="C338" authorId="68" shapeId="0" xr:uid="{6AE5E6C9-E02B-4E56-99BC-3F2E9B1CEA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C386" authorId="69" shapeId="0" xr:uid="{5712C087-0A4C-4C39-A071-E6AB8A3471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AD386" authorId="70" shapeId="0" xr:uid="{A068E110-66E9-4BDF-8DA3-5F82BEAB5F1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386" authorId="71" shapeId="0" xr:uid="{C4FBC48C-F4DE-4D5A-B654-A153836042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387" authorId="72" shapeId="0" xr:uid="{FD323E10-6335-4647-B95C-F40F5C37D2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387" authorId="73" shapeId="0" xr:uid="{5FEDD8DB-E3AF-4CE8-B59C-D06C6BAD18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387" authorId="74" shapeId="0" xr:uid="{8A7D204B-B404-4158-8A21-0A30150781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389" authorId="75" shapeId="0" xr:uid="{EB2BB3A8-6B5A-4DE6-8C86-E372EEBF4F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C398" authorId="76" shapeId="0" xr:uid="{56E339C9-F806-47A4-BC09-0BA5353777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C403" authorId="77" shapeId="0" xr:uid="{30DE11B9-CA28-47CB-AE0D-CFE9779632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A405" authorId="78" shapeId="0" xr:uid="{77A83695-11DA-4137-8958-C110FB1C0F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real emitido: R$ 29,18. Foi adicionado o dobro do valor pois a UC realizou o pagamento em duplicidade nesta referencia (Uma vez pagamento com desconto [R$ 29,81], uma vez sem [R$ 38,90]). A duplicidade foi inserida a fim de garantir um desconto à UC na ref. Agosto/2025.</t>
      </text>
    </comment>
    <comment ref="BB405" authorId="79" shapeId="0" xr:uid="{35340716-59A6-4BEC-9BB1-C9DBB4F68C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em duplicidade segundo card 10/175073-6 do ClickUp.</t>
      </text>
    </comment>
    <comment ref="C410" authorId="80" shapeId="0" xr:uid="{E5FDF02D-98A2-416C-8928-940E9653D7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C418" authorId="81" shapeId="0" xr:uid="{D18B796B-FCFB-44CE-B043-E7E0F19B259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C419" authorId="82" shapeId="0" xr:uid="{AC7969DD-EB37-4A67-8A53-061075E7DEB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C420" authorId="83" shapeId="0" xr:uid="{49A48300-C557-40E8-959B-79D5D5B5BA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C429" authorId="84" shapeId="0" xr:uid="{78C99880-8FE2-42C6-B020-5ABA8CBAE7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C432" authorId="85" shapeId="0" xr:uid="{FEA6544B-2E59-438B-92C6-BE2E91A954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C435" authorId="86" shapeId="0" xr:uid="{1E9C244C-B242-4EEE-83FA-1DDB2347A6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
Responder:
    UC inativa na Energisa.</t>
      </text>
    </comment>
    <comment ref="C455" authorId="87" shapeId="0" xr:uid="{AE53AA9A-3F14-41FD-B0F3-0FE4E2819B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segundo o Thiago Fontes.</t>
      </text>
    </comment>
    <comment ref="BB465" authorId="88" shapeId="0" xr:uid="{57154B80-A612-43FF-B402-341E8B58CE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em duplicidade identificado, referente ao card GEG-8614. Valor pago a mais: R$ 98,64.</t>
      </text>
    </comment>
    <comment ref="C483" authorId="89" shapeId="0" xr:uid="{A5D0427E-1E44-4B44-8C0E-56E9BDAF44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AD483" authorId="90" shapeId="0" xr:uid="{4944645F-4D3C-4FA1-9C46-A1F222D5AB3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483" authorId="91" shapeId="0" xr:uid="{A08D3671-EDB9-4D8C-8555-531BDF1715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484" authorId="92" shapeId="0" xr:uid="{703F9CC0-2B02-4798-B725-972A738F81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484" authorId="93" shapeId="0" xr:uid="{81561592-D9D7-4079-A1F5-68241B9853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484" authorId="94" shapeId="0" xr:uid="{5B37E5B5-9265-4ED1-AE4B-1525BA84A5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485" authorId="95" shapeId="0" xr:uid="{99C9BFF6-6375-4153-B893-886F4D4449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possivelmente com geração Local a partir de Maio/2025.</t>
      </text>
    </comment>
    <comment ref="AD485" authorId="96" shapeId="0" xr:uid="{F8459F4F-0DC2-40F4-BA5C-2740D4E6D02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485" authorId="97" shapeId="0" xr:uid="{8B7F5A5E-DB04-4E9B-8CA6-80C6E3B3D3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486" authorId="98" shapeId="0" xr:uid="{AD92451F-255E-4DC2-9A16-17B52BE3A0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A502" authorId="99" shapeId="0" xr:uid="{35B80131-5147-4D0C-8D08-F616968C54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real emitido: R$ 38,18. Foi adicionado o dobro do valor pois a UC realizou o pagamento em duplicidade nesta referencia (Uma vez pagamento com desconto [R$ 38,18], uma vez sem [R$ 50,91]). A duplicidade foi inserida a fim de garantir um desconto à UC na ref. Agosto/2025.</t>
      </text>
    </comment>
    <comment ref="BB502" authorId="100" shapeId="0" xr:uid="{68468D64-2605-45B3-B68C-1F8B84B392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em duplicidade segundo card 10/175073-6 do ClickUp.</t>
      </text>
    </comment>
    <comment ref="C517" authorId="101" shapeId="0" xr:uid="{C004F088-9291-4E79-A92E-9843A1F5D6A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C521" authorId="102" shapeId="0" xr:uid="{937F0926-0B4E-42C2-993C-8C35926EBDE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C532" authorId="103" shapeId="0" xr:uid="{9D1C8DB1-F3EA-4C60-B4FF-465B6BE3A8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
Responder:
    UC inativa na Energisa.</t>
      </text>
    </comment>
    <comment ref="C533" authorId="104" shapeId="0" xr:uid="{2EEFFDF5-17FF-4CDD-B178-459966E49E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segundo o Thiago Fontes.</t>
      </text>
    </comment>
    <comment ref="C542" authorId="105" shapeId="0" xr:uid="{2D340AF5-C74E-418E-82B5-23BB10F844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</t>
      </text>
    </comment>
    <comment ref="C547" authorId="106" shapeId="0" xr:uid="{82165A43-05FF-41E8-9FB0-0F7EED91D0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
Responder:
    A redução dos créditos acumulados de Maio para Junho indicariam um consumo de crédito acumulado, mas analisando a fatura, foi consumido apenas créditos gerados pela usina em Junho. </t>
      </text>
    </comment>
    <comment ref="C550" authorId="107" shapeId="0" xr:uid="{B0419884-55EB-4E4A-B7F6-ED37A80232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</t>
      </text>
    </comment>
    <comment ref="C552" authorId="108" shapeId="0" xr:uid="{D3F0FA53-91F0-4C72-B756-C7FED1356A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segundo o Thiago Fontes.</t>
      </text>
    </comment>
    <comment ref="C555" authorId="109" shapeId="0" xr:uid="{82589FAB-51BB-434F-9872-8B6F5ACAB9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</t>
      </text>
    </comment>
    <comment ref="X559" authorId="110" shapeId="0" xr:uid="{72DF63F5-3CA5-47E4-BE2D-C73D34D2B18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sem consumo, nestes casos o portal errou a ajuste da tarifa em função da bandeira aplicada.  </t>
      </text>
    </comment>
    <comment ref="X567" authorId="111" shapeId="0" xr:uid="{D6EFB7C7-F06E-4B24-B08F-9EA5616395C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sem consumo, nestes casos o portal errou a ajuste da tarifa em função da bandeira aplicada.  </t>
      </text>
    </comment>
    <comment ref="C569" authorId="112" shapeId="0" xr:uid="{110F3414-C1F4-45BA-8EA5-63B41AB5E5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</t>
      </text>
    </comment>
    <comment ref="X570" authorId="113" shapeId="0" xr:uid="{FEC38A57-CC78-4E0C-BE5E-1AA0D606DB0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sem consumo, nestes casos o portal errou a ajuste da tarifa em função da bandeira aplicada.  </t>
      </text>
    </comment>
    <comment ref="C571" authorId="114" shapeId="0" xr:uid="{410050C5-25ED-413B-860F-7498A4C9A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</t>
      </text>
    </comment>
    <comment ref="C577" authorId="115" shapeId="0" xr:uid="{51FB3CEC-89F5-45D3-B527-8E77EF3C80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refaturada em Junho devido a um erro na rota de leitura.</t>
      </text>
    </comment>
    <comment ref="C579" authorId="116" shapeId="0" xr:uid="{7A48298C-314F-49CB-B0C8-CC1E52BCA0C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Os créditos injetados nesta referência não devem ser da nossa usina. A UC recebeu em Maio a geração da Usina de Abril e Maio Juntas, e em Junho, apenas as Ucs refaturadas receberem energia da fatura da usina de junho. </t>
      </text>
    </comment>
    <comment ref="C580" authorId="117" shapeId="0" xr:uid="{E68652EC-9DE1-4530-BFFF-F94967D82D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AD580" authorId="118" shapeId="0" xr:uid="{4A4C2A4C-32BB-4C4B-B1FE-C072859354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580" authorId="119" shapeId="0" xr:uid="{B788576E-75FB-4E25-A4F0-FD5962B688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581" authorId="120" shapeId="0" xr:uid="{D827C8C1-506D-4F45-AF38-8BD7595318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581" authorId="121" shapeId="0" xr:uid="{0399FEB7-2770-4D24-9736-9338452EA9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581" authorId="122" shapeId="0" xr:uid="{D5C3AB81-AC5B-40D2-BF46-7DF762DEF8A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582" authorId="123" shapeId="0" xr:uid="{305CEAE3-3C01-40D0-AC17-84B2334846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 a partir de Maio/2025.
Responder:
    Gerou 214 em Junho?</t>
      </text>
    </comment>
    <comment ref="AD582" authorId="124" shapeId="0" xr:uid="{0010EB47-E9ED-4A3A-B531-2519C0484D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AF582" authorId="125" shapeId="0" xr:uid="{48F7BFCF-6BC4-47F0-AAC7-821964E984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583" authorId="126" shapeId="0" xr:uid="{91055F99-4A93-4872-BBB8-A32DC2D214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X606" authorId="127" shapeId="0" xr:uid="{B912CF8F-14AC-43FE-80B8-8B8E8B1529F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sem consumo, nestes casos o portal errou a ajuste da tarifa em função da bandeira aplicada.  </t>
      </text>
    </comment>
    <comment ref="C614" authorId="128" shapeId="0" xr:uid="{2ED0BEF2-E2AE-40C3-9E15-4AA75A956E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C618" authorId="129" shapeId="0" xr:uid="{463A5C99-8501-4FCE-93EB-E9D15815C2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X621" authorId="130" shapeId="0" xr:uid="{68E9ECAC-1CA4-4255-B99C-E323657F2D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sem consumo, nestes casos o portal errou a ajuste da tarifa em função da bandeira aplicada.  </t>
      </text>
    </comment>
    <comment ref="C629" authorId="131" shapeId="0" xr:uid="{CFC63533-3A96-423A-82D1-2787BD7B7E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
Responder:
    UC inativa na Energisa.</t>
      </text>
    </comment>
    <comment ref="C630" authorId="132" shapeId="0" xr:uid="{F9F8A8A7-C49C-4B3D-935C-243A6F1504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segundo o Thiago Fontes.</t>
      </text>
    </comment>
    <comment ref="X633" authorId="133" shapeId="0" xr:uid="{9EF3EF9B-B42F-4D74-B144-B67EF3D9D1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sem consumo, nestes casos o portal errou a ajuste da tarifa em função da bandeira aplicada.  </t>
      </text>
    </comment>
    <comment ref="C636" authorId="134" shapeId="0" xr:uid="{9B4588D7-E83F-4D55-9F2A-7A5BF29AD8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C639" authorId="135" shapeId="0" xr:uid="{419BCB12-860F-4447-89A1-B6C2B64D59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C650" authorId="136" shapeId="0" xr:uid="{CF56036F-23C4-4B8B-9A6A-81E8F84C14A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C653" authorId="137" shapeId="0" xr:uid="{CD594C15-F56F-4C9A-B5ED-F5A1AEE1880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C657" authorId="138" shapeId="0" xr:uid="{9FF4E4DA-9450-4B5B-8780-D9F44B87B8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658" authorId="139" shapeId="0" xr:uid="{7BB3BD6F-8095-4C5C-AF6B-B369E09FFE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C660" authorId="140" shapeId="0" xr:uid="{DF5561DC-31A3-4FFF-AEF7-1E2E942F24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BA661" authorId="141" shapeId="0" xr:uid="{69B8976B-7A6D-4FEE-A9BF-93E12DD475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real emitido: R$ 114,43. Foi adicionado o valor pago com desconto e o valor sem desconto, pois foi pago em duplicidade (Pagamento com desconto[R$ 114,43] e sem[R$ 147,52]). A duplicidade foi inserida a fim de garantir um desconto à UC na ref. Agosto/2025. </t>
      </text>
    </comment>
    <comment ref="BB661" authorId="142" shapeId="0" xr:uid="{B5E38F25-C7D5-4F59-A61A-9746B6E6BC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em duplicidade segundo o card GEG-8605
</t>
      </text>
    </comment>
    <comment ref="C663" authorId="143" shapeId="0" xr:uid="{CFF96159-F033-493F-B63B-3849BCDE932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teve a fatura de Junho reemitida, não receberá energia nesta referência pois já recebeu injeção dessa energia em Junho. </t>
      </text>
    </comment>
    <comment ref="C698" authorId="144" shapeId="0" xr:uid="{5E04973F-D4CA-48B6-8F88-4C80D3805E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703" authorId="145" shapeId="0" xr:uid="{901C8C06-97B1-48B3-98A7-E0D2A5B3A7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727" authorId="146" shapeId="0" xr:uid="{883EBFA3-08E5-417C-9FF5-840AA4A555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762" authorId="147" shapeId="0" xr:uid="{6954F3FA-3980-4886-B5A3-809479683D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Energia injetada na fatura da UC: 0 KWh. Logo, toda a energia de crédito compensado é da usina Girossol.</t>
      </text>
    </comment>
    <comment ref="AD767" authorId="148" shapeId="0" xr:uid="{050D495B-03EF-4AE4-A1C3-6A92299C57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Energia injetada na fatura da UC: 0 KWh. Logo, toda a energia de crédito compensado é da usina Girossol.</t>
      </text>
    </comment>
    <comment ref="C806" authorId="149" shapeId="0" xr:uid="{16B2E581-40A0-4F42-9E9E-491560B545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811" authorId="150" shapeId="0" xr:uid="{A73741C9-A728-408D-8F79-A9B0FB6646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813" authorId="151" shapeId="0" xr:uid="{302C7499-06EE-4A1B-9D42-F5C1EABBF2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AD813" authorId="152" shapeId="0" xr:uid="{4DA9A3D9-95E2-434D-8BB7-AF54750822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814" authorId="153" shapeId="0" xr:uid="{6C7D8892-538B-47BD-A39B-6DC84F071F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 a partir de Maio/2025.</t>
      </text>
    </comment>
    <comment ref="AD814" authorId="154" shapeId="0" xr:uid="{0EA34265-ADFD-48A5-8E49-21D36800F03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Fatura foi analisada e este é o valor de crédito consumido da nossa Usina. </t>
      </text>
    </comment>
    <comment ref="C896" authorId="155" shapeId="0" xr:uid="{2E111295-3A80-4CD5-AD15-4864B829E5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900" authorId="156" shapeId="0" xr:uid="{39DF04E2-7C63-47BE-BEBE-207879E095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BA923" authorId="157" shapeId="0" xr:uid="{9B75B091-DC7C-410B-9E29-4E954C24FF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real emitido de R$ 189,68. O valor de R$ 147,17 foi inserido a fim de gerar um desconto de mesmo valor na próxima referência, conforme solicitado no chamado GEG-8638, aberto no ClickUp.</t>
      </text>
    </comment>
    <comment ref="C959" authorId="158" shapeId="0" xr:uid="{2D51941C-9CEE-4B4F-8C53-6596CBA77E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C961" authorId="159" shapeId="0" xr:uid="{CA78634B-A558-4692-917B-66701C12A2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C962" authorId="160" shapeId="0" xr:uid="{D575842E-CC95-4993-9830-09DBADD106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C963" authorId="161" shapeId="0" xr:uid="{20A54D41-A98F-4CFB-ADE3-B1AA0D522E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
Responder:
    UC inativa na Energisa.</t>
      </text>
    </comment>
    <comment ref="C964" authorId="162" shapeId="0" xr:uid="{A7A8503F-82E2-4A12-A92B-41ADEB8F1A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na distribuidora segundo o  Thiago Fontes</t>
      </text>
    </comment>
    <comment ref="AZ1010" authorId="163" shapeId="0" xr:uid="{63B8C26E-D3E0-48E9-A5A0-C4ED67CBD2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boleto anterior não emitido devido ao status "Pendente dado cadastral" na base de cliente. Esta referência contempla o valor de Nov/25 + Diferenças geradas nos meses anteriores.</t>
      </text>
    </comment>
    <comment ref="AZ1047" authorId="164" shapeId="0" xr:uid="{BF21418C-CA1C-4B1F-9A1A-867D8BB727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boleto anterior não emitido devido ao status "Pendente dado cadastral" na base de cliente. Esta referência contempla o valor de Nov/25 + Diferenças geradas nos meses anteriores.</t>
      </text>
    </comment>
    <comment ref="AZ1057" authorId="165" shapeId="0" xr:uid="{60C9E46D-B12C-46BF-A805-81DA9295A1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Houve refaturamento da fatura anterior por parte da distribuidora e gerou uma diferença de emissão. Esta diferença está aplicada ao valor de faturamento desta referência.</t>
      </text>
    </comment>
    <comment ref="AZ1066" authorId="166" shapeId="0" xr:uid="{FC5D3666-DD2C-4709-BE03-B6E91954CE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Houve refaturamento da fatura anterior por parte da distribuidora e gerou uma diferença de emissão. Esta diferença está aplicada ao valor de faturamento desta referência.</t>
      </text>
    </comment>
    <comment ref="AZ1068" authorId="167" shapeId="0" xr:uid="{D4408EF3-1C8D-434B-912B-59EF92A2F87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Houve refaturamento da fatura anterior por parte da distribuidora e gerou uma diferença de emissão. Esta diferença está aplicada ao valor de faturamento desta referência.</t>
      </text>
    </comment>
    <comment ref="AD1094" authorId="168" shapeId="0" xr:uid="{CACC1D38-4E65-474A-B4D7-B2895F9199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Energia advinda de Pilar.</t>
      </text>
    </comment>
    <comment ref="AZ1094" authorId="169" shapeId="0" xr:uid="{B8A802A1-F401-42F8-8FA4-78606FFEC4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faturada devido ao status "Pendente dado cadastral" na base de clientes. A diferença de emissão será aplicada nesta referência.</t>
      </text>
    </comment>
    <comment ref="AZ1095" authorId="170" shapeId="0" xr:uid="{99FD797F-8370-4B9F-9684-B427B2B5D1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boleto anterior não emitido devido ao status "Pendente dado cadastral" na base de cliente. Esta referência contempla o valor de Nov/25 + Diferenças geradas nos meses anteriores.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tc={93973991-9101-452B-B341-14B3C19C8FDC}</author>
    <author>tc={7B65B997-98A9-49B2-90A0-CDC4AF62B973}</author>
    <author>tc={24258FC1-4E79-4BDA-9327-6F07763F3740}</author>
    <author>tc={31E81506-476A-4F26-B1D5-68E9F235B9E1}</author>
    <author>tc={E878F331-ACA0-4ED8-B1A4-A4CE83CFB5D5}</author>
    <author>tc={E0556806-F5F6-43F5-9133-17CA013CB677}</author>
    <author>tc={3F879176-59FD-49D4-AF13-2ADA604BB8C9}</author>
    <author>tc={D9EB6E06-1E0D-44B9-A067-B61290DD685A}</author>
    <author>tc={7782E123-0360-4778-BA91-6CA63065BBDF}</author>
    <author>tc={21DBD38B-3EF9-424B-B689-A8ABDF99EA79}</author>
    <author>tc={BE15B2AF-61A6-4183-8C74-724222F2EFD8}</author>
    <author>tc={9829947D-F3C3-4988-A14B-5878FC378694}</author>
    <author>tc={DC5D6D06-1D80-4B72-93B6-EE0B984ACDCD}</author>
    <author>tc={8A4256B5-FABF-4DC6-A11A-20D91EEB4B32}</author>
    <author>tc={AA2F9CA4-569A-4D29-81C4-B18FF4CBD3EE}</author>
    <author>tc={1B2F0ADF-684D-4E40-B88A-3F532519240F}</author>
    <author>tc={E3BFA107-0A1D-4409-9D8A-8D301B2678C2}</author>
    <author>tc={3A6C54AE-DC76-4FFD-90A7-8893EC3776BD}</author>
    <author>tc={B6D44BA3-36AD-4986-B8CD-CCFB249A2449}</author>
    <author>tc={039F1697-AA22-4666-AB67-33B98130D086}</author>
    <author>tc={A5B86AA0-C370-42FA-8E24-D0D9ADE95454}</author>
    <author>tc={B350A34D-D6A2-4E36-AEB1-D5E4C22A3AC3}</author>
    <author>tc={B7E91111-0395-4415-BE4F-7A7F02CD8D45}</author>
  </authors>
  <commentList>
    <comment ref="B14" authorId="0" shapeId="0" xr:uid="{93973991-9101-452B-B341-14B3C19C8F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novo fica como vacância quando entra ? Analisar</t>
      </text>
    </comment>
    <comment ref="B50" authorId="1" shapeId="0" xr:uid="{7B65B997-98A9-49B2-90A0-CDC4AF62B9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novo fica como vacância quando entra ? Analisar</t>
      </text>
    </comment>
    <comment ref="H69" authorId="2" shapeId="0" xr:uid="{24258FC1-4E79-4BDA-9327-6F07763F37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@Livia Almeida Uma diferença nos boletos emitidos a cobrar na UC 10/3170252-5 causou essas diferenças entre as linhas 69 e 70. Essa UC possui geração própria e não deveria ter sido faturada, mas foi enviado para emissão em Março mas o boleto não pode ser emitido.  
Responder:
    A pequena diferença no mês de julho ocorreu pelo fato de uma das colunas que alimentam o valor dessas linhas possuírem a função ARRED e a outra não. </t>
      </text>
    </comment>
    <comment ref="I85" authorId="3" shapeId="0" xr:uid="{31E81506-476A-4F26-B1D5-68E9F235B9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considera apenas o consumo esperado das UCs que consumiram créditos nesta referência. 
</t>
      </text>
    </comment>
    <comment ref="B86" authorId="4" shapeId="0" xr:uid="{E878F331-ACA0-4ED8-B1A4-A4CE83CFB5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novo fica como vacância quando entra ? Analisar</t>
      </text>
    </comment>
    <comment ref="D111" authorId="5" shapeId="0" xr:uid="{E0556806-F5F6-43F5-9133-17CA013CB6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E111" authorId="6" shapeId="0" xr:uid="{3F879176-59FD-49D4-AF13-2ADA604BB8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F111" authorId="7" shapeId="0" xr:uid="{D9EB6E06-1E0D-44B9-A067-B61290DD68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G111" authorId="8" shapeId="0" xr:uid="{7782E123-0360-4778-BA91-6CA63065BB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H111" authorId="9" shapeId="0" xr:uid="{21DBD38B-3EF9-424B-B689-A8ABDF99EA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I111" authorId="10" shapeId="0" xr:uid="{BE15B2AF-61A6-4183-8C74-724222F2EF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J111" authorId="11" shapeId="0" xr:uid="{9829947D-F3C3-4988-A14B-5878FC3786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K111" authorId="12" shapeId="0" xr:uid="{DC5D6D06-1D80-4B72-93B6-EE0B984ACD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L111" authorId="13" shapeId="0" xr:uid="{8A4256B5-FABF-4DC6-A11A-20D91EEB4B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M111" authorId="14" shapeId="0" xr:uid="{AA2F9CA4-569A-4D29-81C4-B18FF4CBD3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N111" authorId="15" shapeId="0" xr:uid="{1B2F0ADF-684D-4E40-B88A-3F53251924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Girossol II + Girossol III</t>
      </text>
    </comment>
    <comment ref="K112" authorId="16" shapeId="0" xr:uid="{E3BFA107-0A1D-4409-9D8A-8D301B2678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com base no reajuste tarifário da distribuidora. Reajuste da B3 em Maio/2025: 0,91%</t>
      </text>
    </comment>
    <comment ref="N116" authorId="17" shapeId="0" xr:uid="{3A6C54AE-DC76-4FFD-90A7-8893EC3776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Fio B é reajustado 2x por ano. Uma vez em Janeiro - pela atualização da transição Lei 14.300, e outra vez em Abril pelo reajuste tarifário ANEEL.</t>
      </text>
    </comment>
    <comment ref="B118" authorId="18" shapeId="0" xr:uid="{B6D44BA3-36AD-4986-B8CD-CCFB249A24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adicional de bandeira da referência.</t>
      </text>
    </comment>
    <comment ref="B123" authorId="19" shapeId="0" xr:uid="{039F1697-AA22-4666-AB67-33B98130D0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o mês de Junho/2025 a fórmula será alterada. O desconto dos clientes também será alterado.</t>
      </text>
    </comment>
    <comment ref="K127" authorId="20" shapeId="0" xr:uid="{A5B86AA0-C370-42FA-8E24-D0D9ADE954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não bate com o repasse do relatório AG Energia devido ao reajuste errôneo aplicado por eles de 1,33%.</t>
      </text>
    </comment>
    <comment ref="M127" authorId="21" shapeId="0" xr:uid="{B350A34D-D6A2-4E36-AEB1-D5E4C22A3A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pago pela Armor Energia devido ao problema de rateio ocorrido nos meses de Jan/2025 e Fev/2025.</t>
      </text>
    </comment>
    <comment ref="N127" authorId="22" shapeId="0" xr:uid="{B7E91111-0395-4415-BE4F-7A7F02CD8D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pago pela Armor Energia devido ao problema de rateio ocorrido nos meses de Jan/2025 e Fev/2025.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<sst xmlns="http://schemas.openxmlformats.org/spreadsheetml/2006/main" count="5964" uniqueCount="500">
  <si>
    <t>INSTALACAO</t>
  </si>
  <si>
    <t>Linha</t>
  </si>
  <si>
    <t>Nome/Razão Social</t>
  </si>
  <si>
    <t>Região</t>
  </si>
  <si>
    <t>CPF/CNPJ</t>
  </si>
  <si>
    <t>E-mail</t>
  </si>
  <si>
    <t>TENSAO</t>
  </si>
  <si>
    <t>MEDIDOR</t>
  </si>
  <si>
    <t>USINA</t>
  </si>
  <si>
    <t>CAPTADOR COMERCIAL</t>
  </si>
  <si>
    <r>
      <t xml:space="preserve">Desconto sobre Tarifa Compensada ATUAL </t>
    </r>
    <r>
      <rPr>
        <b/>
        <sz val="8"/>
        <color theme="0"/>
        <rFont val="Calibri"/>
        <family val="2"/>
        <scheme val="minor"/>
      </rPr>
      <t>(Se teve alteração vai estar no próprio relatório ref. meses anteriores)</t>
    </r>
  </si>
  <si>
    <t>Meses com desconto em dobro</t>
  </si>
  <si>
    <t>Tempo de Fidelidade (meses)</t>
  </si>
  <si>
    <t>Status</t>
  </si>
  <si>
    <t>1º mês compensação</t>
  </si>
  <si>
    <t>Meses remanescente de fidelidade</t>
  </si>
  <si>
    <r>
      <t>Participação no consorcio kWh</t>
    </r>
    <r>
      <rPr>
        <b/>
        <sz val="13"/>
        <color rgb="FFC00000"/>
        <rFont val="Calibri"/>
        <family val="2"/>
        <scheme val="minor"/>
      </rPr>
      <t xml:space="preserve"> inicial</t>
    </r>
    <r>
      <rPr>
        <b/>
        <sz val="13"/>
        <color theme="0"/>
        <rFont val="Calibri"/>
        <family val="2"/>
        <scheme val="minor"/>
      </rPr>
      <t xml:space="preserve"> (90% do consumo)</t>
    </r>
  </si>
  <si>
    <t>Média Consumo</t>
  </si>
  <si>
    <t>10/10232-7</t>
  </si>
  <si>
    <t>IGREJA DO EVANGELHO QUADRANGULAR</t>
  </si>
  <si>
    <t>62.955.505/3932-07</t>
  </si>
  <si>
    <t>katiaconceicaogomes2020@gmail.com; israelregiao302@gmail.com</t>
  </si>
  <si>
    <t>BT</t>
  </si>
  <si>
    <t>bifasico</t>
  </si>
  <si>
    <t>GIROSSOL II</t>
  </si>
  <si>
    <t>10/1035655-8</t>
  </si>
  <si>
    <t>62.955.505/1822-57</t>
  </si>
  <si>
    <t>evaniabenites@hotmail.com</t>
  </si>
  <si>
    <t>trifasico</t>
  </si>
  <si>
    <t>10/1117293-9</t>
  </si>
  <si>
    <t>62.955.505/8921-14</t>
  </si>
  <si>
    <t>pastordamilton@gmail.com</t>
  </si>
  <si>
    <t>10/113971-6</t>
  </si>
  <si>
    <t>62.955.505/0156-01</t>
  </si>
  <si>
    <t>pastora-regina@hotmail.com</t>
  </si>
  <si>
    <t>10/1184751-4</t>
  </si>
  <si>
    <t>62.955.505/1490-47</t>
  </si>
  <si>
    <t>monicadossantosfonseca@hotmail.com</t>
  </si>
  <si>
    <t>10/135237-6</t>
  </si>
  <si>
    <t>62.955.505/0800-98</t>
  </si>
  <si>
    <t>igrejaquadrangularmaracaju1@hotmail.com</t>
  </si>
  <si>
    <t>10/1548741-6</t>
  </si>
  <si>
    <t>62.955.505/0847-51</t>
  </si>
  <si>
    <t>neivaldocastro@hotmail.com</t>
  </si>
  <si>
    <t>monofasico</t>
  </si>
  <si>
    <t>10/156956-5</t>
  </si>
  <si>
    <t>62.955.505/0153-50</t>
  </si>
  <si>
    <t>quadrangular994@gmail.com</t>
  </si>
  <si>
    <t>10/2794432-1</t>
  </si>
  <si>
    <t>62.955.505/0151-99</t>
  </si>
  <si>
    <t>carlaestreito@hotmail.com</t>
  </si>
  <si>
    <t>10/162736-3</t>
  </si>
  <si>
    <t>62.955.505/1973-60</t>
  </si>
  <si>
    <t>gelcimarsouza1220@gmail.com</t>
  </si>
  <si>
    <t>10/1672452-8</t>
  </si>
  <si>
    <t>62.955.505/0172-13</t>
  </si>
  <si>
    <t>regiao371@gmail.com</t>
  </si>
  <si>
    <t>10/1695011-5</t>
  </si>
  <si>
    <t>62.955.505/4612-10</t>
  </si>
  <si>
    <t>prmarcelo.quadrangular@gmail.com</t>
  </si>
  <si>
    <t>10/1698130-0</t>
  </si>
  <si>
    <t>10/18015-8</t>
  </si>
  <si>
    <t>62.955.505/0160-80</t>
  </si>
  <si>
    <t>ieqcatedral@hotmail.com; regiao.357@hotmail.com</t>
  </si>
  <si>
    <t>10/191945-5</t>
  </si>
  <si>
    <t>62.955.505/2157-91</t>
  </si>
  <si>
    <t>ieqreg349cassi@gmail.com</t>
  </si>
  <si>
    <t>10/1939035-0</t>
  </si>
  <si>
    <t>62.955.505/4194-43</t>
  </si>
  <si>
    <t>scr_prmarcal@hotmail.com</t>
  </si>
  <si>
    <t>10/202838-9</t>
  </si>
  <si>
    <t>62.955.505/0164-03</t>
  </si>
  <si>
    <t>ieqdejardim@gmail.com; regiao371@gmail.com</t>
  </si>
  <si>
    <t>10/218777-1</t>
  </si>
  <si>
    <t>62.955.505/0170-51</t>
  </si>
  <si>
    <t>pr.josepires@hotmail.com</t>
  </si>
  <si>
    <t>10/226667-4</t>
  </si>
  <si>
    <t>62.955.505/0408-94</t>
  </si>
  <si>
    <t>prjmar@outlook.com; regiao371@gmail.com</t>
  </si>
  <si>
    <t>10/237441-1</t>
  </si>
  <si>
    <t>gigiepeter@live.com; regiao371@gmail.com</t>
  </si>
  <si>
    <t>10/257864-9</t>
  </si>
  <si>
    <t>62.955.505/1821-76</t>
  </si>
  <si>
    <t>pastoreliasmn@hotmail.com</t>
  </si>
  <si>
    <t>10/2599101-9</t>
  </si>
  <si>
    <t>62.955.505/3793-95</t>
  </si>
  <si>
    <t>ced.ieqms@gmail.com</t>
  </si>
  <si>
    <t>10/2605731-5</t>
  </si>
  <si>
    <t>10/276283-9</t>
  </si>
  <si>
    <t>62.955.505/0884-04</t>
  </si>
  <si>
    <t>Ieqcelsapucaia@gmail.com; quadrangular994@gmail.com</t>
  </si>
  <si>
    <t>10/29964-4</t>
  </si>
  <si>
    <t>62.955.505/0676-60</t>
  </si>
  <si>
    <t>ieqpopularnova@hotmail.com; regiao.357@hotmail.com</t>
  </si>
  <si>
    <t>10/3005226-0</t>
  </si>
  <si>
    <t>62.955.505/0577-89</t>
  </si>
  <si>
    <t>pastordill@hotmail.com</t>
  </si>
  <si>
    <t>10/3030784-7</t>
  </si>
  <si>
    <t>iranetesoaresieq@outlook.com; regiao.357@hotmail.com</t>
  </si>
  <si>
    <t>10/3092868-3</t>
  </si>
  <si>
    <t>dal_ge@hotmail.com</t>
  </si>
  <si>
    <t>10/3214521-1</t>
  </si>
  <si>
    <t>10/364440-8</t>
  </si>
  <si>
    <t>10/384823-1</t>
  </si>
  <si>
    <t>62.955.505/0001-67</t>
  </si>
  <si>
    <t>sergioricardo2819@gmail.com</t>
  </si>
  <si>
    <t>10/452884-0</t>
  </si>
  <si>
    <t>israelregiao302@gmail.com</t>
  </si>
  <si>
    <t>10/501586-2</t>
  </si>
  <si>
    <t>62.955.505/2730-58</t>
  </si>
  <si>
    <t>rosimeirebordon_@hotmail.com</t>
  </si>
  <si>
    <t>10/510330-4</t>
  </si>
  <si>
    <t>62.955.505/3671-17</t>
  </si>
  <si>
    <t>adalberto123franca@gmail.com</t>
  </si>
  <si>
    <t>10/511753-6</t>
  </si>
  <si>
    <t>regiao.357@hotmail.com</t>
  </si>
  <si>
    <t>10/513413-5</t>
  </si>
  <si>
    <t>62.955.505/3216-30</t>
  </si>
  <si>
    <t>neidejd2008@hotmail.com; regiao371@gmail.com</t>
  </si>
  <si>
    <t>10/5202-7</t>
  </si>
  <si>
    <t>10/532081-7</t>
  </si>
  <si>
    <t>62.955.505/1935-34</t>
  </si>
  <si>
    <t>eugeniorodrigues2020@gmail.com; quadrangular994@gmail.com</t>
  </si>
  <si>
    <t>10/532723-4</t>
  </si>
  <si>
    <t>62.955.505/3593-60</t>
  </si>
  <si>
    <t>ieqnas267@gmail.com</t>
  </si>
  <si>
    <t>10/931327-1</t>
  </si>
  <si>
    <t>62.955.505/4027-10</t>
  </si>
  <si>
    <t>prleandrooliveira4@gmail.com; quadrangular994@gmail.com</t>
  </si>
  <si>
    <t>10/987178-1</t>
  </si>
  <si>
    <t>62.955.505/0155-12</t>
  </si>
  <si>
    <t>lucianop.duarte@outlook.com</t>
  </si>
  <si>
    <t>10/104720-8</t>
  </si>
  <si>
    <t>62.955.505/0914-56</t>
  </si>
  <si>
    <t>10/150263-2</t>
  </si>
  <si>
    <t>10/1433087-2</t>
  </si>
  <si>
    <t>10/10731-8</t>
  </si>
  <si>
    <t>pastor.renato@gmail.com; israelregiao302@gmail.com</t>
  </si>
  <si>
    <t>GIROSSOL III</t>
  </si>
  <si>
    <t>10/1081489-5</t>
  </si>
  <si>
    <t>62.955.505/0169-18</t>
  </si>
  <si>
    <t>regiao351@bol.com.b</t>
  </si>
  <si>
    <t>10/109074-5</t>
  </si>
  <si>
    <t>auxiliar.cedms@gmail.com</t>
  </si>
  <si>
    <t>10/1130988-7</t>
  </si>
  <si>
    <t>iequadrangular.pm@gmail.com</t>
  </si>
  <si>
    <t>10/1266128-6</t>
  </si>
  <si>
    <t>10/127464-6</t>
  </si>
  <si>
    <t>62.955.505/3311-98</t>
  </si>
  <si>
    <t>silvio.fonseca@masonagro.com.br</t>
  </si>
  <si>
    <t>10/1288241-1</t>
  </si>
  <si>
    <t>62.955.505/3358-51</t>
  </si>
  <si>
    <t>10/129490-9</t>
  </si>
  <si>
    <t>62.955.505/4051-40</t>
  </si>
  <si>
    <t>10/13786-9</t>
  </si>
  <si>
    <t>62.955.505/1975-21</t>
  </si>
  <si>
    <t>lilia-nlopes@hotmail.com; regiao.357@hotmail.com</t>
  </si>
  <si>
    <t>10/142353-2</t>
  </si>
  <si>
    <t>62.955.505/1138-75</t>
  </si>
  <si>
    <t xml:space="preserve">regiao358ms@gmail.com </t>
  </si>
  <si>
    <t>10/15297-5</t>
  </si>
  <si>
    <t>62.955.505/3124-87</t>
  </si>
  <si>
    <t>pr-nilsoncastro@hotmail.com; regiao.357@hotmail.com</t>
  </si>
  <si>
    <t>10/1674177-9</t>
  </si>
  <si>
    <t>62.955.505/0161-60</t>
  </si>
  <si>
    <t>3ieqant302@gmail; israelregiao302@gmail.com</t>
  </si>
  <si>
    <t>10/175073-6</t>
  </si>
  <si>
    <t>62.955.505/1344-49</t>
  </si>
  <si>
    <t>10/2247256-7</t>
  </si>
  <si>
    <t>10/239312-2</t>
  </si>
  <si>
    <t>62.955.505/0165-94</t>
  </si>
  <si>
    <t>ieqnioaque@gmail.com; israelregiao302@gmail.com</t>
  </si>
  <si>
    <t>10/24514-2</t>
  </si>
  <si>
    <t>62.955.505/1570-66</t>
  </si>
  <si>
    <t>pastormarioconstancio@hotmail.com; regiao.357@hotmail.com</t>
  </si>
  <si>
    <t>10/252817-2</t>
  </si>
  <si>
    <t>62.955.505/2740-20</t>
  </si>
  <si>
    <t>ieqcaracolms@gmail.com; regiao371@gmail.com</t>
  </si>
  <si>
    <t>10/280638-8</t>
  </si>
  <si>
    <t>62.955.505/8432-53</t>
  </si>
  <si>
    <t>10/283183-2</t>
  </si>
  <si>
    <t>62.955.505/2876-01</t>
  </si>
  <si>
    <t xml:space="preserve">regiao371@gmail.com </t>
  </si>
  <si>
    <t>10/3040565-8</t>
  </si>
  <si>
    <t>62.955.505/0154-31</t>
  </si>
  <si>
    <t>10/3054052-0</t>
  </si>
  <si>
    <t>novaalianca1969@gmail.com; regiao.357@hotmail.com</t>
  </si>
  <si>
    <t>10/3123706-8</t>
  </si>
  <si>
    <t>62.955.505/3757-21</t>
  </si>
  <si>
    <t>10/3125732-2</t>
  </si>
  <si>
    <t>10/31292-6</t>
  </si>
  <si>
    <t>marizesouzar@gmail.com; regiao.357@hotmail.com</t>
  </si>
  <si>
    <t>10/3139326-7</t>
  </si>
  <si>
    <t>10/341308-5</t>
  </si>
  <si>
    <t>62.955.505/2391-19</t>
  </si>
  <si>
    <t>10/395471-6</t>
  </si>
  <si>
    <t>62.955.505/2488-86</t>
  </si>
  <si>
    <t>10/399338-3</t>
  </si>
  <si>
    <t>62.955.505/2132-33</t>
  </si>
  <si>
    <t>10/40190-1</t>
  </si>
  <si>
    <t>62.955.505/1775-04</t>
  </si>
  <si>
    <t>10/41548-9</t>
  </si>
  <si>
    <t>62.955.505/2690-26</t>
  </si>
  <si>
    <t>10/435964-2</t>
  </si>
  <si>
    <t>62.955.505/3574-05</t>
  </si>
  <si>
    <t>10/466560-0</t>
  </si>
  <si>
    <t>10/480529-7</t>
  </si>
  <si>
    <t>10/489076-0</t>
  </si>
  <si>
    <t>pastorferminarruda@hotmail.com; regiao.357@hotmail.com</t>
  </si>
  <si>
    <t>10/504844-2</t>
  </si>
  <si>
    <t>62.955.505/3544-81</t>
  </si>
  <si>
    <t>natildelimaduarte@gmail.com</t>
  </si>
  <si>
    <t>10/505854-0</t>
  </si>
  <si>
    <t>62.955.505/8873-82</t>
  </si>
  <si>
    <t>10/512142-1</t>
  </si>
  <si>
    <t>62.955.505/1893-40</t>
  </si>
  <si>
    <t>10/52987-5</t>
  </si>
  <si>
    <t>10/530195-7</t>
  </si>
  <si>
    <t>10/61344-8</t>
  </si>
  <si>
    <t>10/63920-3</t>
  </si>
  <si>
    <t>62.955.505/1355-00</t>
  </si>
  <si>
    <t>prterezarolim@hotmail.com</t>
  </si>
  <si>
    <t>10/69319-2</t>
  </si>
  <si>
    <t>10/72605-9</t>
  </si>
  <si>
    <t>62.955.505/1364-92</t>
  </si>
  <si>
    <t>10/76927-3</t>
  </si>
  <si>
    <t>62.955.505/0585-99</t>
  </si>
  <si>
    <t>lucashenriquemarianorosa@gmail.com; israelregiao302@gmail.com</t>
  </si>
  <si>
    <t>10/78338-1</t>
  </si>
  <si>
    <t>62.955.505/0168-37</t>
  </si>
  <si>
    <t>maurolimaaquino@hotmail.com; israelregiao302@gmail.com</t>
  </si>
  <si>
    <t>10/81222-2</t>
  </si>
  <si>
    <t>62.955.505/0159-46</t>
  </si>
  <si>
    <t>i.e.qmiranda302@gmail.com</t>
  </si>
  <si>
    <t>10/8777-5</t>
  </si>
  <si>
    <t>62.955.505/1224-32</t>
  </si>
  <si>
    <t>adriana.santos@sanesul.ms.gov.br; israelregiao302@gmail.com</t>
  </si>
  <si>
    <t>10/925970-6</t>
  </si>
  <si>
    <t>10/952579-1</t>
  </si>
  <si>
    <t>62.955.505/8979-30</t>
  </si>
  <si>
    <t>10/260761-2</t>
  </si>
  <si>
    <t>Mariza.ieq@gmail.com</t>
  </si>
  <si>
    <t>10/908866-7</t>
  </si>
  <si>
    <t>62.955.505/3586-30</t>
  </si>
  <si>
    <t>julioconde2009@hotmail.com</t>
  </si>
  <si>
    <t>10/2344751-9</t>
  </si>
  <si>
    <t>10/2338577-6</t>
  </si>
  <si>
    <t>10/3170252-5</t>
  </si>
  <si>
    <t>62.955.505/0356-29</t>
  </si>
  <si>
    <t>regiao359@gmail.com</t>
  </si>
  <si>
    <t>10/1017804-4</t>
  </si>
  <si>
    <t>62.955.505/8789-87</t>
  </si>
  <si>
    <t>10/3556072-1</t>
  </si>
  <si>
    <t>emissão usina julho</t>
  </si>
  <si>
    <t>dataEmissao</t>
  </si>
  <si>
    <t>Energia consumida - Fora ponta - tarifa</t>
  </si>
  <si>
    <t>Energia consumida - Ponta - tarifa</t>
  </si>
  <si>
    <t>Creditos consumidos - Fora ponta - tarifa</t>
  </si>
  <si>
    <t>Creditos consumidos - Ponta - tarifa</t>
  </si>
  <si>
    <t>Energia consumida - Fora ponta - quantidade</t>
  </si>
  <si>
    <t>Energia consumida - Ponta - quantidade</t>
  </si>
  <si>
    <t>Creditos consumidos - Fora ponta - quantidade</t>
  </si>
  <si>
    <t>Creditos consumidos - Ponta - quantidade</t>
  </si>
  <si>
    <t>Credito remanescente - Fora ponta - quantidade</t>
  </si>
  <si>
    <t>Credito remanescente - Ponta - quantidade</t>
  </si>
  <si>
    <t>OUTROS - valor</t>
  </si>
  <si>
    <t>RESTITUICAO DE PAGAMENTO - valor</t>
  </si>
  <si>
    <t>SALDO PROXIMO MES - valor</t>
  </si>
  <si>
    <t>Imposto - COFINS - alíquota</t>
  </si>
  <si>
    <t>Imposto - PIS - alíquota</t>
  </si>
  <si>
    <t>Imposto - ICMS - alíquota</t>
  </si>
  <si>
    <t>valorTotal</t>
  </si>
  <si>
    <t>emissão usina junho</t>
  </si>
  <si>
    <t>CUSTO ILUMINACAO PUBLICA - valor</t>
  </si>
  <si>
    <t>emissão usina maio</t>
  </si>
  <si>
    <t>TAXA DE ATRASO - valor</t>
  </si>
  <si>
    <t xml:space="preserve"> </t>
  </si>
  <si>
    <t>Instalação</t>
  </si>
  <si>
    <t>MODELO FAT ENERGIA (CRÉD. CONSUMIDO/GERADO)</t>
  </si>
  <si>
    <t>MODELO FAT TARIFA ("FINAL-Ñ.COMP" OU "T.COMP" OU "T.S.IMP")</t>
  </si>
  <si>
    <r>
      <t xml:space="preserve">Desconto Praticado </t>
    </r>
    <r>
      <rPr>
        <b/>
        <sz val="10"/>
        <color theme="0"/>
        <rFont val="Calibri"/>
        <family val="2"/>
        <scheme val="minor"/>
      </rPr>
      <t>(Sobre Tarifa Compensada ou Tarifa Cheia)</t>
    </r>
  </si>
  <si>
    <t>Desconto Contratado</t>
  </si>
  <si>
    <t>Desconto Extra</t>
  </si>
  <si>
    <t>Meses de desconto em dobro</t>
  </si>
  <si>
    <t>Meses com desconto extra aplicado</t>
  </si>
  <si>
    <t>Meses com Crédito consumido</t>
  </si>
  <si>
    <t>REF (sempre dia 01 de cada mês)</t>
  </si>
  <si>
    <t>Rateio enviado</t>
  </si>
  <si>
    <t>Rateio Real Girossol II</t>
  </si>
  <si>
    <t>Rateio Real Girossol III</t>
  </si>
  <si>
    <t>TARIFA S/ IMPOSTOS FP</t>
  </si>
  <si>
    <t>TARIFA S/ IMPOSTOS P</t>
  </si>
  <si>
    <t>TARIFA FP</t>
  </si>
  <si>
    <t>TARIFA P</t>
  </si>
  <si>
    <t>TARIFA_Comp_FP</t>
  </si>
  <si>
    <t>TARIFA_Comp_P</t>
  </si>
  <si>
    <t>CONSUMO_FP</t>
  </si>
  <si>
    <t>CONSUMO_P</t>
  </si>
  <si>
    <t>CRÉD. CONSUMIDO_FP</t>
  </si>
  <si>
    <t>CRÉD. CONSUMIDO_P</t>
  </si>
  <si>
    <t>CREDITO ACUMULADO_FP</t>
  </si>
  <si>
    <t>CREDITO ACUMULADO_P</t>
  </si>
  <si>
    <t>OUTROS</t>
  </si>
  <si>
    <t>RESTITUIÇÃO (-) OU PARCELA (+)</t>
  </si>
  <si>
    <t>SALDO PARA O PRÓXIMO MÊS</t>
  </si>
  <si>
    <t>Cofins</t>
  </si>
  <si>
    <t>pis</t>
  </si>
  <si>
    <t>ICMS</t>
  </si>
  <si>
    <t>CREDITO_MES 
HFP KWh
(-débito/+credito)</t>
  </si>
  <si>
    <t>CREDITO_MES 
HP KWh
(-débito/+credito)</t>
  </si>
  <si>
    <t>GERADO</t>
  </si>
  <si>
    <t>GERADO_TUSD</t>
  </si>
  <si>
    <t>DIFERENÇA</t>
  </si>
  <si>
    <t>FATURA C/GD</t>
  </si>
  <si>
    <t>FATURA C/GD COM RESTITUIÇÃO</t>
  </si>
  <si>
    <t>Tarifa média compensada sobre energia compensada</t>
  </si>
  <si>
    <t xml:space="preserve"> Cáluclo Boleto GERA Padrão</t>
  </si>
  <si>
    <t>Diferença boletos emitidos a cobrar</t>
  </si>
  <si>
    <t xml:space="preserve"> Cálculo Boleto Hube Final sem desconto</t>
  </si>
  <si>
    <t>Boleto Hube definido para a ref. Mensal</t>
  </si>
  <si>
    <t>Valor enviado para emissão</t>
  </si>
  <si>
    <t>Boleto Emitido Gera StarkBank</t>
  </si>
  <si>
    <t>Boleto PAGO StarkBank (Compromisso dos consorciados)</t>
  </si>
  <si>
    <t>Multa atraso pgto (StarkBank)</t>
  </si>
  <si>
    <t xml:space="preserve">CUSTO_S_GD </t>
  </si>
  <si>
    <t>CUSTO_C_GD
(Fatura real+Boleto Gera Padrão)</t>
  </si>
  <si>
    <t>Ganho Total (R$) Padrão</t>
  </si>
  <si>
    <t>30% Ganho Padrão (R$)</t>
  </si>
  <si>
    <t>Ganho Energia Compensada (R$)</t>
  </si>
  <si>
    <t>Ganho energia compensada Padrão</t>
  </si>
  <si>
    <t>Ganho total Padrão</t>
  </si>
  <si>
    <t>CUSTO_C_GD
(Fatura real+Boleto Gera Final)</t>
  </si>
  <si>
    <t>Ganho energia compensada (R$) Final</t>
  </si>
  <si>
    <t>Ganho total Final</t>
  </si>
  <si>
    <t>Tarifa Média Projeto</t>
  </si>
  <si>
    <t>Apoio Tarifa Média Proj x Cred. Consumidos</t>
  </si>
  <si>
    <t>Tarifa Média Cliente</t>
  </si>
  <si>
    <t>Tarifa Média sem GD</t>
  </si>
  <si>
    <t>Créd. Faturados</t>
  </si>
  <si>
    <t>Tarifa Cativo x Créd. Faturados</t>
  </si>
  <si>
    <t>Tarifa Comp x Créd. Faturados</t>
  </si>
  <si>
    <t>Apoio Hipótese Comercial</t>
  </si>
  <si>
    <t>Apoio Hipótese Comercial (participação consórcio)</t>
  </si>
  <si>
    <t>Apoio Tempo Remanescente (tempo fid x Part cons)</t>
  </si>
  <si>
    <t>Desconto Compensada</t>
  </si>
  <si>
    <t>Primeiro mês de compensação</t>
  </si>
  <si>
    <t>Média móvel Consumo 12 meses</t>
  </si>
  <si>
    <t>OBS Boleto</t>
  </si>
  <si>
    <t>FATURA PORTAL</t>
  </si>
  <si>
    <t>VALIDAÇÃO</t>
  </si>
  <si>
    <t xml:space="preserve">Observações </t>
  </si>
  <si>
    <t>CRÉD. CONSUMIDO</t>
  </si>
  <si>
    <t>T.COMP</t>
  </si>
  <si>
    <t>GIROSSOL II e III</t>
  </si>
  <si>
    <t/>
  </si>
  <si>
    <t>Recebeu créditos da fatura da Usina de Março.</t>
  </si>
  <si>
    <t xml:space="preserve">Recebeu créditos da fatura da Usina de Abril. </t>
  </si>
  <si>
    <t>ok</t>
  </si>
  <si>
    <t>Recebeu injeção das faturas da Usina de Abril e Maio.</t>
  </si>
  <si>
    <t>Recebeu injeção da fatura da Usina de Maio.</t>
  </si>
  <si>
    <t>Geração própria. Não Faturar. Enviamos valores diferentes de zero para emissão nas Referências anteriores.</t>
  </si>
  <si>
    <t xml:space="preserve">Geração própria. Aparentemente nenhum dos créditos compensados desde Jan são nossos.  </t>
  </si>
  <si>
    <t xml:space="preserve">Geração Local a partir de Maio/2025. Aparentemente recebeu créditos da Usina referente ao mês de Maio, pois o crédito acumulado é igual ao valor esperado de injeção. </t>
  </si>
  <si>
    <t>Calculadora auxiliar de bandeiras</t>
  </si>
  <si>
    <t xml:space="preserve">Valor </t>
  </si>
  <si>
    <t>Quantidade</t>
  </si>
  <si>
    <t>Crédito consumido</t>
  </si>
  <si>
    <t>Consumo Excedente</t>
  </si>
  <si>
    <t>Tarifa cheia</t>
  </si>
  <si>
    <t>Bandeira 1</t>
  </si>
  <si>
    <t>Bandeira 2</t>
  </si>
  <si>
    <t>Tarifa cheia c band.</t>
  </si>
  <si>
    <t>Valor</t>
  </si>
  <si>
    <t>Comp. s/ band.</t>
  </si>
  <si>
    <t>Tarifa comp. C band.</t>
  </si>
  <si>
    <t>Relatório Mensal  - PARTE 2</t>
  </si>
  <si>
    <t>Observações</t>
  </si>
  <si>
    <t>Visão Quantidade de Unidades</t>
  </si>
  <si>
    <t>Qtde Ucs no Rateio</t>
  </si>
  <si>
    <t>Qtde Ucs no Rateio com Fatura Recebida</t>
  </si>
  <si>
    <t>Qtde Ucs no Rateio com Fatura com créd. de energia Consumidos</t>
  </si>
  <si>
    <t>Qtde Ucs no Rateio com Fatura com créd. de energia Consumidos e com Pgto realizado</t>
  </si>
  <si>
    <t>Visão Energia em (kWh) - GIROSSOL II</t>
  </si>
  <si>
    <t>Energia Total Consumida</t>
  </si>
  <si>
    <t>II + II e III</t>
  </si>
  <si>
    <t>Energia Total Consumida (UCs com Cré. Consumido)</t>
  </si>
  <si>
    <t>Energia Total consumida (UCs no rateio com Cré. Consumido)</t>
  </si>
  <si>
    <t>Energia Consumida Esperada Média (Participação Consórcio da UCs rateio)</t>
  </si>
  <si>
    <t>Energia Consumida Esperada Média (UCs com Créd. Consumido)</t>
  </si>
  <si>
    <t>Energia Consumida Esperada Média (Média últimos 12 meses atualizada)</t>
  </si>
  <si>
    <t>Energia Gerada da Telemetria</t>
  </si>
  <si>
    <t>Energia Gerada Prevista [Contratual]</t>
  </si>
  <si>
    <t>II</t>
  </si>
  <si>
    <t>Energia Injetada prevista total Fatura da Usina (TUSD)</t>
  </si>
  <si>
    <t>FATURA TUSD  Ponta</t>
  </si>
  <si>
    <t>FATURA TUSD Fora Ponta</t>
  </si>
  <si>
    <t>Fator de Conversão</t>
  </si>
  <si>
    <t>Energia CONSUMIDA Usina Ponta</t>
  </si>
  <si>
    <t>Energia CONSUMIDA Usina Fora Ponta</t>
  </si>
  <si>
    <t>Diferença Geração na Fatura TUSD vs. Inversor</t>
  </si>
  <si>
    <t>ENERGIA CRÉDITOS CONSUMIDOS+CRÉDITOS ACUMULADOS + INJETADA = GERADA</t>
  </si>
  <si>
    <t>CRÉD. CONSUMIDO nas UCs (mod. Fatura Créd. Consumido)</t>
  </si>
  <si>
    <t>CRÉDITO do mês nas UCs (mod. Fatura Créd. Consumido)</t>
  </si>
  <si>
    <t>GERADO nas UCs (mod. Fatura GERADO)</t>
  </si>
  <si>
    <t>Diferença Geração nas Faturas Unid.Benecifiárias vs. Fatura TUSD</t>
  </si>
  <si>
    <t>CRÉDITO FATURADOS</t>
  </si>
  <si>
    <t>CRÉDITO ACUM nas UCs (mod. Fatura CRÉD. CONSUMIDO)</t>
  </si>
  <si>
    <t>Visão Financeira, Receitas do Consórcio GIROSSOL II (R$)</t>
  </si>
  <si>
    <t>Faturamento Consórcio Previsto Total (Cálculo Boleto Gera Padrão)</t>
  </si>
  <si>
    <t>Faturamento Consórcio Previsto Total</t>
  </si>
  <si>
    <t>Faturamento Consórcio Previsto Já Emitido</t>
  </si>
  <si>
    <t>Faturamento Consórcio Real (recebidos até o momento)</t>
  </si>
  <si>
    <t>Visão Financeira - Premissas GIROSSOL II (R$)</t>
  </si>
  <si>
    <t>Vacância Comercial no Rateio [Consumo mês]</t>
  </si>
  <si>
    <t>Vacância (Histórico de Consumo Média Móvel 12 meses)</t>
  </si>
  <si>
    <t>Perdas (Inadimplência até o momento)</t>
  </si>
  <si>
    <t>Visão Energia em (kWh) - GIROSSOL III</t>
  </si>
  <si>
    <t>III + II e III</t>
  </si>
  <si>
    <t>III</t>
  </si>
  <si>
    <t>Visão Financeira, Receitas do Consórcio (R$)</t>
  </si>
  <si>
    <t>Visão Financeira - Premissas (R$)</t>
  </si>
  <si>
    <t>Visão Energia em (kWh) - GIROSSOL II E III</t>
  </si>
  <si>
    <t>'Energia Total Consumida</t>
  </si>
  <si>
    <t>'Energia Total Consumida (UCs com Cré. Consumido)</t>
  </si>
  <si>
    <t>'Energia Total consumida (UCs no rateio com Cré. Consumido)</t>
  </si>
  <si>
    <t>'Energia Consumida Esperada Média (Participação Consórcio da UCs rateio)</t>
  </si>
  <si>
    <t>'Energia Consumida Esperada Média (UCs com Créd. Consumido)</t>
  </si>
  <si>
    <t>'Energia Consumida Esperada Média (Média últimos 12 meses atualizada)</t>
  </si>
  <si>
    <t>'Energia Gerada da Telemetria</t>
  </si>
  <si>
    <t>'Energia Gerada Prevista [Contratual]</t>
  </si>
  <si>
    <t xml:space="preserve">'Energia Injetada prevista total Fatura da Usina (TUSD) </t>
  </si>
  <si>
    <t>'Diferença Geração na Fatura TUSD vs. Inversor</t>
  </si>
  <si>
    <t>'ENERGIA CRÉDITOS CONSUMIDOS+CRÉDITOS ACUMULADOS + INJETADA = GERADA</t>
  </si>
  <si>
    <t>'CRÉD. CONSUMIDO nas UCs (mod. Fatura Créd. Consumido)</t>
  </si>
  <si>
    <t>'CRÉDITO do mês nas UCs (mod. Fatura Créd. Consumido)</t>
  </si>
  <si>
    <t>'GERADO nas UCs (mod. Fatura GERADO)</t>
  </si>
  <si>
    <t>'Diferença Geração nas Faturas Unid.Benecifiárias vs. Fatura TUSD</t>
  </si>
  <si>
    <t>'CRÉDITO FATURADOS</t>
  </si>
  <si>
    <t>'CRÉDITO ACUM nas UCs (mod. Fatura CRÉD. CONSUMIDO)</t>
  </si>
  <si>
    <t>'Faturamento Consórcio Previsto Total (Cálculo Boleto Gera Padrão)</t>
  </si>
  <si>
    <t>'Faturamento Consórcio Previsto Total</t>
  </si>
  <si>
    <t>'Faturamento Consórcio Previsto Já Emitido</t>
  </si>
  <si>
    <t>'Faturamento Consórcio Real (recebidos até o momento)</t>
  </si>
  <si>
    <t>'Vacância Comercial no Rateio [Consumo mês]</t>
  </si>
  <si>
    <t>Geração mês usina/média móvel consumo Ucs ???</t>
  </si>
  <si>
    <t>'Vacância (Histórico de Consumo Média Móvel 12 meses)</t>
  </si>
  <si>
    <t>'Perdas (Inadimplência até o momento)</t>
  </si>
  <si>
    <t>Considerando casos ainda dentro do prazo de vencimento</t>
  </si>
  <si>
    <t>Visão Financeira - Despesas Girossol II e III (R$)</t>
  </si>
  <si>
    <t>Fatura TUSD (R$)</t>
  </si>
  <si>
    <t>Tarifa Contratual AG Energia</t>
  </si>
  <si>
    <t>Tarifa ANEEL</t>
  </si>
  <si>
    <t>PIS+COFINS</t>
  </si>
  <si>
    <t>Tarifa Fio B</t>
  </si>
  <si>
    <t>Adicional de bandeira</t>
  </si>
  <si>
    <t>Tarifa Comp.</t>
  </si>
  <si>
    <t>Tarifa projeto</t>
  </si>
  <si>
    <t>Economia</t>
  </si>
  <si>
    <t>Tarifa Remuneração EGS 30%</t>
  </si>
  <si>
    <t>Remuneração total EGS</t>
  </si>
  <si>
    <t>Desconto real Ucs</t>
  </si>
  <si>
    <t>Desconto percentual Ucs</t>
  </si>
  <si>
    <t>Remuneração Hube Gestão</t>
  </si>
  <si>
    <t>Repasse AG Energia - Girossol II</t>
  </si>
  <si>
    <t>Repasse AG Energia - Girossol III</t>
  </si>
  <si>
    <t>Visão Financeira - Resumo clientes (R$)</t>
  </si>
  <si>
    <t>Custos com GD (considerando Faturamento Previsto)</t>
  </si>
  <si>
    <t>Custo simulado sem GD</t>
  </si>
  <si>
    <t>Economia líquida (R$)</t>
  </si>
  <si>
    <t>Remuneração EGS [30% da economia]</t>
  </si>
  <si>
    <t>% Economia Líquida Final</t>
  </si>
  <si>
    <t>Tarifa Média Remuneração Projeto (R$/kWh)</t>
  </si>
  <si>
    <t>Tarifa Média Compensada com projeto GD (R$/kWh)</t>
  </si>
  <si>
    <t>Tarifa Média Cativo sem projeto (R$/kWh)</t>
  </si>
  <si>
    <t>Desconto % médio sobre Tarifa Compensada</t>
  </si>
  <si>
    <t>Desconto % médio sobre Tarifa Cativa</t>
  </si>
  <si>
    <t>Tempo Fidelidade Remanescente Médio (Meses)</t>
  </si>
  <si>
    <t>Visão Financeira - Acerto de contas Valor pago (R$)</t>
  </si>
  <si>
    <t>NF AG Energia - Girossol II</t>
  </si>
  <si>
    <t>NF AG Energia - Girossol III</t>
  </si>
  <si>
    <t>NF Hube</t>
  </si>
  <si>
    <t>NF EGS</t>
  </si>
  <si>
    <t>Saldo AG Energia</t>
  </si>
  <si>
    <t>Saldo EGS</t>
  </si>
  <si>
    <t>Saldo Hube</t>
  </si>
  <si>
    <t>Relatório Mensal  - PARTE 1</t>
  </si>
  <si>
    <t>1) Análise Consumo e Geração Unidades das Consorcidas:</t>
  </si>
  <si>
    <t>Ref.</t>
  </si>
  <si>
    <t>Consumo Total Previsto (Média mensal)</t>
  </si>
  <si>
    <t>Energia Gerada da Telemetria (Moto gerador)</t>
  </si>
  <si>
    <t>Gerado Injetado no rede na Fatura Usina (MWh)</t>
  </si>
  <si>
    <t>Gerado nas Faturas das UCs beneficiárias (MWh)</t>
  </si>
  <si>
    <t>Créditos Faturados (MWh)</t>
  </si>
  <si>
    <t>Créditos Acumulados (MWh)</t>
  </si>
  <si>
    <t>Saldo Dif. MENSAL entre Usinas x Geração nas Ucs</t>
  </si>
  <si>
    <t>Saldo acumulado dif. entre a Geração Fatura Usina x Ucs Beneficiárias</t>
  </si>
  <si>
    <t>2) Análise Faturamento</t>
  </si>
  <si>
    <t>'Despesas Consórcio Operacionais (sem Locação)</t>
  </si>
  <si>
    <t>'Despesas Consórcio com Locação</t>
  </si>
  <si>
    <t>3) Visão Clientes no consórcio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</si>
</sst>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_(* #,##0.00_);_(* \(#,##0.00\);_(* &quot;-&quot;??_);_(@_)"/>
    <numFmt numFmtId="167" formatCode="_-* #,##0_-;\-* #,##0_-;_-* &quot;-&quot;??_-;_-@_-"/>
    <numFmt numFmtId="168" formatCode="[$-416]mmm\-yy;@"/>
    <numFmt numFmtId="169" formatCode="0.000"/>
    <numFmt numFmtId="170" formatCode="&quot;R$&quot;\ #,##0.00"/>
    <numFmt numFmtId="171" formatCode="_-* #,##0.0000_-;\-* #,##0.0000_-;_-* &quot;-&quot;??_-;_-@_-"/>
    <numFmt numFmtId="172" formatCode="[$-416]d\-mmm;@"/>
    <numFmt numFmtId="173" formatCode="0.0%"/>
    <numFmt numFmtId="174" formatCode="0.00000"/>
    <numFmt numFmtId="175" formatCode="0.000000000"/>
    <numFmt numFmtId="176" formatCode="_(&quot;R$&quot;* #,##0.0000000_);_(&quot;R$&quot;* \(#,##0.0000000\);_(&quot;R$&quot;* &quot;-&quot;??_);_(@_)"/>
    <numFmt numFmtId="177" formatCode="_(&quot;R$&quot;* #,##0.00000_);_(&quot;R$&quot;* \(#,##0.00000\);_(&quot;R$&quot;* &quot;-&quot;??_);_(@_)"/>
    <numFmt numFmtId="178" formatCode="_(&quot;R$&quot;* #,##0.0000_);_(&quot;R$&quot;* \(#,##0.0000\);_(&quot;R$&quot;* &quot;-&quot;??_);_(@_)"/>
    <numFmt numFmtId="179" formatCode="0.0000"/>
    <numFmt numFmtId="180" formatCode="_(* #,##0_);_(* \(#,##0\);_(* &quot;-&quot;??_);_(@_)"/>
    <numFmt numFmtId="181" formatCode="#,##0.0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3"/>
      <color rgb="FFC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0EBEBA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0EBEBA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7.5"/>
      <color theme="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3941"/>
        <bgColor indexed="64"/>
      </patternFill>
    </fill>
    <fill>
      <patternFill patternType="solid">
        <fgColor rgb="FF0EBEBA"/>
        <bgColor indexed="64"/>
      </patternFill>
    </fill>
    <fill>
      <patternFill patternType="solid">
        <fgColor rgb="FFC4CB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83B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DB4E2"/>
        <bgColor indexed="64"/>
      </patternFill>
    </fill>
  </fills>
  <borders count="20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ashDotDot">
        <color theme="1" tint="0.499984740745262"/>
      </left>
      <right style="dashDotDot">
        <color theme="1" tint="0.499984740745262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36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 vertical="center"/>
    </xf>
    <xf numFmtId="14" fontId="0" fillId="0" borderId="0" xfId="0" applyNumberFormat="1"/>
    <xf numFmtId="167" fontId="4" fillId="2" borderId="0" xfId="0" applyNumberFormat="1" applyFont="1" applyFill="1"/>
    <xf numFmtId="167" fontId="0" fillId="0" borderId="0" xfId="0" applyNumberFormat="1"/>
    <xf numFmtId="0" fontId="6" fillId="3" borderId="0" xfId="0" applyFont="1" applyFill="1" applyAlignment="1" applyProtection="1">
      <alignment horizontal="center" vertical="center" wrapText="1"/>
      <protection hidden="1"/>
    </xf>
    <xf numFmtId="0" fontId="2" fillId="3" borderId="0" xfId="0" applyFont="1" applyFill="1" applyAlignment="1" applyProtection="1">
      <alignment vertical="center" wrapText="1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0" xfId="0" applyFont="1" applyFill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168" fontId="2" fillId="3" borderId="2" xfId="0" applyNumberFormat="1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0" borderId="0" xfId="0" applyFont="1"/>
    <xf numFmtId="10" fontId="0" fillId="0" borderId="0" xfId="3" applyNumberFormat="1" applyFont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9" fontId="0" fillId="0" borderId="0" xfId="0" applyNumberFormat="1" applyAlignment="1">
      <alignment horizontal="center"/>
    </xf>
    <xf numFmtId="166" fontId="9" fillId="0" borderId="0" xfId="1" applyFont="1" applyFill="1" applyBorder="1" applyAlignment="1">
      <alignment horizontal="center" vertical="top"/>
    </xf>
    <xf numFmtId="0" fontId="3" fillId="0" borderId="0" xfId="0" applyFont="1" applyAlignment="1" applyProtection="1">
      <alignment horizontal="center"/>
      <protection hidden="1"/>
    </xf>
    <xf numFmtId="14" fontId="0" fillId="5" borderId="0" xfId="3" applyNumberFormat="1" applyFont="1" applyFill="1" applyBorder="1" applyAlignment="1">
      <alignment horizontal="center" vertical="center"/>
    </xf>
    <xf numFmtId="1" fontId="0" fillId="5" borderId="0" xfId="3" applyNumberFormat="1" applyFont="1" applyFill="1" applyBorder="1" applyAlignment="1">
      <alignment horizontal="center" vertical="center"/>
    </xf>
    <xf numFmtId="167" fontId="0" fillId="5" borderId="0" xfId="0" applyNumberFormat="1" applyFill="1"/>
    <xf numFmtId="167" fontId="0" fillId="0" borderId="0" xfId="1" applyNumberFormat="1" applyFont="1" applyFill="1" applyBorder="1"/>
    <xf numFmtId="167" fontId="9" fillId="0" borderId="0" xfId="1" applyNumberFormat="1" applyFont="1" applyFill="1" applyBorder="1"/>
    <xf numFmtId="167" fontId="0" fillId="5" borderId="0" xfId="1" applyNumberFormat="1" applyFont="1" applyFill="1" applyBorder="1"/>
    <xf numFmtId="0" fontId="3" fillId="0" borderId="0" xfId="0" applyFont="1"/>
    <xf numFmtId="1" fontId="0" fillId="0" borderId="0" xfId="0" applyNumberForma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3" applyFont="1" applyFill="1" applyAlignment="1">
      <alignment horizontal="center"/>
    </xf>
    <xf numFmtId="16" fontId="0" fillId="0" borderId="0" xfId="0" applyNumberFormat="1"/>
    <xf numFmtId="17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169" fontId="0" fillId="0" borderId="0" xfId="0" applyNumberFormat="1" applyAlignment="1" applyProtection="1">
      <alignment horizontal="center" wrapText="1"/>
      <protection hidden="1"/>
    </xf>
    <xf numFmtId="0" fontId="0" fillId="0" borderId="0" xfId="0" applyAlignment="1" applyProtection="1">
      <alignment horizontal="left" wrapText="1"/>
      <protection hidden="1"/>
    </xf>
    <xf numFmtId="170" fontId="0" fillId="0" borderId="0" xfId="0" applyNumberFormat="1" applyAlignment="1" applyProtection="1">
      <alignment horizontal="center"/>
      <protection hidden="1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171" fontId="0" fillId="0" borderId="0" xfId="1" applyNumberFormat="1" applyFont="1" applyProtection="1">
      <protection hidden="1"/>
    </xf>
    <xf numFmtId="167" fontId="0" fillId="0" borderId="0" xfId="1" applyNumberFormat="1" applyFont="1" applyProtection="1">
      <protection hidden="1"/>
    </xf>
    <xf numFmtId="170" fontId="0" fillId="0" borderId="0" xfId="0" applyNumberFormat="1"/>
    <xf numFmtId="0" fontId="9" fillId="0" borderId="0" xfId="0" applyFont="1" applyAlignment="1">
      <alignment horizontal="center" vertical="center"/>
    </xf>
    <xf numFmtId="172" fontId="0" fillId="0" borderId="0" xfId="0" applyNumberFormat="1" applyAlignment="1" applyProtection="1">
      <alignment horizontal="center"/>
      <protection hidden="1"/>
    </xf>
    <xf numFmtId="169" fontId="0" fillId="0" borderId="0" xfId="0" applyNumberFormat="1" applyAlignment="1" applyProtection="1">
      <alignment horizontal="center"/>
      <protection hidden="1"/>
    </xf>
    <xf numFmtId="0" fontId="10" fillId="0" borderId="0" xfId="4" applyAlignment="1" applyProtection="1">
      <alignment horizontal="center"/>
      <protection hidden="1"/>
    </xf>
    <xf numFmtId="0" fontId="9" fillId="0" borderId="0" xfId="0" applyFont="1" applyAlignment="1" applyProtection="1">
      <alignment horizontal="center" wrapText="1"/>
      <protection hidden="1"/>
    </xf>
    <xf numFmtId="165" fontId="0" fillId="0" borderId="0" xfId="2" applyFont="1"/>
    <xf numFmtId="166" fontId="0" fillId="0" borderId="0" xfId="1" applyFont="1" applyAlignment="1" applyProtection="1">
      <alignment horizontal="center"/>
      <protection hidden="1"/>
    </xf>
    <xf numFmtId="173" fontId="0" fillId="0" borderId="0" xfId="3" applyNumberFormat="1" applyFont="1"/>
    <xf numFmtId="3" fontId="11" fillId="6" borderId="0" xfId="0" applyNumberFormat="1" applyFont="1" applyFill="1" applyAlignment="1" applyProtection="1">
      <alignment horizontal="center" vertical="center"/>
      <protection hidden="1"/>
    </xf>
    <xf numFmtId="166" fontId="0" fillId="6" borderId="0" xfId="1" applyFont="1" applyFill="1" applyBorder="1"/>
    <xf numFmtId="0" fontId="0" fillId="0" borderId="0" xfId="0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10" fillId="0" borderId="0" xfId="4" applyFill="1" applyAlignment="1" applyProtection="1">
      <alignment horizontal="center"/>
      <protection hidden="1"/>
    </xf>
    <xf numFmtId="0" fontId="9" fillId="5" borderId="0" xfId="0" applyFont="1" applyFill="1" applyAlignment="1" applyProtection="1">
      <alignment horizontal="center"/>
      <protection hidden="1"/>
    </xf>
    <xf numFmtId="9" fontId="0" fillId="5" borderId="0" xfId="3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1" fontId="9" fillId="5" borderId="0" xfId="0" applyNumberFormat="1" applyFont="1" applyFill="1" applyAlignment="1">
      <alignment horizontal="center"/>
    </xf>
    <xf numFmtId="17" fontId="0" fillId="0" borderId="0" xfId="0" quotePrefix="1" applyNumberFormat="1" applyAlignment="1" applyProtection="1">
      <alignment horizontal="center"/>
      <protection hidden="1"/>
    </xf>
    <xf numFmtId="10" fontId="0" fillId="0" borderId="0" xfId="3" applyNumberFormat="1" applyFont="1" applyAlignment="1" applyProtection="1">
      <alignment horizontal="center"/>
      <protection hidden="1"/>
    </xf>
    <xf numFmtId="10" fontId="0" fillId="6" borderId="0" xfId="3" applyNumberFormat="1" applyFont="1" applyFill="1" applyBorder="1" applyAlignment="1">
      <alignment horizontal="center"/>
    </xf>
    <xf numFmtId="10" fontId="0" fillId="0" borderId="0" xfId="3" applyNumberFormat="1" applyFont="1" applyFill="1" applyAlignment="1" applyProtection="1">
      <alignment horizontal="center"/>
      <protection hidden="1"/>
    </xf>
    <xf numFmtId="174" fontId="9" fillId="0" borderId="0" xfId="0" applyNumberFormat="1" applyFont="1" applyAlignment="1" applyProtection="1">
      <alignment horizontal="center"/>
      <protection hidden="1"/>
    </xf>
    <xf numFmtId="174" fontId="0" fillId="0" borderId="0" xfId="0" applyNumberFormat="1" applyAlignment="1" applyProtection="1">
      <alignment horizontal="center"/>
      <protection hidden="1"/>
    </xf>
    <xf numFmtId="3" fontId="0" fillId="0" borderId="0" xfId="1" applyNumberFormat="1" applyFont="1" applyFill="1" applyAlignment="1" applyProtection="1">
      <alignment horizontal="center"/>
      <protection hidden="1"/>
    </xf>
    <xf numFmtId="3" fontId="0" fillId="0" borderId="0" xfId="0" applyNumberFormat="1" applyAlignment="1" applyProtection="1">
      <alignment horizontal="center"/>
      <protection hidden="1"/>
    </xf>
    <xf numFmtId="165" fontId="0" fillId="0" borderId="0" xfId="0" applyNumberFormat="1"/>
    <xf numFmtId="3" fontId="0" fillId="5" borderId="0" xfId="0" applyNumberFormat="1" applyFill="1" applyAlignment="1" applyProtection="1">
      <alignment horizontal="center"/>
      <protection hidden="1"/>
    </xf>
    <xf numFmtId="3" fontId="9" fillId="5" borderId="0" xfId="0" applyNumberFormat="1" applyFont="1" applyFill="1" applyAlignment="1" applyProtection="1">
      <alignment horizontal="center"/>
      <protection hidden="1"/>
    </xf>
    <xf numFmtId="170" fontId="0" fillId="5" borderId="3" xfId="2" applyNumberFormat="1" applyFont="1" applyFill="1" applyBorder="1" applyAlignment="1" applyProtection="1">
      <alignment horizontal="center"/>
      <protection hidden="1"/>
    </xf>
    <xf numFmtId="170" fontId="0" fillId="5" borderId="0" xfId="0" applyNumberFormat="1" applyFill="1" applyAlignment="1">
      <alignment horizontal="center"/>
    </xf>
    <xf numFmtId="165" fontId="0" fillId="2" borderId="0" xfId="2" applyFont="1" applyFill="1" applyAlignment="1">
      <alignment horizontal="center"/>
    </xf>
    <xf numFmtId="165" fontId="0" fillId="2" borderId="0" xfId="2" applyFont="1" applyFill="1"/>
    <xf numFmtId="170" fontId="0" fillId="5" borderId="0" xfId="2" applyNumberFormat="1" applyFont="1" applyFill="1" applyAlignment="1" applyProtection="1">
      <alignment horizontal="center"/>
      <protection hidden="1"/>
    </xf>
    <xf numFmtId="10" fontId="0" fillId="5" borderId="0" xfId="3" applyNumberFormat="1" applyFont="1" applyFill="1" applyAlignment="1">
      <alignment horizontal="center"/>
    </xf>
    <xf numFmtId="10" fontId="0" fillId="5" borderId="0" xfId="3" applyNumberFormat="1" applyFont="1" applyFill="1" applyAlignment="1" applyProtection="1">
      <alignment horizontal="center"/>
      <protection hidden="1"/>
    </xf>
    <xf numFmtId="170" fontId="0" fillId="5" borderId="0" xfId="3" applyNumberFormat="1" applyFont="1" applyFill="1" applyAlignment="1" applyProtection="1">
      <alignment horizontal="center"/>
      <protection hidden="1"/>
    </xf>
    <xf numFmtId="171" fontId="0" fillId="5" borderId="0" xfId="1" applyNumberFormat="1" applyFont="1" applyFill="1" applyProtection="1">
      <protection hidden="1"/>
    </xf>
    <xf numFmtId="167" fontId="0" fillId="5" borderId="0" xfId="1" applyNumberFormat="1" applyFont="1" applyFill="1" applyProtection="1">
      <protection hidden="1"/>
    </xf>
    <xf numFmtId="166" fontId="0" fillId="5" borderId="0" xfId="1" applyFont="1" applyFill="1" applyProtection="1">
      <protection hidden="1"/>
    </xf>
    <xf numFmtId="2" fontId="9" fillId="5" borderId="0" xfId="0" applyNumberFormat="1" applyFont="1" applyFill="1" applyProtection="1">
      <protection hidden="1"/>
    </xf>
    <xf numFmtId="14" fontId="0" fillId="5" borderId="0" xfId="0" applyNumberFormat="1" applyFill="1" applyProtection="1">
      <protection hidden="1"/>
    </xf>
    <xf numFmtId="0" fontId="0" fillId="5" borderId="0" xfId="0" applyFill="1" applyProtection="1"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wrapText="1"/>
      <protection hidden="1"/>
    </xf>
    <xf numFmtId="166" fontId="2" fillId="3" borderId="0" xfId="1" applyFont="1" applyFill="1" applyAlignment="1" applyProtection="1">
      <alignment horizontal="center" vertical="center" wrapText="1"/>
      <protection hidden="1"/>
    </xf>
    <xf numFmtId="173" fontId="6" fillId="4" borderId="1" xfId="3" applyNumberFormat="1" applyFont="1" applyFill="1" applyBorder="1" applyAlignment="1" applyProtection="1">
      <alignment horizontal="center" vertical="center" wrapText="1"/>
      <protection hidden="1"/>
    </xf>
    <xf numFmtId="17" fontId="6" fillId="3" borderId="0" xfId="0" applyNumberFormat="1" applyFont="1" applyFill="1" applyAlignment="1" applyProtection="1">
      <alignment horizontal="center" vertical="center" wrapText="1"/>
      <protection hidden="1"/>
    </xf>
    <xf numFmtId="169" fontId="6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4" xfId="0" applyFont="1" applyFill="1" applyBorder="1" applyAlignment="1" applyProtection="1">
      <alignment horizontal="center" vertical="center" wrapText="1"/>
      <protection hidden="1"/>
    </xf>
    <xf numFmtId="165" fontId="6" fillId="3" borderId="0" xfId="2" applyFont="1" applyFill="1" applyAlignment="1" applyProtection="1">
      <alignment horizontal="center" vertical="center" wrapText="1"/>
      <protection hidden="1"/>
    </xf>
    <xf numFmtId="165" fontId="6" fillId="4" borderId="1" xfId="2" applyFont="1" applyFill="1" applyBorder="1" applyAlignment="1" applyProtection="1">
      <alignment horizontal="center" vertical="center" wrapText="1"/>
      <protection hidden="1"/>
    </xf>
    <xf numFmtId="165" fontId="6" fillId="4" borderId="0" xfId="2" applyFont="1" applyFill="1" applyAlignment="1" applyProtection="1">
      <alignment horizontal="center" vertical="center" wrapText="1"/>
      <protection hidden="1"/>
    </xf>
    <xf numFmtId="166" fontId="13" fillId="3" borderId="0" xfId="1" applyFont="1" applyFill="1" applyAlignment="1" applyProtection="1">
      <alignment horizontal="center" vertical="center" wrapText="1"/>
      <protection hidden="1"/>
    </xf>
    <xf numFmtId="0" fontId="14" fillId="3" borderId="0" xfId="0" applyFont="1" applyFill="1" applyAlignment="1" applyProtection="1">
      <alignment horizontal="center" vertical="center" wrapText="1"/>
      <protection hidden="1"/>
    </xf>
    <xf numFmtId="0" fontId="14" fillId="4" borderId="0" xfId="0" applyFont="1" applyFill="1" applyAlignment="1" applyProtection="1">
      <alignment horizontal="center" vertical="center" wrapText="1"/>
      <protection hidden="1"/>
    </xf>
    <xf numFmtId="0" fontId="15" fillId="3" borderId="0" xfId="0" applyFont="1" applyFill="1" applyAlignment="1" applyProtection="1">
      <alignment horizontal="center" vertical="center" wrapText="1"/>
      <protection hidden="1"/>
    </xf>
    <xf numFmtId="167" fontId="14" fillId="3" borderId="0" xfId="1" applyNumberFormat="1" applyFont="1" applyFill="1" applyAlignment="1" applyProtection="1">
      <alignment horizontal="center" vertical="center" wrapText="1"/>
      <protection hidden="1"/>
    </xf>
    <xf numFmtId="167" fontId="14" fillId="4" borderId="0" xfId="1" applyNumberFormat="1" applyFont="1" applyFill="1" applyAlignment="1" applyProtection="1">
      <alignment horizontal="center" vertical="center" wrapText="1"/>
      <protection hidden="1"/>
    </xf>
    <xf numFmtId="0" fontId="6" fillId="7" borderId="0" xfId="0" applyFont="1" applyFill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3" fontId="11" fillId="5" borderId="0" xfId="0" applyNumberFormat="1" applyFont="1" applyFill="1" applyAlignment="1" applyProtection="1">
      <alignment horizontal="center" vertical="center"/>
      <protection hidden="1"/>
    </xf>
    <xf numFmtId="166" fontId="0" fillId="5" borderId="0" xfId="1" applyFont="1" applyFill="1" applyBorder="1"/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/>
      <protection hidden="1"/>
    </xf>
    <xf numFmtId="10" fontId="9" fillId="0" borderId="0" xfId="3" applyNumberFormat="1" applyFont="1" applyFill="1" applyBorder="1" applyAlignment="1">
      <alignment horizontal="center"/>
    </xf>
    <xf numFmtId="9" fontId="0" fillId="0" borderId="0" xfId="3" applyFont="1" applyFill="1" applyAlignment="1" applyProtection="1">
      <alignment horizontal="center"/>
      <protection hidden="1"/>
    </xf>
    <xf numFmtId="17" fontId="12" fillId="0" borderId="0" xfId="0" applyNumberFormat="1" applyFont="1" applyAlignment="1" applyProtection="1">
      <alignment horizontal="center" vertical="center"/>
      <protection hidden="1"/>
    </xf>
    <xf numFmtId="10" fontId="0" fillId="0" borderId="5" xfId="3" applyNumberFormat="1" applyFont="1" applyBorder="1" applyAlignment="1">
      <alignment horizontal="center"/>
    </xf>
    <xf numFmtId="10" fontId="0" fillId="5" borderId="0" xfId="3" applyNumberFormat="1" applyFont="1" applyFill="1" applyBorder="1" applyAlignment="1">
      <alignment horizontal="center"/>
    </xf>
    <xf numFmtId="2" fontId="0" fillId="5" borderId="0" xfId="0" applyNumberFormat="1" applyFill="1" applyProtection="1">
      <protection hidden="1"/>
    </xf>
    <xf numFmtId="170" fontId="0" fillId="5" borderId="0" xfId="0" applyNumberFormat="1" applyFill="1"/>
    <xf numFmtId="1" fontId="0" fillId="0" borderId="0" xfId="0" applyNumberFormat="1" applyAlignment="1" applyProtection="1">
      <alignment horizontal="center" wrapText="1"/>
      <protection hidden="1"/>
    </xf>
    <xf numFmtId="165" fontId="0" fillId="0" borderId="0" xfId="2" applyFont="1" applyFill="1"/>
    <xf numFmtId="0" fontId="3" fillId="2" borderId="0" xfId="0" applyFont="1" applyFill="1" applyAlignment="1">
      <alignment horizontal="center" vertical="center"/>
    </xf>
    <xf numFmtId="165" fontId="9" fillId="0" borderId="0" xfId="2" applyFont="1" applyFill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74" fontId="3" fillId="0" borderId="0" xfId="0" applyNumberFormat="1" applyFont="1" applyAlignment="1" applyProtection="1">
      <alignment horizontal="center"/>
      <protection hidden="1"/>
    </xf>
    <xf numFmtId="3" fontId="3" fillId="0" borderId="0" xfId="0" applyNumberFormat="1" applyFont="1" applyAlignment="1" applyProtection="1">
      <alignment horizontal="center"/>
      <protection hidden="1"/>
    </xf>
    <xf numFmtId="3" fontId="9" fillId="0" borderId="0" xfId="0" applyNumberFormat="1" applyFont="1" applyAlignment="1" applyProtection="1">
      <alignment horizontal="center"/>
      <protection hidden="1"/>
    </xf>
    <xf numFmtId="10" fontId="9" fillId="0" borderId="0" xfId="0" applyNumberFormat="1" applyFont="1" applyAlignment="1" applyProtection="1">
      <alignment horizontal="center"/>
      <protection hidden="1"/>
    </xf>
    <xf numFmtId="9" fontId="0" fillId="0" borderId="0" xfId="3" applyFont="1" applyFill="1" applyBorder="1" applyAlignment="1" applyProtection="1">
      <alignment horizontal="center"/>
      <protection hidden="1"/>
    </xf>
    <xf numFmtId="165" fontId="0" fillId="0" borderId="0" xfId="2" applyFont="1" applyBorder="1"/>
    <xf numFmtId="0" fontId="0" fillId="0" borderId="0" xfId="0" applyAlignment="1" applyProtection="1">
      <alignment horizontal="center" vertical="center" wrapTex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165" fontId="0" fillId="9" borderId="0" xfId="2" applyFont="1" applyFill="1"/>
    <xf numFmtId="0" fontId="3" fillId="0" borderId="0" xfId="0" applyFont="1" applyAlignment="1">
      <alignment horizontal="center" vertical="center" wrapText="1"/>
    </xf>
    <xf numFmtId="174" fontId="0" fillId="0" borderId="0" xfId="0" applyNumberFormat="1" applyAlignment="1" applyProtection="1">
      <alignment horizontal="center" vertical="center"/>
      <protection hidden="1"/>
    </xf>
    <xf numFmtId="174" fontId="0" fillId="0" borderId="0" xfId="0" applyNumberFormat="1" applyAlignment="1" applyProtection="1">
      <alignment horizontal="center" vertical="center" wrapText="1"/>
      <protection hidden="1"/>
    </xf>
    <xf numFmtId="174" fontId="9" fillId="0" borderId="0" xfId="0" applyNumberFormat="1" applyFont="1" applyAlignment="1" applyProtection="1">
      <alignment horizontal="center" vertical="center"/>
      <protection hidden="1"/>
    </xf>
    <xf numFmtId="3" fontId="0" fillId="0" borderId="0" xfId="1" applyNumberFormat="1" applyFont="1" applyFill="1" applyAlignment="1" applyProtection="1">
      <alignment horizontal="center" vertical="center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165" fontId="0" fillId="10" borderId="0" xfId="2" applyFont="1" applyFill="1"/>
    <xf numFmtId="0" fontId="9" fillId="2" borderId="0" xfId="0" applyFont="1" applyFill="1" applyAlignment="1">
      <alignment horizontal="center" vertical="center"/>
    </xf>
    <xf numFmtId="10" fontId="0" fillId="0" borderId="0" xfId="3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75" fontId="0" fillId="0" borderId="0" xfId="0" applyNumberFormat="1" applyAlignment="1" applyProtection="1">
      <alignment horizontal="center"/>
      <protection hidden="1"/>
    </xf>
    <xf numFmtId="2" fontId="0" fillId="2" borderId="0" xfId="0" applyNumberFormat="1" applyFill="1" applyAlignment="1" applyProtection="1">
      <alignment horizontal="center"/>
      <protection hidden="1"/>
    </xf>
    <xf numFmtId="165" fontId="0" fillId="11" borderId="0" xfId="2" applyFont="1" applyFill="1"/>
    <xf numFmtId="2" fontId="0" fillId="0" borderId="0" xfId="0" applyNumberFormat="1" applyAlignment="1" applyProtection="1">
      <alignment horizont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3" fontId="0" fillId="0" borderId="0" xfId="0" applyNumberFormat="1"/>
    <xf numFmtId="0" fontId="9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0" fontId="0" fillId="10" borderId="0" xfId="0" applyNumberFormat="1" applyFill="1"/>
    <xf numFmtId="0" fontId="0" fillId="0" borderId="0" xfId="0" quotePrefix="1"/>
    <xf numFmtId="10" fontId="0" fillId="0" borderId="0" xfId="3" applyNumberFormat="1" applyFont="1" applyFill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0" fillId="2" borderId="0" xfId="0" applyFill="1"/>
    <xf numFmtId="10" fontId="0" fillId="0" borderId="0" xfId="0" applyNumberFormat="1" applyAlignment="1">
      <alignment horizontal="center" vertical="center"/>
    </xf>
    <xf numFmtId="165" fontId="0" fillId="12" borderId="0" xfId="2" applyFont="1" applyFill="1"/>
    <xf numFmtId="0" fontId="9" fillId="0" borderId="0" xfId="4" applyFont="1" applyFill="1" applyAlignment="1" applyProtection="1">
      <alignment horizontal="center"/>
      <protection hidden="1"/>
    </xf>
    <xf numFmtId="9" fontId="0" fillId="0" borderId="0" xfId="3" applyFont="1" applyFill="1" applyAlignment="1">
      <alignment horizontal="center" vertical="center"/>
    </xf>
    <xf numFmtId="0" fontId="0" fillId="10" borderId="0" xfId="0" applyFill="1"/>
    <xf numFmtId="0" fontId="0" fillId="0" borderId="0" xfId="0" applyAlignment="1">
      <alignment horizontal="center" vertical="center" wrapText="1"/>
    </xf>
    <xf numFmtId="0" fontId="0" fillId="0" borderId="6" xfId="0" applyBorder="1" applyAlignment="1" applyProtection="1">
      <alignment horizontal="center"/>
      <protection hidden="1"/>
    </xf>
    <xf numFmtId="165" fontId="0" fillId="0" borderId="6" xfId="2" applyFont="1" applyBorder="1" applyAlignment="1" applyProtection="1">
      <alignment horizontal="center"/>
      <protection hidden="1"/>
    </xf>
    <xf numFmtId="3" fontId="0" fillId="0" borderId="6" xfId="0" applyNumberFormat="1" applyBorder="1" applyAlignment="1" applyProtection="1">
      <alignment horizontal="center"/>
      <protection hidden="1"/>
    </xf>
    <xf numFmtId="3" fontId="0" fillId="0" borderId="6" xfId="0" applyNumberFormat="1" applyBorder="1" applyAlignment="1" applyProtection="1">
      <alignment horizontal="center" wrapText="1"/>
      <protection hidden="1"/>
    </xf>
    <xf numFmtId="0" fontId="0" fillId="6" borderId="6" xfId="0" applyFill="1" applyBorder="1" applyAlignment="1" applyProtection="1">
      <alignment horizontal="center"/>
      <protection hidden="1"/>
    </xf>
    <xf numFmtId="3" fontId="0" fillId="6" borderId="6" xfId="0" applyNumberFormat="1" applyFill="1" applyBorder="1" applyAlignment="1" applyProtection="1">
      <alignment horizontal="center"/>
      <protection hidden="1"/>
    </xf>
    <xf numFmtId="174" fontId="0" fillId="6" borderId="6" xfId="0" applyNumberFormat="1" applyFill="1" applyBorder="1" applyAlignment="1" applyProtection="1">
      <alignment horizontal="center"/>
      <protection hidden="1"/>
    </xf>
    <xf numFmtId="169" fontId="0" fillId="0" borderId="6" xfId="0" applyNumberFormat="1" applyBorder="1" applyAlignment="1" applyProtection="1">
      <alignment horizontal="center"/>
      <protection hidden="1"/>
    </xf>
    <xf numFmtId="0" fontId="0" fillId="9" borderId="6" xfId="0" applyFill="1" applyBorder="1" applyAlignment="1" applyProtection="1">
      <alignment horizontal="center"/>
      <protection hidden="1"/>
    </xf>
    <xf numFmtId="174" fontId="0" fillId="9" borderId="6" xfId="0" applyNumberFormat="1" applyFill="1" applyBorder="1" applyAlignment="1" applyProtection="1">
      <alignment horizontal="center"/>
      <protection hidden="1"/>
    </xf>
    <xf numFmtId="169" fontId="0" fillId="6" borderId="6" xfId="0" applyNumberFormat="1" applyFill="1" applyBorder="1" applyAlignment="1" applyProtection="1">
      <alignment horizontal="center"/>
      <protection hidden="1"/>
    </xf>
    <xf numFmtId="0" fontId="4" fillId="0" borderId="0" xfId="0" applyFont="1"/>
    <xf numFmtId="0" fontId="16" fillId="0" borderId="0" xfId="0" applyFont="1"/>
    <xf numFmtId="17" fontId="2" fillId="4" borderId="4" xfId="0" applyNumberFormat="1" applyFont="1" applyFill="1" applyBorder="1" applyAlignment="1">
      <alignment horizontal="center" vertical="center"/>
    </xf>
    <xf numFmtId="17" fontId="2" fillId="4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7" fillId="0" borderId="8" xfId="0" applyFont="1" applyBorder="1"/>
    <xf numFmtId="3" fontId="0" fillId="0" borderId="8" xfId="0" applyNumberFormat="1" applyBorder="1"/>
    <xf numFmtId="0" fontId="5" fillId="0" borderId="0" xfId="0" applyFont="1" applyAlignment="1">
      <alignment horizontal="center" vertical="center"/>
    </xf>
    <xf numFmtId="0" fontId="4" fillId="5" borderId="9" xfId="0" quotePrefix="1" applyFont="1" applyFill="1" applyBorder="1" applyAlignment="1">
      <alignment horizontal="left" indent="3"/>
    </xf>
    <xf numFmtId="0" fontId="4" fillId="5" borderId="0" xfId="0" applyFont="1" applyFill="1" applyAlignment="1">
      <alignment horizontal="left" indent="2"/>
    </xf>
    <xf numFmtId="0" fontId="0" fillId="5" borderId="10" xfId="0" quotePrefix="1" applyFill="1" applyBorder="1" applyAlignment="1">
      <alignment horizontal="center"/>
    </xf>
    <xf numFmtId="0" fontId="4" fillId="5" borderId="0" xfId="0" applyFont="1" applyFill="1"/>
    <xf numFmtId="0" fontId="0" fillId="5" borderId="10" xfId="0" applyFill="1" applyBorder="1" applyAlignment="1">
      <alignment horizontal="center"/>
    </xf>
    <xf numFmtId="0" fontId="18" fillId="0" borderId="0" xfId="0" applyFont="1"/>
    <xf numFmtId="0" fontId="0" fillId="5" borderId="11" xfId="0" quotePrefix="1" applyFill="1" applyBorder="1" applyAlignment="1">
      <alignment horizontal="center"/>
    </xf>
    <xf numFmtId="0" fontId="19" fillId="3" borderId="8" xfId="0" applyFont="1" applyFill="1" applyBorder="1"/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4" fillId="5" borderId="0" xfId="0" quotePrefix="1" applyFont="1" applyFill="1"/>
    <xf numFmtId="3" fontId="0" fillId="5" borderId="12" xfId="1" applyNumberFormat="1" applyFont="1" applyFill="1" applyBorder="1" applyAlignment="1">
      <alignment horizontal="center"/>
    </xf>
    <xf numFmtId="3" fontId="0" fillId="5" borderId="10" xfId="1" applyNumberFormat="1" applyFont="1" applyFill="1" applyBorder="1" applyAlignment="1">
      <alignment horizontal="center"/>
    </xf>
    <xf numFmtId="0" fontId="20" fillId="0" borderId="0" xfId="0" applyFont="1"/>
    <xf numFmtId="0" fontId="4" fillId="0" borderId="9" xfId="0" quotePrefix="1" applyFont="1" applyBorder="1" applyAlignment="1">
      <alignment horizontal="left" indent="3"/>
    </xf>
    <xf numFmtId="0" fontId="4" fillId="0" borderId="0" xfId="0" quotePrefix="1" applyFont="1"/>
    <xf numFmtId="167" fontId="4" fillId="0" borderId="0" xfId="0" quotePrefix="1" applyNumberFormat="1" applyFont="1"/>
    <xf numFmtId="165" fontId="4" fillId="0" borderId="0" xfId="2" quotePrefix="1" applyFont="1"/>
    <xf numFmtId="3" fontId="0" fillId="0" borderId="0" xfId="1" applyNumberFormat="1" applyFont="1" applyFill="1" applyBorder="1" applyAlignment="1">
      <alignment horizontal="center"/>
    </xf>
    <xf numFmtId="3" fontId="0" fillId="0" borderId="13" xfId="1" applyNumberFormat="1" applyFont="1" applyFill="1" applyBorder="1" applyAlignment="1">
      <alignment horizontal="center"/>
    </xf>
    <xf numFmtId="167" fontId="0" fillId="0" borderId="13" xfId="1" applyNumberFormat="1" applyFont="1" applyFill="1" applyBorder="1" applyAlignment="1">
      <alignment horizontal="right"/>
    </xf>
    <xf numFmtId="167" fontId="4" fillId="5" borderId="7" xfId="0" applyNumberFormat="1" applyFont="1" applyFill="1" applyBorder="1" applyAlignment="1">
      <alignment horizontal="right"/>
    </xf>
    <xf numFmtId="0" fontId="4" fillId="0" borderId="9" xfId="0" quotePrefix="1" applyFont="1" applyBorder="1" applyAlignment="1">
      <alignment horizontal="left" indent="5"/>
    </xf>
    <xf numFmtId="1" fontId="0" fillId="0" borderId="10" xfId="0" quotePrefix="1" applyNumberFormat="1" applyBorder="1" applyAlignment="1">
      <alignment horizontal="right"/>
    </xf>
    <xf numFmtId="1" fontId="5" fillId="0" borderId="0" xfId="0" quotePrefix="1" applyNumberFormat="1" applyFont="1" applyAlignment="1">
      <alignment horizontal="right"/>
    </xf>
    <xf numFmtId="3" fontId="0" fillId="5" borderId="0" xfId="1" applyNumberFormat="1" applyFont="1" applyFill="1" applyBorder="1" applyAlignment="1">
      <alignment horizontal="right"/>
    </xf>
    <xf numFmtId="167" fontId="4" fillId="5" borderId="13" xfId="1" applyNumberFormat="1" applyFont="1" applyFill="1" applyBorder="1" applyAlignment="1">
      <alignment horizontal="right"/>
    </xf>
    <xf numFmtId="0" fontId="0" fillId="5" borderId="0" xfId="0" applyFill="1" applyAlignment="1">
      <alignment horizontal="left" indent="5"/>
    </xf>
    <xf numFmtId="167" fontId="1" fillId="5" borderId="13" xfId="1" applyNumberFormat="1" applyFont="1" applyFill="1" applyBorder="1" applyAlignment="1">
      <alignment horizontal="right"/>
    </xf>
    <xf numFmtId="167" fontId="0" fillId="5" borderId="13" xfId="1" applyNumberFormat="1" applyFont="1" applyFill="1" applyBorder="1" applyAlignment="1">
      <alignment horizontal="right"/>
    </xf>
    <xf numFmtId="0" fontId="4" fillId="5" borderId="0" xfId="0" applyFont="1" applyFill="1" applyAlignment="1">
      <alignment horizontal="left" indent="3"/>
    </xf>
    <xf numFmtId="167" fontId="4" fillId="5" borderId="14" xfId="1" applyNumberFormat="1" applyFont="1" applyFill="1" applyBorder="1" applyAlignment="1">
      <alignment horizontal="right"/>
    </xf>
    <xf numFmtId="0" fontId="5" fillId="0" borderId="0" xfId="0" applyFont="1"/>
    <xf numFmtId="0" fontId="2" fillId="3" borderId="4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 indent="3"/>
    </xf>
    <xf numFmtId="165" fontId="4" fillId="5" borderId="0" xfId="2" applyFont="1" applyFill="1" applyBorder="1" applyAlignment="1">
      <alignment horizontal="right"/>
    </xf>
    <xf numFmtId="0" fontId="21" fillId="5" borderId="9" xfId="0" applyFont="1" applyFill="1" applyBorder="1" applyAlignment="1">
      <alignment horizontal="left" indent="3"/>
    </xf>
    <xf numFmtId="0" fontId="4" fillId="0" borderId="0" xfId="0" applyFont="1" applyAlignment="1">
      <alignment horizontal="left" indent="3"/>
    </xf>
    <xf numFmtId="167" fontId="4" fillId="0" borderId="15" xfId="1" applyNumberFormat="1" applyFont="1" applyFill="1" applyBorder="1" applyAlignment="1">
      <alignment horizontal="right"/>
    </xf>
    <xf numFmtId="0" fontId="21" fillId="5" borderId="9" xfId="0" applyFont="1" applyFill="1" applyBorder="1" applyAlignment="1">
      <alignment horizontal="left" indent="5"/>
    </xf>
    <xf numFmtId="0" fontId="21" fillId="5" borderId="0" xfId="0" applyFont="1" applyFill="1" applyAlignment="1">
      <alignment horizontal="left" indent="2"/>
    </xf>
    <xf numFmtId="173" fontId="9" fillId="5" borderId="12" xfId="3" applyNumberFormat="1" applyFont="1" applyFill="1" applyBorder="1" applyAlignment="1">
      <alignment horizontal="right"/>
    </xf>
    <xf numFmtId="173" fontId="9" fillId="5" borderId="10" xfId="3" applyNumberFormat="1" applyFont="1" applyFill="1" applyBorder="1" applyAlignment="1">
      <alignment horizontal="right"/>
    </xf>
    <xf numFmtId="173" fontId="0" fillId="5" borderId="10" xfId="3" applyNumberFormat="1" applyFont="1" applyFill="1" applyBorder="1" applyAlignment="1">
      <alignment horizontal="right"/>
    </xf>
    <xf numFmtId="0" fontId="2" fillId="3" borderId="15" xfId="0" applyFont="1" applyFill="1" applyBorder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0" fillId="5" borderId="0" xfId="0" applyNumberFormat="1" applyFill="1"/>
    <xf numFmtId="0" fontId="4" fillId="0" borderId="0" xfId="0" quotePrefix="1" applyFont="1" applyAlignment="1">
      <alignment horizontal="left"/>
    </xf>
    <xf numFmtId="176" fontId="4" fillId="0" borderId="0" xfId="2" quotePrefix="1" applyNumberFormat="1" applyFont="1" applyAlignment="1">
      <alignment horizontal="left"/>
    </xf>
    <xf numFmtId="1" fontId="0" fillId="10" borderId="10" xfId="0" quotePrefix="1" applyNumberFormat="1" applyFill="1" applyBorder="1" applyAlignment="1">
      <alignment horizontal="right"/>
    </xf>
    <xf numFmtId="167" fontId="4" fillId="5" borderId="16" xfId="1" applyNumberFormat="1" applyFont="1" applyFill="1" applyBorder="1" applyAlignment="1">
      <alignment horizontal="right"/>
    </xf>
    <xf numFmtId="0" fontId="0" fillId="3" borderId="15" xfId="0" applyFill="1" applyBorder="1" applyAlignment="1">
      <alignment horizontal="center"/>
    </xf>
    <xf numFmtId="3" fontId="0" fillId="5" borderId="0" xfId="1" applyNumberFormat="1" applyFont="1" applyFill="1" applyBorder="1" applyAlignment="1">
      <alignment horizontal="center"/>
    </xf>
    <xf numFmtId="167" fontId="0" fillId="0" borderId="0" xfId="1" applyNumberFormat="1" applyFont="1" applyFill="1" applyBorder="1" applyAlignment="1">
      <alignment horizontal="right"/>
    </xf>
    <xf numFmtId="0" fontId="4" fillId="5" borderId="0" xfId="0" quotePrefix="1" applyFont="1" applyFill="1" applyAlignment="1">
      <alignment horizontal="left"/>
    </xf>
    <xf numFmtId="167" fontId="0" fillId="5" borderId="0" xfId="1" applyNumberFormat="1" applyFont="1" applyFill="1" applyBorder="1" applyAlignment="1">
      <alignment horizontal="right"/>
    </xf>
    <xf numFmtId="167" fontId="4" fillId="5" borderId="0" xfId="0" applyNumberFormat="1" applyFont="1" applyFill="1" applyAlignment="1">
      <alignment horizontal="right"/>
    </xf>
    <xf numFmtId="167" fontId="4" fillId="5" borderId="0" xfId="1" applyNumberFormat="1" applyFont="1" applyFill="1" applyBorder="1" applyAlignment="1">
      <alignment horizontal="right"/>
    </xf>
    <xf numFmtId="0" fontId="0" fillId="5" borderId="0" xfId="0" quotePrefix="1" applyFill="1" applyAlignment="1">
      <alignment horizontal="left" indent="5"/>
    </xf>
    <xf numFmtId="167" fontId="1" fillId="5" borderId="0" xfId="1" applyNumberFormat="1" applyFont="1" applyFill="1" applyBorder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4" fontId="9" fillId="0" borderId="0" xfId="0" applyNumberFormat="1" applyFont="1"/>
    <xf numFmtId="0" fontId="4" fillId="5" borderId="0" xfId="0" quotePrefix="1" applyFont="1" applyFill="1" applyAlignment="1">
      <alignment horizontal="left" indent="3"/>
    </xf>
    <xf numFmtId="165" fontId="5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left"/>
    </xf>
    <xf numFmtId="0" fontId="19" fillId="3" borderId="15" xfId="0" applyFont="1" applyFill="1" applyBorder="1"/>
    <xf numFmtId="165" fontId="4" fillId="5" borderId="12" xfId="2" applyFont="1" applyFill="1" applyBorder="1" applyAlignment="1">
      <alignment horizontal="right"/>
    </xf>
    <xf numFmtId="165" fontId="4" fillId="5" borderId="10" xfId="2" applyFont="1" applyFill="1" applyBorder="1" applyAlignment="1">
      <alignment horizontal="right"/>
    </xf>
    <xf numFmtId="0" fontId="21" fillId="5" borderId="9" xfId="0" quotePrefix="1" applyFont="1" applyFill="1" applyBorder="1" applyAlignment="1">
      <alignment horizontal="left" indent="3"/>
    </xf>
    <xf numFmtId="165" fontId="4" fillId="0" borderId="0" xfId="0" applyNumberFormat="1" applyFont="1"/>
    <xf numFmtId="0" fontId="0" fillId="0" borderId="0" xfId="0" applyAlignment="1">
      <alignment horizontal="left"/>
    </xf>
    <xf numFmtId="0" fontId="21" fillId="5" borderId="9" xfId="0" quotePrefix="1" applyFont="1" applyFill="1" applyBorder="1" applyAlignment="1">
      <alignment horizontal="left" indent="5"/>
    </xf>
    <xf numFmtId="0" fontId="18" fillId="2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21" fillId="0" borderId="0" xfId="0" quotePrefix="1" applyFont="1" applyAlignment="1">
      <alignment horizontal="left" indent="5"/>
    </xf>
    <xf numFmtId="173" fontId="0" fillId="0" borderId="0" xfId="3" applyNumberFormat="1" applyFont="1" applyFill="1" applyBorder="1" applyAlignment="1">
      <alignment horizontal="right"/>
    </xf>
    <xf numFmtId="0" fontId="21" fillId="0" borderId="9" xfId="0" applyFont="1" applyBorder="1" applyAlignment="1">
      <alignment horizontal="left" indent="3"/>
    </xf>
    <xf numFmtId="165" fontId="9" fillId="0" borderId="0" xfId="2" applyFont="1" applyFill="1" applyBorder="1"/>
    <xf numFmtId="177" fontId="1" fillId="0" borderId="0" xfId="2" applyNumberFormat="1" applyFont="1" applyFill="1" applyBorder="1" applyAlignment="1">
      <alignment horizontal="right"/>
    </xf>
    <xf numFmtId="177" fontId="1" fillId="10" borderId="0" xfId="2" applyNumberFormat="1" applyFont="1" applyFill="1" applyBorder="1" applyAlignment="1">
      <alignment horizontal="right"/>
    </xf>
    <xf numFmtId="178" fontId="1" fillId="0" borderId="0" xfId="2" applyNumberFormat="1" applyFont="1" applyFill="1" applyBorder="1" applyAlignment="1">
      <alignment horizontal="right"/>
    </xf>
    <xf numFmtId="10" fontId="1" fillId="0" borderId="0" xfId="2" applyNumberFormat="1" applyFont="1" applyFill="1" applyBorder="1" applyAlignment="1">
      <alignment horizontal="right"/>
    </xf>
    <xf numFmtId="177" fontId="0" fillId="0" borderId="0" xfId="2" applyNumberFormat="1" applyFont="1" applyFill="1" applyBorder="1" applyAlignment="1">
      <alignment horizontal="center"/>
    </xf>
    <xf numFmtId="177" fontId="0" fillId="10" borderId="0" xfId="2" applyNumberFormat="1" applyFont="1" applyFill="1" applyBorder="1" applyAlignment="1">
      <alignment horizontal="center"/>
    </xf>
    <xf numFmtId="178" fontId="0" fillId="0" borderId="0" xfId="2" applyNumberFormat="1" applyFont="1" applyFill="1" applyBorder="1" applyAlignment="1">
      <alignment horizontal="center"/>
    </xf>
    <xf numFmtId="178" fontId="0" fillId="10" borderId="0" xfId="2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77" fontId="0" fillId="5" borderId="0" xfId="2" applyNumberFormat="1" applyFont="1" applyFill="1" applyBorder="1" applyAlignment="1">
      <alignment horizontal="right"/>
    </xf>
    <xf numFmtId="165" fontId="0" fillId="5" borderId="0" xfId="2" applyFont="1" applyFill="1" applyBorder="1" applyAlignment="1">
      <alignment horizontal="right"/>
    </xf>
    <xf numFmtId="177" fontId="21" fillId="5" borderId="0" xfId="2" applyNumberFormat="1" applyFont="1" applyFill="1" applyBorder="1" applyAlignment="1">
      <alignment horizontal="right"/>
    </xf>
    <xf numFmtId="10" fontId="0" fillId="5" borderId="0" xfId="3" applyNumberFormat="1" applyFont="1" applyFill="1" applyBorder="1" applyAlignment="1">
      <alignment horizontal="right"/>
    </xf>
    <xf numFmtId="0" fontId="21" fillId="5" borderId="0" xfId="0" applyFont="1" applyFill="1" applyAlignment="1">
      <alignment horizontal="left" indent="3"/>
    </xf>
    <xf numFmtId="164" fontId="18" fillId="0" borderId="0" xfId="0" applyNumberFormat="1" applyFont="1"/>
    <xf numFmtId="167" fontId="9" fillId="0" borderId="15" xfId="0" applyNumberFormat="1" applyFont="1" applyBorder="1"/>
    <xf numFmtId="176" fontId="9" fillId="0" borderId="15" xfId="2" applyNumberFormat="1" applyFont="1" applyBorder="1"/>
    <xf numFmtId="165" fontId="9" fillId="0" borderId="15" xfId="2" applyFont="1" applyBorder="1"/>
    <xf numFmtId="0" fontId="21" fillId="5" borderId="17" xfId="0" quotePrefix="1" applyFont="1" applyFill="1" applyBorder="1" applyAlignment="1">
      <alignment horizontal="left" indent="5"/>
    </xf>
    <xf numFmtId="0" fontId="4" fillId="5" borderId="4" xfId="0" applyFont="1" applyFill="1" applyBorder="1" applyAlignment="1">
      <alignment horizontal="left" indent="2"/>
    </xf>
    <xf numFmtId="166" fontId="0" fillId="5" borderId="12" xfId="1" applyFont="1" applyFill="1" applyBorder="1" applyAlignment="1">
      <alignment horizontal="right"/>
    </xf>
    <xf numFmtId="166" fontId="0" fillId="5" borderId="10" xfId="1" applyFont="1" applyFill="1" applyBorder="1" applyAlignment="1">
      <alignment horizontal="right"/>
    </xf>
    <xf numFmtId="170" fontId="0" fillId="5" borderId="10" xfId="2" applyNumberFormat="1" applyFont="1" applyFill="1" applyBorder="1" applyAlignment="1">
      <alignment horizontal="right"/>
    </xf>
    <xf numFmtId="10" fontId="0" fillId="5" borderId="10" xfId="3" applyNumberFormat="1" applyFont="1" applyFill="1" applyBorder="1" applyAlignment="1">
      <alignment horizontal="right"/>
    </xf>
    <xf numFmtId="0" fontId="0" fillId="0" borderId="17" xfId="0" applyBorder="1"/>
    <xf numFmtId="0" fontId="4" fillId="5" borderId="17" xfId="0" quotePrefix="1" applyFont="1" applyFill="1" applyBorder="1" applyAlignment="1">
      <alignment horizontal="left" indent="5"/>
    </xf>
    <xf numFmtId="179" fontId="0" fillId="5" borderId="12" xfId="3" applyNumberFormat="1" applyFont="1" applyFill="1" applyBorder="1" applyAlignment="1">
      <alignment horizontal="right"/>
    </xf>
    <xf numFmtId="0" fontId="0" fillId="0" borderId="9" xfId="0" applyBorder="1"/>
    <xf numFmtId="0" fontId="4" fillId="5" borderId="9" xfId="0" quotePrefix="1" applyFont="1" applyFill="1" applyBorder="1" applyAlignment="1">
      <alignment horizontal="left" indent="5"/>
    </xf>
    <xf numFmtId="179" fontId="0" fillId="5" borderId="10" xfId="3" applyNumberFormat="1" applyFont="1" applyFill="1" applyBorder="1" applyAlignment="1">
      <alignment horizontal="right"/>
    </xf>
    <xf numFmtId="0" fontId="0" fillId="0" borderId="18" xfId="0" applyBorder="1"/>
    <xf numFmtId="0" fontId="4" fillId="5" borderId="18" xfId="0" quotePrefix="1" applyFont="1" applyFill="1" applyBorder="1" applyAlignment="1">
      <alignment horizontal="left" indent="5"/>
    </xf>
    <xf numFmtId="0" fontId="4" fillId="5" borderId="15" xfId="0" applyFont="1" applyFill="1" applyBorder="1" applyAlignment="1">
      <alignment horizontal="left" indent="2"/>
    </xf>
    <xf numFmtId="179" fontId="0" fillId="5" borderId="11" xfId="3" applyNumberFormat="1" applyFont="1" applyFill="1" applyBorder="1" applyAlignment="1">
      <alignment horizontal="right"/>
    </xf>
    <xf numFmtId="0" fontId="21" fillId="5" borderId="4" xfId="0" applyFont="1" applyFill="1" applyBorder="1" applyAlignment="1">
      <alignment horizontal="left" indent="2"/>
    </xf>
    <xf numFmtId="166" fontId="0" fillId="5" borderId="11" xfId="1" applyFont="1" applyFill="1" applyBorder="1" applyAlignment="1">
      <alignment horizontal="right"/>
    </xf>
    <xf numFmtId="0" fontId="4" fillId="0" borderId="0" xfId="0" quotePrefix="1" applyFont="1" applyAlignment="1">
      <alignment horizontal="left" indent="5"/>
    </xf>
    <xf numFmtId="0" fontId="4" fillId="0" borderId="0" xfId="0" applyFont="1" applyAlignment="1">
      <alignment horizontal="left" indent="2"/>
    </xf>
    <xf numFmtId="166" fontId="0" fillId="0" borderId="0" xfId="1" applyFont="1" applyFill="1" applyBorder="1" applyAlignment="1">
      <alignment horizontal="right"/>
    </xf>
    <xf numFmtId="0" fontId="19" fillId="3" borderId="4" xfId="0" applyFont="1" applyFill="1" applyBorder="1"/>
    <xf numFmtId="0" fontId="0" fillId="3" borderId="0" xfId="0" applyFill="1" applyAlignment="1">
      <alignment horizontal="center"/>
    </xf>
    <xf numFmtId="166" fontId="0" fillId="0" borderId="13" xfId="1" applyFont="1" applyFill="1" applyBorder="1" applyAlignment="1">
      <alignment horizontal="right"/>
    </xf>
    <xf numFmtId="166" fontId="0" fillId="0" borderId="10" xfId="1" applyFont="1" applyFill="1" applyBorder="1" applyAlignment="1">
      <alignment horizontal="right"/>
    </xf>
    <xf numFmtId="166" fontId="0" fillId="10" borderId="10" xfId="1" applyFont="1" applyFill="1" applyBorder="1" applyAlignment="1">
      <alignment horizontal="right"/>
    </xf>
    <xf numFmtId="0" fontId="4" fillId="0" borderId="15" xfId="0" quotePrefix="1" applyFont="1" applyBorder="1" applyAlignment="1">
      <alignment horizontal="left" indent="5"/>
    </xf>
    <xf numFmtId="0" fontId="4" fillId="0" borderId="15" xfId="0" applyFont="1" applyBorder="1" applyAlignment="1">
      <alignment horizontal="left" indent="2"/>
    </xf>
    <xf numFmtId="166" fontId="0" fillId="0" borderId="14" xfId="1" applyFont="1" applyFill="1" applyBorder="1" applyAlignment="1">
      <alignment horizontal="right"/>
    </xf>
    <xf numFmtId="166" fontId="0" fillId="0" borderId="11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22" fillId="0" borderId="0" xfId="0" applyNumberFormat="1" applyFont="1"/>
    <xf numFmtId="10" fontId="0" fillId="0" borderId="0" xfId="0" applyNumberFormat="1"/>
    <xf numFmtId="0" fontId="4" fillId="0" borderId="0" xfId="0" applyFont="1" applyAlignment="1">
      <alignment horizontal="right" indent="5"/>
    </xf>
    <xf numFmtId="4" fontId="0" fillId="0" borderId="0" xfId="0" applyNumberForma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left" indent="1"/>
    </xf>
    <xf numFmtId="0" fontId="0" fillId="13" borderId="0" xfId="0" applyFill="1"/>
    <xf numFmtId="0" fontId="2" fillId="13" borderId="0" xfId="0" applyFont="1" applyFill="1"/>
    <xf numFmtId="0" fontId="21" fillId="0" borderId="0" xfId="0" applyFont="1"/>
    <xf numFmtId="0" fontId="26" fillId="0" borderId="0" xfId="0" quotePrefix="1" applyFont="1" applyAlignment="1">
      <alignment wrapText="1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27" fillId="14" borderId="6" xfId="0" applyFont="1" applyFill="1" applyBorder="1" applyAlignment="1">
      <alignment horizontal="center" vertical="center" wrapText="1"/>
    </xf>
    <xf numFmtId="168" fontId="28" fillId="0" borderId="6" xfId="0" applyNumberFormat="1" applyFont="1" applyBorder="1" applyAlignment="1">
      <alignment horizontal="center" vertical="center"/>
    </xf>
    <xf numFmtId="180" fontId="29" fillId="5" borderId="6" xfId="1" applyNumberFormat="1" applyFont="1" applyFill="1" applyBorder="1" applyAlignment="1">
      <alignment horizontal="right" vertical="center"/>
    </xf>
    <xf numFmtId="167" fontId="30" fillId="0" borderId="0" xfId="0" applyNumberFormat="1" applyFont="1"/>
    <xf numFmtId="167" fontId="30" fillId="0" borderId="0" xfId="0" applyNumberFormat="1" applyFont="1" applyAlignment="1">
      <alignment horizontal="center"/>
    </xf>
    <xf numFmtId="180" fontId="31" fillId="5" borderId="6" xfId="1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9" fillId="2" borderId="0" xfId="0" applyFont="1" applyFill="1"/>
    <xf numFmtId="168" fontId="32" fillId="0" borderId="19" xfId="0" applyNumberFormat="1" applyFont="1" applyBorder="1" applyAlignment="1">
      <alignment horizontal="center" vertical="center"/>
    </xf>
    <xf numFmtId="0" fontId="33" fillId="8" borderId="0" xfId="3" applyNumberFormat="1" applyFont="1" applyFill="1" applyBorder="1" applyAlignment="1">
      <alignment horizontal="center" vertical="center"/>
    </xf>
    <xf numFmtId="3" fontId="33" fillId="8" borderId="0" xfId="5" applyNumberFormat="1" applyFont="1" applyFill="1" applyBorder="1" applyAlignment="1">
      <alignment horizontal="center" vertical="center"/>
    </xf>
    <xf numFmtId="3" fontId="33" fillId="8" borderId="0" xfId="3" applyNumberFormat="1" applyFont="1" applyFill="1" applyBorder="1" applyAlignment="1">
      <alignment horizontal="center" vertical="center"/>
    </xf>
    <xf numFmtId="0" fontId="34" fillId="3" borderId="6" xfId="0" quotePrefix="1" applyFont="1" applyFill="1" applyBorder="1" applyAlignment="1">
      <alignment horizontal="center" vertical="center" wrapText="1"/>
    </xf>
    <xf numFmtId="0" fontId="29" fillId="5" borderId="6" xfId="3" applyNumberFormat="1" applyFont="1" applyFill="1" applyBorder="1" applyAlignment="1">
      <alignment horizontal="center" vertical="center"/>
    </xf>
    <xf numFmtId="167" fontId="29" fillId="5" borderId="6" xfId="1" applyNumberFormat="1" applyFont="1" applyFill="1" applyBorder="1" applyAlignment="1">
      <alignment horizontal="center" vertical="center"/>
    </xf>
    <xf numFmtId="0" fontId="31" fillId="5" borderId="6" xfId="3" applyNumberFormat="1" applyFont="1" applyFill="1" applyBorder="1" applyAlignment="1">
      <alignment horizontal="center" vertical="center"/>
    </xf>
    <xf numFmtId="167" fontId="31" fillId="5" borderId="6" xfId="1" applyNumberFormat="1" applyFont="1" applyFill="1" applyBorder="1" applyAlignment="1">
      <alignment horizontal="center" vertical="center"/>
    </xf>
    <xf numFmtId="167" fontId="35" fillId="5" borderId="6" xfId="1" applyNumberFormat="1" applyFont="1" applyFill="1" applyBorder="1" applyAlignment="1">
      <alignment horizontal="center" vertical="center"/>
    </xf>
    <xf numFmtId="0" fontId="36" fillId="3" borderId="6" xfId="0" applyFont="1" applyFill="1" applyBorder="1" applyAlignment="1">
      <alignment horizontal="center" vertical="center" wrapText="1"/>
    </xf>
    <xf numFmtId="0" fontId="36" fillId="3" borderId="6" xfId="0" quotePrefix="1" applyFont="1" applyFill="1" applyBorder="1" applyAlignment="1">
      <alignment horizontal="center" vertical="center" wrapText="1"/>
    </xf>
    <xf numFmtId="174" fontId="29" fillId="5" borderId="6" xfId="3" applyNumberFormat="1" applyFont="1" applyFill="1" applyBorder="1" applyAlignment="1">
      <alignment horizontal="center" vertical="center"/>
    </xf>
    <xf numFmtId="10" fontId="29" fillId="5" borderId="6" xfId="3" applyNumberFormat="1" applyFont="1" applyFill="1" applyBorder="1" applyAlignment="1">
      <alignment horizontal="center" vertical="center"/>
    </xf>
    <xf numFmtId="2" fontId="29" fillId="5" borderId="6" xfId="3" applyNumberFormat="1" applyFont="1" applyFill="1" applyBorder="1" applyAlignment="1">
      <alignment horizontal="center" vertical="center"/>
    </xf>
    <xf numFmtId="174" fontId="31" fillId="5" borderId="6" xfId="3" applyNumberFormat="1" applyFont="1" applyFill="1" applyBorder="1" applyAlignment="1">
      <alignment horizontal="center" vertical="center"/>
    </xf>
    <xf numFmtId="10" fontId="31" fillId="5" borderId="6" xfId="3" applyNumberFormat="1" applyFont="1" applyFill="1" applyBorder="1" applyAlignment="1">
      <alignment horizontal="center" vertical="center"/>
    </xf>
    <xf numFmtId="2" fontId="31" fillId="5" borderId="6" xfId="3" applyNumberFormat="1" applyFont="1" applyFill="1" applyBorder="1" applyAlignment="1">
      <alignment horizontal="center" vertical="center"/>
    </xf>
    <xf numFmtId="10" fontId="9" fillId="0" borderId="0" xfId="3" applyNumberFormat="1" applyFont="1"/>
    <xf numFmtId="168" fontId="37" fillId="0" borderId="0" xfId="0" applyNumberFormat="1" applyFont="1" applyAlignment="1">
      <alignment horizontal="center" vertical="center"/>
    </xf>
    <xf numFmtId="0" fontId="31" fillId="6" borderId="0" xfId="3" applyNumberFormat="1" applyFont="1" applyFill="1" applyBorder="1" applyAlignment="1">
      <alignment horizontal="center" vertical="center"/>
    </xf>
    <xf numFmtId="174" fontId="31" fillId="15" borderId="0" xfId="3" applyNumberFormat="1" applyFont="1" applyFill="1" applyBorder="1" applyAlignment="1">
      <alignment horizontal="center" vertical="center"/>
    </xf>
    <xf numFmtId="174" fontId="31" fillId="6" borderId="0" xfId="3" applyNumberFormat="1" applyFont="1" applyFill="1" applyBorder="1" applyAlignment="1">
      <alignment horizontal="center" vertical="center"/>
    </xf>
    <xf numFmtId="174" fontId="31" fillId="16" borderId="0" xfId="3" applyNumberFormat="1" applyFont="1" applyFill="1" applyBorder="1" applyAlignment="1">
      <alignment horizontal="center" vertical="center"/>
    </xf>
    <xf numFmtId="10" fontId="31" fillId="6" borderId="0" xfId="3" applyNumberFormat="1" applyFont="1" applyFill="1" applyBorder="1" applyAlignment="1">
      <alignment horizontal="center" vertical="center"/>
    </xf>
    <xf numFmtId="2" fontId="31" fillId="6" borderId="0" xfId="3" applyNumberFormat="1" applyFont="1" applyFill="1" applyBorder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0" fontId="38" fillId="0" borderId="0" xfId="0" applyFont="1"/>
    <xf numFmtId="9" fontId="33" fillId="8" borderId="0" xfId="3" applyFont="1" applyFill="1" applyBorder="1" applyAlignment="1">
      <alignment horizontal="center" vertical="center"/>
    </xf>
    <xf numFmtId="4" fontId="33" fillId="8" borderId="0" xfId="5" applyNumberFormat="1" applyFont="1" applyFill="1" applyBorder="1" applyAlignment="1">
      <alignment horizontal="center" vertical="center"/>
    </xf>
    <xf numFmtId="0" fontId="39" fillId="8" borderId="0" xfId="3" applyNumberFormat="1" applyFont="1" applyFill="1" applyBorder="1" applyAlignment="1">
      <alignment horizontal="center" vertical="center"/>
    </xf>
    <xf numFmtId="181" fontId="39" fillId="8" borderId="0" xfId="5" applyNumberFormat="1" applyFont="1" applyFill="1" applyBorder="1" applyAlignment="1">
      <alignment horizontal="center" vertical="center"/>
    </xf>
    <xf numFmtId="9" fontId="39" fillId="8" borderId="0" xfId="3" applyFont="1" applyFill="1" applyBorder="1" applyAlignment="1">
      <alignment horizontal="center" vertical="center"/>
    </xf>
    <xf numFmtId="4" fontId="39" fillId="8" borderId="0" xfId="5" applyNumberFormat="1" applyFont="1" applyFill="1" applyBorder="1" applyAlignment="1">
      <alignment horizontal="center" vertical="center"/>
    </xf>
    <xf numFmtId="0" fontId="0" fillId="2" borderId="6" xfId="0" applyFill="1" applyBorder="1" applyAlignment="1" applyProtection="1">
      <alignment horizontal="center"/>
      <protection hidden="1"/>
    </xf>
  </cellXfs>
  <cellStyles count="6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  <cellStyle name="Vírgula 2 2" xfId="5" xr:uid="{96203C58-C8BB-4696-8165-FCCF14B9AAD6}"/>
  </cellStyles>
  <dxfs count="4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 de Geração x Compensação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800021480690876E-2"/>
          <c:y val="0.18452736318407961"/>
          <c:w val="0.90044465030106535"/>
          <c:h val="0.5119876992987816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'Resumo Gerencial'!$I$10</c:f>
              <c:strCache>
                <c:ptCount val="1"/>
                <c:pt idx="0">
                  <c:v>Energia Gerada da Telemetria (Moto gerador)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Gerencial'!$I$11:$I$22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C-47B8-ACAE-76934F86EBEE}"/>
            </c:ext>
          </c:extLst>
        </c:ser>
        <c:ser>
          <c:idx val="0"/>
          <c:order val="1"/>
          <c:tx>
            <c:strRef>
              <c:f>'Resumo Gerencial'!$J$10</c:f>
              <c:strCache>
                <c:ptCount val="1"/>
                <c:pt idx="0">
                  <c:v>Gerado Injetado no rede na Fatura Usina (MWh)</c:v>
                </c:pt>
              </c:strCache>
            </c:strRef>
          </c:tx>
          <c:spPr>
            <a:solidFill>
              <a:srgbClr val="0EBEBA"/>
            </a:solidFill>
            <a:ln>
              <a:solidFill>
                <a:srgbClr val="0EBEBA"/>
              </a:solidFill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Gerencial'!$J$11:$J$22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30.370999999999999</c:v>
                </c:pt>
                <c:pt idx="2">
                  <c:v>27.134</c:v>
                </c:pt>
                <c:pt idx="3">
                  <c:v>24.082000000000001</c:v>
                </c:pt>
                <c:pt idx="4">
                  <c:v>21.262</c:v>
                </c:pt>
                <c:pt idx="5">
                  <c:v>15.711</c:v>
                </c:pt>
                <c:pt idx="6">
                  <c:v>34.673000000000002</c:v>
                </c:pt>
                <c:pt idx="7">
                  <c:v>17.434999999999999</c:v>
                </c:pt>
                <c:pt idx="8">
                  <c:v>13.038</c:v>
                </c:pt>
                <c:pt idx="9">
                  <c:v>24.32</c:v>
                </c:pt>
                <c:pt idx="10">
                  <c:v>27.03</c:v>
                </c:pt>
                <c:pt idx="11">
                  <c:v>26.228000000000002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C-47B8-ACAE-76934F86EBEE}"/>
            </c:ext>
          </c:extLst>
        </c:ser>
        <c:ser>
          <c:idx val="1"/>
          <c:order val="2"/>
          <c:tx>
            <c:strRef>
              <c:f>'Resumo Gerencial'!$K$10</c:f>
              <c:strCache>
                <c:ptCount val="1"/>
                <c:pt idx="0">
                  <c:v>Gerado nas Faturas das UCs beneficiárias (MWh)</c:v>
                </c:pt>
              </c:strCache>
            </c:strRef>
          </c:tx>
          <c:spPr>
            <a:solidFill>
              <a:srgbClr val="323941"/>
            </a:solidFill>
            <a:ln>
              <a:solidFill>
                <a:srgbClr val="323941"/>
              </a:solidFill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Gerencial'!$K$11:$K$22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30.577000000000002</c:v>
                </c:pt>
                <c:pt idx="2">
                  <c:v>30.984999999999999</c:v>
                </c:pt>
                <c:pt idx="3">
                  <c:v>28.84</c:v>
                </c:pt>
                <c:pt idx="4">
                  <c:v>23.181000000000001</c:v>
                </c:pt>
                <c:pt idx="5">
                  <c:v>24.096</c:v>
                </c:pt>
                <c:pt idx="6">
                  <c:v>-4.71</c:v>
                </c:pt>
                <c:pt idx="7">
                  <c:v>29.349</c:v>
                </c:pt>
                <c:pt idx="8">
                  <c:v>31.661000000000001</c:v>
                </c:pt>
                <c:pt idx="9">
                  <c:v>28.189</c:v>
                </c:pt>
                <c:pt idx="10">
                  <c:v>54.116</c:v>
                </c:pt>
                <c:pt idx="11">
                  <c:v>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C-47B8-ACAE-76934F86E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45006352"/>
        <c:axId val="445589696"/>
      </c:barChart>
      <c:lineChart>
        <c:grouping val="standard"/>
        <c:varyColors val="0"/>
        <c:ser>
          <c:idx val="3"/>
          <c:order val="3"/>
          <c:tx>
            <c:strRef>
              <c:f>'Resumo Gerencial'!$R$10</c:f>
              <c:strCache>
                <c:ptCount val="1"/>
                <c:pt idx="0">
                  <c:v>Saldo acumulado dif. entre a Geração Fatura Usina x Ucs Beneficiárias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Gerencial'!$R$11:$R$22</c:f>
              <c:numCache>
                <c:formatCode>_-* #,##0_-;\-* #,##0_-;_-* "-"??_-;_-@_-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-3.8689999999999998</c:v>
                </c:pt>
                <c:pt idx="10">
                  <c:v>-30.954999999999998</c:v>
                </c:pt>
                <c:pt idx="11">
                  <c:v>-33.736999999999995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BC-47B8-ACAE-76934F86E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006352"/>
        <c:axId val="445589696"/>
      </c:lineChart>
      <c:catAx>
        <c:axId val="214500635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589696"/>
        <c:crosses val="autoZero"/>
        <c:auto val="0"/>
        <c:lblAlgn val="ctr"/>
        <c:lblOffset val="100"/>
        <c:noMultiLvlLbl val="1"/>
      </c:catAx>
      <c:valAx>
        <c:axId val="44558969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500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413899955732625E-3"/>
          <c:y val="0.78805736782902158"/>
          <c:w val="0.99392289111271448"/>
          <c:h val="0.16666891638545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 Consumo UCs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'Resumo Gerencial'!$H$10</c:f>
              <c:strCache>
                <c:ptCount val="1"/>
                <c:pt idx="0">
                  <c:v>Consumo Total Previsto (Média mensal)</c:v>
                </c:pt>
              </c:strCache>
            </c:strRef>
          </c:tx>
          <c:spPr>
            <a:solidFill>
              <a:srgbClr val="323941"/>
            </a:solidFill>
            <a:ln>
              <a:solidFill>
                <a:srgbClr val="323941"/>
              </a:solidFill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Gerencial'!$H$11:$H$22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34.215466818181817</c:v>
                </c:pt>
                <c:pt idx="2">
                  <c:v>34.215466818181817</c:v>
                </c:pt>
                <c:pt idx="3">
                  <c:v>34.215466818181817</c:v>
                </c:pt>
                <c:pt idx="4">
                  <c:v>34.215466818181817</c:v>
                </c:pt>
                <c:pt idx="5">
                  <c:v>34.215466818181817</c:v>
                </c:pt>
                <c:pt idx="6">
                  <c:v>34.215466818181817</c:v>
                </c:pt>
                <c:pt idx="7">
                  <c:v>30.832301666666662</c:v>
                </c:pt>
                <c:pt idx="8">
                  <c:v>30.748942575757571</c:v>
                </c:pt>
                <c:pt idx="9">
                  <c:v>33.695107727272735</c:v>
                </c:pt>
                <c:pt idx="10">
                  <c:v>34.40517136363637</c:v>
                </c:pt>
                <c:pt idx="11">
                  <c:v>35.086057727272724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A-4803-A0D6-F5DF79196137}"/>
            </c:ext>
          </c:extLst>
        </c:ser>
        <c:ser>
          <c:idx val="2"/>
          <c:order val="2"/>
          <c:tx>
            <c:strRef>
              <c:f>'Resumo Gerencial'!$G$10</c:f>
              <c:strCache>
                <c:ptCount val="1"/>
                <c:pt idx="0">
                  <c:v>Energia Total Consumida</c:v>
                </c:pt>
              </c:strCache>
            </c:strRef>
          </c:tx>
          <c:spPr>
            <a:solidFill>
              <a:srgbClr val="C4CBD2"/>
            </a:solidFill>
            <a:ln>
              <a:solidFill>
                <a:srgbClr val="C4CBD2"/>
              </a:solidFill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Gerencial'!$G$11:$G$22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41.694199999999995</c:v>
                </c:pt>
                <c:pt idx="2">
                  <c:v>44.011600000000001</c:v>
                </c:pt>
                <c:pt idx="3">
                  <c:v>48.079119999999996</c:v>
                </c:pt>
                <c:pt idx="4">
                  <c:v>38.191679999999998</c:v>
                </c:pt>
                <c:pt idx="5">
                  <c:v>34.045679999999997</c:v>
                </c:pt>
                <c:pt idx="6">
                  <c:v>0</c:v>
                </c:pt>
                <c:pt idx="7">
                  <c:v>21.253959999999999</c:v>
                </c:pt>
                <c:pt idx="8">
                  <c:v>24.09947</c:v>
                </c:pt>
                <c:pt idx="9">
                  <c:v>28.901190000000003</c:v>
                </c:pt>
                <c:pt idx="10">
                  <c:v>39.890819999999998</c:v>
                </c:pt>
                <c:pt idx="11">
                  <c:v>37.51361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3A-4803-A0D6-F5DF79196137}"/>
            </c:ext>
          </c:extLst>
        </c:ser>
        <c:ser>
          <c:idx val="4"/>
          <c:order val="4"/>
          <c:tx>
            <c:strRef>
              <c:f>'Resumo Gerencial'!$L$10</c:f>
              <c:strCache>
                <c:ptCount val="1"/>
                <c:pt idx="0">
                  <c:v>Créditos Faturados (MWh)</c:v>
                </c:pt>
              </c:strCache>
            </c:strRef>
          </c:tx>
          <c:spPr>
            <a:solidFill>
              <a:srgbClr val="0EBEBA"/>
            </a:solidFill>
            <a:ln>
              <a:solidFill>
                <a:srgbClr val="0EBEBA"/>
              </a:solidFill>
            </a:ln>
            <a:effectLst/>
          </c:spPr>
          <c:invertIfNegative val="0"/>
          <c:val>
            <c:numRef>
              <c:f>'Resumo Gerencial'!$L$11:$L$22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26.286000000000001</c:v>
                </c:pt>
                <c:pt idx="2">
                  <c:v>21.684000000000001</c:v>
                </c:pt>
                <c:pt idx="3">
                  <c:v>24.654</c:v>
                </c:pt>
                <c:pt idx="4">
                  <c:v>24.606999999999999</c:v>
                </c:pt>
                <c:pt idx="5">
                  <c:v>21.395</c:v>
                </c:pt>
                <c:pt idx="6">
                  <c:v>12.339</c:v>
                </c:pt>
                <c:pt idx="7">
                  <c:v>15.037000000000001</c:v>
                </c:pt>
                <c:pt idx="8">
                  <c:v>17.327999999999999</c:v>
                </c:pt>
                <c:pt idx="9">
                  <c:v>22.436</c:v>
                </c:pt>
                <c:pt idx="10">
                  <c:v>31.603000000000002</c:v>
                </c:pt>
                <c:pt idx="11">
                  <c:v>30.268000000000001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3A-4803-A0D6-F5DF79196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1182832"/>
        <c:axId val="841178672"/>
      </c:barChart>
      <c:lineChart>
        <c:grouping val="standard"/>
        <c:varyColors val="0"/>
        <c:ser>
          <c:idx val="0"/>
          <c:order val="0"/>
          <c:tx>
            <c:strRef>
              <c:f>'Resumo Gerencial'!$E$10</c:f>
              <c:strCache>
                <c:ptCount val="1"/>
                <c:pt idx="0">
                  <c:v>Qtde Ucs no Rateio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Gerencial'!$E$11:$E$22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89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89</c:v>
                </c:pt>
                <c:pt idx="7">
                  <c:v>75</c:v>
                </c:pt>
                <c:pt idx="8">
                  <c:v>71</c:v>
                </c:pt>
                <c:pt idx="9">
                  <c:v>86</c:v>
                </c:pt>
                <c:pt idx="10">
                  <c:v>89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3A-4803-A0D6-F5DF79196137}"/>
            </c:ext>
          </c:extLst>
        </c:ser>
        <c:ser>
          <c:idx val="3"/>
          <c:order val="3"/>
          <c:tx>
            <c:strRef>
              <c:f>'Resumo Gerencial'!$F$10</c:f>
              <c:strCache>
                <c:ptCount val="1"/>
                <c:pt idx="0">
                  <c:v>Qtde Ucs no Rateio com Fatura Recebida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Gerencial'!$F$11:$F$22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88</c:v>
                </c:pt>
                <c:pt idx="2">
                  <c:v>87</c:v>
                </c:pt>
                <c:pt idx="3">
                  <c:v>88</c:v>
                </c:pt>
                <c:pt idx="4">
                  <c:v>87</c:v>
                </c:pt>
                <c:pt idx="5">
                  <c:v>86</c:v>
                </c:pt>
                <c:pt idx="6">
                  <c:v>86</c:v>
                </c:pt>
                <c:pt idx="7">
                  <c:v>72</c:v>
                </c:pt>
                <c:pt idx="8">
                  <c:v>69</c:v>
                </c:pt>
                <c:pt idx="9">
                  <c:v>84</c:v>
                </c:pt>
                <c:pt idx="10">
                  <c:v>89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3A-4803-A0D6-F5DF79196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179504"/>
        <c:axId val="841169936"/>
      </c:lineChart>
      <c:catAx>
        <c:axId val="84118283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178672"/>
        <c:crosses val="autoZero"/>
        <c:auto val="0"/>
        <c:lblAlgn val="ctr"/>
        <c:lblOffset val="100"/>
        <c:noMultiLvlLbl val="1"/>
      </c:catAx>
      <c:valAx>
        <c:axId val="84117867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182832"/>
        <c:crosses val="autoZero"/>
        <c:crossBetween val="between"/>
      </c:valAx>
      <c:valAx>
        <c:axId val="841169936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1179504"/>
        <c:crosses val="max"/>
        <c:crossBetween val="between"/>
      </c:valAx>
      <c:dateAx>
        <c:axId val="841179504"/>
        <c:scaling>
          <c:orientation val="minMax"/>
        </c:scaling>
        <c:delete val="1"/>
        <c:axPos val="t"/>
        <c:numFmt formatCode="[$-416]mmm\-yy;@" sourceLinked="1"/>
        <c:majorTickMark val="out"/>
        <c:minorTickMark val="none"/>
        <c:tickLblPos val="nextTo"/>
        <c:crossAx val="841169936"/>
        <c:crosses val="max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149348363327103E-2"/>
          <c:y val="0.80753038726904203"/>
          <c:w val="0.94353560386624979"/>
          <c:h val="0.1650557738509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Análise de Geração x Compensação x Créditos</a:t>
            </a:r>
            <a:endParaRPr lang="pt-B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Gerencial'!$K$10</c:f>
              <c:strCache>
                <c:ptCount val="1"/>
                <c:pt idx="0">
                  <c:v>Gerado nas Faturas das UCs beneficiárias (MWh)</c:v>
                </c:pt>
              </c:strCache>
            </c:strRef>
          </c:tx>
          <c:spPr>
            <a:solidFill>
              <a:srgbClr val="0EBEBA"/>
            </a:solidFill>
            <a:ln>
              <a:solidFill>
                <a:srgbClr val="0EBEBA"/>
              </a:solidFill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Gerencial'!$K$11:$K$22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30.577000000000002</c:v>
                </c:pt>
                <c:pt idx="2">
                  <c:v>30.984999999999999</c:v>
                </c:pt>
                <c:pt idx="3">
                  <c:v>28.84</c:v>
                </c:pt>
                <c:pt idx="4">
                  <c:v>23.181000000000001</c:v>
                </c:pt>
                <c:pt idx="5">
                  <c:v>24.096</c:v>
                </c:pt>
                <c:pt idx="6">
                  <c:v>-4.71</c:v>
                </c:pt>
                <c:pt idx="7">
                  <c:v>29.349</c:v>
                </c:pt>
                <c:pt idx="8">
                  <c:v>31.661000000000001</c:v>
                </c:pt>
                <c:pt idx="9">
                  <c:v>28.189</c:v>
                </c:pt>
                <c:pt idx="10">
                  <c:v>54.116</c:v>
                </c:pt>
                <c:pt idx="11">
                  <c:v>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5-4749-BA7B-35D60402CA88}"/>
            </c:ext>
          </c:extLst>
        </c:ser>
        <c:ser>
          <c:idx val="1"/>
          <c:order val="1"/>
          <c:tx>
            <c:strRef>
              <c:f>'Resumo Gerencial'!$L$10</c:f>
              <c:strCache>
                <c:ptCount val="1"/>
                <c:pt idx="0">
                  <c:v>Créditos Faturados (MWh)</c:v>
                </c:pt>
              </c:strCache>
            </c:strRef>
          </c:tx>
          <c:spPr>
            <a:solidFill>
              <a:srgbClr val="323941"/>
            </a:solidFill>
            <a:ln>
              <a:solidFill>
                <a:srgbClr val="323941"/>
              </a:solidFill>
            </a:ln>
            <a:effectLst/>
          </c:spPr>
          <c:invertIfNegative val="0"/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Gerencial'!$L$11:$L$22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26.286000000000001</c:v>
                </c:pt>
                <c:pt idx="2">
                  <c:v>21.684000000000001</c:v>
                </c:pt>
                <c:pt idx="3">
                  <c:v>24.654</c:v>
                </c:pt>
                <c:pt idx="4">
                  <c:v>24.606999999999999</c:v>
                </c:pt>
                <c:pt idx="5">
                  <c:v>21.395</c:v>
                </c:pt>
                <c:pt idx="6">
                  <c:v>12.339</c:v>
                </c:pt>
                <c:pt idx="7">
                  <c:v>15.037000000000001</c:v>
                </c:pt>
                <c:pt idx="8">
                  <c:v>17.327999999999999</c:v>
                </c:pt>
                <c:pt idx="9">
                  <c:v>22.436</c:v>
                </c:pt>
                <c:pt idx="10">
                  <c:v>31.603000000000002</c:v>
                </c:pt>
                <c:pt idx="11">
                  <c:v>30.268000000000001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5-4749-BA7B-35D60402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4984016"/>
        <c:axId val="1174984496"/>
      </c:barChart>
      <c:lineChart>
        <c:grouping val="standard"/>
        <c:varyColors val="0"/>
        <c:ser>
          <c:idx val="2"/>
          <c:order val="2"/>
          <c:tx>
            <c:strRef>
              <c:f>'Resumo Gerencial'!$M$10</c:f>
              <c:strCache>
                <c:ptCount val="1"/>
                <c:pt idx="0">
                  <c:v>Créditos Acumulados (MWh)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'Resumo Gerencial'!$D$11:$D$22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Gerencial'!$M$11:$M$22</c:f>
              <c:numCache>
                <c:formatCode>_(* #,##0_);_(* \(#,##0\);_(* "-"??_);_(@_)</c:formatCode>
                <c:ptCount val="12"/>
                <c:pt idx="0">
                  <c:v>#N/A</c:v>
                </c:pt>
                <c:pt idx="1">
                  <c:v>15.73</c:v>
                </c:pt>
                <c:pt idx="2">
                  <c:v>24.739000000000001</c:v>
                </c:pt>
                <c:pt idx="3">
                  <c:v>28.925000000000001</c:v>
                </c:pt>
                <c:pt idx="4">
                  <c:v>27.498999999999999</c:v>
                </c:pt>
                <c:pt idx="5">
                  <c:v>30.2</c:v>
                </c:pt>
                <c:pt idx="6">
                  <c:v>13.151</c:v>
                </c:pt>
                <c:pt idx="7">
                  <c:v>27.463000000000001</c:v>
                </c:pt>
                <c:pt idx="8">
                  <c:v>41.795999999999999</c:v>
                </c:pt>
                <c:pt idx="9">
                  <c:v>45.487000000000002</c:v>
                </c:pt>
                <c:pt idx="10">
                  <c:v>68</c:v>
                </c:pt>
                <c:pt idx="11">
                  <c:v>39.125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5-4749-BA7B-35D60402C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984016"/>
        <c:axId val="1174984496"/>
      </c:lineChart>
      <c:dateAx>
        <c:axId val="117498401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4984496"/>
        <c:crosses val="autoZero"/>
        <c:auto val="1"/>
        <c:lblOffset val="100"/>
        <c:baseTimeUnit val="months"/>
      </c:dateAx>
      <c:valAx>
        <c:axId val="117498449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498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'Resumo Gerencial'!$H$73</c:f>
              <c:strCache>
                <c:ptCount val="1"/>
                <c:pt idx="0">
                  <c:v>'Faturamento Consórcio Previsto Total</c:v>
                </c:pt>
              </c:strCache>
            </c:strRef>
          </c:tx>
          <c:spPr>
            <a:ln w="28575" cap="rnd">
              <a:solidFill>
                <a:srgbClr val="323941"/>
              </a:solidFill>
              <a:round/>
            </a:ln>
            <a:effectLst/>
          </c:spPr>
          <c:marker>
            <c:symbol val="none"/>
          </c:marker>
          <c:cat>
            <c:numRef>
              <c:f>'Resumo Gerencial'!$E$74:$E$85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Gerencial'!$H$74:$H$85</c:f>
              <c:numCache>
                <c:formatCode>_-* #,##0_-;\-* #,##0_-;_-* "-"??_-;_-@_-</c:formatCode>
                <c:ptCount val="12"/>
                <c:pt idx="0">
                  <c:v>#N/A</c:v>
                </c:pt>
                <c:pt idx="1">
                  <c:v>20936.890000000003</c:v>
                </c:pt>
                <c:pt idx="2">
                  <c:v>17146.649990000002</c:v>
                </c:pt>
                <c:pt idx="3">
                  <c:v>19354.060000000001</c:v>
                </c:pt>
                <c:pt idx="4">
                  <c:v>19906.679999999997</c:v>
                </c:pt>
                <c:pt idx="5">
                  <c:v>17599.98</c:v>
                </c:pt>
                <c:pt idx="6">
                  <c:v>11005.809989000003</c:v>
                </c:pt>
                <c:pt idx="7">
                  <c:v>12430.760000000004</c:v>
                </c:pt>
                <c:pt idx="8">
                  <c:v>14630.569998999999</c:v>
                </c:pt>
                <c:pt idx="9">
                  <c:v>18551.030000000002</c:v>
                </c:pt>
                <c:pt idx="10">
                  <c:v>26142.509999999613</c:v>
                </c:pt>
                <c:pt idx="11">
                  <c:v>28717.00999989991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1-4009-985F-9A51F45EB1F1}"/>
            </c:ext>
          </c:extLst>
        </c:ser>
        <c:ser>
          <c:idx val="1"/>
          <c:order val="1"/>
          <c:tx>
            <c:strRef>
              <c:f>'Resumo Gerencial'!$I$73</c:f>
              <c:strCache>
                <c:ptCount val="1"/>
                <c:pt idx="0">
                  <c:v>'Faturamento Consórcio Previsto Já Emitido</c:v>
                </c:pt>
              </c:strCache>
            </c:strRef>
          </c:tx>
          <c:spPr>
            <a:ln w="28575" cap="rnd">
              <a:solidFill>
                <a:srgbClr val="C4CBD2"/>
              </a:solidFill>
              <a:round/>
            </a:ln>
            <a:effectLst/>
          </c:spPr>
          <c:marker>
            <c:symbol val="none"/>
          </c:marker>
          <c:cat>
            <c:numRef>
              <c:f>'Resumo Gerencial'!$E$74:$E$85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Gerencial'!$I$74:$I$85</c:f>
              <c:numCache>
                <c:formatCode>_-* #,##0_-;\-* #,##0_-;_-* "-"??_-;_-@_-</c:formatCode>
                <c:ptCount val="12"/>
                <c:pt idx="0">
                  <c:v>#N/A</c:v>
                </c:pt>
                <c:pt idx="1">
                  <c:v>20802.330010000005</c:v>
                </c:pt>
                <c:pt idx="2">
                  <c:v>16660.840001000004</c:v>
                </c:pt>
                <c:pt idx="3">
                  <c:v>18081.39</c:v>
                </c:pt>
                <c:pt idx="4">
                  <c:v>19045.789999999997</c:v>
                </c:pt>
                <c:pt idx="5">
                  <c:v>16888.640011000003</c:v>
                </c:pt>
                <c:pt idx="6">
                  <c:v>10122.440020099997</c:v>
                </c:pt>
                <c:pt idx="7">
                  <c:v>12329.950002000001</c:v>
                </c:pt>
                <c:pt idx="8">
                  <c:v>14414.940000299999</c:v>
                </c:pt>
                <c:pt idx="9">
                  <c:v>18122.970000110792</c:v>
                </c:pt>
                <c:pt idx="10">
                  <c:v>23846.760001210023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C1-4009-985F-9A51F45EB1F1}"/>
            </c:ext>
          </c:extLst>
        </c:ser>
        <c:ser>
          <c:idx val="2"/>
          <c:order val="2"/>
          <c:tx>
            <c:strRef>
              <c:f>'Resumo Gerencial'!$J$73</c:f>
              <c:strCache>
                <c:ptCount val="1"/>
                <c:pt idx="0">
                  <c:v>'Faturamento Consórcio Real (recebidos até o momento)</c:v>
                </c:pt>
              </c:strCache>
            </c:strRef>
          </c:tx>
          <c:spPr>
            <a:ln w="28575" cap="rnd">
              <a:solidFill>
                <a:srgbClr val="0EBEBA"/>
              </a:solidFill>
              <a:round/>
            </a:ln>
            <a:effectLst/>
          </c:spPr>
          <c:marker>
            <c:symbol val="none"/>
          </c:marker>
          <c:cat>
            <c:numRef>
              <c:f>'Resumo Gerencial'!$E$74:$E$85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Gerencial'!$J$74:$J$85</c:f>
              <c:numCache>
                <c:formatCode>_-* #,##0_-;\-* #,##0_-;_-* "-"??_-;_-@_-</c:formatCode>
                <c:ptCount val="12"/>
                <c:pt idx="0">
                  <c:v>#N/A</c:v>
                </c:pt>
                <c:pt idx="1">
                  <c:v>19059.440000000002</c:v>
                </c:pt>
                <c:pt idx="2">
                  <c:v>15301.890000000003</c:v>
                </c:pt>
                <c:pt idx="3">
                  <c:v>17030.229999999996</c:v>
                </c:pt>
                <c:pt idx="4">
                  <c:v>16498.34414991803</c:v>
                </c:pt>
                <c:pt idx="5">
                  <c:v>13981.908999999998</c:v>
                </c:pt>
                <c:pt idx="6">
                  <c:v>9532.5733333333337</c:v>
                </c:pt>
                <c:pt idx="7">
                  <c:v>12206.86</c:v>
                </c:pt>
                <c:pt idx="8">
                  <c:v>14030.099999999997</c:v>
                </c:pt>
                <c:pt idx="9">
                  <c:v>17132.330526315785</c:v>
                </c:pt>
                <c:pt idx="10">
                  <c:v>20371.610000000008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C1-4009-985F-9A51F45EB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045856"/>
        <c:axId val="1161046336"/>
      </c:lineChart>
      <c:dateAx>
        <c:axId val="116104585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1046336"/>
        <c:crosses val="autoZero"/>
        <c:auto val="1"/>
        <c:lblOffset val="100"/>
        <c:baseTimeUnit val="months"/>
      </c:dateAx>
      <c:valAx>
        <c:axId val="11610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10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baseline="0">
                <a:effectLst/>
              </a:rPr>
              <a:t>Tarifa Cativo x Tarifa Compensada x Tarifa Projeto</a:t>
            </a:r>
            <a:endParaRPr lang="pt-B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Gerencial'!$G$104</c:f>
              <c:strCache>
                <c:ptCount val="1"/>
                <c:pt idx="0">
                  <c:v>Tarifa Média Cativo sem projeto (R$/kWh)</c:v>
                </c:pt>
              </c:strCache>
            </c:strRef>
          </c:tx>
          <c:spPr>
            <a:solidFill>
              <a:srgbClr val="323941"/>
            </a:solidFill>
            <a:ln>
              <a:solidFill>
                <a:srgbClr val="323941"/>
              </a:solidFill>
            </a:ln>
            <a:effectLst/>
          </c:spPr>
          <c:invertIfNegative val="0"/>
          <c:cat>
            <c:numRef>
              <c:f>'Resumo Gerencial'!$D$105:$D$116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Gerencial'!$G$105:$G$116</c:f>
              <c:numCache>
                <c:formatCode>0.00000</c:formatCode>
                <c:ptCount val="12"/>
                <c:pt idx="0">
                  <c:v>#N/A</c:v>
                </c:pt>
                <c:pt idx="1">
                  <c:v>1.1162565601450105</c:v>
                </c:pt>
                <c:pt idx="2">
                  <c:v>1.1162582852259988</c:v>
                </c:pt>
                <c:pt idx="3">
                  <c:v>1.1162578055896837</c:v>
                </c:pt>
                <c:pt idx="4">
                  <c:v>1.1181547162283771</c:v>
                </c:pt>
                <c:pt idx="5">
                  <c:v>1.1305217467679871</c:v>
                </c:pt>
                <c:pt idx="6">
                  <c:v>1.1687351252953575</c:v>
                </c:pt>
                <c:pt idx="7">
                  <c:v>1.1602242556258073</c:v>
                </c:pt>
                <c:pt idx="8">
                  <c:v>1.1700578197590359</c:v>
                </c:pt>
                <c:pt idx="9">
                  <c:v>1.201247204730082</c:v>
                </c:pt>
                <c:pt idx="10">
                  <c:v>1.208934406578847</c:v>
                </c:pt>
                <c:pt idx="11">
                  <c:v>1.2048392146563438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A-47F7-A2CB-8DEDA0929D2A}"/>
            </c:ext>
          </c:extLst>
        </c:ser>
        <c:ser>
          <c:idx val="1"/>
          <c:order val="1"/>
          <c:tx>
            <c:strRef>
              <c:f>'Resumo Gerencial'!$H$104</c:f>
              <c:strCache>
                <c:ptCount val="1"/>
                <c:pt idx="0">
                  <c:v>Tarifa Média Compensada com projeto GD (R$/kWh)</c:v>
                </c:pt>
              </c:strCache>
            </c:strRef>
          </c:tx>
          <c:spPr>
            <a:solidFill>
              <a:srgbClr val="C4CBD2"/>
            </a:solidFill>
            <a:ln>
              <a:solidFill>
                <a:srgbClr val="C4CBD2"/>
              </a:solidFill>
            </a:ln>
            <a:effectLst/>
          </c:spPr>
          <c:invertIfNegative val="0"/>
          <c:cat>
            <c:numRef>
              <c:f>'Resumo Gerencial'!$D$105:$D$116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Gerencial'!$H$105:$H$116</c:f>
              <c:numCache>
                <c:formatCode>0.00000</c:formatCode>
                <c:ptCount val="12"/>
                <c:pt idx="0">
                  <c:v>#N/A</c:v>
                </c:pt>
                <c:pt idx="1">
                  <c:v>1.0619991630525756</c:v>
                </c:pt>
                <c:pt idx="2">
                  <c:v>1.0460547430541918</c:v>
                </c:pt>
                <c:pt idx="3">
                  <c:v>1.0487008284421182</c:v>
                </c:pt>
                <c:pt idx="4">
                  <c:v>1.0295543599057182</c:v>
                </c:pt>
                <c:pt idx="5">
                  <c:v>1.0431770547792907</c:v>
                </c:pt>
                <c:pt idx="6">
                  <c:v>1.093818744090433</c:v>
                </c:pt>
                <c:pt idx="7">
                  <c:v>1.0793179531797015</c:v>
                </c:pt>
                <c:pt idx="8">
                  <c:v>1.0929220619502209</c:v>
                </c:pt>
                <c:pt idx="9">
                  <c:v>1.1300714264370995</c:v>
                </c:pt>
                <c:pt idx="10">
                  <c:v>1.1295939617296544</c:v>
                </c:pt>
                <c:pt idx="11">
                  <c:v>1.1295715795023065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A-47F7-A2CB-8DEDA0929D2A}"/>
            </c:ext>
          </c:extLst>
        </c:ser>
        <c:ser>
          <c:idx val="2"/>
          <c:order val="2"/>
          <c:tx>
            <c:strRef>
              <c:f>'Resumo Gerencial'!$I$104</c:f>
              <c:strCache>
                <c:ptCount val="1"/>
                <c:pt idx="0">
                  <c:v>Tarifa Média Remuneração Projeto (R$/kWh)</c:v>
                </c:pt>
              </c:strCache>
            </c:strRef>
          </c:tx>
          <c:spPr>
            <a:solidFill>
              <a:srgbClr val="0EBEBA"/>
            </a:solidFill>
            <a:ln>
              <a:solidFill>
                <a:srgbClr val="0EBEBA"/>
              </a:solidFill>
            </a:ln>
            <a:effectLst/>
          </c:spPr>
          <c:invertIfNegative val="0"/>
          <c:cat>
            <c:numRef>
              <c:f>'Resumo Gerencial'!$D$105:$D$116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Gerencial'!$I$105:$I$116</c:f>
              <c:numCache>
                <c:formatCode>0.00000</c:formatCode>
                <c:ptCount val="12"/>
                <c:pt idx="0">
                  <c:v>#N/A</c:v>
                </c:pt>
                <c:pt idx="1">
                  <c:v>0.79649937228943135</c:v>
                </c:pt>
                <c:pt idx="2">
                  <c:v>0.78454105729064405</c:v>
                </c:pt>
                <c:pt idx="3">
                  <c:v>0.78652562133158832</c:v>
                </c:pt>
                <c:pt idx="4">
                  <c:v>0.77216576992928809</c:v>
                </c:pt>
                <c:pt idx="5">
                  <c:v>0.78238279108446818</c:v>
                </c:pt>
                <c:pt idx="6">
                  <c:v>0.83430559160495099</c:v>
                </c:pt>
                <c:pt idx="7">
                  <c:v>0.83172241472027764</c:v>
                </c:pt>
                <c:pt idx="8">
                  <c:v>0.84596426386455581</c:v>
                </c:pt>
                <c:pt idx="9">
                  <c:v>0.82655771940989398</c:v>
                </c:pt>
                <c:pt idx="10">
                  <c:v>0.81366999029910914</c:v>
                </c:pt>
                <c:pt idx="11">
                  <c:v>0.89236154780682231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A-47F7-A2CB-8DEDA0929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8892224"/>
        <c:axId val="1918893664"/>
      </c:barChart>
      <c:lineChart>
        <c:grouping val="standard"/>
        <c:varyColors val="0"/>
        <c:ser>
          <c:idx val="3"/>
          <c:order val="3"/>
          <c:tx>
            <c:strRef>
              <c:f>'Resumo Gerencial'!$K$104</c:f>
              <c:strCache>
                <c:ptCount val="1"/>
                <c:pt idx="0">
                  <c:v>Desconto % médio sobre Tarifa Cativa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'Resumo Gerencial'!$D$105:$D$116</c:f>
              <c:numCache>
                <c:formatCode>[$-416]mmm\-yy;@</c:formatCode>
                <c:ptCount val="12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</c:numCache>
            </c:numRef>
          </c:cat>
          <c:val>
            <c:numRef>
              <c:f>'Resumo Gerencial'!$K$105:$K$116</c:f>
              <c:numCache>
                <c:formatCode>0.00%</c:formatCode>
                <c:ptCount val="12"/>
                <c:pt idx="0">
                  <c:v>#N/A</c:v>
                </c:pt>
                <c:pt idx="1">
                  <c:v>0.23784835873990628</c:v>
                </c:pt>
                <c:pt idx="2">
                  <c:v>0.23427703894766738</c:v>
                </c:pt>
                <c:pt idx="3">
                  <c:v>0.23486976377471425</c:v>
                </c:pt>
                <c:pt idx="4">
                  <c:v>0.23019049711172512</c:v>
                </c:pt>
                <c:pt idx="5">
                  <c:v>0.23068487133520343</c:v>
                </c:pt>
                <c:pt idx="6">
                  <c:v>0.22204616501099772</c:v>
                </c:pt>
                <c:pt idx="7">
                  <c:v>0.21340317379063456</c:v>
                </c:pt>
                <c:pt idx="8">
                  <c:v>0.21106461058182924</c:v>
                </c:pt>
                <c:pt idx="9">
                  <c:v>0.25266548453313942</c:v>
                </c:pt>
                <c:pt idx="10">
                  <c:v>0.26132432802915739</c:v>
                </c:pt>
                <c:pt idx="11">
                  <c:v>0.19688106828689467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A-47F7-A2CB-8DEDA0929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608944"/>
        <c:axId val="1516606064"/>
      </c:lineChart>
      <c:dateAx>
        <c:axId val="191889222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893664"/>
        <c:crosses val="autoZero"/>
        <c:auto val="1"/>
        <c:lblOffset val="100"/>
        <c:baseTimeUnit val="months"/>
      </c:dateAx>
      <c:valAx>
        <c:axId val="19188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892224"/>
        <c:crosses val="autoZero"/>
        <c:crossBetween val="between"/>
      </c:valAx>
      <c:valAx>
        <c:axId val="1516606064"/>
        <c:scaling>
          <c:orientation val="minMax"/>
          <c:max val="0.25"/>
          <c:min val="0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6608944"/>
        <c:crosses val="max"/>
        <c:crossBetween val="between"/>
      </c:valAx>
      <c:dateAx>
        <c:axId val="1516608944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516606064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981409802097035E-2"/>
          <c:y val="0.84374890638670164"/>
          <c:w val="0.77626772726882509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74083</xdr:rowOff>
    </xdr:from>
    <xdr:to>
      <xdr:col>3</xdr:col>
      <xdr:colOff>1259417</xdr:colOff>
      <xdr:row>3</xdr:row>
      <xdr:rowOff>137583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79DB627-D3D4-45F4-922A-421A9253C675}"/>
            </a:ext>
          </a:extLst>
        </xdr:cNvPr>
        <xdr:cNvSpPr/>
      </xdr:nvSpPr>
      <xdr:spPr>
        <a:xfrm>
          <a:off x="1127760" y="0"/>
          <a:ext cx="0" cy="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ATUALIZAR VALORES</a:t>
          </a:r>
          <a:endParaRPr lang="pt-BR" sz="1100" baseline="0"/>
        </a:p>
      </xdr:txBody>
    </xdr:sp>
    <xdr:clientData/>
  </xdr:twoCellAnchor>
  <xdr:twoCellAnchor>
    <xdr:from>
      <xdr:col>4</xdr:col>
      <xdr:colOff>10583</xdr:colOff>
      <xdr:row>0</xdr:row>
      <xdr:rowOff>74083</xdr:rowOff>
    </xdr:from>
    <xdr:to>
      <xdr:col>4</xdr:col>
      <xdr:colOff>1238250</xdr:colOff>
      <xdr:row>3</xdr:row>
      <xdr:rowOff>137583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271E17D-F02B-43C5-8FE7-1745FA6F9347}"/>
            </a:ext>
          </a:extLst>
        </xdr:cNvPr>
        <xdr:cNvSpPr/>
      </xdr:nvSpPr>
      <xdr:spPr>
        <a:xfrm>
          <a:off x="1127760" y="0"/>
          <a:ext cx="0" cy="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COLAR FÓRMULAS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38</xdr:row>
      <xdr:rowOff>0</xdr:rowOff>
    </xdr:from>
    <xdr:to>
      <xdr:col>13</xdr:col>
      <xdr:colOff>0</xdr:colOff>
      <xdr:row>52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0F053-5F3D-4DC8-97C8-56A0C4467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13</xdr:col>
      <xdr:colOff>0</xdr:colOff>
      <xdr:row>36</xdr:row>
      <xdr:rowOff>179293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D1EE7A-6279-42CB-9A9C-5B1EA28AA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53</xdr:row>
      <xdr:rowOff>0</xdr:rowOff>
    </xdr:from>
    <xdr:to>
      <xdr:col>13</xdr:col>
      <xdr:colOff>0</xdr:colOff>
      <xdr:row>67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00882B-1FEC-4F64-A0D5-CD496B487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87</xdr:row>
      <xdr:rowOff>0</xdr:rowOff>
    </xdr:from>
    <xdr:to>
      <xdr:col>12</xdr:col>
      <xdr:colOff>761999</xdr:colOff>
      <xdr:row>100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A74BE4C-0C78-45DF-A21A-78089F6A7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118</xdr:row>
      <xdr:rowOff>42862</xdr:rowOff>
    </xdr:from>
    <xdr:to>
      <xdr:col>12</xdr:col>
      <xdr:colOff>761999</xdr:colOff>
      <xdr:row>135</xdr:row>
      <xdr:rowOff>33337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E976BC5-741A-4831-B453-3816CE073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via%20Almeida/GRUPO%20GERA/Gest&#227;o%20GDC%20-%20Documentos/EGS/2-%20Faturas/Base%20de%20Dados/egs_Faturas_abr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via%20Almeida/GRUPO%20GERA/Gest&#227;o%20GDC%20-%20Documentos/EGS/2-%20Faturas/Base%20de%20Dados/egs_Faturas_mai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raebcsp.sharepoint.com/sites/gestao.gdc/Shared%20Documents/EGS/2-%20Faturas/Base%20de%20Dados/egs_Faturas_junho.xlsx" TargetMode="External"/><Relationship Id="rId1" Type="http://schemas.openxmlformats.org/officeDocument/2006/relationships/externalLinkPath" Target="/Users/Livia%20Almeida/GRUPO%20GERA/Gest&#227;o%20GDC%20-%20Documentos/EGS/2-%20Faturas/Base%20de%20Dados/egs_Faturas_junh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raebcsp.sharepoint.com/sites/gestao.gdc/Shared%20Documents/EGS/2-%20Faturas/Base%20de%20Dados/egs_Faturas_ref.xlsx" TargetMode="External"/><Relationship Id="rId1" Type="http://schemas.openxmlformats.org/officeDocument/2006/relationships/externalLinkPath" Target="/Users/Livia%20Almeida/GRUPO%20GERA/Gest&#227;o%20GDC%20-%20Documentos/EGS/2-%20Faturas/Base%20de%20Dados/egs_Faturas_ref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raebcsp-my.sharepoint.com/personal/gustavo_lemos_hube_energy/Documents/Documentos/EGS/BASE%20DE%20CLIENTES%20-%20EGS%20c&#243;pia.xlsx" TargetMode="External"/><Relationship Id="rId1" Type="http://schemas.openxmlformats.org/officeDocument/2006/relationships/externalLinkPath" Target="https://geraebcsp-my.sharepoint.com/personal/gustavo_lemos_hube_energy/Documents/Documentos/EGS/BASE%20DE%20CLIENTES%20-%20EGS%20c&#243;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</sheetNames>
    <sheetDataSet>
      <sheetData sheetId="0">
        <row r="1">
          <cell r="A1" t="str">
            <v>identificacao</v>
          </cell>
          <cell r="B1" t="str">
            <v>instalacao</v>
          </cell>
          <cell r="C1" t="str">
            <v>nome</v>
          </cell>
          <cell r="D1" t="str">
            <v>dataAberturaContrato</v>
          </cell>
          <cell r="E1" t="str">
            <v>dataEncerramentoContrato</v>
          </cell>
          <cell r="F1" t="str">
            <v>distribuidora</v>
          </cell>
          <cell r="G1" t="str">
            <v>nomeFantasia</v>
          </cell>
          <cell r="H1" t="str">
            <v>razaoSocial</v>
          </cell>
          <cell r="I1" t="str">
            <v>referencia</v>
          </cell>
          <cell r="J1" t="str">
            <v>classeSubclasse</v>
          </cell>
          <cell r="K1" t="str">
            <v>cep</v>
          </cell>
          <cell r="L1" t="str">
            <v>uf</v>
          </cell>
          <cell r="M1" t="str">
            <v>cidade</v>
          </cell>
          <cell r="N1" t="str">
            <v>bairro</v>
          </cell>
          <cell r="O1" t="str">
            <v>endereco</v>
          </cell>
          <cell r="P1" t="str">
            <v>dataEmissao</v>
          </cell>
          <cell r="Q1" t="str">
            <v>grupoSubgrupo</v>
          </cell>
          <cell r="R1" t="str">
            <v>cnpj</v>
          </cell>
          <cell r="S1" t="str">
            <v>codigoCliente</v>
          </cell>
          <cell r="T1" t="str">
            <v>contaContrato</v>
          </cell>
          <cell r="U1" t="str">
            <v>dataLeituraAnterior</v>
          </cell>
          <cell r="V1" t="str">
            <v>dataLeituraAtual</v>
          </cell>
          <cell r="W1" t="str">
            <v>dataLeituraProxima</v>
          </cell>
          <cell r="X1" t="str">
            <v>dataVencimento</v>
          </cell>
          <cell r="Y1" t="str">
            <v>medidor</v>
          </cell>
          <cell r="Z1" t="str">
            <v>debitoAutomaticoAtivo</v>
          </cell>
          <cell r="AA1" t="str">
            <v>notaFiscal</v>
          </cell>
          <cell r="AB1" t="str">
            <v>tipoFornecimento</v>
          </cell>
          <cell r="AC1" t="str">
            <v>modalidadeTarifaria</v>
          </cell>
          <cell r="AD1" t="str">
            <v>valorTotal</v>
          </cell>
          <cell r="AE1" t="str">
            <v>codigoBarras</v>
          </cell>
          <cell r="AF1" t="str">
            <v>titularidade</v>
          </cell>
          <cell r="AG1" t="str">
            <v>codigoDebitoAutomatico</v>
          </cell>
          <cell r="AH1" t="str">
            <v>faturaSimplificada</v>
          </cell>
          <cell r="AI1" t="str">
            <v>Custo disponibilidade - quantidade</v>
          </cell>
          <cell r="AJ1" t="str">
            <v>Custo disponibilidade - tarifa</v>
          </cell>
          <cell r="AK1" t="str">
            <v>Custo disponibilidade - valor</v>
          </cell>
          <cell r="AL1" t="str">
            <v>Energia consumida - Fora ponta - quantidade</v>
          </cell>
          <cell r="AM1" t="str">
            <v>Energia consumida - Fora ponta - tarifa</v>
          </cell>
          <cell r="AN1" t="str">
            <v>Energia consumida - Fora ponta - valor</v>
          </cell>
          <cell r="AO1" t="str">
            <v>Energia consumida - Fora ponta - tarifa com imposto sem bandeira</v>
          </cell>
          <cell r="AP1" t="str">
            <v>Energia consumida - Ponta - quantidade</v>
          </cell>
          <cell r="AQ1" t="str">
            <v>Energia consumida - Ponta - tarifa</v>
          </cell>
          <cell r="AR1" t="str">
            <v>Energia consumida - Ponta - valor</v>
          </cell>
          <cell r="AS1" t="str">
            <v>Energia consumida - Ponta - tarifa com imposto sem bandeira</v>
          </cell>
          <cell r="AT1" t="str">
            <v>Energia consumida - Intermediario - quantidade</v>
          </cell>
          <cell r="AU1" t="str">
            <v>Energia consumida - Intermediario - tarifa</v>
          </cell>
          <cell r="AV1" t="str">
            <v>Energia consumida - Intermediario - valor</v>
          </cell>
          <cell r="AW1" t="str">
            <v>Energia consumida - Intermediario - tarifa com imposto sem bandeira</v>
          </cell>
          <cell r="AX1" t="str">
            <v>Creditos consumidos - Fora ponta - quantidade</v>
          </cell>
          <cell r="AY1" t="str">
            <v>Creditos consumidos - Fora ponta - tarifa</v>
          </cell>
          <cell r="AZ1" t="str">
            <v>Creditos consumidos - Fora ponta - valor</v>
          </cell>
          <cell r="BA1" t="str">
            <v>Creditos consumidos - Fora ponta - tarifa com imposto sem bandeira</v>
          </cell>
          <cell r="BB1" t="str">
            <v>Creditos consumidos - Ponta - quantidade</v>
          </cell>
          <cell r="BC1" t="str">
            <v>Creditos consumidos - Ponta - tarifa</v>
          </cell>
          <cell r="BD1" t="str">
            <v>Creditos consumidos - Ponta - valor</v>
          </cell>
          <cell r="BE1" t="str">
            <v>Creditos consumidos - Ponta - tarifa com imposto sem bandeira</v>
          </cell>
          <cell r="BF1" t="str">
            <v>Energia consumida abatida - Fora ponta - quantidade</v>
          </cell>
          <cell r="BG1" t="str">
            <v>Energia consumida abatida - Fora ponta - tarifa</v>
          </cell>
          <cell r="BH1" t="str">
            <v>Energia consumida abatida - Fora ponta - valor</v>
          </cell>
          <cell r="BI1" t="str">
            <v>Energia consumida abatida - Fora ponta - tarifa com imposto sem bandeira</v>
          </cell>
          <cell r="BJ1" t="str">
            <v>Energia consumida abatida - Ponta - quantidade</v>
          </cell>
          <cell r="BK1" t="str">
            <v>Energia consumida abatida - Ponta - tarifa</v>
          </cell>
          <cell r="BL1" t="str">
            <v>Energia consumida abatida - Ponta - valor</v>
          </cell>
          <cell r="BM1" t="str">
            <v>Energia consumida abatida - Ponta - tarifa com imposto sem bandeira</v>
          </cell>
          <cell r="BN1" t="str">
            <v>Demanda ativa - Fora ponta - quantidade</v>
          </cell>
          <cell r="BO1" t="str">
            <v>Demanda ativa - Fora ponta - tarifa</v>
          </cell>
          <cell r="BP1" t="str">
            <v>Demanda ativa - Fora ponta - valor</v>
          </cell>
          <cell r="BQ1" t="str">
            <v>Demanda ativa - Fora ponta - tarifa com imposto sem bandeira</v>
          </cell>
          <cell r="BR1" t="str">
            <v>Demanda ativa - Ponta - quantidade</v>
          </cell>
          <cell r="BS1" t="str">
            <v>Demanda ativa - Ponta - tarifa</v>
          </cell>
          <cell r="BT1" t="str">
            <v>Demanda ativa - Ponta - valor</v>
          </cell>
          <cell r="BU1" t="str">
            <v>Demanda ativa - Ponta - tarifa com imposto sem bandeira</v>
          </cell>
          <cell r="BV1" t="str">
            <v>Demanda sem icms - Fora ponta - quantidade</v>
          </cell>
          <cell r="BW1" t="str">
            <v>Demanda sem icms - Fora ponta - tarifa</v>
          </cell>
          <cell r="BX1" t="str">
            <v>Demanda sem icms - Fora ponta - valor</v>
          </cell>
          <cell r="BY1" t="str">
            <v>Demanda sem icms - Fora ponta - tarifa com imposto sem bandeira</v>
          </cell>
          <cell r="BZ1" t="str">
            <v>Demanda sem icms - Ponta - quantidade</v>
          </cell>
          <cell r="CA1" t="str">
            <v>Demanda sem icms - Ponta - tarifa</v>
          </cell>
          <cell r="CB1" t="str">
            <v>Demanda sem icms - Ponta - valor</v>
          </cell>
          <cell r="CC1" t="str">
            <v>Demanda sem icms - Ponta - tarifa com imposto sem bandeira</v>
          </cell>
          <cell r="CD1" t="str">
            <v>Ultrapassagem demanda - Fora ponta - quantidade</v>
          </cell>
          <cell r="CE1" t="str">
            <v>Ultrapassagem demanda - Fora ponta - tarifa</v>
          </cell>
          <cell r="CF1" t="str">
            <v>Ultrapassagem demanda - Fora ponta - valor</v>
          </cell>
          <cell r="CG1" t="str">
            <v>Ultrapassagem demanda - Fora ponta - tarifa com imposto sem bandeira</v>
          </cell>
          <cell r="CH1" t="str">
            <v>Ultrapassagem demanda - Ponta - quantidade</v>
          </cell>
          <cell r="CI1" t="str">
            <v>Ultrapassagem demanda - Ponta - tarifa</v>
          </cell>
          <cell r="CJ1" t="str">
            <v>Ultrapassagem demanda - Ponta - valor</v>
          </cell>
          <cell r="CK1" t="str">
            <v>Ultrapassagem demanda - Ponta - tarifa com imposto sem bandeira</v>
          </cell>
          <cell r="CL1" t="str">
            <v>Energia reativa - Fora ponta - quantidade</v>
          </cell>
          <cell r="CM1" t="str">
            <v>Energia reativa - Fora ponta - tarifa</v>
          </cell>
          <cell r="CN1" t="str">
            <v>Energia reativa - Fora ponta - valor</v>
          </cell>
          <cell r="CO1" t="str">
            <v>Energia reativa - Fora ponta - tarifa com imposto sem bandeira</v>
          </cell>
          <cell r="CP1" t="str">
            <v>Energia reativa - Ponta - quantidade</v>
          </cell>
          <cell r="CQ1" t="str">
            <v>Energia reativa - Ponta - tarifa</v>
          </cell>
          <cell r="CR1" t="str">
            <v>Energia reativa - Ponta - valor</v>
          </cell>
          <cell r="CS1" t="str">
            <v>Energia reativa - Ponta - tarifa com imposto sem bandeira</v>
          </cell>
          <cell r="CT1" t="str">
            <v>Demanda reativa - Fora ponta - quantidade</v>
          </cell>
          <cell r="CU1" t="str">
            <v>Demanda reativa - Fora ponta - tarifa</v>
          </cell>
          <cell r="CV1" t="str">
            <v>Demanda reativa - Fora ponta - valor</v>
          </cell>
          <cell r="CW1" t="str">
            <v>Demanda reativa - Fora ponta - tarifa com imposto sem bandeira</v>
          </cell>
          <cell r="CX1" t="str">
            <v>Demanda reativa - Ponta - quantidade</v>
          </cell>
          <cell r="CY1" t="str">
            <v>Demanda reativa - Ponta - tarifa</v>
          </cell>
          <cell r="CZ1" t="str">
            <v>Demanda reativa - Ponta - valor</v>
          </cell>
          <cell r="DA1" t="str">
            <v>Demanda reativa - Ponta - tarifa com imposto sem bandeira</v>
          </cell>
          <cell r="DB1" t="str">
            <v>Energia comercializada - Fora ponta - quantidade</v>
          </cell>
          <cell r="DC1" t="str">
            <v>Energia comercializada - Fora ponta - tarifa</v>
          </cell>
          <cell r="DD1" t="str">
            <v>Energia comercializada - Fora ponta - valor</v>
          </cell>
          <cell r="DE1" t="str">
            <v>Energia comercializada - Fora ponta - tarifa com imposto sem bandeira</v>
          </cell>
          <cell r="DF1" t="str">
            <v>Energia comercializada - Ponta - quantidade</v>
          </cell>
          <cell r="DG1" t="str">
            <v>Energia comercializada - Ponta - tarifa</v>
          </cell>
          <cell r="DH1" t="str">
            <v>Energia comercializada - Ponta - valor</v>
          </cell>
          <cell r="DI1" t="str">
            <v>Energia comercializada - Ponta - tarifa com imposto sem bandeira</v>
          </cell>
          <cell r="DJ1" t="str">
            <v>Energia gerada - Fora ponta - quantidade</v>
          </cell>
          <cell r="DK1" t="str">
            <v>Energia gerada - Fora ponta - tarifa</v>
          </cell>
          <cell r="DL1" t="str">
            <v>Energia gerada - Fora ponta - valor</v>
          </cell>
          <cell r="DM1" t="str">
            <v>Energia gerada - Fora ponta - tarifa com imposto sem bandeira</v>
          </cell>
          <cell r="DN1" t="str">
            <v>Energia gerada - Ponta - quantidade</v>
          </cell>
          <cell r="DO1" t="str">
            <v>Energia gerada - Ponta - tarifa</v>
          </cell>
          <cell r="DP1" t="str">
            <v>Energia gerada - Ponta - valor</v>
          </cell>
          <cell r="DQ1" t="str">
            <v>Energia gerada - Ponta - tarifa com imposto sem bandeira</v>
          </cell>
          <cell r="DR1" t="str">
            <v>Crédito Consumido de Geração Própria - Fora ponta - quantidade</v>
          </cell>
          <cell r="DS1" t="str">
            <v>Crédito Consumido de Geração Própria - Fora ponta - tarifa</v>
          </cell>
          <cell r="DT1" t="str">
            <v>Crédito Consumido de Geração Própria - Fora ponta - valor</v>
          </cell>
          <cell r="DU1" t="str">
            <v>Crédito Consumido de Geração Própria - Fora ponta - tarifa com imposto sem bandeira</v>
          </cell>
          <cell r="DV1" t="str">
            <v>Crédito Consumido de Geração Própria - Ponta - quantidade</v>
          </cell>
          <cell r="DW1" t="str">
            <v>Crédito Consumido de Geração Própria - Ponta - tarifa</v>
          </cell>
          <cell r="DX1" t="str">
            <v>Crédito Consumido de Geração Própria - Ponta - valor</v>
          </cell>
          <cell r="DY1" t="str">
            <v>Crédito Consumido de Geração Própria - Ponta - tarifa com imposto sem bandeira</v>
          </cell>
          <cell r="DZ1" t="str">
            <v>Crédito Consumido Gerado por Terceiros - Fora ponta - quantidade</v>
          </cell>
          <cell r="EA1" t="str">
            <v>Crédito Consumido Gerado por Terceiros - Fora ponta - tarifa</v>
          </cell>
          <cell r="EB1" t="str">
            <v>Crédito Consumido Gerado por Terceiros - Fora ponta - valor</v>
          </cell>
          <cell r="EC1" t="str">
            <v>Crédito Consumido Gerado por Terceiros - Fora ponta - tarifa com imposto sem bandeira</v>
          </cell>
          <cell r="ED1" t="str">
            <v>Crédito Consumido Gerado por Terceiros - Ponta - quantidade</v>
          </cell>
          <cell r="EE1" t="str">
            <v>Crédito Consumido Gerado por Terceiros - Ponta - tarifa</v>
          </cell>
          <cell r="EF1" t="str">
            <v>Crédito Consumido Gerado por Terceiros - Ponta - valor</v>
          </cell>
          <cell r="EG1" t="str">
            <v>Crédito Consumido Gerado por Terceiros - Ponta - tarifa com imposto sem bandeira</v>
          </cell>
          <cell r="EH1" t="str">
            <v>Energia ACL - Fora ponta - valor</v>
          </cell>
          <cell r="EI1" t="str">
            <v>Energia ACL - Ponta - valor</v>
          </cell>
          <cell r="EJ1" t="str">
            <v>Dedução Energia ACL - Fora ponta - valor</v>
          </cell>
          <cell r="EK1" t="str">
            <v>Dedução Energia ACL - Ponta - valor</v>
          </cell>
          <cell r="EL1" t="str">
            <v>Benefício tarifário bruto - Fora ponta - valor</v>
          </cell>
          <cell r="EM1" t="str">
            <v>Benefício tarifário líquido - Fora ponta - valor</v>
          </cell>
          <cell r="EN1" t="str">
            <v>Subvenção tarifária - Fora ponta - valor</v>
          </cell>
          <cell r="EO1" t="str">
            <v>Desconto Demanda - Fora ponta - valor</v>
          </cell>
          <cell r="EP1" t="str">
            <v>Desconto Demanda - Ponta - valor</v>
          </cell>
          <cell r="EQ1" t="str">
            <v>Desconto Consumo TUSD - Fora ponta - valor</v>
          </cell>
          <cell r="ER1" t="str">
            <v>Desconto Consumo TUSD - Ponta - valor</v>
          </cell>
          <cell r="ES1" t="str">
            <v>Ajuste desconto retroativo - Fora ponta - valor</v>
          </cell>
          <cell r="ET1" t="str">
            <v>Credito recebido - Fora ponta - quantidade</v>
          </cell>
          <cell r="EU1" t="str">
            <v>Credito recebido - Ponta - quantidade</v>
          </cell>
          <cell r="EV1" t="str">
            <v>Energia gerada - Fora ponta - quantidade</v>
          </cell>
          <cell r="EW1" t="str">
            <v>Energia gerada - Ponta - quantidade</v>
          </cell>
          <cell r="EX1" t="str">
            <v>Credito remanescente - Fora ponta - quantidade</v>
          </cell>
          <cell r="EY1" t="str">
            <v>Credito remanescente - Ponta - quantidade</v>
          </cell>
          <cell r="EZ1" t="str">
            <v>ADICIONAL BANDEIRA - valor</v>
          </cell>
          <cell r="FA1" t="str">
            <v>CUSTO ILUMINACAO PUBLICA - valor</v>
          </cell>
          <cell r="FB1" t="str">
            <v>OUTROS - valor</v>
          </cell>
          <cell r="FC1" t="str">
            <v>TAXA DE ATRASO - valor</v>
          </cell>
          <cell r="FD1" t="str">
            <v>RESTITUICAO DE PAGAMENTO - valor</v>
          </cell>
          <cell r="FE1" t="str">
            <v>SALDO PROXIMO MES - valor</v>
          </cell>
          <cell r="FF1" t="str">
            <v>REEMBOLSO - valor</v>
          </cell>
          <cell r="FG1" t="str">
            <v>ENCARGO ESCASSEZ HÍDRICA - valor</v>
          </cell>
          <cell r="FH1" t="str">
            <v>ENCARGO CONTA COVID - valor</v>
          </cell>
          <cell r="FI1" t="str">
            <v>DIFERENÇA CCEE - valor</v>
          </cell>
          <cell r="FJ1" t="str">
            <v>LIMINAR - valor</v>
          </cell>
          <cell r="FK1" t="str">
            <v>DESCONTO - valor</v>
          </cell>
          <cell r="FL1" t="str">
            <v>AJUSTE GDII - valor</v>
          </cell>
          <cell r="FM1" t="str">
            <v>Imposto - COFINS - base calculo</v>
          </cell>
          <cell r="FN1" t="str">
            <v>Imposto - COFINS - alíquota</v>
          </cell>
          <cell r="FO1" t="str">
            <v>Imposto - COFINS - valor</v>
          </cell>
          <cell r="FP1" t="str">
            <v>Imposto - PIS - base calculo</v>
          </cell>
          <cell r="FQ1" t="str">
            <v>Imposto - PIS - alíquota</v>
          </cell>
          <cell r="FR1" t="str">
            <v>Imposto - PIS - valor</v>
          </cell>
          <cell r="FS1" t="str">
            <v>Imposto - ICMS - base calculo</v>
          </cell>
          <cell r="FT1" t="str">
            <v>Imposto - ICMS - alíquota</v>
          </cell>
          <cell r="FU1" t="str">
            <v>Imposto - ICMS - valor</v>
          </cell>
          <cell r="FV1" t="str">
            <v>Imposto - PIS/COFINS - base calculo</v>
          </cell>
          <cell r="FW1" t="str">
            <v>Imposto - PIS/COFINS - alíquota</v>
          </cell>
          <cell r="FX1" t="str">
            <v>Imposto - PIS/COFINS - valor</v>
          </cell>
          <cell r="FY1" t="str">
            <v>Perdas</v>
          </cell>
          <cell r="FZ1" t="str">
            <v>Energia consumida - Fora ponta - Medido</v>
          </cell>
          <cell r="GA1" t="str">
            <v>Energia consumida - Fora ponta - Leitura Atual</v>
          </cell>
          <cell r="GB1" t="str">
            <v>Energia consumida - Fora ponta - Leitura Anterior</v>
          </cell>
          <cell r="GC1" t="str">
            <v>Energia consumida - Fora ponta - Constante</v>
          </cell>
          <cell r="GD1" t="str">
            <v>Energia consumida - Ponta - Medido</v>
          </cell>
          <cell r="GE1" t="str">
            <v>Energia consumida - Ponta - Leitura Atual</v>
          </cell>
          <cell r="GF1" t="str">
            <v>Energia consumida - Ponta - Leitura Anterior</v>
          </cell>
          <cell r="GG1" t="str">
            <v>Energia consumida - Ponta - Constante</v>
          </cell>
          <cell r="GH1" t="str">
            <v>Energia consumida - Intermediario - Medido</v>
          </cell>
          <cell r="GI1" t="str">
            <v>Energia consumida - Intermediario - Leitura Atual</v>
          </cell>
          <cell r="GJ1" t="str">
            <v>Energia consumida - Intermediario - Leitura Anterior</v>
          </cell>
          <cell r="GK1" t="str">
            <v>Energia consumida - Intermediario - Constante</v>
          </cell>
          <cell r="GL1" t="str">
            <v>Demanda ativa - Fora ponta - Medido</v>
          </cell>
          <cell r="GM1" t="str">
            <v>Demanda ativa - Fora ponta - Leitura Atual</v>
          </cell>
          <cell r="GN1" t="str">
            <v>Demanda ativa - Fora ponta - Leitura Anterior</v>
          </cell>
          <cell r="GO1" t="str">
            <v>Demanda ativa - Fora ponta - Constante</v>
          </cell>
          <cell r="GP1" t="str">
            <v>Demanda ativa - Fora ponta - Contratado</v>
          </cell>
          <cell r="GQ1" t="str">
            <v>Demanda ativa - Ponta - Medido</v>
          </cell>
          <cell r="GR1" t="str">
            <v>Demanda ativa - Ponta - Leitura Atual</v>
          </cell>
          <cell r="GS1" t="str">
            <v>Demanda ativa - Ponta - Leitura Anterior</v>
          </cell>
          <cell r="GT1" t="str">
            <v>Demanda ativa - Ponta - Constante</v>
          </cell>
          <cell r="GU1" t="str">
            <v>Demanda ativa - Ponta - Contratado</v>
          </cell>
          <cell r="GV1" t="str">
            <v>Energia reativa - Fora ponta - Medido</v>
          </cell>
          <cell r="GW1" t="str">
            <v>Energia reativa - Fora ponta - Leitura Atual</v>
          </cell>
          <cell r="GX1" t="str">
            <v>Energia reativa - Fora ponta - Leitura Anterior</v>
          </cell>
          <cell r="GY1" t="str">
            <v>Energia reativa - Fora ponta - Constante</v>
          </cell>
          <cell r="GZ1" t="str">
            <v>Energia reativa - Ponta - Medido</v>
          </cell>
          <cell r="HA1" t="str">
            <v>Energia reativa - Ponta - Leitura Atual</v>
          </cell>
          <cell r="HB1" t="str">
            <v>Energia reativa - Ponta - Leitura Anterior</v>
          </cell>
          <cell r="HC1" t="str">
            <v>Energia reativa - Ponta - Constante</v>
          </cell>
          <cell r="HD1" t="str">
            <v>Demanda reativa - Fora ponta - Medido</v>
          </cell>
          <cell r="HE1" t="str">
            <v>Demanda reativa - Fora ponta - Leitura Atual</v>
          </cell>
          <cell r="HF1" t="str">
            <v>Demanda reativa - Fora ponta - Leitura Anterior</v>
          </cell>
          <cell r="HG1" t="str">
            <v>Demanda reativa - Fora ponta - Constante</v>
          </cell>
          <cell r="HH1" t="str">
            <v>Demanda reativa - Ponta - Medido</v>
          </cell>
          <cell r="HI1" t="str">
            <v>Demanda reativa - Ponta - Leitura Atual</v>
          </cell>
          <cell r="HJ1" t="str">
            <v>Demanda reativa - Ponta - Leitura Anterior</v>
          </cell>
          <cell r="HK1" t="str">
            <v>Demanda reativa - Ponta - Constante</v>
          </cell>
          <cell r="HL1" t="str">
            <v>Energia consumida - Fora ponta - Mar/2025</v>
          </cell>
          <cell r="HM1" t="str">
            <v>Energia consumida - Ponta - Mar/2025</v>
          </cell>
          <cell r="HN1" t="str">
            <v>Demanda ativa - Fora ponta - Mar/2025</v>
          </cell>
          <cell r="HO1" t="str">
            <v>Demanda ativa - Ponta - Mar/2025</v>
          </cell>
          <cell r="HP1" t="str">
            <v>Energia consumida - Fora ponta - Feb/2025</v>
          </cell>
          <cell r="HQ1" t="str">
            <v>Energia consumida - Ponta - Feb/2025</v>
          </cell>
          <cell r="HR1" t="str">
            <v>Demanda ativa - Fora ponta - Feb/2025</v>
          </cell>
          <cell r="HS1" t="str">
            <v>Demanda ativa - Ponta - Feb/2025</v>
          </cell>
          <cell r="HT1" t="str">
            <v>Energia consumida - Fora ponta - Jan/2025</v>
          </cell>
          <cell r="HU1" t="str">
            <v>Energia consumida - Ponta - Jan/2025</v>
          </cell>
          <cell r="HV1" t="str">
            <v>Demanda ativa - Fora ponta - Jan/2025</v>
          </cell>
          <cell r="HW1" t="str">
            <v>Demanda ativa - Ponta - Jan/2025</v>
          </cell>
          <cell r="HX1" t="str">
            <v>Energia consumida - Fora ponta - Dec/2024</v>
          </cell>
          <cell r="HY1" t="str">
            <v>Energia consumida - Ponta - Dec/2024</v>
          </cell>
          <cell r="HZ1" t="str">
            <v>Demanda ativa - Fora ponta - Dec/2024</v>
          </cell>
          <cell r="IA1" t="str">
            <v>Demanda ativa - Ponta - Dec/2024</v>
          </cell>
          <cell r="IB1" t="str">
            <v>Energia consumida - Fora ponta - Nov/2024</v>
          </cell>
          <cell r="IC1" t="str">
            <v>Energia consumida - Ponta - Nov/2024</v>
          </cell>
          <cell r="ID1" t="str">
            <v>Demanda ativa - Fora ponta - Nov/2024</v>
          </cell>
          <cell r="IE1" t="str">
            <v>Demanda ativa - Ponta - Nov/2024</v>
          </cell>
          <cell r="IF1" t="str">
            <v>Energia consumida - Fora ponta - Oct/2024</v>
          </cell>
          <cell r="IG1" t="str">
            <v>Energia consumida - Ponta - Oct/2024</v>
          </cell>
          <cell r="IH1" t="str">
            <v>Demanda ativa - Fora ponta - Oct/2024</v>
          </cell>
          <cell r="II1" t="str">
            <v>Demanda ativa - Ponta - Oct/2024</v>
          </cell>
          <cell r="IJ1" t="str">
            <v>Energia consumida - Fora ponta - Sep/2024</v>
          </cell>
          <cell r="IK1" t="str">
            <v>Energia consumida - Ponta - Sep/2024</v>
          </cell>
          <cell r="IL1" t="str">
            <v>Demanda ativa - Fora ponta - Sep/2024</v>
          </cell>
          <cell r="IM1" t="str">
            <v>Demanda ativa - Ponta - Sep/2024</v>
          </cell>
          <cell r="IN1" t="str">
            <v>Energia consumida - Fora ponta - Aug/2024</v>
          </cell>
          <cell r="IO1" t="str">
            <v>Energia consumida - Ponta - Aug/2024</v>
          </cell>
          <cell r="IP1" t="str">
            <v>Demanda ativa - Fora ponta - Aug/2024</v>
          </cell>
          <cell r="IQ1" t="str">
            <v>Demanda ativa - Ponta - Aug/2024</v>
          </cell>
          <cell r="IR1" t="str">
            <v>Energia consumida - Fora ponta - Jul/2024</v>
          </cell>
          <cell r="IS1" t="str">
            <v>Energia consumida - Ponta - Jul/2024</v>
          </cell>
          <cell r="IT1" t="str">
            <v>Demanda ativa - Fora ponta - Jul/2024</v>
          </cell>
          <cell r="IU1" t="str">
            <v>Demanda ativa - Ponta - Jul/2024</v>
          </cell>
          <cell r="IV1" t="str">
            <v>Energia consumida - Fora ponta - Jun/2024</v>
          </cell>
          <cell r="IW1" t="str">
            <v>Energia consumida - Ponta - Jun/2024</v>
          </cell>
          <cell r="IX1" t="str">
            <v>Demanda ativa - Fora ponta - Jun/2024</v>
          </cell>
        </row>
        <row r="2">
          <cell r="A2" t="str">
            <v/>
          </cell>
          <cell r="B2" t="str">
            <v>10/3139326-7</v>
          </cell>
          <cell r="C2" t="str">
            <v>6315</v>
          </cell>
          <cell r="D2" t="str">
            <v>2024-01-01</v>
          </cell>
          <cell r="F2" t="str">
            <v>energisa_ms</v>
          </cell>
          <cell r="G2" t="str">
            <v>5661</v>
          </cell>
          <cell r="H2" t="str">
            <v>Igreja do Evangelho Quadrangular</v>
          </cell>
          <cell r="I2">
            <v>45748</v>
          </cell>
          <cell r="J2" t="str">
            <v>COMERCIAL - TEMPLOS RELIGIOSOS</v>
          </cell>
          <cell r="K2" t="str">
            <v>79833280</v>
          </cell>
          <cell r="L2" t="str">
            <v>MS</v>
          </cell>
          <cell r="M2" t="str">
            <v>DOURADOS</v>
          </cell>
          <cell r="N2" t="str">
            <v>VILA SAO FRANCISCO</v>
          </cell>
          <cell r="O2" t="str">
            <v>RUA ALBERTINA DE MATTOS, S/N - 01.010.015.346000</v>
          </cell>
          <cell r="P2">
            <v>45750</v>
          </cell>
          <cell r="Q2" t="str">
            <v>B - B3</v>
          </cell>
          <cell r="R2" t="str">
            <v>62955505182257</v>
          </cell>
          <cell r="U2">
            <v>45722</v>
          </cell>
          <cell r="V2">
            <v>45749</v>
          </cell>
          <cell r="W2">
            <v>45782</v>
          </cell>
          <cell r="X2">
            <v>45761</v>
          </cell>
          <cell r="Y2" t="str">
            <v/>
          </cell>
          <cell r="AA2" t="str">
            <v>009.807.910-002</v>
          </cell>
          <cell r="AB2" t="str">
            <v>trifasico</v>
          </cell>
          <cell r="AC2" t="str">
            <v>convencional</v>
          </cell>
          <cell r="AD2">
            <v>301.27</v>
          </cell>
          <cell r="AE2" t="str">
            <v>34191.09107 17943.542930 85972.140009 8 10510000030127</v>
          </cell>
          <cell r="AF2" t="str">
            <v>IGREJA DO EVANGELHO QUADRANGULAR</v>
          </cell>
          <cell r="AL2">
            <v>493</v>
          </cell>
          <cell r="AM2">
            <v>1.1162474645030425</v>
          </cell>
          <cell r="AN2">
            <v>550.30999999999995</v>
          </cell>
          <cell r="AX2">
            <v>361</v>
          </cell>
          <cell r="AY2">
            <v>1.1162603878116344</v>
          </cell>
          <cell r="AZ2">
            <v>-402.97</v>
          </cell>
          <cell r="DR2">
            <v>361</v>
          </cell>
          <cell r="DS2">
            <v>1.1162603878116344</v>
          </cell>
          <cell r="DT2">
            <v>-402.97</v>
          </cell>
          <cell r="ET2">
            <v>361</v>
          </cell>
          <cell r="EX2">
            <v>0</v>
          </cell>
          <cell r="FA2">
            <v>70.97</v>
          </cell>
          <cell r="FB2">
            <v>64.47</v>
          </cell>
          <cell r="FC2">
            <v>18.490000000000002</v>
          </cell>
          <cell r="FM2">
            <v>122.3</v>
          </cell>
          <cell r="FN2">
            <v>4.9954999999999999E-2</v>
          </cell>
          <cell r="FO2">
            <v>6.11</v>
          </cell>
          <cell r="FP2">
            <v>122.3</v>
          </cell>
          <cell r="FQ2">
            <v>1.0845E-2</v>
          </cell>
          <cell r="FR2">
            <v>1.32</v>
          </cell>
          <cell r="FS2">
            <v>147.34</v>
          </cell>
          <cell r="FT2">
            <v>0.17</v>
          </cell>
          <cell r="FU2">
            <v>25.04</v>
          </cell>
          <cell r="GD2">
            <v>493</v>
          </cell>
          <cell r="GE2">
            <v>35524</v>
          </cell>
          <cell r="GF2">
            <v>35031</v>
          </cell>
          <cell r="GG2">
            <v>1</v>
          </cell>
          <cell r="HM2">
            <v>590</v>
          </cell>
          <cell r="HQ2">
            <v>493</v>
          </cell>
          <cell r="HU2">
            <v>401</v>
          </cell>
          <cell r="HY2">
            <v>523</v>
          </cell>
          <cell r="IC2">
            <v>528</v>
          </cell>
          <cell r="IG2">
            <v>449</v>
          </cell>
          <cell r="IK2">
            <v>371</v>
          </cell>
          <cell r="IO2">
            <v>412</v>
          </cell>
          <cell r="IS2">
            <v>414</v>
          </cell>
          <cell r="IW2">
            <v>444</v>
          </cell>
        </row>
        <row r="3">
          <cell r="A3" t="str">
            <v/>
          </cell>
          <cell r="B3" t="str">
            <v>10/3054052-0</v>
          </cell>
          <cell r="C3" t="str">
            <v>Nova Aliança</v>
          </cell>
          <cell r="D3" t="str">
            <v>2024-01-01</v>
          </cell>
          <cell r="F3" t="str">
            <v>energisa_ms</v>
          </cell>
          <cell r="G3" t="str">
            <v>Nova Aliança</v>
          </cell>
          <cell r="H3" t="str">
            <v>Igreja do Evangelho Quadrangular</v>
          </cell>
          <cell r="I3">
            <v>45748</v>
          </cell>
          <cell r="J3" t="str">
            <v>COMERCIAL - TEMPLOS RELIGIOSOS</v>
          </cell>
          <cell r="K3" t="str">
            <v>79370000</v>
          </cell>
          <cell r="L3" t="str">
            <v>MS</v>
          </cell>
          <cell r="M3" t="str">
            <v>LADARIO</v>
          </cell>
          <cell r="N3" t="str">
            <v>NOVA ALIANCA</v>
          </cell>
          <cell r="O3" t="str">
            <v>RUA FREI LIBERATO QUETTERE, S/N - QD 112 LT 34- 02.004.21.308500</v>
          </cell>
          <cell r="P3">
            <v>45749</v>
          </cell>
          <cell r="Q3" t="str">
            <v>B - B3</v>
          </cell>
          <cell r="R3" t="str">
            <v>6X.XXX.XXX/XXX4-87</v>
          </cell>
          <cell r="U3">
            <v>45721</v>
          </cell>
          <cell r="V3">
            <v>45748</v>
          </cell>
          <cell r="W3">
            <v>45779</v>
          </cell>
          <cell r="X3">
            <v>45792</v>
          </cell>
          <cell r="Y3" t="str">
            <v/>
          </cell>
          <cell r="AA3" t="str">
            <v>009.791.115-002</v>
          </cell>
          <cell r="AB3" t="str">
            <v>trifasico</v>
          </cell>
          <cell r="AC3" t="str">
            <v>convencional</v>
          </cell>
          <cell r="AD3">
            <v>136.13</v>
          </cell>
          <cell r="AF3" t="str">
            <v>IGREJA DO EVANGELHO QUADRANGULAR</v>
          </cell>
          <cell r="AI3">
            <v>100</v>
          </cell>
          <cell r="AJ3">
            <v>1.1162000000000001</v>
          </cell>
          <cell r="AK3">
            <v>111.62</v>
          </cell>
          <cell r="AL3">
            <v>0</v>
          </cell>
          <cell r="AM3">
            <v>1.1162000000000001</v>
          </cell>
          <cell r="AN3">
            <v>0</v>
          </cell>
          <cell r="EX3">
            <v>292</v>
          </cell>
          <cell r="FA3">
            <v>24.51</v>
          </cell>
          <cell r="FM3">
            <v>92.64</v>
          </cell>
          <cell r="FN3">
            <v>4.9954999999999999E-2</v>
          </cell>
          <cell r="FO3">
            <v>4.63</v>
          </cell>
          <cell r="FP3">
            <v>92.64</v>
          </cell>
          <cell r="FQ3">
            <v>1.0845E-2</v>
          </cell>
          <cell r="FR3">
            <v>1</v>
          </cell>
          <cell r="FS3">
            <v>111.62</v>
          </cell>
          <cell r="FT3">
            <v>0.17</v>
          </cell>
          <cell r="FU3">
            <v>18.97</v>
          </cell>
          <cell r="GD3">
            <v>90</v>
          </cell>
          <cell r="GE3">
            <v>9441</v>
          </cell>
          <cell r="GF3">
            <v>9351</v>
          </cell>
          <cell r="GG3">
            <v>1</v>
          </cell>
          <cell r="HM3">
            <v>160</v>
          </cell>
          <cell r="HQ3">
            <v>160</v>
          </cell>
          <cell r="HU3">
            <v>84</v>
          </cell>
          <cell r="HY3">
            <v>116</v>
          </cell>
          <cell r="IC3">
            <v>172</v>
          </cell>
          <cell r="IG3">
            <v>178</v>
          </cell>
          <cell r="IK3">
            <v>184</v>
          </cell>
          <cell r="IO3">
            <v>244</v>
          </cell>
          <cell r="IS3">
            <v>139</v>
          </cell>
          <cell r="IW3">
            <v>187</v>
          </cell>
        </row>
        <row r="4">
          <cell r="A4" t="str">
            <v/>
          </cell>
          <cell r="B4" t="str">
            <v>10/513413-5</v>
          </cell>
          <cell r="C4" t="str">
            <v>Cong. Guia Lopes</v>
          </cell>
          <cell r="D4" t="str">
            <v>2024-01-01</v>
          </cell>
          <cell r="F4" t="str">
            <v>energisa_ms</v>
          </cell>
          <cell r="G4" t="str">
            <v>Cong. Guia Lopes</v>
          </cell>
          <cell r="H4" t="str">
            <v>Igreja do Evangelho Quadrangular</v>
          </cell>
          <cell r="I4">
            <v>45748</v>
          </cell>
          <cell r="J4" t="str">
            <v>COMERCIAL - TEMPLOS RELIGIOSOS</v>
          </cell>
          <cell r="K4" t="str">
            <v>79230000</v>
          </cell>
          <cell r="L4" t="str">
            <v>MS</v>
          </cell>
          <cell r="M4" t="str">
            <v>GUIA LOPES DA LAGUNA</v>
          </cell>
          <cell r="N4" t="str">
            <v>VILA SAO MIGUEL</v>
          </cell>
          <cell r="O4" t="str">
            <v>RUA TREZE DE MAIO, 1200 - 05.048.13.525000</v>
          </cell>
          <cell r="P4">
            <v>45751</v>
          </cell>
          <cell r="Q4" t="str">
            <v>B - B3</v>
          </cell>
          <cell r="R4" t="str">
            <v>62955505321630</v>
          </cell>
          <cell r="U4">
            <v>45723</v>
          </cell>
          <cell r="V4">
            <v>45750</v>
          </cell>
          <cell r="W4">
            <v>45783</v>
          </cell>
          <cell r="X4">
            <v>45762</v>
          </cell>
          <cell r="Y4" t="str">
            <v/>
          </cell>
          <cell r="AA4" t="str">
            <v>009.817.921-002</v>
          </cell>
          <cell r="AB4" t="str">
            <v>trifasico</v>
          </cell>
          <cell r="AC4" t="str">
            <v>convencional</v>
          </cell>
          <cell r="AD4">
            <v>775.59</v>
          </cell>
          <cell r="AE4" t="str">
            <v>34191.09107 20338.022930 85972.140009 2 10520000077559</v>
          </cell>
          <cell r="AF4" t="str">
            <v>IGREJA DO EVANGELHO QUADRANGULAR</v>
          </cell>
          <cell r="AL4">
            <v>585</v>
          </cell>
          <cell r="AM4">
            <v>1.1162564102564103</v>
          </cell>
          <cell r="AN4">
            <v>653.01</v>
          </cell>
          <cell r="FA4">
            <v>122.58</v>
          </cell>
          <cell r="FM4">
            <v>541.99</v>
          </cell>
          <cell r="FN4">
            <v>4.9954999999999999E-2</v>
          </cell>
          <cell r="FO4">
            <v>27.07</v>
          </cell>
          <cell r="FP4">
            <v>541.99</v>
          </cell>
          <cell r="FQ4">
            <v>1.0845E-2</v>
          </cell>
          <cell r="FR4">
            <v>5.88</v>
          </cell>
          <cell r="FS4">
            <v>653.01</v>
          </cell>
          <cell r="FT4">
            <v>0.17</v>
          </cell>
          <cell r="FU4">
            <v>111.01</v>
          </cell>
          <cell r="GD4">
            <v>585</v>
          </cell>
          <cell r="GE4">
            <v>48675</v>
          </cell>
          <cell r="GF4">
            <v>48090</v>
          </cell>
          <cell r="GG4">
            <v>1</v>
          </cell>
          <cell r="HM4">
            <v>555</v>
          </cell>
          <cell r="HQ4">
            <v>585</v>
          </cell>
          <cell r="HU4">
            <v>551</v>
          </cell>
          <cell r="HY4">
            <v>553</v>
          </cell>
          <cell r="IC4">
            <v>503</v>
          </cell>
          <cell r="IG4">
            <v>536</v>
          </cell>
          <cell r="IK4">
            <v>319</v>
          </cell>
          <cell r="IO4">
            <v>297</v>
          </cell>
          <cell r="IS4">
            <v>372</v>
          </cell>
          <cell r="IW4">
            <v>313</v>
          </cell>
        </row>
        <row r="5">
          <cell r="A5" t="str">
            <v/>
          </cell>
          <cell r="B5" t="str">
            <v>10/109074-5</v>
          </cell>
          <cell r="C5" t="str">
            <v>59758</v>
          </cell>
          <cell r="D5" t="str">
            <v>2024-01-01</v>
          </cell>
          <cell r="F5" t="str">
            <v>energisa_ms</v>
          </cell>
          <cell r="G5" t="str">
            <v>Carlos Camisao (3325)</v>
          </cell>
          <cell r="H5" t="str">
            <v>Igreja do Evangelho Quadrangular</v>
          </cell>
          <cell r="I5">
            <v>45748</v>
          </cell>
          <cell r="J5" t="str">
            <v>COMERCIAL - TEMPLOS RELIGIOSOS</v>
          </cell>
          <cell r="K5" t="str">
            <v>79940000</v>
          </cell>
          <cell r="L5" t="str">
            <v>MS</v>
          </cell>
          <cell r="M5" t="str">
            <v>CAARAPO</v>
          </cell>
          <cell r="N5" t="str">
            <v>CENTRO</v>
          </cell>
          <cell r="O5" t="str">
            <v>RUA QUINZE DE NOVEMBRO, 2180</v>
          </cell>
          <cell r="P5">
            <v>45755</v>
          </cell>
          <cell r="Q5" t="str">
            <v>B - B3</v>
          </cell>
          <cell r="R5" t="str">
            <v>62955505000167</v>
          </cell>
          <cell r="U5">
            <v>45726</v>
          </cell>
          <cell r="V5">
            <v>45754</v>
          </cell>
          <cell r="W5">
            <v>45785</v>
          </cell>
          <cell r="X5">
            <v>45764</v>
          </cell>
          <cell r="Y5" t="str">
            <v/>
          </cell>
          <cell r="AA5" t="str">
            <v>009.877.354-002</v>
          </cell>
          <cell r="AB5" t="str">
            <v>bifasico</v>
          </cell>
          <cell r="AC5" t="str">
            <v>convencional</v>
          </cell>
          <cell r="AD5">
            <v>162.4</v>
          </cell>
          <cell r="AE5" t="str">
            <v>34191.09107 22672.022930 85972.140009 5 10540000016240</v>
          </cell>
          <cell r="AF5" t="str">
            <v>IGREJA DO EVANGELHO QUADRANGULAR</v>
          </cell>
          <cell r="AL5">
            <v>351</v>
          </cell>
          <cell r="AM5">
            <v>1.1162393162393163</v>
          </cell>
          <cell r="AN5">
            <v>391.8</v>
          </cell>
          <cell r="AX5">
            <v>240</v>
          </cell>
          <cell r="AY5">
            <v>1.11625</v>
          </cell>
          <cell r="AZ5">
            <v>-267.89999999999998</v>
          </cell>
          <cell r="DR5">
            <v>240</v>
          </cell>
          <cell r="DS5">
            <v>1.11625</v>
          </cell>
          <cell r="DT5">
            <v>-267.89999999999998</v>
          </cell>
          <cell r="ET5">
            <v>240</v>
          </cell>
          <cell r="EX5">
            <v>0</v>
          </cell>
          <cell r="FB5">
            <v>38.5</v>
          </cell>
          <cell r="FM5">
            <v>102.84</v>
          </cell>
          <cell r="FN5">
            <v>4.9954999999999999E-2</v>
          </cell>
          <cell r="FO5">
            <v>5.13</v>
          </cell>
          <cell r="FP5">
            <v>102.84</v>
          </cell>
          <cell r="FQ5">
            <v>1.0845E-2</v>
          </cell>
          <cell r="FR5">
            <v>1.1200000000000001</v>
          </cell>
          <cell r="FS5">
            <v>123.9</v>
          </cell>
          <cell r="FT5">
            <v>0.17</v>
          </cell>
          <cell r="FU5">
            <v>21.06</v>
          </cell>
          <cell r="GD5">
            <v>351</v>
          </cell>
          <cell r="GE5">
            <v>21885</v>
          </cell>
          <cell r="GF5">
            <v>21534</v>
          </cell>
          <cell r="GG5">
            <v>1</v>
          </cell>
          <cell r="HM5">
            <v>320</v>
          </cell>
          <cell r="HQ5">
            <v>254</v>
          </cell>
          <cell r="HU5">
            <v>220</v>
          </cell>
          <cell r="HY5">
            <v>369</v>
          </cell>
          <cell r="IC5">
            <v>297</v>
          </cell>
          <cell r="IG5">
            <v>279</v>
          </cell>
          <cell r="IK5">
            <v>309</v>
          </cell>
          <cell r="IO5">
            <v>302</v>
          </cell>
          <cell r="IS5">
            <v>291</v>
          </cell>
          <cell r="IW5">
            <v>246</v>
          </cell>
        </row>
        <row r="6">
          <cell r="A6" t="str">
            <v/>
          </cell>
          <cell r="B6" t="str">
            <v>10/364440-8</v>
          </cell>
          <cell r="C6" t="str">
            <v>Sede 151</v>
          </cell>
          <cell r="D6" t="str">
            <v>2024-01-01</v>
          </cell>
          <cell r="F6" t="str">
            <v>energisa_ms</v>
          </cell>
          <cell r="G6" t="str">
            <v>Sede 151</v>
          </cell>
          <cell r="H6" t="str">
            <v>Igreja do Evangelho Quadrangular</v>
          </cell>
          <cell r="I6">
            <v>45748</v>
          </cell>
          <cell r="J6" t="str">
            <v>COMERCIAL - TEMPLOS RELIGIOSOS</v>
          </cell>
          <cell r="K6" t="str">
            <v>79006001</v>
          </cell>
          <cell r="L6" t="str">
            <v>MS</v>
          </cell>
          <cell r="M6" t="str">
            <v>CAMPO GRANDE</v>
          </cell>
          <cell r="N6" t="str">
            <v>GUANANDI</v>
          </cell>
          <cell r="O6" t="str">
            <v>AVENIDA BANDEIRANTES, 1437 - 04.103.21.157000</v>
          </cell>
          <cell r="P6">
            <v>45755</v>
          </cell>
          <cell r="Q6" t="str">
            <v>B - B3</v>
          </cell>
          <cell r="R6" t="str">
            <v>62955505015199</v>
          </cell>
          <cell r="U6">
            <v>45726</v>
          </cell>
          <cell r="V6">
            <v>45754</v>
          </cell>
          <cell r="W6">
            <v>45785</v>
          </cell>
          <cell r="X6">
            <v>45763</v>
          </cell>
          <cell r="Y6" t="str">
            <v/>
          </cell>
          <cell r="AA6" t="str">
            <v>009.878.914-002</v>
          </cell>
          <cell r="AB6" t="str">
            <v>trifasico</v>
          </cell>
          <cell r="AC6" t="str">
            <v>convencional</v>
          </cell>
          <cell r="AD6">
            <v>216.74</v>
          </cell>
          <cell r="AE6" t="str">
            <v>34191.09545 13132.500276 52186.260007 1 10530000021674</v>
          </cell>
          <cell r="AF6" t="str">
            <v>IGREJA DO EVANGELHO QUADRANGULAR</v>
          </cell>
          <cell r="AL6">
            <v>2722</v>
          </cell>
          <cell r="AM6">
            <v>1.1162637766348273</v>
          </cell>
          <cell r="AN6">
            <v>3038.47</v>
          </cell>
          <cell r="AX6">
            <v>2722</v>
          </cell>
          <cell r="AY6">
            <v>1.1162601028655401</v>
          </cell>
          <cell r="AZ6">
            <v>-3038.46</v>
          </cell>
          <cell r="DR6">
            <v>2722</v>
          </cell>
          <cell r="DS6">
            <v>1.1162601028655401</v>
          </cell>
          <cell r="DT6">
            <v>-3038.46</v>
          </cell>
          <cell r="ET6">
            <v>2722</v>
          </cell>
          <cell r="EX6">
            <v>6233</v>
          </cell>
          <cell r="FB6">
            <v>212.31</v>
          </cell>
          <cell r="FC6">
            <v>4.42</v>
          </cell>
          <cell r="FM6">
            <v>0.03</v>
          </cell>
          <cell r="FN6">
            <v>4.9954999999999999E-2</v>
          </cell>
          <cell r="FO6">
            <v>0</v>
          </cell>
          <cell r="FP6">
            <v>0.03</v>
          </cell>
          <cell r="FQ6">
            <v>1.0845E-2</v>
          </cell>
          <cell r="FR6">
            <v>0</v>
          </cell>
          <cell r="FS6">
            <v>0.01</v>
          </cell>
          <cell r="FT6">
            <v>0.17</v>
          </cell>
          <cell r="FU6">
            <v>0</v>
          </cell>
          <cell r="GD6">
            <v>2722</v>
          </cell>
          <cell r="GE6">
            <v>13415</v>
          </cell>
          <cell r="GF6">
            <v>10693</v>
          </cell>
          <cell r="GG6">
            <v>1</v>
          </cell>
          <cell r="HM6">
            <v>2706</v>
          </cell>
          <cell r="HQ6">
            <v>2675</v>
          </cell>
          <cell r="HU6">
            <v>2647</v>
          </cell>
          <cell r="HY6">
            <v>2665</v>
          </cell>
          <cell r="IC6">
            <v>2665.71</v>
          </cell>
          <cell r="IG6">
            <v>2665.71</v>
          </cell>
          <cell r="IK6">
            <v>2665.71</v>
          </cell>
          <cell r="IO6">
            <v>2665.71</v>
          </cell>
          <cell r="IS6">
            <v>2665.71</v>
          </cell>
          <cell r="IW6">
            <v>1558.36</v>
          </cell>
        </row>
        <row r="7">
          <cell r="A7" t="str">
            <v/>
          </cell>
          <cell r="B7" t="str">
            <v>10/113971-6</v>
          </cell>
          <cell r="C7" t="str">
            <v>156</v>
          </cell>
          <cell r="D7" t="str">
            <v>2024-01-01</v>
          </cell>
          <cell r="F7" t="str">
            <v>energisa_ms</v>
          </cell>
          <cell r="G7" t="str">
            <v>156</v>
          </cell>
          <cell r="H7" t="str">
            <v>Igreja do Evangelho Quadrangular</v>
          </cell>
          <cell r="I7">
            <v>45748</v>
          </cell>
          <cell r="J7" t="str">
            <v>COMERCIAL - TEMPLOS RELIGIOSOS</v>
          </cell>
          <cell r="K7" t="str">
            <v>79700000</v>
          </cell>
          <cell r="L7" t="str">
            <v>MS</v>
          </cell>
          <cell r="M7" t="str">
            <v>FATIMA DO SUL</v>
          </cell>
          <cell r="N7" t="str">
            <v>JARDIM SAO PAULO</v>
          </cell>
          <cell r="O7" t="str">
            <v>RUA CARLOS CHAGAS, 1092 - 05.026.05.081000</v>
          </cell>
          <cell r="P7">
            <v>45755</v>
          </cell>
          <cell r="Q7" t="str">
            <v>B - B3</v>
          </cell>
          <cell r="R7" t="str">
            <v>62955505015601</v>
          </cell>
          <cell r="U7">
            <v>45726</v>
          </cell>
          <cell r="V7">
            <v>45754</v>
          </cell>
          <cell r="W7">
            <v>45785</v>
          </cell>
          <cell r="X7">
            <v>45764</v>
          </cell>
          <cell r="Y7" t="str">
            <v/>
          </cell>
          <cell r="AA7" t="str">
            <v>009.877.375-002</v>
          </cell>
          <cell r="AB7" t="str">
            <v>trifasico</v>
          </cell>
          <cell r="AC7" t="str">
            <v>convencional</v>
          </cell>
          <cell r="AD7">
            <v>358.34</v>
          </cell>
          <cell r="AE7" t="str">
            <v>34191.09107 22673.762930 85972.140009 9 10540000035834</v>
          </cell>
          <cell r="AF7" t="str">
            <v>IGREJA DO EVANGELHO QUADRANGULAR</v>
          </cell>
          <cell r="AL7">
            <v>290</v>
          </cell>
          <cell r="AM7">
            <v>1.1162413793103447</v>
          </cell>
          <cell r="AN7">
            <v>323.70999999999998</v>
          </cell>
          <cell r="FA7">
            <v>27.75</v>
          </cell>
          <cell r="FC7">
            <v>6.8800000000000008</v>
          </cell>
          <cell r="FM7">
            <v>268.67</v>
          </cell>
          <cell r="FN7">
            <v>4.9954999999999999E-2</v>
          </cell>
          <cell r="FO7">
            <v>13.42</v>
          </cell>
          <cell r="FP7">
            <v>268.67</v>
          </cell>
          <cell r="FQ7">
            <v>1.0845E-2</v>
          </cell>
          <cell r="FR7">
            <v>2.91</v>
          </cell>
          <cell r="FS7">
            <v>323.70999999999998</v>
          </cell>
          <cell r="FT7">
            <v>0.17</v>
          </cell>
          <cell r="FU7">
            <v>55.03</v>
          </cell>
          <cell r="GD7">
            <v>290</v>
          </cell>
          <cell r="GE7">
            <v>35075</v>
          </cell>
          <cell r="GF7">
            <v>34785</v>
          </cell>
          <cell r="GG7">
            <v>1</v>
          </cell>
          <cell r="HM7">
            <v>394</v>
          </cell>
          <cell r="HQ7">
            <v>324</v>
          </cell>
          <cell r="HU7">
            <v>253</v>
          </cell>
          <cell r="HY7">
            <v>278</v>
          </cell>
          <cell r="IC7">
            <v>218</v>
          </cell>
          <cell r="IG7">
            <v>244</v>
          </cell>
          <cell r="IK7">
            <v>177</v>
          </cell>
          <cell r="IO7">
            <v>218</v>
          </cell>
          <cell r="IS7">
            <v>211</v>
          </cell>
          <cell r="IW7">
            <v>203</v>
          </cell>
        </row>
        <row r="8">
          <cell r="A8" t="str">
            <v/>
          </cell>
          <cell r="B8" t="str">
            <v>10/384823-1</v>
          </cell>
          <cell r="C8" t="str">
            <v>Santa Emilia 1593</v>
          </cell>
          <cell r="D8" t="str">
            <v>2024-01-01</v>
          </cell>
          <cell r="F8" t="str">
            <v>energisa_ms</v>
          </cell>
          <cell r="G8" t="str">
            <v>Carlos Camisao (3325)</v>
          </cell>
          <cell r="H8" t="str">
            <v>Igreja do Evangelho Quadrangular</v>
          </cell>
          <cell r="I8">
            <v>45748</v>
          </cell>
          <cell r="J8" t="str">
            <v>COMERCIAL - TEMPLOS RELIGIOSOS</v>
          </cell>
          <cell r="K8" t="str">
            <v>79093290</v>
          </cell>
          <cell r="L8" t="str">
            <v>MS</v>
          </cell>
          <cell r="M8" t="str">
            <v>CAMPO GRANDE</v>
          </cell>
          <cell r="N8" t="str">
            <v>JARDIM SAO CONRADO</v>
          </cell>
          <cell r="O8" t="str">
            <v>AVENIDA GEN ALBERTO CARLOS MENDONCA LIMA, 2385 - 09.103.27.350000</v>
          </cell>
          <cell r="P8">
            <v>45757</v>
          </cell>
          <cell r="Q8" t="str">
            <v>B - B3</v>
          </cell>
          <cell r="R8" t="str">
            <v>62955505000167</v>
          </cell>
          <cell r="U8">
            <v>45727</v>
          </cell>
          <cell r="V8">
            <v>45756</v>
          </cell>
          <cell r="W8">
            <v>45786</v>
          </cell>
          <cell r="X8">
            <v>45769</v>
          </cell>
          <cell r="Y8" t="str">
            <v/>
          </cell>
          <cell r="AA8" t="str">
            <v>009.903.512-002</v>
          </cell>
          <cell r="AB8" t="str">
            <v>monofasico</v>
          </cell>
          <cell r="AC8" t="str">
            <v>convencional</v>
          </cell>
          <cell r="AD8">
            <v>33.4</v>
          </cell>
          <cell r="AE8" t="str">
            <v>34191.09545 17282.260276 52186.260007 9 10590000003340</v>
          </cell>
          <cell r="AF8" t="str">
            <v>IGREJA DO EVANGELHO QUADRANGULAR</v>
          </cell>
          <cell r="AL8">
            <v>131</v>
          </cell>
          <cell r="AM8">
            <v>1.1168702290076336</v>
          </cell>
          <cell r="AN8">
            <v>146.31</v>
          </cell>
          <cell r="AX8">
            <v>102</v>
          </cell>
          <cell r="AY8">
            <v>1.1167647058823529</v>
          </cell>
          <cell r="AZ8">
            <v>-113.91</v>
          </cell>
          <cell r="DR8">
            <v>102</v>
          </cell>
          <cell r="DS8">
            <v>1.1167647058823529</v>
          </cell>
          <cell r="DT8">
            <v>-113.91</v>
          </cell>
          <cell r="ET8">
            <v>102</v>
          </cell>
          <cell r="EX8">
            <v>548</v>
          </cell>
          <cell r="FB8">
            <v>1</v>
          </cell>
          <cell r="FM8">
            <v>26.91</v>
          </cell>
          <cell r="FN8">
            <v>4.9954999999999999E-2</v>
          </cell>
          <cell r="FO8">
            <v>1.35</v>
          </cell>
          <cell r="FP8">
            <v>26.91</v>
          </cell>
          <cell r="FQ8">
            <v>1.0845E-2</v>
          </cell>
          <cell r="FR8">
            <v>0.3</v>
          </cell>
          <cell r="FS8">
            <v>32.4</v>
          </cell>
          <cell r="FT8">
            <v>0.17</v>
          </cell>
          <cell r="FU8">
            <v>5.5</v>
          </cell>
          <cell r="GD8">
            <v>131</v>
          </cell>
          <cell r="GE8">
            <v>46580</v>
          </cell>
          <cell r="GF8">
            <v>46449</v>
          </cell>
          <cell r="GG8">
            <v>1</v>
          </cell>
          <cell r="HM8">
            <v>171</v>
          </cell>
          <cell r="HQ8">
            <v>143</v>
          </cell>
          <cell r="HU8">
            <v>85</v>
          </cell>
          <cell r="HY8">
            <v>80</v>
          </cell>
          <cell r="IC8">
            <v>63</v>
          </cell>
          <cell r="IG8">
            <v>80</v>
          </cell>
          <cell r="IK8">
            <v>109</v>
          </cell>
          <cell r="IO8">
            <v>158</v>
          </cell>
          <cell r="IS8">
            <v>152</v>
          </cell>
          <cell r="IW8">
            <v>166</v>
          </cell>
        </row>
        <row r="9">
          <cell r="A9" t="str">
            <v/>
          </cell>
          <cell r="B9" t="str">
            <v>10/1184751-4</v>
          </cell>
          <cell r="C9" t="str">
            <v>1490</v>
          </cell>
          <cell r="D9" t="str">
            <v>2024-01-01</v>
          </cell>
          <cell r="F9" t="str">
            <v>energisa_ms</v>
          </cell>
          <cell r="G9" t="str">
            <v>1490</v>
          </cell>
          <cell r="H9" t="str">
            <v>Igreja do Evangelho Quadrangular</v>
          </cell>
          <cell r="I9">
            <v>45748</v>
          </cell>
          <cell r="J9" t="str">
            <v>COMERCIAL - TEMPLOS RELIGIOSOS</v>
          </cell>
          <cell r="K9" t="str">
            <v>79833090</v>
          </cell>
          <cell r="L9" t="str">
            <v>MS</v>
          </cell>
          <cell r="M9" t="str">
            <v>DOURADOS</v>
          </cell>
          <cell r="N9" t="str">
            <v>JARDIM GUANABARA</v>
          </cell>
          <cell r="O9" t="str">
            <v>RUA DOM PEDRO I, 1135 - 07.010.45.317001</v>
          </cell>
          <cell r="P9">
            <v>45757</v>
          </cell>
          <cell r="Q9" t="str">
            <v>B - B3</v>
          </cell>
          <cell r="R9" t="str">
            <v>62955505149047</v>
          </cell>
          <cell r="U9">
            <v>45727</v>
          </cell>
          <cell r="V9">
            <v>45756</v>
          </cell>
          <cell r="W9">
            <v>45786</v>
          </cell>
          <cell r="X9">
            <v>45770</v>
          </cell>
          <cell r="Y9" t="str">
            <v/>
          </cell>
          <cell r="AA9" t="str">
            <v>009.904.860-002</v>
          </cell>
          <cell r="AB9" t="str">
            <v>trifasico</v>
          </cell>
          <cell r="AC9" t="str">
            <v>convencional</v>
          </cell>
          <cell r="AD9">
            <v>175.66</v>
          </cell>
          <cell r="AE9" t="str">
            <v>34191.09107 30831.292930 85972.140009 9 10600000017566</v>
          </cell>
          <cell r="AF9" t="str">
            <v>IGREJA DO EVANGELHO QUADRANGULAR</v>
          </cell>
          <cell r="AL9">
            <v>317</v>
          </cell>
          <cell r="AM9">
            <v>1.1168769716088329</v>
          </cell>
          <cell r="AN9">
            <v>354.05</v>
          </cell>
          <cell r="AX9">
            <v>238</v>
          </cell>
          <cell r="AY9">
            <v>1.1168067226890757</v>
          </cell>
          <cell r="AZ9">
            <v>-265.8</v>
          </cell>
          <cell r="DR9">
            <v>238</v>
          </cell>
          <cell r="DS9">
            <v>1.1168067226890757</v>
          </cell>
          <cell r="DT9">
            <v>-265.8</v>
          </cell>
          <cell r="ET9">
            <v>238</v>
          </cell>
          <cell r="EX9">
            <v>284</v>
          </cell>
          <cell r="FA9">
            <v>66.3</v>
          </cell>
          <cell r="FB9">
            <v>18.46</v>
          </cell>
          <cell r="FC9">
            <v>2.6500000000000004</v>
          </cell>
          <cell r="FM9">
            <v>73.260000000000005</v>
          </cell>
          <cell r="FN9">
            <v>4.9954999999999999E-2</v>
          </cell>
          <cell r="FO9">
            <v>3.66</v>
          </cell>
          <cell r="FP9">
            <v>73.260000000000005</v>
          </cell>
          <cell r="FQ9">
            <v>1.0845E-2</v>
          </cell>
          <cell r="FR9">
            <v>0.81</v>
          </cell>
          <cell r="FS9">
            <v>88.25</v>
          </cell>
          <cell r="FT9">
            <v>0.17</v>
          </cell>
          <cell r="FU9">
            <v>15</v>
          </cell>
          <cell r="GD9">
            <v>317</v>
          </cell>
          <cell r="GE9">
            <v>75235</v>
          </cell>
          <cell r="GF9">
            <v>74918</v>
          </cell>
          <cell r="GG9">
            <v>1</v>
          </cell>
          <cell r="HM9">
            <v>371</v>
          </cell>
          <cell r="HQ9">
            <v>322</v>
          </cell>
          <cell r="HU9">
            <v>168</v>
          </cell>
          <cell r="HY9">
            <v>196</v>
          </cell>
          <cell r="IC9">
            <v>171</v>
          </cell>
          <cell r="IG9">
            <v>162</v>
          </cell>
          <cell r="IK9">
            <v>143</v>
          </cell>
          <cell r="IO9">
            <v>162</v>
          </cell>
          <cell r="IS9">
            <v>188</v>
          </cell>
          <cell r="IW9">
            <v>175</v>
          </cell>
        </row>
        <row r="10">
          <cell r="A10" t="str">
            <v/>
          </cell>
          <cell r="B10" t="str">
            <v>10/532081-7</v>
          </cell>
          <cell r="C10" t="str">
            <v>2ª IEQ de Amambai 1935</v>
          </cell>
          <cell r="D10" t="str">
            <v>2024-01-01</v>
          </cell>
          <cell r="F10" t="str">
            <v>energisa_ms</v>
          </cell>
          <cell r="G10" t="str">
            <v>2ª IEQ de Amambai 1935</v>
          </cell>
          <cell r="H10" t="str">
            <v>Igreja do Evangelho Quadrangular</v>
          </cell>
          <cell r="I10">
            <v>45748</v>
          </cell>
          <cell r="J10" t="str">
            <v>COMERCIAL - TEMPLOS RELIGIOSOS</v>
          </cell>
          <cell r="K10" t="str">
            <v>79990000</v>
          </cell>
          <cell r="L10" t="str">
            <v>MS</v>
          </cell>
          <cell r="M10" t="str">
            <v>AMAMBAI</v>
          </cell>
          <cell r="N10" t="str">
            <v>CENTRO</v>
          </cell>
          <cell r="O10" t="str">
            <v>RUA CASSIANO MARCELO, 923 - 06.036.17.123000</v>
          </cell>
          <cell r="P10">
            <v>45757</v>
          </cell>
          <cell r="Q10" t="str">
            <v>B - B3</v>
          </cell>
          <cell r="R10" t="str">
            <v>62955505193534</v>
          </cell>
          <cell r="U10">
            <v>45727</v>
          </cell>
          <cell r="V10">
            <v>45756</v>
          </cell>
          <cell r="W10">
            <v>45786</v>
          </cell>
          <cell r="X10">
            <v>45783</v>
          </cell>
          <cell r="Y10" t="str">
            <v/>
          </cell>
          <cell r="AA10" t="str">
            <v>009.904.006-002</v>
          </cell>
          <cell r="AB10" t="str">
            <v>trifasico</v>
          </cell>
          <cell r="AC10" t="str">
            <v>convencional</v>
          </cell>
          <cell r="AD10">
            <v>277.20999999999998</v>
          </cell>
          <cell r="AE10" t="str">
            <v>34191.09107 30746.802930 85972.140009 6 10730000027721</v>
          </cell>
          <cell r="AF10" t="str">
            <v>IGREJA DO EVANGELHO QUADRANGULAR</v>
          </cell>
          <cell r="AL10">
            <v>342</v>
          </cell>
          <cell r="AM10">
            <v>1.1168713450292398</v>
          </cell>
          <cell r="AN10">
            <v>381.97</v>
          </cell>
          <cell r="AX10">
            <v>160</v>
          </cell>
          <cell r="AY10">
            <v>1.1168125</v>
          </cell>
          <cell r="AZ10">
            <v>-178.69</v>
          </cell>
          <cell r="DR10">
            <v>160</v>
          </cell>
          <cell r="DS10">
            <v>1.1168125</v>
          </cell>
          <cell r="DT10">
            <v>-178.69</v>
          </cell>
          <cell r="ET10">
            <v>160</v>
          </cell>
          <cell r="EX10">
            <v>0</v>
          </cell>
          <cell r="FA10">
            <v>71.790000000000006</v>
          </cell>
          <cell r="FB10">
            <v>2.14</v>
          </cell>
          <cell r="FM10">
            <v>168.75</v>
          </cell>
          <cell r="FN10">
            <v>4.9954999999999999E-2</v>
          </cell>
          <cell r="FO10">
            <v>8.43</v>
          </cell>
          <cell r="FP10">
            <v>168.75</v>
          </cell>
          <cell r="FQ10">
            <v>1.0845E-2</v>
          </cell>
          <cell r="FR10">
            <v>1.83</v>
          </cell>
          <cell r="FS10">
            <v>203.28</v>
          </cell>
          <cell r="FT10">
            <v>0.17</v>
          </cell>
          <cell r="FU10">
            <v>34.549999999999997</v>
          </cell>
          <cell r="GD10">
            <v>342</v>
          </cell>
          <cell r="GE10">
            <v>17796</v>
          </cell>
          <cell r="GF10">
            <v>17454</v>
          </cell>
          <cell r="GG10">
            <v>1</v>
          </cell>
          <cell r="HM10">
            <v>531</v>
          </cell>
          <cell r="HQ10">
            <v>556</v>
          </cell>
          <cell r="HU10">
            <v>379</v>
          </cell>
          <cell r="HY10">
            <v>437</v>
          </cell>
          <cell r="IC10">
            <v>296</v>
          </cell>
          <cell r="IG10">
            <v>300</v>
          </cell>
          <cell r="IK10">
            <v>248</v>
          </cell>
          <cell r="IO10">
            <v>252</v>
          </cell>
          <cell r="IS10">
            <v>253</v>
          </cell>
          <cell r="IW10">
            <v>248</v>
          </cell>
        </row>
        <row r="11">
          <cell r="A11" t="str">
            <v/>
          </cell>
          <cell r="B11" t="str">
            <v>10/76927-3</v>
          </cell>
          <cell r="C11" t="str">
            <v>2ª IEQ Anastácio</v>
          </cell>
          <cell r="D11" t="str">
            <v>2024-01-01</v>
          </cell>
          <cell r="F11" t="str">
            <v>energisa_ms</v>
          </cell>
          <cell r="G11" t="str">
            <v>2ª IEQ Anastácio</v>
          </cell>
          <cell r="H11" t="str">
            <v>Igreja do Evangelho Quadrangular</v>
          </cell>
          <cell r="I11">
            <v>45748</v>
          </cell>
          <cell r="J11" t="str">
            <v>COMERCIAL - TEMPLOS RELIGIOSOS</v>
          </cell>
          <cell r="K11" t="str">
            <v>79210000</v>
          </cell>
          <cell r="L11" t="str">
            <v>MS</v>
          </cell>
          <cell r="M11" t="str">
            <v>ANASTACIO</v>
          </cell>
          <cell r="N11" t="str">
            <v>CENTRO</v>
          </cell>
          <cell r="O11" t="str">
            <v>RUA EXPEDICIONARIO CANDIDO GOMES, 819 - 14.011.05.643000</v>
          </cell>
          <cell r="P11">
            <v>45757</v>
          </cell>
          <cell r="Q11" t="str">
            <v>B - B3</v>
          </cell>
          <cell r="R11" t="str">
            <v>62955505058599</v>
          </cell>
          <cell r="U11">
            <v>45727</v>
          </cell>
          <cell r="V11">
            <v>45756</v>
          </cell>
          <cell r="W11">
            <v>45786</v>
          </cell>
          <cell r="X11">
            <v>45770</v>
          </cell>
          <cell r="Y11" t="str">
            <v/>
          </cell>
          <cell r="AA11" t="str">
            <v>009.902.111-002</v>
          </cell>
          <cell r="AB11" t="str">
            <v>trifasico</v>
          </cell>
          <cell r="AC11" t="str">
            <v>convencional</v>
          </cell>
          <cell r="AD11">
            <v>308.72000000000003</v>
          </cell>
          <cell r="AE11" t="str">
            <v>34191.09107 30564.632930 85972.140009 5 10600000030872</v>
          </cell>
          <cell r="AF11" t="str">
            <v>IGREJA DO EVANGELHO QUADRANGULAR</v>
          </cell>
          <cell r="AL11">
            <v>405</v>
          </cell>
          <cell r="AM11">
            <v>1.1168888888888888</v>
          </cell>
          <cell r="AN11">
            <v>452.34</v>
          </cell>
          <cell r="AX11">
            <v>240</v>
          </cell>
          <cell r="AY11">
            <v>1.1168750000000001</v>
          </cell>
          <cell r="AZ11">
            <v>-268.05</v>
          </cell>
          <cell r="DR11">
            <v>240</v>
          </cell>
          <cell r="DS11">
            <v>1.1168750000000001</v>
          </cell>
          <cell r="DT11">
            <v>-268.05</v>
          </cell>
          <cell r="ET11">
            <v>240</v>
          </cell>
          <cell r="EX11">
            <v>0</v>
          </cell>
          <cell r="FA11">
            <v>70.92</v>
          </cell>
          <cell r="FB11">
            <v>34.35</v>
          </cell>
          <cell r="FC11">
            <v>19.16</v>
          </cell>
          <cell r="FM11">
            <v>152.96</v>
          </cell>
          <cell r="FN11">
            <v>4.9954999999999999E-2</v>
          </cell>
          <cell r="FO11">
            <v>7.64</v>
          </cell>
          <cell r="FP11">
            <v>152.96</v>
          </cell>
          <cell r="FQ11">
            <v>1.0845E-2</v>
          </cell>
          <cell r="FR11">
            <v>1.66</v>
          </cell>
          <cell r="FS11">
            <v>184.29</v>
          </cell>
          <cell r="FT11">
            <v>0.17</v>
          </cell>
          <cell r="FU11">
            <v>31.32</v>
          </cell>
          <cell r="GD11">
            <v>405</v>
          </cell>
          <cell r="GE11">
            <v>74941</v>
          </cell>
          <cell r="GF11">
            <v>74536</v>
          </cell>
          <cell r="GG11">
            <v>1</v>
          </cell>
          <cell r="HM11">
            <v>641</v>
          </cell>
          <cell r="HQ11">
            <v>494</v>
          </cell>
          <cell r="HU11">
            <v>355</v>
          </cell>
          <cell r="HY11">
            <v>416</v>
          </cell>
          <cell r="IC11">
            <v>380</v>
          </cell>
          <cell r="IG11">
            <v>362</v>
          </cell>
          <cell r="IK11">
            <v>256</v>
          </cell>
          <cell r="IO11">
            <v>234</v>
          </cell>
          <cell r="IS11">
            <v>304</v>
          </cell>
          <cell r="IW11">
            <v>252</v>
          </cell>
        </row>
        <row r="12">
          <cell r="A12" t="str">
            <v/>
          </cell>
          <cell r="B12" t="str">
            <v>10/239312-2</v>
          </cell>
          <cell r="C12" t="str">
            <v>Nioaque (165)</v>
          </cell>
          <cell r="D12" t="str">
            <v>2024-01-01</v>
          </cell>
          <cell r="F12" t="str">
            <v>energisa_ms</v>
          </cell>
          <cell r="G12" t="str">
            <v>Nioaque (165)</v>
          </cell>
          <cell r="H12" t="str">
            <v>Igreja do Evangelho Quadrangular</v>
          </cell>
          <cell r="I12">
            <v>45748</v>
          </cell>
          <cell r="J12" t="str">
            <v>COMERCIAL - TEMPLOS RELIGIOSOS</v>
          </cell>
          <cell r="K12" t="str">
            <v>79220000</v>
          </cell>
          <cell r="L12" t="str">
            <v>MS</v>
          </cell>
          <cell r="M12" t="str">
            <v>NIOAQUE</v>
          </cell>
          <cell r="N12" t="str">
            <v>CENTRO</v>
          </cell>
          <cell r="O12" t="str">
            <v>RUA TREZE DE MAIO, 692 - 09.062.01.072000</v>
          </cell>
          <cell r="P12">
            <v>45758</v>
          </cell>
          <cell r="Q12" t="str">
            <v>B - B3</v>
          </cell>
          <cell r="R12" t="str">
            <v>62955505016594</v>
          </cell>
          <cell r="U12">
            <v>45728</v>
          </cell>
          <cell r="V12">
            <v>45757</v>
          </cell>
          <cell r="W12">
            <v>45789</v>
          </cell>
          <cell r="X12">
            <v>45789</v>
          </cell>
          <cell r="Y12" t="str">
            <v/>
          </cell>
          <cell r="AA12" t="str">
            <v>009.927.206-002</v>
          </cell>
          <cell r="AB12" t="str">
            <v>bifasico</v>
          </cell>
          <cell r="AC12" t="str">
            <v>convencional</v>
          </cell>
          <cell r="AD12">
            <v>122.03</v>
          </cell>
          <cell r="AE12" t="str">
            <v>34191.09107 36628.232930 85972.140009 1 10790000012203</v>
          </cell>
          <cell r="AF12" t="str">
            <v>IGREJA DO EVANGELHO QUADRANGULAR</v>
          </cell>
          <cell r="AL12">
            <v>272</v>
          </cell>
          <cell r="AM12">
            <v>1.1172058823529412</v>
          </cell>
          <cell r="AN12">
            <v>303.88</v>
          </cell>
          <cell r="AX12">
            <v>240</v>
          </cell>
          <cell r="AY12">
            <v>1.1172083333333334</v>
          </cell>
          <cell r="AZ12">
            <v>-268.13</v>
          </cell>
          <cell r="DR12">
            <v>240</v>
          </cell>
          <cell r="DS12">
            <v>1.1172083333333334</v>
          </cell>
          <cell r="DT12">
            <v>-268.13</v>
          </cell>
          <cell r="ET12">
            <v>240</v>
          </cell>
          <cell r="EX12">
            <v>0</v>
          </cell>
          <cell r="FA12">
            <v>51.8</v>
          </cell>
          <cell r="FB12">
            <v>34.479999999999997</v>
          </cell>
          <cell r="FM12">
            <v>29.67</v>
          </cell>
          <cell r="FN12">
            <v>4.9954999999999999E-2</v>
          </cell>
          <cell r="FO12">
            <v>1.48</v>
          </cell>
          <cell r="FP12">
            <v>29.67</v>
          </cell>
          <cell r="FQ12">
            <v>1.0845E-2</v>
          </cell>
          <cell r="FR12">
            <v>0.32</v>
          </cell>
          <cell r="FS12">
            <v>35.75</v>
          </cell>
          <cell r="FT12">
            <v>0.17</v>
          </cell>
          <cell r="FU12">
            <v>6.07</v>
          </cell>
          <cell r="GD12">
            <v>272</v>
          </cell>
          <cell r="GE12">
            <v>28401</v>
          </cell>
          <cell r="GF12">
            <v>28129</v>
          </cell>
          <cell r="GG12">
            <v>1</v>
          </cell>
          <cell r="HM12">
            <v>320</v>
          </cell>
          <cell r="HQ12">
            <v>305</v>
          </cell>
          <cell r="HU12">
            <v>290</v>
          </cell>
          <cell r="HY12">
            <v>370</v>
          </cell>
          <cell r="IC12">
            <v>272</v>
          </cell>
          <cell r="IG12">
            <v>313</v>
          </cell>
          <cell r="IK12">
            <v>197</v>
          </cell>
          <cell r="IO12">
            <v>224</v>
          </cell>
          <cell r="IS12">
            <v>211</v>
          </cell>
          <cell r="IW12">
            <v>259</v>
          </cell>
        </row>
        <row r="13">
          <cell r="A13" t="str">
            <v/>
          </cell>
          <cell r="B13" t="str">
            <v>10/341308-5</v>
          </cell>
          <cell r="C13" t="str">
            <v>Albuquerque 2391</v>
          </cell>
          <cell r="D13" t="str">
            <v>2024-01-01</v>
          </cell>
          <cell r="F13" t="str">
            <v>energisa_ms</v>
          </cell>
          <cell r="G13" t="str">
            <v>Albuquerque 2391</v>
          </cell>
          <cell r="H13" t="str">
            <v>Igreja do Evangelho Quadrangular</v>
          </cell>
          <cell r="I13">
            <v>45748</v>
          </cell>
          <cell r="J13" t="str">
            <v>COMERCIAL - TEMPLOS RELIGIOSOS</v>
          </cell>
          <cell r="K13" t="str">
            <v>79060170</v>
          </cell>
          <cell r="L13" t="str">
            <v>MS</v>
          </cell>
          <cell r="M13" t="str">
            <v>CAMPO GRANDE</v>
          </cell>
          <cell r="N13" t="str">
            <v>VILA ALBUQUERQUE</v>
          </cell>
          <cell r="O13" t="str">
            <v>RUA MAGNUS FONTAINE, 121 - 09.102.08.220000</v>
          </cell>
          <cell r="P13">
            <v>45761</v>
          </cell>
          <cell r="Q13" t="str">
            <v>B - B3</v>
          </cell>
          <cell r="R13" t="str">
            <v>6X.XXX.XXX/XXX1-19</v>
          </cell>
          <cell r="U13">
            <v>45729</v>
          </cell>
          <cell r="V13">
            <v>45758</v>
          </cell>
          <cell r="W13">
            <v>45790</v>
          </cell>
          <cell r="X13">
            <v>45792</v>
          </cell>
          <cell r="Y13" t="str">
            <v/>
          </cell>
          <cell r="AA13" t="str">
            <v>009.945.599-002</v>
          </cell>
          <cell r="AB13" t="str">
            <v>bifasico</v>
          </cell>
          <cell r="AC13" t="str">
            <v>convencional</v>
          </cell>
          <cell r="AD13">
            <v>142.99</v>
          </cell>
          <cell r="AF13" t="str">
            <v>IGREJA DO EVANGELHO QUADRANGULAR</v>
          </cell>
          <cell r="AL13">
            <v>325</v>
          </cell>
          <cell r="AM13">
            <v>1.1176000000000001</v>
          </cell>
          <cell r="AN13">
            <v>363.22</v>
          </cell>
          <cell r="AX13">
            <v>240</v>
          </cell>
          <cell r="AY13">
            <v>1.1175833333333334</v>
          </cell>
          <cell r="AZ13">
            <v>-268.22000000000003</v>
          </cell>
          <cell r="DR13">
            <v>240</v>
          </cell>
          <cell r="DS13">
            <v>1.1175833333333334</v>
          </cell>
          <cell r="DT13">
            <v>-268.22000000000003</v>
          </cell>
          <cell r="ET13">
            <v>240</v>
          </cell>
          <cell r="EX13">
            <v>0</v>
          </cell>
          <cell r="FB13">
            <v>34.6</v>
          </cell>
          <cell r="FC13">
            <v>13.39</v>
          </cell>
          <cell r="FM13">
            <v>78.84</v>
          </cell>
          <cell r="FN13">
            <v>4.9954999999999999E-2</v>
          </cell>
          <cell r="FO13">
            <v>3.94</v>
          </cell>
          <cell r="FP13">
            <v>78.84</v>
          </cell>
          <cell r="FQ13">
            <v>1.0845E-2</v>
          </cell>
          <cell r="FR13">
            <v>0.86</v>
          </cell>
          <cell r="FS13">
            <v>95</v>
          </cell>
          <cell r="FT13">
            <v>0.17</v>
          </cell>
          <cell r="FU13">
            <v>16.149999999999999</v>
          </cell>
          <cell r="GD13">
            <v>325</v>
          </cell>
          <cell r="GE13">
            <v>93406</v>
          </cell>
          <cell r="GF13">
            <v>93081</v>
          </cell>
          <cell r="GG13">
            <v>1</v>
          </cell>
          <cell r="HM13">
            <v>359</v>
          </cell>
          <cell r="HQ13">
            <v>374</v>
          </cell>
          <cell r="HU13">
            <v>278</v>
          </cell>
          <cell r="HY13">
            <v>311</v>
          </cell>
          <cell r="IC13">
            <v>294</v>
          </cell>
          <cell r="IG13">
            <v>335</v>
          </cell>
          <cell r="IK13">
            <v>248</v>
          </cell>
          <cell r="IO13">
            <v>313</v>
          </cell>
          <cell r="IS13">
            <v>343</v>
          </cell>
          <cell r="IW13">
            <v>308</v>
          </cell>
        </row>
        <row r="14">
          <cell r="A14" t="str">
            <v/>
          </cell>
          <cell r="B14" t="str">
            <v>10/260761-2</v>
          </cell>
          <cell r="C14" t="str">
            <v>8979</v>
          </cell>
          <cell r="D14" t="str">
            <v>2024-01-01</v>
          </cell>
          <cell r="F14" t="str">
            <v>energisa_ms</v>
          </cell>
          <cell r="G14" t="str">
            <v>Carlos Camisao (3325)</v>
          </cell>
          <cell r="H14" t="str">
            <v>Igreja do Evangelho Quadrangular</v>
          </cell>
          <cell r="I14">
            <v>45748</v>
          </cell>
          <cell r="J14" t="str">
            <v>COMERCIAL - TEMPLOS RELIGIOSOS</v>
          </cell>
          <cell r="K14" t="str">
            <v>79490000</v>
          </cell>
          <cell r="L14" t="str">
            <v>MS</v>
          </cell>
          <cell r="M14" t="str">
            <v>SAO GABRIEL DO OESTE</v>
          </cell>
          <cell r="N14" t="str">
            <v>CENTRO</v>
          </cell>
          <cell r="O14" t="str">
            <v>RUA PARANA, 2051 - 14.075.07.245000</v>
          </cell>
          <cell r="P14">
            <v>45762</v>
          </cell>
          <cell r="Q14" t="str">
            <v>B - B3</v>
          </cell>
          <cell r="R14" t="str">
            <v>62955505000167</v>
          </cell>
          <cell r="U14">
            <v>45730</v>
          </cell>
          <cell r="V14">
            <v>45759</v>
          </cell>
          <cell r="W14">
            <v>45791</v>
          </cell>
          <cell r="X14">
            <v>45775</v>
          </cell>
          <cell r="Y14" t="str">
            <v/>
          </cell>
          <cell r="AA14" t="str">
            <v>009.973.093-002</v>
          </cell>
          <cell r="AB14" t="str">
            <v>trifasico</v>
          </cell>
          <cell r="AC14" t="str">
            <v>convencional</v>
          </cell>
          <cell r="AD14">
            <v>265.77999999999997</v>
          </cell>
          <cell r="AF14" t="str">
            <v>IGREJA DO EVANGELHO QUADRANGULAR</v>
          </cell>
          <cell r="AL14">
            <v>432</v>
          </cell>
          <cell r="AM14">
            <v>1.1179166666666667</v>
          </cell>
          <cell r="AN14">
            <v>482.94</v>
          </cell>
          <cell r="AX14">
            <v>373</v>
          </cell>
          <cell r="AY14">
            <v>1.1179088471849867</v>
          </cell>
          <cell r="AZ14">
            <v>-416.98</v>
          </cell>
          <cell r="DR14">
            <v>373</v>
          </cell>
          <cell r="DS14">
            <v>1.1179088471849867</v>
          </cell>
          <cell r="DT14">
            <v>-416.98</v>
          </cell>
          <cell r="ET14">
            <v>373</v>
          </cell>
          <cell r="EX14">
            <v>0</v>
          </cell>
          <cell r="FA14">
            <v>92.51</v>
          </cell>
          <cell r="FB14">
            <v>100.13</v>
          </cell>
          <cell r="FC14">
            <v>7.1800000000000006</v>
          </cell>
          <cell r="FM14">
            <v>54.76</v>
          </cell>
          <cell r="FN14">
            <v>4.9954999999999999E-2</v>
          </cell>
          <cell r="FO14">
            <v>2.74</v>
          </cell>
          <cell r="FP14">
            <v>54.76</v>
          </cell>
          <cell r="FQ14">
            <v>1.0845E-2</v>
          </cell>
          <cell r="FR14">
            <v>0.6</v>
          </cell>
          <cell r="FS14">
            <v>65.959999999999994</v>
          </cell>
          <cell r="FT14">
            <v>0.17</v>
          </cell>
          <cell r="FU14">
            <v>11.21</v>
          </cell>
          <cell r="GD14">
            <v>432</v>
          </cell>
          <cell r="GE14">
            <v>14268</v>
          </cell>
          <cell r="GF14">
            <v>13836</v>
          </cell>
          <cell r="GG14">
            <v>1</v>
          </cell>
          <cell r="HM14">
            <v>520</v>
          </cell>
          <cell r="HQ14">
            <v>437</v>
          </cell>
          <cell r="HU14">
            <v>314</v>
          </cell>
          <cell r="HY14">
            <v>513</v>
          </cell>
          <cell r="IC14">
            <v>381</v>
          </cell>
          <cell r="IG14">
            <v>513</v>
          </cell>
          <cell r="IK14">
            <v>375</v>
          </cell>
          <cell r="IO14">
            <v>223</v>
          </cell>
          <cell r="IS14">
            <v>270</v>
          </cell>
          <cell r="IW14">
            <v>312</v>
          </cell>
        </row>
        <row r="15">
          <cell r="A15" t="str">
            <v/>
          </cell>
          <cell r="B15" t="str">
            <v>10/1939035-0</v>
          </cell>
          <cell r="C15" t="str">
            <v>Bataguassu 4194 - Adicionada</v>
          </cell>
          <cell r="D15" t="str">
            <v>2024-01-01</v>
          </cell>
          <cell r="F15" t="str">
            <v>energisa_ms</v>
          </cell>
          <cell r="G15" t="str">
            <v>4465</v>
          </cell>
          <cell r="H15" t="str">
            <v>Igreja do Evangelho Quadrangular</v>
          </cell>
          <cell r="I15">
            <v>45748</v>
          </cell>
          <cell r="J15" t="str">
            <v>RESIDENCIAL - RESIDENCIAL</v>
          </cell>
          <cell r="K15" t="str">
            <v>79780000</v>
          </cell>
          <cell r="L15" t="str">
            <v>MS</v>
          </cell>
          <cell r="M15" t="str">
            <v>BATAGUASSU</v>
          </cell>
          <cell r="N15" t="str">
            <v>RESIDENCIAL MODELO II</v>
          </cell>
          <cell r="O15" t="str">
            <v>RUA NOVE, 121 - QD E LT 1B</v>
          </cell>
          <cell r="P15">
            <v>45762</v>
          </cell>
          <cell r="Q15" t="str">
            <v>B - B1</v>
          </cell>
          <cell r="R15" t="str">
            <v>62955505419443</v>
          </cell>
          <cell r="U15">
            <v>45733</v>
          </cell>
          <cell r="V15">
            <v>45761</v>
          </cell>
          <cell r="W15">
            <v>45792</v>
          </cell>
          <cell r="X15">
            <v>45793</v>
          </cell>
          <cell r="Y15" t="str">
            <v/>
          </cell>
          <cell r="AA15" t="str">
            <v>009.996.341-002</v>
          </cell>
          <cell r="AB15" t="str">
            <v>bifasico</v>
          </cell>
          <cell r="AC15" t="str">
            <v>convencional</v>
          </cell>
          <cell r="AD15">
            <v>87.55</v>
          </cell>
          <cell r="AE15" t="str">
            <v>34191.09107 44138.462930 85972.140009 1 10830000008755</v>
          </cell>
          <cell r="AF15" t="str">
            <v>IGREJA DO EVANGELHO QUADRANGULAR</v>
          </cell>
          <cell r="AL15">
            <v>363</v>
          </cell>
          <cell r="AM15">
            <v>1.1187052341597796</v>
          </cell>
          <cell r="AN15">
            <v>406.09</v>
          </cell>
          <cell r="AX15">
            <v>343</v>
          </cell>
          <cell r="AY15">
            <v>1.1186880466472304</v>
          </cell>
          <cell r="AZ15">
            <v>-383.71000000000004</v>
          </cell>
          <cell r="DR15">
            <v>343</v>
          </cell>
          <cell r="DS15">
            <v>1.1186880466472304</v>
          </cell>
          <cell r="DT15">
            <v>-383.71000000000004</v>
          </cell>
          <cell r="ET15">
            <v>343</v>
          </cell>
          <cell r="EX15">
            <v>432</v>
          </cell>
          <cell r="FA15">
            <v>37</v>
          </cell>
          <cell r="FB15">
            <v>26.68</v>
          </cell>
          <cell r="FC15">
            <v>1.49</v>
          </cell>
          <cell r="FM15">
            <v>18.57</v>
          </cell>
          <cell r="FN15">
            <v>4.9954999999999999E-2</v>
          </cell>
          <cell r="FO15">
            <v>0.93</v>
          </cell>
          <cell r="FP15">
            <v>18.57</v>
          </cell>
          <cell r="FQ15">
            <v>1.0845E-2</v>
          </cell>
          <cell r="FR15">
            <v>0.2</v>
          </cell>
          <cell r="FS15">
            <v>22.38</v>
          </cell>
          <cell r="FT15">
            <v>0.17</v>
          </cell>
          <cell r="FU15">
            <v>3.8</v>
          </cell>
          <cell r="GD15">
            <v>363</v>
          </cell>
          <cell r="GE15">
            <v>25431</v>
          </cell>
          <cell r="GF15">
            <v>25068</v>
          </cell>
          <cell r="GG15">
            <v>1</v>
          </cell>
          <cell r="HM15">
            <v>545</v>
          </cell>
          <cell r="HQ15">
            <v>417</v>
          </cell>
          <cell r="HU15">
            <v>386</v>
          </cell>
          <cell r="HY15">
            <v>451</v>
          </cell>
          <cell r="IC15">
            <v>310</v>
          </cell>
          <cell r="IG15">
            <v>400</v>
          </cell>
          <cell r="IK15">
            <v>302</v>
          </cell>
          <cell r="IO15">
            <v>228</v>
          </cell>
          <cell r="IS15">
            <v>257</v>
          </cell>
          <cell r="IW15">
            <v>287</v>
          </cell>
        </row>
        <row r="16">
          <cell r="A16" t="str">
            <v/>
          </cell>
          <cell r="B16" t="str">
            <v>10/3005226-0</v>
          </cell>
          <cell r="C16" t="str">
            <v>Casa Pastoral 577</v>
          </cell>
          <cell r="D16" t="str">
            <v>2024-01-01</v>
          </cell>
          <cell r="F16" t="str">
            <v>energisa_ms</v>
          </cell>
          <cell r="G16" t="str">
            <v>577</v>
          </cell>
          <cell r="H16" t="str">
            <v>Igreja do Evangelho Quadrangular</v>
          </cell>
          <cell r="I16">
            <v>45748</v>
          </cell>
          <cell r="J16" t="str">
            <v>RESIDENCIAL - RESIDENCIAL</v>
          </cell>
          <cell r="K16" t="str">
            <v>79940000</v>
          </cell>
          <cell r="L16" t="str">
            <v>MS</v>
          </cell>
          <cell r="M16" t="str">
            <v>CAARAPO</v>
          </cell>
          <cell r="N16" t="str">
            <v>CENTRO</v>
          </cell>
          <cell r="O16" t="str">
            <v>RUA DA SAUDADE, 230 - LT 17 QD 02 09.025.07.084077</v>
          </cell>
          <cell r="P16">
            <v>45763</v>
          </cell>
          <cell r="Q16" t="str">
            <v>B - B1</v>
          </cell>
          <cell r="R16" t="str">
            <v>62955505057789</v>
          </cell>
          <cell r="U16">
            <v>45734</v>
          </cell>
          <cell r="V16">
            <v>45762</v>
          </cell>
          <cell r="W16">
            <v>45793</v>
          </cell>
          <cell r="X16">
            <v>45793</v>
          </cell>
          <cell r="Y16" t="str">
            <v/>
          </cell>
          <cell r="AA16" t="str">
            <v>010.020.734-002</v>
          </cell>
          <cell r="AB16" t="str">
            <v>bifasico</v>
          </cell>
          <cell r="AC16" t="str">
            <v>convencional</v>
          </cell>
          <cell r="AD16">
            <v>178.33</v>
          </cell>
          <cell r="AE16" t="str">
            <v>34191.09107 47611.942930 85972.140009 1 10830000017833</v>
          </cell>
          <cell r="AF16" t="str">
            <v>IGREJA DO EVANGELHO QUADRANGULAR</v>
          </cell>
          <cell r="AL16">
            <v>347</v>
          </cell>
          <cell r="AM16">
            <v>1.1190489913544668</v>
          </cell>
          <cell r="AN16">
            <v>388.31</v>
          </cell>
          <cell r="AX16">
            <v>240</v>
          </cell>
          <cell r="AY16">
            <v>1.1190416666666667</v>
          </cell>
          <cell r="AZ16">
            <v>-268.57</v>
          </cell>
          <cell r="DR16">
            <v>240</v>
          </cell>
          <cell r="DS16">
            <v>1.1190416666666667</v>
          </cell>
          <cell r="DT16">
            <v>-268.57</v>
          </cell>
          <cell r="ET16">
            <v>240</v>
          </cell>
          <cell r="EX16">
            <v>0</v>
          </cell>
          <cell r="FA16">
            <v>58.59</v>
          </cell>
          <cell r="FM16">
            <v>99.38</v>
          </cell>
          <cell r="FN16">
            <v>4.9954999999999999E-2</v>
          </cell>
          <cell r="FO16">
            <v>4.97</v>
          </cell>
          <cell r="FP16">
            <v>99.38</v>
          </cell>
          <cell r="FQ16">
            <v>1.0845E-2</v>
          </cell>
          <cell r="FR16">
            <v>1.07</v>
          </cell>
          <cell r="FS16">
            <v>119.74</v>
          </cell>
          <cell r="FT16">
            <v>0.17</v>
          </cell>
          <cell r="FU16">
            <v>20.350000000000001</v>
          </cell>
          <cell r="GD16">
            <v>347</v>
          </cell>
          <cell r="GE16">
            <v>53249</v>
          </cell>
          <cell r="GF16">
            <v>52902</v>
          </cell>
          <cell r="GG16">
            <v>1</v>
          </cell>
          <cell r="HM16">
            <v>390</v>
          </cell>
          <cell r="HQ16">
            <v>323</v>
          </cell>
          <cell r="HU16">
            <v>305</v>
          </cell>
          <cell r="HY16">
            <v>358</v>
          </cell>
          <cell r="IC16">
            <v>286</v>
          </cell>
          <cell r="IG16">
            <v>368</v>
          </cell>
          <cell r="IK16">
            <v>228</v>
          </cell>
          <cell r="IO16">
            <v>251</v>
          </cell>
          <cell r="IS16">
            <v>191</v>
          </cell>
          <cell r="IW16">
            <v>185</v>
          </cell>
        </row>
        <row r="17">
          <cell r="A17" t="str">
            <v/>
          </cell>
          <cell r="B17" t="str">
            <v>10/925970-6</v>
          </cell>
          <cell r="C17" t="str">
            <v>577</v>
          </cell>
          <cell r="D17" t="str">
            <v>2024-01-01</v>
          </cell>
          <cell r="F17" t="str">
            <v>energisa_ms</v>
          </cell>
          <cell r="G17" t="str">
            <v>577</v>
          </cell>
          <cell r="H17" t="str">
            <v>Igreja do Evangelho Quadrangular</v>
          </cell>
          <cell r="I17">
            <v>45748</v>
          </cell>
          <cell r="J17" t="str">
            <v>COMERCIAL - TEMPLOS RELIGIOSOS</v>
          </cell>
          <cell r="K17" t="str">
            <v>79940000</v>
          </cell>
          <cell r="L17" t="str">
            <v>MS</v>
          </cell>
          <cell r="M17" t="str">
            <v>CAARAPO</v>
          </cell>
          <cell r="N17" t="str">
            <v>CENTRO</v>
          </cell>
          <cell r="O17" t="str">
            <v>RUA DOM PEDRO II, 361 - 12.025.01.066000</v>
          </cell>
          <cell r="P17">
            <v>45769</v>
          </cell>
          <cell r="Q17" t="str">
            <v>B - B3</v>
          </cell>
          <cell r="R17" t="str">
            <v>62955505057789</v>
          </cell>
          <cell r="U17">
            <v>45736</v>
          </cell>
          <cell r="V17">
            <v>45764</v>
          </cell>
          <cell r="W17">
            <v>45797</v>
          </cell>
          <cell r="X17">
            <v>45802</v>
          </cell>
          <cell r="Y17" t="str">
            <v/>
          </cell>
          <cell r="AA17" t="str">
            <v>010.058.240-002</v>
          </cell>
          <cell r="AB17" t="str">
            <v>trifasico</v>
          </cell>
          <cell r="AC17" t="str">
            <v>convencional</v>
          </cell>
          <cell r="AD17">
            <v>203.85</v>
          </cell>
          <cell r="AE17" t="str">
            <v>34191.09107 53876.012930 85972.140009 7 10920000020385</v>
          </cell>
          <cell r="AF17" t="str">
            <v>IGREJA DO EVANGELHO QUADRANGULAR</v>
          </cell>
          <cell r="AL17">
            <v>631</v>
          </cell>
          <cell r="AM17">
            <v>1.1197939778129953</v>
          </cell>
          <cell r="AN17">
            <v>706.59</v>
          </cell>
          <cell r="AX17">
            <v>517</v>
          </cell>
          <cell r="AY17">
            <v>1.1197872340425532</v>
          </cell>
          <cell r="AZ17">
            <v>-578.92999999999995</v>
          </cell>
          <cell r="DZ17">
            <v>517</v>
          </cell>
          <cell r="EA17">
            <v>1.1197872340425532</v>
          </cell>
          <cell r="EB17">
            <v>-578.92999999999995</v>
          </cell>
          <cell r="ET17">
            <v>517</v>
          </cell>
          <cell r="EX17">
            <v>0</v>
          </cell>
          <cell r="FB17">
            <v>76.19</v>
          </cell>
          <cell r="FM17">
            <v>105.96</v>
          </cell>
          <cell r="FN17">
            <v>4.9954999999999999E-2</v>
          </cell>
          <cell r="FO17">
            <v>5.3</v>
          </cell>
          <cell r="FP17">
            <v>105.96</v>
          </cell>
          <cell r="FQ17">
            <v>1.0845E-2</v>
          </cell>
          <cell r="FR17">
            <v>1.1499999999999999</v>
          </cell>
          <cell r="FS17">
            <v>127.66</v>
          </cell>
          <cell r="FT17">
            <v>0.17</v>
          </cell>
          <cell r="FU17">
            <v>21.7</v>
          </cell>
          <cell r="GD17">
            <v>631</v>
          </cell>
          <cell r="GE17">
            <v>64196</v>
          </cell>
          <cell r="GF17">
            <v>63565</v>
          </cell>
          <cell r="GG17">
            <v>1</v>
          </cell>
          <cell r="HM17">
            <v>994</v>
          </cell>
          <cell r="HQ17">
            <v>965</v>
          </cell>
          <cell r="HU17">
            <v>790</v>
          </cell>
          <cell r="HY17">
            <v>720</v>
          </cell>
          <cell r="IC17">
            <v>750</v>
          </cell>
          <cell r="IG17">
            <v>789</v>
          </cell>
          <cell r="IK17">
            <v>473</v>
          </cell>
          <cell r="IO17">
            <v>514</v>
          </cell>
          <cell r="IS17">
            <v>437</v>
          </cell>
          <cell r="IW17">
            <v>430</v>
          </cell>
        </row>
        <row r="18">
          <cell r="A18" t="str">
            <v/>
          </cell>
          <cell r="B18" t="str">
            <v>10/3092868-3</v>
          </cell>
          <cell r="C18" t="str">
            <v>4465</v>
          </cell>
          <cell r="D18" t="str">
            <v>2024-01-01</v>
          </cell>
          <cell r="F18" t="str">
            <v>energisa_ms</v>
          </cell>
          <cell r="G18" t="str">
            <v>4465</v>
          </cell>
          <cell r="H18" t="str">
            <v>Igreja do Evangelho Quadrangular</v>
          </cell>
          <cell r="I18">
            <v>45748</v>
          </cell>
          <cell r="J18" t="str">
            <v>COMERCIAL - TEMPLOS RELIGIOSOS</v>
          </cell>
          <cell r="K18" t="str">
            <v>79782000</v>
          </cell>
          <cell r="L18" t="str">
            <v>MS</v>
          </cell>
          <cell r="M18" t="str">
            <v>BATAGUASSU</v>
          </cell>
          <cell r="N18" t="str">
            <v>NOVA PORTO XV</v>
          </cell>
          <cell r="O18" t="str">
            <v>RUA ELMODAM OLIVEIRA SOARES, 1909 - QD 19 LT 09 -15.85.330.718200</v>
          </cell>
          <cell r="P18">
            <v>45764</v>
          </cell>
          <cell r="Q18" t="str">
            <v>B - B3</v>
          </cell>
          <cell r="R18" t="str">
            <v>6X.XXX.XXX/XXX4-43</v>
          </cell>
          <cell r="U18">
            <v>45735</v>
          </cell>
          <cell r="V18">
            <v>45763</v>
          </cell>
          <cell r="W18">
            <v>45796</v>
          </cell>
          <cell r="X18">
            <v>45779</v>
          </cell>
          <cell r="Y18" t="str">
            <v/>
          </cell>
          <cell r="Z18" t="str">
            <v>true</v>
          </cell>
          <cell r="AA18" t="str">
            <v>010.040.379-002</v>
          </cell>
          <cell r="AB18" t="str">
            <v>trifasico</v>
          </cell>
          <cell r="AC18" t="str">
            <v>convencional</v>
          </cell>
          <cell r="AD18">
            <v>107.41</v>
          </cell>
          <cell r="AF18" t="str">
            <v>IGREJA DO EVANGELHO QUADRANGULAR</v>
          </cell>
          <cell r="AL18">
            <v>432</v>
          </cell>
          <cell r="AM18">
            <v>1.1194212962962962</v>
          </cell>
          <cell r="AN18">
            <v>483.59</v>
          </cell>
          <cell r="AX18">
            <v>351</v>
          </cell>
          <cell r="AY18">
            <v>1.1194017094017095</v>
          </cell>
          <cell r="AZ18">
            <v>-392.91</v>
          </cell>
          <cell r="DR18">
            <v>351</v>
          </cell>
          <cell r="DS18">
            <v>1.1194017094017095</v>
          </cell>
          <cell r="DT18">
            <v>-392.91</v>
          </cell>
          <cell r="ET18">
            <v>351</v>
          </cell>
          <cell r="EX18">
            <v>103</v>
          </cell>
          <cell r="FB18">
            <v>16.73</v>
          </cell>
          <cell r="FM18">
            <v>75.290000000000006</v>
          </cell>
          <cell r="FN18">
            <v>4.9954999999999999E-2</v>
          </cell>
          <cell r="FO18">
            <v>3.76</v>
          </cell>
          <cell r="FP18">
            <v>75.290000000000006</v>
          </cell>
          <cell r="FQ18">
            <v>1.0845E-2</v>
          </cell>
          <cell r="FR18">
            <v>0.81</v>
          </cell>
          <cell r="FS18">
            <v>90.68</v>
          </cell>
          <cell r="FT18">
            <v>0.17</v>
          </cell>
          <cell r="FU18">
            <v>15.41</v>
          </cell>
          <cell r="GD18">
            <v>432</v>
          </cell>
          <cell r="GE18">
            <v>38877</v>
          </cell>
          <cell r="GF18">
            <v>38445</v>
          </cell>
          <cell r="GG18">
            <v>1</v>
          </cell>
          <cell r="HM18">
            <v>619</v>
          </cell>
          <cell r="HQ18">
            <v>434</v>
          </cell>
          <cell r="HU18">
            <v>415</v>
          </cell>
          <cell r="HY18">
            <v>403</v>
          </cell>
          <cell r="IC18">
            <v>374</v>
          </cell>
          <cell r="IG18">
            <v>450</v>
          </cell>
          <cell r="IK18">
            <v>313</v>
          </cell>
          <cell r="IO18">
            <v>243</v>
          </cell>
          <cell r="IS18">
            <v>288</v>
          </cell>
          <cell r="IW18">
            <v>358</v>
          </cell>
        </row>
        <row r="19">
          <cell r="A19" t="str">
            <v/>
          </cell>
          <cell r="B19" t="str">
            <v>10/931327-1</v>
          </cell>
          <cell r="C19" t="str">
            <v>Vila Martins 4027</v>
          </cell>
          <cell r="D19" t="str">
            <v>2024-01-01</v>
          </cell>
          <cell r="F19" t="str">
            <v>energisa_ms</v>
          </cell>
          <cell r="G19" t="str">
            <v>Vila Martins 4027</v>
          </cell>
          <cell r="H19" t="str">
            <v>Igreja do Evangelho Quadrangular</v>
          </cell>
          <cell r="I19">
            <v>45748</v>
          </cell>
          <cell r="J19" t="str">
            <v>COMERCIAL - OUTROS SERVIÇOS E OUTRAS ATIVIDADES</v>
          </cell>
          <cell r="K19" t="str">
            <v>79990000</v>
          </cell>
          <cell r="L19" t="str">
            <v>MS</v>
          </cell>
          <cell r="M19" t="str">
            <v>AMAMBAI</v>
          </cell>
          <cell r="N19" t="str">
            <v>VILA MARTINS</v>
          </cell>
          <cell r="O19" t="str">
            <v>RUA ALCINDO FRANCO MACHADO, 951 - 10.036.25.249000</v>
          </cell>
          <cell r="P19">
            <v>45764</v>
          </cell>
          <cell r="Q19" t="str">
            <v>B - B3</v>
          </cell>
          <cell r="R19" t="str">
            <v>62955505402710</v>
          </cell>
          <cell r="U19">
            <v>45735</v>
          </cell>
          <cell r="V19">
            <v>45763</v>
          </cell>
          <cell r="W19">
            <v>45796</v>
          </cell>
          <cell r="X19">
            <v>45793</v>
          </cell>
          <cell r="Y19" t="str">
            <v/>
          </cell>
          <cell r="AA19" t="str">
            <v>010.036.603-002</v>
          </cell>
          <cell r="AB19" t="str">
            <v>trifasico</v>
          </cell>
          <cell r="AC19" t="str">
            <v>convencional</v>
          </cell>
          <cell r="AD19">
            <v>178.31</v>
          </cell>
          <cell r="AE19" t="str">
            <v>34191.09107 50428.832930 85972.140009 6 10830000017831</v>
          </cell>
          <cell r="AF19" t="str">
            <v>IGREJA DO EVANGELHO QUADRANGULAR</v>
          </cell>
          <cell r="AL19">
            <v>345</v>
          </cell>
          <cell r="AM19">
            <v>1.1194202898550725</v>
          </cell>
          <cell r="AN19">
            <v>386.2</v>
          </cell>
          <cell r="AX19">
            <v>269</v>
          </cell>
          <cell r="AY19">
            <v>1.119368029739777</v>
          </cell>
          <cell r="AZ19">
            <v>-301.11</v>
          </cell>
          <cell r="DR19">
            <v>269</v>
          </cell>
          <cell r="DS19">
            <v>1.119368029739777</v>
          </cell>
          <cell r="DT19">
            <v>-301.11</v>
          </cell>
          <cell r="ET19">
            <v>269</v>
          </cell>
          <cell r="EX19">
            <v>717</v>
          </cell>
          <cell r="FA19">
            <v>71.790000000000006</v>
          </cell>
          <cell r="FB19">
            <v>21.43</v>
          </cell>
          <cell r="FM19">
            <v>70.64</v>
          </cell>
          <cell r="FN19">
            <v>4.9954999999999999E-2</v>
          </cell>
          <cell r="FO19">
            <v>3.53</v>
          </cell>
          <cell r="FP19">
            <v>70.64</v>
          </cell>
          <cell r="FQ19">
            <v>1.0845E-2</v>
          </cell>
          <cell r="FR19">
            <v>0.77</v>
          </cell>
          <cell r="FS19">
            <v>85.09</v>
          </cell>
          <cell r="FT19">
            <v>0.17</v>
          </cell>
          <cell r="FU19">
            <v>14.46</v>
          </cell>
          <cell r="GD19">
            <v>345</v>
          </cell>
          <cell r="GE19">
            <v>5458</v>
          </cell>
          <cell r="GF19">
            <v>5113</v>
          </cell>
          <cell r="GG19">
            <v>1</v>
          </cell>
          <cell r="HM19">
            <v>412</v>
          </cell>
          <cell r="HQ19">
            <v>361</v>
          </cell>
          <cell r="HU19">
            <v>370</v>
          </cell>
          <cell r="HY19">
            <v>280</v>
          </cell>
          <cell r="IC19">
            <v>252</v>
          </cell>
          <cell r="IG19">
            <v>268</v>
          </cell>
          <cell r="IK19">
            <v>227</v>
          </cell>
          <cell r="IO19">
            <v>202</v>
          </cell>
          <cell r="IS19">
            <v>234</v>
          </cell>
          <cell r="IW19">
            <v>245</v>
          </cell>
        </row>
        <row r="20">
          <cell r="A20" t="str">
            <v/>
          </cell>
          <cell r="B20" t="str">
            <v>10/452884-0</v>
          </cell>
          <cell r="C20" t="str">
            <v>Carlos Camisao (3325)</v>
          </cell>
          <cell r="D20" t="str">
            <v>2024-01-01</v>
          </cell>
          <cell r="F20" t="str">
            <v>energisa_ms</v>
          </cell>
          <cell r="G20" t="str">
            <v>Carlos Camisao (3325)</v>
          </cell>
          <cell r="H20" t="str">
            <v>Igreja do Evangelho Quadrangular</v>
          </cell>
          <cell r="I20">
            <v>45748</v>
          </cell>
          <cell r="J20" t="str">
            <v>COMERCIAL - TEMPLOS RELIGIOSOS</v>
          </cell>
          <cell r="K20" t="str">
            <v>79202000</v>
          </cell>
          <cell r="L20" t="str">
            <v>MS</v>
          </cell>
          <cell r="M20" t="str">
            <v>AQUIDAUANA</v>
          </cell>
          <cell r="N20" t="str">
            <v>CAMISAO</v>
          </cell>
          <cell r="O20" t="str">
            <v>AVENIDA CAMISAO, S/N - 06.201.90.426000</v>
          </cell>
          <cell r="P20">
            <v>45775</v>
          </cell>
          <cell r="Q20" t="str">
            <v>B - B3</v>
          </cell>
          <cell r="R20" t="str">
            <v>62955505000167</v>
          </cell>
          <cell r="U20">
            <v>45742</v>
          </cell>
          <cell r="V20">
            <v>45772</v>
          </cell>
          <cell r="W20">
            <v>45804</v>
          </cell>
          <cell r="X20">
            <v>45785</v>
          </cell>
          <cell r="Y20" t="str">
            <v/>
          </cell>
          <cell r="AA20" t="str">
            <v>010.133.497-002</v>
          </cell>
          <cell r="AB20" t="str">
            <v>bifasico</v>
          </cell>
          <cell r="AC20" t="str">
            <v>convencional</v>
          </cell>
          <cell r="AD20">
            <v>81.89</v>
          </cell>
          <cell r="AE20" t="str">
            <v>34191.09107 63782.782930 85972.140009 5 10750000008189</v>
          </cell>
          <cell r="AF20" t="str">
            <v>IGREJA DO EVANGELHO QUADRANGULAR</v>
          </cell>
          <cell r="AL20">
            <v>302</v>
          </cell>
          <cell r="AM20">
            <v>1.1222516556291391</v>
          </cell>
          <cell r="AN20">
            <v>338.92</v>
          </cell>
          <cell r="AX20">
            <v>252</v>
          </cell>
          <cell r="AY20">
            <v>1.1197619047619047</v>
          </cell>
          <cell r="AZ20">
            <v>-282.18</v>
          </cell>
          <cell r="DR20">
            <v>198</v>
          </cell>
          <cell r="DS20">
            <v>1.1221212121212121</v>
          </cell>
          <cell r="DT20">
            <v>-222.18</v>
          </cell>
          <cell r="DZ20">
            <v>54</v>
          </cell>
          <cell r="EA20">
            <v>1.1222222222222222</v>
          </cell>
          <cell r="EB20">
            <v>-60.6</v>
          </cell>
          <cell r="ET20">
            <v>252</v>
          </cell>
          <cell r="EX20">
            <v>51</v>
          </cell>
          <cell r="FB20">
            <v>14.59</v>
          </cell>
          <cell r="FC20">
            <v>10.56</v>
          </cell>
          <cell r="FL20">
            <v>0.6</v>
          </cell>
          <cell r="FM20">
            <v>46.66</v>
          </cell>
          <cell r="FN20">
            <v>4.9954999999999999E-2</v>
          </cell>
          <cell r="FO20">
            <v>2.34</v>
          </cell>
          <cell r="FP20">
            <v>46.66</v>
          </cell>
          <cell r="FQ20">
            <v>1.0845E-2</v>
          </cell>
          <cell r="FR20">
            <v>0.52</v>
          </cell>
          <cell r="FS20">
            <v>56.14</v>
          </cell>
          <cell r="FT20">
            <v>0.17</v>
          </cell>
          <cell r="FU20">
            <v>9.5399999999999991</v>
          </cell>
          <cell r="GD20">
            <v>302</v>
          </cell>
          <cell r="GE20">
            <v>19924</v>
          </cell>
          <cell r="GF20">
            <v>19622</v>
          </cell>
          <cell r="GG20">
            <v>1</v>
          </cell>
          <cell r="HM20">
            <v>318</v>
          </cell>
          <cell r="HQ20">
            <v>242</v>
          </cell>
          <cell r="HU20">
            <v>200</v>
          </cell>
          <cell r="HY20">
            <v>164</v>
          </cell>
          <cell r="IC20">
            <v>159</v>
          </cell>
          <cell r="IG20">
            <v>155</v>
          </cell>
          <cell r="IK20">
            <v>102</v>
          </cell>
          <cell r="IO20">
            <v>57</v>
          </cell>
          <cell r="IS20">
            <v>48</v>
          </cell>
          <cell r="IW20">
            <v>79</v>
          </cell>
        </row>
        <row r="21">
          <cell r="A21" t="str">
            <v/>
          </cell>
          <cell r="B21" t="str">
            <v>10/2247256-7</v>
          </cell>
          <cell r="C21" t="str">
            <v>Aero Rancho 62578</v>
          </cell>
          <cell r="D21" t="str">
            <v>2024-01-01</v>
          </cell>
          <cell r="F21" t="str">
            <v>energisa_ms</v>
          </cell>
          <cell r="G21" t="str">
            <v>Sede 151</v>
          </cell>
          <cell r="H21" t="str">
            <v>Igreja do Evangelho Quadrangular</v>
          </cell>
          <cell r="I21">
            <v>45748</v>
          </cell>
          <cell r="J21" t="str">
            <v>COMERCIAL - COMERCIAL</v>
          </cell>
          <cell r="K21" t="str">
            <v>79094440</v>
          </cell>
          <cell r="L21" t="str">
            <v>MS</v>
          </cell>
          <cell r="M21" t="str">
            <v>CAMPO GRANDE</v>
          </cell>
          <cell r="N21" t="str">
            <v>JARDIM AERO RANCHO</v>
          </cell>
          <cell r="O21" t="str">
            <v>RUA CHARLOTE, 785</v>
          </cell>
          <cell r="P21">
            <v>45771</v>
          </cell>
          <cell r="Q21" t="str">
            <v>B - B3</v>
          </cell>
          <cell r="R21" t="str">
            <v>62955505015199</v>
          </cell>
          <cell r="U21">
            <v>45740</v>
          </cell>
          <cell r="V21">
            <v>45770</v>
          </cell>
          <cell r="W21">
            <v>45800</v>
          </cell>
          <cell r="X21">
            <v>45783</v>
          </cell>
          <cell r="Y21" t="str">
            <v/>
          </cell>
          <cell r="AA21" t="str">
            <v>010.104.170-002</v>
          </cell>
          <cell r="AB21" t="str">
            <v>trifasico</v>
          </cell>
          <cell r="AC21" t="str">
            <v>convencional</v>
          </cell>
          <cell r="AD21">
            <v>271.88</v>
          </cell>
          <cell r="AF21" t="str">
            <v>IGREJA DO EVANGELHO QUADRANGULAR</v>
          </cell>
          <cell r="AL21">
            <v>620</v>
          </cell>
          <cell r="AM21">
            <v>1.1215645161290322</v>
          </cell>
          <cell r="AN21">
            <v>695.37</v>
          </cell>
          <cell r="AX21">
            <v>587</v>
          </cell>
          <cell r="AY21">
            <v>1.0209028960817716</v>
          </cell>
          <cell r="AZ21">
            <v>-599.27</v>
          </cell>
          <cell r="DR21">
            <v>193</v>
          </cell>
          <cell r="DS21">
            <v>1.1215544041450778</v>
          </cell>
          <cell r="DT21">
            <v>-216.46</v>
          </cell>
          <cell r="DZ21">
            <v>394</v>
          </cell>
          <cell r="EA21">
            <v>1.1215482233502538</v>
          </cell>
          <cell r="EB21">
            <v>-441.89</v>
          </cell>
          <cell r="ET21">
            <v>587</v>
          </cell>
          <cell r="EV21">
            <v>394</v>
          </cell>
          <cell r="EW21">
            <v>394</v>
          </cell>
          <cell r="EX21">
            <v>1174</v>
          </cell>
          <cell r="FA21">
            <v>175.78</v>
          </cell>
          <cell r="FL21">
            <v>59.08</v>
          </cell>
          <cell r="FM21">
            <v>30.74</v>
          </cell>
          <cell r="FN21">
            <v>4.9954999999999999E-2</v>
          </cell>
          <cell r="FO21">
            <v>1.54</v>
          </cell>
          <cell r="FP21">
            <v>30.74</v>
          </cell>
          <cell r="FQ21">
            <v>1.0845E-2</v>
          </cell>
          <cell r="FR21">
            <v>0.33</v>
          </cell>
          <cell r="FS21">
            <v>37.020000000000003</v>
          </cell>
          <cell r="FT21">
            <v>0.17</v>
          </cell>
          <cell r="FU21">
            <v>6.29</v>
          </cell>
          <cell r="GD21">
            <v>620</v>
          </cell>
          <cell r="GE21">
            <v>15755</v>
          </cell>
          <cell r="GF21">
            <v>15135</v>
          </cell>
          <cell r="GG21">
            <v>1</v>
          </cell>
          <cell r="HM21">
            <v>921</v>
          </cell>
          <cell r="HQ21">
            <v>968</v>
          </cell>
          <cell r="HU21">
            <v>593</v>
          </cell>
          <cell r="HY21">
            <v>626</v>
          </cell>
          <cell r="IC21">
            <v>842</v>
          </cell>
          <cell r="IG21">
            <v>516</v>
          </cell>
          <cell r="IK21">
            <v>482</v>
          </cell>
          <cell r="IO21">
            <v>594</v>
          </cell>
          <cell r="IS21">
            <v>323</v>
          </cell>
          <cell r="IW21">
            <v>589</v>
          </cell>
        </row>
        <row r="22">
          <cell r="A22" t="str">
            <v/>
          </cell>
          <cell r="B22" t="str">
            <v>10/2794432-1</v>
          </cell>
          <cell r="C22" t="str">
            <v>Jardim Canguru 62588</v>
          </cell>
          <cell r="D22" t="str">
            <v>2024-01-01</v>
          </cell>
          <cell r="F22" t="str">
            <v>energisa_ms</v>
          </cell>
          <cell r="G22" t="str">
            <v>Sede 151</v>
          </cell>
          <cell r="H22" t="str">
            <v>Igreja do Evangelho Quadrangular</v>
          </cell>
          <cell r="I22">
            <v>45748</v>
          </cell>
          <cell r="J22" t="str">
            <v>COMERCIAL - TEMPLOS RELIGIOSOS</v>
          </cell>
          <cell r="K22" t="str">
            <v>79072262</v>
          </cell>
          <cell r="L22" t="str">
            <v>MS</v>
          </cell>
          <cell r="M22" t="str">
            <v>CAMPO GRANDE</v>
          </cell>
          <cell r="N22" t="str">
            <v>JARDIM CANGURU</v>
          </cell>
          <cell r="O22" t="str">
            <v>RUA BIRI, 503 - 16.103.10.065001</v>
          </cell>
          <cell r="P22">
            <v>45772</v>
          </cell>
          <cell r="Q22" t="str">
            <v>B - B3</v>
          </cell>
          <cell r="R22" t="str">
            <v>62955505015199</v>
          </cell>
          <cell r="U22">
            <v>45741</v>
          </cell>
          <cell r="V22">
            <v>45771</v>
          </cell>
          <cell r="W22">
            <v>45803</v>
          </cell>
          <cell r="X22">
            <v>45783</v>
          </cell>
          <cell r="Y22" t="str">
            <v/>
          </cell>
          <cell r="AA22" t="str">
            <v>010.123.646-002</v>
          </cell>
          <cell r="AB22" t="str">
            <v>trifasico</v>
          </cell>
          <cell r="AC22" t="str">
            <v>convencional</v>
          </cell>
          <cell r="AD22">
            <v>324.91000000000003</v>
          </cell>
          <cell r="AE22" t="str">
            <v>34191.09545 31549.340276 52186.260007 6 10730000032491</v>
          </cell>
          <cell r="AF22" t="str">
            <v>IGREJA DO EVANGELHO QUADRANGULAR</v>
          </cell>
          <cell r="AL22">
            <v>385</v>
          </cell>
          <cell r="AM22">
            <v>1.121922077922078</v>
          </cell>
          <cell r="AN22">
            <v>431.94</v>
          </cell>
          <cell r="AX22">
            <v>109</v>
          </cell>
          <cell r="AY22">
            <v>1.1219266055045871</v>
          </cell>
          <cell r="AZ22">
            <v>-122.29</v>
          </cell>
          <cell r="DZ22">
            <v>109</v>
          </cell>
          <cell r="EA22">
            <v>1.1219266055045871</v>
          </cell>
          <cell r="EB22">
            <v>-122.29</v>
          </cell>
          <cell r="ET22">
            <v>109</v>
          </cell>
          <cell r="EX22">
            <v>0</v>
          </cell>
          <cell r="FC22">
            <v>15.260000000000002</v>
          </cell>
          <cell r="FM22">
            <v>257</v>
          </cell>
          <cell r="FN22">
            <v>4.9954999999999999E-2</v>
          </cell>
          <cell r="FO22">
            <v>12.84</v>
          </cell>
          <cell r="FP22">
            <v>257</v>
          </cell>
          <cell r="FQ22">
            <v>1.0845E-2</v>
          </cell>
          <cell r="FR22">
            <v>2.79</v>
          </cell>
          <cell r="FS22">
            <v>309.64999999999998</v>
          </cell>
          <cell r="FT22">
            <v>0.17</v>
          </cell>
          <cell r="FU22">
            <v>52.64</v>
          </cell>
          <cell r="GD22">
            <v>385</v>
          </cell>
          <cell r="GE22">
            <v>10268</v>
          </cell>
          <cell r="GF22">
            <v>9883</v>
          </cell>
          <cell r="GG22">
            <v>1</v>
          </cell>
          <cell r="HM22">
            <v>713</v>
          </cell>
          <cell r="HQ22">
            <v>479</v>
          </cell>
          <cell r="HU22">
            <v>495</v>
          </cell>
          <cell r="HY22">
            <v>601</v>
          </cell>
          <cell r="IC22">
            <v>533</v>
          </cell>
          <cell r="IG22">
            <v>551</v>
          </cell>
          <cell r="IK22">
            <v>390</v>
          </cell>
          <cell r="IO22">
            <v>221</v>
          </cell>
          <cell r="IS22">
            <v>88</v>
          </cell>
          <cell r="IW22">
            <v>136</v>
          </cell>
        </row>
        <row r="23">
          <cell r="A23" t="str">
            <v/>
          </cell>
          <cell r="B23" t="str">
            <v>10/466560-0</v>
          </cell>
          <cell r="C23" t="str">
            <v>Congregação Sanga Puita</v>
          </cell>
          <cell r="D23" t="str">
            <v>2024-01-01</v>
          </cell>
          <cell r="F23" t="str">
            <v>energisa_ms</v>
          </cell>
          <cell r="G23" t="str">
            <v>Jardim Vitória 6276</v>
          </cell>
          <cell r="H23" t="str">
            <v>Igreja do Evangelho Quadrangular</v>
          </cell>
          <cell r="I23">
            <v>45748</v>
          </cell>
          <cell r="J23" t="str">
            <v>COMERCIAL - TEMPLOS RELIGIOSOS</v>
          </cell>
          <cell r="K23" t="str">
            <v>79900000</v>
          </cell>
          <cell r="L23" t="str">
            <v>MS</v>
          </cell>
          <cell r="M23" t="str">
            <v>PONTA PORA</v>
          </cell>
          <cell r="N23" t="str">
            <v>SANGA PUITA</v>
          </cell>
          <cell r="O23" t="str">
            <v>RUA MARCILIANO MACIEL, 246 - 05.341.09.031000</v>
          </cell>
          <cell r="P23">
            <v>45754</v>
          </cell>
          <cell r="Q23" t="str">
            <v>B - B3</v>
          </cell>
          <cell r="R23" t="str">
            <v>62955505015512</v>
          </cell>
          <cell r="U23">
            <v>45724</v>
          </cell>
          <cell r="V23">
            <v>45751</v>
          </cell>
          <cell r="W23">
            <v>45784</v>
          </cell>
          <cell r="X23">
            <v>45763</v>
          </cell>
          <cell r="Y23" t="str">
            <v/>
          </cell>
          <cell r="AA23" t="str">
            <v>009.850.761-002</v>
          </cell>
          <cell r="AB23" t="str">
            <v>bifasico</v>
          </cell>
          <cell r="AC23" t="str">
            <v>convencional</v>
          </cell>
          <cell r="AD23">
            <v>102.42</v>
          </cell>
          <cell r="AF23" t="str">
            <v>IGREJA DO EVANGELHO QUADRANGULAR</v>
          </cell>
          <cell r="AL23">
            <v>165</v>
          </cell>
          <cell r="AM23">
            <v>1.1162424242424243</v>
          </cell>
          <cell r="AN23">
            <v>184.18</v>
          </cell>
          <cell r="AX23">
            <v>137</v>
          </cell>
          <cell r="AY23">
            <v>0.97401459854014594</v>
          </cell>
          <cell r="AZ23">
            <v>-133.44</v>
          </cell>
          <cell r="DR23">
            <v>137</v>
          </cell>
          <cell r="DS23">
            <v>1.1162043795620438</v>
          </cell>
          <cell r="DT23">
            <v>-152.91999999999999</v>
          </cell>
          <cell r="ET23">
            <v>137</v>
          </cell>
          <cell r="EX23">
            <v>12</v>
          </cell>
          <cell r="FA23">
            <v>51.68</v>
          </cell>
          <cell r="FL23">
            <v>19.48</v>
          </cell>
          <cell r="FM23">
            <v>25.94</v>
          </cell>
          <cell r="FN23">
            <v>4.9954999999999999E-2</v>
          </cell>
          <cell r="FO23">
            <v>1.3</v>
          </cell>
          <cell r="FP23">
            <v>25.94</v>
          </cell>
          <cell r="FQ23">
            <v>1.0845E-2</v>
          </cell>
          <cell r="FR23">
            <v>0.28000000000000003</v>
          </cell>
          <cell r="FS23">
            <v>31.26</v>
          </cell>
          <cell r="FT23">
            <v>0.17</v>
          </cell>
          <cell r="FU23">
            <v>5.31</v>
          </cell>
          <cell r="GD23">
            <v>165</v>
          </cell>
          <cell r="GE23">
            <v>19967</v>
          </cell>
          <cell r="GF23">
            <v>19802</v>
          </cell>
          <cell r="GG23">
            <v>1</v>
          </cell>
          <cell r="HM23">
            <v>164</v>
          </cell>
          <cell r="HQ23">
            <v>174</v>
          </cell>
          <cell r="HU23">
            <v>179</v>
          </cell>
          <cell r="HY23">
            <v>168</v>
          </cell>
          <cell r="IC23">
            <v>149</v>
          </cell>
          <cell r="IG23">
            <v>160</v>
          </cell>
          <cell r="IK23">
            <v>168</v>
          </cell>
          <cell r="IO23">
            <v>170</v>
          </cell>
          <cell r="IS23">
            <v>182</v>
          </cell>
          <cell r="IW23">
            <v>167</v>
          </cell>
        </row>
        <row r="24">
          <cell r="A24" t="str">
            <v>10/1433087-2</v>
          </cell>
          <cell r="B24" t="str">
            <v>10/1433087-2</v>
          </cell>
          <cell r="F24" t="str">
            <v>energisa_ms</v>
          </cell>
          <cell r="H24" t="str">
            <v>10/1433087-2</v>
          </cell>
          <cell r="I24">
            <v>45748</v>
          </cell>
          <cell r="J24" t="str">
            <v>COMERCIAL - TEMPLOS RELIGIOSOS</v>
          </cell>
          <cell r="K24" t="str">
            <v>79780000</v>
          </cell>
          <cell r="L24" t="str">
            <v>MS</v>
          </cell>
          <cell r="M24" t="str">
            <v>BATAGUASSU</v>
          </cell>
          <cell r="N24" t="str">
            <v>JARDIM SANTA LUZIA</v>
          </cell>
          <cell r="O24" t="str">
            <v>RUA RECANTO, 126 - 01.057.03.577000</v>
          </cell>
          <cell r="P24">
            <v>45763</v>
          </cell>
          <cell r="Q24" t="str">
            <v>B - B3</v>
          </cell>
          <cell r="R24" t="str">
            <v>62955505419443</v>
          </cell>
          <cell r="U24">
            <v>45734</v>
          </cell>
          <cell r="V24">
            <v>45762</v>
          </cell>
          <cell r="W24">
            <v>45793</v>
          </cell>
          <cell r="X24">
            <v>45779</v>
          </cell>
          <cell r="Y24" t="str">
            <v/>
          </cell>
          <cell r="AA24" t="str">
            <v>010.018.233-002</v>
          </cell>
          <cell r="AB24" t="str">
            <v>trifasico</v>
          </cell>
          <cell r="AC24" t="str">
            <v>convencional</v>
          </cell>
          <cell r="AD24">
            <v>209.89</v>
          </cell>
          <cell r="AE24" t="str">
            <v>34191.09107 47259.912930 85972.140009 3 10690000020989</v>
          </cell>
          <cell r="AF24" t="str">
            <v>IGREJA DO EVANGELHO QUADRANGULAR</v>
          </cell>
          <cell r="AL24">
            <v>289</v>
          </cell>
          <cell r="AM24">
            <v>1.1190657439446368</v>
          </cell>
          <cell r="AN24">
            <v>323.41000000000003</v>
          </cell>
          <cell r="AX24">
            <v>129</v>
          </cell>
          <cell r="AY24">
            <v>1.1189922480620154</v>
          </cell>
          <cell r="AZ24">
            <v>-144.35</v>
          </cell>
          <cell r="DR24">
            <v>129</v>
          </cell>
          <cell r="DS24">
            <v>1.1189922480620154</v>
          </cell>
          <cell r="DT24">
            <v>-144.35</v>
          </cell>
          <cell r="ET24">
            <v>129</v>
          </cell>
          <cell r="FA24">
            <v>30.83</v>
          </cell>
          <cell r="FM24">
            <v>148.63999999999999</v>
          </cell>
          <cell r="FN24">
            <v>4.9954999999999999E-2</v>
          </cell>
          <cell r="FO24">
            <v>7.43</v>
          </cell>
          <cell r="FP24">
            <v>148.63999999999999</v>
          </cell>
          <cell r="FQ24">
            <v>1.0845E-2</v>
          </cell>
          <cell r="FR24">
            <v>1.61</v>
          </cell>
          <cell r="FS24">
            <v>179.06</v>
          </cell>
          <cell r="FT24">
            <v>0.17</v>
          </cell>
          <cell r="FU24">
            <v>30.44</v>
          </cell>
          <cell r="GD24">
            <v>289</v>
          </cell>
          <cell r="GE24">
            <v>19068</v>
          </cell>
          <cell r="GF24">
            <v>18779</v>
          </cell>
          <cell r="GG24">
            <v>1</v>
          </cell>
          <cell r="HM24">
            <v>334</v>
          </cell>
          <cell r="HQ24">
            <v>279</v>
          </cell>
          <cell r="HU24">
            <v>226</v>
          </cell>
          <cell r="HY24">
            <v>223</v>
          </cell>
          <cell r="IC24">
            <v>216</v>
          </cell>
          <cell r="IG24">
            <v>228</v>
          </cell>
          <cell r="IK24">
            <v>132</v>
          </cell>
          <cell r="IO24">
            <v>115</v>
          </cell>
          <cell r="IS24">
            <v>155</v>
          </cell>
          <cell r="IW24">
            <v>147</v>
          </cell>
        </row>
        <row r="25">
          <cell r="A25" t="str">
            <v/>
          </cell>
          <cell r="B25" t="str">
            <v>10/129490-9</v>
          </cell>
          <cell r="C25" t="str">
            <v>169</v>
          </cell>
          <cell r="D25" t="str">
            <v>2024-01-01</v>
          </cell>
          <cell r="F25" t="str">
            <v>energisa_ms</v>
          </cell>
          <cell r="G25" t="str">
            <v>169</v>
          </cell>
          <cell r="H25" t="str">
            <v>Igreja do Evangelho Quadrangular</v>
          </cell>
          <cell r="I25">
            <v>45748</v>
          </cell>
          <cell r="J25" t="str">
            <v>COMERCIAL - TEMPLOS RELIGIOSOS</v>
          </cell>
          <cell r="K25" t="str">
            <v>79130000</v>
          </cell>
          <cell r="L25" t="str">
            <v>MS</v>
          </cell>
          <cell r="M25" t="str">
            <v>RIO BRILHANTE</v>
          </cell>
          <cell r="N25" t="str">
            <v>CENTRO</v>
          </cell>
          <cell r="O25" t="str">
            <v>RUA JUVIANO MEDEIROS, 1239 - 05.030.15.076000</v>
          </cell>
          <cell r="P25">
            <v>45770</v>
          </cell>
          <cell r="Q25" t="str">
            <v>B - B3</v>
          </cell>
          <cell r="R25" t="str">
            <v>62955505405140</v>
          </cell>
          <cell r="U25">
            <v>45737</v>
          </cell>
          <cell r="V25">
            <v>45769</v>
          </cell>
          <cell r="W25">
            <v>45799</v>
          </cell>
          <cell r="X25">
            <v>45785</v>
          </cell>
          <cell r="Y25" t="str">
            <v/>
          </cell>
          <cell r="AA25" t="str">
            <v>010.076.781-002</v>
          </cell>
          <cell r="AB25" t="str">
            <v>bifasico</v>
          </cell>
          <cell r="AC25" t="str">
            <v>convencional</v>
          </cell>
          <cell r="AD25">
            <v>151.03</v>
          </cell>
          <cell r="AE25" t="str">
            <v>34191.09107 57054.632930 85972.140009 8 10750000015103</v>
          </cell>
          <cell r="AF25" t="str">
            <v>IGREJA DO EVANGELHO QUADRANGULAR</v>
          </cell>
          <cell r="AL25">
            <v>287</v>
          </cell>
          <cell r="AM25">
            <v>1.1209407665505227</v>
          </cell>
          <cell r="AN25">
            <v>321.70999999999998</v>
          </cell>
          <cell r="AX25">
            <v>206</v>
          </cell>
          <cell r="AY25">
            <v>0.97194174757281548</v>
          </cell>
          <cell r="AZ25">
            <v>-200.22</v>
          </cell>
          <cell r="DZ25">
            <v>206</v>
          </cell>
          <cell r="EA25">
            <v>1.1209223300970874</v>
          </cell>
          <cell r="EB25">
            <v>-230.91</v>
          </cell>
          <cell r="ET25">
            <v>206</v>
          </cell>
          <cell r="EX25">
            <v>0</v>
          </cell>
          <cell r="FA25">
            <v>26.64</v>
          </cell>
          <cell r="FC25">
            <v>2.8999999999999995</v>
          </cell>
          <cell r="FL25">
            <v>30.69</v>
          </cell>
          <cell r="FM25">
            <v>75.36</v>
          </cell>
          <cell r="FN25">
            <v>4.9954999999999999E-2</v>
          </cell>
          <cell r="FO25">
            <v>3.77</v>
          </cell>
          <cell r="FP25">
            <v>75.36</v>
          </cell>
          <cell r="FQ25">
            <v>1.0845E-2</v>
          </cell>
          <cell r="FR25">
            <v>0.81</v>
          </cell>
          <cell r="FS25">
            <v>90.8</v>
          </cell>
          <cell r="FT25">
            <v>0.17</v>
          </cell>
          <cell r="FU25">
            <v>15.43</v>
          </cell>
          <cell r="GD25">
            <v>287</v>
          </cell>
          <cell r="GE25">
            <v>73054</v>
          </cell>
          <cell r="GF25">
            <v>72767</v>
          </cell>
          <cell r="GG25">
            <v>1</v>
          </cell>
          <cell r="HM25">
            <v>315</v>
          </cell>
          <cell r="HQ25">
            <v>324</v>
          </cell>
          <cell r="HU25">
            <v>286</v>
          </cell>
          <cell r="HY25">
            <v>301</v>
          </cell>
          <cell r="IC25">
            <v>306</v>
          </cell>
          <cell r="IG25">
            <v>294</v>
          </cell>
          <cell r="IK25">
            <v>265</v>
          </cell>
          <cell r="IO25">
            <v>203</v>
          </cell>
          <cell r="IS25">
            <v>147</v>
          </cell>
          <cell r="IW25">
            <v>206</v>
          </cell>
        </row>
        <row r="26">
          <cell r="A26" t="str">
            <v/>
          </cell>
          <cell r="B26" t="str">
            <v>10/280638-8</v>
          </cell>
          <cell r="C26" t="str">
            <v>Chapadão do Sul 8432-53</v>
          </cell>
          <cell r="D26" t="str">
            <v>2024-01-01</v>
          </cell>
          <cell r="F26" t="str">
            <v>energisa_ms</v>
          </cell>
          <cell r="G26" t="str">
            <v>Chapadão do Sul 8432-53</v>
          </cell>
          <cell r="H26" t="str">
            <v>Igreja do Evangelho Quadrangular</v>
          </cell>
          <cell r="I26">
            <v>45748</v>
          </cell>
          <cell r="J26" t="str">
            <v>COMERCIAL - TEMPLOS RELIGIOSOS</v>
          </cell>
          <cell r="K26" t="str">
            <v>79560000</v>
          </cell>
          <cell r="L26" t="str">
            <v>MS</v>
          </cell>
          <cell r="M26" t="str">
            <v>CHAPADAO DO SUL</v>
          </cell>
          <cell r="N26" t="str">
            <v>CENTRO</v>
          </cell>
          <cell r="O26" t="str">
            <v>RUA CARACOL, 1292 - 13.088.03.243000</v>
          </cell>
          <cell r="P26">
            <v>45769</v>
          </cell>
          <cell r="Q26" t="str">
            <v>B - B3</v>
          </cell>
          <cell r="R26" t="str">
            <v>62955505843253</v>
          </cell>
          <cell r="U26">
            <v>45736</v>
          </cell>
          <cell r="V26">
            <v>45764</v>
          </cell>
          <cell r="W26">
            <v>45797</v>
          </cell>
          <cell r="X26">
            <v>45787</v>
          </cell>
          <cell r="Y26" t="str">
            <v/>
          </cell>
          <cell r="AA26" t="str">
            <v>010.064.225-002</v>
          </cell>
          <cell r="AB26" t="str">
            <v>trifasico</v>
          </cell>
          <cell r="AC26" t="str">
            <v>convencional</v>
          </cell>
          <cell r="AD26">
            <v>199.52</v>
          </cell>
          <cell r="AE26" t="str">
            <v>34191.09107 53861.812930 85972.140009 9 10770000019952</v>
          </cell>
          <cell r="AF26" t="str">
            <v>IGREJA DO EVANGELHO QUADRANGULAR</v>
          </cell>
          <cell r="AL26">
            <v>302</v>
          </cell>
          <cell r="AM26">
            <v>1.1197682119205299</v>
          </cell>
          <cell r="AN26">
            <v>338.17</v>
          </cell>
          <cell r="AX26">
            <v>206</v>
          </cell>
          <cell r="AY26">
            <v>0.97242718446601939</v>
          </cell>
          <cell r="AZ26">
            <v>-200.32</v>
          </cell>
          <cell r="DZ26">
            <v>206</v>
          </cell>
          <cell r="EA26">
            <v>1.119757281553398</v>
          </cell>
          <cell r="EB26">
            <v>-230.67</v>
          </cell>
          <cell r="ET26">
            <v>206</v>
          </cell>
          <cell r="EX26">
            <v>0</v>
          </cell>
          <cell r="FA26">
            <v>61.67</v>
          </cell>
          <cell r="FL26">
            <v>30.35</v>
          </cell>
          <cell r="FM26">
            <v>89.22</v>
          </cell>
          <cell r="FN26">
            <v>4.9954999999999999E-2</v>
          </cell>
          <cell r="FO26">
            <v>4.46</v>
          </cell>
          <cell r="FP26">
            <v>89.22</v>
          </cell>
          <cell r="FQ26">
            <v>1.0845E-2</v>
          </cell>
          <cell r="FR26">
            <v>0.96</v>
          </cell>
          <cell r="FS26">
            <v>107.5</v>
          </cell>
          <cell r="FT26">
            <v>0.17</v>
          </cell>
          <cell r="FU26">
            <v>18.27</v>
          </cell>
          <cell r="GD26">
            <v>302</v>
          </cell>
          <cell r="GE26">
            <v>46208</v>
          </cell>
          <cell r="GF26">
            <v>45906</v>
          </cell>
          <cell r="GG26">
            <v>1</v>
          </cell>
          <cell r="HM26">
            <v>337</v>
          </cell>
          <cell r="HQ26">
            <v>125</v>
          </cell>
          <cell r="HU26">
            <v>363</v>
          </cell>
          <cell r="HY26">
            <v>305</v>
          </cell>
          <cell r="IC26">
            <v>260</v>
          </cell>
          <cell r="IG26">
            <v>372</v>
          </cell>
          <cell r="IK26">
            <v>227</v>
          </cell>
          <cell r="IO26">
            <v>211</v>
          </cell>
          <cell r="IS26">
            <v>157</v>
          </cell>
          <cell r="IW26">
            <v>164</v>
          </cell>
        </row>
        <row r="27">
          <cell r="A27" t="str">
            <v/>
          </cell>
          <cell r="B27" t="str">
            <v>10/952579-1</v>
          </cell>
          <cell r="C27" t="str">
            <v>58787</v>
          </cell>
          <cell r="D27" t="str">
            <v>2024-01-01</v>
          </cell>
          <cell r="F27" t="str">
            <v>energisa_ms</v>
          </cell>
          <cell r="G27" t="str">
            <v>58787</v>
          </cell>
          <cell r="H27" t="str">
            <v>Igreja do Evangelho Quadrangular</v>
          </cell>
          <cell r="I27">
            <v>45748</v>
          </cell>
          <cell r="J27" t="str">
            <v>COMERCIAL - TEMPLOS RELIGIOSOS</v>
          </cell>
          <cell r="K27" t="str">
            <v>79415000</v>
          </cell>
          <cell r="L27" t="str">
            <v>MS</v>
          </cell>
          <cell r="M27" t="str">
            <v>SONORA</v>
          </cell>
          <cell r="N27" t="str">
            <v>CENTRO</v>
          </cell>
          <cell r="O27" t="str">
            <v>RUA PRESIDENTE VARGAS, 42 - Q 0 L 00042 05.087.85.225077</v>
          </cell>
          <cell r="P27">
            <v>45764</v>
          </cell>
          <cell r="Q27" t="str">
            <v>B - B3</v>
          </cell>
          <cell r="R27" t="str">
            <v>62955505897930</v>
          </cell>
          <cell r="U27">
            <v>45735</v>
          </cell>
          <cell r="V27">
            <v>45763</v>
          </cell>
          <cell r="W27">
            <v>45796</v>
          </cell>
          <cell r="X27">
            <v>45798</v>
          </cell>
          <cell r="Y27" t="str">
            <v/>
          </cell>
          <cell r="AA27" t="str">
            <v>010.036.697-002</v>
          </cell>
          <cell r="AB27" t="str">
            <v>bifasico</v>
          </cell>
          <cell r="AC27" t="str">
            <v>convencional</v>
          </cell>
          <cell r="AD27">
            <v>84.52</v>
          </cell>
          <cell r="AE27" t="str">
            <v>34191.09107 50431.702930 85972.140009 4 10880000008452</v>
          </cell>
          <cell r="AF27" t="str">
            <v>IGREJA DO EVANGELHO QUADRANGULAR</v>
          </cell>
          <cell r="AL27">
            <v>151</v>
          </cell>
          <cell r="AM27">
            <v>1.1194039735099337</v>
          </cell>
          <cell r="AN27">
            <v>169.03</v>
          </cell>
          <cell r="AX27">
            <v>96</v>
          </cell>
          <cell r="AY27">
            <v>0.97260416666666671</v>
          </cell>
          <cell r="AZ27">
            <v>-93.37</v>
          </cell>
          <cell r="DR27">
            <v>96</v>
          </cell>
          <cell r="DS27">
            <v>1.119375</v>
          </cell>
          <cell r="DT27">
            <v>-107.46000000000001</v>
          </cell>
          <cell r="ET27">
            <v>96</v>
          </cell>
          <cell r="EX27">
            <v>0</v>
          </cell>
          <cell r="FA27">
            <v>7.39</v>
          </cell>
          <cell r="FC27">
            <v>1.47</v>
          </cell>
          <cell r="FL27">
            <v>14.09</v>
          </cell>
          <cell r="FM27">
            <v>51.1</v>
          </cell>
          <cell r="FN27">
            <v>4.9954999999999999E-2</v>
          </cell>
          <cell r="FO27">
            <v>2.5499999999999998</v>
          </cell>
          <cell r="FP27">
            <v>51.1</v>
          </cell>
          <cell r="FQ27">
            <v>1.0845E-2</v>
          </cell>
          <cell r="FR27">
            <v>0.55000000000000004</v>
          </cell>
          <cell r="FS27">
            <v>61.57</v>
          </cell>
          <cell r="FT27">
            <v>0.17</v>
          </cell>
          <cell r="FU27">
            <v>10.46</v>
          </cell>
          <cell r="GD27">
            <v>151</v>
          </cell>
          <cell r="GE27">
            <v>38201</v>
          </cell>
          <cell r="GF27">
            <v>38050</v>
          </cell>
          <cell r="GG27">
            <v>1</v>
          </cell>
          <cell r="HM27">
            <v>125</v>
          </cell>
          <cell r="HQ27">
            <v>138</v>
          </cell>
          <cell r="HU27">
            <v>95</v>
          </cell>
          <cell r="HY27">
            <v>138</v>
          </cell>
          <cell r="IC27">
            <v>99</v>
          </cell>
          <cell r="IG27">
            <v>242</v>
          </cell>
          <cell r="IK27">
            <v>141</v>
          </cell>
          <cell r="IO27">
            <v>90</v>
          </cell>
          <cell r="IS27">
            <v>119</v>
          </cell>
          <cell r="IW27">
            <v>154</v>
          </cell>
        </row>
        <row r="28">
          <cell r="A28" t="str">
            <v/>
          </cell>
          <cell r="B28" t="str">
            <v>10/1266128-6</v>
          </cell>
          <cell r="C28" t="str">
            <v>Novo Amazonas 6194</v>
          </cell>
          <cell r="D28" t="str">
            <v>2024-01-01</v>
          </cell>
          <cell r="F28" t="str">
            <v>energisa_ms</v>
          </cell>
          <cell r="G28" t="str">
            <v>Administrativa</v>
          </cell>
          <cell r="H28" t="str">
            <v>Igreja do Evangelho Quadrangular</v>
          </cell>
          <cell r="I28">
            <v>45748</v>
          </cell>
          <cell r="J28" t="str">
            <v>COMERCIAL - TEMPLOS RELIGIOSOS</v>
          </cell>
          <cell r="K28" t="str">
            <v>79034280</v>
          </cell>
          <cell r="L28" t="str">
            <v>MS</v>
          </cell>
          <cell r="M28" t="str">
            <v>CAMPO GRANDE</v>
          </cell>
          <cell r="N28" t="str">
            <v>PARQUE DOS NOVOS ESTADOS</v>
          </cell>
          <cell r="O28" t="str">
            <v>RUA MARACANI, 439 - 15.101.11.267002</v>
          </cell>
          <cell r="P28">
            <v>45770</v>
          </cell>
          <cell r="Q28" t="str">
            <v>B - B3</v>
          </cell>
          <cell r="R28" t="str">
            <v>62955505379395</v>
          </cell>
          <cell r="U28">
            <v>45737</v>
          </cell>
          <cell r="V28">
            <v>45769</v>
          </cell>
          <cell r="W28">
            <v>45799</v>
          </cell>
          <cell r="X28">
            <v>45788</v>
          </cell>
          <cell r="Y28" t="str">
            <v/>
          </cell>
          <cell r="AA28" t="str">
            <v>010.079.284-002</v>
          </cell>
          <cell r="AB28" t="str">
            <v>trifasico</v>
          </cell>
          <cell r="AC28" t="str">
            <v>convencional</v>
          </cell>
          <cell r="AD28">
            <v>158.29</v>
          </cell>
          <cell r="AE28" t="str">
            <v>34191.09545 29526.350276 52186.260007 2 10780000015829</v>
          </cell>
          <cell r="AF28" t="str">
            <v>IGREJA DO EVANGELHO QUADRANGULAR</v>
          </cell>
          <cell r="AL28">
            <v>410</v>
          </cell>
          <cell r="AM28">
            <v>1.1209512195121951</v>
          </cell>
          <cell r="AN28">
            <v>459.59</v>
          </cell>
          <cell r="AX28">
            <v>310</v>
          </cell>
          <cell r="AY28">
            <v>0.97193548387096773</v>
          </cell>
          <cell r="AZ28">
            <v>-301.3</v>
          </cell>
          <cell r="DZ28">
            <v>310</v>
          </cell>
          <cell r="EA28">
            <v>1.1209354838709678</v>
          </cell>
          <cell r="EB28">
            <v>-347.49</v>
          </cell>
          <cell r="ET28">
            <v>310</v>
          </cell>
          <cell r="EX28">
            <v>0</v>
          </cell>
          <cell r="FL28">
            <v>46.19</v>
          </cell>
          <cell r="FM28">
            <v>93.05</v>
          </cell>
          <cell r="FN28">
            <v>4.9954999999999999E-2</v>
          </cell>
          <cell r="FO28">
            <v>4.6399999999999997</v>
          </cell>
          <cell r="FP28">
            <v>93.05</v>
          </cell>
          <cell r="FQ28">
            <v>1.0845E-2</v>
          </cell>
          <cell r="FR28">
            <v>1.01</v>
          </cell>
          <cell r="FS28">
            <v>112.1</v>
          </cell>
          <cell r="FT28">
            <v>0.17</v>
          </cell>
          <cell r="FU28">
            <v>19.05</v>
          </cell>
          <cell r="GD28">
            <v>410</v>
          </cell>
          <cell r="GE28">
            <v>5769</v>
          </cell>
          <cell r="GF28">
            <v>5728</v>
          </cell>
          <cell r="GG28">
            <v>10</v>
          </cell>
          <cell r="HM28">
            <v>460</v>
          </cell>
          <cell r="HQ28">
            <v>510</v>
          </cell>
          <cell r="HU28">
            <v>520</v>
          </cell>
          <cell r="HY28">
            <v>440</v>
          </cell>
          <cell r="IC28">
            <v>370</v>
          </cell>
          <cell r="IG28">
            <v>450</v>
          </cell>
          <cell r="IK28">
            <v>330</v>
          </cell>
          <cell r="IO28">
            <v>250</v>
          </cell>
          <cell r="IS28">
            <v>230</v>
          </cell>
          <cell r="IW28">
            <v>290</v>
          </cell>
        </row>
        <row r="29">
          <cell r="A29" t="str">
            <v/>
          </cell>
          <cell r="B29" t="str">
            <v>10/3123706-8</v>
          </cell>
          <cell r="C29" t="str">
            <v>Navirai 3757</v>
          </cell>
          <cell r="D29" t="str">
            <v>2024-01-01</v>
          </cell>
          <cell r="F29" t="str">
            <v>energisa_ms</v>
          </cell>
          <cell r="G29" t="str">
            <v>Navirai 3757</v>
          </cell>
          <cell r="H29" t="str">
            <v>Igreja do Evangelho Quadrangular</v>
          </cell>
          <cell r="I29">
            <v>45748</v>
          </cell>
          <cell r="J29" t="str">
            <v>RESIDENCIAL - RESIDENCIAL</v>
          </cell>
          <cell r="K29" t="str">
            <v>79950000</v>
          </cell>
          <cell r="L29" t="str">
            <v>MS</v>
          </cell>
          <cell r="M29" t="str">
            <v>NAVIRAI</v>
          </cell>
          <cell r="N29" t="str">
            <v>CENTRO</v>
          </cell>
          <cell r="O29" t="str">
            <v>RUA CUIABA, 225 - TRATA-SE RESIDENCIA 18-038-13-89250</v>
          </cell>
          <cell r="P29">
            <v>45772</v>
          </cell>
          <cell r="Q29" t="str">
            <v>B - B1</v>
          </cell>
          <cell r="R29" t="str">
            <v>62955505375721</v>
          </cell>
          <cell r="U29">
            <v>45741</v>
          </cell>
          <cell r="V29">
            <v>45771</v>
          </cell>
          <cell r="W29">
            <v>45803</v>
          </cell>
          <cell r="X29">
            <v>45803</v>
          </cell>
          <cell r="Y29" t="str">
            <v/>
          </cell>
          <cell r="AA29" t="str">
            <v>010.120.067-002</v>
          </cell>
          <cell r="AB29" t="str">
            <v>trifasico</v>
          </cell>
          <cell r="AC29" t="str">
            <v>convencional</v>
          </cell>
          <cell r="AD29">
            <v>223.49</v>
          </cell>
          <cell r="AE29" t="str">
            <v>34191.09107 61428.312930 85972.140009 1 10930000022349</v>
          </cell>
          <cell r="AF29" t="str">
            <v>IGREJA DO EVANGELHO QUADRANGULAR</v>
          </cell>
          <cell r="AL29">
            <v>320</v>
          </cell>
          <cell r="AM29">
            <v>1.1219062499999999</v>
          </cell>
          <cell r="AN29">
            <v>359.01</v>
          </cell>
          <cell r="AX29">
            <v>206</v>
          </cell>
          <cell r="AY29">
            <v>0.97145631067961169</v>
          </cell>
          <cell r="AZ29">
            <v>-200.12</v>
          </cell>
          <cell r="DZ29">
            <v>206</v>
          </cell>
          <cell r="EA29">
            <v>1.1218932038834952</v>
          </cell>
          <cell r="EB29">
            <v>-231.11</v>
          </cell>
          <cell r="ET29">
            <v>206</v>
          </cell>
          <cell r="EX29">
            <v>0</v>
          </cell>
          <cell r="FA29">
            <v>54.09</v>
          </cell>
          <cell r="FC29">
            <v>10.51</v>
          </cell>
          <cell r="FL29">
            <v>30.99</v>
          </cell>
          <cell r="FM29">
            <v>106.15</v>
          </cell>
          <cell r="FN29">
            <v>4.9954999999999999E-2</v>
          </cell>
          <cell r="FO29">
            <v>5.3</v>
          </cell>
          <cell r="FP29">
            <v>106.15</v>
          </cell>
          <cell r="FQ29">
            <v>1.0845E-2</v>
          </cell>
          <cell r="FR29">
            <v>1.1499999999999999</v>
          </cell>
          <cell r="FS29">
            <v>127.9</v>
          </cell>
          <cell r="FT29">
            <v>0.17</v>
          </cell>
          <cell r="FU29">
            <v>21.74</v>
          </cell>
          <cell r="GD29">
            <v>320</v>
          </cell>
          <cell r="GE29">
            <v>36985</v>
          </cell>
          <cell r="GF29">
            <v>36665</v>
          </cell>
          <cell r="GG29">
            <v>1</v>
          </cell>
          <cell r="HM29">
            <v>400</v>
          </cell>
          <cell r="HQ29">
            <v>307</v>
          </cell>
          <cell r="HU29">
            <v>316</v>
          </cell>
          <cell r="HY29">
            <v>320</v>
          </cell>
          <cell r="IC29">
            <v>355</v>
          </cell>
          <cell r="IG29">
            <v>397</v>
          </cell>
          <cell r="IK29">
            <v>368</v>
          </cell>
          <cell r="IO29">
            <v>430</v>
          </cell>
          <cell r="IS29">
            <v>375</v>
          </cell>
          <cell r="IW29">
            <v>370</v>
          </cell>
        </row>
        <row r="30">
          <cell r="A30" t="str">
            <v/>
          </cell>
          <cell r="B30" t="str">
            <v>10/510330-4</v>
          </cell>
          <cell r="C30" t="str">
            <v>Morumbi 3671</v>
          </cell>
          <cell r="D30" t="str">
            <v>2024-01-01</v>
          </cell>
          <cell r="F30" t="str">
            <v>energisa_ms</v>
          </cell>
          <cell r="G30" t="str">
            <v>Morumbi 3671</v>
          </cell>
          <cell r="H30" t="str">
            <v>Igreja do Evangelho Quadrangular</v>
          </cell>
          <cell r="I30">
            <v>45748</v>
          </cell>
          <cell r="J30" t="str">
            <v>COMERCIAL - TEMPLOS RELIGIOSOS</v>
          </cell>
          <cell r="K30" t="str">
            <v>79904312</v>
          </cell>
          <cell r="L30" t="str">
            <v>MS</v>
          </cell>
          <cell r="M30" t="str">
            <v>PONTA PORA</v>
          </cell>
          <cell r="N30" t="str">
            <v>PORTAL DO MORUMBI</v>
          </cell>
          <cell r="O30" t="str">
            <v>TRAVESSA JOSE MAURO OCAMPOS, 498 - 02.032.10.221000</v>
          </cell>
          <cell r="P30">
            <v>45762</v>
          </cell>
          <cell r="Q30" t="str">
            <v>B - B3</v>
          </cell>
          <cell r="R30" t="str">
            <v>62955505367117</v>
          </cell>
          <cell r="U30">
            <v>45733</v>
          </cell>
          <cell r="V30">
            <v>45761</v>
          </cell>
          <cell r="W30">
            <v>45792</v>
          </cell>
          <cell r="X30">
            <v>45779</v>
          </cell>
          <cell r="Y30" t="str">
            <v/>
          </cell>
          <cell r="AA30" t="str">
            <v>009.993.062-002</v>
          </cell>
          <cell r="AB30" t="str">
            <v>trifasico</v>
          </cell>
          <cell r="AC30" t="str">
            <v>convencional</v>
          </cell>
          <cell r="AD30">
            <v>483.98</v>
          </cell>
          <cell r="AE30" t="str">
            <v>34191.09107 44025.342930 85972.140009 2 10690000048398</v>
          </cell>
          <cell r="AF30" t="str">
            <v>IGREJA DO EVANGELHO QUADRANGULAR</v>
          </cell>
          <cell r="AL30">
            <v>585</v>
          </cell>
          <cell r="AM30">
            <v>1.1187179487179488</v>
          </cell>
          <cell r="AN30">
            <v>654.45000000000005</v>
          </cell>
          <cell r="AX30">
            <v>240</v>
          </cell>
          <cell r="AY30">
            <v>1.1187083333333334</v>
          </cell>
          <cell r="AZ30">
            <v>-268.49</v>
          </cell>
          <cell r="DR30">
            <v>240</v>
          </cell>
          <cell r="DS30">
            <v>1.1187083333333334</v>
          </cell>
          <cell r="DT30">
            <v>-268.49</v>
          </cell>
          <cell r="ET30">
            <v>240</v>
          </cell>
          <cell r="EX30">
            <v>0</v>
          </cell>
          <cell r="FA30">
            <v>88.67</v>
          </cell>
          <cell r="FC30">
            <v>9.3499999999999979</v>
          </cell>
          <cell r="FM30">
            <v>320.35000000000002</v>
          </cell>
          <cell r="FN30">
            <v>4.9954999999999999E-2</v>
          </cell>
          <cell r="FO30">
            <v>16</v>
          </cell>
          <cell r="FP30">
            <v>320.35000000000002</v>
          </cell>
          <cell r="FQ30">
            <v>1.0845E-2</v>
          </cell>
          <cell r="FR30">
            <v>3.47</v>
          </cell>
          <cell r="FS30">
            <v>385.96</v>
          </cell>
          <cell r="FT30">
            <v>0.17</v>
          </cell>
          <cell r="FU30">
            <v>65.61</v>
          </cell>
          <cell r="GD30">
            <v>585</v>
          </cell>
          <cell r="GE30">
            <v>18958</v>
          </cell>
          <cell r="GF30">
            <v>18373</v>
          </cell>
          <cell r="GG30">
            <v>1</v>
          </cell>
          <cell r="HM30">
            <v>808</v>
          </cell>
          <cell r="HQ30">
            <v>700</v>
          </cell>
          <cell r="HU30">
            <v>767</v>
          </cell>
          <cell r="HY30">
            <v>813</v>
          </cell>
          <cell r="IC30">
            <v>597</v>
          </cell>
          <cell r="IG30">
            <v>636</v>
          </cell>
          <cell r="IK30">
            <v>478</v>
          </cell>
          <cell r="IO30">
            <v>425</v>
          </cell>
          <cell r="IS30">
            <v>261</v>
          </cell>
          <cell r="IW30">
            <v>552</v>
          </cell>
        </row>
        <row r="31">
          <cell r="A31" t="str">
            <v/>
          </cell>
          <cell r="B31" t="str">
            <v>10/3125732-2</v>
          </cell>
          <cell r="C31" t="str">
            <v>Aral Moreira 58175</v>
          </cell>
          <cell r="D31" t="str">
            <v>2024-01-01</v>
          </cell>
          <cell r="F31" t="str">
            <v>energisa_ms</v>
          </cell>
          <cell r="G31" t="str">
            <v>Jardim Vitória 6276</v>
          </cell>
          <cell r="H31" t="str">
            <v>Igreja do Evangelho Quadrangular</v>
          </cell>
          <cell r="I31">
            <v>45748</v>
          </cell>
          <cell r="J31" t="str">
            <v>COMERCIAL - TEMPLOS RELIGIOSOS</v>
          </cell>
          <cell r="K31" t="str">
            <v>79930000</v>
          </cell>
          <cell r="L31" t="str">
            <v>MS</v>
          </cell>
          <cell r="M31" t="str">
            <v>ARAL MOREIRA</v>
          </cell>
          <cell r="N31" t="str">
            <v>CENTRO</v>
          </cell>
          <cell r="O31" t="str">
            <v>RUA QUINZE DE NOVEMBRO, 182 - 06-070-07-058000</v>
          </cell>
          <cell r="P31">
            <v>45758</v>
          </cell>
          <cell r="Q31" t="str">
            <v>B - B3</v>
          </cell>
          <cell r="R31" t="str">
            <v>6X.XXX.XXX/XXX5-12</v>
          </cell>
          <cell r="U31">
            <v>45728</v>
          </cell>
          <cell r="V31">
            <v>45757</v>
          </cell>
          <cell r="W31">
            <v>45789</v>
          </cell>
          <cell r="X31">
            <v>45771</v>
          </cell>
          <cell r="Y31" t="str">
            <v/>
          </cell>
          <cell r="Z31" t="str">
            <v>true</v>
          </cell>
          <cell r="AA31" t="str">
            <v>009.932.206-002</v>
          </cell>
          <cell r="AB31" t="str">
            <v>bifasico</v>
          </cell>
          <cell r="AC31" t="str">
            <v>convencional</v>
          </cell>
          <cell r="AD31">
            <v>183.92</v>
          </cell>
          <cell r="AF31" t="str">
            <v>IGREJA DO EVANGELHO QUADRANGULAR</v>
          </cell>
          <cell r="AL31">
            <v>198</v>
          </cell>
          <cell r="AM31">
            <v>1.117171717171717</v>
          </cell>
          <cell r="AN31">
            <v>221.2</v>
          </cell>
          <cell r="AX31">
            <v>120</v>
          </cell>
          <cell r="AY31">
            <v>0.97350000000000003</v>
          </cell>
          <cell r="AZ31">
            <v>-116.82000000000001</v>
          </cell>
          <cell r="DR31">
            <v>120</v>
          </cell>
          <cell r="DS31">
            <v>1.1171666666666666</v>
          </cell>
          <cell r="DT31">
            <v>-134.06</v>
          </cell>
          <cell r="ET31">
            <v>120</v>
          </cell>
          <cell r="EX31">
            <v>0</v>
          </cell>
          <cell r="FA31">
            <v>79.540000000000006</v>
          </cell>
          <cell r="FL31">
            <v>17.239999999999998</v>
          </cell>
          <cell r="FM31">
            <v>72.34</v>
          </cell>
          <cell r="FN31">
            <v>4.9954999999999999E-2</v>
          </cell>
          <cell r="FO31">
            <v>3.61</v>
          </cell>
          <cell r="FP31">
            <v>72.34</v>
          </cell>
          <cell r="FQ31">
            <v>1.0845E-2</v>
          </cell>
          <cell r="FR31">
            <v>0.78</v>
          </cell>
          <cell r="FS31">
            <v>87.14</v>
          </cell>
          <cell r="FT31">
            <v>0.17</v>
          </cell>
          <cell r="FU31">
            <v>14.81</v>
          </cell>
          <cell r="GD31">
            <v>198</v>
          </cell>
          <cell r="GE31">
            <v>16711</v>
          </cell>
          <cell r="GF31">
            <v>16513</v>
          </cell>
          <cell r="GG31">
            <v>1</v>
          </cell>
          <cell r="HM31">
            <v>208</v>
          </cell>
          <cell r="HQ31">
            <v>244</v>
          </cell>
          <cell r="HU31">
            <v>215</v>
          </cell>
          <cell r="HY31">
            <v>222</v>
          </cell>
          <cell r="IC31">
            <v>177</v>
          </cell>
          <cell r="IG31">
            <v>184</v>
          </cell>
          <cell r="IK31">
            <v>187</v>
          </cell>
          <cell r="IO31">
            <v>145</v>
          </cell>
          <cell r="IS31">
            <v>84</v>
          </cell>
          <cell r="IW31">
            <v>79</v>
          </cell>
        </row>
        <row r="32">
          <cell r="A32" t="str">
            <v/>
          </cell>
          <cell r="B32" t="str">
            <v>10/435964-2</v>
          </cell>
          <cell r="C32" t="str">
            <v>Vila Nasser 3574</v>
          </cell>
          <cell r="D32" t="str">
            <v>2024-01-01</v>
          </cell>
          <cell r="F32" t="str">
            <v>energisa_ms</v>
          </cell>
          <cell r="G32" t="str">
            <v>Vila Nasser 3574</v>
          </cell>
          <cell r="H32" t="str">
            <v>Igreja do Evangelho Quadrangular</v>
          </cell>
          <cell r="I32">
            <v>45748</v>
          </cell>
          <cell r="J32" t="str">
            <v>COMERCIAL - TEMPLOS RELIGIOSOS</v>
          </cell>
          <cell r="K32" t="str">
            <v>79116191</v>
          </cell>
          <cell r="L32" t="str">
            <v>MS</v>
          </cell>
          <cell r="M32" t="str">
            <v>CAMPO GRANDE</v>
          </cell>
          <cell r="N32" t="str">
            <v>VILA MARLI</v>
          </cell>
          <cell r="O32" t="str">
            <v>RUA THEODORO ROOSEVELT, 1263 - 08.104.25.107000</v>
          </cell>
          <cell r="P32">
            <v>45762</v>
          </cell>
          <cell r="Q32" t="str">
            <v>B - B3</v>
          </cell>
          <cell r="R32" t="str">
            <v>6X.XXX.XXX/XXX4-05</v>
          </cell>
          <cell r="U32">
            <v>45730</v>
          </cell>
          <cell r="V32">
            <v>45759</v>
          </cell>
          <cell r="W32">
            <v>45791</v>
          </cell>
          <cell r="X32">
            <v>45772</v>
          </cell>
          <cell r="Y32" t="str">
            <v/>
          </cell>
          <cell r="AA32" t="str">
            <v>009.973.948-002</v>
          </cell>
          <cell r="AB32" t="str">
            <v>trifasico</v>
          </cell>
          <cell r="AC32" t="str">
            <v>convencional</v>
          </cell>
          <cell r="AD32">
            <v>257.18</v>
          </cell>
          <cell r="AF32" t="str">
            <v>IGREJA DO EVANGELHO QUADRANGULAR</v>
          </cell>
          <cell r="AL32">
            <v>439</v>
          </cell>
          <cell r="AM32">
            <v>1.1179043280182233</v>
          </cell>
          <cell r="AN32">
            <v>490.76</v>
          </cell>
          <cell r="AX32">
            <v>240</v>
          </cell>
          <cell r="AY32">
            <v>0.97325000000000006</v>
          </cell>
          <cell r="AZ32">
            <v>-233.58</v>
          </cell>
          <cell r="DR32">
            <v>240</v>
          </cell>
          <cell r="DS32">
            <v>1.1179166666666667</v>
          </cell>
          <cell r="DT32">
            <v>-268.3</v>
          </cell>
          <cell r="ET32">
            <v>240</v>
          </cell>
          <cell r="EX32">
            <v>0</v>
          </cell>
          <cell r="FL32">
            <v>34.72</v>
          </cell>
          <cell r="FM32">
            <v>184.65</v>
          </cell>
          <cell r="FN32">
            <v>4.9954999999999999E-2</v>
          </cell>
          <cell r="FO32">
            <v>9.23</v>
          </cell>
          <cell r="FP32">
            <v>184.65</v>
          </cell>
          <cell r="FQ32">
            <v>1.0845E-2</v>
          </cell>
          <cell r="FR32">
            <v>2.0099999999999998</v>
          </cell>
          <cell r="FS32">
            <v>222.46</v>
          </cell>
          <cell r="FT32">
            <v>0.17</v>
          </cell>
          <cell r="FU32">
            <v>37.81</v>
          </cell>
          <cell r="GD32">
            <v>439</v>
          </cell>
          <cell r="GE32">
            <v>66257</v>
          </cell>
          <cell r="GF32">
            <v>65818</v>
          </cell>
          <cell r="GG32">
            <v>1</v>
          </cell>
          <cell r="HM32">
            <v>413</v>
          </cell>
          <cell r="HQ32">
            <v>417</v>
          </cell>
          <cell r="HU32">
            <v>448</v>
          </cell>
          <cell r="HY32">
            <v>466</v>
          </cell>
          <cell r="IC32">
            <v>295</v>
          </cell>
          <cell r="IG32">
            <v>436</v>
          </cell>
          <cell r="IK32">
            <v>394</v>
          </cell>
          <cell r="IO32">
            <v>276</v>
          </cell>
          <cell r="IS32">
            <v>238</v>
          </cell>
          <cell r="IW32">
            <v>263</v>
          </cell>
        </row>
        <row r="33">
          <cell r="A33" t="str">
            <v/>
          </cell>
          <cell r="B33" t="str">
            <v>10/505854-0</v>
          </cell>
          <cell r="C33" t="str">
            <v>Cong. Douradina</v>
          </cell>
          <cell r="D33" t="str">
            <v>2024-01-01</v>
          </cell>
          <cell r="F33" t="str">
            <v>energisa_ms</v>
          </cell>
          <cell r="G33" t="str">
            <v>Cong. Douradina</v>
          </cell>
          <cell r="H33" t="str">
            <v>Igreja do Evangelho Quadrangular</v>
          </cell>
          <cell r="I33">
            <v>45748</v>
          </cell>
          <cell r="J33" t="str">
            <v>COMERCIAL - TEMPLOS RELIGIOSOS</v>
          </cell>
          <cell r="K33" t="str">
            <v>79880000</v>
          </cell>
          <cell r="L33" t="str">
            <v>MS</v>
          </cell>
          <cell r="M33" t="str">
            <v>DOURADINA</v>
          </cell>
          <cell r="N33" t="str">
            <v>CENTRO</v>
          </cell>
          <cell r="O33" t="str">
            <v>AVENIDA PRESIDENTE DUTRA, 925 - 02.079.03.198000</v>
          </cell>
          <cell r="P33">
            <v>45758</v>
          </cell>
          <cell r="Q33" t="str">
            <v>B - B3</v>
          </cell>
          <cell r="R33" t="str">
            <v>62955505887382</v>
          </cell>
          <cell r="U33">
            <v>45728</v>
          </cell>
          <cell r="V33">
            <v>45757</v>
          </cell>
          <cell r="W33">
            <v>45789</v>
          </cell>
          <cell r="X33">
            <v>45771</v>
          </cell>
          <cell r="Y33" t="str">
            <v/>
          </cell>
          <cell r="AA33" t="str">
            <v>009.928.240-002</v>
          </cell>
          <cell r="AB33" t="str">
            <v>trifasico</v>
          </cell>
          <cell r="AC33" t="str">
            <v>convencional</v>
          </cell>
          <cell r="AD33">
            <v>114.53</v>
          </cell>
          <cell r="AE33" t="str">
            <v>34191.09107 36649.932930 85972.140009 7 10610000011453</v>
          </cell>
          <cell r="AF33" t="str">
            <v>IGREJA DO EVANGELHO QUADRANGULAR</v>
          </cell>
          <cell r="AI33">
            <v>100</v>
          </cell>
          <cell r="AJ33">
            <v>1.1172</v>
          </cell>
          <cell r="AK33">
            <v>111.72</v>
          </cell>
          <cell r="AL33">
            <v>0</v>
          </cell>
          <cell r="AM33">
            <v>1.1172</v>
          </cell>
          <cell r="AN33">
            <v>0</v>
          </cell>
          <cell r="EX33">
            <v>378</v>
          </cell>
          <cell r="FC33">
            <v>2.8099999999999996</v>
          </cell>
          <cell r="FM33">
            <v>92.72</v>
          </cell>
          <cell r="FN33">
            <v>4.9954999999999999E-2</v>
          </cell>
          <cell r="FO33">
            <v>4.63</v>
          </cell>
          <cell r="FP33">
            <v>92.72</v>
          </cell>
          <cell r="FQ33">
            <v>1.0845E-2</v>
          </cell>
          <cell r="FR33">
            <v>1</v>
          </cell>
          <cell r="FS33">
            <v>111.72</v>
          </cell>
          <cell r="FT33">
            <v>0.17</v>
          </cell>
          <cell r="FU33">
            <v>18.989999999999998</v>
          </cell>
          <cell r="GD33">
            <v>66</v>
          </cell>
          <cell r="GE33">
            <v>9036</v>
          </cell>
          <cell r="GF33">
            <v>8970</v>
          </cell>
          <cell r="GG33">
            <v>1</v>
          </cell>
          <cell r="HM33">
            <v>120</v>
          </cell>
          <cell r="HQ33">
            <v>139</v>
          </cell>
          <cell r="HU33">
            <v>100</v>
          </cell>
          <cell r="HY33">
            <v>100</v>
          </cell>
          <cell r="IC33">
            <v>96</v>
          </cell>
          <cell r="IG33">
            <v>111</v>
          </cell>
          <cell r="IK33">
            <v>112</v>
          </cell>
          <cell r="IO33">
            <v>106</v>
          </cell>
          <cell r="IS33">
            <v>100</v>
          </cell>
          <cell r="IW33">
            <v>85</v>
          </cell>
        </row>
        <row r="34">
          <cell r="A34" t="str">
            <v/>
          </cell>
          <cell r="B34" t="str">
            <v>10/3040565-8</v>
          </cell>
          <cell r="C34" t="str">
            <v>58749 - 2</v>
          </cell>
          <cell r="D34" t="str">
            <v>2024-01-01</v>
          </cell>
          <cell r="F34" t="str">
            <v>energisa_ms</v>
          </cell>
          <cell r="G34" t="str">
            <v>154</v>
          </cell>
          <cell r="H34" t="str">
            <v>Igreja do Evangelho Quadrangular</v>
          </cell>
          <cell r="I34">
            <v>45748</v>
          </cell>
          <cell r="J34" t="str">
            <v>RESIDENCIAL - RESIDENCIAL</v>
          </cell>
          <cell r="K34" t="str">
            <v>79831130</v>
          </cell>
          <cell r="L34" t="str">
            <v>MS</v>
          </cell>
          <cell r="M34" t="str">
            <v>DOURADOS</v>
          </cell>
          <cell r="N34" t="str">
            <v>VILA ROSA</v>
          </cell>
          <cell r="O34" t="str">
            <v>RUA ANTONIO AMARO DE MATTOS, 5422 - CX 02 07.010.26.205001</v>
          </cell>
          <cell r="P34">
            <v>45771</v>
          </cell>
          <cell r="Q34" t="str">
            <v>B - B1</v>
          </cell>
          <cell r="R34" t="str">
            <v>6X.XXX.XXX/XXX4-31</v>
          </cell>
          <cell r="U34">
            <v>45740</v>
          </cell>
          <cell r="V34">
            <v>45770</v>
          </cell>
          <cell r="W34">
            <v>45800</v>
          </cell>
          <cell r="X34">
            <v>45783</v>
          </cell>
          <cell r="Y34" t="str">
            <v/>
          </cell>
          <cell r="AA34" t="str">
            <v>010.101.549-002</v>
          </cell>
          <cell r="AB34" t="str">
            <v>bifasico</v>
          </cell>
          <cell r="AC34" t="str">
            <v>convencional</v>
          </cell>
          <cell r="AD34">
            <v>259.79000000000002</v>
          </cell>
          <cell r="AF34" t="str">
            <v>IGREJA DO EVANGELHO QUADRANGULAR</v>
          </cell>
          <cell r="AL34">
            <v>352</v>
          </cell>
          <cell r="AM34">
            <v>1.1215625</v>
          </cell>
          <cell r="AN34">
            <v>394.79</v>
          </cell>
          <cell r="AX34">
            <v>206</v>
          </cell>
          <cell r="AY34">
            <v>0.97160194174757275</v>
          </cell>
          <cell r="AZ34">
            <v>-200.14999999999998</v>
          </cell>
          <cell r="DZ34">
            <v>206</v>
          </cell>
          <cell r="EA34">
            <v>1.1215533980582524</v>
          </cell>
          <cell r="EB34">
            <v>-231.04</v>
          </cell>
          <cell r="ET34">
            <v>206</v>
          </cell>
          <cell r="EX34">
            <v>0</v>
          </cell>
          <cell r="FA34">
            <v>59.51</v>
          </cell>
          <cell r="FC34">
            <v>5.6400000000000006</v>
          </cell>
          <cell r="FL34">
            <v>30.89</v>
          </cell>
          <cell r="FM34">
            <v>135.91999999999999</v>
          </cell>
          <cell r="FN34">
            <v>4.9954999999999999E-2</v>
          </cell>
          <cell r="FO34">
            <v>6.79</v>
          </cell>
          <cell r="FP34">
            <v>135.91999999999999</v>
          </cell>
          <cell r="FQ34">
            <v>1.0845E-2</v>
          </cell>
          <cell r="FR34">
            <v>1.47</v>
          </cell>
          <cell r="FS34">
            <v>163.75</v>
          </cell>
          <cell r="FT34">
            <v>0.17</v>
          </cell>
          <cell r="FU34">
            <v>27.83</v>
          </cell>
          <cell r="GD34">
            <v>352</v>
          </cell>
          <cell r="GE34">
            <v>8885</v>
          </cell>
          <cell r="GF34">
            <v>8533</v>
          </cell>
          <cell r="GG34">
            <v>1</v>
          </cell>
          <cell r="HM34">
            <v>374</v>
          </cell>
          <cell r="HQ34">
            <v>309</v>
          </cell>
          <cell r="HU34">
            <v>193</v>
          </cell>
          <cell r="HY34">
            <v>256</v>
          </cell>
          <cell r="IC34">
            <v>319</v>
          </cell>
          <cell r="IG34">
            <v>273</v>
          </cell>
          <cell r="IK34">
            <v>224</v>
          </cell>
          <cell r="IO34">
            <v>260</v>
          </cell>
          <cell r="IS34">
            <v>206</v>
          </cell>
          <cell r="IW34">
            <v>227</v>
          </cell>
        </row>
        <row r="35">
          <cell r="A35" t="str">
            <v/>
          </cell>
          <cell r="B35" t="str">
            <v>10/504844-2</v>
          </cell>
          <cell r="C35" t="str">
            <v>3544</v>
          </cell>
          <cell r="D35" t="str">
            <v>2024-01-01</v>
          </cell>
          <cell r="F35" t="str">
            <v>energisa_ms</v>
          </cell>
          <cell r="G35" t="str">
            <v>3544</v>
          </cell>
          <cell r="H35" t="str">
            <v>Igreja do Evangelho Quadrangular</v>
          </cell>
          <cell r="I35">
            <v>45748</v>
          </cell>
          <cell r="J35" t="str">
            <v>COMERCIAL - TEMPLOS RELIGIOSOS</v>
          </cell>
          <cell r="K35" t="str">
            <v>79390000</v>
          </cell>
          <cell r="L35" t="str">
            <v>MS</v>
          </cell>
          <cell r="M35" t="str">
            <v>BODOQUENA</v>
          </cell>
          <cell r="N35" t="str">
            <v>CENTRO</v>
          </cell>
          <cell r="O35" t="str">
            <v>AVENIDA DO AEROPORTO, S/N - 13.076.07.034001</v>
          </cell>
          <cell r="P35">
            <v>45762</v>
          </cell>
          <cell r="Q35" t="str">
            <v>B - B3</v>
          </cell>
          <cell r="R35" t="str">
            <v>62955505354481</v>
          </cell>
          <cell r="U35">
            <v>45730</v>
          </cell>
          <cell r="V35">
            <v>45759</v>
          </cell>
          <cell r="W35">
            <v>45791</v>
          </cell>
          <cell r="X35">
            <v>45787</v>
          </cell>
          <cell r="Y35" t="str">
            <v/>
          </cell>
          <cell r="AA35" t="str">
            <v>009.974.224-002</v>
          </cell>
          <cell r="AB35" t="str">
            <v>trifasico</v>
          </cell>
          <cell r="AC35" t="str">
            <v>convencional</v>
          </cell>
          <cell r="AD35">
            <v>531.95000000000005</v>
          </cell>
          <cell r="AE35" t="str">
            <v>34191.09107 43060.992930 85972.140009 6 10770000053195</v>
          </cell>
          <cell r="AF35" t="str">
            <v>IGREJA DO EVANGELHO QUADRANGULAR</v>
          </cell>
          <cell r="AL35">
            <v>621</v>
          </cell>
          <cell r="AM35">
            <v>1.1179066022544284</v>
          </cell>
          <cell r="AN35">
            <v>694.22</v>
          </cell>
          <cell r="AX35">
            <v>240</v>
          </cell>
          <cell r="AY35">
            <v>0.97325000000000006</v>
          </cell>
          <cell r="AZ35">
            <v>-233.58</v>
          </cell>
          <cell r="DR35">
            <v>240</v>
          </cell>
          <cell r="DS35">
            <v>1.1179166666666667</v>
          </cell>
          <cell r="DT35">
            <v>-268.3</v>
          </cell>
          <cell r="ET35">
            <v>240</v>
          </cell>
          <cell r="EX35">
            <v>0</v>
          </cell>
          <cell r="FA35">
            <v>55.51</v>
          </cell>
          <cell r="FC35">
            <v>15.8</v>
          </cell>
          <cell r="FL35">
            <v>34.72</v>
          </cell>
          <cell r="FM35">
            <v>353.52</v>
          </cell>
          <cell r="FN35">
            <v>4.9954999999999999E-2</v>
          </cell>
          <cell r="FO35">
            <v>17.66</v>
          </cell>
          <cell r="FP35">
            <v>353.52</v>
          </cell>
          <cell r="FQ35">
            <v>1.0845E-2</v>
          </cell>
          <cell r="FR35">
            <v>3.84</v>
          </cell>
          <cell r="FS35">
            <v>425.92</v>
          </cell>
          <cell r="FT35">
            <v>0.17</v>
          </cell>
          <cell r="FU35">
            <v>72.400000000000006</v>
          </cell>
          <cell r="GD35">
            <v>621</v>
          </cell>
          <cell r="GE35">
            <v>38562</v>
          </cell>
          <cell r="GF35">
            <v>37941</v>
          </cell>
          <cell r="GG35">
            <v>1</v>
          </cell>
          <cell r="HM35">
            <v>567</v>
          </cell>
          <cell r="HQ35">
            <v>544</v>
          </cell>
          <cell r="HU35">
            <v>514</v>
          </cell>
          <cell r="HY35">
            <v>529</v>
          </cell>
          <cell r="IC35">
            <v>399</v>
          </cell>
          <cell r="IG35">
            <v>533</v>
          </cell>
          <cell r="IK35">
            <v>323</v>
          </cell>
          <cell r="IO35">
            <v>264</v>
          </cell>
          <cell r="IS35">
            <v>200</v>
          </cell>
          <cell r="IW35">
            <v>233</v>
          </cell>
        </row>
        <row r="36">
          <cell r="A36" t="str">
            <v/>
          </cell>
          <cell r="B36" t="str">
            <v>10/1288241-1</v>
          </cell>
          <cell r="C36" t="str">
            <v>Planalto 3358</v>
          </cell>
          <cell r="D36" t="str">
            <v>2024-01-01</v>
          </cell>
          <cell r="F36" t="str">
            <v>energisa_ms</v>
          </cell>
          <cell r="G36" t="str">
            <v>Planalto 3358</v>
          </cell>
          <cell r="H36" t="str">
            <v>Igreja do Evangelho Quadrangular</v>
          </cell>
          <cell r="I36">
            <v>45748</v>
          </cell>
          <cell r="J36" t="str">
            <v>COMERCIAL - TEMPLOS RELIGIOSOS</v>
          </cell>
          <cell r="K36" t="str">
            <v>79009790</v>
          </cell>
          <cell r="L36" t="str">
            <v>MS</v>
          </cell>
          <cell r="M36" t="str">
            <v>CAMPO GRANDE</v>
          </cell>
          <cell r="N36" t="str">
            <v>VILA PLANALTO</v>
          </cell>
          <cell r="O36" t="str">
            <v>AVENIDA TAMANDARE, 1036 - 02.104.21.198001</v>
          </cell>
          <cell r="P36">
            <v>45750</v>
          </cell>
          <cell r="Q36" t="str">
            <v>B - B3</v>
          </cell>
          <cell r="R36" t="str">
            <v>62955505335851</v>
          </cell>
          <cell r="U36">
            <v>45722</v>
          </cell>
          <cell r="V36">
            <v>45749</v>
          </cell>
          <cell r="W36">
            <v>45782</v>
          </cell>
          <cell r="X36">
            <v>45773</v>
          </cell>
          <cell r="Y36" t="str">
            <v/>
          </cell>
          <cell r="AA36" t="str">
            <v>009.805.123-002</v>
          </cell>
          <cell r="AB36" t="str">
            <v>trifasico</v>
          </cell>
          <cell r="AC36" t="str">
            <v>convencional</v>
          </cell>
          <cell r="AD36">
            <v>180.73</v>
          </cell>
          <cell r="AF36" t="str">
            <v>IGREJA DO EVANGELHO QUADRANGULAR</v>
          </cell>
          <cell r="AL36">
            <v>252</v>
          </cell>
          <cell r="AM36">
            <v>1.1162301587301589</v>
          </cell>
          <cell r="AN36">
            <v>281.29000000000002</v>
          </cell>
          <cell r="AX36">
            <v>120</v>
          </cell>
          <cell r="AY36">
            <v>0.97408333333333319</v>
          </cell>
          <cell r="AZ36">
            <v>-116.88999999999999</v>
          </cell>
          <cell r="DR36">
            <v>120</v>
          </cell>
          <cell r="DS36">
            <v>1.11625</v>
          </cell>
          <cell r="DT36">
            <v>-133.94999999999999</v>
          </cell>
          <cell r="ET36">
            <v>120</v>
          </cell>
          <cell r="EX36">
            <v>0</v>
          </cell>
          <cell r="FC36">
            <v>16.329999999999998</v>
          </cell>
          <cell r="FL36">
            <v>17.059999999999999</v>
          </cell>
          <cell r="FM36">
            <v>122.3</v>
          </cell>
          <cell r="FN36">
            <v>4.9954999999999999E-2</v>
          </cell>
          <cell r="FO36">
            <v>6.11</v>
          </cell>
          <cell r="FP36">
            <v>122.3</v>
          </cell>
          <cell r="FQ36">
            <v>1.0845E-2</v>
          </cell>
          <cell r="FR36">
            <v>1.33</v>
          </cell>
          <cell r="FS36">
            <v>147.34</v>
          </cell>
          <cell r="FT36">
            <v>0.17</v>
          </cell>
          <cell r="FU36">
            <v>25.04</v>
          </cell>
          <cell r="GD36">
            <v>252</v>
          </cell>
          <cell r="GE36">
            <v>22923</v>
          </cell>
          <cell r="GF36">
            <v>22671</v>
          </cell>
          <cell r="GG36">
            <v>1</v>
          </cell>
          <cell r="HM36">
            <v>248</v>
          </cell>
          <cell r="HQ36">
            <v>253</v>
          </cell>
          <cell r="HU36">
            <v>205</v>
          </cell>
          <cell r="HY36">
            <v>226</v>
          </cell>
          <cell r="IC36">
            <v>257</v>
          </cell>
          <cell r="IG36">
            <v>219</v>
          </cell>
          <cell r="IK36">
            <v>187</v>
          </cell>
          <cell r="IO36">
            <v>159</v>
          </cell>
          <cell r="IS36">
            <v>162</v>
          </cell>
          <cell r="IW36">
            <v>187</v>
          </cell>
        </row>
        <row r="37">
          <cell r="A37" t="str">
            <v/>
          </cell>
          <cell r="B37" t="str">
            <v>10/1117293-9</v>
          </cell>
          <cell r="C37" t="str">
            <v>Nova Andradina 8921</v>
          </cell>
          <cell r="D37" t="str">
            <v>2024-01-01</v>
          </cell>
          <cell r="F37" t="str">
            <v>energisa_ms</v>
          </cell>
          <cell r="G37" t="str">
            <v>Nova Andradina 8921</v>
          </cell>
          <cell r="H37" t="str">
            <v>Igreja do Evangelho Quadrangular</v>
          </cell>
          <cell r="I37">
            <v>45748</v>
          </cell>
          <cell r="J37" t="str">
            <v>COMERCIAL - TEMPLOS RELIGIOSOS</v>
          </cell>
          <cell r="K37" t="str">
            <v>79750000</v>
          </cell>
          <cell r="L37" t="str">
            <v>MS</v>
          </cell>
          <cell r="M37" t="str">
            <v>NOVA ANDRADINA</v>
          </cell>
          <cell r="N37" t="str">
            <v>CENTRO</v>
          </cell>
          <cell r="O37" t="str">
            <v>AVENIDA ANTONIO JOAQUIM DE MOURA ANDRADE, 2141 - 10 041 07 522500</v>
          </cell>
          <cell r="P37">
            <v>45772</v>
          </cell>
          <cell r="Q37" t="str">
            <v>B - B3</v>
          </cell>
          <cell r="R37" t="str">
            <v>62955505892114</v>
          </cell>
          <cell r="U37">
            <v>45741</v>
          </cell>
          <cell r="V37">
            <v>45771</v>
          </cell>
          <cell r="W37">
            <v>45803</v>
          </cell>
          <cell r="X37">
            <v>45793</v>
          </cell>
          <cell r="Y37" t="str">
            <v/>
          </cell>
          <cell r="AA37" t="str">
            <v>010.116.160-002</v>
          </cell>
          <cell r="AB37" t="str">
            <v>trifasico</v>
          </cell>
          <cell r="AC37" t="str">
            <v>convencional</v>
          </cell>
          <cell r="AD37">
            <v>162.84</v>
          </cell>
          <cell r="AE37" t="str">
            <v>34191.09107 60942.552930 85972.140009 9 10830000016284</v>
          </cell>
          <cell r="AF37" t="str">
            <v>IGREJA DO EVANGELHO QUADRANGULAR CENTRO</v>
          </cell>
          <cell r="AL37">
            <v>176</v>
          </cell>
          <cell r="AM37">
            <v>1.1219318181818183</v>
          </cell>
          <cell r="AN37">
            <v>197.46</v>
          </cell>
          <cell r="AX37">
            <v>76</v>
          </cell>
          <cell r="AY37">
            <v>1.1218421052631578</v>
          </cell>
          <cell r="AZ37">
            <v>-85.259999999999991</v>
          </cell>
          <cell r="DR37">
            <v>22</v>
          </cell>
          <cell r="DS37">
            <v>1.1218181818181818</v>
          </cell>
          <cell r="DT37">
            <v>-24.68</v>
          </cell>
          <cell r="DZ37">
            <v>54</v>
          </cell>
          <cell r="EA37">
            <v>1.1218518518518519</v>
          </cell>
          <cell r="EB37">
            <v>-60.58</v>
          </cell>
          <cell r="ET37">
            <v>76</v>
          </cell>
          <cell r="EX37">
            <v>514</v>
          </cell>
          <cell r="FA37">
            <v>37</v>
          </cell>
          <cell r="FC37">
            <v>13.64</v>
          </cell>
          <cell r="FM37">
            <v>93.13</v>
          </cell>
          <cell r="FN37">
            <v>4.9954999999999999E-2</v>
          </cell>
          <cell r="FO37">
            <v>4.66</v>
          </cell>
          <cell r="FP37">
            <v>93.13</v>
          </cell>
          <cell r="FQ37">
            <v>1.0845E-2</v>
          </cell>
          <cell r="FR37">
            <v>1.02</v>
          </cell>
          <cell r="FS37">
            <v>112.2</v>
          </cell>
          <cell r="FT37">
            <v>0.17</v>
          </cell>
          <cell r="FU37">
            <v>19.07</v>
          </cell>
          <cell r="GD37">
            <v>176</v>
          </cell>
          <cell r="GE37">
            <v>13309</v>
          </cell>
          <cell r="GF37">
            <v>13133</v>
          </cell>
          <cell r="GG37">
            <v>1</v>
          </cell>
          <cell r="HM37">
            <v>185</v>
          </cell>
          <cell r="HQ37">
            <v>171</v>
          </cell>
          <cell r="HU37">
            <v>282</v>
          </cell>
          <cell r="HY37">
            <v>161</v>
          </cell>
          <cell r="IC37">
            <v>179</v>
          </cell>
          <cell r="IG37">
            <v>175</v>
          </cell>
          <cell r="IK37">
            <v>152</v>
          </cell>
          <cell r="IO37">
            <v>160</v>
          </cell>
          <cell r="IS37">
            <v>145</v>
          </cell>
          <cell r="IW37">
            <v>160</v>
          </cell>
        </row>
        <row r="38">
          <cell r="A38" t="str">
            <v/>
          </cell>
          <cell r="B38" t="str">
            <v>10/1695011-5</v>
          </cell>
          <cell r="C38" t="str">
            <v>Ribas do Rio Pardo 62552</v>
          </cell>
          <cell r="D38" t="str">
            <v>2024-01-01</v>
          </cell>
          <cell r="F38" t="str">
            <v>energisa_ms</v>
          </cell>
          <cell r="G38" t="str">
            <v>Ribas do Rio Pardo 62552</v>
          </cell>
          <cell r="H38" t="str">
            <v>Igreja do Evangelho Quadrangular</v>
          </cell>
          <cell r="I38">
            <v>45748</v>
          </cell>
          <cell r="J38" t="str">
            <v>RESIDENCIAL - RESIDENCIAL</v>
          </cell>
          <cell r="K38" t="str">
            <v>79180000</v>
          </cell>
          <cell r="L38" t="str">
            <v>MS</v>
          </cell>
          <cell r="M38" t="str">
            <v>RIBAS DO RIO PARDO</v>
          </cell>
          <cell r="N38" t="str">
            <v>CENTRO</v>
          </cell>
          <cell r="O38" t="str">
            <v>RUA DOMINGOS GONCALVES GOMES, 2099 - 11.023.09.544100</v>
          </cell>
          <cell r="P38">
            <v>45758</v>
          </cell>
          <cell r="Q38" t="str">
            <v>B - B1</v>
          </cell>
          <cell r="R38" t="str">
            <v>62955505461210</v>
          </cell>
          <cell r="U38">
            <v>45728</v>
          </cell>
          <cell r="V38">
            <v>45757</v>
          </cell>
          <cell r="W38">
            <v>45789</v>
          </cell>
          <cell r="X38">
            <v>45771</v>
          </cell>
          <cell r="Y38" t="str">
            <v/>
          </cell>
          <cell r="AA38" t="str">
            <v>009.930.124-002</v>
          </cell>
          <cell r="AB38" t="str">
            <v>trifasico</v>
          </cell>
          <cell r="AC38" t="str">
            <v>convencional</v>
          </cell>
          <cell r="AD38">
            <v>1031.6500000000001</v>
          </cell>
          <cell r="AF38" t="str">
            <v>IGREJA DO EVANGELHO QUADRANGULAR</v>
          </cell>
          <cell r="AL38">
            <v>885</v>
          </cell>
          <cell r="AM38">
            <v>1.1172090395480225</v>
          </cell>
          <cell r="AN38">
            <v>988.73</v>
          </cell>
          <cell r="AX38">
            <v>72</v>
          </cell>
          <cell r="AY38">
            <v>1.1170833333333334</v>
          </cell>
          <cell r="AZ38">
            <v>-80.430000000000007</v>
          </cell>
          <cell r="DR38">
            <v>72</v>
          </cell>
          <cell r="DS38">
            <v>1.1170833333333334</v>
          </cell>
          <cell r="DT38">
            <v>-80.430000000000007</v>
          </cell>
          <cell r="ET38">
            <v>72</v>
          </cell>
          <cell r="EX38">
            <v>0</v>
          </cell>
          <cell r="FA38">
            <v>123.35</v>
          </cell>
          <cell r="FM38">
            <v>753.89</v>
          </cell>
          <cell r="FN38">
            <v>4.9954999999999999E-2</v>
          </cell>
          <cell r="FO38">
            <v>37.659999999999997</v>
          </cell>
          <cell r="FP38">
            <v>753.89</v>
          </cell>
          <cell r="FQ38">
            <v>1.0845E-2</v>
          </cell>
          <cell r="FR38">
            <v>8.18</v>
          </cell>
          <cell r="FS38">
            <v>908.3</v>
          </cell>
          <cell r="FT38">
            <v>0.17</v>
          </cell>
          <cell r="FU38">
            <v>154.41</v>
          </cell>
          <cell r="GD38">
            <v>885</v>
          </cell>
          <cell r="GE38">
            <v>78624</v>
          </cell>
          <cell r="GF38">
            <v>77739</v>
          </cell>
          <cell r="GG38">
            <v>1</v>
          </cell>
          <cell r="HM38">
            <v>873</v>
          </cell>
          <cell r="HQ38">
            <v>930</v>
          </cell>
          <cell r="HU38">
            <v>833</v>
          </cell>
          <cell r="HY38">
            <v>892</v>
          </cell>
          <cell r="IC38">
            <v>786</v>
          </cell>
          <cell r="IG38">
            <v>866</v>
          </cell>
          <cell r="IK38">
            <v>565</v>
          </cell>
          <cell r="IO38">
            <v>428</v>
          </cell>
          <cell r="IS38">
            <v>441</v>
          </cell>
          <cell r="IW38">
            <v>283</v>
          </cell>
        </row>
        <row r="39">
          <cell r="A39" t="str">
            <v/>
          </cell>
          <cell r="B39" t="str">
            <v>10/41548-9</v>
          </cell>
          <cell r="C39" t="str">
            <v>2690</v>
          </cell>
          <cell r="D39" t="str">
            <v>2024-01-01</v>
          </cell>
          <cell r="F39" t="str">
            <v>energisa_ms</v>
          </cell>
          <cell r="G39" t="str">
            <v>2690</v>
          </cell>
          <cell r="H39" t="str">
            <v>Igreja do Evangelho Quadrangular</v>
          </cell>
          <cell r="I39">
            <v>45748</v>
          </cell>
          <cell r="J39" t="str">
            <v>COMERCIAL - TEMPLOS RELIGIOSOS</v>
          </cell>
          <cell r="K39" t="str">
            <v>79833085</v>
          </cell>
          <cell r="L39" t="str">
            <v>MS</v>
          </cell>
          <cell r="M39" t="str">
            <v>DOURADOS</v>
          </cell>
          <cell r="N39" t="str">
            <v>JARDIM MARACANA</v>
          </cell>
          <cell r="O39" t="str">
            <v>RUA JOAO VICENTE FERREIRA, 6715 - 05.010.05.262000</v>
          </cell>
          <cell r="P39">
            <v>45749</v>
          </cell>
          <cell r="Q39" t="str">
            <v>B - B3</v>
          </cell>
          <cell r="R39" t="str">
            <v>62955505269026</v>
          </cell>
          <cell r="U39">
            <v>45721</v>
          </cell>
          <cell r="V39">
            <v>45748</v>
          </cell>
          <cell r="W39">
            <v>45779</v>
          </cell>
          <cell r="X39">
            <v>45758</v>
          </cell>
          <cell r="Y39" t="str">
            <v/>
          </cell>
          <cell r="AA39" t="str">
            <v>009.786.185-002</v>
          </cell>
          <cell r="AB39" t="str">
            <v>bifasico</v>
          </cell>
          <cell r="AC39" t="str">
            <v>convencional</v>
          </cell>
          <cell r="AD39">
            <v>158.06</v>
          </cell>
          <cell r="AF39" t="str">
            <v>IGREJA DO E QUADRANGULAR</v>
          </cell>
          <cell r="AL39">
            <v>289</v>
          </cell>
          <cell r="AM39">
            <v>1.1162629757785467</v>
          </cell>
          <cell r="AN39">
            <v>322.60000000000002</v>
          </cell>
          <cell r="AX39">
            <v>240</v>
          </cell>
          <cell r="AY39">
            <v>0.97408333333333319</v>
          </cell>
          <cell r="AZ39">
            <v>-233.77999999999997</v>
          </cell>
          <cell r="DR39">
            <v>240</v>
          </cell>
          <cell r="DS39">
            <v>1.11625</v>
          </cell>
          <cell r="DT39">
            <v>-267.89999999999998</v>
          </cell>
          <cell r="ET39">
            <v>240</v>
          </cell>
          <cell r="EX39">
            <v>0</v>
          </cell>
          <cell r="FA39">
            <v>59.14</v>
          </cell>
          <cell r="FC39">
            <v>10.1</v>
          </cell>
          <cell r="FL39">
            <v>34.119999999999997</v>
          </cell>
          <cell r="FM39">
            <v>45.39</v>
          </cell>
          <cell r="FN39">
            <v>4.9954999999999999E-2</v>
          </cell>
          <cell r="FO39">
            <v>2.2599999999999998</v>
          </cell>
          <cell r="FP39">
            <v>45.39</v>
          </cell>
          <cell r="FQ39">
            <v>1.0845E-2</v>
          </cell>
          <cell r="FR39">
            <v>0.49</v>
          </cell>
          <cell r="FS39">
            <v>54.7</v>
          </cell>
          <cell r="FT39">
            <v>0.17</v>
          </cell>
          <cell r="FU39">
            <v>9.2899999999999991</v>
          </cell>
          <cell r="GD39">
            <v>289</v>
          </cell>
          <cell r="GE39">
            <v>55258</v>
          </cell>
          <cell r="GF39">
            <v>54969</v>
          </cell>
          <cell r="GG39">
            <v>1</v>
          </cell>
          <cell r="HM39">
            <v>338</v>
          </cell>
          <cell r="HQ39">
            <v>425</v>
          </cell>
          <cell r="HU39">
            <v>318</v>
          </cell>
          <cell r="HY39">
            <v>422</v>
          </cell>
          <cell r="IC39">
            <v>340</v>
          </cell>
          <cell r="IG39">
            <v>313</v>
          </cell>
          <cell r="IK39">
            <v>173</v>
          </cell>
          <cell r="IO39">
            <v>137</v>
          </cell>
          <cell r="IS39">
            <v>135</v>
          </cell>
          <cell r="IW39">
            <v>196</v>
          </cell>
        </row>
        <row r="40">
          <cell r="A40" t="str">
            <v/>
          </cell>
          <cell r="B40" t="str">
            <v>10/501586-2</v>
          </cell>
          <cell r="C40" t="str">
            <v>Santo Antonio 6195</v>
          </cell>
          <cell r="D40" t="str">
            <v>2024-01-01</v>
          </cell>
          <cell r="F40" t="str">
            <v>energisa_ms</v>
          </cell>
          <cell r="G40" t="str">
            <v>Santo Antonio 6195</v>
          </cell>
          <cell r="H40" t="str">
            <v>Igreja do Evangelho Quadrangular</v>
          </cell>
          <cell r="I40">
            <v>45748</v>
          </cell>
          <cell r="J40" t="str">
            <v>COMERCIAL - TEMPLOS RELIGIOSOS</v>
          </cell>
          <cell r="K40" t="str">
            <v>79100300</v>
          </cell>
          <cell r="L40" t="str">
            <v>MS</v>
          </cell>
          <cell r="M40" t="str">
            <v>CAMPO GRANDE</v>
          </cell>
          <cell r="N40" t="str">
            <v>SANTO ANTONIO</v>
          </cell>
          <cell r="O40" t="str">
            <v>RUA LEONIDAS DE MATOS, 841 - 05.104.11.174000</v>
          </cell>
          <cell r="P40">
            <v>45755</v>
          </cell>
          <cell r="Q40" t="str">
            <v>B - B3</v>
          </cell>
          <cell r="R40" t="str">
            <v>62955505273058</v>
          </cell>
          <cell r="U40">
            <v>45726</v>
          </cell>
          <cell r="V40">
            <v>45754</v>
          </cell>
          <cell r="W40">
            <v>45785</v>
          </cell>
          <cell r="X40">
            <v>45773</v>
          </cell>
          <cell r="Y40" t="str">
            <v/>
          </cell>
          <cell r="AA40" t="str">
            <v>009.879.633-002</v>
          </cell>
          <cell r="AB40" t="str">
            <v>trifasico</v>
          </cell>
          <cell r="AC40" t="str">
            <v>convencional</v>
          </cell>
          <cell r="AD40">
            <v>111.67</v>
          </cell>
          <cell r="AF40" t="str">
            <v>IGREJA DO EVANGELHO QUADRANGULAR</v>
          </cell>
          <cell r="AL40">
            <v>240</v>
          </cell>
          <cell r="AM40">
            <v>1.11625</v>
          </cell>
          <cell r="AN40">
            <v>267.89999999999998</v>
          </cell>
          <cell r="AX40">
            <v>142</v>
          </cell>
          <cell r="AY40">
            <v>1.1002112676056337</v>
          </cell>
          <cell r="AZ40">
            <v>-156.22999999999999</v>
          </cell>
          <cell r="DR40">
            <v>142</v>
          </cell>
          <cell r="DS40">
            <v>1.1161971830985915</v>
          </cell>
          <cell r="DT40">
            <v>-158.5</v>
          </cell>
          <cell r="ET40">
            <v>142</v>
          </cell>
          <cell r="EX40">
            <v>482</v>
          </cell>
          <cell r="FL40">
            <v>2.27</v>
          </cell>
          <cell r="FM40">
            <v>90.82</v>
          </cell>
          <cell r="FN40">
            <v>4.9954999999999999E-2</v>
          </cell>
          <cell r="FO40">
            <v>4.54</v>
          </cell>
          <cell r="FP40">
            <v>90.82</v>
          </cell>
          <cell r="FQ40">
            <v>1.0845E-2</v>
          </cell>
          <cell r="FR40">
            <v>0.99</v>
          </cell>
          <cell r="FS40">
            <v>109.4</v>
          </cell>
          <cell r="FT40">
            <v>0.17</v>
          </cell>
          <cell r="FU40">
            <v>18.59</v>
          </cell>
          <cell r="GD40">
            <v>240</v>
          </cell>
          <cell r="GE40">
            <v>1221</v>
          </cell>
          <cell r="GF40">
            <v>1213</v>
          </cell>
          <cell r="GG40">
            <v>30</v>
          </cell>
          <cell r="HM40">
            <v>270</v>
          </cell>
          <cell r="HQ40">
            <v>180</v>
          </cell>
          <cell r="HU40">
            <v>150</v>
          </cell>
          <cell r="HY40">
            <v>210</v>
          </cell>
          <cell r="IC40">
            <v>180</v>
          </cell>
          <cell r="IG40">
            <v>180</v>
          </cell>
          <cell r="IK40">
            <v>150</v>
          </cell>
          <cell r="IO40">
            <v>150</v>
          </cell>
          <cell r="IS40">
            <v>150</v>
          </cell>
          <cell r="IW40">
            <v>180</v>
          </cell>
        </row>
        <row r="41">
          <cell r="A41" t="str">
            <v/>
          </cell>
          <cell r="B41" t="str">
            <v>10/61344-8</v>
          </cell>
          <cell r="C41" t="str">
            <v>154</v>
          </cell>
          <cell r="D41" t="str">
            <v>2024-01-01</v>
          </cell>
          <cell r="F41" t="str">
            <v>energisa_ms</v>
          </cell>
          <cell r="G41" t="str">
            <v>154</v>
          </cell>
          <cell r="H41" t="str">
            <v>Igreja do Evangelho Quadrangular</v>
          </cell>
          <cell r="I41">
            <v>45748</v>
          </cell>
          <cell r="J41" t="str">
            <v>RESIDENCIAL - RESIDENCIAL</v>
          </cell>
          <cell r="K41" t="str">
            <v>79802031</v>
          </cell>
          <cell r="L41" t="str">
            <v>MS</v>
          </cell>
          <cell r="M41" t="str">
            <v>DOURADOS</v>
          </cell>
          <cell r="N41" t="str">
            <v>CENTRO</v>
          </cell>
          <cell r="O41" t="str">
            <v>RUA CUIABA, 3395 - 12.010.03.220000</v>
          </cell>
          <cell r="P41">
            <v>45770</v>
          </cell>
          <cell r="Q41" t="str">
            <v>B - B1</v>
          </cell>
          <cell r="R41" t="str">
            <v>62955505015431</v>
          </cell>
          <cell r="U41">
            <v>45737</v>
          </cell>
          <cell r="V41">
            <v>45769</v>
          </cell>
          <cell r="W41">
            <v>45799</v>
          </cell>
          <cell r="X41">
            <v>45793</v>
          </cell>
          <cell r="Y41" t="str">
            <v/>
          </cell>
          <cell r="AA41" t="str">
            <v>010.076.459-002</v>
          </cell>
          <cell r="AB41" t="str">
            <v>bifasico</v>
          </cell>
          <cell r="AC41" t="str">
            <v>convencional</v>
          </cell>
          <cell r="AD41">
            <v>421.17</v>
          </cell>
          <cell r="AE41" t="str">
            <v>34191.09107 57036.582930 85972.140009 7 10830000042117</v>
          </cell>
          <cell r="AF41" t="str">
            <v>IGREJA DO EVANGELHO QUADRANGULAR</v>
          </cell>
          <cell r="AL41">
            <v>716</v>
          </cell>
          <cell r="AM41">
            <v>1.1209497206703911</v>
          </cell>
          <cell r="AN41">
            <v>802.6</v>
          </cell>
          <cell r="AX41">
            <v>517</v>
          </cell>
          <cell r="AY41">
            <v>0.97195357833655704</v>
          </cell>
          <cell r="AZ41">
            <v>-502.5</v>
          </cell>
          <cell r="DZ41">
            <v>517</v>
          </cell>
          <cell r="EA41">
            <v>1.1209477756286266</v>
          </cell>
          <cell r="EB41">
            <v>-579.53</v>
          </cell>
          <cell r="ET41">
            <v>517</v>
          </cell>
          <cell r="EX41">
            <v>0</v>
          </cell>
          <cell r="FA41">
            <v>79.930000000000007</v>
          </cell>
          <cell r="FC41">
            <v>41.14</v>
          </cell>
          <cell r="FL41">
            <v>77.03</v>
          </cell>
          <cell r="FM41">
            <v>185.15</v>
          </cell>
          <cell r="FN41">
            <v>4.9954999999999999E-2</v>
          </cell>
          <cell r="FO41">
            <v>9.25</v>
          </cell>
          <cell r="FP41">
            <v>185.15</v>
          </cell>
          <cell r="FQ41">
            <v>1.0845E-2</v>
          </cell>
          <cell r="FR41">
            <v>2</v>
          </cell>
          <cell r="FS41">
            <v>223.07</v>
          </cell>
          <cell r="FT41">
            <v>0.17</v>
          </cell>
          <cell r="FU41">
            <v>37.92</v>
          </cell>
          <cell r="GD41">
            <v>716</v>
          </cell>
          <cell r="GE41">
            <v>29430</v>
          </cell>
          <cell r="GF41">
            <v>28714</v>
          </cell>
          <cell r="GG41">
            <v>1</v>
          </cell>
          <cell r="HM41">
            <v>850</v>
          </cell>
          <cell r="HQ41">
            <v>1004</v>
          </cell>
          <cell r="HU41">
            <v>1172</v>
          </cell>
          <cell r="HY41">
            <v>960</v>
          </cell>
          <cell r="IC41">
            <v>959</v>
          </cell>
          <cell r="IG41">
            <v>887</v>
          </cell>
          <cell r="IK41">
            <v>587</v>
          </cell>
          <cell r="IO41">
            <v>525</v>
          </cell>
          <cell r="IS41">
            <v>479</v>
          </cell>
          <cell r="IW41">
            <v>625</v>
          </cell>
        </row>
        <row r="42">
          <cell r="A42" t="str">
            <v/>
          </cell>
          <cell r="B42" t="str">
            <v>10/156956-5</v>
          </cell>
          <cell r="C42" t="str">
            <v>Sede Amambai 153</v>
          </cell>
          <cell r="D42" t="str">
            <v>2024-01-01</v>
          </cell>
          <cell r="F42" t="str">
            <v>energisa_ms</v>
          </cell>
          <cell r="G42" t="str">
            <v>Sede Amambai 153</v>
          </cell>
          <cell r="H42" t="str">
            <v>Igreja do Evangelho Quadrangular</v>
          </cell>
          <cell r="I42">
            <v>45748</v>
          </cell>
          <cell r="J42" t="str">
            <v>COMERCIAL - TEMPLOS RELIGIOSOS</v>
          </cell>
          <cell r="K42" t="str">
            <v>79990000</v>
          </cell>
          <cell r="L42" t="str">
            <v>MS</v>
          </cell>
          <cell r="M42" t="str">
            <v>AMAMBAI</v>
          </cell>
          <cell r="N42" t="str">
            <v>CENTRO</v>
          </cell>
          <cell r="O42" t="str">
            <v>RUA GENERAL CAMARA, 561 - 14.036.03.163000</v>
          </cell>
          <cell r="P42">
            <v>45758</v>
          </cell>
          <cell r="Q42" t="str">
            <v>B - B3</v>
          </cell>
          <cell r="R42" t="str">
            <v>62955505015350</v>
          </cell>
          <cell r="U42">
            <v>45728</v>
          </cell>
          <cell r="V42">
            <v>45757</v>
          </cell>
          <cell r="W42">
            <v>45789</v>
          </cell>
          <cell r="X42">
            <v>45773</v>
          </cell>
          <cell r="Y42" t="str">
            <v/>
          </cell>
          <cell r="AA42" t="str">
            <v>009.926.990-002</v>
          </cell>
          <cell r="AB42" t="str">
            <v>trifasico</v>
          </cell>
          <cell r="AC42" t="str">
            <v>convencional</v>
          </cell>
          <cell r="AD42">
            <v>178.99</v>
          </cell>
          <cell r="AE42" t="str">
            <v>34191.09107 36616.922930 85972.140009 2 10630000017899</v>
          </cell>
          <cell r="AF42" t="str">
            <v>IGREJA DO EVANGELHO QUADRANGULAR</v>
          </cell>
          <cell r="AL42">
            <v>312</v>
          </cell>
          <cell r="AM42">
            <v>1.1172115384615384</v>
          </cell>
          <cell r="AN42">
            <v>348.57</v>
          </cell>
          <cell r="AX42">
            <v>232</v>
          </cell>
          <cell r="AY42">
            <v>1.0403879310344828</v>
          </cell>
          <cell r="AZ42">
            <v>-241.37</v>
          </cell>
          <cell r="DR42">
            <v>232</v>
          </cell>
          <cell r="DS42">
            <v>1.1171551724137931</v>
          </cell>
          <cell r="DT42">
            <v>-259.18</v>
          </cell>
          <cell r="ET42">
            <v>232</v>
          </cell>
          <cell r="EX42">
            <v>413</v>
          </cell>
          <cell r="FA42">
            <v>71.790000000000006</v>
          </cell>
          <cell r="FL42">
            <v>17.809999999999999</v>
          </cell>
          <cell r="FM42">
            <v>74.2</v>
          </cell>
          <cell r="FN42">
            <v>4.9954999999999999E-2</v>
          </cell>
          <cell r="FO42">
            <v>3.71</v>
          </cell>
          <cell r="FP42">
            <v>74.2</v>
          </cell>
          <cell r="FQ42">
            <v>1.0845E-2</v>
          </cell>
          <cell r="FR42">
            <v>0.81</v>
          </cell>
          <cell r="FS42">
            <v>89.39</v>
          </cell>
          <cell r="FT42">
            <v>0.17</v>
          </cell>
          <cell r="FU42">
            <v>15.19</v>
          </cell>
          <cell r="GD42">
            <v>312</v>
          </cell>
          <cell r="GE42">
            <v>33056</v>
          </cell>
          <cell r="GF42">
            <v>32744</v>
          </cell>
          <cell r="GG42">
            <v>1</v>
          </cell>
          <cell r="HM42">
            <v>489</v>
          </cell>
          <cell r="HQ42">
            <v>490</v>
          </cell>
          <cell r="HU42">
            <v>396</v>
          </cell>
          <cell r="HY42">
            <v>491</v>
          </cell>
          <cell r="IC42">
            <v>345</v>
          </cell>
          <cell r="IG42">
            <v>370</v>
          </cell>
          <cell r="IK42">
            <v>305</v>
          </cell>
          <cell r="IO42">
            <v>172</v>
          </cell>
          <cell r="IS42">
            <v>168</v>
          </cell>
          <cell r="IW42">
            <v>201</v>
          </cell>
        </row>
        <row r="43">
          <cell r="A43" t="str">
            <v/>
          </cell>
          <cell r="B43" t="str">
            <v>10/252817-2</v>
          </cell>
          <cell r="C43" t="str">
            <v>Cong. Caracol</v>
          </cell>
          <cell r="D43" t="str">
            <v>2024-01-01</v>
          </cell>
          <cell r="F43" t="str">
            <v>energisa_ms</v>
          </cell>
          <cell r="G43" t="str">
            <v>Cong. Caracol</v>
          </cell>
          <cell r="H43" t="str">
            <v>Igreja do Evangelho Quadrangular</v>
          </cell>
          <cell r="I43">
            <v>45748</v>
          </cell>
          <cell r="J43" t="str">
            <v>RESIDENCIAL - RESIDENCIAL</v>
          </cell>
          <cell r="K43" t="str">
            <v>79270000</v>
          </cell>
          <cell r="L43" t="str">
            <v>MS</v>
          </cell>
          <cell r="M43" t="str">
            <v>CARACOL</v>
          </cell>
          <cell r="N43" t="str">
            <v>CENTRO</v>
          </cell>
          <cell r="O43" t="str">
            <v>RUA JOAO MARTINS LEITE, 200 - 04.071.07.270000</v>
          </cell>
          <cell r="P43">
            <v>45763</v>
          </cell>
          <cell r="Q43" t="str">
            <v>B - B1</v>
          </cell>
          <cell r="R43" t="str">
            <v>62955505274020</v>
          </cell>
          <cell r="U43">
            <v>45734</v>
          </cell>
          <cell r="V43">
            <v>45762</v>
          </cell>
          <cell r="W43">
            <v>45793</v>
          </cell>
          <cell r="X43">
            <v>45802</v>
          </cell>
          <cell r="Y43" t="str">
            <v/>
          </cell>
          <cell r="AA43" t="str">
            <v>010.015.172-002</v>
          </cell>
          <cell r="AB43" t="str">
            <v>trifasico</v>
          </cell>
          <cell r="AC43" t="str">
            <v>convencional</v>
          </cell>
          <cell r="AD43">
            <v>184.95</v>
          </cell>
          <cell r="AE43" t="str">
            <v>34191.09107 47177.822930 85972.140009 8 10920000018495</v>
          </cell>
          <cell r="AF43" t="str">
            <v>IGREJA DO EVANGELHO QUADRANGULAR</v>
          </cell>
          <cell r="AL43">
            <v>231</v>
          </cell>
          <cell r="AM43">
            <v>1.1190476190476191</v>
          </cell>
          <cell r="AN43">
            <v>258.5</v>
          </cell>
          <cell r="AX43">
            <v>120</v>
          </cell>
          <cell r="AY43">
            <v>0.97266666666666668</v>
          </cell>
          <cell r="AZ43">
            <v>-116.72</v>
          </cell>
          <cell r="DR43">
            <v>120</v>
          </cell>
          <cell r="DS43">
            <v>1.119</v>
          </cell>
          <cell r="DT43">
            <v>-134.28</v>
          </cell>
          <cell r="ET43">
            <v>120</v>
          </cell>
          <cell r="EX43">
            <v>0</v>
          </cell>
          <cell r="FA43">
            <v>43.17</v>
          </cell>
          <cell r="FL43">
            <v>17.559999999999999</v>
          </cell>
          <cell r="FM43">
            <v>103.1</v>
          </cell>
          <cell r="FN43">
            <v>4.9954999999999999E-2</v>
          </cell>
          <cell r="FO43">
            <v>5.15</v>
          </cell>
          <cell r="FP43">
            <v>103.1</v>
          </cell>
          <cell r="FQ43">
            <v>1.0845E-2</v>
          </cell>
          <cell r="FR43">
            <v>1.1200000000000001</v>
          </cell>
          <cell r="FS43">
            <v>124.22</v>
          </cell>
          <cell r="FT43">
            <v>0.17</v>
          </cell>
          <cell r="FU43">
            <v>21.11</v>
          </cell>
          <cell r="GD43">
            <v>231</v>
          </cell>
          <cell r="GE43">
            <v>25661</v>
          </cell>
          <cell r="GF43">
            <v>25430</v>
          </cell>
          <cell r="GG43">
            <v>1</v>
          </cell>
          <cell r="HM43">
            <v>451</v>
          </cell>
          <cell r="HQ43">
            <v>338</v>
          </cell>
          <cell r="HU43">
            <v>465</v>
          </cell>
          <cell r="HY43">
            <v>343</v>
          </cell>
          <cell r="IC43">
            <v>227</v>
          </cell>
          <cell r="IG43">
            <v>265</v>
          </cell>
          <cell r="IK43">
            <v>232</v>
          </cell>
          <cell r="IO43">
            <v>324</v>
          </cell>
          <cell r="IS43">
            <v>209</v>
          </cell>
          <cell r="IW43">
            <v>398</v>
          </cell>
        </row>
        <row r="44">
          <cell r="A44" t="str">
            <v/>
          </cell>
          <cell r="B44" t="str">
            <v>10/3170252-5</v>
          </cell>
          <cell r="C44" t="str">
            <v>6917</v>
          </cell>
          <cell r="D44" t="str">
            <v>2024-01-01</v>
          </cell>
          <cell r="F44" t="str">
            <v>energisa_ms</v>
          </cell>
          <cell r="G44" t="str">
            <v>6917</v>
          </cell>
          <cell r="H44" t="str">
            <v>Igreja do Evangelho Quadrangular</v>
          </cell>
          <cell r="I44">
            <v>45748</v>
          </cell>
          <cell r="J44" t="str">
            <v>COMERCIAL - TEMPLOS RELIGIOSOS</v>
          </cell>
          <cell r="K44" t="str">
            <v>79680000</v>
          </cell>
          <cell r="L44" t="str">
            <v>MS</v>
          </cell>
          <cell r="M44" t="str">
            <v>AGUA CLARA</v>
          </cell>
          <cell r="N44" t="str">
            <v>JARDIM AEROPORTO</v>
          </cell>
          <cell r="O44" t="str">
            <v>RUA GABRIEL FERREIRA DOMINGUES, 335 - FUNDOS QD 02 LT 14 - 05-073-03-13</v>
          </cell>
          <cell r="P44">
            <v>45762</v>
          </cell>
          <cell r="Q44" t="str">
            <v>B - B3</v>
          </cell>
          <cell r="R44" t="str">
            <v>62955505035629</v>
          </cell>
          <cell r="U44">
            <v>45733</v>
          </cell>
          <cell r="V44">
            <v>45761</v>
          </cell>
          <cell r="W44">
            <v>45792</v>
          </cell>
          <cell r="X44">
            <v>45779</v>
          </cell>
          <cell r="Y44" t="str">
            <v/>
          </cell>
          <cell r="AA44" t="str">
            <v>009.998.049-002</v>
          </cell>
          <cell r="AB44" t="str">
            <v>trifasico</v>
          </cell>
          <cell r="AC44" t="str">
            <v>convencional</v>
          </cell>
          <cell r="AD44">
            <v>358.83</v>
          </cell>
          <cell r="AE44" t="str">
            <v>34191.09107 44435.612930 85972.140009 4 10690000035883</v>
          </cell>
          <cell r="AF44" t="str">
            <v>IGREJA DO EVANGELHO QUADRANGULAR</v>
          </cell>
          <cell r="AL44">
            <v>1208</v>
          </cell>
          <cell r="AM44">
            <v>1.118725165562914</v>
          </cell>
          <cell r="AN44">
            <v>1351.42</v>
          </cell>
          <cell r="AX44">
            <v>1208</v>
          </cell>
          <cell r="AY44">
            <v>0.97292218543046349</v>
          </cell>
          <cell r="AZ44">
            <v>-1175.29</v>
          </cell>
          <cell r="DZ44">
            <v>1208</v>
          </cell>
          <cell r="EA44">
            <v>1.118725165562914</v>
          </cell>
          <cell r="EB44">
            <v>-1351.42</v>
          </cell>
          <cell r="ET44">
            <v>1208</v>
          </cell>
          <cell r="EV44">
            <v>4486</v>
          </cell>
          <cell r="EW44">
            <v>4486</v>
          </cell>
          <cell r="EX44">
            <v>27617</v>
          </cell>
          <cell r="FA44">
            <v>178.69</v>
          </cell>
          <cell r="FC44">
            <v>4.01</v>
          </cell>
          <cell r="FL44">
            <v>176.13</v>
          </cell>
          <cell r="FM44">
            <v>0</v>
          </cell>
          <cell r="FN44">
            <v>4.9954999999999999E-2</v>
          </cell>
          <cell r="FO44">
            <v>0</v>
          </cell>
          <cell r="FP44">
            <v>0</v>
          </cell>
          <cell r="FQ44">
            <v>1.0845E-2</v>
          </cell>
          <cell r="FR44">
            <v>0</v>
          </cell>
          <cell r="FS44">
            <v>0</v>
          </cell>
          <cell r="FT44">
            <v>0.17</v>
          </cell>
          <cell r="FU44">
            <v>0</v>
          </cell>
          <cell r="GD44">
            <v>1208</v>
          </cell>
          <cell r="GE44">
            <v>11798</v>
          </cell>
          <cell r="GF44">
            <v>10590</v>
          </cell>
          <cell r="GG44">
            <v>1</v>
          </cell>
          <cell r="HM44">
            <v>1313</v>
          </cell>
          <cell r="HQ44">
            <v>849</v>
          </cell>
          <cell r="HU44">
            <v>1119</v>
          </cell>
          <cell r="HY44">
            <v>1243</v>
          </cell>
          <cell r="IC44">
            <v>834</v>
          </cell>
          <cell r="IG44">
            <v>1101</v>
          </cell>
          <cell r="IK44">
            <v>609</v>
          </cell>
          <cell r="IO44">
            <v>435</v>
          </cell>
          <cell r="IS44">
            <v>327</v>
          </cell>
          <cell r="IW44">
            <v>487</v>
          </cell>
        </row>
        <row r="45">
          <cell r="A45" t="str">
            <v/>
          </cell>
          <cell r="B45" t="str">
            <v>10/5202-7</v>
          </cell>
          <cell r="C45" t="str">
            <v>Sede (161)</v>
          </cell>
          <cell r="D45" t="str">
            <v>2024-01-01</v>
          </cell>
          <cell r="F45" t="str">
            <v>energisa_ms</v>
          </cell>
          <cell r="G45" t="str">
            <v>Sede (161)</v>
          </cell>
          <cell r="H45" t="str">
            <v>Igreja do Evangelho Quadrangular</v>
          </cell>
          <cell r="I45">
            <v>45748</v>
          </cell>
          <cell r="J45" t="str">
            <v>COMERCIAL - TEMPLOS RELIGIOSOS</v>
          </cell>
          <cell r="K45" t="str">
            <v>79200000</v>
          </cell>
          <cell r="L45" t="str">
            <v>MS</v>
          </cell>
          <cell r="M45" t="str">
            <v>AQUIDAUANA</v>
          </cell>
          <cell r="N45" t="str">
            <v>CENTRO</v>
          </cell>
          <cell r="O45" t="str">
            <v>RUA DUQUE DE CAXIAS, 887 - 09.002.01.190000</v>
          </cell>
          <cell r="P45">
            <v>45757</v>
          </cell>
          <cell r="Q45" t="str">
            <v>B - B3</v>
          </cell>
          <cell r="R45" t="str">
            <v>62955505393207</v>
          </cell>
          <cell r="U45">
            <v>45727</v>
          </cell>
          <cell r="V45">
            <v>45756</v>
          </cell>
          <cell r="W45">
            <v>45786</v>
          </cell>
          <cell r="X45">
            <v>45792</v>
          </cell>
          <cell r="Y45" t="str">
            <v/>
          </cell>
          <cell r="AA45" t="str">
            <v>009.901.715-002</v>
          </cell>
          <cell r="AB45" t="str">
            <v>trifasico</v>
          </cell>
          <cell r="AC45" t="str">
            <v>convencional</v>
          </cell>
          <cell r="AD45">
            <v>351.77</v>
          </cell>
          <cell r="AE45" t="str">
            <v>34191.09107 30520.662930 85972.140009 7 10820000035177</v>
          </cell>
          <cell r="AF45" t="str">
            <v>IGREJA DO EVANGELHO QUADRANGULAR</v>
          </cell>
          <cell r="AL45">
            <v>2042.68</v>
          </cell>
          <cell r="AM45">
            <v>1.1168905555446764</v>
          </cell>
          <cell r="AN45">
            <v>2281.4499999999998</v>
          </cell>
          <cell r="AX45">
            <v>2042</v>
          </cell>
          <cell r="AY45">
            <v>1.071851126346719</v>
          </cell>
          <cell r="AZ45">
            <v>-2188.7200000000003</v>
          </cell>
          <cell r="DR45">
            <v>2042</v>
          </cell>
          <cell r="DS45">
            <v>1.1168903036238982</v>
          </cell>
          <cell r="DT45">
            <v>-2280.69</v>
          </cell>
          <cell r="ET45">
            <v>2042</v>
          </cell>
          <cell r="EX45">
            <v>366</v>
          </cell>
          <cell r="FA45">
            <v>259.04000000000002</v>
          </cell>
          <cell r="FL45">
            <v>91.97</v>
          </cell>
          <cell r="FM45">
            <v>0.65</v>
          </cell>
          <cell r="FN45">
            <v>4.9954999999999999E-2</v>
          </cell>
          <cell r="FO45">
            <v>0.03</v>
          </cell>
          <cell r="FP45">
            <v>0.65</v>
          </cell>
          <cell r="FQ45">
            <v>1.0845E-2</v>
          </cell>
          <cell r="FR45">
            <v>0.02</v>
          </cell>
          <cell r="FS45">
            <v>0.76</v>
          </cell>
          <cell r="FT45">
            <v>0.17</v>
          </cell>
          <cell r="FU45">
            <v>0.12</v>
          </cell>
          <cell r="GD45">
            <v>2042.68</v>
          </cell>
          <cell r="GE45">
            <v>6066.77</v>
          </cell>
          <cell r="GF45">
            <v>6015.7</v>
          </cell>
          <cell r="GG45">
            <v>40</v>
          </cell>
          <cell r="HM45">
            <v>2733.12</v>
          </cell>
          <cell r="HQ45">
            <v>1810.6</v>
          </cell>
          <cell r="HU45">
            <v>1832.2</v>
          </cell>
          <cell r="HY45">
            <v>2993.72</v>
          </cell>
          <cell r="IC45">
            <v>1746.18</v>
          </cell>
          <cell r="IG45">
            <v>1967.69</v>
          </cell>
          <cell r="IK45">
            <v>1244.98</v>
          </cell>
          <cell r="IO45">
            <v>1221.3699999999999</v>
          </cell>
          <cell r="IS45">
            <v>996.67</v>
          </cell>
          <cell r="IW45">
            <v>1097.17</v>
          </cell>
        </row>
        <row r="46">
          <cell r="A46" t="str">
            <v/>
          </cell>
          <cell r="B46" t="str">
            <v>10/399338-3</v>
          </cell>
          <cell r="C46" t="str">
            <v>Piratininga 2132</v>
          </cell>
          <cell r="D46" t="str">
            <v>2024-01-01</v>
          </cell>
          <cell r="F46" t="str">
            <v>energisa_ms</v>
          </cell>
          <cell r="G46" t="str">
            <v>Piratininga 2132</v>
          </cell>
          <cell r="H46" t="str">
            <v>Igreja do Evangelho Quadrangular</v>
          </cell>
          <cell r="I46">
            <v>45748</v>
          </cell>
          <cell r="J46" t="str">
            <v>COMERCIAL - TEMPLOS RELIGIOSOS</v>
          </cell>
          <cell r="K46" t="str">
            <v>79081160</v>
          </cell>
          <cell r="L46" t="str">
            <v>MS</v>
          </cell>
          <cell r="M46" t="str">
            <v>CAMPO GRANDE</v>
          </cell>
          <cell r="N46" t="str">
            <v>VILA PIRATININGA</v>
          </cell>
          <cell r="O46" t="str">
            <v>RUA GENERAL ALCOFORADO, 499 - 17.103.11.353000</v>
          </cell>
          <cell r="P46">
            <v>45762</v>
          </cell>
          <cell r="Q46" t="str">
            <v>B - B3</v>
          </cell>
          <cell r="R46" t="str">
            <v>62955505213233</v>
          </cell>
          <cell r="U46">
            <v>45730</v>
          </cell>
          <cell r="V46">
            <v>45759</v>
          </cell>
          <cell r="W46">
            <v>45791</v>
          </cell>
          <cell r="X46">
            <v>45772</v>
          </cell>
          <cell r="Y46" t="str">
            <v/>
          </cell>
          <cell r="AA46" t="str">
            <v>009.973.719-002</v>
          </cell>
          <cell r="AB46" t="str">
            <v>trifasico</v>
          </cell>
          <cell r="AC46" t="str">
            <v>convencional</v>
          </cell>
          <cell r="AD46">
            <v>237.24</v>
          </cell>
          <cell r="AF46" t="str">
            <v>IGREJA DO EVANGELHO QUADRANGULAR</v>
          </cell>
          <cell r="AL46">
            <v>605</v>
          </cell>
          <cell r="AM46">
            <v>1.1179173553719008</v>
          </cell>
          <cell r="AN46">
            <v>676.34</v>
          </cell>
          <cell r="AX46">
            <v>481</v>
          </cell>
          <cell r="AY46">
            <v>0.97326403326403332</v>
          </cell>
          <cell r="AZ46">
            <v>-468.14000000000004</v>
          </cell>
          <cell r="DR46">
            <v>481</v>
          </cell>
          <cell r="DS46">
            <v>1.1179209979209981</v>
          </cell>
          <cell r="DT46">
            <v>-537.72</v>
          </cell>
          <cell r="ET46">
            <v>481</v>
          </cell>
          <cell r="EX46">
            <v>0</v>
          </cell>
          <cell r="FC46">
            <v>29.04</v>
          </cell>
          <cell r="FL46">
            <v>69.58</v>
          </cell>
          <cell r="FM46">
            <v>115.06</v>
          </cell>
          <cell r="FN46">
            <v>4.9954999999999999E-2</v>
          </cell>
          <cell r="FO46">
            <v>5.75</v>
          </cell>
          <cell r="FP46">
            <v>115.06</v>
          </cell>
          <cell r="FQ46">
            <v>1.0845E-2</v>
          </cell>
          <cell r="FR46">
            <v>1.25</v>
          </cell>
          <cell r="FS46">
            <v>138.62</v>
          </cell>
          <cell r="FT46">
            <v>0.17</v>
          </cell>
          <cell r="FU46">
            <v>23.56</v>
          </cell>
          <cell r="GD46">
            <v>605</v>
          </cell>
          <cell r="GE46">
            <v>60910</v>
          </cell>
          <cell r="GF46">
            <v>60305</v>
          </cell>
          <cell r="GG46">
            <v>1</v>
          </cell>
          <cell r="HM46">
            <v>757</v>
          </cell>
          <cell r="HQ46">
            <v>639</v>
          </cell>
          <cell r="HU46">
            <v>572</v>
          </cell>
          <cell r="HY46">
            <v>895</v>
          </cell>
          <cell r="IC46">
            <v>648</v>
          </cell>
          <cell r="IG46">
            <v>735</v>
          </cell>
          <cell r="IK46">
            <v>501</v>
          </cell>
          <cell r="IO46">
            <v>465</v>
          </cell>
          <cell r="IS46">
            <v>336</v>
          </cell>
          <cell r="IW46">
            <v>560</v>
          </cell>
        </row>
        <row r="47">
          <cell r="A47" t="str">
            <v/>
          </cell>
          <cell r="B47" t="str">
            <v>10/191945-5</v>
          </cell>
          <cell r="C47" t="str">
            <v>Cassilandia 2157-91</v>
          </cell>
          <cell r="D47" t="str">
            <v>2024-01-01</v>
          </cell>
          <cell r="F47" t="str">
            <v>energisa_ms</v>
          </cell>
          <cell r="G47" t="str">
            <v>Cassilandia 2157-91</v>
          </cell>
          <cell r="H47" t="str">
            <v>Igreja do Evangelho Quadrangular</v>
          </cell>
          <cell r="I47">
            <v>45748</v>
          </cell>
          <cell r="J47" t="str">
            <v>RESIDENCIAL - RESIDENCIAL</v>
          </cell>
          <cell r="K47" t="str">
            <v>79540000</v>
          </cell>
          <cell r="L47" t="str">
            <v>MS</v>
          </cell>
          <cell r="M47" t="str">
            <v>CASSILANDIA</v>
          </cell>
          <cell r="N47" t="str">
            <v>CENTRO</v>
          </cell>
          <cell r="O47" t="str">
            <v>RUA GOIAS, 1000 - 06.044.03.335000</v>
          </cell>
          <cell r="P47">
            <v>45775</v>
          </cell>
          <cell r="Q47" t="str">
            <v>B - B1</v>
          </cell>
          <cell r="R47" t="str">
            <v>62955505215791</v>
          </cell>
          <cell r="U47">
            <v>45742</v>
          </cell>
          <cell r="V47">
            <v>45772</v>
          </cell>
          <cell r="W47">
            <v>45804</v>
          </cell>
          <cell r="X47">
            <v>45785</v>
          </cell>
          <cell r="Y47" t="str">
            <v/>
          </cell>
          <cell r="AA47" t="str">
            <v>010.132.876-002</v>
          </cell>
          <cell r="AB47" t="str">
            <v>trifasico</v>
          </cell>
          <cell r="AC47" t="str">
            <v>convencional</v>
          </cell>
          <cell r="AD47">
            <v>956.66</v>
          </cell>
          <cell r="AE47" t="str">
            <v>34191.09107 63760.092930 85972.140009 1 10750000095666</v>
          </cell>
          <cell r="AF47" t="str">
            <v>IGREJA DO EVANGELHO QUADRANGULAR</v>
          </cell>
          <cell r="AL47">
            <v>769</v>
          </cell>
          <cell r="AM47">
            <v>1.1222496749024706</v>
          </cell>
          <cell r="AN47">
            <v>863.01</v>
          </cell>
          <cell r="AX47">
            <v>109</v>
          </cell>
          <cell r="AY47">
            <v>1.1222018348623852</v>
          </cell>
          <cell r="AZ47">
            <v>-122.32</v>
          </cell>
          <cell r="DZ47">
            <v>109</v>
          </cell>
          <cell r="EA47">
            <v>1.1222018348623852</v>
          </cell>
          <cell r="EB47">
            <v>-122.32</v>
          </cell>
          <cell r="ET47">
            <v>109</v>
          </cell>
          <cell r="EX47">
            <v>0</v>
          </cell>
          <cell r="FA47">
            <v>185.03</v>
          </cell>
          <cell r="FC47">
            <v>30.94</v>
          </cell>
          <cell r="FM47">
            <v>614.78</v>
          </cell>
          <cell r="FN47">
            <v>4.9954999999999999E-2</v>
          </cell>
          <cell r="FO47">
            <v>30.71</v>
          </cell>
          <cell r="FP47">
            <v>614.78</v>
          </cell>
          <cell r="FQ47">
            <v>1.0845E-2</v>
          </cell>
          <cell r="FR47">
            <v>6.67</v>
          </cell>
          <cell r="FS47">
            <v>740.69</v>
          </cell>
          <cell r="FT47">
            <v>0.17</v>
          </cell>
          <cell r="FU47">
            <v>125.91</v>
          </cell>
          <cell r="GD47">
            <v>769</v>
          </cell>
          <cell r="GE47">
            <v>72875</v>
          </cell>
          <cell r="GF47">
            <v>72106</v>
          </cell>
          <cell r="GG47">
            <v>1</v>
          </cell>
          <cell r="HM47">
            <v>878</v>
          </cell>
          <cell r="HQ47">
            <v>863</v>
          </cell>
          <cell r="HU47">
            <v>876</v>
          </cell>
          <cell r="HY47">
            <v>984</v>
          </cell>
          <cell r="IC47">
            <v>983</v>
          </cell>
          <cell r="IG47">
            <v>890</v>
          </cell>
          <cell r="IK47">
            <v>612</v>
          </cell>
          <cell r="IO47">
            <v>508</v>
          </cell>
          <cell r="IS47">
            <v>486</v>
          </cell>
          <cell r="IW47">
            <v>510</v>
          </cell>
        </row>
        <row r="48">
          <cell r="A48" t="str">
            <v/>
          </cell>
          <cell r="B48" t="str">
            <v>10/395471-6</v>
          </cell>
          <cell r="C48" t="str">
            <v>Jardim Tarumã 2488</v>
          </cell>
          <cell r="D48" t="str">
            <v>2024-01-01</v>
          </cell>
          <cell r="F48" t="str">
            <v>energisa_ms</v>
          </cell>
          <cell r="G48" t="str">
            <v>Jardim Tarumã 2488</v>
          </cell>
          <cell r="H48" t="str">
            <v>Igreja do Evangelho Quadrangular</v>
          </cell>
          <cell r="I48">
            <v>45748</v>
          </cell>
          <cell r="J48" t="str">
            <v>COMERCIAL - TEMPLOS RELIGIOSOS</v>
          </cell>
          <cell r="K48" t="str">
            <v>79097200</v>
          </cell>
          <cell r="L48" t="str">
            <v>MS</v>
          </cell>
          <cell r="M48" t="str">
            <v>CAMPO GRANDE</v>
          </cell>
          <cell r="N48" t="str">
            <v>JARDIM TARUMA</v>
          </cell>
          <cell r="O48" t="str">
            <v>RUA VERDE LOURO, 931 - 11.103.25.135000</v>
          </cell>
          <cell r="P48">
            <v>45763</v>
          </cell>
          <cell r="Q48" t="str">
            <v>B - B3</v>
          </cell>
          <cell r="R48" t="str">
            <v>62955505248886</v>
          </cell>
          <cell r="U48">
            <v>45734</v>
          </cell>
          <cell r="V48">
            <v>45762</v>
          </cell>
          <cell r="W48">
            <v>45793</v>
          </cell>
          <cell r="X48">
            <v>45787</v>
          </cell>
          <cell r="Y48" t="str">
            <v/>
          </cell>
          <cell r="AA48" t="str">
            <v>010.015.924-002</v>
          </cell>
          <cell r="AB48" t="str">
            <v>trifasico</v>
          </cell>
          <cell r="AC48" t="str">
            <v>convencional</v>
          </cell>
          <cell r="AD48">
            <v>108.98</v>
          </cell>
          <cell r="AE48" t="str">
            <v>34191.09545 24659.840276 52186.260007 7 10770000010898</v>
          </cell>
          <cell r="AF48" t="str">
            <v>IGREJA DO EVANGELHO QUADRANGULAR</v>
          </cell>
          <cell r="AL48">
            <v>306</v>
          </cell>
          <cell r="AM48">
            <v>1.1190522875816993</v>
          </cell>
          <cell r="AN48">
            <v>342.43</v>
          </cell>
          <cell r="AX48">
            <v>240</v>
          </cell>
          <cell r="AY48">
            <v>0.97270833333333329</v>
          </cell>
          <cell r="AZ48">
            <v>-233.45</v>
          </cell>
          <cell r="DR48">
            <v>240</v>
          </cell>
          <cell r="DS48">
            <v>1.1190416666666667</v>
          </cell>
          <cell r="DT48">
            <v>-268.57</v>
          </cell>
          <cell r="ET48">
            <v>240</v>
          </cell>
          <cell r="EX48">
            <v>0</v>
          </cell>
          <cell r="FL48">
            <v>35.119999999999997</v>
          </cell>
          <cell r="FM48">
            <v>61.31</v>
          </cell>
          <cell r="FN48">
            <v>4.9954999999999999E-2</v>
          </cell>
          <cell r="FO48">
            <v>3.07</v>
          </cell>
          <cell r="FP48">
            <v>61.31</v>
          </cell>
          <cell r="FQ48">
            <v>1.0845E-2</v>
          </cell>
          <cell r="FR48">
            <v>0.66</v>
          </cell>
          <cell r="FS48">
            <v>73.86</v>
          </cell>
          <cell r="FT48">
            <v>0.17</v>
          </cell>
          <cell r="FU48">
            <v>12.55</v>
          </cell>
          <cell r="GD48">
            <v>306</v>
          </cell>
          <cell r="GE48">
            <v>33908</v>
          </cell>
          <cell r="GF48">
            <v>33602</v>
          </cell>
          <cell r="GG48">
            <v>1</v>
          </cell>
          <cell r="HM48">
            <v>499</v>
          </cell>
          <cell r="HQ48">
            <v>406</v>
          </cell>
          <cell r="HU48">
            <v>452</v>
          </cell>
          <cell r="HY48">
            <v>359</v>
          </cell>
          <cell r="IC48">
            <v>271</v>
          </cell>
          <cell r="IG48">
            <v>239</v>
          </cell>
          <cell r="IK48">
            <v>198</v>
          </cell>
          <cell r="IO48">
            <v>167</v>
          </cell>
          <cell r="IS48">
            <v>171</v>
          </cell>
          <cell r="IW48">
            <v>93</v>
          </cell>
        </row>
        <row r="49">
          <cell r="A49" t="str">
            <v/>
          </cell>
          <cell r="B49" t="str">
            <v>10/1698130-0</v>
          </cell>
          <cell r="C49" t="str">
            <v>Ribas do Rio Pardo 62552</v>
          </cell>
          <cell r="D49" t="str">
            <v>2024-01-01</v>
          </cell>
          <cell r="F49" t="str">
            <v>energisa_ms</v>
          </cell>
          <cell r="G49" t="str">
            <v>Ribas do Rio Pardo 62552</v>
          </cell>
          <cell r="H49" t="str">
            <v>Igreja do Evangelho Quadrangular</v>
          </cell>
          <cell r="I49">
            <v>45748</v>
          </cell>
          <cell r="J49" t="str">
            <v>COMERCIAL - COMERCIAL</v>
          </cell>
          <cell r="K49" t="str">
            <v>79180000</v>
          </cell>
          <cell r="L49" t="str">
            <v>MS</v>
          </cell>
          <cell r="M49" t="str">
            <v>RIBAS DO RIO PARDO</v>
          </cell>
          <cell r="N49" t="str">
            <v>CENTRO</v>
          </cell>
          <cell r="O49" t="str">
            <v>RUA DOMINGOS GONCALVES GOMES, 2079 - Q 08 L 02 11.023.09.544000</v>
          </cell>
          <cell r="P49">
            <v>45758</v>
          </cell>
          <cell r="Q49" t="str">
            <v>B - B3</v>
          </cell>
          <cell r="R49" t="str">
            <v>62955505461210</v>
          </cell>
          <cell r="U49">
            <v>45728</v>
          </cell>
          <cell r="V49">
            <v>45757</v>
          </cell>
          <cell r="W49">
            <v>45789</v>
          </cell>
          <cell r="X49">
            <v>45771</v>
          </cell>
          <cell r="Y49" t="str">
            <v/>
          </cell>
          <cell r="AA49" t="str">
            <v>009.930.133-002</v>
          </cell>
          <cell r="AB49" t="str">
            <v>trifasico</v>
          </cell>
          <cell r="AC49" t="str">
            <v>convencional</v>
          </cell>
          <cell r="AD49">
            <v>250.99</v>
          </cell>
          <cell r="AF49" t="str">
            <v>IGREJA DO EVANGELHO QUADRANGULAR</v>
          </cell>
          <cell r="AL49">
            <v>340</v>
          </cell>
          <cell r="AM49">
            <v>1.1172058823529412</v>
          </cell>
          <cell r="AN49">
            <v>379.85</v>
          </cell>
          <cell r="AX49">
            <v>192</v>
          </cell>
          <cell r="AY49">
            <v>1.0887500000000001</v>
          </cell>
          <cell r="AZ49">
            <v>-209.04000000000002</v>
          </cell>
          <cell r="DR49">
            <v>192</v>
          </cell>
          <cell r="DS49">
            <v>1.1171354166666667</v>
          </cell>
          <cell r="DT49">
            <v>-214.49</v>
          </cell>
          <cell r="ET49">
            <v>192</v>
          </cell>
          <cell r="EX49">
            <v>0</v>
          </cell>
          <cell r="FA49">
            <v>80.180000000000007</v>
          </cell>
          <cell r="FL49">
            <v>5.45</v>
          </cell>
          <cell r="FM49">
            <v>137.25</v>
          </cell>
          <cell r="FN49">
            <v>4.9954999999999999E-2</v>
          </cell>
          <cell r="FO49">
            <v>6.86</v>
          </cell>
          <cell r="FP49">
            <v>137.25</v>
          </cell>
          <cell r="FQ49">
            <v>1.0845E-2</v>
          </cell>
          <cell r="FR49">
            <v>1.49</v>
          </cell>
          <cell r="FS49">
            <v>165.36</v>
          </cell>
          <cell r="FT49">
            <v>0.17</v>
          </cell>
          <cell r="FU49">
            <v>28.11</v>
          </cell>
          <cell r="GD49">
            <v>340</v>
          </cell>
          <cell r="GE49">
            <v>95759</v>
          </cell>
          <cell r="GF49">
            <v>95419</v>
          </cell>
          <cell r="GG49">
            <v>1</v>
          </cell>
          <cell r="HM49">
            <v>327</v>
          </cell>
          <cell r="HQ49">
            <v>371</v>
          </cell>
          <cell r="HU49">
            <v>339</v>
          </cell>
          <cell r="HY49">
            <v>323</v>
          </cell>
          <cell r="IC49">
            <v>283</v>
          </cell>
          <cell r="IG49">
            <v>348</v>
          </cell>
          <cell r="IK49">
            <v>184</v>
          </cell>
          <cell r="IO49">
            <v>128</v>
          </cell>
          <cell r="IS49">
            <v>132</v>
          </cell>
          <cell r="IW49">
            <v>92</v>
          </cell>
        </row>
        <row r="50">
          <cell r="A50" t="str">
            <v/>
          </cell>
          <cell r="B50" t="str">
            <v>10/13786-9</v>
          </cell>
          <cell r="C50" t="str">
            <v>Generoso</v>
          </cell>
          <cell r="D50" t="str">
            <v>2024-01-01</v>
          </cell>
          <cell r="F50" t="str">
            <v>energisa_ms</v>
          </cell>
          <cell r="G50" t="str">
            <v>Generoso</v>
          </cell>
          <cell r="H50" t="str">
            <v>Igreja do Evangelho Quadrangular</v>
          </cell>
          <cell r="I50">
            <v>45748</v>
          </cell>
          <cell r="J50" t="str">
            <v>COMERCIAL - TEMPLOS RELIGIOSOS</v>
          </cell>
          <cell r="K50" t="str">
            <v>79333080</v>
          </cell>
          <cell r="L50" t="str">
            <v>MS</v>
          </cell>
          <cell r="M50" t="str">
            <v>CORUMBA</v>
          </cell>
          <cell r="N50" t="str">
            <v>DOM BOSCO</v>
          </cell>
          <cell r="O50" t="str">
            <v>RUA MARECHAL DEODORO, 118 - 03.003.01.491000</v>
          </cell>
          <cell r="P50">
            <v>45763</v>
          </cell>
          <cell r="Q50" t="str">
            <v>B - B3</v>
          </cell>
          <cell r="R50" t="str">
            <v>62955505197521</v>
          </cell>
          <cell r="U50">
            <v>45734</v>
          </cell>
          <cell r="V50">
            <v>45762</v>
          </cell>
          <cell r="W50">
            <v>45793</v>
          </cell>
          <cell r="X50">
            <v>45776</v>
          </cell>
          <cell r="Y50" t="str">
            <v/>
          </cell>
          <cell r="AA50" t="str">
            <v>010.013.652-002</v>
          </cell>
          <cell r="AB50" t="str">
            <v>bifasico</v>
          </cell>
          <cell r="AC50" t="str">
            <v>convencional</v>
          </cell>
          <cell r="AD50">
            <v>90.07</v>
          </cell>
          <cell r="AF50" t="str">
            <v>IGREJA DO EVANGELHO QUADRANGULAR</v>
          </cell>
          <cell r="AL50">
            <v>280</v>
          </cell>
          <cell r="AM50">
            <v>1.1190714285714285</v>
          </cell>
          <cell r="AN50">
            <v>313.33999999999997</v>
          </cell>
          <cell r="AX50">
            <v>240</v>
          </cell>
          <cell r="AY50">
            <v>0.97270833333333329</v>
          </cell>
          <cell r="AZ50">
            <v>-233.45</v>
          </cell>
          <cell r="DR50">
            <v>240</v>
          </cell>
          <cell r="DS50">
            <v>1.1190416666666667</v>
          </cell>
          <cell r="DT50">
            <v>-268.57</v>
          </cell>
          <cell r="ET50">
            <v>240</v>
          </cell>
          <cell r="EX50">
            <v>0</v>
          </cell>
          <cell r="FC50">
            <v>10.180000000000001</v>
          </cell>
          <cell r="FL50">
            <v>35.119999999999997</v>
          </cell>
          <cell r="FM50">
            <v>37.159999999999997</v>
          </cell>
          <cell r="FN50">
            <v>4.9954999999999999E-2</v>
          </cell>
          <cell r="FO50">
            <v>1.86</v>
          </cell>
          <cell r="FP50">
            <v>37.159999999999997</v>
          </cell>
          <cell r="FQ50">
            <v>1.0845E-2</v>
          </cell>
          <cell r="FR50">
            <v>0.4</v>
          </cell>
          <cell r="FS50">
            <v>44.77</v>
          </cell>
          <cell r="FT50">
            <v>0.17</v>
          </cell>
          <cell r="FU50">
            <v>7.61</v>
          </cell>
          <cell r="GD50">
            <v>280</v>
          </cell>
          <cell r="GE50">
            <v>11959</v>
          </cell>
          <cell r="GF50">
            <v>11679</v>
          </cell>
          <cell r="GG50">
            <v>1</v>
          </cell>
          <cell r="HM50">
            <v>410</v>
          </cell>
          <cell r="HQ50">
            <v>271</v>
          </cell>
          <cell r="HU50">
            <v>315</v>
          </cell>
          <cell r="HY50">
            <v>380</v>
          </cell>
          <cell r="IC50">
            <v>282</v>
          </cell>
          <cell r="IG50">
            <v>294</v>
          </cell>
          <cell r="IK50">
            <v>185</v>
          </cell>
          <cell r="IO50">
            <v>214</v>
          </cell>
          <cell r="IS50">
            <v>160</v>
          </cell>
          <cell r="IW50">
            <v>208</v>
          </cell>
        </row>
        <row r="51">
          <cell r="A51" t="str">
            <v/>
          </cell>
          <cell r="B51" t="str">
            <v>10/2599101-9</v>
          </cell>
          <cell r="C51" t="str">
            <v>Administrativa</v>
          </cell>
          <cell r="D51" t="str">
            <v>2024-01-01</v>
          </cell>
          <cell r="F51" t="str">
            <v>energisa_ms</v>
          </cell>
          <cell r="G51" t="str">
            <v>Administrativa</v>
          </cell>
          <cell r="H51" t="str">
            <v>Igreja do Evangelho Quadrangular</v>
          </cell>
          <cell r="I51">
            <v>45748</v>
          </cell>
          <cell r="J51" t="str">
            <v>COMERCIAL - TEMPLOS RELIGIOSOS</v>
          </cell>
          <cell r="K51" t="str">
            <v>79006001</v>
          </cell>
          <cell r="L51" t="str">
            <v>MS</v>
          </cell>
          <cell r="M51" t="str">
            <v>CAMPO GRANDE</v>
          </cell>
          <cell r="N51" t="str">
            <v>GUANANDI</v>
          </cell>
          <cell r="O51" t="str">
            <v>AVENIDA BANDEIRANTES, 0</v>
          </cell>
          <cell r="P51">
            <v>45751</v>
          </cell>
          <cell r="Q51" t="str">
            <v>B - B3</v>
          </cell>
          <cell r="R51" t="str">
            <v>62955505379395</v>
          </cell>
          <cell r="U51">
            <v>45723</v>
          </cell>
          <cell r="V51">
            <v>45750</v>
          </cell>
          <cell r="W51">
            <v>45783</v>
          </cell>
          <cell r="X51">
            <v>45761</v>
          </cell>
          <cell r="Y51" t="str">
            <v/>
          </cell>
          <cell r="AA51" t="str">
            <v>009.824.530-002</v>
          </cell>
          <cell r="AB51" t="str">
            <v>trifasico</v>
          </cell>
          <cell r="AC51" t="str">
            <v>convencional</v>
          </cell>
          <cell r="AD51">
            <v>98.34</v>
          </cell>
          <cell r="AE51" t="str">
            <v>34191.09545 12623.090276 52186.260007 8 10510000009834</v>
          </cell>
          <cell r="AF51" t="str">
            <v>IGREJA DO EVANGELHO QUADRANGULAR</v>
          </cell>
          <cell r="AL51">
            <v>927</v>
          </cell>
          <cell r="AM51">
            <v>1.1162567421790723</v>
          </cell>
          <cell r="AN51">
            <v>1034.77</v>
          </cell>
          <cell r="AX51">
            <v>897</v>
          </cell>
          <cell r="AY51">
            <v>1.0479264214046822</v>
          </cell>
          <cell r="AZ51">
            <v>-939.99</v>
          </cell>
          <cell r="DR51">
            <v>897</v>
          </cell>
          <cell r="DS51">
            <v>1.1162541806020068</v>
          </cell>
          <cell r="DT51">
            <v>-1001.28</v>
          </cell>
          <cell r="ET51">
            <v>897</v>
          </cell>
          <cell r="EX51">
            <v>507</v>
          </cell>
          <cell r="FC51">
            <v>3.56</v>
          </cell>
          <cell r="FL51">
            <v>61.29</v>
          </cell>
          <cell r="FM51">
            <v>27.81</v>
          </cell>
          <cell r="FN51">
            <v>4.9954999999999999E-2</v>
          </cell>
          <cell r="FO51">
            <v>1.38</v>
          </cell>
          <cell r="FP51">
            <v>27.81</v>
          </cell>
          <cell r="FQ51">
            <v>1.0845E-2</v>
          </cell>
          <cell r="FR51">
            <v>0.3</v>
          </cell>
          <cell r="FS51">
            <v>33.49</v>
          </cell>
          <cell r="FT51">
            <v>0.17</v>
          </cell>
          <cell r="FU51">
            <v>5.69</v>
          </cell>
          <cell r="GD51">
            <v>927</v>
          </cell>
          <cell r="GE51">
            <v>10232</v>
          </cell>
          <cell r="GF51">
            <v>9305</v>
          </cell>
          <cell r="GG51">
            <v>1</v>
          </cell>
          <cell r="HM51">
            <v>1430</v>
          </cell>
          <cell r="HQ51">
            <v>820</v>
          </cell>
          <cell r="HU51">
            <v>763</v>
          </cell>
          <cell r="HY51">
            <v>1140</v>
          </cell>
          <cell r="IC51">
            <v>1181</v>
          </cell>
          <cell r="IG51">
            <v>1060</v>
          </cell>
          <cell r="IK51">
            <v>686</v>
          </cell>
          <cell r="IO51">
            <v>539</v>
          </cell>
          <cell r="IS51">
            <v>664</v>
          </cell>
          <cell r="IW51">
            <v>531</v>
          </cell>
        </row>
        <row r="52">
          <cell r="A52" t="str">
            <v/>
          </cell>
          <cell r="B52" t="str">
            <v>10/10232-7</v>
          </cell>
          <cell r="C52" t="str">
            <v>Nova Aquidauana (3932)</v>
          </cell>
          <cell r="D52" t="str">
            <v>2024-01-01</v>
          </cell>
          <cell r="F52" t="str">
            <v>energisa_ms</v>
          </cell>
          <cell r="G52" t="str">
            <v>Sede (161)</v>
          </cell>
          <cell r="H52" t="str">
            <v>Igreja do Evangelho Quadrangular</v>
          </cell>
          <cell r="I52">
            <v>45748</v>
          </cell>
          <cell r="J52" t="str">
            <v>COMERCIAL - TEMPLOS RELIGIOSOS</v>
          </cell>
          <cell r="K52" t="str">
            <v>79200000</v>
          </cell>
          <cell r="L52" t="str">
            <v>MS</v>
          </cell>
          <cell r="M52" t="str">
            <v>AQUIDAUANA</v>
          </cell>
          <cell r="N52" t="str">
            <v>NOVA AQUIDAUANA</v>
          </cell>
          <cell r="O52" t="str">
            <v>RUA ONZE, S/N - Q 74 L 22 10.002.13.434000</v>
          </cell>
          <cell r="P52">
            <v>45772</v>
          </cell>
          <cell r="Q52" t="str">
            <v>B - B3</v>
          </cell>
          <cell r="R52" t="str">
            <v>62955505393207</v>
          </cell>
          <cell r="U52">
            <v>45741</v>
          </cell>
          <cell r="V52">
            <v>45771</v>
          </cell>
          <cell r="W52">
            <v>45803</v>
          </cell>
          <cell r="X52">
            <v>45784</v>
          </cell>
          <cell r="Y52" t="str">
            <v/>
          </cell>
          <cell r="AA52" t="str">
            <v>010.111.990-002</v>
          </cell>
          <cell r="AB52" t="str">
            <v>bifasico</v>
          </cell>
          <cell r="AC52" t="str">
            <v>convencional</v>
          </cell>
          <cell r="AD52">
            <v>86.33</v>
          </cell>
          <cell r="AF52" t="str">
            <v>IGREJA DO EVANGELHO QUADRANGULAR</v>
          </cell>
          <cell r="AL52">
            <v>199</v>
          </cell>
          <cell r="AM52">
            <v>1.1219095477386933</v>
          </cell>
          <cell r="AN52">
            <v>223.26</v>
          </cell>
          <cell r="AX52">
            <v>149</v>
          </cell>
          <cell r="AY52">
            <v>1.1218120805369125</v>
          </cell>
          <cell r="AZ52">
            <v>-167.14999999999998</v>
          </cell>
          <cell r="DR52">
            <v>95</v>
          </cell>
          <cell r="DS52">
            <v>1.1217894736842104</v>
          </cell>
          <cell r="DT52">
            <v>-106.57</v>
          </cell>
          <cell r="DZ52">
            <v>54</v>
          </cell>
          <cell r="EA52">
            <v>1.1218518518518519</v>
          </cell>
          <cell r="EB52">
            <v>-60.58</v>
          </cell>
          <cell r="ET52">
            <v>149</v>
          </cell>
          <cell r="EX52">
            <v>574</v>
          </cell>
          <cell r="FA52">
            <v>30.22</v>
          </cell>
          <cell r="FM52">
            <v>46.59</v>
          </cell>
          <cell r="FN52">
            <v>4.9954999999999999E-2</v>
          </cell>
          <cell r="FO52">
            <v>2.33</v>
          </cell>
          <cell r="FP52">
            <v>46.59</v>
          </cell>
          <cell r="FQ52">
            <v>1.0845E-2</v>
          </cell>
          <cell r="FR52">
            <v>0.51</v>
          </cell>
          <cell r="FS52">
            <v>56.11</v>
          </cell>
          <cell r="FT52">
            <v>0.17</v>
          </cell>
          <cell r="FU52">
            <v>9.5299999999999994</v>
          </cell>
          <cell r="GD52">
            <v>199</v>
          </cell>
          <cell r="GE52">
            <v>35792</v>
          </cell>
          <cell r="GF52">
            <v>35593</v>
          </cell>
          <cell r="GG52">
            <v>1</v>
          </cell>
          <cell r="HM52">
            <v>234</v>
          </cell>
          <cell r="HQ52">
            <v>203</v>
          </cell>
          <cell r="HU52">
            <v>93</v>
          </cell>
          <cell r="HY52">
            <v>82</v>
          </cell>
          <cell r="IC52">
            <v>113</v>
          </cell>
          <cell r="IG52">
            <v>116</v>
          </cell>
          <cell r="IK52">
            <v>88</v>
          </cell>
          <cell r="IO52">
            <v>77</v>
          </cell>
          <cell r="IS52">
            <v>72</v>
          </cell>
          <cell r="IW52">
            <v>119</v>
          </cell>
        </row>
        <row r="53">
          <cell r="A53" t="str">
            <v/>
          </cell>
          <cell r="B53" t="str">
            <v>10/1035655-8</v>
          </cell>
          <cell r="C53" t="str">
            <v>58749 - 1</v>
          </cell>
          <cell r="D53" t="str">
            <v>2024-01-01</v>
          </cell>
          <cell r="F53" t="str">
            <v>energisa_ms</v>
          </cell>
          <cell r="G53" t="str">
            <v>5661</v>
          </cell>
          <cell r="H53" t="str">
            <v>Igreja do Evangelho Quadrangular</v>
          </cell>
          <cell r="I53">
            <v>45748</v>
          </cell>
          <cell r="J53" t="str">
            <v>COMERCIAL - TEMPLOS RELIGIOSOS</v>
          </cell>
          <cell r="K53" t="str">
            <v>79831130</v>
          </cell>
          <cell r="L53" t="str">
            <v>MS</v>
          </cell>
          <cell r="M53" t="str">
            <v>DOURADOS</v>
          </cell>
          <cell r="N53" t="str">
            <v>VILA ROSA</v>
          </cell>
          <cell r="O53" t="str">
            <v>RUA ANTONIO AMARO DE MATTOS, 5413 - 07.010.34.501000</v>
          </cell>
          <cell r="P53">
            <v>45771</v>
          </cell>
          <cell r="Q53" t="str">
            <v>B - B3</v>
          </cell>
          <cell r="R53" t="str">
            <v>62955505182257</v>
          </cell>
          <cell r="U53">
            <v>45740</v>
          </cell>
          <cell r="V53">
            <v>45770</v>
          </cell>
          <cell r="W53">
            <v>45800</v>
          </cell>
          <cell r="X53">
            <v>45783</v>
          </cell>
          <cell r="Y53" t="str">
            <v/>
          </cell>
          <cell r="AA53" t="str">
            <v>010.098.711-002</v>
          </cell>
          <cell r="AB53" t="str">
            <v>trifasico</v>
          </cell>
          <cell r="AC53" t="str">
            <v>convencional</v>
          </cell>
          <cell r="AD53">
            <v>181.88</v>
          </cell>
          <cell r="AE53" t="str">
            <v>34191.09107 60160.922930 85972.140009 1 10730000018188</v>
          </cell>
          <cell r="AF53" t="str">
            <v>IGREJA DO EVANGELHO QUADRANGULAR</v>
          </cell>
          <cell r="AL53">
            <v>338</v>
          </cell>
          <cell r="AM53">
            <v>1.1215384615384616</v>
          </cell>
          <cell r="AN53">
            <v>379.08</v>
          </cell>
          <cell r="AX53">
            <v>238</v>
          </cell>
          <cell r="AY53">
            <v>1.1215546218487396</v>
          </cell>
          <cell r="AZ53">
            <v>-266.93</v>
          </cell>
          <cell r="DZ53">
            <v>238</v>
          </cell>
          <cell r="EA53">
            <v>1.1215546218487396</v>
          </cell>
          <cell r="EB53">
            <v>-266.93</v>
          </cell>
          <cell r="ET53">
            <v>238</v>
          </cell>
          <cell r="EX53">
            <v>2166</v>
          </cell>
          <cell r="FA53">
            <v>66.3</v>
          </cell>
          <cell r="FC53">
            <v>3.43</v>
          </cell>
          <cell r="FM53">
            <v>93.09</v>
          </cell>
          <cell r="FN53">
            <v>4.9954999999999999E-2</v>
          </cell>
          <cell r="FO53">
            <v>4.6500000000000004</v>
          </cell>
          <cell r="FP53">
            <v>93.09</v>
          </cell>
          <cell r="FQ53">
            <v>1.0845E-2</v>
          </cell>
          <cell r="FR53">
            <v>1.01</v>
          </cell>
          <cell r="FS53">
            <v>112.15</v>
          </cell>
          <cell r="FT53">
            <v>0.17</v>
          </cell>
          <cell r="FU53">
            <v>19.059999999999999</v>
          </cell>
          <cell r="GD53">
            <v>338</v>
          </cell>
          <cell r="GE53">
            <v>50954</v>
          </cell>
          <cell r="GF53">
            <v>50616</v>
          </cell>
          <cell r="GG53">
            <v>1</v>
          </cell>
          <cell r="HM53">
            <v>581</v>
          </cell>
          <cell r="HQ53">
            <v>433</v>
          </cell>
          <cell r="HU53">
            <v>540</v>
          </cell>
          <cell r="HY53">
            <v>528</v>
          </cell>
          <cell r="IC53">
            <v>671</v>
          </cell>
          <cell r="IG53">
            <v>385</v>
          </cell>
          <cell r="IK53">
            <v>321</v>
          </cell>
          <cell r="IO53">
            <v>273</v>
          </cell>
          <cell r="IS53">
            <v>214</v>
          </cell>
          <cell r="IW53">
            <v>381</v>
          </cell>
        </row>
        <row r="54">
          <cell r="A54" t="str">
            <v/>
          </cell>
          <cell r="B54" t="str">
            <v>10/480529-7</v>
          </cell>
          <cell r="C54" t="str">
            <v>58121</v>
          </cell>
          <cell r="D54" t="str">
            <v>2024-01-01</v>
          </cell>
          <cell r="F54" t="str">
            <v>energisa_ms</v>
          </cell>
          <cell r="G54" t="str">
            <v>5661</v>
          </cell>
          <cell r="H54" t="str">
            <v>Igreja do Evangelho Quadrangular</v>
          </cell>
          <cell r="I54">
            <v>45748</v>
          </cell>
          <cell r="J54" t="str">
            <v>COMERCIAL - TEMPLOS RELIGIOSOS</v>
          </cell>
          <cell r="K54" t="str">
            <v>79814330</v>
          </cell>
          <cell r="L54" t="str">
            <v>MS</v>
          </cell>
          <cell r="M54" t="str">
            <v>DOURADOS</v>
          </cell>
          <cell r="N54" t="str">
            <v>VILA CACHOEIRINHA</v>
          </cell>
          <cell r="O54" t="str">
            <v>RUA EULALIA PIRES, 240 - 15.010.33.581000</v>
          </cell>
          <cell r="P54">
            <v>45758</v>
          </cell>
          <cell r="Q54" t="str">
            <v>B - B3</v>
          </cell>
          <cell r="R54" t="str">
            <v>62955505182257</v>
          </cell>
          <cell r="U54">
            <v>45728</v>
          </cell>
          <cell r="V54">
            <v>45757</v>
          </cell>
          <cell r="W54">
            <v>45789</v>
          </cell>
          <cell r="X54">
            <v>45771</v>
          </cell>
          <cell r="Y54" t="str">
            <v/>
          </cell>
          <cell r="AA54" t="str">
            <v>009.928.138-002</v>
          </cell>
          <cell r="AB54" t="str">
            <v>trifasico</v>
          </cell>
          <cell r="AC54" t="str">
            <v>convencional</v>
          </cell>
          <cell r="AD54">
            <v>290.24</v>
          </cell>
          <cell r="AF54" t="str">
            <v>IGREJA DO EVANGELHO QUADRANGULAR</v>
          </cell>
          <cell r="AL54">
            <v>405</v>
          </cell>
          <cell r="AM54">
            <v>1.1172098765432099</v>
          </cell>
          <cell r="AN54">
            <v>452.47</v>
          </cell>
          <cell r="AX54">
            <v>240</v>
          </cell>
          <cell r="AY54">
            <v>0.97354166666666664</v>
          </cell>
          <cell r="AZ54">
            <v>-233.65</v>
          </cell>
          <cell r="DR54">
            <v>240</v>
          </cell>
          <cell r="DS54">
            <v>1.1172083333333334</v>
          </cell>
          <cell r="DT54">
            <v>-268.13</v>
          </cell>
          <cell r="ET54">
            <v>240</v>
          </cell>
          <cell r="EX54">
            <v>0</v>
          </cell>
          <cell r="FA54">
            <v>71.42</v>
          </cell>
          <cell r="FL54">
            <v>34.479999999999997</v>
          </cell>
          <cell r="FM54">
            <v>153</v>
          </cell>
          <cell r="FN54">
            <v>4.9954999999999999E-2</v>
          </cell>
          <cell r="FO54">
            <v>7.64</v>
          </cell>
          <cell r="FP54">
            <v>153</v>
          </cell>
          <cell r="FQ54">
            <v>1.0845E-2</v>
          </cell>
          <cell r="FR54">
            <v>1.66</v>
          </cell>
          <cell r="FS54">
            <v>184.34</v>
          </cell>
          <cell r="FT54">
            <v>0.17</v>
          </cell>
          <cell r="FU54">
            <v>31.33</v>
          </cell>
          <cell r="GD54">
            <v>405</v>
          </cell>
          <cell r="GE54">
            <v>11723</v>
          </cell>
          <cell r="GF54">
            <v>11318</v>
          </cell>
          <cell r="GG54">
            <v>1</v>
          </cell>
          <cell r="HM54">
            <v>488</v>
          </cell>
          <cell r="HQ54">
            <v>517</v>
          </cell>
          <cell r="HU54">
            <v>356</v>
          </cell>
          <cell r="HY54">
            <v>378</v>
          </cell>
          <cell r="IC54">
            <v>368</v>
          </cell>
          <cell r="IG54">
            <v>364</v>
          </cell>
          <cell r="IK54">
            <v>283</v>
          </cell>
          <cell r="IO54">
            <v>318</v>
          </cell>
          <cell r="IS54">
            <v>374</v>
          </cell>
          <cell r="IW54">
            <v>268</v>
          </cell>
        </row>
        <row r="55">
          <cell r="A55" t="str">
            <v/>
          </cell>
          <cell r="B55" t="str">
            <v>10/162736-3</v>
          </cell>
          <cell r="C55" t="str">
            <v>885</v>
          </cell>
          <cell r="D55" t="str">
            <v>2024-01-01</v>
          </cell>
          <cell r="F55" t="str">
            <v>energisa_ms</v>
          </cell>
          <cell r="G55" t="str">
            <v>885</v>
          </cell>
          <cell r="H55" t="str">
            <v>Igreja do Evangelho Quadrangular</v>
          </cell>
          <cell r="I55">
            <v>45748</v>
          </cell>
          <cell r="J55" t="str">
            <v>COMERCIAL - TEMPLOS RELIGIOSOS</v>
          </cell>
          <cell r="K55" t="str">
            <v>79480000</v>
          </cell>
          <cell r="L55" t="str">
            <v>MS</v>
          </cell>
          <cell r="M55" t="str">
            <v>RIO VERDE DE MATO GROSSO</v>
          </cell>
          <cell r="N55" t="str">
            <v>CENTRO</v>
          </cell>
          <cell r="O55" t="str">
            <v>RUA SANTOS DUMONT, 310 - IGREJA</v>
          </cell>
          <cell r="P55">
            <v>45763</v>
          </cell>
          <cell r="Q55" t="str">
            <v>B - B3</v>
          </cell>
          <cell r="R55" t="str">
            <v>62955505197360</v>
          </cell>
          <cell r="U55">
            <v>45734</v>
          </cell>
          <cell r="V55">
            <v>45762</v>
          </cell>
          <cell r="W55">
            <v>45793</v>
          </cell>
          <cell r="X55">
            <v>45787</v>
          </cell>
          <cell r="Y55" t="str">
            <v/>
          </cell>
          <cell r="AA55" t="str">
            <v>010.014.713-002</v>
          </cell>
          <cell r="AB55" t="str">
            <v>trifasico</v>
          </cell>
          <cell r="AC55" t="str">
            <v>convencional</v>
          </cell>
          <cell r="AD55">
            <v>276.73</v>
          </cell>
          <cell r="AE55" t="str">
            <v>34191.09107 47156.122930 85972.140009 1 10770000027673</v>
          </cell>
          <cell r="AF55" t="str">
            <v>IGREJA DO EVANGELHO QUADRANGULAR</v>
          </cell>
          <cell r="AL55">
            <v>343</v>
          </cell>
          <cell r="AM55">
            <v>1.119067055393586</v>
          </cell>
          <cell r="AN55">
            <v>383.84</v>
          </cell>
          <cell r="AX55">
            <v>165</v>
          </cell>
          <cell r="AY55">
            <v>1.0976969696969696</v>
          </cell>
          <cell r="AZ55">
            <v>-181.12</v>
          </cell>
          <cell r="DR55">
            <v>165</v>
          </cell>
          <cell r="DS55">
            <v>1.1189696969696969</v>
          </cell>
          <cell r="DT55">
            <v>-184.63</v>
          </cell>
          <cell r="ET55">
            <v>165</v>
          </cell>
          <cell r="EX55">
            <v>0</v>
          </cell>
          <cell r="FA55">
            <v>74.010000000000005</v>
          </cell>
          <cell r="FL55">
            <v>3.51</v>
          </cell>
          <cell r="FM55">
            <v>165.35</v>
          </cell>
          <cell r="FN55">
            <v>4.9954999999999999E-2</v>
          </cell>
          <cell r="FO55">
            <v>8.26</v>
          </cell>
          <cell r="FP55">
            <v>165.35</v>
          </cell>
          <cell r="FQ55">
            <v>1.0845E-2</v>
          </cell>
          <cell r="FR55">
            <v>1.79</v>
          </cell>
          <cell r="FS55">
            <v>199.21</v>
          </cell>
          <cell r="FT55">
            <v>0.17</v>
          </cell>
          <cell r="FU55">
            <v>33.86</v>
          </cell>
          <cell r="GD55">
            <v>343</v>
          </cell>
          <cell r="GE55">
            <v>32909</v>
          </cell>
          <cell r="GF55">
            <v>32566</v>
          </cell>
          <cell r="GG55">
            <v>1</v>
          </cell>
          <cell r="HM55">
            <v>477</v>
          </cell>
          <cell r="HQ55">
            <v>472</v>
          </cell>
          <cell r="HU55">
            <v>332</v>
          </cell>
          <cell r="HY55">
            <v>235</v>
          </cell>
          <cell r="IC55">
            <v>184</v>
          </cell>
          <cell r="IG55">
            <v>255</v>
          </cell>
          <cell r="IK55">
            <v>139</v>
          </cell>
          <cell r="IO55">
            <v>97</v>
          </cell>
          <cell r="IS55">
            <v>89</v>
          </cell>
          <cell r="IW55">
            <v>114</v>
          </cell>
        </row>
        <row r="56">
          <cell r="A56" t="str">
            <v/>
          </cell>
          <cell r="B56" t="str">
            <v>10/52987-5</v>
          </cell>
          <cell r="C56" t="str">
            <v>1822</v>
          </cell>
          <cell r="D56" t="str">
            <v>2024-01-01</v>
          </cell>
          <cell r="F56" t="str">
            <v>energisa_ms</v>
          </cell>
          <cell r="G56" t="str">
            <v>5661</v>
          </cell>
          <cell r="H56" t="str">
            <v>Igreja do Evangelho Quadrangular</v>
          </cell>
          <cell r="I56">
            <v>45748</v>
          </cell>
          <cell r="J56" t="str">
            <v>COMERCIAL - TEMPLOS RELIGIOSOS</v>
          </cell>
          <cell r="K56" t="str">
            <v>79812170</v>
          </cell>
          <cell r="L56" t="str">
            <v>MS</v>
          </cell>
          <cell r="M56" t="str">
            <v>DOURADOS</v>
          </cell>
          <cell r="N56" t="str">
            <v>JARDIM AGUA BOA</v>
          </cell>
          <cell r="O56" t="str">
            <v>RUA SALVIANO PEDROSO, 1150 - 09.010.29.651000</v>
          </cell>
          <cell r="P56">
            <v>45764</v>
          </cell>
          <cell r="Q56" t="str">
            <v>B - B3</v>
          </cell>
          <cell r="R56" t="str">
            <v>62955505182257</v>
          </cell>
          <cell r="U56">
            <v>45735</v>
          </cell>
          <cell r="V56">
            <v>45763</v>
          </cell>
          <cell r="W56">
            <v>45796</v>
          </cell>
          <cell r="X56">
            <v>45779</v>
          </cell>
          <cell r="Y56" t="str">
            <v/>
          </cell>
          <cell r="AA56" t="str">
            <v>010.034.452-002</v>
          </cell>
          <cell r="AB56" t="str">
            <v>trifasico</v>
          </cell>
          <cell r="AC56" t="str">
            <v>convencional</v>
          </cell>
          <cell r="AD56">
            <v>262.94</v>
          </cell>
          <cell r="AE56" t="str">
            <v>34191.09107 50347.652930 85972.140009 5 10690000026294</v>
          </cell>
          <cell r="AF56" t="str">
            <v>IGREJA DO EVANGELHO QUADRANGULAR</v>
          </cell>
          <cell r="AL56">
            <v>286</v>
          </cell>
          <cell r="AM56">
            <v>1.1194055944055943</v>
          </cell>
          <cell r="AN56">
            <v>320.14999999999998</v>
          </cell>
          <cell r="AX56">
            <v>120</v>
          </cell>
          <cell r="AY56">
            <v>0.97266666666666679</v>
          </cell>
          <cell r="AZ56">
            <v>-116.72000000000001</v>
          </cell>
          <cell r="DR56">
            <v>120</v>
          </cell>
          <cell r="DS56">
            <v>1.1194166666666667</v>
          </cell>
          <cell r="DT56">
            <v>-134.33000000000001</v>
          </cell>
          <cell r="ET56">
            <v>120</v>
          </cell>
          <cell r="EX56">
            <v>0</v>
          </cell>
          <cell r="FA56">
            <v>59.51</v>
          </cell>
          <cell r="FL56">
            <v>17.61</v>
          </cell>
          <cell r="FM56">
            <v>154.24</v>
          </cell>
          <cell r="FN56">
            <v>4.9954999999999999E-2</v>
          </cell>
          <cell r="FO56">
            <v>7.7</v>
          </cell>
          <cell r="FP56">
            <v>154.24</v>
          </cell>
          <cell r="FQ56">
            <v>1.0845E-2</v>
          </cell>
          <cell r="FR56">
            <v>1.67</v>
          </cell>
          <cell r="FS56">
            <v>185.82</v>
          </cell>
          <cell r="FT56">
            <v>0.17</v>
          </cell>
          <cell r="FU56">
            <v>31.58</v>
          </cell>
          <cell r="GD56">
            <v>286</v>
          </cell>
          <cell r="GE56">
            <v>27366</v>
          </cell>
          <cell r="GF56">
            <v>27080</v>
          </cell>
          <cell r="GG56">
            <v>1</v>
          </cell>
          <cell r="HM56">
            <v>433</v>
          </cell>
          <cell r="HQ56">
            <v>467</v>
          </cell>
          <cell r="HU56">
            <v>358</v>
          </cell>
          <cell r="HY56">
            <v>314</v>
          </cell>
          <cell r="IC56">
            <v>222</v>
          </cell>
          <cell r="IG56">
            <v>315</v>
          </cell>
          <cell r="IK56">
            <v>172</v>
          </cell>
          <cell r="IO56">
            <v>120</v>
          </cell>
          <cell r="IS56">
            <v>107</v>
          </cell>
          <cell r="IW56">
            <v>173</v>
          </cell>
        </row>
        <row r="57">
          <cell r="A57" t="str">
            <v/>
          </cell>
          <cell r="B57" t="str">
            <v>10/69319-2</v>
          </cell>
          <cell r="C57" t="str">
            <v>5661</v>
          </cell>
          <cell r="D57" t="str">
            <v>2024-01-01</v>
          </cell>
          <cell r="F57" t="str">
            <v>energisa_ms</v>
          </cell>
          <cell r="G57" t="str">
            <v>5661</v>
          </cell>
          <cell r="H57" t="str">
            <v>Igreja do Evangelho Quadrangular</v>
          </cell>
          <cell r="I57">
            <v>45748</v>
          </cell>
          <cell r="J57" t="str">
            <v>COMERCIAL - TEMPLOS RELIGIOSOS</v>
          </cell>
          <cell r="K57" t="str">
            <v>79822200</v>
          </cell>
          <cell r="L57" t="str">
            <v>MS</v>
          </cell>
          <cell r="M57" t="str">
            <v>DOURADOS</v>
          </cell>
          <cell r="N57" t="str">
            <v>PANAMBI VERA</v>
          </cell>
          <cell r="O57" t="str">
            <v>RUA ANTONIO ALVES ROCHA, 635 - 18.010.02.266000</v>
          </cell>
          <cell r="P57">
            <v>45762</v>
          </cell>
          <cell r="Q57" t="str">
            <v>B - B3</v>
          </cell>
          <cell r="R57" t="str">
            <v>62955505182257</v>
          </cell>
          <cell r="U57">
            <v>45733</v>
          </cell>
          <cell r="V57">
            <v>45761</v>
          </cell>
          <cell r="W57">
            <v>45792</v>
          </cell>
          <cell r="X57">
            <v>45775</v>
          </cell>
          <cell r="Y57" t="str">
            <v/>
          </cell>
          <cell r="AA57" t="str">
            <v>009.990.943-002</v>
          </cell>
          <cell r="AB57" t="str">
            <v>trifasico</v>
          </cell>
          <cell r="AC57" t="str">
            <v>convencional</v>
          </cell>
          <cell r="AD57">
            <v>185.76</v>
          </cell>
          <cell r="AE57" t="str">
            <v>34191.09107 43947.232930 85972.140009 6 10650000018576</v>
          </cell>
          <cell r="AF57" t="str">
            <v>IGREJA DO EVANGELHO QUADRANGULAR</v>
          </cell>
          <cell r="AL57">
            <v>302</v>
          </cell>
          <cell r="AM57">
            <v>1.1187086092715233</v>
          </cell>
          <cell r="AN57">
            <v>337.85</v>
          </cell>
          <cell r="AX57">
            <v>240</v>
          </cell>
          <cell r="AY57">
            <v>0.97291666666666665</v>
          </cell>
          <cell r="AZ57">
            <v>-233.5</v>
          </cell>
          <cell r="DR57">
            <v>240</v>
          </cell>
          <cell r="DS57">
            <v>1.1187083333333334</v>
          </cell>
          <cell r="DT57">
            <v>-268.49</v>
          </cell>
          <cell r="ET57">
            <v>240</v>
          </cell>
          <cell r="EX57">
            <v>0</v>
          </cell>
          <cell r="FA57">
            <v>66.3</v>
          </cell>
          <cell r="FC57">
            <v>15.11</v>
          </cell>
          <cell r="FL57">
            <v>34.99</v>
          </cell>
          <cell r="FM57">
            <v>57.57</v>
          </cell>
          <cell r="FN57">
            <v>4.9954999999999999E-2</v>
          </cell>
          <cell r="FO57">
            <v>2.88</v>
          </cell>
          <cell r="FP57">
            <v>57.57</v>
          </cell>
          <cell r="FQ57">
            <v>1.0845E-2</v>
          </cell>
          <cell r="FR57">
            <v>0.62</v>
          </cell>
          <cell r="FS57">
            <v>69.36</v>
          </cell>
          <cell r="FT57">
            <v>0.17</v>
          </cell>
          <cell r="FU57">
            <v>11.79</v>
          </cell>
          <cell r="GD57">
            <v>302</v>
          </cell>
          <cell r="GE57">
            <v>45246</v>
          </cell>
          <cell r="GF57">
            <v>44944</v>
          </cell>
          <cell r="GG57">
            <v>1</v>
          </cell>
          <cell r="HM57">
            <v>477</v>
          </cell>
          <cell r="HQ57">
            <v>392</v>
          </cell>
          <cell r="HU57">
            <v>360</v>
          </cell>
          <cell r="HY57">
            <v>461</v>
          </cell>
          <cell r="IC57">
            <v>302</v>
          </cell>
          <cell r="IG57">
            <v>251</v>
          </cell>
          <cell r="IK57">
            <v>213</v>
          </cell>
          <cell r="IO57">
            <v>211</v>
          </cell>
          <cell r="IS57">
            <v>142</v>
          </cell>
          <cell r="IW57">
            <v>176</v>
          </cell>
        </row>
        <row r="58">
          <cell r="A58" t="str">
            <v/>
          </cell>
          <cell r="B58" t="str">
            <v>10/908866-7</v>
          </cell>
          <cell r="C58" t="str">
            <v>Cong. Santa Tereza</v>
          </cell>
          <cell r="D58" t="str">
            <v>2024-01-01</v>
          </cell>
          <cell r="F58" t="str">
            <v>energisa_ms</v>
          </cell>
          <cell r="G58" t="str">
            <v>Cong. Santa Tereza</v>
          </cell>
          <cell r="H58" t="str">
            <v>Igreja do Evangelho Quadrangular</v>
          </cell>
          <cell r="I58">
            <v>45748</v>
          </cell>
          <cell r="J58" t="str">
            <v>COMERCIAL - TEMPLOS RELIGIOSOS</v>
          </cell>
          <cell r="K58" t="str">
            <v>79240000</v>
          </cell>
          <cell r="L58" t="str">
            <v>MS</v>
          </cell>
          <cell r="M58" t="str">
            <v>JARDIM</v>
          </cell>
          <cell r="N58" t="str">
            <v>VILA ANGELICA II</v>
          </cell>
          <cell r="O58" t="str">
            <v>RUA APARECIDO PEREIRA BUENO, 1273 - 01.047.17.111577</v>
          </cell>
          <cell r="P58">
            <v>45763</v>
          </cell>
          <cell r="Q58" t="str">
            <v>B - B3</v>
          </cell>
          <cell r="R58" t="str">
            <v>62955505358630</v>
          </cell>
          <cell r="U58">
            <v>45734</v>
          </cell>
          <cell r="V58">
            <v>45762</v>
          </cell>
          <cell r="W58">
            <v>45793</v>
          </cell>
          <cell r="X58">
            <v>45792</v>
          </cell>
          <cell r="Y58" t="str">
            <v/>
          </cell>
          <cell r="AA58" t="str">
            <v>010.016.574-002</v>
          </cell>
          <cell r="AB58" t="str">
            <v>trifasico</v>
          </cell>
          <cell r="AC58" t="str">
            <v>convencional</v>
          </cell>
          <cell r="AD58">
            <v>137.05000000000001</v>
          </cell>
          <cell r="AE58" t="str">
            <v>34191.09107 47201.332930 85972.140009 9 10820000013705</v>
          </cell>
          <cell r="AF58" t="str">
            <v>IGREJA DO EVANGELHO QUADRANGULAR</v>
          </cell>
          <cell r="AL58">
            <v>126</v>
          </cell>
          <cell r="AM58">
            <v>1.1190476190476191</v>
          </cell>
          <cell r="AN58">
            <v>141</v>
          </cell>
          <cell r="AX58">
            <v>31</v>
          </cell>
          <cell r="AY58">
            <v>0.9729032258064515</v>
          </cell>
          <cell r="AZ58">
            <v>-30.159999999999997</v>
          </cell>
          <cell r="DR58">
            <v>31</v>
          </cell>
          <cell r="DS58">
            <v>1.119032258064516</v>
          </cell>
          <cell r="DT58">
            <v>-34.69</v>
          </cell>
          <cell r="ET58">
            <v>31</v>
          </cell>
          <cell r="EX58">
            <v>89</v>
          </cell>
          <cell r="FA58">
            <v>26.21</v>
          </cell>
          <cell r="FL58">
            <v>4.53</v>
          </cell>
          <cell r="FM58">
            <v>88.23</v>
          </cell>
          <cell r="FN58">
            <v>4.9954999999999999E-2</v>
          </cell>
          <cell r="FO58">
            <v>4.4000000000000004</v>
          </cell>
          <cell r="FP58">
            <v>88.23</v>
          </cell>
          <cell r="FQ58">
            <v>1.0845E-2</v>
          </cell>
          <cell r="FR58">
            <v>0.96</v>
          </cell>
          <cell r="FS58">
            <v>106.31</v>
          </cell>
          <cell r="FT58">
            <v>0.17</v>
          </cell>
          <cell r="FU58">
            <v>18.07</v>
          </cell>
          <cell r="GD58">
            <v>126</v>
          </cell>
          <cell r="GE58">
            <v>20868</v>
          </cell>
          <cell r="GF58">
            <v>20742</v>
          </cell>
          <cell r="GG58">
            <v>1</v>
          </cell>
          <cell r="HM58">
            <v>187</v>
          </cell>
          <cell r="HQ58">
            <v>175</v>
          </cell>
          <cell r="HU58">
            <v>172</v>
          </cell>
          <cell r="HY58">
            <v>194</v>
          </cell>
          <cell r="IC58">
            <v>223</v>
          </cell>
          <cell r="IG58">
            <v>227</v>
          </cell>
          <cell r="IK58">
            <v>119</v>
          </cell>
          <cell r="IO58">
            <v>123</v>
          </cell>
          <cell r="IS58">
            <v>109</v>
          </cell>
          <cell r="IW58">
            <v>120</v>
          </cell>
        </row>
        <row r="59">
          <cell r="A59" t="str">
            <v/>
          </cell>
          <cell r="B59" t="str">
            <v>10/276283-9</v>
          </cell>
          <cell r="C59" t="str">
            <v>Cel Sapucaia 884</v>
          </cell>
          <cell r="D59" t="str">
            <v>2024-01-01</v>
          </cell>
          <cell r="F59" t="str">
            <v>energisa_ms</v>
          </cell>
          <cell r="G59" t="str">
            <v>Cel Sapucaia 884</v>
          </cell>
          <cell r="H59" t="str">
            <v>Igreja do Evangelho Quadrangular</v>
          </cell>
          <cell r="I59">
            <v>45748</v>
          </cell>
          <cell r="J59" t="str">
            <v>COMERCIAL - TEMPLOS RELIGIOSOS</v>
          </cell>
          <cell r="K59" t="str">
            <v>79995000</v>
          </cell>
          <cell r="L59" t="str">
            <v>MS</v>
          </cell>
          <cell r="M59" t="str">
            <v>CORONEL SAPUCAIA</v>
          </cell>
          <cell r="N59" t="str">
            <v>JARDIM MONTIVIDEU</v>
          </cell>
          <cell r="O59" t="str">
            <v>RUA ADOLFO DO AMARAL, 284 - 15.085.81.377000</v>
          </cell>
          <cell r="P59">
            <v>45772</v>
          </cell>
          <cell r="Q59" t="str">
            <v>B - B3</v>
          </cell>
          <cell r="R59" t="str">
            <v>62955505088404</v>
          </cell>
          <cell r="U59">
            <v>45741</v>
          </cell>
          <cell r="V59">
            <v>45771</v>
          </cell>
          <cell r="W59">
            <v>45803</v>
          </cell>
          <cell r="X59">
            <v>45788</v>
          </cell>
          <cell r="Y59" t="str">
            <v/>
          </cell>
          <cell r="AA59" t="str">
            <v>010.114.083-002</v>
          </cell>
          <cell r="AB59" t="str">
            <v>trifasico</v>
          </cell>
          <cell r="AC59" t="str">
            <v>convencional</v>
          </cell>
          <cell r="AD59">
            <v>148.69</v>
          </cell>
          <cell r="AF59" t="str">
            <v>IGREJA DO EVANGELHO QUADRANGULAR</v>
          </cell>
          <cell r="AL59">
            <v>192</v>
          </cell>
          <cell r="AM59">
            <v>1.1219270833333332</v>
          </cell>
          <cell r="AN59">
            <v>215.41</v>
          </cell>
          <cell r="AX59">
            <v>92</v>
          </cell>
          <cell r="AY59">
            <v>1.1218478260869564</v>
          </cell>
          <cell r="AZ59">
            <v>-103.21</v>
          </cell>
          <cell r="DZ59">
            <v>92</v>
          </cell>
          <cell r="EA59">
            <v>1.1218478260869564</v>
          </cell>
          <cell r="EB59">
            <v>-103.21</v>
          </cell>
          <cell r="ET59">
            <v>92</v>
          </cell>
          <cell r="EX59">
            <v>953</v>
          </cell>
          <cell r="FA59">
            <v>33.92</v>
          </cell>
          <cell r="FC59">
            <v>2.57</v>
          </cell>
          <cell r="FM59">
            <v>93.13</v>
          </cell>
          <cell r="FN59">
            <v>4.9954999999999999E-2</v>
          </cell>
          <cell r="FO59">
            <v>4.6500000000000004</v>
          </cell>
          <cell r="FP59">
            <v>93.13</v>
          </cell>
          <cell r="FQ59">
            <v>1.0845E-2</v>
          </cell>
          <cell r="FR59">
            <v>1.01</v>
          </cell>
          <cell r="FS59">
            <v>112.2</v>
          </cell>
          <cell r="FT59">
            <v>0.17</v>
          </cell>
          <cell r="FU59">
            <v>19.07</v>
          </cell>
          <cell r="GD59">
            <v>192</v>
          </cell>
          <cell r="GE59">
            <v>38701</v>
          </cell>
          <cell r="GF59">
            <v>38509</v>
          </cell>
          <cell r="GG59">
            <v>1</v>
          </cell>
          <cell r="HM59">
            <v>522</v>
          </cell>
          <cell r="HQ59">
            <v>452</v>
          </cell>
          <cell r="HU59">
            <v>640</v>
          </cell>
          <cell r="HY59">
            <v>365</v>
          </cell>
          <cell r="IC59">
            <v>409</v>
          </cell>
          <cell r="IG59">
            <v>287</v>
          </cell>
          <cell r="IK59">
            <v>244</v>
          </cell>
          <cell r="IO59">
            <v>156</v>
          </cell>
          <cell r="IS59">
            <v>194</v>
          </cell>
          <cell r="IW59">
            <v>303</v>
          </cell>
        </row>
        <row r="60">
          <cell r="A60" t="str">
            <v/>
          </cell>
          <cell r="B60" t="str">
            <v>10/530195-7</v>
          </cell>
          <cell r="C60" t="str">
            <v>Batayporã 59155</v>
          </cell>
          <cell r="D60" t="str">
            <v>2024-01-01</v>
          </cell>
          <cell r="F60" t="str">
            <v>energisa_ms</v>
          </cell>
          <cell r="G60" t="str">
            <v>Morumbi 3671</v>
          </cell>
          <cell r="H60" t="str">
            <v>Igreja do Evangelho Quadrangular</v>
          </cell>
          <cell r="I60">
            <v>45748</v>
          </cell>
          <cell r="J60" t="str">
            <v>COMERCIAL - OUTROS SERVIÇOS E OUTRAS ATIVIDADES</v>
          </cell>
          <cell r="K60" t="str">
            <v>79760000</v>
          </cell>
          <cell r="L60" t="str">
            <v>MS</v>
          </cell>
          <cell r="M60" t="str">
            <v>BATAYPORA</v>
          </cell>
          <cell r="N60" t="str">
            <v>CENTRO</v>
          </cell>
          <cell r="O60" t="str">
            <v>RUA JONAS PEDRO NUNES, 1576 - 09.045.05.426000</v>
          </cell>
          <cell r="P60">
            <v>45755</v>
          </cell>
          <cell r="Q60" t="str">
            <v>B - B3</v>
          </cell>
          <cell r="R60" t="str">
            <v>62955505367117</v>
          </cell>
          <cell r="U60">
            <v>45726</v>
          </cell>
          <cell r="V60">
            <v>45754</v>
          </cell>
          <cell r="W60">
            <v>45785</v>
          </cell>
          <cell r="X60">
            <v>45792</v>
          </cell>
          <cell r="Y60" t="str">
            <v/>
          </cell>
          <cell r="AA60" t="str">
            <v>009.879.742-002</v>
          </cell>
          <cell r="AB60" t="str">
            <v>bifasico</v>
          </cell>
          <cell r="AC60" t="str">
            <v>convencional</v>
          </cell>
          <cell r="AD60">
            <v>132.85</v>
          </cell>
          <cell r="AE60" t="str">
            <v>34191.09107 22822.432930 85972.140009 4 10820000013285</v>
          </cell>
          <cell r="AF60" t="str">
            <v>IGREJA DO EVANGELHO QUADRANGULAR</v>
          </cell>
          <cell r="AL60">
            <v>190</v>
          </cell>
          <cell r="AM60">
            <v>1.1162631578947368</v>
          </cell>
          <cell r="AN60">
            <v>212.09</v>
          </cell>
          <cell r="AX60">
            <v>120</v>
          </cell>
          <cell r="AY60">
            <v>0.97408333333333319</v>
          </cell>
          <cell r="AZ60">
            <v>-116.88999999999999</v>
          </cell>
          <cell r="DR60">
            <v>120</v>
          </cell>
          <cell r="DS60">
            <v>1.11625</v>
          </cell>
          <cell r="DT60">
            <v>-133.94999999999999</v>
          </cell>
          <cell r="ET60">
            <v>120</v>
          </cell>
          <cell r="EX60">
            <v>0</v>
          </cell>
          <cell r="FA60">
            <v>34.5</v>
          </cell>
          <cell r="FC60">
            <v>3.15</v>
          </cell>
          <cell r="FL60">
            <v>17.059999999999999</v>
          </cell>
          <cell r="FM60">
            <v>64.86</v>
          </cell>
          <cell r="FN60">
            <v>4.9954999999999999E-2</v>
          </cell>
          <cell r="FO60">
            <v>3.24</v>
          </cell>
          <cell r="FP60">
            <v>64.86</v>
          </cell>
          <cell r="FQ60">
            <v>1.0845E-2</v>
          </cell>
          <cell r="FR60">
            <v>0.71</v>
          </cell>
          <cell r="FS60">
            <v>78.14</v>
          </cell>
          <cell r="FT60">
            <v>0.17</v>
          </cell>
          <cell r="FU60">
            <v>13.28</v>
          </cell>
          <cell r="GD60">
            <v>190</v>
          </cell>
          <cell r="GE60">
            <v>28815</v>
          </cell>
          <cell r="GF60">
            <v>28625</v>
          </cell>
          <cell r="GG60">
            <v>1</v>
          </cell>
          <cell r="HM60">
            <v>231</v>
          </cell>
          <cell r="HQ60">
            <v>167</v>
          </cell>
          <cell r="HU60">
            <v>123</v>
          </cell>
          <cell r="HY60">
            <v>222</v>
          </cell>
          <cell r="IC60">
            <v>169</v>
          </cell>
          <cell r="IG60">
            <v>141</v>
          </cell>
          <cell r="IK60">
            <v>103</v>
          </cell>
          <cell r="IO60">
            <v>68</v>
          </cell>
          <cell r="IS60">
            <v>82</v>
          </cell>
          <cell r="IW60">
            <v>68</v>
          </cell>
        </row>
        <row r="61">
          <cell r="A61" t="str">
            <v/>
          </cell>
          <cell r="B61" t="str">
            <v>10/257864-9</v>
          </cell>
          <cell r="C61" t="str">
            <v>Itaquirai 1821</v>
          </cell>
          <cell r="D61" t="str">
            <v>2024-01-01</v>
          </cell>
          <cell r="F61" t="str">
            <v>energisa_ms</v>
          </cell>
          <cell r="G61" t="str">
            <v>Itaquirai 1821</v>
          </cell>
          <cell r="H61" t="str">
            <v>Igreja do Evangelho Quadrangular</v>
          </cell>
          <cell r="I61">
            <v>45748</v>
          </cell>
          <cell r="J61" t="str">
            <v>COMERCIAL - TEMPLOS RELIGIOSOS</v>
          </cell>
          <cell r="K61" t="str">
            <v>79965000</v>
          </cell>
          <cell r="L61" t="str">
            <v>MS</v>
          </cell>
          <cell r="M61" t="str">
            <v>ITAQUIRAI</v>
          </cell>
          <cell r="N61" t="str">
            <v>CENTRO</v>
          </cell>
          <cell r="O61" t="str">
            <v>RUA SEN TEOTONIO VILELA, 427 - 11.074.05.148000</v>
          </cell>
          <cell r="P61">
            <v>45758</v>
          </cell>
          <cell r="Q61" t="str">
            <v>B - B3</v>
          </cell>
          <cell r="R61" t="str">
            <v>62955505182176</v>
          </cell>
          <cell r="U61">
            <v>45728</v>
          </cell>
          <cell r="V61">
            <v>45757</v>
          </cell>
          <cell r="W61">
            <v>45789</v>
          </cell>
          <cell r="X61">
            <v>45792</v>
          </cell>
          <cell r="Y61" t="str">
            <v/>
          </cell>
          <cell r="AA61" t="str">
            <v>009.927.339-002</v>
          </cell>
          <cell r="AB61" t="str">
            <v>bifasico</v>
          </cell>
          <cell r="AC61" t="str">
            <v>convencional</v>
          </cell>
          <cell r="AD61">
            <v>113.55</v>
          </cell>
          <cell r="AE61" t="str">
            <v>34191.09107 36634.742930 85972.140009 1 10820000011355</v>
          </cell>
          <cell r="AF61" t="str">
            <v>IGREJA DO EVANGELHO QUADRANGULAR</v>
          </cell>
          <cell r="AL61">
            <v>226</v>
          </cell>
          <cell r="AM61">
            <v>1.117212389380531</v>
          </cell>
          <cell r="AN61">
            <v>252.49</v>
          </cell>
          <cell r="AX61">
            <v>145</v>
          </cell>
          <cell r="AY61">
            <v>1.0864137931034483</v>
          </cell>
          <cell r="AZ61">
            <v>-157.53</v>
          </cell>
          <cell r="DR61">
            <v>145</v>
          </cell>
          <cell r="DS61">
            <v>1.1171034482758619</v>
          </cell>
          <cell r="DT61">
            <v>-161.97999999999999</v>
          </cell>
          <cell r="ET61">
            <v>145</v>
          </cell>
          <cell r="EX61">
            <v>0</v>
          </cell>
          <cell r="FA61">
            <v>18.59</v>
          </cell>
          <cell r="FL61">
            <v>4.45</v>
          </cell>
          <cell r="FM61">
            <v>75.14</v>
          </cell>
          <cell r="FN61">
            <v>4.9954999999999999E-2</v>
          </cell>
          <cell r="FO61">
            <v>3.76</v>
          </cell>
          <cell r="FP61">
            <v>75.14</v>
          </cell>
          <cell r="FQ61">
            <v>1.0845E-2</v>
          </cell>
          <cell r="FR61">
            <v>0.82</v>
          </cell>
          <cell r="FS61">
            <v>90.51</v>
          </cell>
          <cell r="FT61">
            <v>0.17</v>
          </cell>
          <cell r="FU61">
            <v>15.38</v>
          </cell>
          <cell r="GD61">
            <v>226</v>
          </cell>
          <cell r="GE61">
            <v>23930</v>
          </cell>
          <cell r="GF61">
            <v>23704</v>
          </cell>
          <cell r="GG61">
            <v>1</v>
          </cell>
          <cell r="HM61">
            <v>250</v>
          </cell>
          <cell r="HQ61">
            <v>277</v>
          </cell>
          <cell r="HU61">
            <v>248</v>
          </cell>
          <cell r="HY61">
            <v>236</v>
          </cell>
          <cell r="IC61">
            <v>177</v>
          </cell>
          <cell r="IG61">
            <v>132</v>
          </cell>
          <cell r="IK61">
            <v>108</v>
          </cell>
          <cell r="IO61">
            <v>110</v>
          </cell>
          <cell r="IS61">
            <v>93</v>
          </cell>
          <cell r="IW61">
            <v>90</v>
          </cell>
        </row>
        <row r="62">
          <cell r="A62" t="str">
            <v/>
          </cell>
          <cell r="B62" t="str">
            <v>10/532723-4</v>
          </cell>
          <cell r="C62" t="str">
            <v>3593</v>
          </cell>
          <cell r="D62" t="str">
            <v>2024-01-01</v>
          </cell>
          <cell r="F62" t="str">
            <v>energisa_ms</v>
          </cell>
          <cell r="G62" t="str">
            <v>3593</v>
          </cell>
          <cell r="H62" t="str">
            <v>Igreja do Evangelho Quadrangular</v>
          </cell>
          <cell r="I62">
            <v>45748</v>
          </cell>
          <cell r="J62" t="str">
            <v>COMERCIAL - TEMPLOS RELIGIOSOS</v>
          </cell>
          <cell r="K62" t="str">
            <v>79140000</v>
          </cell>
          <cell r="L62" t="str">
            <v>MS</v>
          </cell>
          <cell r="M62" t="str">
            <v>NOVA ALVORADA DO SUL</v>
          </cell>
          <cell r="N62" t="str">
            <v>CENTRO</v>
          </cell>
          <cell r="O62" t="str">
            <v>RUA DUAIR JOAO DE BARCELOS, 267 - 04.092.01.513000</v>
          </cell>
          <cell r="P62">
            <v>45772</v>
          </cell>
          <cell r="Q62" t="str">
            <v>B - B3</v>
          </cell>
          <cell r="R62" t="str">
            <v>62955505359360</v>
          </cell>
          <cell r="U62">
            <v>45741</v>
          </cell>
          <cell r="V62">
            <v>45771</v>
          </cell>
          <cell r="W62">
            <v>45803</v>
          </cell>
          <cell r="X62">
            <v>45788</v>
          </cell>
          <cell r="Y62" t="str">
            <v/>
          </cell>
          <cell r="AA62" t="str">
            <v>010.114.983-002</v>
          </cell>
          <cell r="AB62" t="str">
            <v>trifasico</v>
          </cell>
          <cell r="AC62" t="str">
            <v>convencional</v>
          </cell>
          <cell r="AD62">
            <v>184.26</v>
          </cell>
          <cell r="AE62" t="str">
            <v>34191.09107 60886.872930 85972.140009 6 10780000018426</v>
          </cell>
          <cell r="AF62" t="str">
            <v>IGREJA DO EVANGELHO QUADRANGULAR</v>
          </cell>
          <cell r="AL62">
            <v>384</v>
          </cell>
          <cell r="AM62">
            <v>1.1219270833333332</v>
          </cell>
          <cell r="AN62">
            <v>430.82</v>
          </cell>
          <cell r="AX62">
            <v>284</v>
          </cell>
          <cell r="AY62">
            <v>1.1219366197183098</v>
          </cell>
          <cell r="AZ62">
            <v>-318.63</v>
          </cell>
          <cell r="DZ62">
            <v>284</v>
          </cell>
          <cell r="EA62">
            <v>1.1219366197183098</v>
          </cell>
          <cell r="EB62">
            <v>-318.63</v>
          </cell>
          <cell r="ET62">
            <v>284</v>
          </cell>
          <cell r="EX62">
            <v>1287</v>
          </cell>
          <cell r="FA62">
            <v>67.84</v>
          </cell>
          <cell r="FC62">
            <v>4.2299999999999995</v>
          </cell>
          <cell r="FM62">
            <v>93.13</v>
          </cell>
          <cell r="FN62">
            <v>4.9954999999999999E-2</v>
          </cell>
          <cell r="FO62">
            <v>4.6500000000000004</v>
          </cell>
          <cell r="FP62">
            <v>93.13</v>
          </cell>
          <cell r="FQ62">
            <v>1.0845E-2</v>
          </cell>
          <cell r="FR62">
            <v>1.01</v>
          </cell>
          <cell r="FS62">
            <v>112.19</v>
          </cell>
          <cell r="FT62">
            <v>0.17</v>
          </cell>
          <cell r="FU62">
            <v>19.07</v>
          </cell>
          <cell r="GD62">
            <v>384</v>
          </cell>
          <cell r="GE62">
            <v>94690</v>
          </cell>
          <cell r="GF62">
            <v>94306</v>
          </cell>
          <cell r="GG62">
            <v>1</v>
          </cell>
          <cell r="HM62">
            <v>488</v>
          </cell>
          <cell r="HQ62">
            <v>411</v>
          </cell>
          <cell r="HU62">
            <v>435</v>
          </cell>
          <cell r="HY62">
            <v>472</v>
          </cell>
          <cell r="IC62">
            <v>444</v>
          </cell>
          <cell r="IG62">
            <v>470</v>
          </cell>
          <cell r="IK62">
            <v>387</v>
          </cell>
          <cell r="IO62">
            <v>365</v>
          </cell>
          <cell r="IS62">
            <v>272</v>
          </cell>
          <cell r="IW62">
            <v>322</v>
          </cell>
        </row>
        <row r="63">
          <cell r="A63" t="str">
            <v/>
          </cell>
          <cell r="B63" t="str">
            <v>10/40190-1</v>
          </cell>
          <cell r="C63" t="str">
            <v>1775</v>
          </cell>
          <cell r="D63" t="str">
            <v>2024-01-01</v>
          </cell>
          <cell r="F63" t="str">
            <v>energisa_ms</v>
          </cell>
          <cell r="G63" t="str">
            <v>Cel Sapucaia 884</v>
          </cell>
          <cell r="H63" t="str">
            <v>Igreja do Evangelho Quadrangular</v>
          </cell>
          <cell r="I63">
            <v>45748</v>
          </cell>
          <cell r="J63" t="str">
            <v>COMERCIAL - TEMPLOS RELIGIOSOS</v>
          </cell>
          <cell r="K63" t="str">
            <v>79842080</v>
          </cell>
          <cell r="L63" t="str">
            <v>MS</v>
          </cell>
          <cell r="M63" t="str">
            <v>DOURADOS</v>
          </cell>
          <cell r="N63" t="str">
            <v>PARQUE DAS NACOES II</v>
          </cell>
          <cell r="O63" t="str">
            <v>RUA JOSE VALERIO DOS SANTOS, 435 - 04.010.13.605000</v>
          </cell>
          <cell r="P63">
            <v>45751</v>
          </cell>
          <cell r="Q63" t="str">
            <v>B - B3</v>
          </cell>
          <cell r="R63" t="str">
            <v>62955505177504</v>
          </cell>
          <cell r="U63">
            <v>45723</v>
          </cell>
          <cell r="V63">
            <v>45750</v>
          </cell>
          <cell r="W63">
            <v>45783</v>
          </cell>
          <cell r="X63">
            <v>45773</v>
          </cell>
          <cell r="Y63" t="str">
            <v/>
          </cell>
          <cell r="AA63" t="str">
            <v>009.816.154-002</v>
          </cell>
          <cell r="AB63" t="str">
            <v>bifasico</v>
          </cell>
          <cell r="AC63" t="str">
            <v>convencional</v>
          </cell>
          <cell r="AD63">
            <v>200.98</v>
          </cell>
          <cell r="AE63" t="str">
            <v>34191.09107 20285.392930 85972.140009 5 10630000020098</v>
          </cell>
          <cell r="AF63" t="str">
            <v>IGREJA DO EVANGELHO QUADRANGULAR</v>
          </cell>
          <cell r="AL63">
            <v>317</v>
          </cell>
          <cell r="AM63">
            <v>1.1162460567823345</v>
          </cell>
          <cell r="AN63">
            <v>353.85</v>
          </cell>
          <cell r="AX63">
            <v>240</v>
          </cell>
          <cell r="AY63">
            <v>0.97408333333333319</v>
          </cell>
          <cell r="AZ63">
            <v>-233.77999999999997</v>
          </cell>
          <cell r="DR63">
            <v>240</v>
          </cell>
          <cell r="DS63">
            <v>1.11625</v>
          </cell>
          <cell r="DT63">
            <v>-267.89999999999998</v>
          </cell>
          <cell r="ET63">
            <v>240</v>
          </cell>
          <cell r="EX63">
            <v>0</v>
          </cell>
          <cell r="FA63">
            <v>65.88</v>
          </cell>
          <cell r="FC63">
            <v>15.03</v>
          </cell>
          <cell r="FL63">
            <v>34.119999999999997</v>
          </cell>
          <cell r="FM63">
            <v>71.34</v>
          </cell>
          <cell r="FN63">
            <v>4.9954999999999999E-2</v>
          </cell>
          <cell r="FO63">
            <v>3.56</v>
          </cell>
          <cell r="FP63">
            <v>71.34</v>
          </cell>
          <cell r="FQ63">
            <v>1.0845E-2</v>
          </cell>
          <cell r="FR63">
            <v>0.77</v>
          </cell>
          <cell r="FS63">
            <v>85.95</v>
          </cell>
          <cell r="FT63">
            <v>0.17</v>
          </cell>
          <cell r="FU63">
            <v>14.61</v>
          </cell>
          <cell r="GD63">
            <v>317</v>
          </cell>
          <cell r="GE63">
            <v>72287</v>
          </cell>
          <cell r="GF63">
            <v>71970</v>
          </cell>
          <cell r="GG63">
            <v>1</v>
          </cell>
          <cell r="HM63">
            <v>307</v>
          </cell>
          <cell r="HQ63">
            <v>339</v>
          </cell>
          <cell r="HU63">
            <v>346</v>
          </cell>
          <cell r="HY63">
            <v>334</v>
          </cell>
          <cell r="IC63">
            <v>327</v>
          </cell>
          <cell r="IG63">
            <v>342</v>
          </cell>
          <cell r="IK63">
            <v>327</v>
          </cell>
          <cell r="IO63">
            <v>321</v>
          </cell>
          <cell r="IS63">
            <v>330</v>
          </cell>
          <cell r="IW63">
            <v>292</v>
          </cell>
        </row>
        <row r="64">
          <cell r="A64" t="str">
            <v/>
          </cell>
          <cell r="B64" t="str">
            <v>10/72605-9</v>
          </cell>
          <cell r="C64" t="str">
            <v>1364</v>
          </cell>
          <cell r="D64" t="str">
            <v>2024-01-01</v>
          </cell>
          <cell r="F64" t="str">
            <v>energisa_ms</v>
          </cell>
          <cell r="G64" t="str">
            <v>1364</v>
          </cell>
          <cell r="H64" t="str">
            <v>Igreja do Evangelho Quadrangular</v>
          </cell>
          <cell r="I64">
            <v>45748</v>
          </cell>
          <cell r="J64" t="str">
            <v>COMERCIAL - TEMPLOS RELIGIOSOS</v>
          </cell>
          <cell r="K64" t="str">
            <v>79820010</v>
          </cell>
          <cell r="L64" t="str">
            <v>MS</v>
          </cell>
          <cell r="M64" t="str">
            <v>DOURADOS</v>
          </cell>
          <cell r="N64" t="str">
            <v>JARDIM CLIMAX</v>
          </cell>
          <cell r="O64" t="str">
            <v>AVENIDA MARCELINO PIRES, 287 - 08.010.04.293000</v>
          </cell>
          <cell r="P64">
            <v>45761</v>
          </cell>
          <cell r="Q64" t="str">
            <v>B - B3</v>
          </cell>
          <cell r="R64" t="str">
            <v>6X.XXX.XXX/XXX4-92</v>
          </cell>
          <cell r="U64">
            <v>45729</v>
          </cell>
          <cell r="V64">
            <v>45758</v>
          </cell>
          <cell r="W64">
            <v>45790</v>
          </cell>
          <cell r="X64">
            <v>45772</v>
          </cell>
          <cell r="Y64" t="str">
            <v/>
          </cell>
          <cell r="Z64" t="str">
            <v>true</v>
          </cell>
          <cell r="AA64" t="str">
            <v>009.944.178-002</v>
          </cell>
          <cell r="AB64" t="str">
            <v>trifasico</v>
          </cell>
          <cell r="AC64" t="str">
            <v>convencional</v>
          </cell>
          <cell r="AD64">
            <v>163.37</v>
          </cell>
          <cell r="AF64" t="str">
            <v>IGREJA DO EVANGELHO QUADRANGULAR</v>
          </cell>
          <cell r="AL64">
            <v>268</v>
          </cell>
          <cell r="AM64">
            <v>1.1175746268656717</v>
          </cell>
          <cell r="AN64">
            <v>299.51</v>
          </cell>
          <cell r="AX64">
            <v>201</v>
          </cell>
          <cell r="AY64">
            <v>0.97338308457711442</v>
          </cell>
          <cell r="AZ64">
            <v>-195.65</v>
          </cell>
          <cell r="DR64">
            <v>201</v>
          </cell>
          <cell r="DS64">
            <v>1.1175621890547263</v>
          </cell>
          <cell r="DT64">
            <v>-224.63</v>
          </cell>
          <cell r="ET64">
            <v>201</v>
          </cell>
          <cell r="EX64">
            <v>160</v>
          </cell>
          <cell r="FA64">
            <v>59.51</v>
          </cell>
          <cell r="FL64">
            <v>28.98</v>
          </cell>
          <cell r="FM64">
            <v>62.15</v>
          </cell>
          <cell r="FN64">
            <v>4.9954999999999999E-2</v>
          </cell>
          <cell r="FO64">
            <v>3.11</v>
          </cell>
          <cell r="FP64">
            <v>62.15</v>
          </cell>
          <cell r="FQ64">
            <v>1.0845E-2</v>
          </cell>
          <cell r="FR64">
            <v>0.67</v>
          </cell>
          <cell r="FS64">
            <v>74.88</v>
          </cell>
          <cell r="FT64">
            <v>0.17</v>
          </cell>
          <cell r="FU64">
            <v>12.72</v>
          </cell>
          <cell r="GD64">
            <v>268</v>
          </cell>
          <cell r="GE64">
            <v>66429</v>
          </cell>
          <cell r="GF64">
            <v>66161</v>
          </cell>
          <cell r="GG64">
            <v>1</v>
          </cell>
          <cell r="HM64">
            <v>394</v>
          </cell>
          <cell r="HQ64">
            <v>444</v>
          </cell>
          <cell r="HU64">
            <v>310</v>
          </cell>
          <cell r="HY64">
            <v>391</v>
          </cell>
          <cell r="IC64">
            <v>422</v>
          </cell>
          <cell r="IG64">
            <v>426</v>
          </cell>
          <cell r="IK64">
            <v>226</v>
          </cell>
          <cell r="IO64">
            <v>176</v>
          </cell>
          <cell r="IS64">
            <v>193</v>
          </cell>
          <cell r="IW64">
            <v>121</v>
          </cell>
        </row>
        <row r="65">
          <cell r="A65" t="str">
            <v/>
          </cell>
          <cell r="B65" t="str">
            <v>10/283183-2</v>
          </cell>
          <cell r="C65" t="str">
            <v>Paranhos 2876</v>
          </cell>
          <cell r="D65" t="str">
            <v>2024-01-01</v>
          </cell>
          <cell r="F65" t="str">
            <v>energisa_ms</v>
          </cell>
          <cell r="G65" t="str">
            <v>Paranhos 2876</v>
          </cell>
          <cell r="H65" t="str">
            <v>Igreja do Evangelho Quadrangular</v>
          </cell>
          <cell r="I65">
            <v>45748</v>
          </cell>
          <cell r="J65" t="str">
            <v>COMERCIAL - TEMPLOS RELIGIOSOS</v>
          </cell>
          <cell r="K65" t="str">
            <v>79925000</v>
          </cell>
          <cell r="L65" t="str">
            <v>MS</v>
          </cell>
          <cell r="M65" t="str">
            <v>PARANHOS</v>
          </cell>
          <cell r="N65" t="str">
            <v>CENTRO</v>
          </cell>
          <cell r="O65" t="str">
            <v>AVENIDA ALBERTO RATIER, 1200 - 11.091.05.353000</v>
          </cell>
          <cell r="P65">
            <v>45764</v>
          </cell>
          <cell r="Q65" t="str">
            <v>B - B3</v>
          </cell>
          <cell r="R65" t="str">
            <v>62955505287601</v>
          </cell>
          <cell r="U65">
            <v>45735</v>
          </cell>
          <cell r="V65">
            <v>45763</v>
          </cell>
          <cell r="W65">
            <v>45796</v>
          </cell>
          <cell r="X65">
            <v>45802</v>
          </cell>
          <cell r="Y65" t="str">
            <v/>
          </cell>
          <cell r="AA65" t="str">
            <v>010.035.661-002</v>
          </cell>
          <cell r="AB65" t="str">
            <v>trifasico</v>
          </cell>
          <cell r="AC65" t="str">
            <v>convencional</v>
          </cell>
          <cell r="AD65">
            <v>134.88</v>
          </cell>
          <cell r="AE65" t="str">
            <v>34191.09107 50412.812930 85972.140009 1 10920000013488</v>
          </cell>
          <cell r="AF65" t="str">
            <v>IGREJA DO EVANGELHO QUADRANGULAR</v>
          </cell>
          <cell r="AL65">
            <v>126</v>
          </cell>
          <cell r="AM65">
            <v>1.1193650793650793</v>
          </cell>
          <cell r="AN65">
            <v>141.04</v>
          </cell>
          <cell r="AX65">
            <v>31</v>
          </cell>
          <cell r="AY65">
            <v>0.97258064516129039</v>
          </cell>
          <cell r="AZ65">
            <v>-30.150000000000002</v>
          </cell>
          <cell r="DR65">
            <v>31</v>
          </cell>
          <cell r="DS65">
            <v>1.1193548387096774</v>
          </cell>
          <cell r="DT65">
            <v>-34.700000000000003</v>
          </cell>
          <cell r="ET65">
            <v>31</v>
          </cell>
          <cell r="EX65">
            <v>89</v>
          </cell>
          <cell r="FA65">
            <v>23.99</v>
          </cell>
          <cell r="FL65">
            <v>4.55</v>
          </cell>
          <cell r="FM65">
            <v>88.26</v>
          </cell>
          <cell r="FN65">
            <v>4.9954999999999999E-2</v>
          </cell>
          <cell r="FO65">
            <v>4.41</v>
          </cell>
          <cell r="FP65">
            <v>88.26</v>
          </cell>
          <cell r="FQ65">
            <v>1.0845E-2</v>
          </cell>
          <cell r="FR65">
            <v>0.96</v>
          </cell>
          <cell r="FS65">
            <v>106.34</v>
          </cell>
          <cell r="FT65">
            <v>0.17</v>
          </cell>
          <cell r="FU65">
            <v>18.07</v>
          </cell>
          <cell r="GD65">
            <v>126</v>
          </cell>
          <cell r="GE65">
            <v>34629</v>
          </cell>
          <cell r="GF65">
            <v>34503</v>
          </cell>
          <cell r="GG65">
            <v>1</v>
          </cell>
          <cell r="HM65">
            <v>183</v>
          </cell>
          <cell r="HQ65">
            <v>181</v>
          </cell>
          <cell r="HU65">
            <v>199</v>
          </cell>
          <cell r="HY65">
            <v>177</v>
          </cell>
          <cell r="IC65">
            <v>156</v>
          </cell>
          <cell r="IG65">
            <v>122</v>
          </cell>
          <cell r="IK65">
            <v>62</v>
          </cell>
          <cell r="IO65">
            <v>84</v>
          </cell>
          <cell r="IS65">
            <v>139</v>
          </cell>
          <cell r="IW65">
            <v>134</v>
          </cell>
        </row>
        <row r="66">
          <cell r="A66" t="str">
            <v/>
          </cell>
          <cell r="B66" t="str">
            <v>10/24514-2</v>
          </cell>
          <cell r="C66" t="str">
            <v>Cristo Redentor</v>
          </cell>
          <cell r="D66" t="str">
            <v>2024-01-01</v>
          </cell>
          <cell r="F66" t="str">
            <v>energisa_ms</v>
          </cell>
          <cell r="G66" t="str">
            <v>Cristo Redentor</v>
          </cell>
          <cell r="H66" t="str">
            <v>Igreja do Evangelho Quadrangular</v>
          </cell>
          <cell r="I66">
            <v>45748</v>
          </cell>
          <cell r="J66" t="str">
            <v>COMERCIAL - TEMPLOS RELIGIOSOS</v>
          </cell>
          <cell r="K66" t="str">
            <v>79311040</v>
          </cell>
          <cell r="L66" t="str">
            <v>MS</v>
          </cell>
          <cell r="M66" t="str">
            <v>CORUMBA</v>
          </cell>
          <cell r="N66" t="str">
            <v>CRISTO REDENTOR</v>
          </cell>
          <cell r="O66" t="str">
            <v>RUA SAO PAULO, 36 - 15.003.03.307000</v>
          </cell>
          <cell r="P66">
            <v>45758</v>
          </cell>
          <cell r="Q66" t="str">
            <v>B - B3</v>
          </cell>
          <cell r="R66" t="str">
            <v>62955505157066</v>
          </cell>
          <cell r="U66">
            <v>45728</v>
          </cell>
          <cell r="V66">
            <v>45757</v>
          </cell>
          <cell r="W66">
            <v>45789</v>
          </cell>
          <cell r="X66">
            <v>45795</v>
          </cell>
          <cell r="Y66" t="str">
            <v/>
          </cell>
          <cell r="AA66" t="str">
            <v>009.926.038-002</v>
          </cell>
          <cell r="AB66" t="str">
            <v>trifasico</v>
          </cell>
          <cell r="AC66" t="str">
            <v>convencional</v>
          </cell>
          <cell r="AD66">
            <v>108.83</v>
          </cell>
          <cell r="AE66" t="str">
            <v>34191.09107 36563.382930 85972.140009 4 10850000010883</v>
          </cell>
          <cell r="AF66" t="str">
            <v>IGREJA DO EVANGELHO QUADRANGULAR</v>
          </cell>
          <cell r="AL66">
            <v>168</v>
          </cell>
          <cell r="AM66">
            <v>1.117202380952381</v>
          </cell>
          <cell r="AN66">
            <v>187.69</v>
          </cell>
          <cell r="AX66">
            <v>81</v>
          </cell>
          <cell r="AY66">
            <v>0.97358024691358025</v>
          </cell>
          <cell r="AZ66">
            <v>-78.86</v>
          </cell>
          <cell r="DR66">
            <v>81</v>
          </cell>
          <cell r="DS66">
            <v>1.1171604938271604</v>
          </cell>
          <cell r="DT66">
            <v>-90.49</v>
          </cell>
          <cell r="ET66">
            <v>81</v>
          </cell>
          <cell r="EX66">
            <v>159</v>
          </cell>
          <cell r="FL66">
            <v>11.63</v>
          </cell>
          <cell r="FM66">
            <v>80.680000000000007</v>
          </cell>
          <cell r="FN66">
            <v>4.9954999999999999E-2</v>
          </cell>
          <cell r="FO66">
            <v>4.03</v>
          </cell>
          <cell r="FP66">
            <v>80.680000000000007</v>
          </cell>
          <cell r="FQ66">
            <v>1.0845E-2</v>
          </cell>
          <cell r="FR66">
            <v>0.88</v>
          </cell>
          <cell r="FS66">
            <v>97.2</v>
          </cell>
          <cell r="FT66">
            <v>0.17</v>
          </cell>
          <cell r="FU66">
            <v>16.52</v>
          </cell>
          <cell r="GD66">
            <v>168</v>
          </cell>
          <cell r="GE66">
            <v>4456</v>
          </cell>
          <cell r="GF66">
            <v>4288</v>
          </cell>
          <cell r="GG66">
            <v>1</v>
          </cell>
          <cell r="HM66">
            <v>327</v>
          </cell>
          <cell r="HQ66">
            <v>381</v>
          </cell>
          <cell r="HU66">
            <v>304</v>
          </cell>
          <cell r="HY66">
            <v>355</v>
          </cell>
          <cell r="IC66">
            <v>321</v>
          </cell>
          <cell r="IG66">
            <v>427</v>
          </cell>
          <cell r="IK66">
            <v>265</v>
          </cell>
          <cell r="IO66">
            <v>240</v>
          </cell>
          <cell r="IS66">
            <v>186</v>
          </cell>
          <cell r="IW66">
            <v>122</v>
          </cell>
        </row>
        <row r="67">
          <cell r="A67" t="str">
            <v/>
          </cell>
          <cell r="B67" t="str">
            <v>10/63920-3</v>
          </cell>
          <cell r="C67" t="str">
            <v>1355 (Jardim Itália)</v>
          </cell>
          <cell r="D67" t="str">
            <v>2024-01-01</v>
          </cell>
          <cell r="F67" t="str">
            <v>energisa_ms</v>
          </cell>
          <cell r="G67" t="str">
            <v>1355 (Jardim Itália)</v>
          </cell>
          <cell r="H67" t="str">
            <v>Igreja do Evangelho Quadrangular</v>
          </cell>
          <cell r="I67">
            <v>45748</v>
          </cell>
          <cell r="J67" t="str">
            <v>COMERCIAL - TEMPLOS RELIGIOSOS</v>
          </cell>
          <cell r="K67" t="str">
            <v>79814040</v>
          </cell>
          <cell r="L67" t="str">
            <v>MS</v>
          </cell>
          <cell r="M67" t="str">
            <v>DOURADOS</v>
          </cell>
          <cell r="N67" t="str">
            <v>JARDIM MATO GROSSO</v>
          </cell>
          <cell r="O67" t="str">
            <v>RUA INOCENCIA DE MATOS OSORIO, 240 - 08.010.19.882000</v>
          </cell>
          <cell r="P67">
            <v>45758</v>
          </cell>
          <cell r="Q67" t="str">
            <v>B - B3</v>
          </cell>
          <cell r="R67" t="str">
            <v>62955505135500</v>
          </cell>
          <cell r="U67">
            <v>45728</v>
          </cell>
          <cell r="V67">
            <v>45757</v>
          </cell>
          <cell r="W67">
            <v>45789</v>
          </cell>
          <cell r="X67">
            <v>45787</v>
          </cell>
          <cell r="Y67" t="str">
            <v/>
          </cell>
          <cell r="AA67" t="str">
            <v>009.926.207-002</v>
          </cell>
          <cell r="AB67" t="str">
            <v>trifasico</v>
          </cell>
          <cell r="AC67" t="str">
            <v>convencional</v>
          </cell>
          <cell r="AD67">
            <v>275.06</v>
          </cell>
          <cell r="AE67" t="str">
            <v>34191.09107 36573.442930 85972.140009 7 10770000027506</v>
          </cell>
          <cell r="AF67" t="str">
            <v>IGREJA DO EVANGELHO QUADRANGULAR</v>
          </cell>
          <cell r="AL67">
            <v>396</v>
          </cell>
          <cell r="AM67">
            <v>1.1171969696969697</v>
          </cell>
          <cell r="AN67">
            <v>442.41</v>
          </cell>
          <cell r="AX67">
            <v>240</v>
          </cell>
          <cell r="AY67">
            <v>0.97354166666666664</v>
          </cell>
          <cell r="AZ67">
            <v>-233.65</v>
          </cell>
          <cell r="DR67">
            <v>240</v>
          </cell>
          <cell r="DS67">
            <v>1.1172083333333334</v>
          </cell>
          <cell r="DT67">
            <v>-268.13</v>
          </cell>
          <cell r="ET67">
            <v>240</v>
          </cell>
          <cell r="EX67">
            <v>0</v>
          </cell>
          <cell r="FA67">
            <v>66.3</v>
          </cell>
          <cell r="FL67">
            <v>34.479999999999997</v>
          </cell>
          <cell r="FM67">
            <v>144.66</v>
          </cell>
          <cell r="FN67">
            <v>4.9954999999999999E-2</v>
          </cell>
          <cell r="FO67">
            <v>7.22</v>
          </cell>
          <cell r="FP67">
            <v>144.66</v>
          </cell>
          <cell r="FQ67">
            <v>1.0845E-2</v>
          </cell>
          <cell r="FR67">
            <v>1.57</v>
          </cell>
          <cell r="FS67">
            <v>174.28</v>
          </cell>
          <cell r="FT67">
            <v>0.17</v>
          </cell>
          <cell r="FU67">
            <v>29.62</v>
          </cell>
          <cell r="GD67">
            <v>396</v>
          </cell>
          <cell r="GE67">
            <v>6330</v>
          </cell>
          <cell r="GF67">
            <v>5934</v>
          </cell>
          <cell r="GG67">
            <v>1</v>
          </cell>
          <cell r="HM67">
            <v>459</v>
          </cell>
          <cell r="HQ67">
            <v>462</v>
          </cell>
          <cell r="HU67">
            <v>387</v>
          </cell>
          <cell r="HY67">
            <v>396</v>
          </cell>
          <cell r="IC67">
            <v>376</v>
          </cell>
          <cell r="IG67">
            <v>423</v>
          </cell>
          <cell r="IK67">
            <v>327</v>
          </cell>
          <cell r="IO67">
            <v>353</v>
          </cell>
          <cell r="IS67">
            <v>334</v>
          </cell>
          <cell r="IW67">
            <v>306</v>
          </cell>
        </row>
        <row r="68">
          <cell r="A68" t="str">
            <v/>
          </cell>
          <cell r="B68" t="str">
            <v>10/8777-5</v>
          </cell>
          <cell r="C68" t="str">
            <v>Santa Terezinha (1224)</v>
          </cell>
          <cell r="D68" t="str">
            <v>2024-01-01</v>
          </cell>
          <cell r="F68" t="str">
            <v>energisa_ms</v>
          </cell>
          <cell r="G68" t="str">
            <v>Santa Terezinha (1224)</v>
          </cell>
          <cell r="H68" t="str">
            <v>Igreja do Evangelho Quadrangular</v>
          </cell>
          <cell r="I68">
            <v>45748</v>
          </cell>
          <cell r="J68" t="str">
            <v>COMERCIAL - TEMPLOS RELIGIOSOS</v>
          </cell>
          <cell r="K68" t="str">
            <v>79200000</v>
          </cell>
          <cell r="L68" t="str">
            <v>MS</v>
          </cell>
          <cell r="M68" t="str">
            <v>AQUIDAUANA</v>
          </cell>
          <cell r="N68" t="str">
            <v>CENTRO</v>
          </cell>
          <cell r="O68" t="str">
            <v>RUA GIOVANI TOSCANO DE BRITO, 2648 - 13.002.13.311000</v>
          </cell>
          <cell r="P68">
            <v>45763</v>
          </cell>
          <cell r="Q68" t="str">
            <v>B - B3</v>
          </cell>
          <cell r="R68" t="str">
            <v>62955505122432</v>
          </cell>
          <cell r="U68">
            <v>45734</v>
          </cell>
          <cell r="V68">
            <v>45762</v>
          </cell>
          <cell r="W68">
            <v>45793</v>
          </cell>
          <cell r="X68">
            <v>45787</v>
          </cell>
          <cell r="Y68" t="str">
            <v/>
          </cell>
          <cell r="AA68" t="str">
            <v>010.013.561-002</v>
          </cell>
          <cell r="AB68" t="str">
            <v>trifasico</v>
          </cell>
          <cell r="AC68" t="str">
            <v>convencional</v>
          </cell>
          <cell r="AD68">
            <v>585.08000000000004</v>
          </cell>
          <cell r="AE68" t="str">
            <v>34191.09107 47093.592930 85972.140009 1 10770000058508</v>
          </cell>
          <cell r="AF68" t="str">
            <v>IGREJA DO EVANGELHO QUADRANGULAR</v>
          </cell>
          <cell r="AL68">
            <v>600</v>
          </cell>
          <cell r="AM68">
            <v>1.1190666666666667</v>
          </cell>
          <cell r="AN68">
            <v>671.44</v>
          </cell>
          <cell r="AX68">
            <v>240</v>
          </cell>
          <cell r="AY68">
            <v>0.97270833333333329</v>
          </cell>
          <cell r="AZ68">
            <v>-233.45</v>
          </cell>
          <cell r="DR68">
            <v>240</v>
          </cell>
          <cell r="DS68">
            <v>1.1190416666666667</v>
          </cell>
          <cell r="DT68">
            <v>-268.57</v>
          </cell>
          <cell r="ET68">
            <v>240</v>
          </cell>
          <cell r="EX68">
            <v>0</v>
          </cell>
          <cell r="FA68">
            <v>107.93</v>
          </cell>
          <cell r="FC68">
            <v>39.159999999999997</v>
          </cell>
          <cell r="FL68">
            <v>35.119999999999997</v>
          </cell>
          <cell r="FM68">
            <v>334.38</v>
          </cell>
          <cell r="FN68">
            <v>4.9954999999999999E-2</v>
          </cell>
          <cell r="FO68">
            <v>16.71</v>
          </cell>
          <cell r="FP68">
            <v>334.38</v>
          </cell>
          <cell r="FQ68">
            <v>1.0845E-2</v>
          </cell>
          <cell r="FR68">
            <v>3.62</v>
          </cell>
          <cell r="FS68">
            <v>402.87</v>
          </cell>
          <cell r="FT68">
            <v>0.17</v>
          </cell>
          <cell r="FU68">
            <v>68.48</v>
          </cell>
          <cell r="GD68">
            <v>600</v>
          </cell>
          <cell r="GE68">
            <v>36390</v>
          </cell>
          <cell r="GF68">
            <v>35790</v>
          </cell>
          <cell r="GG68">
            <v>1</v>
          </cell>
          <cell r="HM68">
            <v>717</v>
          </cell>
          <cell r="HQ68">
            <v>592</v>
          </cell>
          <cell r="HU68">
            <v>639</v>
          </cell>
          <cell r="HY68">
            <v>469</v>
          </cell>
          <cell r="IC68">
            <v>393</v>
          </cell>
          <cell r="IG68">
            <v>563</v>
          </cell>
          <cell r="IK68">
            <v>261</v>
          </cell>
          <cell r="IO68">
            <v>244</v>
          </cell>
          <cell r="IS68">
            <v>180</v>
          </cell>
          <cell r="IW68">
            <v>250</v>
          </cell>
        </row>
        <row r="69">
          <cell r="A69" t="str">
            <v/>
          </cell>
          <cell r="B69" t="str">
            <v>10/127464-6</v>
          </cell>
          <cell r="C69" t="str">
            <v>3311</v>
          </cell>
          <cell r="D69" t="str">
            <v>2024-01-01</v>
          </cell>
          <cell r="F69" t="str">
            <v>energisa_ms</v>
          </cell>
          <cell r="G69" t="str">
            <v>3311</v>
          </cell>
          <cell r="H69" t="str">
            <v>Igreja do Evangelho Quadrangular</v>
          </cell>
          <cell r="I69">
            <v>45748</v>
          </cell>
          <cell r="J69" t="str">
            <v>COMERCIAL - TEMPLOS RELIGIOSOS</v>
          </cell>
          <cell r="K69" t="str">
            <v>79400000</v>
          </cell>
          <cell r="L69" t="str">
            <v>MS</v>
          </cell>
          <cell r="M69" t="str">
            <v>COXIM</v>
          </cell>
          <cell r="N69" t="str">
            <v>CENTRO</v>
          </cell>
          <cell r="O69" t="str">
            <v>AVENIDA MATO GROSSO DO SUL, 1466 - 12.029.03.222000</v>
          </cell>
          <cell r="P69">
            <v>45754</v>
          </cell>
          <cell r="Q69" t="str">
            <v>B - B3</v>
          </cell>
          <cell r="R69" t="str">
            <v>62955505331198</v>
          </cell>
          <cell r="U69">
            <v>45724</v>
          </cell>
          <cell r="V69">
            <v>45751</v>
          </cell>
          <cell r="W69">
            <v>45784</v>
          </cell>
          <cell r="X69">
            <v>45783</v>
          </cell>
          <cell r="Y69" t="str">
            <v/>
          </cell>
          <cell r="AA69" t="str">
            <v>009.848.635-002</v>
          </cell>
          <cell r="AB69" t="str">
            <v>trifasico</v>
          </cell>
          <cell r="AC69" t="str">
            <v>convencional</v>
          </cell>
          <cell r="AD69">
            <v>193.18</v>
          </cell>
          <cell r="AF69" t="str">
            <v>IGREJA DO EVANGELHO QUADRANGULAR</v>
          </cell>
          <cell r="AL69">
            <v>472</v>
          </cell>
          <cell r="AM69">
            <v>1.11625</v>
          </cell>
          <cell r="AN69">
            <v>526.87</v>
          </cell>
          <cell r="AX69">
            <v>444</v>
          </cell>
          <cell r="AY69">
            <v>0.9740540540540541</v>
          </cell>
          <cell r="AZ69">
            <v>-432.48</v>
          </cell>
          <cell r="DR69">
            <v>444</v>
          </cell>
          <cell r="DS69">
            <v>1.1162612612612612</v>
          </cell>
          <cell r="DT69">
            <v>-495.62</v>
          </cell>
          <cell r="ET69">
            <v>444</v>
          </cell>
          <cell r="EX69">
            <v>37</v>
          </cell>
          <cell r="FA69">
            <v>85.8</v>
          </cell>
          <cell r="FC69">
            <v>12.99</v>
          </cell>
          <cell r="FL69">
            <v>63.14</v>
          </cell>
          <cell r="FM69">
            <v>25.94</v>
          </cell>
          <cell r="FN69">
            <v>4.9954999999999999E-2</v>
          </cell>
          <cell r="FO69">
            <v>1.29</v>
          </cell>
          <cell r="FP69">
            <v>25.94</v>
          </cell>
          <cell r="FQ69">
            <v>1.0845E-2</v>
          </cell>
          <cell r="FR69">
            <v>0.28000000000000003</v>
          </cell>
          <cell r="FS69">
            <v>31.25</v>
          </cell>
          <cell r="FT69">
            <v>0.17</v>
          </cell>
          <cell r="FU69">
            <v>5.31</v>
          </cell>
          <cell r="GD69">
            <v>472</v>
          </cell>
          <cell r="GE69">
            <v>41158</v>
          </cell>
          <cell r="GF69">
            <v>40686</v>
          </cell>
          <cell r="GG69">
            <v>1</v>
          </cell>
          <cell r="HM69">
            <v>537</v>
          </cell>
          <cell r="HQ69">
            <v>531</v>
          </cell>
          <cell r="HU69">
            <v>546</v>
          </cell>
          <cell r="HY69">
            <v>468</v>
          </cell>
          <cell r="IC69">
            <v>584</v>
          </cell>
          <cell r="IG69">
            <v>528</v>
          </cell>
          <cell r="IK69">
            <v>439</v>
          </cell>
          <cell r="IO69">
            <v>433</v>
          </cell>
          <cell r="IS69">
            <v>385</v>
          </cell>
          <cell r="IW69">
            <v>261</v>
          </cell>
        </row>
        <row r="70">
          <cell r="A70" t="str">
            <v/>
          </cell>
          <cell r="B70" t="str">
            <v>10/15297-5</v>
          </cell>
          <cell r="C70" t="str">
            <v>Aeroporto</v>
          </cell>
          <cell r="D70" t="str">
            <v>2024-01-01</v>
          </cell>
          <cell r="F70" t="str">
            <v>energisa_ms</v>
          </cell>
          <cell r="G70" t="str">
            <v>Nova Aliança</v>
          </cell>
          <cell r="H70" t="str">
            <v>Igreja do Evangelho Quadrangular</v>
          </cell>
          <cell r="I70">
            <v>45748</v>
          </cell>
          <cell r="J70" t="str">
            <v>COMERCIAL - TEMPLOS RELIGIOSOS</v>
          </cell>
          <cell r="K70" t="str">
            <v>79333130</v>
          </cell>
          <cell r="L70" t="str">
            <v>MS</v>
          </cell>
          <cell r="M70" t="str">
            <v>CORUMBA</v>
          </cell>
          <cell r="N70" t="str">
            <v>DOM BOSCO</v>
          </cell>
          <cell r="O70" t="str">
            <v>RUA REPUBLICA DA BOLIVIA, 32 - 08.003.07.190000</v>
          </cell>
          <cell r="P70">
            <v>45762</v>
          </cell>
          <cell r="Q70" t="str">
            <v>B - B3</v>
          </cell>
          <cell r="R70" t="str">
            <v>6X.XXX.XXX/XXX4-87</v>
          </cell>
          <cell r="U70">
            <v>45733</v>
          </cell>
          <cell r="V70">
            <v>45761</v>
          </cell>
          <cell r="W70">
            <v>45792</v>
          </cell>
          <cell r="X70">
            <v>45779</v>
          </cell>
          <cell r="Y70" t="str">
            <v/>
          </cell>
          <cell r="Z70" t="str">
            <v>true</v>
          </cell>
          <cell r="AA70" t="str">
            <v>009.990.836-002</v>
          </cell>
          <cell r="AB70" t="str">
            <v>trifasico</v>
          </cell>
          <cell r="AC70" t="str">
            <v>convencional</v>
          </cell>
          <cell r="AD70">
            <v>98.25</v>
          </cell>
          <cell r="AF70" t="str">
            <v>IGREJA DO EVANGELHO QUADRANGULAR</v>
          </cell>
          <cell r="AL70">
            <v>387</v>
          </cell>
          <cell r="AM70">
            <v>1.1187080103359173</v>
          </cell>
          <cell r="AN70">
            <v>432.94</v>
          </cell>
          <cell r="AX70">
            <v>344</v>
          </cell>
          <cell r="AY70">
            <v>0.97293604651162791</v>
          </cell>
          <cell r="AZ70">
            <v>-334.69</v>
          </cell>
          <cell r="DR70">
            <v>344</v>
          </cell>
          <cell r="DS70">
            <v>1.118720930232558</v>
          </cell>
          <cell r="DT70">
            <v>-384.84</v>
          </cell>
          <cell r="ET70">
            <v>344</v>
          </cell>
          <cell r="EX70">
            <v>17</v>
          </cell>
          <cell r="FL70">
            <v>50.15</v>
          </cell>
          <cell r="FM70">
            <v>39.92</v>
          </cell>
          <cell r="FN70">
            <v>4.9954999999999999E-2</v>
          </cell>
          <cell r="FO70">
            <v>1.99</v>
          </cell>
          <cell r="FP70">
            <v>39.92</v>
          </cell>
          <cell r="FQ70">
            <v>1.0845E-2</v>
          </cell>
          <cell r="FR70">
            <v>0.44</v>
          </cell>
          <cell r="FS70">
            <v>48.1</v>
          </cell>
          <cell r="FT70">
            <v>0.17</v>
          </cell>
          <cell r="FU70">
            <v>8.17</v>
          </cell>
          <cell r="GD70">
            <v>387</v>
          </cell>
          <cell r="GE70">
            <v>47096</v>
          </cell>
          <cell r="GF70">
            <v>46709</v>
          </cell>
          <cell r="GG70">
            <v>1</v>
          </cell>
          <cell r="HM70">
            <v>706</v>
          </cell>
          <cell r="HQ70">
            <v>692</v>
          </cell>
          <cell r="HU70">
            <v>488</v>
          </cell>
          <cell r="HY70">
            <v>850</v>
          </cell>
          <cell r="IC70">
            <v>499</v>
          </cell>
          <cell r="IG70">
            <v>496</v>
          </cell>
          <cell r="IK70">
            <v>304</v>
          </cell>
          <cell r="IO70">
            <v>469</v>
          </cell>
          <cell r="IS70">
            <v>244</v>
          </cell>
          <cell r="IW70">
            <v>306</v>
          </cell>
        </row>
        <row r="71">
          <cell r="A71" t="str">
            <v/>
          </cell>
          <cell r="B71" t="str">
            <v>10/175073-6</v>
          </cell>
          <cell r="C71" t="str">
            <v>Ivinhema 1344</v>
          </cell>
          <cell r="D71" t="str">
            <v>2024-01-01</v>
          </cell>
          <cell r="F71" t="str">
            <v>energisa_ms</v>
          </cell>
          <cell r="G71" t="str">
            <v>Ivinhema 1344</v>
          </cell>
          <cell r="H71" t="str">
            <v>Igreja do Evangelho Quadrangular</v>
          </cell>
          <cell r="I71">
            <v>45748</v>
          </cell>
          <cell r="J71" t="str">
            <v>COMERCIAL - TEMPLOS RELIGIOSOS</v>
          </cell>
          <cell r="K71" t="str">
            <v>79740000</v>
          </cell>
          <cell r="L71" t="str">
            <v>MS</v>
          </cell>
          <cell r="M71" t="str">
            <v>IVINHEMA</v>
          </cell>
          <cell r="N71" t="str">
            <v>ITAPOA</v>
          </cell>
          <cell r="O71" t="str">
            <v>RUA MIGUEL MARCHETTI, 149 - 14.039.19.312000</v>
          </cell>
          <cell r="P71">
            <v>45764</v>
          </cell>
          <cell r="Q71" t="str">
            <v>B - B3</v>
          </cell>
          <cell r="R71" t="str">
            <v>62955505134449</v>
          </cell>
          <cell r="U71">
            <v>45735</v>
          </cell>
          <cell r="V71">
            <v>45763</v>
          </cell>
          <cell r="W71">
            <v>45796</v>
          </cell>
          <cell r="X71">
            <v>45788</v>
          </cell>
          <cell r="Y71" t="str">
            <v/>
          </cell>
          <cell r="AA71" t="str">
            <v>010.035.296-002</v>
          </cell>
          <cell r="AB71" t="str">
            <v>bifasico</v>
          </cell>
          <cell r="AC71" t="str">
            <v>convencional</v>
          </cell>
          <cell r="AD71">
            <v>73.63</v>
          </cell>
          <cell r="AE71" t="str">
            <v>34191.09107 50392.282930 85972.140009 2 10780000007363</v>
          </cell>
          <cell r="AF71" t="str">
            <v>IGREJA DO EVANGELHO QUADRANGULAR</v>
          </cell>
          <cell r="AL71">
            <v>84</v>
          </cell>
          <cell r="AM71">
            <v>1.119404761904762</v>
          </cell>
          <cell r="AN71">
            <v>94.03</v>
          </cell>
          <cell r="AX71">
            <v>40</v>
          </cell>
          <cell r="AY71">
            <v>0.97250000000000014</v>
          </cell>
          <cell r="AZ71">
            <v>-38.900000000000006</v>
          </cell>
          <cell r="DR71">
            <v>40</v>
          </cell>
          <cell r="DS71">
            <v>1.1192500000000001</v>
          </cell>
          <cell r="DT71">
            <v>-44.77</v>
          </cell>
          <cell r="ET71">
            <v>40</v>
          </cell>
          <cell r="EX71">
            <v>302</v>
          </cell>
          <cell r="FA71">
            <v>18.5</v>
          </cell>
          <cell r="FL71">
            <v>5.87</v>
          </cell>
          <cell r="FM71">
            <v>40.89</v>
          </cell>
          <cell r="FN71">
            <v>4.9954999999999999E-2</v>
          </cell>
          <cell r="FO71">
            <v>2.0499999999999998</v>
          </cell>
          <cell r="FP71">
            <v>40.89</v>
          </cell>
          <cell r="FQ71">
            <v>1.0845E-2</v>
          </cell>
          <cell r="FR71">
            <v>0.45</v>
          </cell>
          <cell r="FS71">
            <v>49.26</v>
          </cell>
          <cell r="FT71">
            <v>0.17</v>
          </cell>
          <cell r="FU71">
            <v>8.3699999999999992</v>
          </cell>
          <cell r="GD71">
            <v>84</v>
          </cell>
          <cell r="GE71">
            <v>44225</v>
          </cell>
          <cell r="GF71">
            <v>44141</v>
          </cell>
          <cell r="GG71">
            <v>1</v>
          </cell>
          <cell r="HM71">
            <v>70</v>
          </cell>
          <cell r="HQ71">
            <v>82</v>
          </cell>
          <cell r="HU71">
            <v>57</v>
          </cell>
          <cell r="HY71">
            <v>107</v>
          </cell>
          <cell r="IC71">
            <v>101</v>
          </cell>
          <cell r="IG71">
            <v>80</v>
          </cell>
          <cell r="IK71">
            <v>52</v>
          </cell>
          <cell r="IO71">
            <v>120</v>
          </cell>
          <cell r="IS71">
            <v>70</v>
          </cell>
          <cell r="IW71">
            <v>70</v>
          </cell>
        </row>
        <row r="72">
          <cell r="A72" t="str">
            <v>10/150263-2</v>
          </cell>
          <cell r="B72" t="str">
            <v>10/150263-2</v>
          </cell>
          <cell r="F72" t="str">
            <v>energisa_ms</v>
          </cell>
          <cell r="H72" t="str">
            <v>10/150263-2</v>
          </cell>
          <cell r="I72">
            <v>45748</v>
          </cell>
          <cell r="J72" t="str">
            <v>COMERCIAL - TEMPLOS RELIGIOSOS</v>
          </cell>
          <cell r="K72" t="str">
            <v>79900558</v>
          </cell>
          <cell r="L72" t="str">
            <v>MS</v>
          </cell>
          <cell r="M72" t="str">
            <v>PONTA PORA</v>
          </cell>
          <cell r="N72" t="str">
            <v>PARQUE DAS AROEIRAS</v>
          </cell>
          <cell r="O72" t="str">
            <v>RUA JAMAICA, 46 - 17.032.04.028077</v>
          </cell>
          <cell r="P72">
            <v>45771</v>
          </cell>
          <cell r="Q72" t="str">
            <v>B - B3</v>
          </cell>
          <cell r="R72" t="str">
            <v>62955505015512</v>
          </cell>
          <cell r="U72">
            <v>45740</v>
          </cell>
          <cell r="V72">
            <v>45770</v>
          </cell>
          <cell r="W72">
            <v>45800</v>
          </cell>
          <cell r="X72">
            <v>45783</v>
          </cell>
          <cell r="Y72" t="str">
            <v/>
          </cell>
          <cell r="AA72" t="str">
            <v>010.097.003-002</v>
          </cell>
          <cell r="AB72" t="str">
            <v>monofasico</v>
          </cell>
          <cell r="AC72" t="str">
            <v>convencional</v>
          </cell>
          <cell r="AD72">
            <v>86.81</v>
          </cell>
          <cell r="AE72" t="str">
            <v>34191.09107 60102.512930 85972.140009 4 10730000008681</v>
          </cell>
          <cell r="AF72" t="str">
            <v>IGREJA DO EVANGELHO QUADRANGULAR</v>
          </cell>
          <cell r="AL72">
            <v>156</v>
          </cell>
          <cell r="AM72">
            <v>1.1215384615384616</v>
          </cell>
          <cell r="AN72">
            <v>174.96</v>
          </cell>
          <cell r="AX72">
            <v>126</v>
          </cell>
          <cell r="AY72">
            <v>1.1215079365079366</v>
          </cell>
          <cell r="AZ72">
            <v>-141.31</v>
          </cell>
          <cell r="DZ72">
            <v>126</v>
          </cell>
          <cell r="EA72">
            <v>1.1215079365079366</v>
          </cell>
          <cell r="EB72">
            <v>-141.31</v>
          </cell>
          <cell r="ET72">
            <v>126</v>
          </cell>
          <cell r="EX72">
            <v>678</v>
          </cell>
          <cell r="FA72">
            <v>52.15</v>
          </cell>
          <cell r="FC72">
            <v>1.01</v>
          </cell>
          <cell r="FM72">
            <v>27.92</v>
          </cell>
          <cell r="FN72">
            <v>4.9954999999999999E-2</v>
          </cell>
          <cell r="FO72">
            <v>1.39</v>
          </cell>
          <cell r="FP72">
            <v>27.92</v>
          </cell>
          <cell r="FQ72">
            <v>1.0845E-2</v>
          </cell>
          <cell r="FR72">
            <v>0.3</v>
          </cell>
          <cell r="FS72">
            <v>33.65</v>
          </cell>
          <cell r="FT72">
            <v>0.17</v>
          </cell>
          <cell r="FU72">
            <v>5.72</v>
          </cell>
          <cell r="GD72">
            <v>156</v>
          </cell>
          <cell r="GE72">
            <v>7107</v>
          </cell>
          <cell r="GF72">
            <v>6951</v>
          </cell>
          <cell r="GG72">
            <v>1</v>
          </cell>
          <cell r="HM72">
            <v>202</v>
          </cell>
          <cell r="HQ72">
            <v>198</v>
          </cell>
          <cell r="HU72">
            <v>187</v>
          </cell>
          <cell r="HY72">
            <v>163</v>
          </cell>
          <cell r="IC72">
            <v>188</v>
          </cell>
          <cell r="IG72">
            <v>141</v>
          </cell>
          <cell r="IK72">
            <v>125</v>
          </cell>
          <cell r="IO72">
            <v>162</v>
          </cell>
          <cell r="IS72">
            <v>122</v>
          </cell>
          <cell r="IW72">
            <v>156</v>
          </cell>
        </row>
        <row r="73">
          <cell r="A73" t="str">
            <v/>
          </cell>
          <cell r="B73" t="str">
            <v>10/142353-2</v>
          </cell>
          <cell r="C73" t="str">
            <v>Noroeste 1138</v>
          </cell>
          <cell r="D73" t="str">
            <v>2024-01-01</v>
          </cell>
          <cell r="F73" t="str">
            <v>energisa_ms</v>
          </cell>
          <cell r="G73" t="str">
            <v>Noroeste 1138</v>
          </cell>
          <cell r="H73" t="str">
            <v>Igreja do Evangelho Quadrangular</v>
          </cell>
          <cell r="I73">
            <v>45748</v>
          </cell>
          <cell r="J73" t="str">
            <v>COMERCIAL - TEMPLOS RELIGIOSOS</v>
          </cell>
          <cell r="K73" t="str">
            <v>79904668</v>
          </cell>
          <cell r="L73" t="str">
            <v>MS</v>
          </cell>
          <cell r="M73" t="str">
            <v>PONTA PORA</v>
          </cell>
          <cell r="N73" t="str">
            <v>CENTRO</v>
          </cell>
          <cell r="O73" t="str">
            <v>RUA ANTONIO JOAO, 2547 - 08.032.03.477000</v>
          </cell>
          <cell r="P73">
            <v>45763</v>
          </cell>
          <cell r="Q73" t="str">
            <v>B - B3</v>
          </cell>
          <cell r="R73" t="str">
            <v>62955505113875</v>
          </cell>
          <cell r="U73">
            <v>45734</v>
          </cell>
          <cell r="V73">
            <v>45762</v>
          </cell>
          <cell r="W73">
            <v>45793</v>
          </cell>
          <cell r="X73">
            <v>45779</v>
          </cell>
          <cell r="Y73" t="str">
            <v/>
          </cell>
          <cell r="AA73" t="str">
            <v>010.014.591-002</v>
          </cell>
          <cell r="AB73" t="str">
            <v>bifasico</v>
          </cell>
          <cell r="AC73" t="str">
            <v>convencional</v>
          </cell>
          <cell r="AD73">
            <v>231.57</v>
          </cell>
          <cell r="AE73" t="str">
            <v>34191.09107 47151.172930 85972.140009 8 10690000023157</v>
          </cell>
          <cell r="AF73" t="str">
            <v>IGREJA DO EVANGELHO QUADRANGULAR</v>
          </cell>
          <cell r="AL73">
            <v>421</v>
          </cell>
          <cell r="AM73">
            <v>1.1190736342042755</v>
          </cell>
          <cell r="AN73">
            <v>471.13</v>
          </cell>
          <cell r="AX73">
            <v>361</v>
          </cell>
          <cell r="AY73">
            <v>0.97271468144044326</v>
          </cell>
          <cell r="AZ73">
            <v>-351.15000000000003</v>
          </cell>
          <cell r="DR73">
            <v>361</v>
          </cell>
          <cell r="DS73">
            <v>1.1190581717451524</v>
          </cell>
          <cell r="DT73">
            <v>-403.98</v>
          </cell>
          <cell r="ET73">
            <v>361</v>
          </cell>
          <cell r="EX73">
            <v>0</v>
          </cell>
          <cell r="FA73">
            <v>72.97</v>
          </cell>
          <cell r="FB73">
            <v>4.38</v>
          </cell>
          <cell r="FC73">
            <v>34.239999999999995</v>
          </cell>
          <cell r="FL73">
            <v>52.83</v>
          </cell>
          <cell r="FM73">
            <v>55.73</v>
          </cell>
          <cell r="FN73">
            <v>4.9954999999999999E-2</v>
          </cell>
          <cell r="FO73">
            <v>2.78</v>
          </cell>
          <cell r="FP73">
            <v>55.73</v>
          </cell>
          <cell r="FQ73">
            <v>1.0845E-2</v>
          </cell>
          <cell r="FR73">
            <v>0.6</v>
          </cell>
          <cell r="FS73">
            <v>67.150000000000006</v>
          </cell>
          <cell r="FT73">
            <v>0.17</v>
          </cell>
          <cell r="FU73">
            <v>11.41</v>
          </cell>
          <cell r="GD73">
            <v>421</v>
          </cell>
          <cell r="GE73">
            <v>13749</v>
          </cell>
          <cell r="GF73">
            <v>13328</v>
          </cell>
          <cell r="GG73">
            <v>1</v>
          </cell>
          <cell r="HM73">
            <v>681</v>
          </cell>
          <cell r="HQ73">
            <v>681</v>
          </cell>
          <cell r="HU73">
            <v>681</v>
          </cell>
          <cell r="HY73">
            <v>457</v>
          </cell>
          <cell r="IC73">
            <v>489</v>
          </cell>
          <cell r="IG73">
            <v>479</v>
          </cell>
          <cell r="IK73">
            <v>364</v>
          </cell>
          <cell r="IO73">
            <v>350</v>
          </cell>
          <cell r="IS73">
            <v>252</v>
          </cell>
          <cell r="IW73">
            <v>323</v>
          </cell>
        </row>
        <row r="74">
          <cell r="A74" t="str">
            <v/>
          </cell>
          <cell r="B74" t="str">
            <v>10/1548741-6</v>
          </cell>
          <cell r="C74" t="str">
            <v>Parnaíba 0847-51</v>
          </cell>
          <cell r="D74" t="str">
            <v>2024-01-01</v>
          </cell>
          <cell r="F74" t="str">
            <v>energisa_ms</v>
          </cell>
          <cell r="G74" t="str">
            <v>Parnaíba 0847-51</v>
          </cell>
          <cell r="H74" t="str">
            <v>Igreja do Evangelho Quadrangular</v>
          </cell>
          <cell r="I74">
            <v>45748</v>
          </cell>
          <cell r="J74" t="str">
            <v>COMERCIAL - OUTROS SERVIÇOS E OUTRAS ATIVIDADES</v>
          </cell>
          <cell r="K74" t="str">
            <v>79500000</v>
          </cell>
          <cell r="L74" t="str">
            <v>MS</v>
          </cell>
          <cell r="M74" t="str">
            <v>PARANAIBA</v>
          </cell>
          <cell r="N74" t="str">
            <v>JARDIM AMERICA</v>
          </cell>
          <cell r="O74" t="str">
            <v>RUA JOSE AGI, 651 - 12.014.07.803500</v>
          </cell>
          <cell r="P74">
            <v>45770</v>
          </cell>
          <cell r="Q74" t="str">
            <v>B - B3</v>
          </cell>
          <cell r="R74" t="str">
            <v>62955505084751</v>
          </cell>
          <cell r="U74">
            <v>45737</v>
          </cell>
          <cell r="V74">
            <v>45769</v>
          </cell>
          <cell r="W74">
            <v>45799</v>
          </cell>
          <cell r="X74">
            <v>45793</v>
          </cell>
          <cell r="Y74" t="str">
            <v/>
          </cell>
          <cell r="AA74" t="str">
            <v>010.080.042-002</v>
          </cell>
          <cell r="AB74" t="str">
            <v>monofasico</v>
          </cell>
          <cell r="AC74" t="str">
            <v>convencional</v>
          </cell>
          <cell r="AD74">
            <v>96.6</v>
          </cell>
          <cell r="AE74" t="str">
            <v>34191.09107 57165.692930 85972.140009 9 10830000009660</v>
          </cell>
          <cell r="AF74" t="str">
            <v>IGREJA DO EVANGELHO QUADRANGULAR</v>
          </cell>
          <cell r="AL74">
            <v>179</v>
          </cell>
          <cell r="AM74">
            <v>1.1209497206703911</v>
          </cell>
          <cell r="AN74">
            <v>200.65</v>
          </cell>
          <cell r="AX74">
            <v>149</v>
          </cell>
          <cell r="AY74">
            <v>1.1168456375838927</v>
          </cell>
          <cell r="AZ74">
            <v>-166.41</v>
          </cell>
          <cell r="DR74">
            <v>40</v>
          </cell>
          <cell r="DS74">
            <v>1.1205000000000003</v>
          </cell>
          <cell r="DT74">
            <v>-44.820000000000007</v>
          </cell>
          <cell r="DZ74">
            <v>109</v>
          </cell>
          <cell r="EA74">
            <v>1.1209174311926606</v>
          </cell>
          <cell r="EB74">
            <v>-122.18</v>
          </cell>
          <cell r="ET74">
            <v>149</v>
          </cell>
          <cell r="EX74">
            <v>258</v>
          </cell>
          <cell r="FA74">
            <v>61.67</v>
          </cell>
          <cell r="FC74">
            <v>0.69000000000000006</v>
          </cell>
          <cell r="FL74">
            <v>0.59</v>
          </cell>
          <cell r="FM74">
            <v>27.99</v>
          </cell>
          <cell r="FN74">
            <v>4.9954999999999999E-2</v>
          </cell>
          <cell r="FO74">
            <v>1.41</v>
          </cell>
          <cell r="FP74">
            <v>27.99</v>
          </cell>
          <cell r="FQ74">
            <v>1.0845E-2</v>
          </cell>
          <cell r="FR74">
            <v>0.31</v>
          </cell>
          <cell r="FS74">
            <v>33.65</v>
          </cell>
          <cell r="FT74">
            <v>0.17</v>
          </cell>
          <cell r="FU74">
            <v>5.72</v>
          </cell>
          <cell r="GD74">
            <v>179</v>
          </cell>
          <cell r="GE74">
            <v>19242</v>
          </cell>
          <cell r="GF74">
            <v>19063</v>
          </cell>
          <cell r="GG74">
            <v>1</v>
          </cell>
          <cell r="HM74">
            <v>153</v>
          </cell>
          <cell r="HQ74">
            <v>172</v>
          </cell>
          <cell r="HU74">
            <v>171</v>
          </cell>
          <cell r="HY74">
            <v>156</v>
          </cell>
          <cell r="IC74">
            <v>146</v>
          </cell>
          <cell r="IG74">
            <v>155</v>
          </cell>
          <cell r="IK74">
            <v>128</v>
          </cell>
          <cell r="IO74">
            <v>136</v>
          </cell>
          <cell r="IS74">
            <v>144</v>
          </cell>
          <cell r="IW74">
            <v>151</v>
          </cell>
        </row>
        <row r="75">
          <cell r="A75" t="str">
            <v/>
          </cell>
          <cell r="B75" t="str">
            <v>10/226667-4</v>
          </cell>
          <cell r="C75" t="str">
            <v>408</v>
          </cell>
          <cell r="D75" t="str">
            <v>2024-01-01</v>
          </cell>
          <cell r="F75" t="str">
            <v>energisa_ms</v>
          </cell>
          <cell r="G75" t="str">
            <v>408</v>
          </cell>
          <cell r="H75" t="str">
            <v>Igreja do Evangelho Quadrangular</v>
          </cell>
          <cell r="I75">
            <v>45748</v>
          </cell>
          <cell r="J75" t="str">
            <v>COMERCIAL - TEMPLOS RELIGIOSOS</v>
          </cell>
          <cell r="K75" t="str">
            <v>79260000</v>
          </cell>
          <cell r="L75" t="str">
            <v>MS</v>
          </cell>
          <cell r="M75" t="str">
            <v>BELA VISTA</v>
          </cell>
          <cell r="N75" t="str">
            <v>CENTRO</v>
          </cell>
          <cell r="O75" t="str">
            <v>RUA GENERAL OSORIO, 1200 - 12.056.03.392000</v>
          </cell>
          <cell r="P75">
            <v>45763</v>
          </cell>
          <cell r="Q75" t="str">
            <v>B - B3</v>
          </cell>
          <cell r="R75" t="str">
            <v>62955505040894</v>
          </cell>
          <cell r="U75">
            <v>45734</v>
          </cell>
          <cell r="V75">
            <v>45762</v>
          </cell>
          <cell r="W75">
            <v>45793</v>
          </cell>
          <cell r="X75">
            <v>45793</v>
          </cell>
          <cell r="Y75" t="str">
            <v/>
          </cell>
          <cell r="AA75" t="str">
            <v>010.015.086-002</v>
          </cell>
          <cell r="AB75" t="str">
            <v>bifasico</v>
          </cell>
          <cell r="AC75" t="str">
            <v>convencional</v>
          </cell>
          <cell r="AD75">
            <v>80.239999999999995</v>
          </cell>
          <cell r="AF75" t="str">
            <v>IGREJA DO EVANGELHO QUADRANGULAR</v>
          </cell>
          <cell r="AL75">
            <v>98</v>
          </cell>
          <cell r="AM75">
            <v>1.1189795918367347</v>
          </cell>
          <cell r="AN75">
            <v>109.66</v>
          </cell>
          <cell r="AX75">
            <v>52</v>
          </cell>
          <cell r="AY75">
            <v>1.0401923076923079</v>
          </cell>
          <cell r="AZ75">
            <v>-54.09</v>
          </cell>
          <cell r="DR75">
            <v>52</v>
          </cell>
          <cell r="DS75">
            <v>1.1188461538461538</v>
          </cell>
          <cell r="DT75">
            <v>-58.18</v>
          </cell>
          <cell r="ET75">
            <v>52</v>
          </cell>
          <cell r="EX75">
            <v>550</v>
          </cell>
          <cell r="FA75">
            <v>24.67</v>
          </cell>
          <cell r="FL75">
            <v>4.09</v>
          </cell>
          <cell r="FM75">
            <v>42.74</v>
          </cell>
          <cell r="FN75">
            <v>4.9954999999999999E-2</v>
          </cell>
          <cell r="FO75">
            <v>2.14</v>
          </cell>
          <cell r="FP75">
            <v>42.74</v>
          </cell>
          <cell r="FQ75">
            <v>1.0845E-2</v>
          </cell>
          <cell r="FR75">
            <v>0.47</v>
          </cell>
          <cell r="FS75">
            <v>51.48</v>
          </cell>
          <cell r="FT75">
            <v>0.17</v>
          </cell>
          <cell r="FU75">
            <v>8.75</v>
          </cell>
          <cell r="GD75">
            <v>98</v>
          </cell>
          <cell r="GE75">
            <v>24254</v>
          </cell>
          <cell r="GF75">
            <v>24156</v>
          </cell>
          <cell r="GG75">
            <v>1</v>
          </cell>
          <cell r="HM75">
            <v>157</v>
          </cell>
          <cell r="HQ75">
            <v>149</v>
          </cell>
          <cell r="HU75">
            <v>185</v>
          </cell>
          <cell r="HY75">
            <v>133</v>
          </cell>
          <cell r="IC75">
            <v>169</v>
          </cell>
          <cell r="IG75">
            <v>178</v>
          </cell>
          <cell r="IK75">
            <v>127</v>
          </cell>
          <cell r="IO75">
            <v>129</v>
          </cell>
          <cell r="IS75">
            <v>99</v>
          </cell>
          <cell r="IW75">
            <v>130</v>
          </cell>
        </row>
        <row r="76">
          <cell r="A76" t="str">
            <v/>
          </cell>
          <cell r="B76" t="str">
            <v>10/29964-4</v>
          </cell>
          <cell r="C76" t="str">
            <v>Popular Nova 676</v>
          </cell>
          <cell r="D76" t="str">
            <v>2024-01-01</v>
          </cell>
          <cell r="F76" t="str">
            <v>energisa_ms</v>
          </cell>
          <cell r="G76" t="str">
            <v>Popular Nova 676</v>
          </cell>
          <cell r="H76" t="str">
            <v>Igreja do Evangelho Quadrangular</v>
          </cell>
          <cell r="I76">
            <v>45748</v>
          </cell>
          <cell r="J76" t="str">
            <v>COMERCIAL - TEMPLOS RELIGIOSOS</v>
          </cell>
          <cell r="K76" t="str">
            <v>79321070</v>
          </cell>
          <cell r="L76" t="str">
            <v>MS</v>
          </cell>
          <cell r="M76" t="str">
            <v>CORUMBA</v>
          </cell>
          <cell r="N76" t="str">
            <v>POPULAR NOVA</v>
          </cell>
          <cell r="O76" t="str">
            <v>RUA PARANA, 2481 - 18.003.13.440000</v>
          </cell>
          <cell r="P76">
            <v>45761</v>
          </cell>
          <cell r="Q76" t="str">
            <v>B - B3</v>
          </cell>
          <cell r="R76" t="str">
            <v>62955505067660</v>
          </cell>
          <cell r="U76">
            <v>45729</v>
          </cell>
          <cell r="V76">
            <v>45758</v>
          </cell>
          <cell r="W76">
            <v>45790</v>
          </cell>
          <cell r="X76">
            <v>45772</v>
          </cell>
          <cell r="Y76" t="str">
            <v/>
          </cell>
          <cell r="AA76" t="str">
            <v>009.944.003-002</v>
          </cell>
          <cell r="AB76" t="str">
            <v>trifasico</v>
          </cell>
          <cell r="AC76" t="str">
            <v>convencional</v>
          </cell>
          <cell r="AD76">
            <v>102.86</v>
          </cell>
          <cell r="AF76" t="str">
            <v>IGREJA DO EVANGELHO QUADRANGULAR</v>
          </cell>
          <cell r="AL76">
            <v>691</v>
          </cell>
          <cell r="AM76">
            <v>1.1175976845151954</v>
          </cell>
          <cell r="AN76">
            <v>772.26</v>
          </cell>
          <cell r="AX76">
            <v>646</v>
          </cell>
          <cell r="AY76">
            <v>1.0421517027863778</v>
          </cell>
          <cell r="AZ76">
            <v>-673.23</v>
          </cell>
          <cell r="DR76">
            <v>646</v>
          </cell>
          <cell r="DS76">
            <v>1.1175851393188856</v>
          </cell>
          <cell r="DT76">
            <v>-721.96</v>
          </cell>
          <cell r="ET76">
            <v>646</v>
          </cell>
          <cell r="EX76">
            <v>769</v>
          </cell>
          <cell r="FC76">
            <v>3.83</v>
          </cell>
          <cell r="FL76">
            <v>48.73</v>
          </cell>
          <cell r="FM76">
            <v>41.75</v>
          </cell>
          <cell r="FN76">
            <v>4.9954999999999999E-2</v>
          </cell>
          <cell r="FO76">
            <v>2.09</v>
          </cell>
          <cell r="FP76">
            <v>41.75</v>
          </cell>
          <cell r="FQ76">
            <v>1.0845E-2</v>
          </cell>
          <cell r="FR76">
            <v>0.45</v>
          </cell>
          <cell r="FS76">
            <v>50.3</v>
          </cell>
          <cell r="FT76">
            <v>0.17</v>
          </cell>
          <cell r="FU76">
            <v>8.5500000000000007</v>
          </cell>
          <cell r="GD76">
            <v>691</v>
          </cell>
          <cell r="GE76">
            <v>39764</v>
          </cell>
          <cell r="GF76">
            <v>39073</v>
          </cell>
          <cell r="GG76">
            <v>1</v>
          </cell>
          <cell r="HM76">
            <v>715</v>
          </cell>
          <cell r="HQ76">
            <v>774</v>
          </cell>
          <cell r="HU76">
            <v>785</v>
          </cell>
          <cell r="HY76">
            <v>797</v>
          </cell>
          <cell r="IC76">
            <v>728</v>
          </cell>
          <cell r="IG76">
            <v>758</v>
          </cell>
          <cell r="IK76">
            <v>429</v>
          </cell>
          <cell r="IO76">
            <v>516</v>
          </cell>
          <cell r="IS76">
            <v>469</v>
          </cell>
          <cell r="IW76">
            <v>346</v>
          </cell>
        </row>
        <row r="77">
          <cell r="A77" t="str">
            <v/>
          </cell>
          <cell r="B77" t="str">
            <v>10/135237-6</v>
          </cell>
          <cell r="C77" t="str">
            <v>800</v>
          </cell>
          <cell r="D77" t="str">
            <v>2024-01-01</v>
          </cell>
          <cell r="F77" t="str">
            <v>energisa_ms</v>
          </cell>
          <cell r="G77" t="str">
            <v>800</v>
          </cell>
          <cell r="H77" t="str">
            <v>Igreja do Evangelho Quadrangular</v>
          </cell>
          <cell r="I77">
            <v>45748</v>
          </cell>
          <cell r="J77" t="str">
            <v>COMERCIAL - TEMPLOS RELIGIOSOS</v>
          </cell>
          <cell r="K77" t="str">
            <v>79150000</v>
          </cell>
          <cell r="L77" t="str">
            <v>MS</v>
          </cell>
          <cell r="M77" t="str">
            <v>MARACAJU</v>
          </cell>
          <cell r="N77" t="str">
            <v>VILA PRATEADA</v>
          </cell>
          <cell r="O77" t="str">
            <v>RUA ROSALVO FRAGA SANTOS, 60 - 05.031.05.383000</v>
          </cell>
          <cell r="P77">
            <v>45763</v>
          </cell>
          <cell r="Q77" t="str">
            <v>B - B3</v>
          </cell>
          <cell r="R77" t="str">
            <v>62955505080098</v>
          </cell>
          <cell r="U77">
            <v>45734</v>
          </cell>
          <cell r="V77">
            <v>45762</v>
          </cell>
          <cell r="W77">
            <v>45793</v>
          </cell>
          <cell r="X77">
            <v>45789</v>
          </cell>
          <cell r="Y77" t="str">
            <v/>
          </cell>
          <cell r="AA77" t="str">
            <v>010.014.551-002</v>
          </cell>
          <cell r="AB77" t="str">
            <v>trifasico</v>
          </cell>
          <cell r="AC77" t="str">
            <v>convencional</v>
          </cell>
          <cell r="AD77">
            <v>127.82</v>
          </cell>
          <cell r="AE77" t="str">
            <v>34191.09107 47148.882930 85972.140009 7 10790000012782</v>
          </cell>
          <cell r="AF77" t="str">
            <v>IGREJA DO EVANGELHO QUADRANGULAR</v>
          </cell>
          <cell r="AL77">
            <v>157</v>
          </cell>
          <cell r="AM77">
            <v>1.1190445859872611</v>
          </cell>
          <cell r="AN77">
            <v>175.69</v>
          </cell>
          <cell r="AX77">
            <v>57</v>
          </cell>
          <cell r="AY77">
            <v>1.1189473684210527</v>
          </cell>
          <cell r="AZ77">
            <v>-63.78</v>
          </cell>
          <cell r="DR77">
            <v>57</v>
          </cell>
          <cell r="DS77">
            <v>1.1189473684210527</v>
          </cell>
          <cell r="DT77">
            <v>-63.78</v>
          </cell>
          <cell r="ET77">
            <v>57</v>
          </cell>
          <cell r="EX77">
            <v>943</v>
          </cell>
          <cell r="FA77">
            <v>15.91</v>
          </cell>
          <cell r="FM77">
            <v>92.89</v>
          </cell>
          <cell r="FN77">
            <v>4.9954999999999999E-2</v>
          </cell>
          <cell r="FO77">
            <v>4.6399999999999997</v>
          </cell>
          <cell r="FP77">
            <v>92.89</v>
          </cell>
          <cell r="FQ77">
            <v>1.0845E-2</v>
          </cell>
          <cell r="FR77">
            <v>1.01</v>
          </cell>
          <cell r="FS77">
            <v>111.91</v>
          </cell>
          <cell r="FT77">
            <v>0.17</v>
          </cell>
          <cell r="FU77">
            <v>19.02</v>
          </cell>
          <cell r="GD77">
            <v>157</v>
          </cell>
          <cell r="GE77">
            <v>36435</v>
          </cell>
          <cell r="GF77">
            <v>36278</v>
          </cell>
          <cell r="GG77">
            <v>1</v>
          </cell>
          <cell r="HM77">
            <v>197</v>
          </cell>
          <cell r="HQ77">
            <v>159</v>
          </cell>
          <cell r="HU77">
            <v>21</v>
          </cell>
          <cell r="HY77">
            <v>138</v>
          </cell>
          <cell r="IC77">
            <v>112</v>
          </cell>
          <cell r="IG77">
            <v>148</v>
          </cell>
          <cell r="IK77">
            <v>113</v>
          </cell>
          <cell r="IO77">
            <v>103</v>
          </cell>
          <cell r="IS77">
            <v>90</v>
          </cell>
          <cell r="IW77">
            <v>100</v>
          </cell>
        </row>
        <row r="78">
          <cell r="A78" t="str">
            <v/>
          </cell>
          <cell r="B78" t="str">
            <v>10/1672452-8</v>
          </cell>
          <cell r="C78" t="str">
            <v>172</v>
          </cell>
          <cell r="D78" t="str">
            <v>2024-01-01</v>
          </cell>
          <cell r="F78" t="str">
            <v>energisa_ms</v>
          </cell>
          <cell r="G78" t="str">
            <v>17213</v>
          </cell>
          <cell r="H78" t="str">
            <v>Igreja do Evangelho Quadrangular</v>
          </cell>
          <cell r="I78">
            <v>45748</v>
          </cell>
          <cell r="J78" t="str">
            <v>COMERCIAL - TEMPLOS RELIGIOSOS</v>
          </cell>
          <cell r="K78" t="str">
            <v>79290000</v>
          </cell>
          <cell r="L78" t="str">
            <v>MS</v>
          </cell>
          <cell r="M78" t="str">
            <v>BONITO</v>
          </cell>
          <cell r="N78" t="str">
            <v>CENTRO</v>
          </cell>
          <cell r="O78" t="str">
            <v>RUA N SRA DA PENHA, 540 - 06.061.05.037000</v>
          </cell>
          <cell r="P78">
            <v>45761</v>
          </cell>
          <cell r="Q78" t="str">
            <v>B - B3</v>
          </cell>
          <cell r="R78" t="str">
            <v>62955505017213</v>
          </cell>
          <cell r="U78">
            <v>45729</v>
          </cell>
          <cell r="V78">
            <v>45758</v>
          </cell>
          <cell r="W78">
            <v>45790</v>
          </cell>
          <cell r="X78">
            <v>45793</v>
          </cell>
          <cell r="Y78" t="str">
            <v/>
          </cell>
          <cell r="AA78" t="str">
            <v>009.948.397-002</v>
          </cell>
          <cell r="AB78" t="str">
            <v>trifasico</v>
          </cell>
          <cell r="AC78" t="str">
            <v>convencional</v>
          </cell>
          <cell r="AD78">
            <v>179.61</v>
          </cell>
          <cell r="AE78" t="str">
            <v>34191.09107 39751.422930 85972.140009 6 10830000017961</v>
          </cell>
          <cell r="AF78" t="str">
            <v>IGREJA DO EVANGELHO QUADRANGULAR</v>
          </cell>
          <cell r="AL78">
            <v>523</v>
          </cell>
          <cell r="AM78">
            <v>1.1175908221797324</v>
          </cell>
          <cell r="AN78">
            <v>584.5</v>
          </cell>
          <cell r="AX78">
            <v>423</v>
          </cell>
          <cell r="AY78">
            <v>1.1175650118203311</v>
          </cell>
          <cell r="AZ78">
            <v>-472.73</v>
          </cell>
          <cell r="DR78">
            <v>423</v>
          </cell>
          <cell r="DS78">
            <v>1.1175650118203311</v>
          </cell>
          <cell r="DT78">
            <v>-472.73</v>
          </cell>
          <cell r="ET78">
            <v>423</v>
          </cell>
          <cell r="EX78">
            <v>3053</v>
          </cell>
          <cell r="FA78">
            <v>67.84</v>
          </cell>
          <cell r="FM78">
            <v>92.78</v>
          </cell>
          <cell r="FN78">
            <v>4.9954999999999999E-2</v>
          </cell>
          <cell r="FO78">
            <v>4.63</v>
          </cell>
          <cell r="FP78">
            <v>92.78</v>
          </cell>
          <cell r="FQ78">
            <v>1.0845E-2</v>
          </cell>
          <cell r="FR78">
            <v>1</v>
          </cell>
          <cell r="FS78">
            <v>111.77</v>
          </cell>
          <cell r="FT78">
            <v>0.17</v>
          </cell>
          <cell r="FU78">
            <v>19</v>
          </cell>
          <cell r="GD78">
            <v>523</v>
          </cell>
          <cell r="GE78">
            <v>29372</v>
          </cell>
          <cell r="GF78">
            <v>28849</v>
          </cell>
          <cell r="GG78">
            <v>1</v>
          </cell>
          <cell r="HM78">
            <v>476</v>
          </cell>
          <cell r="HQ78">
            <v>564</v>
          </cell>
          <cell r="HU78">
            <v>319</v>
          </cell>
          <cell r="HY78">
            <v>377</v>
          </cell>
          <cell r="IC78">
            <v>301</v>
          </cell>
          <cell r="IG78">
            <v>358</v>
          </cell>
          <cell r="IK78">
            <v>263</v>
          </cell>
          <cell r="IO78">
            <v>291</v>
          </cell>
          <cell r="IS78">
            <v>251</v>
          </cell>
          <cell r="IW78">
            <v>290</v>
          </cell>
        </row>
        <row r="79">
          <cell r="A79" t="str">
            <v/>
          </cell>
          <cell r="B79" t="str">
            <v>10/1130988-7</v>
          </cell>
          <cell r="C79" t="str">
            <v>Cong. Porto Murtinho</v>
          </cell>
          <cell r="D79" t="str">
            <v>2024-01-01</v>
          </cell>
          <cell r="F79" t="str">
            <v>energisa_ms</v>
          </cell>
          <cell r="G79" t="str">
            <v>408</v>
          </cell>
          <cell r="H79" t="str">
            <v>Igreja do Evangelho Quadrangular</v>
          </cell>
          <cell r="I79">
            <v>45748</v>
          </cell>
          <cell r="J79" t="str">
            <v>COMERCIAL - TEMPLOS RELIGIOSOS</v>
          </cell>
          <cell r="K79" t="str">
            <v>79280000</v>
          </cell>
          <cell r="L79" t="str">
            <v>MS</v>
          </cell>
          <cell r="M79" t="str">
            <v>PORTO MURTINHO</v>
          </cell>
          <cell r="N79" t="str">
            <v>CENTRO</v>
          </cell>
          <cell r="O79" t="str">
            <v>RUA CAPITAO CANTALICE, 0 - Q 86 L 84 13.060.03.238000</v>
          </cell>
          <cell r="P79">
            <v>45775</v>
          </cell>
          <cell r="Q79" t="str">
            <v>B - B3</v>
          </cell>
          <cell r="R79" t="str">
            <v>62955505040894</v>
          </cell>
          <cell r="U79">
            <v>45742</v>
          </cell>
          <cell r="V79">
            <v>45772</v>
          </cell>
          <cell r="W79">
            <v>45804</v>
          </cell>
          <cell r="X79">
            <v>45798</v>
          </cell>
          <cell r="Y79" t="str">
            <v/>
          </cell>
          <cell r="AA79" t="str">
            <v>010.134.370-002</v>
          </cell>
          <cell r="AB79" t="str">
            <v>bifasico</v>
          </cell>
          <cell r="AC79" t="str">
            <v>convencional</v>
          </cell>
          <cell r="AD79">
            <v>181.5</v>
          </cell>
          <cell r="AE79" t="str">
            <v>34191.09107 63815.042930 85972.140009 7 10880000018150</v>
          </cell>
          <cell r="AF79" t="str">
            <v>IGREJA DO EVANGELHO QUADRANGULAR</v>
          </cell>
          <cell r="AL79">
            <v>235</v>
          </cell>
          <cell r="AM79">
            <v>1.1222553191489362</v>
          </cell>
          <cell r="AN79">
            <v>263.73</v>
          </cell>
          <cell r="AX79">
            <v>103</v>
          </cell>
          <cell r="AY79">
            <v>0.97135922330097102</v>
          </cell>
          <cell r="AZ79">
            <v>-100.05000000000001</v>
          </cell>
          <cell r="DZ79">
            <v>103</v>
          </cell>
          <cell r="EA79">
            <v>1.1222330097087378</v>
          </cell>
          <cell r="EB79">
            <v>-115.59</v>
          </cell>
          <cell r="ET79">
            <v>103</v>
          </cell>
          <cell r="EX79">
            <v>0</v>
          </cell>
          <cell r="FA79">
            <v>17.82</v>
          </cell>
          <cell r="FL79">
            <v>15.54</v>
          </cell>
          <cell r="FM79">
            <v>122.95</v>
          </cell>
          <cell r="FN79">
            <v>4.9954999999999999E-2</v>
          </cell>
          <cell r="FO79">
            <v>6.14</v>
          </cell>
          <cell r="FP79">
            <v>122.95</v>
          </cell>
          <cell r="FQ79">
            <v>1.0845E-2</v>
          </cell>
          <cell r="FR79">
            <v>1.33</v>
          </cell>
          <cell r="FS79">
            <v>148.13999999999999</v>
          </cell>
          <cell r="FT79">
            <v>0.17</v>
          </cell>
          <cell r="FU79">
            <v>25.18</v>
          </cell>
          <cell r="GD79">
            <v>235</v>
          </cell>
          <cell r="GE79">
            <v>35779</v>
          </cell>
          <cell r="GF79">
            <v>35544</v>
          </cell>
          <cell r="GG79">
            <v>1</v>
          </cell>
          <cell r="HM79">
            <v>331</v>
          </cell>
          <cell r="HQ79">
            <v>321</v>
          </cell>
          <cell r="HU79">
            <v>350</v>
          </cell>
          <cell r="HY79">
            <v>299</v>
          </cell>
          <cell r="IC79">
            <v>234</v>
          </cell>
          <cell r="IG79">
            <v>187</v>
          </cell>
          <cell r="IK79">
            <v>142</v>
          </cell>
          <cell r="IO79">
            <v>140</v>
          </cell>
          <cell r="IS79">
            <v>134</v>
          </cell>
          <cell r="IW79">
            <v>243</v>
          </cell>
        </row>
        <row r="80">
          <cell r="A80" t="str">
            <v/>
          </cell>
          <cell r="B80" t="str">
            <v>10/2605731-5</v>
          </cell>
          <cell r="C80" t="str">
            <v>17213</v>
          </cell>
          <cell r="D80" t="str">
            <v>2024-01-01</v>
          </cell>
          <cell r="F80" t="str">
            <v>energisa_ms</v>
          </cell>
          <cell r="G80" t="str">
            <v>17213</v>
          </cell>
          <cell r="H80" t="str">
            <v>Igreja do Evangelho Quadrangular</v>
          </cell>
          <cell r="I80">
            <v>45748</v>
          </cell>
          <cell r="J80" t="str">
            <v>RESIDENCIAL - RESIDENCIAL</v>
          </cell>
          <cell r="K80" t="str">
            <v>79290000</v>
          </cell>
          <cell r="L80" t="str">
            <v>MS</v>
          </cell>
          <cell r="M80" t="str">
            <v>BONITO</v>
          </cell>
          <cell r="N80" t="str">
            <v>CENTRO</v>
          </cell>
          <cell r="O80" t="str">
            <v>RUA LUIZ DA COSTA LEITE, 2177 - -16.061.05.129002</v>
          </cell>
          <cell r="P80">
            <v>45775</v>
          </cell>
          <cell r="Q80" t="str">
            <v>B - B1</v>
          </cell>
          <cell r="R80" t="str">
            <v>62955505017213</v>
          </cell>
          <cell r="U80">
            <v>45742</v>
          </cell>
          <cell r="V80">
            <v>45772</v>
          </cell>
          <cell r="W80">
            <v>45804</v>
          </cell>
          <cell r="X80">
            <v>45798</v>
          </cell>
          <cell r="Y80" t="str">
            <v/>
          </cell>
          <cell r="AA80" t="str">
            <v>010.140.598-002</v>
          </cell>
          <cell r="AB80" t="str">
            <v>trifasico</v>
          </cell>
          <cell r="AC80" t="str">
            <v>convencional</v>
          </cell>
          <cell r="AD80">
            <v>507.18</v>
          </cell>
          <cell r="AE80" t="str">
            <v>34191.09107 64005.512930 85972.140009 3 10880000050718</v>
          </cell>
          <cell r="AF80" t="str">
            <v>IGREJA DO EVANGELHO QUADRANGULAR</v>
          </cell>
          <cell r="AL80">
            <v>1008</v>
          </cell>
          <cell r="AM80">
            <v>1.1222519841269842</v>
          </cell>
          <cell r="AN80">
            <v>1131.23</v>
          </cell>
          <cell r="AX80">
            <v>655</v>
          </cell>
          <cell r="AY80">
            <v>1.1222442748091603</v>
          </cell>
          <cell r="AZ80">
            <v>-735.07</v>
          </cell>
          <cell r="DZ80">
            <v>655</v>
          </cell>
          <cell r="EA80">
            <v>1.1222442748091603</v>
          </cell>
          <cell r="EB80">
            <v>-735.07</v>
          </cell>
          <cell r="ET80">
            <v>655</v>
          </cell>
          <cell r="EX80">
            <v>0</v>
          </cell>
          <cell r="FA80">
            <v>111.02</v>
          </cell>
          <cell r="FM80">
            <v>328.8</v>
          </cell>
          <cell r="FN80">
            <v>4.9954999999999999E-2</v>
          </cell>
          <cell r="FO80">
            <v>16.420000000000002</v>
          </cell>
          <cell r="FP80">
            <v>328.8</v>
          </cell>
          <cell r="FQ80">
            <v>1.0845E-2</v>
          </cell>
          <cell r="FR80">
            <v>3.56</v>
          </cell>
          <cell r="FS80">
            <v>396.16</v>
          </cell>
          <cell r="FT80">
            <v>0.17</v>
          </cell>
          <cell r="FU80">
            <v>67.34</v>
          </cell>
          <cell r="GD80">
            <v>1008</v>
          </cell>
          <cell r="GE80">
            <v>62789</v>
          </cell>
          <cell r="GF80">
            <v>61781</v>
          </cell>
          <cell r="GG80">
            <v>1</v>
          </cell>
          <cell r="HM80">
            <v>995</v>
          </cell>
          <cell r="HQ80">
            <v>1598</v>
          </cell>
          <cell r="HU80">
            <v>1719</v>
          </cell>
          <cell r="HY80">
            <v>1255</v>
          </cell>
          <cell r="IC80">
            <v>1124</v>
          </cell>
          <cell r="IG80">
            <v>1206</v>
          </cell>
          <cell r="IK80">
            <v>851</v>
          </cell>
          <cell r="IO80">
            <v>630</v>
          </cell>
          <cell r="IS80">
            <v>457</v>
          </cell>
          <cell r="IW80">
            <v>641</v>
          </cell>
        </row>
        <row r="81">
          <cell r="A81" t="str">
            <v/>
          </cell>
          <cell r="B81" t="str">
            <v>10/237441-1</v>
          </cell>
          <cell r="C81" t="str">
            <v>2390</v>
          </cell>
          <cell r="D81" t="str">
            <v>2024-01-01</v>
          </cell>
          <cell r="F81" t="str">
            <v>energisa_ms</v>
          </cell>
          <cell r="G81" t="str">
            <v>17213</v>
          </cell>
          <cell r="H81" t="str">
            <v>Igreja do Evangelho Quadrangular</v>
          </cell>
          <cell r="I81">
            <v>45748</v>
          </cell>
          <cell r="J81" t="str">
            <v>COMERCIAL - TEMPLOS RELIGIOSOS</v>
          </cell>
          <cell r="K81" t="str">
            <v>79290000</v>
          </cell>
          <cell r="L81" t="str">
            <v>MS</v>
          </cell>
          <cell r="M81" t="str">
            <v>BONITO</v>
          </cell>
          <cell r="N81" t="str">
            <v>MARAMBA</v>
          </cell>
          <cell r="O81" t="str">
            <v>AVENIDA HERON DO COUTO, S/N - 14.061.05.032000</v>
          </cell>
          <cell r="P81">
            <v>45764</v>
          </cell>
          <cell r="Q81" t="str">
            <v>B - B3</v>
          </cell>
          <cell r="R81" t="str">
            <v>62955505017213</v>
          </cell>
          <cell r="U81">
            <v>45735</v>
          </cell>
          <cell r="V81">
            <v>45763</v>
          </cell>
          <cell r="W81">
            <v>45796</v>
          </cell>
          <cell r="X81">
            <v>45788</v>
          </cell>
          <cell r="Y81" t="str">
            <v/>
          </cell>
          <cell r="AA81" t="str">
            <v>010.035.530-002</v>
          </cell>
          <cell r="AB81" t="str">
            <v>trifasico</v>
          </cell>
          <cell r="AC81" t="str">
            <v>convencional</v>
          </cell>
          <cell r="AD81">
            <v>127.37</v>
          </cell>
          <cell r="AE81" t="str">
            <v>34191.09107 50404.732930 85972.140009 8 10780000012737</v>
          </cell>
          <cell r="AF81" t="str">
            <v>IGREJA DO EVANGELHO QUADRANGULAR</v>
          </cell>
          <cell r="AL81">
            <v>152</v>
          </cell>
          <cell r="AM81">
            <v>1.1194078947368422</v>
          </cell>
          <cell r="AN81">
            <v>170.15</v>
          </cell>
          <cell r="AX81">
            <v>55</v>
          </cell>
          <cell r="AY81">
            <v>1.0580000000000001</v>
          </cell>
          <cell r="AZ81">
            <v>-58.190000000000005</v>
          </cell>
          <cell r="DR81">
            <v>55</v>
          </cell>
          <cell r="DS81">
            <v>1.1192727272727274</v>
          </cell>
          <cell r="DT81">
            <v>-61.56</v>
          </cell>
          <cell r="ET81">
            <v>55</v>
          </cell>
          <cell r="EX81">
            <v>460</v>
          </cell>
          <cell r="FA81">
            <v>15.41</v>
          </cell>
          <cell r="FL81">
            <v>3.37</v>
          </cell>
          <cell r="FM81">
            <v>90.14</v>
          </cell>
          <cell r="FN81">
            <v>4.9954999999999999E-2</v>
          </cell>
          <cell r="FO81">
            <v>4.5</v>
          </cell>
          <cell r="FP81">
            <v>90.14</v>
          </cell>
          <cell r="FQ81">
            <v>1.0845E-2</v>
          </cell>
          <cell r="FR81">
            <v>0.98</v>
          </cell>
          <cell r="FS81">
            <v>108.59</v>
          </cell>
          <cell r="FT81">
            <v>0.17</v>
          </cell>
          <cell r="FU81">
            <v>18.46</v>
          </cell>
          <cell r="GD81">
            <v>152</v>
          </cell>
          <cell r="GE81">
            <v>55642</v>
          </cell>
          <cell r="GF81">
            <v>55490</v>
          </cell>
          <cell r="GG81">
            <v>1</v>
          </cell>
          <cell r="HM81">
            <v>317</v>
          </cell>
          <cell r="HQ81">
            <v>159</v>
          </cell>
          <cell r="HU81">
            <v>269</v>
          </cell>
          <cell r="HY81">
            <v>383</v>
          </cell>
          <cell r="IC81">
            <v>140</v>
          </cell>
          <cell r="IG81">
            <v>187</v>
          </cell>
          <cell r="IK81">
            <v>95</v>
          </cell>
          <cell r="IO81">
            <v>78</v>
          </cell>
          <cell r="IS81">
            <v>76</v>
          </cell>
          <cell r="IW81">
            <v>98</v>
          </cell>
        </row>
        <row r="82">
          <cell r="A82" t="str">
            <v/>
          </cell>
          <cell r="B82" t="str">
            <v>10/78338-1</v>
          </cell>
          <cell r="C82" t="str">
            <v>1º IEQ de Anastácio (168)</v>
          </cell>
          <cell r="D82" t="str">
            <v>2024-01-01</v>
          </cell>
          <cell r="F82" t="str">
            <v>energisa_ms</v>
          </cell>
          <cell r="G82" t="str">
            <v>1º IEQ de Anastácio (168)</v>
          </cell>
          <cell r="H82" t="str">
            <v>Igreja do Evangelho Quadrangular</v>
          </cell>
          <cell r="I82">
            <v>45748</v>
          </cell>
          <cell r="J82" t="str">
            <v>COMERCIAL - TEMPLOS RELIGIOSOS</v>
          </cell>
          <cell r="K82" t="str">
            <v>79210000</v>
          </cell>
          <cell r="L82" t="str">
            <v>MS</v>
          </cell>
          <cell r="M82" t="str">
            <v>ANASTACIO</v>
          </cell>
          <cell r="N82" t="str">
            <v>CENTRO</v>
          </cell>
          <cell r="O82" t="str">
            <v>RUA 27 DE JULHO, 1200 - 04.011.01.701000</v>
          </cell>
          <cell r="P82">
            <v>45758</v>
          </cell>
          <cell r="Q82" t="str">
            <v>B - B3</v>
          </cell>
          <cell r="R82" t="str">
            <v>62955505016837</v>
          </cell>
          <cell r="U82">
            <v>45728</v>
          </cell>
          <cell r="V82">
            <v>45757</v>
          </cell>
          <cell r="W82">
            <v>45789</v>
          </cell>
          <cell r="X82">
            <v>45771</v>
          </cell>
          <cell r="Y82" t="str">
            <v/>
          </cell>
          <cell r="AA82" t="str">
            <v>009.926.491-002</v>
          </cell>
          <cell r="AB82" t="str">
            <v>trifasico</v>
          </cell>
          <cell r="AC82" t="str">
            <v>convencional</v>
          </cell>
          <cell r="AD82">
            <v>157.6</v>
          </cell>
          <cell r="AF82" t="str">
            <v>IGREJA DO EVANGELHO QUADRANGULAR</v>
          </cell>
          <cell r="AL82">
            <v>271</v>
          </cell>
          <cell r="AM82">
            <v>1.1171955719557196</v>
          </cell>
          <cell r="AN82">
            <v>302.76</v>
          </cell>
          <cell r="AX82">
            <v>204</v>
          </cell>
          <cell r="AY82">
            <v>0.97352941176470587</v>
          </cell>
          <cell r="AZ82">
            <v>-198.6</v>
          </cell>
          <cell r="DR82">
            <v>204</v>
          </cell>
          <cell r="DS82">
            <v>1.1172058823529412</v>
          </cell>
          <cell r="DT82">
            <v>-227.91</v>
          </cell>
          <cell r="ET82">
            <v>204</v>
          </cell>
          <cell r="EX82">
            <v>36</v>
          </cell>
          <cell r="FA82">
            <v>42.55</v>
          </cell>
          <cell r="FC82">
            <v>10.889999999999999</v>
          </cell>
          <cell r="FL82">
            <v>29.31</v>
          </cell>
          <cell r="FM82">
            <v>62.12</v>
          </cell>
          <cell r="FN82">
            <v>4.9954999999999999E-2</v>
          </cell>
          <cell r="FO82">
            <v>3.1</v>
          </cell>
          <cell r="FP82">
            <v>62.12</v>
          </cell>
          <cell r="FQ82">
            <v>1.0845E-2</v>
          </cell>
          <cell r="FR82">
            <v>0.67</v>
          </cell>
          <cell r="FS82">
            <v>74.849999999999994</v>
          </cell>
          <cell r="FT82">
            <v>0.17</v>
          </cell>
          <cell r="FU82">
            <v>12.72</v>
          </cell>
          <cell r="GD82">
            <v>271</v>
          </cell>
          <cell r="GE82">
            <v>17423</v>
          </cell>
          <cell r="GF82">
            <v>17152</v>
          </cell>
          <cell r="GG82">
            <v>1</v>
          </cell>
          <cell r="HM82">
            <v>386</v>
          </cell>
          <cell r="HQ82">
            <v>480</v>
          </cell>
          <cell r="HU82">
            <v>336</v>
          </cell>
          <cell r="HY82">
            <v>384</v>
          </cell>
          <cell r="IC82">
            <v>421</v>
          </cell>
          <cell r="IG82">
            <v>315</v>
          </cell>
          <cell r="IK82">
            <v>268</v>
          </cell>
          <cell r="IO82">
            <v>165</v>
          </cell>
          <cell r="IS82">
            <v>131</v>
          </cell>
          <cell r="IW82">
            <v>89</v>
          </cell>
        </row>
        <row r="83">
          <cell r="A83" t="str">
            <v/>
          </cell>
          <cell r="B83" t="str">
            <v>10/218777-1</v>
          </cell>
          <cell r="C83" t="str">
            <v>Sidrolandia 170 - Igreja</v>
          </cell>
          <cell r="D83" t="str">
            <v>2024-01-01</v>
          </cell>
          <cell r="F83" t="str">
            <v>energisa_ms</v>
          </cell>
          <cell r="G83" t="str">
            <v>Sidrolandia 170 - Casa Pastoral</v>
          </cell>
          <cell r="H83" t="str">
            <v>Igreja do Evangelho Quadrangular</v>
          </cell>
          <cell r="I83">
            <v>45748</v>
          </cell>
          <cell r="J83" t="str">
            <v>RESIDENCIAL - RESIDENCIAL</v>
          </cell>
          <cell r="K83" t="str">
            <v>79170000</v>
          </cell>
          <cell r="L83" t="str">
            <v>MS</v>
          </cell>
          <cell r="M83" t="str">
            <v>SIDROLANDIA</v>
          </cell>
          <cell r="N83" t="str">
            <v>CENTRO</v>
          </cell>
          <cell r="O83" t="str">
            <v>RUA AMAZONAS, 171 - 11.053.01.501000</v>
          </cell>
          <cell r="P83">
            <v>45751</v>
          </cell>
          <cell r="Q83" t="str">
            <v>B - B1</v>
          </cell>
          <cell r="R83" t="str">
            <v>62955505017051</v>
          </cell>
          <cell r="U83">
            <v>45723</v>
          </cell>
          <cell r="V83">
            <v>45750</v>
          </cell>
          <cell r="W83">
            <v>45783</v>
          </cell>
          <cell r="X83">
            <v>45798</v>
          </cell>
          <cell r="Y83" t="str">
            <v/>
          </cell>
          <cell r="AA83" t="str">
            <v>009.816.730-002</v>
          </cell>
          <cell r="AB83" t="str">
            <v>bifasico</v>
          </cell>
          <cell r="AC83" t="str">
            <v>convencional</v>
          </cell>
          <cell r="AD83">
            <v>75.08</v>
          </cell>
          <cell r="AE83" t="str">
            <v>34191.09107 20316.812930 85972.140009 2 10880000007508</v>
          </cell>
          <cell r="AF83" t="str">
            <v>IGREJA DO EVANGELHO QUADRANGULAR</v>
          </cell>
          <cell r="AL83">
            <v>171</v>
          </cell>
          <cell r="AM83">
            <v>1.1162573099415205</v>
          </cell>
          <cell r="AN83">
            <v>190.88</v>
          </cell>
          <cell r="AX83">
            <v>132</v>
          </cell>
          <cell r="AY83">
            <v>1.0397727272727273</v>
          </cell>
          <cell r="AZ83">
            <v>-137.25</v>
          </cell>
          <cell r="DR83">
            <v>132</v>
          </cell>
          <cell r="DS83">
            <v>1.1162121212121212</v>
          </cell>
          <cell r="DT83">
            <v>-147.34</v>
          </cell>
          <cell r="ET83">
            <v>132</v>
          </cell>
          <cell r="EX83">
            <v>441</v>
          </cell>
          <cell r="FA83">
            <v>21.45</v>
          </cell>
          <cell r="FL83">
            <v>10.09</v>
          </cell>
          <cell r="FM83">
            <v>36.14</v>
          </cell>
          <cell r="FN83">
            <v>4.9954999999999999E-2</v>
          </cell>
          <cell r="FO83">
            <v>1.81</v>
          </cell>
          <cell r="FP83">
            <v>36.14</v>
          </cell>
          <cell r="FQ83">
            <v>1.0845E-2</v>
          </cell>
          <cell r="FR83">
            <v>0.4</v>
          </cell>
          <cell r="FS83">
            <v>43.54</v>
          </cell>
          <cell r="FT83">
            <v>0.17</v>
          </cell>
          <cell r="FU83">
            <v>7.4</v>
          </cell>
          <cell r="GD83">
            <v>171</v>
          </cell>
          <cell r="GE83">
            <v>40831</v>
          </cell>
          <cell r="GF83">
            <v>40660</v>
          </cell>
          <cell r="GG83">
            <v>1</v>
          </cell>
          <cell r="HM83">
            <v>151</v>
          </cell>
          <cell r="HQ83">
            <v>179</v>
          </cell>
          <cell r="HU83">
            <v>148</v>
          </cell>
          <cell r="HY83">
            <v>158</v>
          </cell>
          <cell r="IC83">
            <v>200</v>
          </cell>
          <cell r="IG83">
            <v>223</v>
          </cell>
          <cell r="IK83">
            <v>89</v>
          </cell>
          <cell r="IO83">
            <v>107</v>
          </cell>
          <cell r="IS83">
            <v>139</v>
          </cell>
          <cell r="IW83">
            <v>90</v>
          </cell>
        </row>
        <row r="84">
          <cell r="A84" t="str">
            <v/>
          </cell>
          <cell r="B84" t="str">
            <v>10/1081489-5</v>
          </cell>
          <cell r="C84" t="str">
            <v>Cong. Alto Maracajú</v>
          </cell>
          <cell r="D84" t="str">
            <v>2024-01-01</v>
          </cell>
          <cell r="F84" t="str">
            <v>energisa_ms</v>
          </cell>
          <cell r="G84" t="str">
            <v>Cong. Alto Maracajú</v>
          </cell>
          <cell r="H84" t="str">
            <v>Igreja do Evangelho Quadrangular</v>
          </cell>
          <cell r="I84">
            <v>45748</v>
          </cell>
          <cell r="J84" t="str">
            <v>COMERCIAL - OUTROS SERVIÇOS E OUTRAS ATIVIDADES</v>
          </cell>
          <cell r="K84" t="str">
            <v>79150000</v>
          </cell>
          <cell r="L84" t="str">
            <v>MS</v>
          </cell>
          <cell r="M84" t="str">
            <v>MARACAJU</v>
          </cell>
          <cell r="N84" t="str">
            <v>ALTO MARACAJU</v>
          </cell>
          <cell r="O84" t="str">
            <v>RUA PRUDENTE DE MORAES, 651 - 08.031.13.593000</v>
          </cell>
          <cell r="P84">
            <v>45751</v>
          </cell>
          <cell r="Q84" t="str">
            <v>B - B3</v>
          </cell>
          <cell r="R84" t="str">
            <v>62955505016918</v>
          </cell>
          <cell r="U84">
            <v>45723</v>
          </cell>
          <cell r="V84">
            <v>45750</v>
          </cell>
          <cell r="W84">
            <v>45783</v>
          </cell>
          <cell r="X84">
            <v>45792</v>
          </cell>
          <cell r="Y84" t="str">
            <v/>
          </cell>
          <cell r="AA84" t="str">
            <v>009.818.534-002</v>
          </cell>
          <cell r="AB84" t="str">
            <v>bifasico</v>
          </cell>
          <cell r="AC84" t="str">
            <v>convencional</v>
          </cell>
          <cell r="AD84">
            <v>253.18</v>
          </cell>
          <cell r="AE84" t="str">
            <v>34191.09107 20390.492930 85972.140009 6 10820000025318</v>
          </cell>
          <cell r="AF84" t="str">
            <v>IGREJA DO EVANGELHO QUADRANGULAR</v>
          </cell>
          <cell r="AL84">
            <v>495</v>
          </cell>
          <cell r="AM84">
            <v>1.1162626262626261</v>
          </cell>
          <cell r="AN84">
            <v>552.54999999999995</v>
          </cell>
          <cell r="AX84">
            <v>361</v>
          </cell>
          <cell r="AY84">
            <v>0.97407202216066491</v>
          </cell>
          <cell r="AZ84">
            <v>-351.64000000000004</v>
          </cell>
          <cell r="DR84">
            <v>361</v>
          </cell>
          <cell r="DS84">
            <v>1.1162603878116344</v>
          </cell>
          <cell r="DT84">
            <v>-402.97</v>
          </cell>
          <cell r="ET84">
            <v>361</v>
          </cell>
          <cell r="EX84">
            <v>0</v>
          </cell>
          <cell r="FA84">
            <v>52.27</v>
          </cell>
          <cell r="FL84">
            <v>51.33</v>
          </cell>
          <cell r="FM84">
            <v>124.15</v>
          </cell>
          <cell r="FN84">
            <v>4.9954999999999999E-2</v>
          </cell>
          <cell r="FO84">
            <v>6.2</v>
          </cell>
          <cell r="FP84">
            <v>124.15</v>
          </cell>
          <cell r="FQ84">
            <v>1.0845E-2</v>
          </cell>
          <cell r="FR84">
            <v>1.34</v>
          </cell>
          <cell r="FS84">
            <v>149.58000000000001</v>
          </cell>
          <cell r="FT84">
            <v>0.17</v>
          </cell>
          <cell r="FU84">
            <v>25.42</v>
          </cell>
          <cell r="GD84">
            <v>495</v>
          </cell>
          <cell r="GE84">
            <v>50760</v>
          </cell>
          <cell r="GF84">
            <v>50265</v>
          </cell>
          <cell r="GG84">
            <v>1</v>
          </cell>
          <cell r="HM84">
            <v>651</v>
          </cell>
          <cell r="HQ84">
            <v>785</v>
          </cell>
          <cell r="HU84">
            <v>634</v>
          </cell>
          <cell r="HY84">
            <v>683</v>
          </cell>
          <cell r="IC84">
            <v>546</v>
          </cell>
          <cell r="IG84">
            <v>541</v>
          </cell>
          <cell r="IK84">
            <v>403</v>
          </cell>
          <cell r="IO84">
            <v>400</v>
          </cell>
          <cell r="IS84">
            <v>456</v>
          </cell>
          <cell r="IW84">
            <v>449</v>
          </cell>
        </row>
        <row r="85">
          <cell r="A85" t="str">
            <v/>
          </cell>
          <cell r="B85" t="str">
            <v>10/1674177-9</v>
          </cell>
          <cell r="C85" t="str">
            <v>3ª IEQ de Anastácio 59611</v>
          </cell>
          <cell r="D85" t="str">
            <v>2024-01-01</v>
          </cell>
          <cell r="F85" t="str">
            <v>energisa_ms</v>
          </cell>
          <cell r="G85" t="str">
            <v>3ª IEQ de Anastácio 59611</v>
          </cell>
          <cell r="H85" t="str">
            <v>Igreja do Evangelho Quadrangular</v>
          </cell>
          <cell r="I85">
            <v>45748</v>
          </cell>
          <cell r="J85" t="str">
            <v>COMERCIAL - COMERCIAL</v>
          </cell>
          <cell r="K85" t="str">
            <v>79210000</v>
          </cell>
          <cell r="L85" t="str">
            <v>MS</v>
          </cell>
          <cell r="M85" t="str">
            <v>ANASTACIO</v>
          </cell>
          <cell r="N85" t="str">
            <v>CENTRO</v>
          </cell>
          <cell r="O85" t="str">
            <v>RUA JOAO LEITE RIBEIRO, 1636 - LT 18 QUADRA 04</v>
          </cell>
          <cell r="P85">
            <v>45757</v>
          </cell>
          <cell r="Q85" t="str">
            <v>B - B3</v>
          </cell>
          <cell r="R85" t="str">
            <v>62955505016160</v>
          </cell>
          <cell r="U85">
            <v>45727</v>
          </cell>
          <cell r="V85">
            <v>45756</v>
          </cell>
          <cell r="W85">
            <v>45786</v>
          </cell>
          <cell r="X85">
            <v>45770</v>
          </cell>
          <cell r="Y85" t="str">
            <v/>
          </cell>
          <cell r="AA85" t="str">
            <v>009.906.003-002</v>
          </cell>
          <cell r="AB85" t="str">
            <v>trifasico</v>
          </cell>
          <cell r="AC85" t="str">
            <v>convencional</v>
          </cell>
          <cell r="AD85">
            <v>478.58</v>
          </cell>
          <cell r="AE85" t="str">
            <v>34191.09107 30886.312930 85972.140009 8 10600000047858</v>
          </cell>
          <cell r="AF85" t="str">
            <v>IGREJA DO EVANGELICO QUADRANGULAR</v>
          </cell>
          <cell r="AL85">
            <v>540</v>
          </cell>
          <cell r="AM85">
            <v>1.1168888888888888</v>
          </cell>
          <cell r="AN85">
            <v>603.12</v>
          </cell>
          <cell r="AX85">
            <v>240</v>
          </cell>
          <cell r="AY85">
            <v>0.97375000000000012</v>
          </cell>
          <cell r="AZ85">
            <v>-233.70000000000002</v>
          </cell>
          <cell r="DR85">
            <v>240</v>
          </cell>
          <cell r="DS85">
            <v>1.1168750000000001</v>
          </cell>
          <cell r="DT85">
            <v>-268.05</v>
          </cell>
          <cell r="ET85">
            <v>240</v>
          </cell>
          <cell r="EX85">
            <v>0</v>
          </cell>
          <cell r="FA85">
            <v>88.69</v>
          </cell>
          <cell r="FC85">
            <v>20.470000000000002</v>
          </cell>
          <cell r="FL85">
            <v>34.35</v>
          </cell>
          <cell r="FM85">
            <v>278.11</v>
          </cell>
          <cell r="FN85">
            <v>4.9954999999999999E-2</v>
          </cell>
          <cell r="FO85">
            <v>13.9</v>
          </cell>
          <cell r="FP85">
            <v>278.11</v>
          </cell>
          <cell r="FQ85">
            <v>1.0845E-2</v>
          </cell>
          <cell r="FR85">
            <v>3.02</v>
          </cell>
          <cell r="FS85">
            <v>335.07</v>
          </cell>
          <cell r="FT85">
            <v>0.17</v>
          </cell>
          <cell r="FU85">
            <v>56.96</v>
          </cell>
          <cell r="GD85">
            <v>540</v>
          </cell>
          <cell r="GE85">
            <v>27347</v>
          </cell>
          <cell r="GF85">
            <v>26807</v>
          </cell>
          <cell r="GG85">
            <v>1</v>
          </cell>
          <cell r="HM85">
            <v>754</v>
          </cell>
          <cell r="HQ85">
            <v>507</v>
          </cell>
          <cell r="HU85">
            <v>484</v>
          </cell>
          <cell r="HY85">
            <v>564</v>
          </cell>
          <cell r="IC85">
            <v>410</v>
          </cell>
          <cell r="IG85">
            <v>446</v>
          </cell>
          <cell r="IK85">
            <v>302</v>
          </cell>
          <cell r="IO85">
            <v>195</v>
          </cell>
          <cell r="IS85">
            <v>192</v>
          </cell>
          <cell r="IW85">
            <v>205</v>
          </cell>
        </row>
        <row r="86">
          <cell r="A86" t="str">
            <v/>
          </cell>
          <cell r="B86" t="str">
            <v>10/202838-9</v>
          </cell>
          <cell r="C86" t="str">
            <v>16403</v>
          </cell>
          <cell r="D86" t="str">
            <v>2024-01-01</v>
          </cell>
          <cell r="F86" t="str">
            <v>energisa_ms</v>
          </cell>
          <cell r="G86" t="str">
            <v>16403</v>
          </cell>
          <cell r="H86" t="str">
            <v>Igreja do Evangelho Quadrangular</v>
          </cell>
          <cell r="I86">
            <v>45748</v>
          </cell>
          <cell r="J86" t="str">
            <v>COMERCIAL - TEMPLOS RELIGIOSOS</v>
          </cell>
          <cell r="K86" t="str">
            <v>79240000</v>
          </cell>
          <cell r="L86" t="str">
            <v>MS</v>
          </cell>
          <cell r="M86" t="str">
            <v>JARDIM</v>
          </cell>
          <cell r="N86" t="str">
            <v>VILA ANGELICA I</v>
          </cell>
          <cell r="O86" t="str">
            <v>RUA GUANABARA, 146 - 17.047.05.488000 TELEMETRIA</v>
          </cell>
          <cell r="P86">
            <v>45764</v>
          </cell>
          <cell r="Q86" t="str">
            <v>B - B3</v>
          </cell>
          <cell r="R86" t="str">
            <v>62955505016403</v>
          </cell>
          <cell r="U86">
            <v>45735</v>
          </cell>
          <cell r="V86">
            <v>45763</v>
          </cell>
          <cell r="W86">
            <v>45796</v>
          </cell>
          <cell r="X86">
            <v>45798</v>
          </cell>
          <cell r="Y86" t="str">
            <v/>
          </cell>
          <cell r="AA86" t="str">
            <v>010.035.403-002</v>
          </cell>
          <cell r="AB86" t="str">
            <v>trifasico</v>
          </cell>
          <cell r="AC86" t="str">
            <v>convencional</v>
          </cell>
          <cell r="AD86">
            <v>495.19</v>
          </cell>
          <cell r="AE86" t="str">
            <v>34191.09107 50398.222930 85972.140009 2 10880000049519</v>
          </cell>
          <cell r="AF86" t="str">
            <v>IGREJA DO EVANGELHO QUADRANGULAR</v>
          </cell>
          <cell r="AL86">
            <v>800</v>
          </cell>
          <cell r="AM86">
            <v>1.1194249999999999</v>
          </cell>
          <cell r="AN86">
            <v>895.54</v>
          </cell>
          <cell r="AX86">
            <v>523</v>
          </cell>
          <cell r="AY86">
            <v>1.1163288718929252</v>
          </cell>
          <cell r="AZ86">
            <v>-583.83999999999992</v>
          </cell>
          <cell r="DR86">
            <v>523</v>
          </cell>
          <cell r="DS86">
            <v>1.1194072657743785</v>
          </cell>
          <cell r="DT86">
            <v>-585.44999999999993</v>
          </cell>
          <cell r="ET86">
            <v>523</v>
          </cell>
          <cell r="EX86">
            <v>0</v>
          </cell>
          <cell r="FA86">
            <v>183.49</v>
          </cell>
          <cell r="FL86">
            <v>1.61</v>
          </cell>
          <cell r="FM86">
            <v>257.39999999999998</v>
          </cell>
          <cell r="FN86">
            <v>4.9954999999999999E-2</v>
          </cell>
          <cell r="FO86">
            <v>12.86</v>
          </cell>
          <cell r="FP86">
            <v>257.39999999999998</v>
          </cell>
          <cell r="FQ86">
            <v>1.0845E-2</v>
          </cell>
          <cell r="FR86">
            <v>2.79</v>
          </cell>
          <cell r="FS86">
            <v>310.08999999999997</v>
          </cell>
          <cell r="FT86">
            <v>0.17</v>
          </cell>
          <cell r="FU86">
            <v>52.71</v>
          </cell>
          <cell r="GD86">
            <v>800</v>
          </cell>
          <cell r="GE86">
            <v>703</v>
          </cell>
          <cell r="GF86">
            <v>683</v>
          </cell>
          <cell r="GG86">
            <v>40</v>
          </cell>
          <cell r="HM86">
            <v>1120</v>
          </cell>
          <cell r="HQ86">
            <v>960</v>
          </cell>
          <cell r="HU86">
            <v>880</v>
          </cell>
          <cell r="HY86">
            <v>760</v>
          </cell>
          <cell r="IC86">
            <v>800</v>
          </cell>
          <cell r="IG86">
            <v>880</v>
          </cell>
          <cell r="IK86">
            <v>640</v>
          </cell>
          <cell r="IO86">
            <v>600</v>
          </cell>
          <cell r="IS86">
            <v>440</v>
          </cell>
          <cell r="IW86">
            <v>520</v>
          </cell>
        </row>
        <row r="87">
          <cell r="A87" t="str">
            <v/>
          </cell>
          <cell r="B87" t="str">
            <v>10/511753-6</v>
          </cell>
          <cell r="C87" t="str">
            <v>Seac</v>
          </cell>
          <cell r="D87" t="str">
            <v>2024-01-01</v>
          </cell>
          <cell r="F87" t="str">
            <v>energisa_ms</v>
          </cell>
          <cell r="G87" t="str">
            <v>Seac</v>
          </cell>
          <cell r="H87" t="str">
            <v>Igreja do Evangelho Quadrangular</v>
          </cell>
          <cell r="I87">
            <v>45748</v>
          </cell>
          <cell r="J87" t="str">
            <v>COMERCIAL - TEMPLOS RELIGIOSOS</v>
          </cell>
          <cell r="K87" t="str">
            <v>79370000</v>
          </cell>
          <cell r="L87" t="str">
            <v>MS</v>
          </cell>
          <cell r="M87" t="str">
            <v>LADARIO</v>
          </cell>
          <cell r="N87" t="str">
            <v>CENTRO</v>
          </cell>
          <cell r="O87" t="str">
            <v>RUA PEDRO FELICIDADE, 351 - 04.004.01.200077</v>
          </cell>
          <cell r="P87">
            <v>45751</v>
          </cell>
          <cell r="Q87" t="str">
            <v>B - B3</v>
          </cell>
          <cell r="R87" t="str">
            <v>62955505016080</v>
          </cell>
          <cell r="U87">
            <v>45723</v>
          </cell>
          <cell r="V87">
            <v>45750</v>
          </cell>
          <cell r="W87">
            <v>45783</v>
          </cell>
          <cell r="X87">
            <v>45770</v>
          </cell>
          <cell r="Y87" t="str">
            <v/>
          </cell>
          <cell r="AA87" t="str">
            <v>009.817.913-002</v>
          </cell>
          <cell r="AB87" t="str">
            <v>bifasico</v>
          </cell>
          <cell r="AC87" t="str">
            <v>convencional</v>
          </cell>
          <cell r="AD87">
            <v>113.27</v>
          </cell>
          <cell r="AF87" t="str">
            <v>IGREJA DO EVANGELHO QUADRANGULAR</v>
          </cell>
          <cell r="AL87">
            <v>226</v>
          </cell>
          <cell r="AM87">
            <v>1.1162389380530975</v>
          </cell>
          <cell r="AN87">
            <v>252.27</v>
          </cell>
          <cell r="AX87">
            <v>198</v>
          </cell>
          <cell r="AY87">
            <v>1.0171212121212121</v>
          </cell>
          <cell r="AZ87">
            <v>-201.39</v>
          </cell>
          <cell r="DR87">
            <v>198</v>
          </cell>
          <cell r="DS87">
            <v>1.1162121212121212</v>
          </cell>
          <cell r="DT87">
            <v>-221.01</v>
          </cell>
          <cell r="ET87">
            <v>198</v>
          </cell>
          <cell r="EX87">
            <v>517</v>
          </cell>
          <cell r="FA87">
            <v>61.29</v>
          </cell>
          <cell r="FC87">
            <v>1.1000000000000001</v>
          </cell>
          <cell r="FL87">
            <v>19.62</v>
          </cell>
          <cell r="FM87">
            <v>25.98</v>
          </cell>
          <cell r="FN87">
            <v>4.9954999999999999E-2</v>
          </cell>
          <cell r="FO87">
            <v>1.31</v>
          </cell>
          <cell r="FP87">
            <v>25.98</v>
          </cell>
          <cell r="FQ87">
            <v>1.0845E-2</v>
          </cell>
          <cell r="FR87">
            <v>0.28999999999999998</v>
          </cell>
          <cell r="FS87">
            <v>31.26</v>
          </cell>
          <cell r="FT87">
            <v>0.17</v>
          </cell>
          <cell r="FU87">
            <v>5.31</v>
          </cell>
          <cell r="GD87">
            <v>226</v>
          </cell>
          <cell r="GE87">
            <v>6947</v>
          </cell>
          <cell r="GF87">
            <v>6721</v>
          </cell>
          <cell r="GG87">
            <v>1</v>
          </cell>
          <cell r="HM87">
            <v>317</v>
          </cell>
          <cell r="HQ87">
            <v>321</v>
          </cell>
          <cell r="HU87">
            <v>251</v>
          </cell>
          <cell r="HY87">
            <v>253</v>
          </cell>
          <cell r="IC87">
            <v>265</v>
          </cell>
          <cell r="IG87">
            <v>233</v>
          </cell>
          <cell r="IK87">
            <v>107</v>
          </cell>
          <cell r="IO87">
            <v>127</v>
          </cell>
          <cell r="IS87">
            <v>129</v>
          </cell>
          <cell r="IW87">
            <v>124</v>
          </cell>
        </row>
        <row r="88">
          <cell r="A88" t="str">
            <v/>
          </cell>
          <cell r="B88" t="str">
            <v>10/31292-6</v>
          </cell>
          <cell r="C88" t="str">
            <v>Boa Esperança</v>
          </cell>
          <cell r="D88" t="str">
            <v>2024-01-01</v>
          </cell>
          <cell r="F88" t="str">
            <v>energisa_ms</v>
          </cell>
          <cell r="G88" t="str">
            <v>Seac</v>
          </cell>
          <cell r="H88" t="str">
            <v>Igreja do Evangelho Quadrangular</v>
          </cell>
          <cell r="I88">
            <v>45748</v>
          </cell>
          <cell r="J88" t="str">
            <v>COMERCIAL - TEMPLOS RELIGIOSOS</v>
          </cell>
          <cell r="K88" t="str">
            <v>79370000</v>
          </cell>
          <cell r="L88" t="str">
            <v>MS</v>
          </cell>
          <cell r="M88" t="str">
            <v>LADARIO</v>
          </cell>
          <cell r="N88" t="str">
            <v>BOA ESPERANCA</v>
          </cell>
          <cell r="O88" t="str">
            <v>RUA CASTRO ALVES, 166 - 01.004.01.478000</v>
          </cell>
          <cell r="P88">
            <v>45750</v>
          </cell>
          <cell r="Q88" t="str">
            <v>B - B3</v>
          </cell>
          <cell r="R88" t="str">
            <v>62955505016080</v>
          </cell>
          <cell r="U88">
            <v>45722</v>
          </cell>
          <cell r="V88">
            <v>45749</v>
          </cell>
          <cell r="W88">
            <v>45782</v>
          </cell>
          <cell r="X88">
            <v>45771</v>
          </cell>
          <cell r="Y88" t="str">
            <v/>
          </cell>
          <cell r="AA88" t="str">
            <v>009.801.821-002</v>
          </cell>
          <cell r="AB88" t="str">
            <v>bifasico</v>
          </cell>
          <cell r="AC88" t="str">
            <v>convencional</v>
          </cell>
          <cell r="AD88">
            <v>111.85</v>
          </cell>
          <cell r="AF88" t="str">
            <v>IGREJA DO EVANGELHO QUADRANGULAR</v>
          </cell>
          <cell r="AL88">
            <v>161</v>
          </cell>
          <cell r="AM88">
            <v>1.1162111801242236</v>
          </cell>
          <cell r="AN88">
            <v>179.71</v>
          </cell>
          <cell r="AX88">
            <v>120</v>
          </cell>
          <cell r="AY88">
            <v>0.97408333333333319</v>
          </cell>
          <cell r="AZ88">
            <v>-116.88999999999999</v>
          </cell>
          <cell r="DR88">
            <v>120</v>
          </cell>
          <cell r="DS88">
            <v>1.11625</v>
          </cell>
          <cell r="DT88">
            <v>-133.94999999999999</v>
          </cell>
          <cell r="ET88">
            <v>120</v>
          </cell>
          <cell r="EX88">
            <v>0</v>
          </cell>
          <cell r="FA88">
            <v>49.03</v>
          </cell>
          <cell r="FL88">
            <v>17.059999999999999</v>
          </cell>
          <cell r="FM88">
            <v>37.979999999999997</v>
          </cell>
          <cell r="FN88">
            <v>4.9954999999999999E-2</v>
          </cell>
          <cell r="FO88">
            <v>1.9</v>
          </cell>
          <cell r="FP88">
            <v>37.979999999999997</v>
          </cell>
          <cell r="FQ88">
            <v>1.0845E-2</v>
          </cell>
          <cell r="FR88">
            <v>0.42</v>
          </cell>
          <cell r="FS88">
            <v>45.76</v>
          </cell>
          <cell r="FT88">
            <v>0.17</v>
          </cell>
          <cell r="FU88">
            <v>7.77</v>
          </cell>
          <cell r="GD88">
            <v>161</v>
          </cell>
          <cell r="GE88">
            <v>14664</v>
          </cell>
          <cell r="GF88">
            <v>14503</v>
          </cell>
          <cell r="GG88">
            <v>1</v>
          </cell>
          <cell r="HM88">
            <v>170</v>
          </cell>
          <cell r="HQ88">
            <v>184</v>
          </cell>
          <cell r="HU88">
            <v>142</v>
          </cell>
          <cell r="HY88">
            <v>230</v>
          </cell>
          <cell r="IC88">
            <v>199</v>
          </cell>
          <cell r="IG88">
            <v>156</v>
          </cell>
          <cell r="IK88">
            <v>97</v>
          </cell>
          <cell r="IO88">
            <v>139</v>
          </cell>
          <cell r="IS88">
            <v>144</v>
          </cell>
          <cell r="IW88">
            <v>116</v>
          </cell>
        </row>
        <row r="89">
          <cell r="A89" t="str">
            <v/>
          </cell>
          <cell r="B89" t="str">
            <v>10/18015-8</v>
          </cell>
          <cell r="C89" t="str">
            <v>Joaquim Murtinho</v>
          </cell>
          <cell r="D89" t="str">
            <v>2024-01-01</v>
          </cell>
          <cell r="F89" t="str">
            <v>energisa_ms</v>
          </cell>
          <cell r="G89" t="str">
            <v>Seac</v>
          </cell>
          <cell r="H89" t="str">
            <v>Igreja do Evangelho Quadrangular</v>
          </cell>
          <cell r="I89">
            <v>45748</v>
          </cell>
          <cell r="J89" t="str">
            <v>COMERCIAL - TEMPLOS RELIGIOSOS</v>
          </cell>
          <cell r="K89" t="str">
            <v>79303110</v>
          </cell>
          <cell r="L89" t="str">
            <v>MS</v>
          </cell>
          <cell r="M89" t="str">
            <v>CORUMBA</v>
          </cell>
          <cell r="N89" t="str">
            <v>CENTRO</v>
          </cell>
          <cell r="O89" t="str">
            <v>RUA JOAQUIM MURTINHO, 72 - 07.003.05.357000</v>
          </cell>
          <cell r="P89">
            <v>45771</v>
          </cell>
          <cell r="Q89" t="str">
            <v>B - B3</v>
          </cell>
          <cell r="R89" t="str">
            <v>62955505016080</v>
          </cell>
          <cell r="U89">
            <v>45740</v>
          </cell>
          <cell r="V89">
            <v>45770</v>
          </cell>
          <cell r="W89">
            <v>45800</v>
          </cell>
          <cell r="X89">
            <v>45788</v>
          </cell>
          <cell r="Y89" t="str">
            <v/>
          </cell>
          <cell r="AA89" t="str">
            <v>010.096.476-002</v>
          </cell>
          <cell r="AB89" t="str">
            <v>trifasico</v>
          </cell>
          <cell r="AC89" t="str">
            <v>convencional</v>
          </cell>
          <cell r="AD89">
            <v>788.46</v>
          </cell>
          <cell r="AF89" t="str">
            <v>IGREJA DO EVANGELHO QUADRANGULAR</v>
          </cell>
          <cell r="AL89">
            <v>921</v>
          </cell>
          <cell r="AM89">
            <v>1.1215635179153094</v>
          </cell>
          <cell r="AN89">
            <v>1032.96</v>
          </cell>
          <cell r="AX89">
            <v>218</v>
          </cell>
          <cell r="AY89">
            <v>1.121559633027523</v>
          </cell>
          <cell r="AZ89">
            <v>-244.5</v>
          </cell>
          <cell r="DZ89">
            <v>218</v>
          </cell>
          <cell r="EA89">
            <v>1.121559633027523</v>
          </cell>
          <cell r="EB89">
            <v>-244.5</v>
          </cell>
          <cell r="ET89">
            <v>218</v>
          </cell>
          <cell r="EX89">
            <v>0</v>
          </cell>
          <cell r="FM89">
            <v>654.42999999999995</v>
          </cell>
          <cell r="FN89">
            <v>4.9954999999999999E-2</v>
          </cell>
          <cell r="FO89">
            <v>32.69</v>
          </cell>
          <cell r="FP89">
            <v>654.42999999999995</v>
          </cell>
          <cell r="FQ89">
            <v>1.0845E-2</v>
          </cell>
          <cell r="FR89">
            <v>7.1</v>
          </cell>
          <cell r="FS89">
            <v>788.46</v>
          </cell>
          <cell r="FT89">
            <v>0.17</v>
          </cell>
          <cell r="FU89">
            <v>134.03</v>
          </cell>
          <cell r="GD89">
            <v>921</v>
          </cell>
          <cell r="GE89">
            <v>89272</v>
          </cell>
          <cell r="GF89">
            <v>88351</v>
          </cell>
          <cell r="GG89">
            <v>1</v>
          </cell>
          <cell r="HM89">
            <v>1130</v>
          </cell>
          <cell r="HQ89">
            <v>936</v>
          </cell>
          <cell r="HU89">
            <v>1267</v>
          </cell>
          <cell r="HY89">
            <v>945</v>
          </cell>
          <cell r="IC89">
            <v>1021</v>
          </cell>
          <cell r="IG89">
            <v>1113</v>
          </cell>
          <cell r="IK89">
            <v>849</v>
          </cell>
          <cell r="IO89">
            <v>852</v>
          </cell>
          <cell r="IS89">
            <v>546</v>
          </cell>
          <cell r="IW89">
            <v>867</v>
          </cell>
        </row>
        <row r="90">
          <cell r="A90" t="str">
            <v/>
          </cell>
          <cell r="B90" t="str">
            <v>10/3030784-7</v>
          </cell>
          <cell r="C90" t="str">
            <v>Alm. Tamandaré</v>
          </cell>
          <cell r="D90" t="str">
            <v>2024-01-01</v>
          </cell>
          <cell r="F90" t="str">
            <v>energisa_ms</v>
          </cell>
          <cell r="G90" t="str">
            <v>Seac</v>
          </cell>
          <cell r="H90" t="str">
            <v>Igreja do Evangelho Quadrangular</v>
          </cell>
          <cell r="I90">
            <v>45748</v>
          </cell>
          <cell r="J90" t="str">
            <v>COMERCIAL - TEMPLOS RELIGIOSOS</v>
          </cell>
          <cell r="K90" t="str">
            <v>79370000</v>
          </cell>
          <cell r="L90" t="str">
            <v>MS</v>
          </cell>
          <cell r="M90" t="str">
            <v>LADARIO</v>
          </cell>
          <cell r="N90" t="str">
            <v>CENTRO</v>
          </cell>
          <cell r="O90" t="str">
            <v>RUA SALDANHA DA GAMA, 15 - 02.004.21.543600</v>
          </cell>
          <cell r="P90">
            <v>45749</v>
          </cell>
          <cell r="Q90" t="str">
            <v>B - B3</v>
          </cell>
          <cell r="R90" t="str">
            <v>62955505016080</v>
          </cell>
          <cell r="U90">
            <v>45721</v>
          </cell>
          <cell r="V90">
            <v>45748</v>
          </cell>
          <cell r="W90">
            <v>45779</v>
          </cell>
          <cell r="X90">
            <v>45758</v>
          </cell>
          <cell r="Y90" t="str">
            <v/>
          </cell>
          <cell r="AA90" t="str">
            <v>009.791.079-002</v>
          </cell>
          <cell r="AB90" t="str">
            <v>trifasico</v>
          </cell>
          <cell r="AC90" t="str">
            <v>convencional</v>
          </cell>
          <cell r="AD90">
            <v>184.4</v>
          </cell>
          <cell r="AF90" t="str">
            <v>IGREJA DO EVANGELHO QUADRANGULAR</v>
          </cell>
          <cell r="AL90">
            <v>438</v>
          </cell>
          <cell r="AM90">
            <v>1.116255707762557</v>
          </cell>
          <cell r="AN90">
            <v>488.92</v>
          </cell>
          <cell r="AX90">
            <v>356</v>
          </cell>
          <cell r="AY90">
            <v>1.0699157303370785</v>
          </cell>
          <cell r="AZ90">
            <v>-380.89</v>
          </cell>
          <cell r="DR90">
            <v>356</v>
          </cell>
          <cell r="DS90">
            <v>1.1162359550561798</v>
          </cell>
          <cell r="DT90">
            <v>-397.38</v>
          </cell>
          <cell r="ET90">
            <v>356</v>
          </cell>
          <cell r="EX90">
            <v>101</v>
          </cell>
          <cell r="FA90">
            <v>73.540000000000006</v>
          </cell>
          <cell r="FC90">
            <v>2.83</v>
          </cell>
          <cell r="FL90">
            <v>16.489999999999998</v>
          </cell>
          <cell r="FM90">
            <v>76.010000000000005</v>
          </cell>
          <cell r="FN90">
            <v>4.9954999999999999E-2</v>
          </cell>
          <cell r="FO90">
            <v>3.8</v>
          </cell>
          <cell r="FP90">
            <v>76.010000000000005</v>
          </cell>
          <cell r="FQ90">
            <v>1.0845E-2</v>
          </cell>
          <cell r="FR90">
            <v>0.83</v>
          </cell>
          <cell r="FS90">
            <v>91.54</v>
          </cell>
          <cell r="FT90">
            <v>0.17</v>
          </cell>
          <cell r="FU90">
            <v>15.56</v>
          </cell>
          <cell r="GD90">
            <v>438</v>
          </cell>
          <cell r="GE90">
            <v>56949</v>
          </cell>
          <cell r="GF90">
            <v>56511</v>
          </cell>
          <cell r="GG90">
            <v>1</v>
          </cell>
          <cell r="HM90">
            <v>600</v>
          </cell>
          <cell r="HQ90">
            <v>649</v>
          </cell>
          <cell r="HU90">
            <v>545</v>
          </cell>
          <cell r="HY90">
            <v>626</v>
          </cell>
          <cell r="IC90">
            <v>537</v>
          </cell>
          <cell r="IG90">
            <v>450</v>
          </cell>
          <cell r="IK90">
            <v>302</v>
          </cell>
          <cell r="IO90">
            <v>354</v>
          </cell>
          <cell r="IS90">
            <v>326</v>
          </cell>
          <cell r="IW90">
            <v>327</v>
          </cell>
        </row>
        <row r="91">
          <cell r="A91" t="str">
            <v/>
          </cell>
          <cell r="B91" t="str">
            <v>10/81222-2</v>
          </cell>
          <cell r="C91" t="str">
            <v>159</v>
          </cell>
          <cell r="D91" t="str">
            <v>2024-01-01</v>
          </cell>
          <cell r="F91" t="str">
            <v>energisa_ms</v>
          </cell>
          <cell r="G91" t="str">
            <v>159</v>
          </cell>
          <cell r="H91" t="str">
            <v>Igreja do Evangelho Quadrangular</v>
          </cell>
          <cell r="I91">
            <v>45748</v>
          </cell>
          <cell r="J91" t="str">
            <v>COMERCIAL - TEMPLOS RELIGIOSOS</v>
          </cell>
          <cell r="K91" t="str">
            <v>79380000</v>
          </cell>
          <cell r="L91" t="str">
            <v>MS</v>
          </cell>
          <cell r="M91" t="str">
            <v>MIRANDA</v>
          </cell>
          <cell r="N91" t="str">
            <v>CENTRO</v>
          </cell>
          <cell r="O91" t="str">
            <v>RUA BENJAMIN CONSTANT, 923 - 08.013.01.032000</v>
          </cell>
          <cell r="P91">
            <v>45763</v>
          </cell>
          <cell r="Q91" t="str">
            <v>B - B3</v>
          </cell>
          <cell r="R91" t="str">
            <v>62955505015946</v>
          </cell>
          <cell r="U91">
            <v>45734</v>
          </cell>
          <cell r="V91">
            <v>45762</v>
          </cell>
          <cell r="W91">
            <v>45793</v>
          </cell>
          <cell r="X91">
            <v>45793</v>
          </cell>
          <cell r="Y91" t="str">
            <v/>
          </cell>
          <cell r="AA91" t="str">
            <v>010.014.181-002</v>
          </cell>
          <cell r="AB91" t="str">
            <v>trifasico</v>
          </cell>
          <cell r="AC91" t="str">
            <v>convencional</v>
          </cell>
          <cell r="AD91">
            <v>135.74</v>
          </cell>
          <cell r="AE91" t="str">
            <v>34191.09107 47126.922930 85972.140009 1 10830000013574</v>
          </cell>
          <cell r="AF91" t="str">
            <v>IGREJA DO EVANGELHO QUADRANGULAR</v>
          </cell>
          <cell r="AL91">
            <v>369</v>
          </cell>
          <cell r="AM91">
            <v>1.1190514905149052</v>
          </cell>
          <cell r="AN91">
            <v>412.93</v>
          </cell>
          <cell r="AX91">
            <v>323</v>
          </cell>
          <cell r="AY91">
            <v>0.9727244582043344</v>
          </cell>
          <cell r="AZ91">
            <v>-314.19</v>
          </cell>
          <cell r="DR91">
            <v>323</v>
          </cell>
          <cell r="DS91">
            <v>1.1190712074303404</v>
          </cell>
          <cell r="DT91">
            <v>-361.46</v>
          </cell>
          <cell r="ET91">
            <v>323</v>
          </cell>
          <cell r="EX91">
            <v>38</v>
          </cell>
          <cell r="FA91">
            <v>37</v>
          </cell>
          <cell r="FL91">
            <v>47.27</v>
          </cell>
          <cell r="FM91">
            <v>42.72</v>
          </cell>
          <cell r="FN91">
            <v>4.9954999999999999E-2</v>
          </cell>
          <cell r="FO91">
            <v>2.13</v>
          </cell>
          <cell r="FP91">
            <v>42.72</v>
          </cell>
          <cell r="FQ91">
            <v>1.0845E-2</v>
          </cell>
          <cell r="FR91">
            <v>0.47</v>
          </cell>
          <cell r="FS91">
            <v>51.47</v>
          </cell>
          <cell r="FT91">
            <v>0.17</v>
          </cell>
          <cell r="FU91">
            <v>8.74</v>
          </cell>
          <cell r="GD91">
            <v>369</v>
          </cell>
          <cell r="GE91">
            <v>60008</v>
          </cell>
          <cell r="GF91">
            <v>59639</v>
          </cell>
          <cell r="GG91">
            <v>1</v>
          </cell>
          <cell r="HM91">
            <v>539</v>
          </cell>
          <cell r="HQ91">
            <v>570</v>
          </cell>
          <cell r="HU91">
            <v>664</v>
          </cell>
          <cell r="HY91">
            <v>462</v>
          </cell>
          <cell r="IC91">
            <v>510</v>
          </cell>
          <cell r="IG91">
            <v>604</v>
          </cell>
          <cell r="IK91">
            <v>316</v>
          </cell>
          <cell r="IO91">
            <v>261</v>
          </cell>
          <cell r="IS91">
            <v>250</v>
          </cell>
          <cell r="IW91">
            <v>266</v>
          </cell>
        </row>
        <row r="92">
          <cell r="A92" t="str">
            <v/>
          </cell>
          <cell r="B92" t="str">
            <v>10/489076-0</v>
          </cell>
          <cell r="C92" t="str">
            <v>Marcilio Dias</v>
          </cell>
          <cell r="D92" t="str">
            <v>2024-01-01</v>
          </cell>
          <cell r="F92" t="str">
            <v>energisa_ms</v>
          </cell>
          <cell r="G92" t="str">
            <v>Seac</v>
          </cell>
          <cell r="H92" t="str">
            <v>Igreja do Evangelho Quadrangular</v>
          </cell>
          <cell r="I92">
            <v>45748</v>
          </cell>
          <cell r="J92" t="str">
            <v>COMERCIAL - TEMPLOS RELIGIOSOS</v>
          </cell>
          <cell r="K92" t="str">
            <v>79370000</v>
          </cell>
          <cell r="L92" t="str">
            <v>MS</v>
          </cell>
          <cell r="M92" t="str">
            <v>LADARIO</v>
          </cell>
          <cell r="N92" t="str">
            <v>CENTRO</v>
          </cell>
          <cell r="O92" t="str">
            <v>RUA MARCILIO DIAS, 939 - 10.004.03.080000</v>
          </cell>
          <cell r="P92">
            <v>45751</v>
          </cell>
          <cell r="Q92" t="str">
            <v>B - B3</v>
          </cell>
          <cell r="R92" t="str">
            <v>62955505016080</v>
          </cell>
          <cell r="U92">
            <v>45723</v>
          </cell>
          <cell r="V92">
            <v>45750</v>
          </cell>
          <cell r="W92">
            <v>45783</v>
          </cell>
          <cell r="X92">
            <v>45762</v>
          </cell>
          <cell r="Y92" t="str">
            <v/>
          </cell>
          <cell r="AA92" t="str">
            <v>009.817.820-002</v>
          </cell>
          <cell r="AB92" t="str">
            <v>trifasico</v>
          </cell>
          <cell r="AC92" t="str">
            <v>convencional</v>
          </cell>
          <cell r="AD92">
            <v>246.54</v>
          </cell>
          <cell r="AF92" t="str">
            <v>IGREJA DO EVANGELHO QUADRANGULAR</v>
          </cell>
          <cell r="AL92">
            <v>470</v>
          </cell>
          <cell r="AM92">
            <v>1.1162553191489362</v>
          </cell>
          <cell r="AN92">
            <v>524.64</v>
          </cell>
          <cell r="AX92">
            <v>361</v>
          </cell>
          <cell r="AY92">
            <v>0.97407202216066491</v>
          </cell>
          <cell r="AZ92">
            <v>-351.64000000000004</v>
          </cell>
          <cell r="DR92">
            <v>361</v>
          </cell>
          <cell r="DS92">
            <v>1.1162603878116344</v>
          </cell>
          <cell r="DT92">
            <v>-402.97</v>
          </cell>
          <cell r="ET92">
            <v>361</v>
          </cell>
          <cell r="EX92">
            <v>0</v>
          </cell>
          <cell r="FA92">
            <v>73.540000000000006</v>
          </cell>
          <cell r="FL92">
            <v>51.33</v>
          </cell>
          <cell r="FM92">
            <v>100.98</v>
          </cell>
          <cell r="FN92">
            <v>4.9954999999999999E-2</v>
          </cell>
          <cell r="FO92">
            <v>5.04</v>
          </cell>
          <cell r="FP92">
            <v>100.98</v>
          </cell>
          <cell r="FQ92">
            <v>1.0845E-2</v>
          </cell>
          <cell r="FR92">
            <v>1.0900000000000001</v>
          </cell>
          <cell r="FS92">
            <v>121.67</v>
          </cell>
          <cell r="FT92">
            <v>0.17</v>
          </cell>
          <cell r="FU92">
            <v>20.68</v>
          </cell>
          <cell r="GD92">
            <v>470</v>
          </cell>
          <cell r="GE92">
            <v>53399</v>
          </cell>
          <cell r="GF92">
            <v>52929</v>
          </cell>
          <cell r="GG92">
            <v>1</v>
          </cell>
          <cell r="HM92">
            <v>606</v>
          </cell>
          <cell r="HQ92">
            <v>522</v>
          </cell>
          <cell r="HU92">
            <v>534</v>
          </cell>
          <cell r="HY92">
            <v>397</v>
          </cell>
          <cell r="IC92">
            <v>496</v>
          </cell>
          <cell r="IG92">
            <v>554</v>
          </cell>
          <cell r="IK92">
            <v>439</v>
          </cell>
          <cell r="IO92">
            <v>367</v>
          </cell>
          <cell r="IS92">
            <v>542</v>
          </cell>
          <cell r="IW92">
            <v>324</v>
          </cell>
        </row>
        <row r="93">
          <cell r="A93" t="str">
            <v/>
          </cell>
          <cell r="B93" t="str">
            <v>10/987178-1</v>
          </cell>
          <cell r="C93" t="str">
            <v>Jardim Vitória 6276</v>
          </cell>
          <cell r="D93" t="str">
            <v>2024-01-01</v>
          </cell>
          <cell r="F93" t="str">
            <v>energisa_ms</v>
          </cell>
          <cell r="G93" t="str">
            <v>Jardim Vitória 6276</v>
          </cell>
          <cell r="H93" t="str">
            <v>Igreja do Evangelho Quadrangular</v>
          </cell>
          <cell r="I93">
            <v>45748</v>
          </cell>
          <cell r="J93" t="str">
            <v>COMERCIAL - OUTROS SERVIÇOS E OUTRAS ATIVIDADES</v>
          </cell>
          <cell r="K93" t="str">
            <v>79906766</v>
          </cell>
          <cell r="L93" t="str">
            <v>MS</v>
          </cell>
          <cell r="M93" t="str">
            <v>PONTA PORA</v>
          </cell>
          <cell r="N93" t="str">
            <v>VILA VITORIA</v>
          </cell>
          <cell r="O93" t="str">
            <v>RUA JOAO PONCE DE ARRUDA, 697 - 09.032.06.230000</v>
          </cell>
          <cell r="P93">
            <v>45750</v>
          </cell>
          <cell r="Q93" t="str">
            <v>B - B3</v>
          </cell>
          <cell r="R93" t="str">
            <v>62955505015512</v>
          </cell>
          <cell r="U93">
            <v>45722</v>
          </cell>
          <cell r="V93">
            <v>45749</v>
          </cell>
          <cell r="W93">
            <v>45782</v>
          </cell>
          <cell r="X93">
            <v>45761</v>
          </cell>
          <cell r="Y93" t="str">
            <v/>
          </cell>
          <cell r="AA93" t="str">
            <v>009.804.481-002</v>
          </cell>
          <cell r="AB93" t="str">
            <v>trifasico</v>
          </cell>
          <cell r="AC93" t="str">
            <v>convencional</v>
          </cell>
          <cell r="AD93">
            <v>163.99</v>
          </cell>
          <cell r="AF93" t="str">
            <v>IGREJA DO EVANGELHO QUADRANGULAR</v>
          </cell>
          <cell r="AL93">
            <v>113</v>
          </cell>
          <cell r="AM93">
            <v>1.1161946902654867</v>
          </cell>
          <cell r="AN93">
            <v>126.13</v>
          </cell>
          <cell r="AX93">
            <v>13</v>
          </cell>
          <cell r="AY93">
            <v>1.1161538461538461</v>
          </cell>
          <cell r="AZ93">
            <v>-14.51</v>
          </cell>
          <cell r="DR93">
            <v>13</v>
          </cell>
          <cell r="DS93">
            <v>1.1161538461538461</v>
          </cell>
          <cell r="DT93">
            <v>-14.51</v>
          </cell>
          <cell r="ET93">
            <v>13</v>
          </cell>
          <cell r="EX93">
            <v>1316</v>
          </cell>
          <cell r="FA93">
            <v>49.05</v>
          </cell>
          <cell r="FC93">
            <v>3.32</v>
          </cell>
          <cell r="FM93">
            <v>92.64</v>
          </cell>
          <cell r="FN93">
            <v>4.9954999999999999E-2</v>
          </cell>
          <cell r="FO93">
            <v>4.63</v>
          </cell>
          <cell r="FP93">
            <v>92.64</v>
          </cell>
          <cell r="FQ93">
            <v>1.0845E-2</v>
          </cell>
          <cell r="FR93">
            <v>1</v>
          </cell>
          <cell r="FS93">
            <v>111.62</v>
          </cell>
          <cell r="FT93">
            <v>0.17</v>
          </cell>
          <cell r="FU93">
            <v>18.97</v>
          </cell>
          <cell r="GD93">
            <v>113</v>
          </cell>
          <cell r="GE93">
            <v>24020</v>
          </cell>
          <cell r="GF93">
            <v>23907</v>
          </cell>
          <cell r="GG93">
            <v>1</v>
          </cell>
          <cell r="HM93">
            <v>137</v>
          </cell>
          <cell r="HQ93">
            <v>110</v>
          </cell>
          <cell r="HU93">
            <v>112</v>
          </cell>
          <cell r="HY93">
            <v>135</v>
          </cell>
          <cell r="IC93">
            <v>120</v>
          </cell>
          <cell r="IG93">
            <v>97</v>
          </cell>
          <cell r="IK93">
            <v>75</v>
          </cell>
          <cell r="IO93">
            <v>116</v>
          </cell>
          <cell r="IS93">
            <v>83</v>
          </cell>
          <cell r="IW93">
            <v>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</sheetNames>
    <sheetDataSet>
      <sheetData sheetId="0">
        <row r="1">
          <cell r="A1" t="str">
            <v>identificacao</v>
          </cell>
          <cell r="B1" t="str">
            <v>instalacao</v>
          </cell>
          <cell r="C1" t="str">
            <v>nome</v>
          </cell>
          <cell r="D1" t="str">
            <v>dataAberturaContrato</v>
          </cell>
          <cell r="E1" t="str">
            <v>dataEncerramentoContrato</v>
          </cell>
          <cell r="F1" t="str">
            <v>distribuidora</v>
          </cell>
          <cell r="G1" t="str">
            <v>nomeFantasia</v>
          </cell>
          <cell r="H1" t="str">
            <v>razaoSocial</v>
          </cell>
          <cell r="I1" t="str">
            <v>referencia</v>
          </cell>
          <cell r="J1" t="str">
            <v>classeSubclasse</v>
          </cell>
          <cell r="K1" t="str">
            <v>cep</v>
          </cell>
          <cell r="L1" t="str">
            <v>uf</v>
          </cell>
          <cell r="M1" t="str">
            <v>cidade</v>
          </cell>
          <cell r="N1" t="str">
            <v>bairro</v>
          </cell>
          <cell r="O1" t="str">
            <v>endereco</v>
          </cell>
          <cell r="P1" t="str">
            <v>dataEmissao</v>
          </cell>
          <cell r="Q1" t="str">
            <v>grupoSubgrupo</v>
          </cell>
          <cell r="R1" t="str">
            <v>cnpj</v>
          </cell>
          <cell r="S1" t="str">
            <v>codigoCliente</v>
          </cell>
          <cell r="T1" t="str">
            <v>contaContrato</v>
          </cell>
          <cell r="U1" t="str">
            <v>dataLeituraAnterior</v>
          </cell>
          <cell r="V1" t="str">
            <v>dataLeituraAtual</v>
          </cell>
          <cell r="W1" t="str">
            <v>dataLeituraProxima</v>
          </cell>
          <cell r="X1" t="str">
            <v>dataVencimento</v>
          </cell>
          <cell r="Y1" t="str">
            <v>medidor</v>
          </cell>
          <cell r="Z1" t="str">
            <v>debitoAutomaticoAtivo</v>
          </cell>
          <cell r="AA1" t="str">
            <v>notaFiscal</v>
          </cell>
          <cell r="AB1" t="str">
            <v>tipoFornecimento</v>
          </cell>
          <cell r="AC1" t="str">
            <v>modalidadeTarifaria</v>
          </cell>
          <cell r="AD1" t="str">
            <v>valorTotal</v>
          </cell>
          <cell r="AE1" t="str">
            <v>codigoBarras</v>
          </cell>
          <cell r="AF1" t="str">
            <v>titularidade</v>
          </cell>
          <cell r="AG1" t="str">
            <v>codigoDebitoAutomatico</v>
          </cell>
          <cell r="AH1" t="str">
            <v>faturaSimplificada</v>
          </cell>
          <cell r="AI1" t="str">
            <v>Custo disponibilidade - quantidade</v>
          </cell>
          <cell r="AJ1" t="str">
            <v>Custo disponibilidade - tarifa</v>
          </cell>
          <cell r="AK1" t="str">
            <v>Custo disponibilidade - valor</v>
          </cell>
          <cell r="AL1" t="str">
            <v>Energia consumida - Fora ponta - quantidade</v>
          </cell>
          <cell r="AM1" t="str">
            <v>Energia consumida - Fora ponta - tarifa</v>
          </cell>
          <cell r="AN1" t="str">
            <v>Energia consumida - Fora ponta - valor</v>
          </cell>
          <cell r="AO1" t="str">
            <v>Energia consumida - Fora ponta - tarifa com imposto sem bandeira</v>
          </cell>
          <cell r="AP1" t="str">
            <v>Energia consumida - Ponta - quantidade</v>
          </cell>
          <cell r="AQ1" t="str">
            <v>Energia consumida - Ponta - tarifa</v>
          </cell>
          <cell r="AR1" t="str">
            <v>Energia consumida - Ponta - valor</v>
          </cell>
          <cell r="AS1" t="str">
            <v>Energia consumida - Ponta - tarifa com imposto sem bandeira</v>
          </cell>
          <cell r="AT1" t="str">
            <v>Energia consumida - Intermediario - quantidade</v>
          </cell>
          <cell r="AU1" t="str">
            <v>Energia consumida - Intermediario - tarifa</v>
          </cell>
          <cell r="AV1" t="str">
            <v>Energia consumida - Intermediario - valor</v>
          </cell>
          <cell r="AW1" t="str">
            <v>Energia consumida - Intermediario - tarifa com imposto sem bandeira</v>
          </cell>
          <cell r="AX1" t="str">
            <v>Creditos consumidos - Fora ponta - quantidade</v>
          </cell>
          <cell r="AY1" t="str">
            <v>Creditos consumidos - Fora ponta - tarifa</v>
          </cell>
          <cell r="AZ1" t="str">
            <v>Creditos consumidos - Fora ponta - valor</v>
          </cell>
          <cell r="BA1" t="str">
            <v>Creditos consumidos - Fora ponta - tarifa com imposto sem bandeira</v>
          </cell>
          <cell r="BB1" t="str">
            <v>Creditos consumidos - Ponta - quantidade</v>
          </cell>
          <cell r="BC1" t="str">
            <v>Creditos consumidos - Ponta - tarifa</v>
          </cell>
          <cell r="BD1" t="str">
            <v>Creditos consumidos - Ponta - valor</v>
          </cell>
          <cell r="BE1" t="str">
            <v>Creditos consumidos - Ponta - tarifa com imposto sem bandeira</v>
          </cell>
          <cell r="BF1" t="str">
            <v>Energia consumida abatida - Fora ponta - quantidade</v>
          </cell>
          <cell r="BG1" t="str">
            <v>Energia consumida abatida - Fora ponta - tarifa</v>
          </cell>
          <cell r="BH1" t="str">
            <v>Energia consumida abatida - Fora ponta - valor</v>
          </cell>
          <cell r="BI1" t="str">
            <v>Energia consumida abatida - Fora ponta - tarifa com imposto sem bandeira</v>
          </cell>
          <cell r="BJ1" t="str">
            <v>Energia consumida abatida - Ponta - quantidade</v>
          </cell>
          <cell r="BK1" t="str">
            <v>Energia consumida abatida - Ponta - tarifa</v>
          </cell>
          <cell r="BL1" t="str">
            <v>Energia consumida abatida - Ponta - valor</v>
          </cell>
          <cell r="BM1" t="str">
            <v>Energia consumida abatida - Ponta - tarifa com imposto sem bandeira</v>
          </cell>
          <cell r="BN1" t="str">
            <v>Demanda ativa - Fora ponta - quantidade</v>
          </cell>
          <cell r="BO1" t="str">
            <v>Demanda ativa - Fora ponta - tarifa</v>
          </cell>
          <cell r="BP1" t="str">
            <v>Demanda ativa - Fora ponta - valor</v>
          </cell>
          <cell r="BQ1" t="str">
            <v>Demanda ativa - Fora ponta - tarifa com imposto sem bandeira</v>
          </cell>
          <cell r="BR1" t="str">
            <v>Demanda ativa - Ponta - quantidade</v>
          </cell>
          <cell r="BS1" t="str">
            <v>Demanda ativa - Ponta - tarifa</v>
          </cell>
          <cell r="BT1" t="str">
            <v>Demanda ativa - Ponta - valor</v>
          </cell>
          <cell r="BU1" t="str">
            <v>Demanda ativa - Ponta - tarifa com imposto sem bandeira</v>
          </cell>
          <cell r="BV1" t="str">
            <v>Demanda sem icms - Fora ponta - quantidade</v>
          </cell>
          <cell r="BW1" t="str">
            <v>Demanda sem icms - Fora ponta - tarifa</v>
          </cell>
          <cell r="BX1" t="str">
            <v>Demanda sem icms - Fora ponta - valor</v>
          </cell>
          <cell r="BY1" t="str">
            <v>Demanda sem icms - Fora ponta - tarifa com imposto sem bandeira</v>
          </cell>
          <cell r="BZ1" t="str">
            <v>Demanda sem icms - Ponta - quantidade</v>
          </cell>
          <cell r="CA1" t="str">
            <v>Demanda sem icms - Ponta - tarifa</v>
          </cell>
          <cell r="CB1" t="str">
            <v>Demanda sem icms - Ponta - valor</v>
          </cell>
          <cell r="CC1" t="str">
            <v>Demanda sem icms - Ponta - tarifa com imposto sem bandeira</v>
          </cell>
          <cell r="CD1" t="str">
            <v>Ultrapassagem demanda - Fora ponta - quantidade</v>
          </cell>
          <cell r="CE1" t="str">
            <v>Ultrapassagem demanda - Fora ponta - tarifa</v>
          </cell>
          <cell r="CF1" t="str">
            <v>Ultrapassagem demanda - Fora ponta - valor</v>
          </cell>
          <cell r="CG1" t="str">
            <v>Ultrapassagem demanda - Fora ponta - tarifa com imposto sem bandeira</v>
          </cell>
          <cell r="CH1" t="str">
            <v>Ultrapassagem demanda - Ponta - quantidade</v>
          </cell>
          <cell r="CI1" t="str">
            <v>Ultrapassagem demanda - Ponta - tarifa</v>
          </cell>
          <cell r="CJ1" t="str">
            <v>Ultrapassagem demanda - Ponta - valor</v>
          </cell>
          <cell r="CK1" t="str">
            <v>Ultrapassagem demanda - Ponta - tarifa com imposto sem bandeira</v>
          </cell>
          <cell r="CL1" t="str">
            <v>Energia reativa - Fora ponta - quantidade</v>
          </cell>
          <cell r="CM1" t="str">
            <v>Energia reativa - Fora ponta - tarifa</v>
          </cell>
          <cell r="CN1" t="str">
            <v>Energia reativa - Fora ponta - valor</v>
          </cell>
          <cell r="CO1" t="str">
            <v>Energia reativa - Fora ponta - tarifa com imposto sem bandeira</v>
          </cell>
          <cell r="CP1" t="str">
            <v>Energia reativa - Ponta - quantidade</v>
          </cell>
          <cell r="CQ1" t="str">
            <v>Energia reativa - Ponta - tarifa</v>
          </cell>
          <cell r="CR1" t="str">
            <v>Energia reativa - Ponta - valor</v>
          </cell>
          <cell r="CS1" t="str">
            <v>Energia reativa - Ponta - tarifa com imposto sem bandeira</v>
          </cell>
          <cell r="CT1" t="str">
            <v>Demanda reativa - Fora ponta - quantidade</v>
          </cell>
          <cell r="CU1" t="str">
            <v>Demanda reativa - Fora ponta - tarifa</v>
          </cell>
          <cell r="CV1" t="str">
            <v>Demanda reativa - Fora ponta - valor</v>
          </cell>
          <cell r="CW1" t="str">
            <v>Demanda reativa - Fora ponta - tarifa com imposto sem bandeira</v>
          </cell>
          <cell r="CX1" t="str">
            <v>Demanda reativa - Ponta - quantidade</v>
          </cell>
          <cell r="CY1" t="str">
            <v>Demanda reativa - Ponta - tarifa</v>
          </cell>
          <cell r="CZ1" t="str">
            <v>Demanda reativa - Ponta - valor</v>
          </cell>
          <cell r="DA1" t="str">
            <v>Demanda reativa - Ponta - tarifa com imposto sem bandeira</v>
          </cell>
          <cell r="DB1" t="str">
            <v>Energia comercializada - Fora ponta - quantidade</v>
          </cell>
          <cell r="DC1" t="str">
            <v>Energia comercializada - Fora ponta - tarifa</v>
          </cell>
          <cell r="DD1" t="str">
            <v>Energia comercializada - Fora ponta - valor</v>
          </cell>
          <cell r="DE1" t="str">
            <v>Energia comercializada - Fora ponta - tarifa com imposto sem bandeira</v>
          </cell>
          <cell r="DF1" t="str">
            <v>Energia comercializada - Ponta - quantidade</v>
          </cell>
          <cell r="DG1" t="str">
            <v>Energia comercializada - Ponta - tarifa</v>
          </cell>
          <cell r="DH1" t="str">
            <v>Energia comercializada - Ponta - valor</v>
          </cell>
          <cell r="DI1" t="str">
            <v>Energia comercializada - Ponta - tarifa com imposto sem bandeira</v>
          </cell>
          <cell r="DJ1" t="str">
            <v>Energia gerada - Fora ponta - quantidade</v>
          </cell>
          <cell r="DK1" t="str">
            <v>Energia gerada - Fora ponta - tarifa</v>
          </cell>
          <cell r="DL1" t="str">
            <v>Energia gerada - Fora ponta - valor</v>
          </cell>
          <cell r="DM1" t="str">
            <v>Energia gerada - Fora ponta - tarifa com imposto sem bandeira</v>
          </cell>
          <cell r="DN1" t="str">
            <v>Energia gerada - Ponta - quantidade</v>
          </cell>
          <cell r="DO1" t="str">
            <v>Energia gerada - Ponta - tarifa</v>
          </cell>
          <cell r="DP1" t="str">
            <v>Energia gerada - Ponta - valor</v>
          </cell>
          <cell r="DQ1" t="str">
            <v>Energia gerada - Ponta - tarifa com imposto sem bandeira</v>
          </cell>
          <cell r="DR1" t="str">
            <v>Crédito Consumido de Geração Própria - Fora ponta - quantidade</v>
          </cell>
          <cell r="DS1" t="str">
            <v>Crédito Consumido de Geração Própria - Fora ponta - tarifa</v>
          </cell>
          <cell r="DT1" t="str">
            <v>Crédito Consumido de Geração Própria - Fora ponta - valor</v>
          </cell>
          <cell r="DU1" t="str">
            <v>Crédito Consumido de Geração Própria - Fora ponta - tarifa com imposto sem bandeira</v>
          </cell>
          <cell r="DV1" t="str">
            <v>Crédito Consumido de Geração Própria - Ponta - quantidade</v>
          </cell>
          <cell r="DW1" t="str">
            <v>Crédito Consumido de Geração Própria - Ponta - tarifa</v>
          </cell>
          <cell r="DX1" t="str">
            <v>Crédito Consumido de Geração Própria - Ponta - valor</v>
          </cell>
          <cell r="DY1" t="str">
            <v>Crédito Consumido de Geração Própria - Ponta - tarifa com imposto sem bandeira</v>
          </cell>
          <cell r="DZ1" t="str">
            <v>Crédito Consumido Gerado por Terceiros - Fora ponta - quantidade</v>
          </cell>
          <cell r="EA1" t="str">
            <v>Crédito Consumido Gerado por Terceiros - Fora ponta - tarifa</v>
          </cell>
          <cell r="EB1" t="str">
            <v>Crédito Consumido Gerado por Terceiros - Fora ponta - valor</v>
          </cell>
          <cell r="EC1" t="str">
            <v>Crédito Consumido Gerado por Terceiros - Fora ponta - tarifa com imposto sem bandeira</v>
          </cell>
          <cell r="ED1" t="str">
            <v>Crédito Consumido Gerado por Terceiros - Ponta - quantidade</v>
          </cell>
          <cell r="EE1" t="str">
            <v>Crédito Consumido Gerado por Terceiros - Ponta - tarifa</v>
          </cell>
          <cell r="EF1" t="str">
            <v>Crédito Consumido Gerado por Terceiros - Ponta - valor</v>
          </cell>
          <cell r="EG1" t="str">
            <v>Crédito Consumido Gerado por Terceiros - Ponta - tarifa com imposto sem bandeira</v>
          </cell>
          <cell r="EH1" t="str">
            <v>Energia ACL - Fora ponta - valor</v>
          </cell>
          <cell r="EI1" t="str">
            <v>Energia ACL - Ponta - valor</v>
          </cell>
          <cell r="EJ1" t="str">
            <v>Dedução Energia ACL - Fora ponta - valor</v>
          </cell>
          <cell r="EK1" t="str">
            <v>Dedução Energia ACL - Ponta - valor</v>
          </cell>
          <cell r="EL1" t="str">
            <v>Benefício tarifário bruto - Fora ponta - valor</v>
          </cell>
          <cell r="EM1" t="str">
            <v>Benefício tarifário líquido - Fora ponta - valor</v>
          </cell>
          <cell r="EN1" t="str">
            <v>Subvenção tarifária - Fora ponta - valor</v>
          </cell>
          <cell r="EO1" t="str">
            <v>Desconto Demanda - Fora ponta - valor</v>
          </cell>
          <cell r="EP1" t="str">
            <v>Desconto Demanda - Ponta - valor</v>
          </cell>
          <cell r="EQ1" t="str">
            <v>Desconto Consumo TUSD - Fora ponta - valor</v>
          </cell>
          <cell r="ER1" t="str">
            <v>Desconto Consumo TUSD - Ponta - valor</v>
          </cell>
          <cell r="ES1" t="str">
            <v>Ajuste desconto retroativo - Fora ponta - valor</v>
          </cell>
          <cell r="ET1" t="str">
            <v>Credito recebido - Fora ponta - quantidade</v>
          </cell>
          <cell r="EU1" t="str">
            <v>Credito recebido - Ponta - quantidade</v>
          </cell>
          <cell r="EV1" t="str">
            <v>Energia gerada - Fora ponta - quantidade</v>
          </cell>
          <cell r="EW1" t="str">
            <v>Energia gerada - Ponta - quantidade</v>
          </cell>
          <cell r="EX1" t="str">
            <v>Credito remanescente - Fora ponta - quantidade</v>
          </cell>
          <cell r="EY1" t="str">
            <v>Credito remanescente - Ponta - quantidade</v>
          </cell>
          <cell r="EZ1" t="str">
            <v>ADICIONAL BANDEIRA - valor</v>
          </cell>
          <cell r="FA1" t="str">
            <v>CUSTO ILUMINACAO PUBLICA - valor</v>
          </cell>
          <cell r="FB1" t="str">
            <v>OUTROS - valor</v>
          </cell>
          <cell r="FC1" t="str">
            <v>TAXA DE ATRASO - valor</v>
          </cell>
          <cell r="FD1" t="str">
            <v>RESTITUICAO DE PAGAMENTO - valor</v>
          </cell>
          <cell r="FE1" t="str">
            <v>SALDO PROXIMO MES - valor</v>
          </cell>
          <cell r="FF1" t="str">
            <v>REEMBOLSO - valor</v>
          </cell>
          <cell r="FG1" t="str">
            <v>ENCARGO ESCASSEZ HÍDRICA - valor</v>
          </cell>
          <cell r="FH1" t="str">
            <v>ENCARGO CONTA COVID - valor</v>
          </cell>
          <cell r="FI1" t="str">
            <v>DIFERENÇA CCEE - valor</v>
          </cell>
          <cell r="FJ1" t="str">
            <v>LIMINAR - valor</v>
          </cell>
          <cell r="FK1" t="str">
            <v>DESCONTO - valor</v>
          </cell>
          <cell r="FL1" t="str">
            <v>AJUSTE GDII - valor</v>
          </cell>
          <cell r="FM1" t="str">
            <v>Imposto - COFINS - base calculo</v>
          </cell>
          <cell r="FN1" t="str">
            <v>Imposto - COFINS - alíquota</v>
          </cell>
          <cell r="FO1" t="str">
            <v>Imposto - COFINS - valor</v>
          </cell>
          <cell r="FP1" t="str">
            <v>Imposto - PIS - base calculo</v>
          </cell>
          <cell r="FQ1" t="str">
            <v>Imposto - PIS - alíquota</v>
          </cell>
          <cell r="FR1" t="str">
            <v>Imposto - PIS - valor</v>
          </cell>
          <cell r="FS1" t="str">
            <v>Imposto - ICMS - base calculo</v>
          </cell>
          <cell r="FT1" t="str">
            <v>Imposto - ICMS - alíquota</v>
          </cell>
          <cell r="FU1" t="str">
            <v>Imposto - ICMS - valor</v>
          </cell>
          <cell r="FV1" t="str">
            <v>Imposto - PIS/COFINS - base calculo</v>
          </cell>
          <cell r="FW1" t="str">
            <v>Imposto - PIS/COFINS - alíquota</v>
          </cell>
          <cell r="FX1" t="str">
            <v>Imposto - PIS/COFINS - valor</v>
          </cell>
          <cell r="FY1" t="str">
            <v>Perdas</v>
          </cell>
          <cell r="FZ1" t="str">
            <v>Energia consumida - Fora ponta - Medido</v>
          </cell>
          <cell r="GA1" t="str">
            <v>Energia consumida - Fora ponta - Leitura Atual</v>
          </cell>
          <cell r="GB1" t="str">
            <v>Energia consumida - Fora ponta - Leitura Anterior</v>
          </cell>
          <cell r="GC1" t="str">
            <v>Energia consumida - Fora ponta - Constante</v>
          </cell>
          <cell r="GD1" t="str">
            <v>Energia consumida - Ponta - Medido</v>
          </cell>
          <cell r="GE1" t="str">
            <v>Energia consumida - Ponta - Leitura Atual</v>
          </cell>
          <cell r="GF1" t="str">
            <v>Energia consumida - Ponta - Leitura Anterior</v>
          </cell>
          <cell r="GG1" t="str">
            <v>Energia consumida - Ponta - Constante</v>
          </cell>
          <cell r="GH1" t="str">
            <v>Energia consumida - Intermediario - Medido</v>
          </cell>
          <cell r="GI1" t="str">
            <v>Energia consumida - Intermediario - Leitura Atual</v>
          </cell>
          <cell r="GJ1" t="str">
            <v>Energia consumida - Intermediario - Leitura Anterior</v>
          </cell>
          <cell r="GK1" t="str">
            <v>Energia consumida - Intermediario - Constante</v>
          </cell>
          <cell r="GL1" t="str">
            <v>Demanda ativa - Fora ponta - Medido</v>
          </cell>
          <cell r="GM1" t="str">
            <v>Demanda ativa - Fora ponta - Leitura Atual</v>
          </cell>
          <cell r="GN1" t="str">
            <v>Demanda ativa - Fora ponta - Leitura Anterior</v>
          </cell>
          <cell r="GO1" t="str">
            <v>Demanda ativa - Fora ponta - Constante</v>
          </cell>
          <cell r="GP1" t="str">
            <v>Demanda ativa - Fora ponta - Contratado</v>
          </cell>
          <cell r="GQ1" t="str">
            <v>Demanda ativa - Ponta - Medido</v>
          </cell>
          <cell r="GR1" t="str">
            <v>Demanda ativa - Ponta - Leitura Atual</v>
          </cell>
          <cell r="GS1" t="str">
            <v>Demanda ativa - Ponta - Leitura Anterior</v>
          </cell>
          <cell r="GT1" t="str">
            <v>Demanda ativa - Ponta - Constante</v>
          </cell>
          <cell r="GU1" t="str">
            <v>Demanda ativa - Ponta - Contratado</v>
          </cell>
          <cell r="GV1" t="str">
            <v>Energia reativa - Fora ponta - Medido</v>
          </cell>
          <cell r="GW1" t="str">
            <v>Energia reativa - Fora ponta - Leitura Atual</v>
          </cell>
          <cell r="GX1" t="str">
            <v>Energia reativa - Fora ponta - Leitura Anterior</v>
          </cell>
          <cell r="GY1" t="str">
            <v>Energia reativa - Fora ponta - Constante</v>
          </cell>
          <cell r="GZ1" t="str">
            <v>Energia reativa - Ponta - Medido</v>
          </cell>
          <cell r="HA1" t="str">
            <v>Energia reativa - Ponta - Leitura Atual</v>
          </cell>
          <cell r="HB1" t="str">
            <v>Energia reativa - Ponta - Leitura Anterior</v>
          </cell>
          <cell r="HC1" t="str">
            <v>Energia reativa - Ponta - Constante</v>
          </cell>
          <cell r="HD1" t="str">
            <v>Demanda reativa - Fora ponta - Medido</v>
          </cell>
          <cell r="HE1" t="str">
            <v>Demanda reativa - Fora ponta - Leitura Atual</v>
          </cell>
          <cell r="HF1" t="str">
            <v>Demanda reativa - Fora ponta - Leitura Anterior</v>
          </cell>
          <cell r="HG1" t="str">
            <v>Demanda reativa - Fora ponta - Constante</v>
          </cell>
          <cell r="HH1" t="str">
            <v>Demanda reativa - Ponta - Medido</v>
          </cell>
          <cell r="HI1" t="str">
            <v>Demanda reativa - Ponta - Leitura Atual</v>
          </cell>
          <cell r="HJ1" t="str">
            <v>Demanda reativa - Ponta - Leitura Anterior</v>
          </cell>
          <cell r="HK1" t="str">
            <v>Demanda reativa - Ponta - Constante</v>
          </cell>
          <cell r="HL1" t="str">
            <v>Energia consumida - Fora ponta - Apr/2025</v>
          </cell>
          <cell r="HM1" t="str">
            <v>Energia consumida - Ponta - Apr/2025</v>
          </cell>
          <cell r="HN1" t="str">
            <v>Demanda ativa - Fora ponta - Apr/2025</v>
          </cell>
          <cell r="HO1" t="str">
            <v>Demanda ativa - Ponta - Apr/2025</v>
          </cell>
          <cell r="HP1" t="str">
            <v>Energia consumida - Fora ponta - Mar/2025</v>
          </cell>
          <cell r="HQ1" t="str">
            <v>Energia consumida - Ponta - Mar/2025</v>
          </cell>
          <cell r="HR1" t="str">
            <v>Demanda ativa - Fora ponta - Mar/2025</v>
          </cell>
          <cell r="HS1" t="str">
            <v>Demanda ativa - Ponta - Mar/2025</v>
          </cell>
          <cell r="HT1" t="str">
            <v>Energia consumida - Fora ponta - Feb/2025</v>
          </cell>
          <cell r="HU1" t="str">
            <v>Energia consumida - Ponta - Feb/2025</v>
          </cell>
          <cell r="HV1" t="str">
            <v>Demanda ativa - Fora ponta - Feb/2025</v>
          </cell>
          <cell r="HW1" t="str">
            <v>Demanda ativa - Ponta - Feb/2025</v>
          </cell>
          <cell r="HX1" t="str">
            <v>Energia consumida - Fora ponta - Jan/2025</v>
          </cell>
          <cell r="HY1" t="str">
            <v>Energia consumida - Ponta - Jan/2025</v>
          </cell>
          <cell r="HZ1" t="str">
            <v>Demanda ativa - Fora ponta - Jan/2025</v>
          </cell>
          <cell r="IA1" t="str">
            <v>Demanda ativa - Ponta - Jan/2025</v>
          </cell>
          <cell r="IB1" t="str">
            <v>Energia consumida - Fora ponta - Dec/2024</v>
          </cell>
          <cell r="IC1" t="str">
            <v>Energia consumida - Ponta - Dec/2024</v>
          </cell>
          <cell r="ID1" t="str">
            <v>Demanda ativa - Fora ponta - Dec/2024</v>
          </cell>
          <cell r="IE1" t="str">
            <v>Demanda ativa - Ponta - Dec/2024</v>
          </cell>
          <cell r="IF1" t="str">
            <v>Energia consumida - Fora ponta - Nov/2024</v>
          </cell>
          <cell r="IG1" t="str">
            <v>Energia consumida - Ponta - Nov/2024</v>
          </cell>
          <cell r="IH1" t="str">
            <v>Demanda ativa - Fora ponta - Nov/2024</v>
          </cell>
          <cell r="II1" t="str">
            <v>Demanda ativa - Ponta - Nov/2024</v>
          </cell>
          <cell r="IJ1" t="str">
            <v>Energia consumida - Fora ponta - Oct/2024</v>
          </cell>
          <cell r="IK1" t="str">
            <v>Energia consumida - Ponta - Oct/2024</v>
          </cell>
          <cell r="IL1" t="str">
            <v>Demanda ativa - Fora ponta - Oct/2024</v>
          </cell>
          <cell r="IM1" t="str">
            <v>Demanda ativa - Ponta - Oct/2024</v>
          </cell>
          <cell r="IN1" t="str">
            <v>Energia consumida - Fora ponta - Sep/2024</v>
          </cell>
          <cell r="IO1" t="str">
            <v>Energia consumida - Ponta - Sep/2024</v>
          </cell>
          <cell r="IP1" t="str">
            <v>Demanda ativa - Fora ponta - Sep/2024</v>
          </cell>
          <cell r="IQ1" t="str">
            <v>Demanda ativa - Ponta - Sep/2024</v>
          </cell>
          <cell r="IR1" t="str">
            <v>Energia consumida - Fora ponta - Aug/2024</v>
          </cell>
          <cell r="IS1" t="str">
            <v>Energia consumida - Ponta - Aug/2024</v>
          </cell>
          <cell r="IT1" t="str">
            <v>Demanda ativa - Fora ponta - Aug/2024</v>
          </cell>
          <cell r="IU1" t="str">
            <v>Demanda ativa - Ponta - Aug/2024</v>
          </cell>
          <cell r="IV1" t="str">
            <v>Energia consumida - Fora ponta - Jul/2024</v>
          </cell>
          <cell r="IW1" t="str">
            <v>Energia consumida - Ponta - Jul/2024</v>
          </cell>
          <cell r="IX1" t="str">
            <v>Demanda ativa - Fora ponta - Jul/2024</v>
          </cell>
        </row>
        <row r="2">
          <cell r="A2" t="str">
            <v/>
          </cell>
          <cell r="B2" t="str">
            <v>10/987178-1</v>
          </cell>
          <cell r="C2" t="str">
            <v>Jardim Vitória 6276</v>
          </cell>
          <cell r="D2" t="str">
            <v>2024-01-01</v>
          </cell>
          <cell r="F2" t="str">
            <v>energisa_ms</v>
          </cell>
          <cell r="G2" t="str">
            <v>Jardim Vitória 6276</v>
          </cell>
          <cell r="H2" t="str">
            <v>Igreja do Evangelho Quadrangular</v>
          </cell>
          <cell r="I2">
            <v>45778</v>
          </cell>
          <cell r="J2" t="str">
            <v>COMERCIAL - OUTROS SERVIÇOS E OUTRAS ATIVIDADES</v>
          </cell>
          <cell r="K2" t="str">
            <v>79906766</v>
          </cell>
          <cell r="L2" t="str">
            <v>MS</v>
          </cell>
          <cell r="M2" t="str">
            <v>PONTA PORA</v>
          </cell>
          <cell r="N2" t="str">
            <v>VILA VITORIA</v>
          </cell>
          <cell r="O2" t="str">
            <v>RUA JOAO PONCE DE ARRUDA, 697 - 09.032.06.230000</v>
          </cell>
          <cell r="P2">
            <v>45783</v>
          </cell>
          <cell r="Q2" t="str">
            <v>B - B3</v>
          </cell>
          <cell r="R2" t="str">
            <v>62955505015512</v>
          </cell>
          <cell r="U2">
            <v>45749</v>
          </cell>
          <cell r="V2">
            <v>45782</v>
          </cell>
          <cell r="W2">
            <v>45811</v>
          </cell>
          <cell r="X2">
            <v>45792</v>
          </cell>
          <cell r="Y2" t="str">
            <v/>
          </cell>
          <cell r="AA2" t="str">
            <v>010.194.956-002</v>
          </cell>
          <cell r="AB2" t="str">
            <v>trifasico</v>
          </cell>
          <cell r="AC2" t="str">
            <v>convencional</v>
          </cell>
          <cell r="AD2">
            <v>164.96</v>
          </cell>
          <cell r="AF2" t="str">
            <v>IGREJA DO EVANGELHO QUADRANGULAR</v>
          </cell>
          <cell r="AL2">
            <v>121</v>
          </cell>
          <cell r="AM2">
            <v>1.1236000000000002</v>
          </cell>
          <cell r="AN2">
            <v>135.95560000000003</v>
          </cell>
          <cell r="AO2">
            <v>1.1200000000000001</v>
          </cell>
          <cell r="AX2">
            <v>21</v>
          </cell>
          <cell r="AY2">
            <v>1.1235999999999999</v>
          </cell>
          <cell r="AZ2">
            <v>-23.595599999999997</v>
          </cell>
          <cell r="BA2">
            <v>1.1199999999999999</v>
          </cell>
          <cell r="DR2">
            <v>21</v>
          </cell>
          <cell r="DS2">
            <v>1.1235999999999999</v>
          </cell>
          <cell r="DT2">
            <v>-23.595599999999997</v>
          </cell>
          <cell r="DU2">
            <v>1.1199999999999999</v>
          </cell>
          <cell r="ET2">
            <v>21</v>
          </cell>
          <cell r="EX2">
            <v>1349</v>
          </cell>
          <cell r="EZ2">
            <v>0.36</v>
          </cell>
          <cell r="FA2">
            <v>49.5</v>
          </cell>
          <cell r="FC2">
            <v>3.1</v>
          </cell>
          <cell r="FM2">
            <v>93.25</v>
          </cell>
          <cell r="FN2">
            <v>4.6643999999999998E-2</v>
          </cell>
          <cell r="FO2">
            <v>4.3499999999999996</v>
          </cell>
          <cell r="FP2">
            <v>93.25</v>
          </cell>
          <cell r="FQ2">
            <v>1.0126999999999999E-2</v>
          </cell>
          <cell r="FR2">
            <v>0.94</v>
          </cell>
          <cell r="FS2">
            <v>112.36</v>
          </cell>
          <cell r="FT2">
            <v>0.17</v>
          </cell>
          <cell r="FU2">
            <v>19.100000000000001</v>
          </cell>
          <cell r="GD2">
            <v>121</v>
          </cell>
          <cell r="GE2">
            <v>24141</v>
          </cell>
          <cell r="GF2">
            <v>24020</v>
          </cell>
          <cell r="GG2">
            <v>1</v>
          </cell>
          <cell r="HM2">
            <v>113</v>
          </cell>
          <cell r="HQ2">
            <v>137</v>
          </cell>
          <cell r="HU2">
            <v>110</v>
          </cell>
          <cell r="HY2">
            <v>112</v>
          </cell>
          <cell r="IC2">
            <v>135</v>
          </cell>
          <cell r="IG2">
            <v>120</v>
          </cell>
          <cell r="IK2">
            <v>97</v>
          </cell>
          <cell r="IO2">
            <v>75</v>
          </cell>
          <cell r="IS2">
            <v>116</v>
          </cell>
          <cell r="IW2">
            <v>83</v>
          </cell>
        </row>
        <row r="3">
          <cell r="A3" t="str">
            <v/>
          </cell>
          <cell r="B3" t="str">
            <v>10/466560-0</v>
          </cell>
          <cell r="C3" t="str">
            <v>Congregação Sanga Puita</v>
          </cell>
          <cell r="D3" t="str">
            <v>2024-01-01</v>
          </cell>
          <cell r="F3" t="str">
            <v>energisa_ms</v>
          </cell>
          <cell r="G3" t="str">
            <v>Jardim Vitória 6276</v>
          </cell>
          <cell r="H3" t="str">
            <v>Igreja do Evangelho Quadrangular</v>
          </cell>
          <cell r="I3">
            <v>45778</v>
          </cell>
          <cell r="J3" t="str">
            <v>COMERCIAL - TEMPLOS RELIGIOSOS</v>
          </cell>
          <cell r="K3" t="str">
            <v>79900000</v>
          </cell>
          <cell r="L3" t="str">
            <v>MS</v>
          </cell>
          <cell r="M3" t="str">
            <v>PONTA PORA</v>
          </cell>
          <cell r="N3" t="str">
            <v>SANGA PUITA</v>
          </cell>
          <cell r="O3" t="str">
            <v>RUA MARCILIANO MACIEL, 246 - 05.341.09.031000</v>
          </cell>
          <cell r="P3">
            <v>45785</v>
          </cell>
          <cell r="Q3" t="str">
            <v>B - B3</v>
          </cell>
          <cell r="R3" t="str">
            <v>62955505015512</v>
          </cell>
          <cell r="U3">
            <v>45751</v>
          </cell>
          <cell r="V3">
            <v>45784</v>
          </cell>
          <cell r="W3">
            <v>45813</v>
          </cell>
          <cell r="X3">
            <v>45796</v>
          </cell>
          <cell r="Y3" t="str">
            <v/>
          </cell>
          <cell r="AA3" t="str">
            <v>010.241.396-002</v>
          </cell>
          <cell r="AB3" t="str">
            <v>bifasico</v>
          </cell>
          <cell r="AC3" t="str">
            <v>convencional</v>
          </cell>
          <cell r="AD3">
            <v>136.38</v>
          </cell>
          <cell r="AF3" t="str">
            <v>IGREJA DO EVANGELHO QUADRANGULAR</v>
          </cell>
          <cell r="AL3">
            <v>173</v>
          </cell>
          <cell r="AM3">
            <v>1.1257504484751846</v>
          </cell>
          <cell r="AN3">
            <v>194.75482758620694</v>
          </cell>
          <cell r="AO3">
            <v>1.1205780346820811</v>
          </cell>
          <cell r="AX3">
            <v>115</v>
          </cell>
          <cell r="AY3">
            <v>0.97021589205397341</v>
          </cell>
          <cell r="AZ3">
            <v>-111.57482758620694</v>
          </cell>
          <cell r="BA3">
            <v>1.120521739130435</v>
          </cell>
          <cell r="DR3">
            <v>115</v>
          </cell>
          <cell r="DS3">
            <v>1.1256941529235385</v>
          </cell>
          <cell r="DT3">
            <v>-129.45482758620693</v>
          </cell>
          <cell r="DU3">
            <v>1.120521739130435</v>
          </cell>
          <cell r="ET3">
            <v>115</v>
          </cell>
          <cell r="EX3">
            <v>0</v>
          </cell>
          <cell r="EZ3">
            <v>0.3</v>
          </cell>
          <cell r="FA3">
            <v>52.15</v>
          </cell>
          <cell r="FC3">
            <v>1.05</v>
          </cell>
          <cell r="FL3">
            <v>17.88</v>
          </cell>
          <cell r="FM3">
            <v>54.21</v>
          </cell>
          <cell r="FN3">
            <v>4.6643999999999998E-2</v>
          </cell>
          <cell r="FO3">
            <v>2.52</v>
          </cell>
          <cell r="FP3">
            <v>54.21</v>
          </cell>
          <cell r="FQ3">
            <v>1.0126999999999999E-2</v>
          </cell>
          <cell r="FR3">
            <v>0.56000000000000005</v>
          </cell>
          <cell r="FS3">
            <v>65.3</v>
          </cell>
          <cell r="FT3">
            <v>0.17</v>
          </cell>
          <cell r="FU3">
            <v>11.1</v>
          </cell>
          <cell r="GD3">
            <v>173</v>
          </cell>
          <cell r="GE3">
            <v>20140</v>
          </cell>
          <cell r="GF3">
            <v>19967</v>
          </cell>
          <cell r="GG3">
            <v>1</v>
          </cell>
          <cell r="HM3">
            <v>165</v>
          </cell>
          <cell r="HQ3">
            <v>164</v>
          </cell>
          <cell r="HU3">
            <v>174</v>
          </cell>
          <cell r="HY3">
            <v>179</v>
          </cell>
          <cell r="IC3">
            <v>168</v>
          </cell>
          <cell r="IG3">
            <v>149</v>
          </cell>
          <cell r="IK3">
            <v>160</v>
          </cell>
          <cell r="IO3">
            <v>168</v>
          </cell>
          <cell r="IS3">
            <v>170</v>
          </cell>
          <cell r="IW3">
            <v>182</v>
          </cell>
        </row>
        <row r="4">
          <cell r="A4" t="str">
            <v/>
          </cell>
          <cell r="B4" t="str">
            <v>10/260761-2</v>
          </cell>
          <cell r="C4" t="str">
            <v>8979</v>
          </cell>
          <cell r="D4" t="str">
            <v>2024-01-01</v>
          </cell>
          <cell r="F4" t="str">
            <v>energisa_ms</v>
          </cell>
          <cell r="G4" t="str">
            <v>Carlos Camisao (3325)</v>
          </cell>
          <cell r="H4" t="str">
            <v>Igreja do Evangelho Quadrangular</v>
          </cell>
          <cell r="I4">
            <v>45778</v>
          </cell>
          <cell r="J4" t="str">
            <v>COMERCIAL - TEMPLOS RELIGIOSOS</v>
          </cell>
          <cell r="K4" t="str">
            <v>79490000</v>
          </cell>
          <cell r="L4" t="str">
            <v>MS</v>
          </cell>
          <cell r="M4" t="str">
            <v>SAO GABRIEL DO OESTE</v>
          </cell>
          <cell r="N4" t="str">
            <v>CENTRO</v>
          </cell>
          <cell r="O4" t="str">
            <v>RUA PARANA, 2051 - 14.075.07.245000</v>
          </cell>
          <cell r="P4">
            <v>45792</v>
          </cell>
          <cell r="Q4" t="str">
            <v>B - B3</v>
          </cell>
          <cell r="R4" t="str">
            <v>62955505000167</v>
          </cell>
          <cell r="U4">
            <v>45759</v>
          </cell>
          <cell r="V4">
            <v>45791</v>
          </cell>
          <cell r="W4">
            <v>45820</v>
          </cell>
          <cell r="X4">
            <v>45803</v>
          </cell>
          <cell r="Y4" t="str">
            <v/>
          </cell>
          <cell r="AA4" t="str">
            <v>010.360.463-002</v>
          </cell>
          <cell r="AB4" t="str">
            <v>trifasico</v>
          </cell>
          <cell r="AC4" t="str">
            <v>convencional</v>
          </cell>
          <cell r="AD4">
            <v>252.67</v>
          </cell>
          <cell r="AF4" t="str">
            <v>IGREJA DO EVANGELHO QUADRANGULAR</v>
          </cell>
          <cell r="AL4">
            <v>455</v>
          </cell>
          <cell r="AM4">
            <v>1.1322857142857143</v>
          </cell>
          <cell r="AN4">
            <v>515.19000000000005</v>
          </cell>
          <cell r="AO4">
            <v>1.1216263736263736</v>
          </cell>
          <cell r="AX4">
            <v>364</v>
          </cell>
          <cell r="AY4">
            <v>0.97535714285714281</v>
          </cell>
          <cell r="AZ4">
            <v>-355.03</v>
          </cell>
          <cell r="BA4">
            <v>1.1215934065934066</v>
          </cell>
          <cell r="DR4">
            <v>206</v>
          </cell>
          <cell r="DS4">
            <v>1.1322612824069136</v>
          </cell>
          <cell r="DT4">
            <v>-233.2458241758242</v>
          </cell>
          <cell r="DU4">
            <v>1.1216019417475729</v>
          </cell>
          <cell r="DZ4">
            <v>158</v>
          </cell>
          <cell r="EA4">
            <v>1.1322416191403535</v>
          </cell>
          <cell r="EB4">
            <v>-178.89417582417585</v>
          </cell>
          <cell r="EC4">
            <v>1.1215822784810128</v>
          </cell>
          <cell r="ET4">
            <v>364</v>
          </cell>
          <cell r="EX4">
            <v>0</v>
          </cell>
          <cell r="EZ4">
            <v>0.97</v>
          </cell>
          <cell r="FA4">
            <v>92.51</v>
          </cell>
          <cell r="FL4">
            <v>57.11</v>
          </cell>
          <cell r="FM4">
            <v>85.55</v>
          </cell>
          <cell r="FN4">
            <v>4.6643999999999998E-2</v>
          </cell>
          <cell r="FO4">
            <v>4</v>
          </cell>
          <cell r="FP4">
            <v>85.55</v>
          </cell>
          <cell r="FQ4">
            <v>1.0126999999999999E-2</v>
          </cell>
          <cell r="FR4">
            <v>0.87</v>
          </cell>
          <cell r="FS4">
            <v>103.05</v>
          </cell>
          <cell r="FT4">
            <v>0.17</v>
          </cell>
          <cell r="FU4">
            <v>17.510000000000002</v>
          </cell>
          <cell r="GD4">
            <v>455</v>
          </cell>
          <cell r="GE4">
            <v>14723</v>
          </cell>
          <cell r="GF4">
            <v>14268</v>
          </cell>
          <cell r="GG4">
            <v>1</v>
          </cell>
          <cell r="HM4">
            <v>432</v>
          </cell>
          <cell r="HQ4">
            <v>520</v>
          </cell>
          <cell r="HU4">
            <v>437</v>
          </cell>
          <cell r="HY4">
            <v>314</v>
          </cell>
          <cell r="IC4">
            <v>513</v>
          </cell>
          <cell r="IG4">
            <v>381</v>
          </cell>
          <cell r="IK4">
            <v>513</v>
          </cell>
          <cell r="IO4">
            <v>375</v>
          </cell>
          <cell r="IS4">
            <v>223</v>
          </cell>
          <cell r="IW4">
            <v>270</v>
          </cell>
        </row>
        <row r="5">
          <cell r="A5" t="str">
            <v/>
          </cell>
          <cell r="B5" t="str">
            <v>10/908866-7</v>
          </cell>
          <cell r="C5" t="str">
            <v>Cong. Santa Tereza</v>
          </cell>
          <cell r="D5" t="str">
            <v>2024-01-01</v>
          </cell>
          <cell r="F5" t="str">
            <v>energisa_ms</v>
          </cell>
          <cell r="G5" t="str">
            <v>Cong. Santa Tereza</v>
          </cell>
          <cell r="H5" t="str">
            <v>Igreja do Evangelho Quadrangular</v>
          </cell>
          <cell r="I5">
            <v>45778</v>
          </cell>
          <cell r="J5" t="str">
            <v>COMERCIAL - TEMPLOS RELIGIOSOS</v>
          </cell>
          <cell r="K5" t="str">
            <v>79240000</v>
          </cell>
          <cell r="L5" t="str">
            <v>MS</v>
          </cell>
          <cell r="M5" t="str">
            <v>JARDIM</v>
          </cell>
          <cell r="N5" t="str">
            <v>VILA ANGELICA II</v>
          </cell>
          <cell r="O5" t="str">
            <v>RUA APARECIDO PEREIRA BUENO, 1273 - 01.047.17.111577</v>
          </cell>
          <cell r="P5">
            <v>45796</v>
          </cell>
          <cell r="Q5" t="str">
            <v>B - B3</v>
          </cell>
          <cell r="R5" t="str">
            <v>62955505358630</v>
          </cell>
          <cell r="U5">
            <v>45762</v>
          </cell>
          <cell r="V5">
            <v>45793</v>
          </cell>
          <cell r="W5">
            <v>45825</v>
          </cell>
          <cell r="X5">
            <v>45823</v>
          </cell>
          <cell r="Y5" t="str">
            <v/>
          </cell>
          <cell r="AA5" t="str">
            <v>010.408.395-002</v>
          </cell>
          <cell r="AB5" t="str">
            <v>trifasico</v>
          </cell>
          <cell r="AC5" t="str">
            <v>convencional</v>
          </cell>
          <cell r="AD5">
            <v>139.55000000000001</v>
          </cell>
          <cell r="AF5" t="str">
            <v>IGREJA DO EVANGELHO QUADRANGULAR</v>
          </cell>
          <cell r="AL5">
            <v>112</v>
          </cell>
          <cell r="AM5">
            <v>1.1341581632653062</v>
          </cell>
          <cell r="AN5">
            <v>127.02571428571429</v>
          </cell>
          <cell r="AO5">
            <v>1.1216071428571428</v>
          </cell>
          <cell r="AX5">
            <v>14</v>
          </cell>
          <cell r="AY5">
            <v>0.97755102040816344</v>
          </cell>
          <cell r="AZ5">
            <v>-13.685714285714289</v>
          </cell>
          <cell r="BA5">
            <v>1.1214285714285714</v>
          </cell>
          <cell r="DZ5">
            <v>14</v>
          </cell>
          <cell r="EA5">
            <v>1.1339795918367348</v>
          </cell>
          <cell r="EB5">
            <v>-15.875714285714288</v>
          </cell>
          <cell r="EC5">
            <v>1.1214285714285714</v>
          </cell>
          <cell r="ET5">
            <v>14</v>
          </cell>
          <cell r="EX5">
            <v>257</v>
          </cell>
          <cell r="EZ5">
            <v>1.23</v>
          </cell>
          <cell r="FA5">
            <v>26.21</v>
          </cell>
          <cell r="FL5">
            <v>2.19</v>
          </cell>
          <cell r="FM5">
            <v>92.25</v>
          </cell>
          <cell r="FN5">
            <v>4.6643999999999998E-2</v>
          </cell>
          <cell r="FO5">
            <v>4.29</v>
          </cell>
          <cell r="FP5">
            <v>92.25</v>
          </cell>
          <cell r="FQ5">
            <v>1.0126999999999999E-2</v>
          </cell>
          <cell r="FR5">
            <v>0.93</v>
          </cell>
          <cell r="FS5">
            <v>111.15</v>
          </cell>
          <cell r="FT5">
            <v>0.17</v>
          </cell>
          <cell r="FU5">
            <v>18.89</v>
          </cell>
          <cell r="GD5">
            <v>112</v>
          </cell>
          <cell r="GE5">
            <v>20980</v>
          </cell>
          <cell r="GF5">
            <v>20868</v>
          </cell>
          <cell r="GG5">
            <v>1</v>
          </cell>
          <cell r="HM5">
            <v>126</v>
          </cell>
          <cell r="HQ5">
            <v>187</v>
          </cell>
          <cell r="HU5">
            <v>175</v>
          </cell>
          <cell r="HY5">
            <v>172</v>
          </cell>
          <cell r="IC5">
            <v>194</v>
          </cell>
          <cell r="IG5">
            <v>223</v>
          </cell>
          <cell r="IK5">
            <v>227</v>
          </cell>
          <cell r="IO5">
            <v>119</v>
          </cell>
          <cell r="IS5">
            <v>123</v>
          </cell>
          <cell r="IW5">
            <v>109</v>
          </cell>
        </row>
        <row r="6">
          <cell r="A6" t="str">
            <v/>
          </cell>
          <cell r="B6" t="str">
            <v>10/3125732-2</v>
          </cell>
          <cell r="C6" t="str">
            <v>Aral Moreira 58175</v>
          </cell>
          <cell r="D6" t="str">
            <v>2024-01-01</v>
          </cell>
          <cell r="F6" t="str">
            <v>energisa_ms</v>
          </cell>
          <cell r="G6" t="str">
            <v>Jardim Vitória 6276</v>
          </cell>
          <cell r="H6" t="str">
            <v>Igreja do Evangelho Quadrangular</v>
          </cell>
          <cell r="I6">
            <v>45778</v>
          </cell>
          <cell r="J6" t="str">
            <v>COMERCIAL - TEMPLOS RELIGIOSOS</v>
          </cell>
          <cell r="K6" t="str">
            <v>79930000</v>
          </cell>
          <cell r="L6" t="str">
            <v>MS</v>
          </cell>
          <cell r="M6" t="str">
            <v>ARAL MOREIRA</v>
          </cell>
          <cell r="N6" t="str">
            <v>CENTRO</v>
          </cell>
          <cell r="O6" t="str">
            <v>RUA QUINZE DE NOVEMBRO, 182 - 06-070-07-058000</v>
          </cell>
          <cell r="P6">
            <v>45790</v>
          </cell>
          <cell r="Q6" t="str">
            <v>B - B3</v>
          </cell>
          <cell r="R6" t="str">
            <v>6X.XXX.XXX/XXX5-12</v>
          </cell>
          <cell r="U6">
            <v>45757</v>
          </cell>
          <cell r="V6">
            <v>45789</v>
          </cell>
          <cell r="W6">
            <v>45818</v>
          </cell>
          <cell r="X6">
            <v>45799</v>
          </cell>
          <cell r="Y6" t="str">
            <v/>
          </cell>
          <cell r="Z6" t="str">
            <v>true</v>
          </cell>
          <cell r="AA6" t="str">
            <v>010.321.881-002</v>
          </cell>
          <cell r="AB6" t="str">
            <v>bifasico</v>
          </cell>
          <cell r="AC6" t="str">
            <v>convencional</v>
          </cell>
          <cell r="AD6">
            <v>186.16</v>
          </cell>
          <cell r="AF6" t="str">
            <v>IGREJA DO EVANGELHO QUADRANGULAR</v>
          </cell>
          <cell r="AL6">
            <v>183</v>
          </cell>
          <cell r="AM6">
            <v>1.1307096994535519</v>
          </cell>
          <cell r="AN6">
            <v>206.91987499999999</v>
          </cell>
          <cell r="AO6">
            <v>1.1215846994535519</v>
          </cell>
          <cell r="AX6">
            <v>103</v>
          </cell>
          <cell r="AY6">
            <v>0.97378519417475728</v>
          </cell>
          <cell r="AZ6">
            <v>-100.299875</v>
          </cell>
          <cell r="BA6">
            <v>1.1215533980582524</v>
          </cell>
          <cell r="DR6">
            <v>103</v>
          </cell>
          <cell r="DS6">
            <v>1.1306783980582524</v>
          </cell>
          <cell r="DT6">
            <v>-116.459875</v>
          </cell>
          <cell r="DU6">
            <v>1.1215533980582524</v>
          </cell>
          <cell r="ET6">
            <v>103</v>
          </cell>
          <cell r="EX6">
            <v>0</v>
          </cell>
          <cell r="EZ6">
            <v>0.73</v>
          </cell>
          <cell r="FA6">
            <v>79.540000000000006</v>
          </cell>
          <cell r="FL6">
            <v>16.16</v>
          </cell>
          <cell r="FM6">
            <v>75.08</v>
          </cell>
          <cell r="FN6">
            <v>4.6643999999999998E-2</v>
          </cell>
          <cell r="FO6">
            <v>3.51</v>
          </cell>
          <cell r="FP6">
            <v>75.08</v>
          </cell>
          <cell r="FQ6">
            <v>1.0126999999999999E-2</v>
          </cell>
          <cell r="FR6">
            <v>0.75</v>
          </cell>
          <cell r="FS6">
            <v>90.46</v>
          </cell>
          <cell r="FT6">
            <v>0.17</v>
          </cell>
          <cell r="FU6">
            <v>15.37</v>
          </cell>
          <cell r="GD6">
            <v>183</v>
          </cell>
          <cell r="GE6">
            <v>16894</v>
          </cell>
          <cell r="GF6">
            <v>16711</v>
          </cell>
          <cell r="GG6">
            <v>1</v>
          </cell>
          <cell r="HM6">
            <v>198</v>
          </cell>
          <cell r="HQ6">
            <v>208</v>
          </cell>
          <cell r="HU6">
            <v>244</v>
          </cell>
          <cell r="HY6">
            <v>215</v>
          </cell>
          <cell r="IC6">
            <v>222</v>
          </cell>
          <cell r="IG6">
            <v>177</v>
          </cell>
          <cell r="IK6">
            <v>184</v>
          </cell>
          <cell r="IO6">
            <v>187</v>
          </cell>
          <cell r="IS6">
            <v>145</v>
          </cell>
          <cell r="IW6">
            <v>84</v>
          </cell>
        </row>
        <row r="7">
          <cell r="A7" t="str">
            <v/>
          </cell>
          <cell r="B7" t="str">
            <v>10/78338-1</v>
          </cell>
          <cell r="C7" t="str">
            <v>1º IEQ de Anastácio (168)</v>
          </cell>
          <cell r="D7" t="str">
            <v>2024-01-01</v>
          </cell>
          <cell r="F7" t="str">
            <v>energisa_ms</v>
          </cell>
          <cell r="G7" t="str">
            <v>1º IEQ de Anastácio (168)</v>
          </cell>
          <cell r="H7" t="str">
            <v>Igreja do Evangelho Quadrangular</v>
          </cell>
          <cell r="I7">
            <v>45778</v>
          </cell>
          <cell r="J7" t="str">
            <v>COMERCIAL - TEMPLOS RELIGIOSOS</v>
          </cell>
          <cell r="K7" t="str">
            <v>79210000</v>
          </cell>
          <cell r="L7" t="str">
            <v>MS</v>
          </cell>
          <cell r="M7" t="str">
            <v>ANASTACIO</v>
          </cell>
          <cell r="N7" t="str">
            <v>CENTRO</v>
          </cell>
          <cell r="O7" t="str">
            <v>RUA 27 DE JULHO, 1200 - 04.011.01.701000</v>
          </cell>
          <cell r="P7">
            <v>45790</v>
          </cell>
          <cell r="Q7" t="str">
            <v>B - B3</v>
          </cell>
          <cell r="R7" t="str">
            <v>62955505016837</v>
          </cell>
          <cell r="U7">
            <v>45757</v>
          </cell>
          <cell r="V7">
            <v>45789</v>
          </cell>
          <cell r="W7">
            <v>45818</v>
          </cell>
          <cell r="X7">
            <v>45799</v>
          </cell>
          <cell r="Y7" t="str">
            <v/>
          </cell>
          <cell r="AA7" t="str">
            <v>010.316.019-002</v>
          </cell>
          <cell r="AB7" t="str">
            <v>trifasico</v>
          </cell>
          <cell r="AC7" t="str">
            <v>convencional</v>
          </cell>
          <cell r="AD7">
            <v>159.06</v>
          </cell>
          <cell r="AF7" t="str">
            <v>IGREJA DO EVANGELHO QUADRANGULAR</v>
          </cell>
          <cell r="AL7">
            <v>302</v>
          </cell>
          <cell r="AM7">
            <v>1.1309558498896248</v>
          </cell>
          <cell r="AN7">
            <v>341.54866666666669</v>
          </cell>
          <cell r="AO7">
            <v>1.1216225165562914</v>
          </cell>
          <cell r="AX7">
            <v>242</v>
          </cell>
          <cell r="AY7">
            <v>0.97400275482093668</v>
          </cell>
          <cell r="AZ7">
            <v>-235.70866666666669</v>
          </cell>
          <cell r="BA7">
            <v>1.1215702479338843</v>
          </cell>
          <cell r="DR7">
            <v>242</v>
          </cell>
          <cell r="DS7">
            <v>1.1309035812672177</v>
          </cell>
          <cell r="DT7">
            <v>-273.67866666666669</v>
          </cell>
          <cell r="DU7">
            <v>1.1215702479338843</v>
          </cell>
          <cell r="ET7">
            <v>242</v>
          </cell>
          <cell r="EX7">
            <v>0</v>
          </cell>
          <cell r="EZ7">
            <v>0.56000000000000005</v>
          </cell>
          <cell r="FA7">
            <v>53.22</v>
          </cell>
          <cell r="FL7">
            <v>37.97</v>
          </cell>
          <cell r="FM7">
            <v>56.34</v>
          </cell>
          <cell r="FN7">
            <v>4.6643999999999998E-2</v>
          </cell>
          <cell r="FO7">
            <v>2.63</v>
          </cell>
          <cell r="FP7">
            <v>56.34</v>
          </cell>
          <cell r="FQ7">
            <v>1.0126999999999999E-2</v>
          </cell>
          <cell r="FR7">
            <v>0.57999999999999996</v>
          </cell>
          <cell r="FS7">
            <v>67.87</v>
          </cell>
          <cell r="FT7">
            <v>0.17</v>
          </cell>
          <cell r="FU7">
            <v>11.53</v>
          </cell>
          <cell r="GD7">
            <v>302</v>
          </cell>
          <cell r="GE7">
            <v>17725</v>
          </cell>
          <cell r="GF7">
            <v>17423</v>
          </cell>
          <cell r="GG7">
            <v>1</v>
          </cell>
          <cell r="HM7">
            <v>271</v>
          </cell>
          <cell r="HQ7">
            <v>386</v>
          </cell>
          <cell r="HU7">
            <v>480</v>
          </cell>
          <cell r="HY7">
            <v>336</v>
          </cell>
          <cell r="IC7">
            <v>384</v>
          </cell>
          <cell r="IG7">
            <v>421</v>
          </cell>
          <cell r="IK7">
            <v>315</v>
          </cell>
          <cell r="IO7">
            <v>268</v>
          </cell>
          <cell r="IS7">
            <v>165</v>
          </cell>
          <cell r="IW7">
            <v>131</v>
          </cell>
        </row>
        <row r="8">
          <cell r="A8" t="str">
            <v/>
          </cell>
          <cell r="B8" t="str">
            <v>10/3040565-8</v>
          </cell>
          <cell r="C8" t="str">
            <v>58749 - 2</v>
          </cell>
          <cell r="D8" t="str">
            <v>2024-01-01</v>
          </cell>
          <cell r="F8" t="str">
            <v>energisa_ms</v>
          </cell>
          <cell r="G8" t="str">
            <v>154</v>
          </cell>
          <cell r="H8" t="str">
            <v>Igreja do Evangelho Quadrangular</v>
          </cell>
          <cell r="I8">
            <v>45778</v>
          </cell>
          <cell r="J8" t="str">
            <v>RESIDENCIAL - RESIDENCIAL</v>
          </cell>
          <cell r="K8" t="str">
            <v>79831130</v>
          </cell>
          <cell r="L8" t="str">
            <v>MS</v>
          </cell>
          <cell r="M8" t="str">
            <v>DOURADOS</v>
          </cell>
          <cell r="N8" t="str">
            <v>VILA ROSA</v>
          </cell>
          <cell r="O8" t="str">
            <v>RUA ANTONIO AMARO DE MATTOS, 5422 - CX 02 07.010.26.205001</v>
          </cell>
          <cell r="P8">
            <v>45803</v>
          </cell>
          <cell r="Q8" t="str">
            <v>B - B1</v>
          </cell>
          <cell r="R8" t="str">
            <v>6X.XXX.XXX/XXX4-31</v>
          </cell>
          <cell r="U8">
            <v>45770</v>
          </cell>
          <cell r="V8">
            <v>45800</v>
          </cell>
          <cell r="W8">
            <v>45832</v>
          </cell>
          <cell r="X8">
            <v>45812</v>
          </cell>
          <cell r="Y8" t="str">
            <v/>
          </cell>
          <cell r="AA8" t="str">
            <v>010.489.793-002</v>
          </cell>
          <cell r="AB8" t="str">
            <v>bifasico</v>
          </cell>
          <cell r="AC8" t="str">
            <v>convencional</v>
          </cell>
          <cell r="AD8">
            <v>258.73</v>
          </cell>
          <cell r="AF8" t="str">
            <v>IGREJA DO EVANGELHO QUADRANGULAR</v>
          </cell>
          <cell r="AL8">
            <v>311</v>
          </cell>
          <cell r="AM8">
            <v>1.1400390895908201</v>
          </cell>
          <cell r="AN8">
            <v>354.55215686274505</v>
          </cell>
          <cell r="AO8">
            <v>1.1216077170418006</v>
          </cell>
          <cell r="AX8">
            <v>158</v>
          </cell>
          <cell r="AY8">
            <v>0.98311491685281716</v>
          </cell>
          <cell r="AZ8">
            <v>-155.33215686274511</v>
          </cell>
          <cell r="BA8">
            <v>1.1215822784810128</v>
          </cell>
          <cell r="DZ8">
            <v>158</v>
          </cell>
          <cell r="EA8">
            <v>1.1400136510300323</v>
          </cell>
          <cell r="EB8">
            <v>-180.1221568627451</v>
          </cell>
          <cell r="EC8">
            <v>1.1215822784810128</v>
          </cell>
          <cell r="ET8">
            <v>158</v>
          </cell>
          <cell r="EX8">
            <v>0</v>
          </cell>
          <cell r="EZ8">
            <v>2.82</v>
          </cell>
          <cell r="FA8">
            <v>59.51</v>
          </cell>
          <cell r="FL8">
            <v>24.79</v>
          </cell>
          <cell r="FM8">
            <v>144.77000000000001</v>
          </cell>
          <cell r="FN8">
            <v>4.6643999999999998E-2</v>
          </cell>
          <cell r="FO8">
            <v>6.75</v>
          </cell>
          <cell r="FP8">
            <v>144.77000000000001</v>
          </cell>
          <cell r="FQ8">
            <v>1.0126999999999999E-2</v>
          </cell>
          <cell r="FR8">
            <v>1.47</v>
          </cell>
          <cell r="FS8">
            <v>174.43</v>
          </cell>
          <cell r="FT8">
            <v>0.17</v>
          </cell>
          <cell r="FU8">
            <v>29.65</v>
          </cell>
          <cell r="GD8">
            <v>311</v>
          </cell>
          <cell r="GE8">
            <v>9196</v>
          </cell>
          <cell r="GF8">
            <v>8885</v>
          </cell>
          <cell r="GG8">
            <v>1</v>
          </cell>
          <cell r="HM8">
            <v>352</v>
          </cell>
          <cell r="HQ8">
            <v>374</v>
          </cell>
          <cell r="HU8">
            <v>309</v>
          </cell>
          <cell r="HY8">
            <v>193</v>
          </cell>
          <cell r="IC8">
            <v>256</v>
          </cell>
          <cell r="IG8">
            <v>319</v>
          </cell>
          <cell r="IK8">
            <v>273</v>
          </cell>
          <cell r="IO8">
            <v>224</v>
          </cell>
          <cell r="IS8">
            <v>260</v>
          </cell>
          <cell r="IW8">
            <v>206</v>
          </cell>
        </row>
        <row r="9">
          <cell r="A9" t="str">
            <v/>
          </cell>
          <cell r="B9" t="str">
            <v>10/1130988-7</v>
          </cell>
          <cell r="C9" t="str">
            <v>Cong. Porto Murtinho</v>
          </cell>
          <cell r="D9" t="str">
            <v>2024-01-01</v>
          </cell>
          <cell r="F9" t="str">
            <v>energisa_ms</v>
          </cell>
          <cell r="G9" t="str">
            <v>408</v>
          </cell>
          <cell r="H9" t="str">
            <v>Igreja do Evangelho Quadrangular</v>
          </cell>
          <cell r="I9">
            <v>45778</v>
          </cell>
          <cell r="J9" t="str">
            <v>COMERCIAL - TEMPLOS RELIGIOSOS</v>
          </cell>
          <cell r="K9" t="str">
            <v>79280000</v>
          </cell>
          <cell r="L9" t="str">
            <v>MS</v>
          </cell>
          <cell r="M9" t="str">
            <v>PORTO MURTINHO</v>
          </cell>
          <cell r="N9" t="str">
            <v>CENTRO</v>
          </cell>
          <cell r="O9" t="str">
            <v>RUA CAPITAO CANTALICE, 0 - Q 86 L 84 13.060.03.238000</v>
          </cell>
          <cell r="P9">
            <v>45805</v>
          </cell>
          <cell r="Q9" t="str">
            <v>B - B3</v>
          </cell>
          <cell r="R9" t="str">
            <v>62955505040894</v>
          </cell>
          <cell r="U9">
            <v>45772</v>
          </cell>
          <cell r="V9">
            <v>45804</v>
          </cell>
          <cell r="W9">
            <v>45834</v>
          </cell>
          <cell r="X9">
            <v>45829</v>
          </cell>
          <cell r="Y9" t="str">
            <v/>
          </cell>
          <cell r="AA9" t="str">
            <v>010.524.127-002</v>
          </cell>
          <cell r="AB9" t="str">
            <v>bifasico</v>
          </cell>
          <cell r="AC9" t="str">
            <v>convencional</v>
          </cell>
          <cell r="AD9">
            <v>274.12</v>
          </cell>
          <cell r="AE9" t="str">
            <v>34191.09115 19547.582932 85972.140009 9 11190000027412</v>
          </cell>
          <cell r="AF9" t="str">
            <v>IGREJA DO EVANGELHO QUADRANGULAR</v>
          </cell>
          <cell r="AL9">
            <v>290</v>
          </cell>
          <cell r="AM9">
            <v>1.1419050498447458</v>
          </cell>
          <cell r="AN9">
            <v>331.15246445497627</v>
          </cell>
          <cell r="AO9">
            <v>1.1216206896551724</v>
          </cell>
          <cell r="AX9">
            <v>79</v>
          </cell>
          <cell r="AY9">
            <v>0.98496790449337102</v>
          </cell>
          <cell r="AZ9">
            <v>-77.812464454976308</v>
          </cell>
          <cell r="BA9">
            <v>1.1215189873417721</v>
          </cell>
          <cell r="DZ9">
            <v>79</v>
          </cell>
          <cell r="EA9">
            <v>1.1418033475313456</v>
          </cell>
          <cell r="EB9">
            <v>-90.202464454976308</v>
          </cell>
          <cell r="EC9">
            <v>1.1215189873417721</v>
          </cell>
          <cell r="ET9">
            <v>79</v>
          </cell>
          <cell r="EX9">
            <v>0</v>
          </cell>
          <cell r="EZ9">
            <v>4.28</v>
          </cell>
          <cell r="FA9">
            <v>20.78</v>
          </cell>
          <cell r="FL9">
            <v>12.39</v>
          </cell>
          <cell r="FM9">
            <v>199.98</v>
          </cell>
          <cell r="FN9">
            <v>4.6643999999999998E-2</v>
          </cell>
          <cell r="FO9">
            <v>9.33</v>
          </cell>
          <cell r="FP9">
            <v>199.98</v>
          </cell>
          <cell r="FQ9">
            <v>1.0126999999999999E-2</v>
          </cell>
          <cell r="FR9">
            <v>2.0299999999999998</v>
          </cell>
          <cell r="FS9">
            <v>240.95</v>
          </cell>
          <cell r="FT9">
            <v>0.17</v>
          </cell>
          <cell r="FU9">
            <v>40.96</v>
          </cell>
          <cell r="GD9">
            <v>290</v>
          </cell>
          <cell r="GE9">
            <v>36069</v>
          </cell>
          <cell r="GF9">
            <v>35779</v>
          </cell>
          <cell r="GG9">
            <v>1</v>
          </cell>
          <cell r="HM9">
            <v>235</v>
          </cell>
          <cell r="HQ9">
            <v>331</v>
          </cell>
          <cell r="HU9">
            <v>321</v>
          </cell>
          <cell r="HY9">
            <v>350</v>
          </cell>
          <cell r="IC9">
            <v>299</v>
          </cell>
          <cell r="IG9">
            <v>234</v>
          </cell>
          <cell r="IK9">
            <v>187</v>
          </cell>
          <cell r="IO9">
            <v>142</v>
          </cell>
          <cell r="IS9">
            <v>140</v>
          </cell>
          <cell r="IW9">
            <v>134</v>
          </cell>
        </row>
        <row r="10">
          <cell r="A10" t="str">
            <v/>
          </cell>
          <cell r="B10" t="str">
            <v>10/3054052-0</v>
          </cell>
          <cell r="C10" t="str">
            <v>Nova Aliança</v>
          </cell>
          <cell r="D10" t="str">
            <v>2024-01-01</v>
          </cell>
          <cell r="F10" t="str">
            <v>energisa_ms</v>
          </cell>
          <cell r="G10" t="str">
            <v>Nova Aliança</v>
          </cell>
          <cell r="H10" t="str">
            <v>Igreja do Evangelho Quadrangular</v>
          </cell>
          <cell r="I10">
            <v>45778</v>
          </cell>
          <cell r="J10" t="str">
            <v>COMERCIAL - TEMPLOS RELIGIOSOS</v>
          </cell>
          <cell r="K10" t="str">
            <v>79370000</v>
          </cell>
          <cell r="L10" t="str">
            <v>MS</v>
          </cell>
          <cell r="M10" t="str">
            <v>LADARIO</v>
          </cell>
          <cell r="N10" t="str">
            <v>NOVA ALIANCA</v>
          </cell>
          <cell r="O10" t="str">
            <v>RUA FREI LIBERATO QUETTERE, S/N - QD 112 LT 34- 02.004.21.308500</v>
          </cell>
          <cell r="P10">
            <v>45782</v>
          </cell>
          <cell r="Q10" t="str">
            <v>B - B3</v>
          </cell>
          <cell r="R10" t="str">
            <v>6X.XXX.XXX/XXX4-87</v>
          </cell>
          <cell r="U10">
            <v>45748</v>
          </cell>
          <cell r="V10">
            <v>45779</v>
          </cell>
          <cell r="W10">
            <v>45810</v>
          </cell>
          <cell r="X10">
            <v>45823</v>
          </cell>
          <cell r="Y10" t="str">
            <v/>
          </cell>
          <cell r="AA10" t="str">
            <v>010.165.337-002</v>
          </cell>
          <cell r="AB10" t="str">
            <v>trifasico</v>
          </cell>
          <cell r="AC10" t="str">
            <v>convencional</v>
          </cell>
          <cell r="AD10">
            <v>151.88999999999999</v>
          </cell>
          <cell r="AF10" t="str">
            <v>IGREJA DO EVANGELHO QUADRANGULAR</v>
          </cell>
          <cell r="AL10">
            <v>123</v>
          </cell>
          <cell r="AM10">
            <v>1.121074695121951</v>
          </cell>
          <cell r="AN10">
            <v>137.89218749999998</v>
          </cell>
          <cell r="AO10">
            <v>1.1195121951219511</v>
          </cell>
          <cell r="AX10">
            <v>27</v>
          </cell>
          <cell r="AY10">
            <v>0.96711805555555541</v>
          </cell>
          <cell r="AZ10">
            <v>-26.112187499999997</v>
          </cell>
          <cell r="BA10">
            <v>1.1192592592592592</v>
          </cell>
          <cell r="DR10">
            <v>27</v>
          </cell>
          <cell r="DS10">
            <v>1.1208217592592591</v>
          </cell>
          <cell r="DT10">
            <v>-30.262187499999996</v>
          </cell>
          <cell r="DU10">
            <v>1.1192592592592592</v>
          </cell>
          <cell r="ET10">
            <v>27</v>
          </cell>
          <cell r="EX10">
            <v>368</v>
          </cell>
          <cell r="EZ10">
            <v>0.15</v>
          </cell>
          <cell r="FA10">
            <v>37</v>
          </cell>
          <cell r="FC10">
            <v>3.11</v>
          </cell>
          <cell r="FL10">
            <v>4.1500000000000004</v>
          </cell>
          <cell r="FM10">
            <v>89.32</v>
          </cell>
          <cell r="FN10">
            <v>4.6643999999999998E-2</v>
          </cell>
          <cell r="FO10">
            <v>4.17</v>
          </cell>
          <cell r="FP10">
            <v>89.32</v>
          </cell>
          <cell r="FQ10">
            <v>1.0126999999999999E-2</v>
          </cell>
          <cell r="FR10">
            <v>0.91</v>
          </cell>
          <cell r="FS10">
            <v>107.63</v>
          </cell>
          <cell r="FT10">
            <v>0.17</v>
          </cell>
          <cell r="FU10">
            <v>18.29</v>
          </cell>
          <cell r="GD10">
            <v>123</v>
          </cell>
          <cell r="GE10">
            <v>9564</v>
          </cell>
          <cell r="GF10">
            <v>9441</v>
          </cell>
          <cell r="GG10">
            <v>1</v>
          </cell>
          <cell r="HM10">
            <v>90</v>
          </cell>
          <cell r="HQ10">
            <v>160</v>
          </cell>
          <cell r="HU10">
            <v>160</v>
          </cell>
          <cell r="HY10">
            <v>84</v>
          </cell>
          <cell r="IC10">
            <v>116</v>
          </cell>
          <cell r="IG10">
            <v>172</v>
          </cell>
          <cell r="IK10">
            <v>178</v>
          </cell>
          <cell r="IO10">
            <v>184</v>
          </cell>
          <cell r="IS10">
            <v>244</v>
          </cell>
          <cell r="IW10">
            <v>139</v>
          </cell>
        </row>
        <row r="11">
          <cell r="A11" t="str">
            <v/>
          </cell>
          <cell r="B11" t="str">
            <v>10/530195-7</v>
          </cell>
          <cell r="C11" t="str">
            <v>Batayporã 59155</v>
          </cell>
          <cell r="D11" t="str">
            <v>2024-01-01</v>
          </cell>
          <cell r="F11" t="str">
            <v>energisa_ms</v>
          </cell>
          <cell r="G11" t="str">
            <v>Morumbi 3671</v>
          </cell>
          <cell r="H11" t="str">
            <v>Igreja do Evangelho Quadrangular</v>
          </cell>
          <cell r="I11">
            <v>45778</v>
          </cell>
          <cell r="J11" t="str">
            <v>COMERCIAL - OUTROS SERVIÇOS E OUTRAS ATIVIDADES</v>
          </cell>
          <cell r="K11" t="str">
            <v>79760000</v>
          </cell>
          <cell r="L11" t="str">
            <v>MS</v>
          </cell>
          <cell r="M11" t="str">
            <v>BATAYPORA</v>
          </cell>
          <cell r="N11" t="str">
            <v>CENTRO</v>
          </cell>
          <cell r="O11" t="str">
            <v>RUA JONAS PEDRO NUNES, 1576 - 09.045.05.426000</v>
          </cell>
          <cell r="P11">
            <v>45786</v>
          </cell>
          <cell r="Q11" t="str">
            <v>B - B3</v>
          </cell>
          <cell r="R11" t="str">
            <v>62955505367117</v>
          </cell>
          <cell r="U11">
            <v>45754</v>
          </cell>
          <cell r="V11">
            <v>45785</v>
          </cell>
          <cell r="W11">
            <v>45814</v>
          </cell>
          <cell r="X11">
            <v>45823</v>
          </cell>
          <cell r="Y11" t="str">
            <v/>
          </cell>
          <cell r="AA11" t="str">
            <v>010.270.423-002</v>
          </cell>
          <cell r="AB11" t="str">
            <v>bifasico</v>
          </cell>
          <cell r="AC11" t="str">
            <v>convencional</v>
          </cell>
          <cell r="AD11">
            <v>80.680000000000007</v>
          </cell>
          <cell r="AE11" t="str">
            <v>34191.09107 83821.382930 85972.140009 1 11130000008068</v>
          </cell>
          <cell r="AF11" t="str">
            <v>IGREJA DO EVANGELHO QUADRANGULAR</v>
          </cell>
          <cell r="AL11">
            <v>97</v>
          </cell>
          <cell r="AM11">
            <v>1.1275463917525774</v>
          </cell>
          <cell r="AN11">
            <v>109.37200000000001</v>
          </cell>
          <cell r="AO11">
            <v>1.1215463917525774</v>
          </cell>
          <cell r="AX11">
            <v>57</v>
          </cell>
          <cell r="AY11">
            <v>0.97073684210526301</v>
          </cell>
          <cell r="AZ11">
            <v>-55.331999999999994</v>
          </cell>
          <cell r="BA11">
            <v>1.121578947368421</v>
          </cell>
          <cell r="DR11">
            <v>57</v>
          </cell>
          <cell r="DS11">
            <v>1.127578947368421</v>
          </cell>
          <cell r="DT11">
            <v>-64.271999999999991</v>
          </cell>
          <cell r="DU11">
            <v>1.121578947368421</v>
          </cell>
          <cell r="ET11">
            <v>57</v>
          </cell>
          <cell r="EX11">
            <v>46</v>
          </cell>
          <cell r="EZ11">
            <v>0.24</v>
          </cell>
          <cell r="FA11">
            <v>20.100000000000001</v>
          </cell>
          <cell r="FC11">
            <v>6.54</v>
          </cell>
          <cell r="FL11">
            <v>8.94</v>
          </cell>
          <cell r="FM11">
            <v>37.43</v>
          </cell>
          <cell r="FN11">
            <v>4.6643999999999998E-2</v>
          </cell>
          <cell r="FO11">
            <v>1.75</v>
          </cell>
          <cell r="FP11">
            <v>37.43</v>
          </cell>
          <cell r="FQ11">
            <v>1.0126999999999999E-2</v>
          </cell>
          <cell r="FR11">
            <v>0.37</v>
          </cell>
          <cell r="FS11">
            <v>45.1</v>
          </cell>
          <cell r="FT11">
            <v>0.17</v>
          </cell>
          <cell r="FU11">
            <v>7.66</v>
          </cell>
          <cell r="GD11">
            <v>97</v>
          </cell>
          <cell r="GE11">
            <v>28912</v>
          </cell>
          <cell r="GF11">
            <v>28815</v>
          </cell>
          <cell r="GG11">
            <v>1</v>
          </cell>
          <cell r="HM11">
            <v>190</v>
          </cell>
          <cell r="HQ11">
            <v>231</v>
          </cell>
          <cell r="HU11">
            <v>167</v>
          </cell>
          <cell r="HY11">
            <v>123</v>
          </cell>
          <cell r="IC11">
            <v>222</v>
          </cell>
          <cell r="IG11">
            <v>169</v>
          </cell>
          <cell r="IK11">
            <v>141</v>
          </cell>
          <cell r="IO11">
            <v>103</v>
          </cell>
          <cell r="IS11">
            <v>68</v>
          </cell>
          <cell r="IW11">
            <v>82</v>
          </cell>
        </row>
        <row r="12">
          <cell r="A12" t="str">
            <v/>
          </cell>
          <cell r="B12" t="str">
            <v>10/109074-5</v>
          </cell>
          <cell r="C12" t="str">
            <v>59758</v>
          </cell>
          <cell r="D12" t="str">
            <v>2024-01-01</v>
          </cell>
          <cell r="F12" t="str">
            <v>energisa_ms</v>
          </cell>
          <cell r="G12" t="str">
            <v>Carlos Camisao (3325)</v>
          </cell>
          <cell r="H12" t="str">
            <v>Igreja do Evangelho Quadrangular</v>
          </cell>
          <cell r="I12">
            <v>45778</v>
          </cell>
          <cell r="J12" t="str">
            <v>COMERCIAL - TEMPLOS RELIGIOSOS</v>
          </cell>
          <cell r="K12" t="str">
            <v>79940000</v>
          </cell>
          <cell r="L12" t="str">
            <v>MS</v>
          </cell>
          <cell r="M12" t="str">
            <v>CAARAPO</v>
          </cell>
          <cell r="N12" t="str">
            <v>CENTRO</v>
          </cell>
          <cell r="O12" t="str">
            <v>RUA QUINZE DE NOVEMBRO, 2180</v>
          </cell>
          <cell r="P12">
            <v>45786</v>
          </cell>
          <cell r="Q12" t="str">
            <v>B - B3</v>
          </cell>
          <cell r="R12" t="str">
            <v>62955505000167</v>
          </cell>
          <cell r="U12">
            <v>45754</v>
          </cell>
          <cell r="V12">
            <v>45785</v>
          </cell>
          <cell r="W12">
            <v>45814</v>
          </cell>
          <cell r="X12">
            <v>45797</v>
          </cell>
          <cell r="Y12" t="str">
            <v/>
          </cell>
          <cell r="AA12" t="str">
            <v>010.268.015-002</v>
          </cell>
          <cell r="AB12" t="str">
            <v>bifasico</v>
          </cell>
          <cell r="AC12" t="str">
            <v>convencional</v>
          </cell>
          <cell r="AD12">
            <v>173.21</v>
          </cell>
          <cell r="AE12" t="str">
            <v>34191.09107 83760.722930 85972.140009 3 10870000017321</v>
          </cell>
          <cell r="AF12" t="str">
            <v>IGREJA DO EVANGELHO QUADRANGULAR</v>
          </cell>
          <cell r="AL12">
            <v>320</v>
          </cell>
          <cell r="AM12">
            <v>1.1279407894736844</v>
          </cell>
          <cell r="AN12">
            <v>360.941052631579</v>
          </cell>
          <cell r="AO12">
            <v>1.1216250000000001</v>
          </cell>
          <cell r="AX12">
            <v>206</v>
          </cell>
          <cell r="AY12">
            <v>0.97102452733776201</v>
          </cell>
          <cell r="AZ12">
            <v>-200.03105263157897</v>
          </cell>
          <cell r="BA12">
            <v>1.1216019417475729</v>
          </cell>
          <cell r="DR12">
            <v>206</v>
          </cell>
          <cell r="DS12">
            <v>1.1279177312212572</v>
          </cell>
          <cell r="DT12">
            <v>-232.35105263157897</v>
          </cell>
          <cell r="DU12">
            <v>1.1216019417475729</v>
          </cell>
          <cell r="ET12">
            <v>206</v>
          </cell>
          <cell r="EX12">
            <v>0</v>
          </cell>
          <cell r="EZ12">
            <v>0.72</v>
          </cell>
          <cell r="FC12">
            <v>12.299999999999999</v>
          </cell>
          <cell r="FL12">
            <v>32.32</v>
          </cell>
          <cell r="FM12">
            <v>106.75</v>
          </cell>
          <cell r="FN12">
            <v>4.6643999999999998E-2</v>
          </cell>
          <cell r="FO12">
            <v>4.9800000000000004</v>
          </cell>
          <cell r="FP12">
            <v>106.75</v>
          </cell>
          <cell r="FQ12">
            <v>1.0126999999999999E-2</v>
          </cell>
          <cell r="FR12">
            <v>1.0900000000000001</v>
          </cell>
          <cell r="FS12">
            <v>128.59</v>
          </cell>
          <cell r="FT12">
            <v>0.17</v>
          </cell>
          <cell r="FU12">
            <v>21.86</v>
          </cell>
          <cell r="GD12">
            <v>320</v>
          </cell>
          <cell r="GE12">
            <v>22205</v>
          </cell>
          <cell r="GF12">
            <v>21885</v>
          </cell>
          <cell r="GG12">
            <v>1</v>
          </cell>
          <cell r="HM12">
            <v>351</v>
          </cell>
          <cell r="HQ12">
            <v>320</v>
          </cell>
          <cell r="HU12">
            <v>254</v>
          </cell>
          <cell r="HY12">
            <v>220</v>
          </cell>
          <cell r="IC12">
            <v>369</v>
          </cell>
          <cell r="IG12">
            <v>297</v>
          </cell>
          <cell r="IK12">
            <v>279</v>
          </cell>
          <cell r="IO12">
            <v>309</v>
          </cell>
          <cell r="IS12">
            <v>302</v>
          </cell>
          <cell r="IW12">
            <v>291</v>
          </cell>
        </row>
        <row r="13">
          <cell r="A13" t="str">
            <v/>
          </cell>
          <cell r="B13" t="str">
            <v>10/13786-9</v>
          </cell>
          <cell r="C13" t="str">
            <v>Generoso</v>
          </cell>
          <cell r="D13" t="str">
            <v>2024-01-01</v>
          </cell>
          <cell r="F13" t="str">
            <v>energisa_ms</v>
          </cell>
          <cell r="G13" t="str">
            <v>Generoso</v>
          </cell>
          <cell r="H13" t="str">
            <v>Igreja do Evangelho Quadrangular</v>
          </cell>
          <cell r="I13">
            <v>45778</v>
          </cell>
          <cell r="J13" t="str">
            <v>COMERCIAL - TEMPLOS RELIGIOSOS</v>
          </cell>
          <cell r="K13" t="str">
            <v>79333080</v>
          </cell>
          <cell r="L13" t="str">
            <v>MS</v>
          </cell>
          <cell r="M13" t="str">
            <v>CORUMBA</v>
          </cell>
          <cell r="N13" t="str">
            <v>DOM BOSCO</v>
          </cell>
          <cell r="O13" t="str">
            <v>RUA MARECHAL DEODORO, 118 - 03.003.01.491000</v>
          </cell>
          <cell r="P13">
            <v>45796</v>
          </cell>
          <cell r="Q13" t="str">
            <v>B - B3</v>
          </cell>
          <cell r="R13" t="str">
            <v>62955505197521</v>
          </cell>
          <cell r="U13">
            <v>45762</v>
          </cell>
          <cell r="V13">
            <v>45793</v>
          </cell>
          <cell r="W13">
            <v>45825</v>
          </cell>
          <cell r="X13">
            <v>45805</v>
          </cell>
          <cell r="Y13" t="str">
            <v/>
          </cell>
          <cell r="AA13" t="str">
            <v>010.405.432-002</v>
          </cell>
          <cell r="AB13" t="str">
            <v>bifasico</v>
          </cell>
          <cell r="AC13" t="str">
            <v>convencional</v>
          </cell>
          <cell r="AD13">
            <v>46.12</v>
          </cell>
          <cell r="AF13" t="str">
            <v>IGREJA DO EVANGELHO QUADRANGULAR</v>
          </cell>
          <cell r="AL13">
            <v>294</v>
          </cell>
          <cell r="AM13">
            <v>1.1215986394557824</v>
          </cell>
          <cell r="AN13">
            <v>329.75</v>
          </cell>
          <cell r="AX13">
            <v>294</v>
          </cell>
          <cell r="AY13">
            <v>0.96472789115646262</v>
          </cell>
          <cell r="AZ13">
            <v>-283.63</v>
          </cell>
          <cell r="DR13">
            <v>136</v>
          </cell>
          <cell r="DS13">
            <v>1.1216176470588235</v>
          </cell>
          <cell r="DT13">
            <v>-152.54</v>
          </cell>
          <cell r="DZ13">
            <v>158</v>
          </cell>
          <cell r="EA13">
            <v>1.1215822784810128</v>
          </cell>
          <cell r="EB13">
            <v>-177.21</v>
          </cell>
          <cell r="ET13">
            <v>294</v>
          </cell>
          <cell r="EX13">
            <v>70</v>
          </cell>
          <cell r="FL13">
            <v>46.12</v>
          </cell>
          <cell r="FM13">
            <v>0.02</v>
          </cell>
          <cell r="FN13">
            <v>4.6643999999999998E-2</v>
          </cell>
          <cell r="FO13">
            <v>0</v>
          </cell>
          <cell r="FP13">
            <v>0.02</v>
          </cell>
          <cell r="FQ13">
            <v>1.0126999999999999E-2</v>
          </cell>
          <cell r="FR13">
            <v>0</v>
          </cell>
          <cell r="FS13">
            <v>0</v>
          </cell>
          <cell r="FT13">
            <v>0.17</v>
          </cell>
          <cell r="FU13">
            <v>0</v>
          </cell>
          <cell r="GD13">
            <v>294</v>
          </cell>
          <cell r="GE13">
            <v>12253</v>
          </cell>
          <cell r="GF13">
            <v>11959</v>
          </cell>
          <cell r="GG13">
            <v>1</v>
          </cell>
          <cell r="HM13">
            <v>280</v>
          </cell>
          <cell r="HQ13">
            <v>410</v>
          </cell>
          <cell r="HU13">
            <v>271</v>
          </cell>
          <cell r="HY13">
            <v>315</v>
          </cell>
          <cell r="IC13">
            <v>380</v>
          </cell>
          <cell r="IG13">
            <v>282</v>
          </cell>
          <cell r="IK13">
            <v>294</v>
          </cell>
          <cell r="IO13">
            <v>185</v>
          </cell>
          <cell r="IS13">
            <v>214</v>
          </cell>
          <cell r="IW13">
            <v>160</v>
          </cell>
        </row>
        <row r="14">
          <cell r="A14" t="str">
            <v/>
          </cell>
          <cell r="B14" t="str">
            <v>10/127464-6</v>
          </cell>
          <cell r="C14" t="str">
            <v>3311</v>
          </cell>
          <cell r="D14" t="str">
            <v>2024-01-01</v>
          </cell>
          <cell r="F14" t="str">
            <v>energisa_ms</v>
          </cell>
          <cell r="G14" t="str">
            <v>3311</v>
          </cell>
          <cell r="H14" t="str">
            <v>Igreja do Evangelho Quadrangular</v>
          </cell>
          <cell r="I14">
            <v>45778</v>
          </cell>
          <cell r="J14" t="str">
            <v>COMERCIAL - TEMPLOS RELIGIOSOS</v>
          </cell>
          <cell r="K14" t="str">
            <v>79400000</v>
          </cell>
          <cell r="L14" t="str">
            <v>MS</v>
          </cell>
          <cell r="M14" t="str">
            <v>COXIM</v>
          </cell>
          <cell r="N14" t="str">
            <v>CENTRO</v>
          </cell>
          <cell r="O14" t="str">
            <v>AVENIDA MATO GROSSO DO SUL, 1466 - 12.029.03.222000</v>
          </cell>
          <cell r="P14">
            <v>45785</v>
          </cell>
          <cell r="Q14" t="str">
            <v>B - B3</v>
          </cell>
          <cell r="R14" t="str">
            <v>62955505331198</v>
          </cell>
          <cell r="U14">
            <v>45751</v>
          </cell>
          <cell r="V14">
            <v>45784</v>
          </cell>
          <cell r="W14">
            <v>45813</v>
          </cell>
          <cell r="X14">
            <v>45814</v>
          </cell>
          <cell r="Y14" t="str">
            <v/>
          </cell>
          <cell r="AA14" t="str">
            <v>010.239.258-002</v>
          </cell>
          <cell r="AB14" t="str">
            <v>trifasico</v>
          </cell>
          <cell r="AC14" t="str">
            <v>convencional</v>
          </cell>
          <cell r="AD14">
            <v>340</v>
          </cell>
          <cell r="AE14" t="str">
            <v>34191.09107 80264.122930 85972.140009 7 11040000034000</v>
          </cell>
          <cell r="AF14" t="str">
            <v>IGREJA DO EVANGELHO QUADRANGULAR</v>
          </cell>
          <cell r="AL14">
            <v>594</v>
          </cell>
          <cell r="AM14">
            <v>1.12569234006734</v>
          </cell>
          <cell r="AN14">
            <v>668.66125</v>
          </cell>
          <cell r="AO14">
            <v>1.1206228956228956</v>
          </cell>
          <cell r="AX14">
            <v>450</v>
          </cell>
          <cell r="AY14">
            <v>0.97020277777777764</v>
          </cell>
          <cell r="AZ14">
            <v>-436.59124999999995</v>
          </cell>
          <cell r="BA14">
            <v>1.1206222222222222</v>
          </cell>
          <cell r="DR14">
            <v>450</v>
          </cell>
          <cell r="DS14">
            <v>1.1256916666666665</v>
          </cell>
          <cell r="DT14">
            <v>-506.56124999999992</v>
          </cell>
          <cell r="DU14">
            <v>1.1206222222222222</v>
          </cell>
          <cell r="ET14">
            <v>450</v>
          </cell>
          <cell r="EX14">
            <v>0</v>
          </cell>
          <cell r="EZ14">
            <v>0.73</v>
          </cell>
          <cell r="FA14">
            <v>107.93</v>
          </cell>
          <cell r="FL14">
            <v>69.97</v>
          </cell>
          <cell r="FM14">
            <v>134.56</v>
          </cell>
          <cell r="FN14">
            <v>4.6643999999999998E-2</v>
          </cell>
          <cell r="FO14">
            <v>6.28</v>
          </cell>
          <cell r="FP14">
            <v>134.56</v>
          </cell>
          <cell r="FQ14">
            <v>1.0126999999999999E-2</v>
          </cell>
          <cell r="FR14">
            <v>1.35</v>
          </cell>
          <cell r="FS14">
            <v>162.1</v>
          </cell>
          <cell r="FT14">
            <v>0.17</v>
          </cell>
          <cell r="FU14">
            <v>27.55</v>
          </cell>
          <cell r="GD14">
            <v>594</v>
          </cell>
          <cell r="GE14">
            <v>41752</v>
          </cell>
          <cell r="GF14">
            <v>41158</v>
          </cell>
          <cell r="GG14">
            <v>1</v>
          </cell>
          <cell r="HM14">
            <v>472</v>
          </cell>
          <cell r="HQ14">
            <v>537</v>
          </cell>
          <cell r="HU14">
            <v>531</v>
          </cell>
          <cell r="HY14">
            <v>546</v>
          </cell>
          <cell r="IC14">
            <v>468</v>
          </cell>
          <cell r="IG14">
            <v>584</v>
          </cell>
          <cell r="IK14">
            <v>528</v>
          </cell>
          <cell r="IO14">
            <v>439</v>
          </cell>
          <cell r="IS14">
            <v>433</v>
          </cell>
          <cell r="IW14">
            <v>385</v>
          </cell>
        </row>
        <row r="15">
          <cell r="A15" t="str">
            <v/>
          </cell>
          <cell r="B15" t="str">
            <v>10/129490-9</v>
          </cell>
          <cell r="C15" t="str">
            <v>169</v>
          </cell>
          <cell r="D15" t="str">
            <v>2024-01-01</v>
          </cell>
          <cell r="F15" t="str">
            <v>energisa_ms</v>
          </cell>
          <cell r="G15" t="str">
            <v>169</v>
          </cell>
          <cell r="H15" t="str">
            <v>Igreja do Evangelho Quadrangular</v>
          </cell>
          <cell r="I15">
            <v>45778</v>
          </cell>
          <cell r="J15" t="str">
            <v>COMERCIAL - TEMPLOS RELIGIOSOS</v>
          </cell>
          <cell r="K15" t="str">
            <v>79130000</v>
          </cell>
          <cell r="L15" t="str">
            <v>MS</v>
          </cell>
          <cell r="M15" t="str">
            <v>RIO BRILHANTE</v>
          </cell>
          <cell r="N15" t="str">
            <v>CENTRO</v>
          </cell>
          <cell r="O15" t="str">
            <v>RUA JUVIANO MEDEIROS, 1239 - 05.030.15.076000</v>
          </cell>
          <cell r="P15">
            <v>45800</v>
          </cell>
          <cell r="Q15" t="str">
            <v>B - B3</v>
          </cell>
          <cell r="R15" t="str">
            <v>62955505405140</v>
          </cell>
          <cell r="U15">
            <v>45769</v>
          </cell>
          <cell r="V15">
            <v>45799</v>
          </cell>
          <cell r="W15">
            <v>45831</v>
          </cell>
          <cell r="X15">
            <v>45816</v>
          </cell>
          <cell r="Y15" t="str">
            <v/>
          </cell>
          <cell r="AA15" t="str">
            <v>010.469.700-002</v>
          </cell>
          <cell r="AB15" t="str">
            <v>bifasico</v>
          </cell>
          <cell r="AC15" t="str">
            <v>convencional</v>
          </cell>
          <cell r="AD15">
            <v>161.19999999999999</v>
          </cell>
          <cell r="AF15" t="str">
            <v>IGREJA DO EVANGELHO QUADRANGULAR</v>
          </cell>
          <cell r="AL15">
            <v>252</v>
          </cell>
          <cell r="AM15">
            <v>1.1392865585950693</v>
          </cell>
          <cell r="AN15">
            <v>287.10021276595745</v>
          </cell>
          <cell r="AO15">
            <v>1.1216269841269841</v>
          </cell>
          <cell r="AX15">
            <v>158</v>
          </cell>
          <cell r="AY15">
            <v>0.98234311877188285</v>
          </cell>
          <cell r="AZ15">
            <v>-155.21021276595749</v>
          </cell>
          <cell r="BA15">
            <v>1.1215822784810128</v>
          </cell>
          <cell r="DZ15">
            <v>158</v>
          </cell>
          <cell r="EA15">
            <v>1.139241852949098</v>
          </cell>
          <cell r="EB15">
            <v>-180.00021276595749</v>
          </cell>
          <cell r="EC15">
            <v>1.1215822784810128</v>
          </cell>
          <cell r="ET15">
            <v>158</v>
          </cell>
          <cell r="EX15">
            <v>0</v>
          </cell>
          <cell r="EZ15">
            <v>1.66</v>
          </cell>
          <cell r="FA15">
            <v>26.64</v>
          </cell>
          <cell r="FC15">
            <v>2.6700000000000004</v>
          </cell>
          <cell r="FL15">
            <v>24.79</v>
          </cell>
          <cell r="FM15">
            <v>88.89</v>
          </cell>
          <cell r="FN15">
            <v>4.6643999999999998E-2</v>
          </cell>
          <cell r="FO15">
            <v>4.1399999999999997</v>
          </cell>
          <cell r="FP15">
            <v>88.89</v>
          </cell>
          <cell r="FQ15">
            <v>1.0126999999999999E-2</v>
          </cell>
          <cell r="FR15">
            <v>0.9</v>
          </cell>
          <cell r="FS15">
            <v>107.1</v>
          </cell>
          <cell r="FT15">
            <v>0.17</v>
          </cell>
          <cell r="FU15">
            <v>18.2</v>
          </cell>
          <cell r="GD15">
            <v>252</v>
          </cell>
          <cell r="GE15">
            <v>73306</v>
          </cell>
          <cell r="GF15">
            <v>73054</v>
          </cell>
          <cell r="GG15">
            <v>1</v>
          </cell>
          <cell r="HM15">
            <v>287</v>
          </cell>
          <cell r="HQ15">
            <v>315</v>
          </cell>
          <cell r="HU15">
            <v>324</v>
          </cell>
          <cell r="HY15">
            <v>286</v>
          </cell>
          <cell r="IC15">
            <v>301</v>
          </cell>
          <cell r="IG15">
            <v>306</v>
          </cell>
          <cell r="IK15">
            <v>294</v>
          </cell>
          <cell r="IO15">
            <v>265</v>
          </cell>
          <cell r="IS15">
            <v>203</v>
          </cell>
          <cell r="IW15">
            <v>147</v>
          </cell>
        </row>
        <row r="16">
          <cell r="A16" t="str">
            <v/>
          </cell>
          <cell r="B16" t="str">
            <v>10/52987-5</v>
          </cell>
          <cell r="C16" t="str">
            <v>1822</v>
          </cell>
          <cell r="D16" t="str">
            <v>2024-01-01</v>
          </cell>
          <cell r="F16" t="str">
            <v>energisa_ms</v>
          </cell>
          <cell r="G16" t="str">
            <v>5661</v>
          </cell>
          <cell r="H16" t="str">
            <v>Igreja do Evangelho Quadrangular</v>
          </cell>
          <cell r="I16">
            <v>45778</v>
          </cell>
          <cell r="J16" t="str">
            <v>COMERCIAL - TEMPLOS RELIGIOSOS</v>
          </cell>
          <cell r="K16" t="str">
            <v>79812170</v>
          </cell>
          <cell r="L16" t="str">
            <v>MS</v>
          </cell>
          <cell r="M16" t="str">
            <v>DOURADOS</v>
          </cell>
          <cell r="N16" t="str">
            <v>JARDIM AGUA BOA</v>
          </cell>
          <cell r="O16" t="str">
            <v>RUA SALVIANO PEDROSO, 1150 - 09.010.29.651000</v>
          </cell>
          <cell r="P16">
            <v>45797</v>
          </cell>
          <cell r="Q16" t="str">
            <v>B - B3</v>
          </cell>
          <cell r="R16" t="str">
            <v>62955505182257</v>
          </cell>
          <cell r="U16">
            <v>45763</v>
          </cell>
          <cell r="V16">
            <v>45796</v>
          </cell>
          <cell r="W16">
            <v>45826</v>
          </cell>
          <cell r="X16">
            <v>45810</v>
          </cell>
          <cell r="Y16" t="str">
            <v/>
          </cell>
          <cell r="AA16" t="str">
            <v>010.426.655-002</v>
          </cell>
          <cell r="AB16" t="str">
            <v>trifasico</v>
          </cell>
          <cell r="AC16" t="str">
            <v>convencional</v>
          </cell>
          <cell r="AD16">
            <v>179.21</v>
          </cell>
          <cell r="AE16" t="str">
            <v>34191.09115 04024.522932 85972.140009 1 11000000017921</v>
          </cell>
          <cell r="AF16" t="str">
            <v>IGREJA DO EVANGELHO QUADRANGULAR</v>
          </cell>
          <cell r="AL16">
            <v>213</v>
          </cell>
          <cell r="AM16">
            <v>1.1356751914998766</v>
          </cell>
          <cell r="AN16">
            <v>241.89881578947373</v>
          </cell>
          <cell r="AO16">
            <v>1.1215962441314555</v>
          </cell>
          <cell r="AX16">
            <v>137</v>
          </cell>
          <cell r="AY16">
            <v>0.97875048021513611</v>
          </cell>
          <cell r="AZ16">
            <v>-134.08881578947364</v>
          </cell>
          <cell r="BA16">
            <v>1.1215328467153283</v>
          </cell>
          <cell r="DR16">
            <v>58</v>
          </cell>
          <cell r="DS16">
            <v>1.135630671506352</v>
          </cell>
          <cell r="DT16">
            <v>-65.86657894736841</v>
          </cell>
          <cell r="DU16">
            <v>1.1215517241379309</v>
          </cell>
          <cell r="DZ16">
            <v>79</v>
          </cell>
          <cell r="EA16">
            <v>1.1355979347101932</v>
          </cell>
          <cell r="EB16">
            <v>-89.71223684210527</v>
          </cell>
          <cell r="EC16">
            <v>1.1215189873417721</v>
          </cell>
          <cell r="ET16">
            <v>137</v>
          </cell>
          <cell r="EX16">
            <v>45</v>
          </cell>
          <cell r="EZ16">
            <v>1.07</v>
          </cell>
          <cell r="FA16">
            <v>49.34</v>
          </cell>
          <cell r="FC16">
            <v>22.06</v>
          </cell>
          <cell r="FL16">
            <v>21.49</v>
          </cell>
          <cell r="FM16">
            <v>71.650000000000006</v>
          </cell>
          <cell r="FN16">
            <v>4.6643999999999998E-2</v>
          </cell>
          <cell r="FO16">
            <v>3.34</v>
          </cell>
          <cell r="FP16">
            <v>71.650000000000006</v>
          </cell>
          <cell r="FQ16">
            <v>1.0126999999999999E-2</v>
          </cell>
          <cell r="FR16">
            <v>0.72</v>
          </cell>
          <cell r="FS16">
            <v>86.32</v>
          </cell>
          <cell r="FT16">
            <v>0.17</v>
          </cell>
          <cell r="FU16">
            <v>14.67</v>
          </cell>
          <cell r="GD16">
            <v>213</v>
          </cell>
          <cell r="GE16">
            <v>27579</v>
          </cell>
          <cell r="GF16">
            <v>27366</v>
          </cell>
          <cell r="GG16">
            <v>1</v>
          </cell>
          <cell r="HM16">
            <v>286</v>
          </cell>
          <cell r="HQ16">
            <v>433</v>
          </cell>
          <cell r="HU16">
            <v>467</v>
          </cell>
          <cell r="HY16">
            <v>358</v>
          </cell>
          <cell r="IC16">
            <v>314</v>
          </cell>
          <cell r="IG16">
            <v>222</v>
          </cell>
          <cell r="IK16">
            <v>315</v>
          </cell>
          <cell r="IO16">
            <v>172</v>
          </cell>
          <cell r="IS16">
            <v>120</v>
          </cell>
          <cell r="IW16">
            <v>107</v>
          </cell>
        </row>
        <row r="17">
          <cell r="A17" t="str">
            <v/>
          </cell>
          <cell r="B17" t="str">
            <v>10/505854-0</v>
          </cell>
          <cell r="C17" t="str">
            <v>Cong. Douradina</v>
          </cell>
          <cell r="D17" t="str">
            <v>2024-01-01</v>
          </cell>
          <cell r="F17" t="str">
            <v>energisa_ms</v>
          </cell>
          <cell r="G17" t="str">
            <v>Cong. Douradina</v>
          </cell>
          <cell r="H17" t="str">
            <v>Igreja do Evangelho Quadrangular</v>
          </cell>
          <cell r="I17">
            <v>45778</v>
          </cell>
          <cell r="J17" t="str">
            <v>COMERCIAL - TEMPLOS RELIGIOSOS</v>
          </cell>
          <cell r="K17" t="str">
            <v>79880000</v>
          </cell>
          <cell r="L17" t="str">
            <v>MS</v>
          </cell>
          <cell r="M17" t="str">
            <v>DOURADINA</v>
          </cell>
          <cell r="N17" t="str">
            <v>CENTRO</v>
          </cell>
          <cell r="O17" t="str">
            <v>AVENIDA PRESIDENTE DUTRA, 925 - 02.079.03.198000</v>
          </cell>
          <cell r="P17">
            <v>45790</v>
          </cell>
          <cell r="Q17" t="str">
            <v>B - B3</v>
          </cell>
          <cell r="R17" t="str">
            <v>62955505887382</v>
          </cell>
          <cell r="U17">
            <v>45757</v>
          </cell>
          <cell r="V17">
            <v>45789</v>
          </cell>
          <cell r="W17">
            <v>45818</v>
          </cell>
          <cell r="X17">
            <v>45799</v>
          </cell>
          <cell r="Y17" t="str">
            <v/>
          </cell>
          <cell r="AA17" t="str">
            <v>010.317.908-002</v>
          </cell>
          <cell r="AB17" t="str">
            <v>trifasico</v>
          </cell>
          <cell r="AC17" t="str">
            <v>convencional</v>
          </cell>
          <cell r="AD17">
            <v>113.05</v>
          </cell>
          <cell r="AF17" t="str">
            <v>IGREJA DO EVANGELHO QUADRANGULAR</v>
          </cell>
          <cell r="AI17">
            <v>100</v>
          </cell>
          <cell r="AJ17">
            <v>1.1215999999999999</v>
          </cell>
          <cell r="AK17">
            <v>112.16</v>
          </cell>
          <cell r="AL17">
            <v>0</v>
          </cell>
          <cell r="AM17">
            <v>1.1215999999999999</v>
          </cell>
          <cell r="AN17">
            <v>0</v>
          </cell>
          <cell r="EX17">
            <v>409</v>
          </cell>
          <cell r="EZ17">
            <v>0.89</v>
          </cell>
          <cell r="FM17">
            <v>93.82</v>
          </cell>
          <cell r="FN17">
            <v>4.6643999999999998E-2</v>
          </cell>
          <cell r="FO17">
            <v>4.37</v>
          </cell>
          <cell r="FP17">
            <v>93.82</v>
          </cell>
          <cell r="FQ17">
            <v>1.0126999999999999E-2</v>
          </cell>
          <cell r="FR17">
            <v>0.95</v>
          </cell>
          <cell r="FS17">
            <v>113.05</v>
          </cell>
          <cell r="FT17">
            <v>0.17</v>
          </cell>
          <cell r="FU17">
            <v>19.21</v>
          </cell>
          <cell r="GD17">
            <v>66</v>
          </cell>
          <cell r="GE17">
            <v>9102</v>
          </cell>
          <cell r="GF17">
            <v>9036</v>
          </cell>
          <cell r="GG17">
            <v>1</v>
          </cell>
          <cell r="HM17">
            <v>66</v>
          </cell>
          <cell r="HQ17">
            <v>120</v>
          </cell>
          <cell r="HU17">
            <v>139</v>
          </cell>
          <cell r="HY17">
            <v>100</v>
          </cell>
          <cell r="IC17">
            <v>100</v>
          </cell>
          <cell r="IG17">
            <v>96</v>
          </cell>
          <cell r="IK17">
            <v>111</v>
          </cell>
          <cell r="IO17">
            <v>112</v>
          </cell>
          <cell r="IS17">
            <v>106</v>
          </cell>
          <cell r="IW17">
            <v>100</v>
          </cell>
        </row>
        <row r="18">
          <cell r="A18" t="str">
            <v/>
          </cell>
          <cell r="B18" t="str">
            <v>10/72605-9</v>
          </cell>
          <cell r="C18" t="str">
            <v>1364</v>
          </cell>
          <cell r="D18" t="str">
            <v>2024-01-01</v>
          </cell>
          <cell r="F18" t="str">
            <v>energisa_ms</v>
          </cell>
          <cell r="G18" t="str">
            <v>1364</v>
          </cell>
          <cell r="H18" t="str">
            <v>Igreja do Evangelho Quadrangular</v>
          </cell>
          <cell r="I18">
            <v>45778</v>
          </cell>
          <cell r="J18" t="str">
            <v>COMERCIAL - TEMPLOS RELIGIOSOS</v>
          </cell>
          <cell r="K18" t="str">
            <v>79820010</v>
          </cell>
          <cell r="L18" t="str">
            <v>MS</v>
          </cell>
          <cell r="M18" t="str">
            <v>DOURADOS</v>
          </cell>
          <cell r="N18" t="str">
            <v>JARDIM CLIMAX</v>
          </cell>
          <cell r="O18" t="str">
            <v>AVENIDA MARCELINO PIRES, 287 - 08.010.04.293000</v>
          </cell>
          <cell r="P18">
            <v>45791</v>
          </cell>
          <cell r="Q18" t="str">
            <v>B - B3</v>
          </cell>
          <cell r="R18" t="str">
            <v>6X.XXX.XXX/XXX4-92</v>
          </cell>
          <cell r="U18">
            <v>45758</v>
          </cell>
          <cell r="V18">
            <v>45790</v>
          </cell>
          <cell r="W18">
            <v>45819</v>
          </cell>
          <cell r="X18">
            <v>45800</v>
          </cell>
          <cell r="Y18" t="str">
            <v/>
          </cell>
          <cell r="Z18" t="str">
            <v>true</v>
          </cell>
          <cell r="AA18" t="str">
            <v>010.334.160-002</v>
          </cell>
          <cell r="AB18" t="str">
            <v>trifasico</v>
          </cell>
          <cell r="AC18" t="str">
            <v>convencional</v>
          </cell>
          <cell r="AD18">
            <v>163.92</v>
          </cell>
          <cell r="AF18" t="str">
            <v>IGREJA DO EVANGELHO QUADRANGULAR</v>
          </cell>
          <cell r="AL18">
            <v>268</v>
          </cell>
          <cell r="AM18">
            <v>1.1314482276119402</v>
          </cell>
          <cell r="AN18">
            <v>303.22812499999998</v>
          </cell>
          <cell r="AO18">
            <v>1.1216044776119403</v>
          </cell>
          <cell r="AX18">
            <v>204</v>
          </cell>
          <cell r="AY18">
            <v>0.97459865196078421</v>
          </cell>
          <cell r="AZ18">
            <v>-198.81812499999998</v>
          </cell>
          <cell r="BA18">
            <v>1.1216176470588235</v>
          </cell>
          <cell r="DZ18">
            <v>204</v>
          </cell>
          <cell r="EA18">
            <v>1.1314613970588234</v>
          </cell>
          <cell r="EB18">
            <v>-230.81812499999998</v>
          </cell>
          <cell r="EC18">
            <v>1.1216176470588235</v>
          </cell>
          <cell r="ET18">
            <v>204</v>
          </cell>
          <cell r="EX18">
            <v>503</v>
          </cell>
          <cell r="EZ18">
            <v>0.63</v>
          </cell>
          <cell r="FA18">
            <v>59.51</v>
          </cell>
          <cell r="FL18">
            <v>32</v>
          </cell>
          <cell r="FM18">
            <v>60.1</v>
          </cell>
          <cell r="FN18">
            <v>4.6643999999999998E-2</v>
          </cell>
          <cell r="FO18">
            <v>2.8</v>
          </cell>
          <cell r="FP18">
            <v>60.1</v>
          </cell>
          <cell r="FQ18">
            <v>1.0126999999999999E-2</v>
          </cell>
          <cell r="FR18">
            <v>0.61</v>
          </cell>
          <cell r="FS18">
            <v>72.41</v>
          </cell>
          <cell r="FT18">
            <v>0.17</v>
          </cell>
          <cell r="FU18">
            <v>12.3</v>
          </cell>
          <cell r="GD18">
            <v>268</v>
          </cell>
          <cell r="GE18">
            <v>66697</v>
          </cell>
          <cell r="GF18">
            <v>66429</v>
          </cell>
          <cell r="GG18">
            <v>1</v>
          </cell>
          <cell r="HM18">
            <v>268</v>
          </cell>
          <cell r="HQ18">
            <v>394</v>
          </cell>
          <cell r="HU18">
            <v>444</v>
          </cell>
          <cell r="HY18">
            <v>310</v>
          </cell>
          <cell r="IC18">
            <v>391</v>
          </cell>
          <cell r="IG18">
            <v>422</v>
          </cell>
          <cell r="IK18">
            <v>426</v>
          </cell>
          <cell r="IO18">
            <v>226</v>
          </cell>
          <cell r="IS18">
            <v>176</v>
          </cell>
          <cell r="IW18">
            <v>193</v>
          </cell>
        </row>
        <row r="19">
          <cell r="A19" t="str">
            <v/>
          </cell>
          <cell r="B19" t="str">
            <v>10/3123706-8</v>
          </cell>
          <cell r="C19" t="str">
            <v>Navirai 3757</v>
          </cell>
          <cell r="D19" t="str">
            <v>2024-01-01</v>
          </cell>
          <cell r="F19" t="str">
            <v>energisa_ms</v>
          </cell>
          <cell r="G19" t="str">
            <v>Navirai 3757</v>
          </cell>
          <cell r="H19" t="str">
            <v>Igreja do Evangelho Quadrangular</v>
          </cell>
          <cell r="I19">
            <v>45778</v>
          </cell>
          <cell r="J19" t="str">
            <v>RESIDENCIAL - RESIDENCIAL</v>
          </cell>
          <cell r="K19" t="str">
            <v>79950000</v>
          </cell>
          <cell r="L19" t="str">
            <v>MS</v>
          </cell>
          <cell r="M19" t="str">
            <v>NAVIRAI</v>
          </cell>
          <cell r="N19" t="str">
            <v>CENTRO</v>
          </cell>
          <cell r="O19" t="str">
            <v>RUA CUIABA, 225 - TRATA-SE RESIDENCIA 18-038-13-89250</v>
          </cell>
          <cell r="P19">
            <v>45804</v>
          </cell>
          <cell r="Q19" t="str">
            <v>B - B1</v>
          </cell>
          <cell r="R19" t="str">
            <v>62955505375721</v>
          </cell>
          <cell r="U19">
            <v>45771</v>
          </cell>
          <cell r="V19">
            <v>45803</v>
          </cell>
          <cell r="W19">
            <v>45833</v>
          </cell>
          <cell r="X19">
            <v>45834</v>
          </cell>
          <cell r="Y19" t="str">
            <v/>
          </cell>
          <cell r="AA19" t="str">
            <v>010.512.058-002</v>
          </cell>
          <cell r="AB19" t="str">
            <v>trifasico</v>
          </cell>
          <cell r="AC19" t="str">
            <v>convencional</v>
          </cell>
          <cell r="AD19">
            <v>309.91000000000003</v>
          </cell>
          <cell r="AE19" t="str">
            <v>34191.09115 17235.342932 85972.140009 2 11240000030991</v>
          </cell>
          <cell r="AF19" t="str">
            <v>IGREJA DO EVANGELHO QUADRANGULAR</v>
          </cell>
          <cell r="AL19">
            <v>355</v>
          </cell>
          <cell r="AM19">
            <v>1.1411487810109386</v>
          </cell>
          <cell r="AN19">
            <v>405.10781725888324</v>
          </cell>
          <cell r="AO19">
            <v>1.1216056338028169</v>
          </cell>
          <cell r="AX19">
            <v>158</v>
          </cell>
          <cell r="AY19">
            <v>0.98422669151191944</v>
          </cell>
          <cell r="AZ19">
            <v>-155.50781725888328</v>
          </cell>
          <cell r="BA19">
            <v>1.1215822784810128</v>
          </cell>
          <cell r="DZ19">
            <v>158</v>
          </cell>
          <cell r="EA19">
            <v>1.1411254256891346</v>
          </cell>
          <cell r="EB19">
            <v>-180.29781725888327</v>
          </cell>
          <cell r="EC19">
            <v>1.1215822784810128</v>
          </cell>
          <cell r="ET19">
            <v>158</v>
          </cell>
          <cell r="EX19">
            <v>0</v>
          </cell>
          <cell r="EZ19">
            <v>3.85</v>
          </cell>
          <cell r="FA19">
            <v>54.09</v>
          </cell>
          <cell r="FC19">
            <v>6.22</v>
          </cell>
          <cell r="FL19">
            <v>24.79</v>
          </cell>
          <cell r="FM19">
            <v>186.6</v>
          </cell>
          <cell r="FN19">
            <v>4.6643999999999998E-2</v>
          </cell>
          <cell r="FO19">
            <v>8.6999999999999993</v>
          </cell>
          <cell r="FP19">
            <v>186.6</v>
          </cell>
          <cell r="FQ19">
            <v>1.0126999999999999E-2</v>
          </cell>
          <cell r="FR19">
            <v>1.9</v>
          </cell>
          <cell r="FS19">
            <v>224.81</v>
          </cell>
          <cell r="FT19">
            <v>0.17</v>
          </cell>
          <cell r="FU19">
            <v>38.21</v>
          </cell>
          <cell r="GD19">
            <v>355</v>
          </cell>
          <cell r="GE19">
            <v>37340</v>
          </cell>
          <cell r="GF19">
            <v>36985</v>
          </cell>
          <cell r="GG19">
            <v>1</v>
          </cell>
          <cell r="HM19">
            <v>320</v>
          </cell>
          <cell r="HQ19">
            <v>400</v>
          </cell>
          <cell r="HU19">
            <v>307</v>
          </cell>
          <cell r="HY19">
            <v>316</v>
          </cell>
          <cell r="IC19">
            <v>320</v>
          </cell>
          <cell r="IG19">
            <v>355</v>
          </cell>
          <cell r="IK19">
            <v>397</v>
          </cell>
          <cell r="IO19">
            <v>368</v>
          </cell>
          <cell r="IS19">
            <v>430</v>
          </cell>
          <cell r="IW19">
            <v>375</v>
          </cell>
        </row>
        <row r="20">
          <cell r="A20" t="str">
            <v/>
          </cell>
          <cell r="B20" t="str">
            <v>10/239312-2</v>
          </cell>
          <cell r="C20" t="str">
            <v>Nioaque (165)</v>
          </cell>
          <cell r="D20" t="str">
            <v>2024-01-01</v>
          </cell>
          <cell r="F20" t="str">
            <v>energisa_ms</v>
          </cell>
          <cell r="G20" t="str">
            <v>Nioaque (165)</v>
          </cell>
          <cell r="H20" t="str">
            <v>Igreja do Evangelho Quadrangular</v>
          </cell>
          <cell r="I20">
            <v>45778</v>
          </cell>
          <cell r="J20" t="str">
            <v>COMERCIAL - TEMPLOS RELIGIOSOS</v>
          </cell>
          <cell r="K20" t="str">
            <v>79220000</v>
          </cell>
          <cell r="L20" t="str">
            <v>MS</v>
          </cell>
          <cell r="M20" t="str">
            <v>NIOAQUE</v>
          </cell>
          <cell r="N20" t="str">
            <v>CENTRO</v>
          </cell>
          <cell r="O20" t="str">
            <v>RUA TREZE DE MAIO, 692 - 09.062.01.072000</v>
          </cell>
          <cell r="P20">
            <v>45790</v>
          </cell>
          <cell r="Q20" t="str">
            <v>B - B3</v>
          </cell>
          <cell r="R20" t="str">
            <v>62955505016594</v>
          </cell>
          <cell r="U20">
            <v>45757</v>
          </cell>
          <cell r="V20">
            <v>45789</v>
          </cell>
          <cell r="W20">
            <v>45818</v>
          </cell>
          <cell r="X20">
            <v>45820</v>
          </cell>
          <cell r="Y20" t="str">
            <v/>
          </cell>
          <cell r="AA20" t="str">
            <v>010.316.734-002</v>
          </cell>
          <cell r="AB20" t="str">
            <v>bifasico</v>
          </cell>
          <cell r="AC20" t="str">
            <v>convencional</v>
          </cell>
          <cell r="AD20">
            <v>173.45</v>
          </cell>
          <cell r="AE20" t="str">
            <v>34191.09107 90099.202930 85972.140009 4 11100000017345</v>
          </cell>
          <cell r="AF20" t="str">
            <v>IGREJA DO EVANGELHO QUADRANGULAR</v>
          </cell>
          <cell r="AL20">
            <v>285</v>
          </cell>
          <cell r="AM20">
            <v>1.1307279591383521</v>
          </cell>
          <cell r="AN20">
            <v>322.25746835443033</v>
          </cell>
          <cell r="AO20">
            <v>1.1216140350877193</v>
          </cell>
          <cell r="AX20">
            <v>206</v>
          </cell>
          <cell r="AY20">
            <v>0.97382266191471056</v>
          </cell>
          <cell r="AZ20">
            <v>-200.60746835443038</v>
          </cell>
          <cell r="BA20">
            <v>1.1216019417475729</v>
          </cell>
          <cell r="DR20">
            <v>206</v>
          </cell>
          <cell r="DS20">
            <v>1.1307158657982057</v>
          </cell>
          <cell r="DT20">
            <v>-232.92746835443037</v>
          </cell>
          <cell r="DU20">
            <v>1.1216019417475729</v>
          </cell>
          <cell r="ET20">
            <v>206</v>
          </cell>
          <cell r="EX20">
            <v>0</v>
          </cell>
          <cell r="EZ20">
            <v>0.72</v>
          </cell>
          <cell r="FA20">
            <v>51.8</v>
          </cell>
          <cell r="FL20">
            <v>32.32</v>
          </cell>
          <cell r="FM20">
            <v>74.150000000000006</v>
          </cell>
          <cell r="FN20">
            <v>4.6643999999999998E-2</v>
          </cell>
          <cell r="FO20">
            <v>3.46</v>
          </cell>
          <cell r="FP20">
            <v>74.150000000000006</v>
          </cell>
          <cell r="FQ20">
            <v>1.0126999999999999E-2</v>
          </cell>
          <cell r="FR20">
            <v>0.76</v>
          </cell>
          <cell r="FS20">
            <v>89.33</v>
          </cell>
          <cell r="FT20">
            <v>0.17</v>
          </cell>
          <cell r="FU20">
            <v>15.18</v>
          </cell>
          <cell r="GD20">
            <v>285</v>
          </cell>
          <cell r="GE20">
            <v>28686</v>
          </cell>
          <cell r="GF20">
            <v>28401</v>
          </cell>
          <cell r="GG20">
            <v>1</v>
          </cell>
          <cell r="HM20">
            <v>272</v>
          </cell>
          <cell r="HQ20">
            <v>320</v>
          </cell>
          <cell r="HU20">
            <v>305</v>
          </cell>
          <cell r="HY20">
            <v>290</v>
          </cell>
          <cell r="IC20">
            <v>370</v>
          </cell>
          <cell r="IG20">
            <v>272</v>
          </cell>
          <cell r="IK20">
            <v>313</v>
          </cell>
          <cell r="IO20">
            <v>197</v>
          </cell>
          <cell r="IS20">
            <v>224</v>
          </cell>
          <cell r="IW20">
            <v>211</v>
          </cell>
        </row>
        <row r="21">
          <cell r="A21" t="str">
            <v/>
          </cell>
          <cell r="B21" t="str">
            <v>10/61344-8</v>
          </cell>
          <cell r="C21" t="str">
            <v>154</v>
          </cell>
          <cell r="D21" t="str">
            <v>2024-01-01</v>
          </cell>
          <cell r="F21" t="str">
            <v>energisa_ms</v>
          </cell>
          <cell r="G21" t="str">
            <v>154</v>
          </cell>
          <cell r="H21" t="str">
            <v>Igreja do Evangelho Quadrangular</v>
          </cell>
          <cell r="I21">
            <v>45778</v>
          </cell>
          <cell r="J21" t="str">
            <v>RESIDENCIAL - RESIDENCIAL</v>
          </cell>
          <cell r="K21" t="str">
            <v>79802031</v>
          </cell>
          <cell r="L21" t="str">
            <v>MS</v>
          </cell>
          <cell r="M21" t="str">
            <v>DOURADOS</v>
          </cell>
          <cell r="N21" t="str">
            <v>CENTRO</v>
          </cell>
          <cell r="O21" t="str">
            <v>RUA CUIABA, 3395 - 12.010.03.220000</v>
          </cell>
          <cell r="P21">
            <v>45800</v>
          </cell>
          <cell r="Q21" t="str">
            <v>B - B1</v>
          </cell>
          <cell r="R21" t="str">
            <v>62955505015431</v>
          </cell>
          <cell r="U21">
            <v>45769</v>
          </cell>
          <cell r="V21">
            <v>45799</v>
          </cell>
          <cell r="W21">
            <v>45831</v>
          </cell>
          <cell r="X21">
            <v>45824</v>
          </cell>
          <cell r="Y21" t="str">
            <v/>
          </cell>
          <cell r="AA21" t="str">
            <v>010.469.374-002</v>
          </cell>
          <cell r="AB21" t="str">
            <v>bifasico</v>
          </cell>
          <cell r="AC21" t="str">
            <v>convencional</v>
          </cell>
          <cell r="AD21">
            <v>274.83999999999997</v>
          </cell>
          <cell r="AE21" t="str">
            <v>34191.09115 13059.852932 85972.140009 5 11140000027484</v>
          </cell>
          <cell r="AF21" t="str">
            <v>IGREJA DO EVANGELHO QUADRANGULAR</v>
          </cell>
          <cell r="AL21">
            <v>509</v>
          </cell>
          <cell r="AM21">
            <v>1.1393101170088844</v>
          </cell>
          <cell r="AN21">
            <v>579.90884955752222</v>
          </cell>
          <cell r="AO21">
            <v>1.1216110019646366</v>
          </cell>
          <cell r="AX21">
            <v>396</v>
          </cell>
          <cell r="AY21">
            <v>0.98242133726647018</v>
          </cell>
          <cell r="AZ21">
            <v>-389.03884955752221</v>
          </cell>
          <cell r="BA21">
            <v>1.1216161616161617</v>
          </cell>
          <cell r="DZ21">
            <v>396</v>
          </cell>
          <cell r="EA21">
            <v>1.1393152766604095</v>
          </cell>
          <cell r="EB21">
            <v>-451.16884955752221</v>
          </cell>
          <cell r="EC21">
            <v>1.1216161616161617</v>
          </cell>
          <cell r="ET21">
            <v>396</v>
          </cell>
          <cell r="EX21">
            <v>0</v>
          </cell>
          <cell r="EZ21">
            <v>2</v>
          </cell>
          <cell r="FA21">
            <v>73.150000000000006</v>
          </cell>
          <cell r="FC21">
            <v>10.82</v>
          </cell>
          <cell r="FL21">
            <v>62.13</v>
          </cell>
          <cell r="FM21">
            <v>106.88</v>
          </cell>
          <cell r="FN21">
            <v>4.6643999999999998E-2</v>
          </cell>
          <cell r="FO21">
            <v>4.99</v>
          </cell>
          <cell r="FP21">
            <v>106.88</v>
          </cell>
          <cell r="FQ21">
            <v>1.0126999999999999E-2</v>
          </cell>
          <cell r="FR21">
            <v>1.08</v>
          </cell>
          <cell r="FS21">
            <v>128.74</v>
          </cell>
          <cell r="FT21">
            <v>0.17</v>
          </cell>
          <cell r="FU21">
            <v>21.88</v>
          </cell>
          <cell r="GD21">
            <v>509</v>
          </cell>
          <cell r="GE21">
            <v>29939</v>
          </cell>
          <cell r="GF21">
            <v>29430</v>
          </cell>
          <cell r="GG21">
            <v>1</v>
          </cell>
          <cell r="HM21">
            <v>716</v>
          </cell>
          <cell r="HQ21">
            <v>850</v>
          </cell>
          <cell r="HU21">
            <v>1004</v>
          </cell>
          <cell r="HY21">
            <v>1172</v>
          </cell>
          <cell r="IC21">
            <v>960</v>
          </cell>
          <cell r="IG21">
            <v>959</v>
          </cell>
          <cell r="IK21">
            <v>887</v>
          </cell>
          <cell r="IO21">
            <v>587</v>
          </cell>
          <cell r="IS21">
            <v>525</v>
          </cell>
          <cell r="IW21">
            <v>479</v>
          </cell>
        </row>
        <row r="22">
          <cell r="A22" t="str">
            <v/>
          </cell>
          <cell r="B22" t="str">
            <v>10/1674177-9</v>
          </cell>
          <cell r="C22" t="str">
            <v>3ª IEQ de Anastácio 59611</v>
          </cell>
          <cell r="D22" t="str">
            <v>2024-01-01</v>
          </cell>
          <cell r="F22" t="str">
            <v>energisa_ms</v>
          </cell>
          <cell r="G22" t="str">
            <v>3ª IEQ de Anastácio 59611</v>
          </cell>
          <cell r="H22" t="str">
            <v>Igreja do Evangelho Quadrangular</v>
          </cell>
          <cell r="I22">
            <v>45778</v>
          </cell>
          <cell r="J22" t="str">
            <v>COMERCIAL - COMERCIAL</v>
          </cell>
          <cell r="K22" t="str">
            <v>79210000</v>
          </cell>
          <cell r="L22" t="str">
            <v>MS</v>
          </cell>
          <cell r="M22" t="str">
            <v>ANASTACIO</v>
          </cell>
          <cell r="N22" t="str">
            <v>CENTRO</v>
          </cell>
          <cell r="O22" t="str">
            <v>RUA JOAO LEITE RIBEIRO, 1636 - LT 18 QUADRA 04</v>
          </cell>
          <cell r="P22">
            <v>45789</v>
          </cell>
          <cell r="Q22" t="str">
            <v>B - B3</v>
          </cell>
          <cell r="R22" t="str">
            <v>62955505016160</v>
          </cell>
          <cell r="U22">
            <v>45756</v>
          </cell>
          <cell r="V22">
            <v>45786</v>
          </cell>
          <cell r="W22">
            <v>45817</v>
          </cell>
          <cell r="X22">
            <v>45798</v>
          </cell>
          <cell r="Y22" t="str">
            <v/>
          </cell>
          <cell r="AA22" t="str">
            <v>010.294.844-002</v>
          </cell>
          <cell r="AB22" t="str">
            <v>trifasico</v>
          </cell>
          <cell r="AC22" t="str">
            <v>convencional</v>
          </cell>
          <cell r="AD22">
            <v>311.45999999999998</v>
          </cell>
          <cell r="AE22" t="str">
            <v>34191.09107 87043.072930 85972.140009 1 10880000031146</v>
          </cell>
          <cell r="AF22" t="str">
            <v>IGREJA DO EVANGELICO QUADRANGULAR</v>
          </cell>
          <cell r="AL22">
            <v>377</v>
          </cell>
          <cell r="AM22">
            <v>1.1288110195914189</v>
          </cell>
          <cell r="AN22">
            <v>425.56175438596495</v>
          </cell>
          <cell r="AO22">
            <v>1.1216180371352786</v>
          </cell>
          <cell r="AX22">
            <v>206</v>
          </cell>
          <cell r="AY22">
            <v>0.97190172032021804</v>
          </cell>
          <cell r="AZ22">
            <v>-200.21175438596492</v>
          </cell>
          <cell r="BA22">
            <v>1.1216019417475729</v>
          </cell>
          <cell r="DR22">
            <v>206</v>
          </cell>
          <cell r="DS22">
            <v>1.1287949242037132</v>
          </cell>
          <cell r="DT22">
            <v>-232.53175438596492</v>
          </cell>
          <cell r="DU22">
            <v>1.1216019417475729</v>
          </cell>
          <cell r="ET22">
            <v>206</v>
          </cell>
          <cell r="EX22">
            <v>0</v>
          </cell>
          <cell r="EZ22">
            <v>1.23</v>
          </cell>
          <cell r="FA22">
            <v>53.22</v>
          </cell>
          <cell r="FC22">
            <v>32.89</v>
          </cell>
          <cell r="FL22">
            <v>32.32</v>
          </cell>
          <cell r="FM22">
            <v>160.22999999999999</v>
          </cell>
          <cell r="FN22">
            <v>4.6643999999999998E-2</v>
          </cell>
          <cell r="FO22">
            <v>7.47</v>
          </cell>
          <cell r="FP22">
            <v>160.22999999999999</v>
          </cell>
          <cell r="FQ22">
            <v>1.0126999999999999E-2</v>
          </cell>
          <cell r="FR22">
            <v>1.62</v>
          </cell>
          <cell r="FS22">
            <v>193.03</v>
          </cell>
          <cell r="FT22">
            <v>0.17</v>
          </cell>
          <cell r="FU22">
            <v>32.81</v>
          </cell>
          <cell r="GD22">
            <v>377</v>
          </cell>
          <cell r="GE22">
            <v>27724</v>
          </cell>
          <cell r="GF22">
            <v>27347</v>
          </cell>
          <cell r="GG22">
            <v>1</v>
          </cell>
          <cell r="HM22">
            <v>540</v>
          </cell>
          <cell r="HQ22">
            <v>754</v>
          </cell>
          <cell r="HU22">
            <v>507</v>
          </cell>
          <cell r="HY22">
            <v>484</v>
          </cell>
          <cell r="IC22">
            <v>564</v>
          </cell>
          <cell r="IG22">
            <v>410</v>
          </cell>
          <cell r="IK22">
            <v>446</v>
          </cell>
          <cell r="IO22">
            <v>302</v>
          </cell>
          <cell r="IS22">
            <v>195</v>
          </cell>
          <cell r="IW22">
            <v>192</v>
          </cell>
        </row>
        <row r="23">
          <cell r="A23" t="str">
            <v/>
          </cell>
          <cell r="B23" t="str">
            <v>10/399338-3</v>
          </cell>
          <cell r="C23" t="str">
            <v>Piratininga 2132</v>
          </cell>
          <cell r="D23" t="str">
            <v>2024-01-01</v>
          </cell>
          <cell r="F23" t="str">
            <v>energisa_ms</v>
          </cell>
          <cell r="G23" t="str">
            <v>Piratininga 2132</v>
          </cell>
          <cell r="H23" t="str">
            <v>Igreja do Evangelho Quadrangular</v>
          </cell>
          <cell r="I23">
            <v>45778</v>
          </cell>
          <cell r="J23" t="str">
            <v>COMERCIAL - TEMPLOS RELIGIOSOS</v>
          </cell>
          <cell r="K23" t="str">
            <v>79081160</v>
          </cell>
          <cell r="L23" t="str">
            <v>MS</v>
          </cell>
          <cell r="M23" t="str">
            <v>CAMPO GRANDE</v>
          </cell>
          <cell r="N23" t="str">
            <v>VILA PIRATININGA</v>
          </cell>
          <cell r="O23" t="str">
            <v>RUA GENERAL ALCOFORADO, 499 - 17.103.11.353000</v>
          </cell>
          <cell r="P23">
            <v>45792</v>
          </cell>
          <cell r="Q23" t="str">
            <v>B - B3</v>
          </cell>
          <cell r="R23" t="str">
            <v>62955505213233</v>
          </cell>
          <cell r="U23">
            <v>45759</v>
          </cell>
          <cell r="V23">
            <v>45791</v>
          </cell>
          <cell r="W23">
            <v>45820</v>
          </cell>
          <cell r="X23">
            <v>45800</v>
          </cell>
          <cell r="Y23" t="str">
            <v/>
          </cell>
          <cell r="AA23" t="str">
            <v>010.361.074-002</v>
          </cell>
          <cell r="AB23" t="str">
            <v>trifasico</v>
          </cell>
          <cell r="AC23" t="str">
            <v>convencional</v>
          </cell>
          <cell r="AD23">
            <v>96.45</v>
          </cell>
          <cell r="AF23" t="str">
            <v>IGREJA DO EVANGELHO QUADRANGULAR</v>
          </cell>
          <cell r="AL23">
            <v>422</v>
          </cell>
          <cell r="AM23">
            <v>1.1325791163430667</v>
          </cell>
          <cell r="AN23">
            <v>477.94838709677418</v>
          </cell>
          <cell r="AO23">
            <v>1.1216113744075829</v>
          </cell>
          <cell r="AX23">
            <v>391</v>
          </cell>
          <cell r="AY23">
            <v>0.97569919973599539</v>
          </cell>
          <cell r="AZ23">
            <v>-381.4983870967742</v>
          </cell>
          <cell r="BA23">
            <v>1.1216112531969309</v>
          </cell>
          <cell r="DR23">
            <v>74</v>
          </cell>
          <cell r="DS23">
            <v>1.1325893635571056</v>
          </cell>
          <cell r="DT23">
            <v>-83.811612903225807</v>
          </cell>
          <cell r="DU23">
            <v>1.1216216216216217</v>
          </cell>
          <cell r="DZ23">
            <v>317</v>
          </cell>
          <cell r="EA23">
            <v>1.132576574743055</v>
          </cell>
          <cell r="EB23">
            <v>-359.02677419354842</v>
          </cell>
          <cell r="EC23">
            <v>1.1216088328075711</v>
          </cell>
          <cell r="ET23">
            <v>391</v>
          </cell>
          <cell r="EX23">
            <v>339</v>
          </cell>
          <cell r="EZ23">
            <v>0.34</v>
          </cell>
          <cell r="FL23">
            <v>61.34</v>
          </cell>
          <cell r="FM23">
            <v>29.15</v>
          </cell>
          <cell r="FN23">
            <v>4.6643999999999998E-2</v>
          </cell>
          <cell r="FO23">
            <v>1.36</v>
          </cell>
          <cell r="FP23">
            <v>29.15</v>
          </cell>
          <cell r="FQ23">
            <v>1.0126999999999999E-2</v>
          </cell>
          <cell r="FR23">
            <v>0.28999999999999998</v>
          </cell>
          <cell r="FS23">
            <v>35.11</v>
          </cell>
          <cell r="FT23">
            <v>0.17</v>
          </cell>
          <cell r="FU23">
            <v>5.96</v>
          </cell>
          <cell r="GD23">
            <v>422</v>
          </cell>
          <cell r="GE23">
            <v>61332</v>
          </cell>
          <cell r="GF23">
            <v>60910</v>
          </cell>
          <cell r="GG23">
            <v>1</v>
          </cell>
          <cell r="HM23">
            <v>605</v>
          </cell>
          <cell r="HQ23">
            <v>757</v>
          </cell>
          <cell r="HU23">
            <v>639</v>
          </cell>
          <cell r="HY23">
            <v>572</v>
          </cell>
          <cell r="IC23">
            <v>895</v>
          </cell>
          <cell r="IG23">
            <v>648</v>
          </cell>
          <cell r="IK23">
            <v>735</v>
          </cell>
          <cell r="IO23">
            <v>501</v>
          </cell>
          <cell r="IS23">
            <v>465</v>
          </cell>
          <cell r="IW23">
            <v>336</v>
          </cell>
        </row>
        <row r="24">
          <cell r="A24" t="str">
            <v/>
          </cell>
          <cell r="B24" t="str">
            <v>10/252817-2</v>
          </cell>
          <cell r="C24" t="str">
            <v>Cong. Caracol</v>
          </cell>
          <cell r="D24" t="str">
            <v>2024-01-01</v>
          </cell>
          <cell r="F24" t="str">
            <v>energisa_ms</v>
          </cell>
          <cell r="G24" t="str">
            <v>Cong. Caracol</v>
          </cell>
          <cell r="H24" t="str">
            <v>Igreja do Evangelho Quadrangular</v>
          </cell>
          <cell r="I24">
            <v>45778</v>
          </cell>
          <cell r="J24" t="str">
            <v>RESIDENCIAL - RESIDENCIAL</v>
          </cell>
          <cell r="K24" t="str">
            <v>79270000</v>
          </cell>
          <cell r="L24" t="str">
            <v>MS</v>
          </cell>
          <cell r="M24" t="str">
            <v>CARACOL</v>
          </cell>
          <cell r="N24" t="str">
            <v>CENTRO</v>
          </cell>
          <cell r="O24" t="str">
            <v>RUA JOAO MARTINS LEITE, 200 - 04.071.07.270000</v>
          </cell>
          <cell r="P24">
            <v>45796</v>
          </cell>
          <cell r="Q24" t="str">
            <v>B - B1</v>
          </cell>
          <cell r="R24" t="str">
            <v>62955505274020</v>
          </cell>
          <cell r="U24">
            <v>45762</v>
          </cell>
          <cell r="V24">
            <v>45793</v>
          </cell>
          <cell r="W24">
            <v>45825</v>
          </cell>
          <cell r="X24">
            <v>45833</v>
          </cell>
          <cell r="Y24" t="str">
            <v/>
          </cell>
          <cell r="AA24" t="str">
            <v>010.406.968-002</v>
          </cell>
          <cell r="AB24" t="str">
            <v>trifasico</v>
          </cell>
          <cell r="AC24" t="str">
            <v>convencional</v>
          </cell>
          <cell r="AD24">
            <v>151.03</v>
          </cell>
          <cell r="AF24" t="str">
            <v>IGREJA DO EVANGELHO QUADRANGULAR</v>
          </cell>
          <cell r="AL24">
            <v>208</v>
          </cell>
          <cell r="AM24">
            <v>1.1337943306693306</v>
          </cell>
          <cell r="AN24">
            <v>235.82922077922075</v>
          </cell>
          <cell r="AO24">
            <v>1.1215865384615384</v>
          </cell>
          <cell r="AX24">
            <v>131</v>
          </cell>
          <cell r="AY24">
            <v>0.9768642807574105</v>
          </cell>
          <cell r="AZ24">
            <v>-127.96922077922078</v>
          </cell>
          <cell r="BA24">
            <v>1.1215267175572519</v>
          </cell>
          <cell r="DR24">
            <v>52</v>
          </cell>
          <cell r="DS24">
            <v>1.1337462537462537</v>
          </cell>
          <cell r="DT24">
            <v>-58.954805194805189</v>
          </cell>
          <cell r="DU24">
            <v>1.1215384615384616</v>
          </cell>
          <cell r="DZ24">
            <v>79</v>
          </cell>
          <cell r="EA24">
            <v>1.1337267795495642</v>
          </cell>
          <cell r="EB24">
            <v>-89.56441558441557</v>
          </cell>
          <cell r="EC24">
            <v>1.1215189873417721</v>
          </cell>
          <cell r="ET24">
            <v>131</v>
          </cell>
          <cell r="EX24">
            <v>51</v>
          </cell>
          <cell r="EZ24">
            <v>0.94</v>
          </cell>
          <cell r="FA24">
            <v>43.17</v>
          </cell>
          <cell r="FL24">
            <v>20.55</v>
          </cell>
          <cell r="FM24">
            <v>72.489999999999995</v>
          </cell>
          <cell r="FN24">
            <v>4.6643999999999998E-2</v>
          </cell>
          <cell r="FO24">
            <v>3.38</v>
          </cell>
          <cell r="FP24">
            <v>72.489999999999995</v>
          </cell>
          <cell r="FQ24">
            <v>1.0126999999999999E-2</v>
          </cell>
          <cell r="FR24">
            <v>0.74</v>
          </cell>
          <cell r="FS24">
            <v>87.31</v>
          </cell>
          <cell r="FT24">
            <v>0.17</v>
          </cell>
          <cell r="FU24">
            <v>14.84</v>
          </cell>
          <cell r="GD24">
            <v>208</v>
          </cell>
          <cell r="GE24">
            <v>25869</v>
          </cell>
          <cell r="GF24">
            <v>25661</v>
          </cell>
          <cell r="GG24">
            <v>1</v>
          </cell>
          <cell r="HM24">
            <v>231</v>
          </cell>
          <cell r="HQ24">
            <v>451</v>
          </cell>
          <cell r="HU24">
            <v>338</v>
          </cell>
          <cell r="HY24">
            <v>465</v>
          </cell>
          <cell r="IC24">
            <v>343</v>
          </cell>
          <cell r="IG24">
            <v>227</v>
          </cell>
          <cell r="IK24">
            <v>265</v>
          </cell>
          <cell r="IO24">
            <v>232</v>
          </cell>
          <cell r="IS24">
            <v>324</v>
          </cell>
          <cell r="IW24">
            <v>209</v>
          </cell>
        </row>
        <row r="25">
          <cell r="A25" t="str">
            <v/>
          </cell>
          <cell r="B25" t="str">
            <v>10/69319-2</v>
          </cell>
          <cell r="C25" t="str">
            <v>5661</v>
          </cell>
          <cell r="D25" t="str">
            <v>2024-01-01</v>
          </cell>
          <cell r="F25" t="str">
            <v>energisa_ms</v>
          </cell>
          <cell r="G25" t="str">
            <v>5661</v>
          </cell>
          <cell r="H25" t="str">
            <v>Igreja do Evangelho Quadrangular</v>
          </cell>
          <cell r="I25">
            <v>45778</v>
          </cell>
          <cell r="J25" t="str">
            <v>COMERCIAL - TEMPLOS RELIGIOSOS</v>
          </cell>
          <cell r="K25" t="str">
            <v>79822200</v>
          </cell>
          <cell r="L25" t="str">
            <v>MS</v>
          </cell>
          <cell r="M25" t="str">
            <v>DOURADOS</v>
          </cell>
          <cell r="N25" t="str">
            <v>PANAMBI VERA</v>
          </cell>
          <cell r="O25" t="str">
            <v>RUA ANTONIO ALVES ROCHA, 635 - 18.010.02.266000</v>
          </cell>
          <cell r="P25">
            <v>45794</v>
          </cell>
          <cell r="Q25" t="str">
            <v>B - B3</v>
          </cell>
          <cell r="R25" t="str">
            <v>62955505182257</v>
          </cell>
          <cell r="U25">
            <v>45761</v>
          </cell>
          <cell r="V25">
            <v>45792</v>
          </cell>
          <cell r="W25">
            <v>45824</v>
          </cell>
          <cell r="X25">
            <v>45804</v>
          </cell>
          <cell r="Y25" t="str">
            <v/>
          </cell>
          <cell r="AA25" t="str">
            <v>010.382.374-002</v>
          </cell>
          <cell r="AB25" t="str">
            <v>trifasico</v>
          </cell>
          <cell r="AC25" t="str">
            <v>convencional</v>
          </cell>
          <cell r="AD25">
            <v>158.46</v>
          </cell>
          <cell r="AF25" t="str">
            <v>IGREJA DO EVANGELHO QUADRANGULAR</v>
          </cell>
          <cell r="AL25">
            <v>237</v>
          </cell>
          <cell r="AM25">
            <v>1.1331526713020741</v>
          </cell>
          <cell r="AN25">
            <v>268.55718309859157</v>
          </cell>
          <cell r="AO25">
            <v>1.1216033755274262</v>
          </cell>
          <cell r="AX25">
            <v>166</v>
          </cell>
          <cell r="AY25">
            <v>0.97624809095537091</v>
          </cell>
          <cell r="AZ25">
            <v>-162.05718309859157</v>
          </cell>
          <cell r="BA25">
            <v>1.1215662650602409</v>
          </cell>
          <cell r="DR25">
            <v>8</v>
          </cell>
          <cell r="DS25">
            <v>1.132799295774648</v>
          </cell>
          <cell r="DT25">
            <v>-9.062394366197184</v>
          </cell>
          <cell r="DU25">
            <v>1.1212500000000001</v>
          </cell>
          <cell r="DZ25">
            <v>158</v>
          </cell>
          <cell r="EA25">
            <v>1.1331315742556607</v>
          </cell>
          <cell r="EB25">
            <v>-179.03478873239439</v>
          </cell>
          <cell r="EC25">
            <v>1.1215822784810128</v>
          </cell>
          <cell r="ET25">
            <v>166</v>
          </cell>
          <cell r="EX25">
            <v>198</v>
          </cell>
          <cell r="EZ25">
            <v>0.82</v>
          </cell>
          <cell r="FA25">
            <v>49.34</v>
          </cell>
          <cell r="FC25">
            <v>2.62</v>
          </cell>
          <cell r="FL25">
            <v>26.04</v>
          </cell>
          <cell r="FM25">
            <v>66.8</v>
          </cell>
          <cell r="FN25">
            <v>4.6643999999999998E-2</v>
          </cell>
          <cell r="FO25">
            <v>3.12</v>
          </cell>
          <cell r="FP25">
            <v>66.8</v>
          </cell>
          <cell r="FQ25">
            <v>1.0126999999999999E-2</v>
          </cell>
          <cell r="FR25">
            <v>0.68</v>
          </cell>
          <cell r="FS25">
            <v>80.459999999999994</v>
          </cell>
          <cell r="FT25">
            <v>0.17</v>
          </cell>
          <cell r="FU25">
            <v>13.67</v>
          </cell>
          <cell r="GD25">
            <v>237</v>
          </cell>
          <cell r="GE25">
            <v>45483</v>
          </cell>
          <cell r="GF25">
            <v>45246</v>
          </cell>
          <cell r="GG25">
            <v>1</v>
          </cell>
          <cell r="HM25">
            <v>302</v>
          </cell>
          <cell r="HQ25">
            <v>477</v>
          </cell>
          <cell r="HU25">
            <v>392</v>
          </cell>
          <cell r="HY25">
            <v>360</v>
          </cell>
          <cell r="IC25">
            <v>461</v>
          </cell>
          <cell r="IG25">
            <v>302</v>
          </cell>
          <cell r="IK25">
            <v>251</v>
          </cell>
          <cell r="IO25">
            <v>213</v>
          </cell>
          <cell r="IS25">
            <v>211</v>
          </cell>
          <cell r="IW25">
            <v>142</v>
          </cell>
        </row>
        <row r="26">
          <cell r="A26" t="str">
            <v/>
          </cell>
          <cell r="B26" t="str">
            <v>10/280638-8</v>
          </cell>
          <cell r="C26" t="str">
            <v>Chapadão do Sul 8432-53</v>
          </cell>
          <cell r="D26" t="str">
            <v>2024-01-01</v>
          </cell>
          <cell r="F26" t="str">
            <v>energisa_ms</v>
          </cell>
          <cell r="G26" t="str">
            <v>Chapadão do Sul 8432-53</v>
          </cell>
          <cell r="H26" t="str">
            <v>Igreja do Evangelho Quadrangular</v>
          </cell>
          <cell r="I26">
            <v>45778</v>
          </cell>
          <cell r="J26" t="str">
            <v>COMERCIAL - TEMPLOS RELIGIOSOS</v>
          </cell>
          <cell r="K26" t="str">
            <v>79560000</v>
          </cell>
          <cell r="L26" t="str">
            <v>MS</v>
          </cell>
          <cell r="M26" t="str">
            <v>CHAPADAO DO SUL</v>
          </cell>
          <cell r="N26" t="str">
            <v>CENTRO</v>
          </cell>
          <cell r="O26" t="str">
            <v>RUA CARACOL, 1292 - 13.088.03.243000</v>
          </cell>
          <cell r="P26">
            <v>45798</v>
          </cell>
          <cell r="Q26" t="str">
            <v>B - B3</v>
          </cell>
          <cell r="R26" t="str">
            <v>62955505843253</v>
          </cell>
          <cell r="U26">
            <v>45764</v>
          </cell>
          <cell r="V26">
            <v>45797</v>
          </cell>
          <cell r="W26">
            <v>45828</v>
          </cell>
          <cell r="X26">
            <v>45818</v>
          </cell>
          <cell r="Y26" t="str">
            <v/>
          </cell>
          <cell r="AA26" t="str">
            <v>010.449.729-002</v>
          </cell>
          <cell r="AB26" t="str">
            <v>trifasico</v>
          </cell>
          <cell r="AC26" t="str">
            <v>convencional</v>
          </cell>
          <cell r="AD26">
            <v>256.89999999999998</v>
          </cell>
          <cell r="AE26" t="str">
            <v>34191.09115 09903.732932 85972.140009 8 11080000025690</v>
          </cell>
          <cell r="AF26" t="str">
            <v>IGREJA DO EVANGELHO QUADRANGULAR</v>
          </cell>
          <cell r="AL26">
            <v>308</v>
          </cell>
          <cell r="AM26">
            <v>1.1362233766233765</v>
          </cell>
          <cell r="AN26">
            <v>349.95679999999993</v>
          </cell>
          <cell r="AO26">
            <v>1.1216233766233765</v>
          </cell>
          <cell r="AX26">
            <v>158</v>
          </cell>
          <cell r="AY26">
            <v>0.9792835443037976</v>
          </cell>
          <cell r="AZ26">
            <v>-154.72680000000003</v>
          </cell>
          <cell r="BA26">
            <v>1.1215822784810128</v>
          </cell>
          <cell r="DZ26">
            <v>158</v>
          </cell>
          <cell r="EA26">
            <v>1.1361822784810127</v>
          </cell>
          <cell r="EB26">
            <v>-179.51680000000002</v>
          </cell>
          <cell r="EC26">
            <v>1.1215822784810128</v>
          </cell>
          <cell r="ET26">
            <v>158</v>
          </cell>
          <cell r="EX26">
            <v>0</v>
          </cell>
          <cell r="EZ26">
            <v>2.19</v>
          </cell>
          <cell r="FA26">
            <v>61.67</v>
          </cell>
          <cell r="FL26">
            <v>24.79</v>
          </cell>
          <cell r="FM26">
            <v>141.47999999999999</v>
          </cell>
          <cell r="FN26">
            <v>4.6643999999999998E-2</v>
          </cell>
          <cell r="FO26">
            <v>6.59</v>
          </cell>
          <cell r="FP26">
            <v>141.47999999999999</v>
          </cell>
          <cell r="FQ26">
            <v>1.0126999999999999E-2</v>
          </cell>
          <cell r="FR26">
            <v>1.43</v>
          </cell>
          <cell r="FS26">
            <v>170.44</v>
          </cell>
          <cell r="FT26">
            <v>0.17</v>
          </cell>
          <cell r="FU26">
            <v>28.97</v>
          </cell>
          <cell r="GD26">
            <v>308</v>
          </cell>
          <cell r="GE26">
            <v>46516</v>
          </cell>
          <cell r="GF26">
            <v>46208</v>
          </cell>
          <cell r="GG26">
            <v>1</v>
          </cell>
          <cell r="HM26">
            <v>302</v>
          </cell>
          <cell r="HQ26">
            <v>337</v>
          </cell>
          <cell r="HU26">
            <v>125</v>
          </cell>
          <cell r="HY26">
            <v>363</v>
          </cell>
          <cell r="IC26">
            <v>305</v>
          </cell>
          <cell r="IG26">
            <v>260</v>
          </cell>
          <cell r="IK26">
            <v>372</v>
          </cell>
          <cell r="IO26">
            <v>227</v>
          </cell>
          <cell r="IS26">
            <v>211</v>
          </cell>
          <cell r="IW26">
            <v>157</v>
          </cell>
        </row>
        <row r="27">
          <cell r="A27" t="str">
            <v/>
          </cell>
          <cell r="B27" t="str">
            <v>10/504844-2</v>
          </cell>
          <cell r="C27" t="str">
            <v>3544</v>
          </cell>
          <cell r="D27" t="str">
            <v>2024-01-01</v>
          </cell>
          <cell r="F27" t="str">
            <v>energisa_ms</v>
          </cell>
          <cell r="G27" t="str">
            <v>3544</v>
          </cell>
          <cell r="H27" t="str">
            <v>Igreja do Evangelho Quadrangular</v>
          </cell>
          <cell r="I27">
            <v>45778</v>
          </cell>
          <cell r="J27" t="str">
            <v>COMERCIAL - TEMPLOS RELIGIOSOS</v>
          </cell>
          <cell r="K27" t="str">
            <v>79390000</v>
          </cell>
          <cell r="L27" t="str">
            <v>MS</v>
          </cell>
          <cell r="M27" t="str">
            <v>BODOQUENA</v>
          </cell>
          <cell r="N27" t="str">
            <v>CENTRO</v>
          </cell>
          <cell r="O27" t="str">
            <v>AVENIDA DO AEROPORTO, S/N - 13.076.07.034001</v>
          </cell>
          <cell r="P27">
            <v>45792</v>
          </cell>
          <cell r="Q27" t="str">
            <v>B - B3</v>
          </cell>
          <cell r="R27" t="str">
            <v>62955505354481</v>
          </cell>
          <cell r="U27">
            <v>45759</v>
          </cell>
          <cell r="V27">
            <v>45791</v>
          </cell>
          <cell r="W27">
            <v>45820</v>
          </cell>
          <cell r="X27">
            <v>45818</v>
          </cell>
          <cell r="Y27" t="str">
            <v/>
          </cell>
          <cell r="AA27" t="str">
            <v>010.361.587-002</v>
          </cell>
          <cell r="AB27" t="str">
            <v>trifasico</v>
          </cell>
          <cell r="AC27" t="str">
            <v>convencional</v>
          </cell>
          <cell r="AD27">
            <v>241.74</v>
          </cell>
          <cell r="AF27" t="str">
            <v>IGREJA DO EVANGELHO QUADRANGULAR</v>
          </cell>
          <cell r="AL27">
            <v>470</v>
          </cell>
          <cell r="AM27">
            <v>1.1323717382577279</v>
          </cell>
          <cell r="AN27">
            <v>532.21471698113214</v>
          </cell>
          <cell r="AO27">
            <v>1.1216170212765957</v>
          </cell>
          <cell r="AX27">
            <v>364</v>
          </cell>
          <cell r="AY27">
            <v>0.97545251917893439</v>
          </cell>
          <cell r="AZ27">
            <v>-355.06471698113211</v>
          </cell>
          <cell r="BA27">
            <v>1.1215934065934066</v>
          </cell>
          <cell r="DR27">
            <v>206</v>
          </cell>
          <cell r="DS27">
            <v>1.1323566587287051</v>
          </cell>
          <cell r="DT27">
            <v>-233.26547169811323</v>
          </cell>
          <cell r="DU27">
            <v>1.1216019417475729</v>
          </cell>
          <cell r="DZ27">
            <v>158</v>
          </cell>
          <cell r="EA27">
            <v>1.1323369954621449</v>
          </cell>
          <cell r="EB27">
            <v>-178.90924528301889</v>
          </cell>
          <cell r="EC27">
            <v>1.1215822784810128</v>
          </cell>
          <cell r="ET27">
            <v>364</v>
          </cell>
          <cell r="EX27">
            <v>0</v>
          </cell>
          <cell r="EZ27">
            <v>1.1399999999999999</v>
          </cell>
          <cell r="FA27">
            <v>43.17</v>
          </cell>
          <cell r="FC27">
            <v>21.42</v>
          </cell>
          <cell r="FL27">
            <v>57.11</v>
          </cell>
          <cell r="FM27">
            <v>99.65</v>
          </cell>
          <cell r="FN27">
            <v>4.6643999999999998E-2</v>
          </cell>
          <cell r="FO27">
            <v>4.66</v>
          </cell>
          <cell r="FP27">
            <v>99.65</v>
          </cell>
          <cell r="FQ27">
            <v>1.0126999999999999E-2</v>
          </cell>
          <cell r="FR27">
            <v>1.01</v>
          </cell>
          <cell r="FS27">
            <v>120.04</v>
          </cell>
          <cell r="FT27">
            <v>0.17</v>
          </cell>
          <cell r="FU27">
            <v>20.399999999999999</v>
          </cell>
          <cell r="GD27">
            <v>470</v>
          </cell>
          <cell r="GE27">
            <v>39032</v>
          </cell>
          <cell r="GF27">
            <v>38562</v>
          </cell>
          <cell r="GG27">
            <v>1</v>
          </cell>
          <cell r="HM27">
            <v>621</v>
          </cell>
          <cell r="HQ27">
            <v>567</v>
          </cell>
          <cell r="HU27">
            <v>544</v>
          </cell>
          <cell r="HY27">
            <v>514</v>
          </cell>
          <cell r="IC27">
            <v>529</v>
          </cell>
          <cell r="IG27">
            <v>399</v>
          </cell>
          <cell r="IK27">
            <v>533</v>
          </cell>
          <cell r="IO27">
            <v>323</v>
          </cell>
          <cell r="IS27">
            <v>264</v>
          </cell>
          <cell r="IW27">
            <v>200</v>
          </cell>
        </row>
        <row r="28">
          <cell r="A28" t="str">
            <v/>
          </cell>
          <cell r="B28" t="str">
            <v>10/1288241-1</v>
          </cell>
          <cell r="C28" t="str">
            <v>Planalto 3358</v>
          </cell>
          <cell r="D28" t="str">
            <v>2024-01-01</v>
          </cell>
          <cell r="F28" t="str">
            <v>energisa_ms</v>
          </cell>
          <cell r="G28" t="str">
            <v>Planalto 3358</v>
          </cell>
          <cell r="H28" t="str">
            <v>Igreja do Evangelho Quadrangular</v>
          </cell>
          <cell r="I28">
            <v>45778</v>
          </cell>
          <cell r="J28" t="str">
            <v>COMERCIAL - TEMPLOS RELIGIOSOS</v>
          </cell>
          <cell r="K28" t="str">
            <v>79009790</v>
          </cell>
          <cell r="L28" t="str">
            <v>MS</v>
          </cell>
          <cell r="M28" t="str">
            <v>CAMPO GRANDE</v>
          </cell>
          <cell r="N28" t="str">
            <v>VILA PLANALTO</v>
          </cell>
          <cell r="O28" t="str">
            <v>AVENIDA TAMANDARE, 1036 - 02.104.21.198001</v>
          </cell>
          <cell r="P28">
            <v>45783</v>
          </cell>
          <cell r="Q28" t="str">
            <v>B - B3</v>
          </cell>
          <cell r="R28" t="str">
            <v>62955505335851</v>
          </cell>
          <cell r="U28">
            <v>45749</v>
          </cell>
          <cell r="V28">
            <v>45782</v>
          </cell>
          <cell r="W28">
            <v>45811</v>
          </cell>
          <cell r="X28">
            <v>45803</v>
          </cell>
          <cell r="Y28" t="str">
            <v/>
          </cell>
          <cell r="AA28" t="str">
            <v>010.195.608-002</v>
          </cell>
          <cell r="AB28" t="str">
            <v>trifasico</v>
          </cell>
          <cell r="AC28" t="str">
            <v>convencional</v>
          </cell>
          <cell r="AD28">
            <v>181.09</v>
          </cell>
          <cell r="AF28" t="str">
            <v>IGREJA DO EVANGELHO QUADRANGULAR</v>
          </cell>
          <cell r="AL28">
            <v>250</v>
          </cell>
          <cell r="AM28">
            <v>1.1236054421768709</v>
          </cell>
          <cell r="AN28">
            <v>280.90136054421771</v>
          </cell>
          <cell r="AO28">
            <v>1.1200000000000001</v>
          </cell>
          <cell r="AX28">
            <v>103</v>
          </cell>
          <cell r="AY28">
            <v>0.96904233538075413</v>
          </cell>
          <cell r="AZ28">
            <v>-99.811360544217678</v>
          </cell>
          <cell r="BA28">
            <v>1.1199999999999999</v>
          </cell>
          <cell r="DR28">
            <v>103</v>
          </cell>
          <cell r="DS28">
            <v>1.1236054421768706</v>
          </cell>
          <cell r="DT28">
            <v>-115.73136054421768</v>
          </cell>
          <cell r="DU28">
            <v>1.1199999999999999</v>
          </cell>
          <cell r="ET28">
            <v>103</v>
          </cell>
          <cell r="EX28">
            <v>0</v>
          </cell>
          <cell r="EZ28">
            <v>0.53</v>
          </cell>
          <cell r="FL28">
            <v>15.92</v>
          </cell>
          <cell r="FM28">
            <v>137.09</v>
          </cell>
          <cell r="FN28">
            <v>4.6643999999999998E-2</v>
          </cell>
          <cell r="FO28">
            <v>6.4</v>
          </cell>
          <cell r="FP28">
            <v>137.09</v>
          </cell>
          <cell r="FQ28">
            <v>1.0126999999999999E-2</v>
          </cell>
          <cell r="FR28">
            <v>1.39</v>
          </cell>
          <cell r="FS28">
            <v>165.17</v>
          </cell>
          <cell r="FT28">
            <v>0.17</v>
          </cell>
          <cell r="FU28">
            <v>28.07</v>
          </cell>
          <cell r="GD28">
            <v>250</v>
          </cell>
          <cell r="GE28">
            <v>23173</v>
          </cell>
          <cell r="GF28">
            <v>22923</v>
          </cell>
          <cell r="GG28">
            <v>1</v>
          </cell>
          <cell r="HM28">
            <v>252</v>
          </cell>
          <cell r="HQ28">
            <v>248</v>
          </cell>
          <cell r="HU28">
            <v>253</v>
          </cell>
          <cell r="HY28">
            <v>205</v>
          </cell>
          <cell r="IC28">
            <v>226</v>
          </cell>
          <cell r="IG28">
            <v>257</v>
          </cell>
          <cell r="IK28">
            <v>219</v>
          </cell>
          <cell r="IO28">
            <v>187</v>
          </cell>
          <cell r="IS28">
            <v>159</v>
          </cell>
          <cell r="IW28">
            <v>162</v>
          </cell>
        </row>
        <row r="29">
          <cell r="A29" t="str">
            <v/>
          </cell>
          <cell r="B29" t="str">
            <v>10/341308-5</v>
          </cell>
          <cell r="C29" t="str">
            <v>Albuquerque 2391</v>
          </cell>
          <cell r="D29" t="str">
            <v>2024-01-01</v>
          </cell>
          <cell r="F29" t="str">
            <v>energisa_ms</v>
          </cell>
          <cell r="G29" t="str">
            <v>Albuquerque 2391</v>
          </cell>
          <cell r="H29" t="str">
            <v>Igreja do Evangelho Quadrangular</v>
          </cell>
          <cell r="I29">
            <v>45778</v>
          </cell>
          <cell r="J29" t="str">
            <v>COMERCIAL - TEMPLOS RELIGIOSOS</v>
          </cell>
          <cell r="K29" t="str">
            <v>79060170</v>
          </cell>
          <cell r="L29" t="str">
            <v>MS</v>
          </cell>
          <cell r="M29" t="str">
            <v>CAMPO GRANDE</v>
          </cell>
          <cell r="N29" t="str">
            <v>VILA ALBUQUERQUE</v>
          </cell>
          <cell r="O29" t="str">
            <v>RUA MAGNUS FONTAINE, 121 - 09.102.08.220000</v>
          </cell>
          <cell r="P29">
            <v>45791</v>
          </cell>
          <cell r="Q29" t="str">
            <v>B - B3</v>
          </cell>
          <cell r="R29" t="str">
            <v>6X.XXX.XXX/XXX1-19</v>
          </cell>
          <cell r="U29">
            <v>45758</v>
          </cell>
          <cell r="V29">
            <v>45790</v>
          </cell>
          <cell r="W29">
            <v>45819</v>
          </cell>
          <cell r="X29">
            <v>45823</v>
          </cell>
          <cell r="Y29" t="str">
            <v/>
          </cell>
          <cell r="AA29" t="str">
            <v>010.335.595-002</v>
          </cell>
          <cell r="AB29" t="str">
            <v>bifasico</v>
          </cell>
          <cell r="AC29" t="str">
            <v>convencional</v>
          </cell>
          <cell r="AD29">
            <v>44.75</v>
          </cell>
          <cell r="AF29" t="str">
            <v>IGREJA DO EVANGELHO QUADRANGULAR</v>
          </cell>
          <cell r="AL29">
            <v>279</v>
          </cell>
          <cell r="AM29">
            <v>1.1316129032258064</v>
          </cell>
          <cell r="AN29">
            <v>315.71999999999997</v>
          </cell>
          <cell r="AO29">
            <v>1.1216129032258064</v>
          </cell>
          <cell r="AX29">
            <v>278</v>
          </cell>
          <cell r="AY29">
            <v>0.9747122302158272</v>
          </cell>
          <cell r="AZ29">
            <v>-270.96999999999997</v>
          </cell>
          <cell r="BA29">
            <v>1.1215827338129496</v>
          </cell>
          <cell r="DR29">
            <v>120</v>
          </cell>
          <cell r="DS29">
            <v>1.1315833333333334</v>
          </cell>
          <cell r="DT29">
            <v>-135.79000000000002</v>
          </cell>
          <cell r="DU29">
            <v>1.1215833333333334</v>
          </cell>
          <cell r="DZ29">
            <v>158</v>
          </cell>
          <cell r="EA29">
            <v>1.1315822784810128</v>
          </cell>
          <cell r="EB29">
            <v>-178.79000000000002</v>
          </cell>
          <cell r="EC29">
            <v>1.1215822784810128</v>
          </cell>
          <cell r="ET29">
            <v>278</v>
          </cell>
          <cell r="EX29">
            <v>86</v>
          </cell>
          <cell r="EZ29">
            <v>0.01</v>
          </cell>
          <cell r="FL29">
            <v>43.61</v>
          </cell>
          <cell r="FM29">
            <v>0.95</v>
          </cell>
          <cell r="FN29">
            <v>4.6643999999999998E-2</v>
          </cell>
          <cell r="FO29">
            <v>0.04</v>
          </cell>
          <cell r="FP29">
            <v>0.95</v>
          </cell>
          <cell r="FQ29">
            <v>1.0126999999999999E-2</v>
          </cell>
          <cell r="FR29">
            <v>0.01</v>
          </cell>
          <cell r="FS29">
            <v>1.1399999999999999</v>
          </cell>
          <cell r="FT29">
            <v>0.17</v>
          </cell>
          <cell r="FU29">
            <v>0.19</v>
          </cell>
          <cell r="GD29">
            <v>279</v>
          </cell>
          <cell r="GE29">
            <v>93685</v>
          </cell>
          <cell r="GF29">
            <v>93406</v>
          </cell>
          <cell r="GG29">
            <v>1</v>
          </cell>
          <cell r="HM29">
            <v>325</v>
          </cell>
          <cell r="HQ29">
            <v>359</v>
          </cell>
          <cell r="HU29">
            <v>374</v>
          </cell>
          <cell r="HY29">
            <v>278</v>
          </cell>
          <cell r="IC29">
            <v>311</v>
          </cell>
          <cell r="IG29">
            <v>294</v>
          </cell>
          <cell r="IK29">
            <v>335</v>
          </cell>
          <cell r="IO29">
            <v>248</v>
          </cell>
          <cell r="IS29">
            <v>313</v>
          </cell>
          <cell r="IW29">
            <v>343</v>
          </cell>
        </row>
        <row r="30">
          <cell r="A30" t="str">
            <v/>
          </cell>
          <cell r="B30" t="str">
            <v>10/24514-2</v>
          </cell>
          <cell r="C30" t="str">
            <v>Cristo Redentor</v>
          </cell>
          <cell r="D30" t="str">
            <v>2024-01-01</v>
          </cell>
          <cell r="F30" t="str">
            <v>energisa_ms</v>
          </cell>
          <cell r="G30" t="str">
            <v>Cristo Redentor</v>
          </cell>
          <cell r="H30" t="str">
            <v>Igreja do Evangelho Quadrangular</v>
          </cell>
          <cell r="I30">
            <v>45778</v>
          </cell>
          <cell r="J30" t="str">
            <v>COMERCIAL - TEMPLOS RELIGIOSOS</v>
          </cell>
          <cell r="K30" t="str">
            <v>79311040</v>
          </cell>
          <cell r="L30" t="str">
            <v>MS</v>
          </cell>
          <cell r="M30" t="str">
            <v>CORUMBA</v>
          </cell>
          <cell r="N30" t="str">
            <v>CRISTO REDENTOR</v>
          </cell>
          <cell r="O30" t="str">
            <v>RUA SAO PAULO, 36 - 15.003.03.307000</v>
          </cell>
          <cell r="P30">
            <v>45790</v>
          </cell>
          <cell r="Q30" t="str">
            <v>B - B3</v>
          </cell>
          <cell r="R30" t="str">
            <v>62955505157066</v>
          </cell>
          <cell r="U30">
            <v>45757</v>
          </cell>
          <cell r="V30">
            <v>45789</v>
          </cell>
          <cell r="W30">
            <v>45818</v>
          </cell>
          <cell r="X30">
            <v>45826</v>
          </cell>
          <cell r="Y30" t="str">
            <v/>
          </cell>
          <cell r="AA30" t="str">
            <v>010.315.562-002</v>
          </cell>
          <cell r="AB30" t="str">
            <v>trifasico</v>
          </cell>
          <cell r="AC30" t="str">
            <v>convencional</v>
          </cell>
          <cell r="AD30">
            <v>107.45</v>
          </cell>
          <cell r="AE30" t="str">
            <v>34191.09107 89970.002930 85972.140009 6 11160000010745</v>
          </cell>
          <cell r="AF30" t="str">
            <v>IGREJA DO EVANGELHO QUADRANGULAR</v>
          </cell>
          <cell r="AL30">
            <v>207</v>
          </cell>
          <cell r="AM30">
            <v>1.1306851119894596</v>
          </cell>
          <cell r="AN30">
            <v>234.05181818181813</v>
          </cell>
          <cell r="AO30">
            <v>1.1215942028985506</v>
          </cell>
          <cell r="AX30">
            <v>130</v>
          </cell>
          <cell r="AY30">
            <v>0.97386013986013986</v>
          </cell>
          <cell r="AZ30">
            <v>-126.60181818181819</v>
          </cell>
          <cell r="BA30">
            <v>1.1216153846153847</v>
          </cell>
          <cell r="DR30">
            <v>130</v>
          </cell>
          <cell r="DS30">
            <v>1.1307062937062937</v>
          </cell>
          <cell r="DT30">
            <v>-146.99181818181819</v>
          </cell>
          <cell r="DU30">
            <v>1.1216153846153847</v>
          </cell>
          <cell r="ET30">
            <v>130</v>
          </cell>
          <cell r="EX30">
            <v>235</v>
          </cell>
          <cell r="EZ30">
            <v>0.7</v>
          </cell>
          <cell r="FL30">
            <v>20.39</v>
          </cell>
          <cell r="FM30">
            <v>72.25</v>
          </cell>
          <cell r="FN30">
            <v>4.6643999999999998E-2</v>
          </cell>
          <cell r="FO30">
            <v>3.38</v>
          </cell>
          <cell r="FP30">
            <v>72.25</v>
          </cell>
          <cell r="FQ30">
            <v>1.0126999999999999E-2</v>
          </cell>
          <cell r="FR30">
            <v>0.73</v>
          </cell>
          <cell r="FS30">
            <v>87.06</v>
          </cell>
          <cell r="FT30">
            <v>0.17</v>
          </cell>
          <cell r="FU30">
            <v>14.8</v>
          </cell>
          <cell r="GD30">
            <v>207</v>
          </cell>
          <cell r="GE30">
            <v>4663</v>
          </cell>
          <cell r="GF30">
            <v>4456</v>
          </cell>
          <cell r="GG30">
            <v>1</v>
          </cell>
          <cell r="HM30">
            <v>168</v>
          </cell>
          <cell r="HQ30">
            <v>327</v>
          </cell>
          <cell r="HU30">
            <v>381</v>
          </cell>
          <cell r="HY30">
            <v>304</v>
          </cell>
          <cell r="IC30">
            <v>355</v>
          </cell>
          <cell r="IG30">
            <v>321</v>
          </cell>
          <cell r="IK30">
            <v>427</v>
          </cell>
          <cell r="IO30">
            <v>265</v>
          </cell>
          <cell r="IS30">
            <v>240</v>
          </cell>
          <cell r="IW30">
            <v>186</v>
          </cell>
        </row>
        <row r="31">
          <cell r="A31" t="str">
            <v/>
          </cell>
          <cell r="B31" t="str">
            <v>10/8777-5</v>
          </cell>
          <cell r="C31" t="str">
            <v>Santa Terezinha (1224)</v>
          </cell>
          <cell r="D31" t="str">
            <v>2024-01-01</v>
          </cell>
          <cell r="F31" t="str">
            <v>energisa_ms</v>
          </cell>
          <cell r="G31" t="str">
            <v>Santa Terezinha (1224)</v>
          </cell>
          <cell r="H31" t="str">
            <v>Igreja do Evangelho Quadrangular</v>
          </cell>
          <cell r="I31">
            <v>45778</v>
          </cell>
          <cell r="J31" t="str">
            <v>COMERCIAL - TEMPLOS RELIGIOSOS</v>
          </cell>
          <cell r="K31" t="str">
            <v>79200000</v>
          </cell>
          <cell r="L31" t="str">
            <v>MS</v>
          </cell>
          <cell r="M31" t="str">
            <v>AQUIDAUANA</v>
          </cell>
          <cell r="N31" t="str">
            <v>CENTRO</v>
          </cell>
          <cell r="O31" t="str">
            <v>RUA GIOVANI TOSCANO DE BRITO, 2648 - 13.002.13.311000</v>
          </cell>
          <cell r="P31">
            <v>45796</v>
          </cell>
          <cell r="Q31" t="str">
            <v>B - B3</v>
          </cell>
          <cell r="R31" t="str">
            <v>62955505122432</v>
          </cell>
          <cell r="U31">
            <v>45762</v>
          </cell>
          <cell r="V31">
            <v>45793</v>
          </cell>
          <cell r="W31">
            <v>45825</v>
          </cell>
          <cell r="X31">
            <v>45818</v>
          </cell>
          <cell r="Y31" t="str">
            <v/>
          </cell>
          <cell r="AA31" t="str">
            <v>010.405.339-002</v>
          </cell>
          <cell r="AB31" t="str">
            <v>trifasico</v>
          </cell>
          <cell r="AC31" t="str">
            <v>convencional</v>
          </cell>
          <cell r="AD31">
            <v>272.74</v>
          </cell>
          <cell r="AE31" t="str">
            <v>34191.09115 03138.322932 85972.140009 4 11080000027274</v>
          </cell>
          <cell r="AF31" t="str">
            <v>IGREJA DO EVANGELHO QUADRANGULAR</v>
          </cell>
          <cell r="AL31">
            <v>478</v>
          </cell>
          <cell r="AM31">
            <v>1.134067019011965</v>
          </cell>
          <cell r="AN31">
            <v>542.08403508771926</v>
          </cell>
          <cell r="AO31">
            <v>1.1216108786610879</v>
          </cell>
          <cell r="AX31">
            <v>364</v>
          </cell>
          <cell r="AY31">
            <v>0.97715394254867938</v>
          </cell>
          <cell r="AZ31">
            <v>-355.68403508771928</v>
          </cell>
          <cell r="BA31">
            <v>1.1215934065934066</v>
          </cell>
          <cell r="DR31">
            <v>206</v>
          </cell>
          <cell r="DS31">
            <v>1.13405808209845</v>
          </cell>
          <cell r="DT31">
            <v>-233.6159649122807</v>
          </cell>
          <cell r="DU31">
            <v>1.1216019417475729</v>
          </cell>
          <cell r="DZ31">
            <v>158</v>
          </cell>
          <cell r="EA31">
            <v>1.1340384188318899</v>
          </cell>
          <cell r="EB31">
            <v>-179.17807017543862</v>
          </cell>
          <cell r="EC31">
            <v>1.1215822784810128</v>
          </cell>
          <cell r="ET31">
            <v>364</v>
          </cell>
          <cell r="EX31">
            <v>0</v>
          </cell>
          <cell r="EZ31">
            <v>1.42</v>
          </cell>
          <cell r="FA31">
            <v>86.34</v>
          </cell>
          <cell r="FL31">
            <v>57.11</v>
          </cell>
          <cell r="FM31">
            <v>107.35</v>
          </cell>
          <cell r="FN31">
            <v>4.6643999999999998E-2</v>
          </cell>
          <cell r="FO31">
            <v>5.01</v>
          </cell>
          <cell r="FP31">
            <v>107.35</v>
          </cell>
          <cell r="FQ31">
            <v>1.0126999999999999E-2</v>
          </cell>
          <cell r="FR31">
            <v>1.0900000000000001</v>
          </cell>
          <cell r="FS31">
            <v>129.29</v>
          </cell>
          <cell r="FT31">
            <v>0.17</v>
          </cell>
          <cell r="FU31">
            <v>21.97</v>
          </cell>
          <cell r="GD31">
            <v>478</v>
          </cell>
          <cell r="GE31">
            <v>36868</v>
          </cell>
          <cell r="GF31">
            <v>36390</v>
          </cell>
          <cell r="GG31">
            <v>1</v>
          </cell>
          <cell r="HM31">
            <v>600</v>
          </cell>
          <cell r="HQ31">
            <v>717</v>
          </cell>
          <cell r="HU31">
            <v>592</v>
          </cell>
          <cell r="HY31">
            <v>639</v>
          </cell>
          <cell r="IC31">
            <v>469</v>
          </cell>
          <cell r="IG31">
            <v>393</v>
          </cell>
          <cell r="IK31">
            <v>563</v>
          </cell>
          <cell r="IO31">
            <v>261</v>
          </cell>
          <cell r="IS31">
            <v>244</v>
          </cell>
          <cell r="IW31">
            <v>180</v>
          </cell>
        </row>
        <row r="32">
          <cell r="A32" t="str">
            <v/>
          </cell>
          <cell r="B32" t="str">
            <v>10/63920-3</v>
          </cell>
          <cell r="C32" t="str">
            <v>1355 (Jardim Itália)</v>
          </cell>
          <cell r="D32" t="str">
            <v>2024-01-01</v>
          </cell>
          <cell r="F32" t="str">
            <v>energisa_ms</v>
          </cell>
          <cell r="G32" t="str">
            <v>1355 (Jardim Itália)</v>
          </cell>
          <cell r="H32" t="str">
            <v>Igreja do Evangelho Quadrangular</v>
          </cell>
          <cell r="I32">
            <v>45778</v>
          </cell>
          <cell r="J32" t="str">
            <v>COMERCIAL - TEMPLOS RELIGIOSOS</v>
          </cell>
          <cell r="K32" t="str">
            <v>79814040</v>
          </cell>
          <cell r="L32" t="str">
            <v>MS</v>
          </cell>
          <cell r="M32" t="str">
            <v>DOURADOS</v>
          </cell>
          <cell r="N32" t="str">
            <v>JARDIM MATO GROSSO</v>
          </cell>
          <cell r="O32" t="str">
            <v>RUA INOCENCIA DE MATOS OSORIO, 240 - 08.010.19.882000</v>
          </cell>
          <cell r="P32">
            <v>45790</v>
          </cell>
          <cell r="Q32" t="str">
            <v>B - B3</v>
          </cell>
          <cell r="R32" t="str">
            <v>62955505135500</v>
          </cell>
          <cell r="U32">
            <v>45757</v>
          </cell>
          <cell r="V32">
            <v>45789</v>
          </cell>
          <cell r="W32">
            <v>45818</v>
          </cell>
          <cell r="X32">
            <v>45818</v>
          </cell>
          <cell r="Y32" t="str">
            <v/>
          </cell>
          <cell r="AA32" t="str">
            <v>010.315.733-002</v>
          </cell>
          <cell r="AB32" t="str">
            <v>trifasico</v>
          </cell>
          <cell r="AC32" t="str">
            <v>convencional</v>
          </cell>
          <cell r="AD32">
            <v>347.73</v>
          </cell>
          <cell r="AE32" t="str">
            <v>34191.09107 89990.062930 85972.140009 1 11080000034773</v>
          </cell>
          <cell r="AF32" t="str">
            <v>IGREJA DO EVANGELHO QUADRANGULAR</v>
          </cell>
          <cell r="AL32">
            <v>411</v>
          </cell>
          <cell r="AM32">
            <v>1.1306302296599609</v>
          </cell>
          <cell r="AN32">
            <v>464.6890243902439</v>
          </cell>
          <cell r="AO32">
            <v>1.1216058394160584</v>
          </cell>
          <cell r="AX32">
            <v>206</v>
          </cell>
          <cell r="AY32">
            <v>0.97373312810798029</v>
          </cell>
          <cell r="AZ32">
            <v>-200.58902439024394</v>
          </cell>
          <cell r="BA32">
            <v>1.1216019417475729</v>
          </cell>
          <cell r="DR32">
            <v>206</v>
          </cell>
          <cell r="DS32">
            <v>1.1306263319914753</v>
          </cell>
          <cell r="DT32">
            <v>-232.90902439024393</v>
          </cell>
          <cell r="DU32">
            <v>1.1216019417475729</v>
          </cell>
          <cell r="ET32">
            <v>206</v>
          </cell>
          <cell r="EX32">
            <v>0</v>
          </cell>
          <cell r="EZ32">
            <v>1.85</v>
          </cell>
          <cell r="FA32">
            <v>71.42</v>
          </cell>
          <cell r="FC32">
            <v>12.209999999999999</v>
          </cell>
          <cell r="FL32">
            <v>32.32</v>
          </cell>
          <cell r="FM32">
            <v>192.39</v>
          </cell>
          <cell r="FN32">
            <v>4.6643999999999998E-2</v>
          </cell>
          <cell r="FO32">
            <v>8.98</v>
          </cell>
          <cell r="FP32">
            <v>192.39</v>
          </cell>
          <cell r="FQ32">
            <v>1.0126999999999999E-2</v>
          </cell>
          <cell r="FR32">
            <v>1.95</v>
          </cell>
          <cell r="FS32">
            <v>231.78</v>
          </cell>
          <cell r="FT32">
            <v>0.17</v>
          </cell>
          <cell r="FU32">
            <v>39.4</v>
          </cell>
          <cell r="GD32">
            <v>411</v>
          </cell>
          <cell r="GE32">
            <v>6741</v>
          </cell>
          <cell r="GF32">
            <v>6330</v>
          </cell>
          <cell r="GG32">
            <v>1</v>
          </cell>
          <cell r="HM32">
            <v>396</v>
          </cell>
          <cell r="HQ32">
            <v>459</v>
          </cell>
          <cell r="HU32">
            <v>462</v>
          </cell>
          <cell r="HY32">
            <v>387</v>
          </cell>
          <cell r="IC32">
            <v>396</v>
          </cell>
          <cell r="IG32">
            <v>376</v>
          </cell>
          <cell r="IK32">
            <v>423</v>
          </cell>
          <cell r="IO32">
            <v>327</v>
          </cell>
          <cell r="IS32">
            <v>353</v>
          </cell>
          <cell r="IW32">
            <v>334</v>
          </cell>
        </row>
        <row r="33">
          <cell r="A33" t="str">
            <v/>
          </cell>
          <cell r="B33" t="str">
            <v>10/435964-2</v>
          </cell>
          <cell r="C33" t="str">
            <v>Vila Nasser 3574</v>
          </cell>
          <cell r="D33" t="str">
            <v>2024-01-01</v>
          </cell>
          <cell r="F33" t="str">
            <v>energisa_ms</v>
          </cell>
          <cell r="G33" t="str">
            <v>Vila Nasser 3574</v>
          </cell>
          <cell r="H33" t="str">
            <v>Igreja do Evangelho Quadrangular</v>
          </cell>
          <cell r="I33">
            <v>45778</v>
          </cell>
          <cell r="J33" t="str">
            <v>COMERCIAL - TEMPLOS RELIGIOSOS</v>
          </cell>
          <cell r="K33" t="str">
            <v>79116191</v>
          </cell>
          <cell r="L33" t="str">
            <v>MS</v>
          </cell>
          <cell r="M33" t="str">
            <v>CAMPO GRANDE</v>
          </cell>
          <cell r="N33" t="str">
            <v>VILA MARLI</v>
          </cell>
          <cell r="O33" t="str">
            <v>RUA THEODORO ROOSEVELT, 1263 - 08.104.25.107000</v>
          </cell>
          <cell r="P33">
            <v>45792</v>
          </cell>
          <cell r="Q33" t="str">
            <v>B - B3</v>
          </cell>
          <cell r="R33" t="str">
            <v>6X.XXX.XXX/XXX4-05</v>
          </cell>
          <cell r="U33">
            <v>45759</v>
          </cell>
          <cell r="V33">
            <v>45791</v>
          </cell>
          <cell r="W33">
            <v>45820</v>
          </cell>
          <cell r="X33">
            <v>45800</v>
          </cell>
          <cell r="Y33" t="str">
            <v/>
          </cell>
          <cell r="Z33" t="str">
            <v>true</v>
          </cell>
          <cell r="AA33" t="str">
            <v>010.361.307-002</v>
          </cell>
          <cell r="AB33" t="str">
            <v>trifasico</v>
          </cell>
          <cell r="AC33" t="str">
            <v>convencional</v>
          </cell>
          <cell r="AD33">
            <v>107.29</v>
          </cell>
          <cell r="AF33" t="str">
            <v>IGREJA DO EVANGELHO QUADRANGULAR</v>
          </cell>
          <cell r="AL33">
            <v>336</v>
          </cell>
          <cell r="AM33">
            <v>1.1322071428571427</v>
          </cell>
          <cell r="AN33">
            <v>380.42159999999996</v>
          </cell>
          <cell r="AO33">
            <v>1.1216071428571428</v>
          </cell>
          <cell r="AX33">
            <v>286</v>
          </cell>
          <cell r="AY33">
            <v>0.97528531468531454</v>
          </cell>
          <cell r="AZ33">
            <v>-278.93159999999995</v>
          </cell>
          <cell r="BA33">
            <v>1.1215734265734265</v>
          </cell>
          <cell r="DR33">
            <v>128</v>
          </cell>
          <cell r="DS33">
            <v>1.1321625</v>
          </cell>
          <cell r="DT33">
            <v>-144.91679999999999</v>
          </cell>
          <cell r="DU33">
            <v>1.1215625</v>
          </cell>
          <cell r="DZ33">
            <v>158</v>
          </cell>
          <cell r="EA33">
            <v>1.1321822784810127</v>
          </cell>
          <cell r="EB33">
            <v>-178.88480000000001</v>
          </cell>
          <cell r="EC33">
            <v>1.1215822784810128</v>
          </cell>
          <cell r="ET33">
            <v>286</v>
          </cell>
          <cell r="EX33">
            <v>78</v>
          </cell>
          <cell r="EZ33">
            <v>0.53</v>
          </cell>
          <cell r="FC33">
            <v>5.8</v>
          </cell>
          <cell r="FL33">
            <v>44.87</v>
          </cell>
          <cell r="FM33">
            <v>47.02</v>
          </cell>
          <cell r="FN33">
            <v>4.6643999999999998E-2</v>
          </cell>
          <cell r="FO33">
            <v>2.2000000000000002</v>
          </cell>
          <cell r="FP33">
            <v>47.02</v>
          </cell>
          <cell r="FQ33">
            <v>1.0126999999999999E-2</v>
          </cell>
          <cell r="FR33">
            <v>0.48</v>
          </cell>
          <cell r="FS33">
            <v>56.62</v>
          </cell>
          <cell r="FT33">
            <v>0.17</v>
          </cell>
          <cell r="FU33">
            <v>9.6199999999999992</v>
          </cell>
          <cell r="GD33">
            <v>336</v>
          </cell>
          <cell r="GE33">
            <v>66593</v>
          </cell>
          <cell r="GF33">
            <v>66257</v>
          </cell>
          <cell r="GG33">
            <v>1</v>
          </cell>
          <cell r="HM33">
            <v>439</v>
          </cell>
          <cell r="HQ33">
            <v>413</v>
          </cell>
          <cell r="HU33">
            <v>417</v>
          </cell>
          <cell r="HY33">
            <v>448</v>
          </cell>
          <cell r="IC33">
            <v>466</v>
          </cell>
          <cell r="IG33">
            <v>295</v>
          </cell>
          <cell r="IK33">
            <v>436</v>
          </cell>
          <cell r="IO33">
            <v>394</v>
          </cell>
          <cell r="IS33">
            <v>276</v>
          </cell>
          <cell r="IW33">
            <v>238</v>
          </cell>
        </row>
        <row r="34">
          <cell r="A34" t="str">
            <v/>
          </cell>
          <cell r="B34" t="str">
            <v>10/15297-5</v>
          </cell>
          <cell r="C34" t="str">
            <v>Aeroporto</v>
          </cell>
          <cell r="D34" t="str">
            <v>2024-01-01</v>
          </cell>
          <cell r="F34" t="str">
            <v>energisa_ms</v>
          </cell>
          <cell r="G34" t="str">
            <v>Nova Aliança</v>
          </cell>
          <cell r="H34" t="str">
            <v>Igreja do Evangelho Quadrangular</v>
          </cell>
          <cell r="I34">
            <v>45778</v>
          </cell>
          <cell r="J34" t="str">
            <v>COMERCIAL - TEMPLOS RELIGIOSOS</v>
          </cell>
          <cell r="K34" t="str">
            <v>79333130</v>
          </cell>
          <cell r="L34" t="str">
            <v>MS</v>
          </cell>
          <cell r="M34" t="str">
            <v>CORUMBA</v>
          </cell>
          <cell r="N34" t="str">
            <v>DOM BOSCO</v>
          </cell>
          <cell r="O34" t="str">
            <v>RUA REPUBLICA DA BOLIVIA, 32 - 08.003.07.190000</v>
          </cell>
          <cell r="P34">
            <v>45794</v>
          </cell>
          <cell r="Q34" t="str">
            <v>B - B3</v>
          </cell>
          <cell r="R34" t="str">
            <v>6X.XXX.XXX/XXX4-87</v>
          </cell>
          <cell r="U34">
            <v>45761</v>
          </cell>
          <cell r="V34">
            <v>45792</v>
          </cell>
          <cell r="W34">
            <v>45824</v>
          </cell>
          <cell r="X34">
            <v>45810</v>
          </cell>
          <cell r="Y34" t="str">
            <v/>
          </cell>
          <cell r="Z34" t="str">
            <v>true</v>
          </cell>
          <cell r="AA34" t="str">
            <v>010.382.266-002</v>
          </cell>
          <cell r="AB34" t="str">
            <v>trifasico</v>
          </cell>
          <cell r="AC34" t="str">
            <v>convencional</v>
          </cell>
          <cell r="AD34">
            <v>25.93</v>
          </cell>
          <cell r="AF34" t="str">
            <v>IGREJA DO EVANGELHO QUADRANGULAR</v>
          </cell>
          <cell r="AL34">
            <v>545</v>
          </cell>
          <cell r="AM34">
            <v>1.1336146788990826</v>
          </cell>
          <cell r="AN34">
            <v>617.82000000000005</v>
          </cell>
          <cell r="AO34">
            <v>1.1216146788990826</v>
          </cell>
          <cell r="AX34">
            <v>540</v>
          </cell>
          <cell r="AY34">
            <v>0.97670370370370363</v>
          </cell>
          <cell r="AZ34">
            <v>-527.41999999999996</v>
          </cell>
          <cell r="BA34">
            <v>1.1215925925925925</v>
          </cell>
          <cell r="DR34">
            <v>303</v>
          </cell>
          <cell r="DS34">
            <v>1.1335841584158415</v>
          </cell>
          <cell r="DT34">
            <v>-343.47599999999994</v>
          </cell>
          <cell r="DU34">
            <v>1.1215841584158415</v>
          </cell>
          <cell r="DZ34">
            <v>237</v>
          </cell>
          <cell r="EA34">
            <v>1.1336033755274262</v>
          </cell>
          <cell r="EB34">
            <v>-268.66399999999999</v>
          </cell>
          <cell r="EC34">
            <v>1.1216033755274262</v>
          </cell>
          <cell r="ET34">
            <v>540</v>
          </cell>
          <cell r="EX34">
            <v>24</v>
          </cell>
          <cell r="EZ34">
            <v>0.06</v>
          </cell>
          <cell r="FB34">
            <v>-64.47</v>
          </cell>
          <cell r="FL34">
            <v>84.72</v>
          </cell>
          <cell r="FM34">
            <v>4.74</v>
          </cell>
          <cell r="FN34">
            <v>4.6643999999999998E-2</v>
          </cell>
          <cell r="FO34">
            <v>0.21</v>
          </cell>
          <cell r="FP34">
            <v>4.74</v>
          </cell>
          <cell r="FQ34">
            <v>1.0126999999999999E-2</v>
          </cell>
          <cell r="FR34">
            <v>0.05</v>
          </cell>
          <cell r="FS34">
            <v>5.68</v>
          </cell>
          <cell r="FT34">
            <v>0.17</v>
          </cell>
          <cell r="FU34">
            <v>0.96</v>
          </cell>
          <cell r="GD34">
            <v>545</v>
          </cell>
          <cell r="GE34">
            <v>47641</v>
          </cell>
          <cell r="GF34">
            <v>47096</v>
          </cell>
          <cell r="GG34">
            <v>1</v>
          </cell>
          <cell r="HM34">
            <v>387</v>
          </cell>
          <cell r="HQ34">
            <v>706</v>
          </cell>
          <cell r="HU34">
            <v>692</v>
          </cell>
          <cell r="HY34">
            <v>488</v>
          </cell>
          <cell r="IC34">
            <v>850</v>
          </cell>
          <cell r="IG34">
            <v>499</v>
          </cell>
          <cell r="IK34">
            <v>496</v>
          </cell>
          <cell r="IO34">
            <v>304</v>
          </cell>
          <cell r="IS34">
            <v>469</v>
          </cell>
          <cell r="IW34">
            <v>244</v>
          </cell>
        </row>
        <row r="35">
          <cell r="A35" t="str">
            <v/>
          </cell>
          <cell r="B35" t="str">
            <v>10/1081489-5</v>
          </cell>
          <cell r="C35" t="str">
            <v>Cong. Alto Maracajú</v>
          </cell>
          <cell r="D35" t="str">
            <v>2024-01-01</v>
          </cell>
          <cell r="F35" t="str">
            <v>energisa_ms</v>
          </cell>
          <cell r="G35" t="str">
            <v>Cong. Alto Maracajú</v>
          </cell>
          <cell r="H35" t="str">
            <v>Igreja do Evangelho Quadrangular</v>
          </cell>
          <cell r="I35">
            <v>45778</v>
          </cell>
          <cell r="J35" t="str">
            <v>COMERCIAL - OUTROS SERVIÇOS E OUTRAS ATIVIDADES</v>
          </cell>
          <cell r="K35" t="str">
            <v>79150000</v>
          </cell>
          <cell r="L35" t="str">
            <v>MS</v>
          </cell>
          <cell r="M35" t="str">
            <v>MARACAJU</v>
          </cell>
          <cell r="N35" t="str">
            <v>ALTO MARACAJU</v>
          </cell>
          <cell r="O35" t="str">
            <v>RUA PRUDENTE DE MORAES, 651 - 08.031.13.593000</v>
          </cell>
          <cell r="P35">
            <v>45784</v>
          </cell>
          <cell r="Q35" t="str">
            <v>B - B3</v>
          </cell>
          <cell r="R35" t="str">
            <v>62955505016918</v>
          </cell>
          <cell r="U35">
            <v>45750</v>
          </cell>
          <cell r="V35">
            <v>45783</v>
          </cell>
          <cell r="W35">
            <v>45812</v>
          </cell>
          <cell r="X35">
            <v>45823</v>
          </cell>
          <cell r="Y35" t="str">
            <v/>
          </cell>
          <cell r="AA35" t="str">
            <v>010.223.498-002</v>
          </cell>
          <cell r="AB35" t="str">
            <v>bifasico</v>
          </cell>
          <cell r="AC35" t="str">
            <v>convencional</v>
          </cell>
          <cell r="AD35">
            <v>384.83</v>
          </cell>
          <cell r="AE35" t="str">
            <v>34191.09107 76881.542930 85972.140009 4 11130000038483</v>
          </cell>
          <cell r="AF35" t="str">
            <v>IGREJA DO EVANGELHO QUADRANGULAR</v>
          </cell>
          <cell r="AL35">
            <v>543</v>
          </cell>
          <cell r="AM35">
            <v>1.1246294232486822</v>
          </cell>
          <cell r="AN35">
            <v>610.67377682403446</v>
          </cell>
          <cell r="AO35">
            <v>1.1202946593001843</v>
          </cell>
          <cell r="AX35">
            <v>310</v>
          </cell>
          <cell r="AY35">
            <v>0.96959282846462702</v>
          </cell>
          <cell r="AZ35">
            <v>-300.57377682403438</v>
          </cell>
          <cell r="BA35">
            <v>1.1202903225806453</v>
          </cell>
          <cell r="DR35">
            <v>310</v>
          </cell>
          <cell r="DS35">
            <v>1.1246250865291432</v>
          </cell>
          <cell r="DT35">
            <v>-348.63377682403438</v>
          </cell>
          <cell r="DU35">
            <v>1.1202903225806453</v>
          </cell>
          <cell r="ET35">
            <v>310</v>
          </cell>
          <cell r="EX35">
            <v>0</v>
          </cell>
          <cell r="EZ35">
            <v>1.01</v>
          </cell>
          <cell r="FA35">
            <v>59.09</v>
          </cell>
          <cell r="FC35">
            <v>15.64</v>
          </cell>
          <cell r="FL35">
            <v>48.06</v>
          </cell>
          <cell r="FM35">
            <v>217.49</v>
          </cell>
          <cell r="FN35">
            <v>4.6643999999999998E-2</v>
          </cell>
          <cell r="FO35">
            <v>10.15</v>
          </cell>
          <cell r="FP35">
            <v>217.49</v>
          </cell>
          <cell r="FQ35">
            <v>1.0126999999999999E-2</v>
          </cell>
          <cell r="FR35">
            <v>2.2000000000000002</v>
          </cell>
          <cell r="FS35">
            <v>262.04000000000002</v>
          </cell>
          <cell r="FT35">
            <v>0.17</v>
          </cell>
          <cell r="FU35">
            <v>44.54</v>
          </cell>
          <cell r="GD35">
            <v>543</v>
          </cell>
          <cell r="GE35">
            <v>51303</v>
          </cell>
          <cell r="GF35">
            <v>50760</v>
          </cell>
          <cell r="GG35">
            <v>1</v>
          </cell>
          <cell r="HM35">
            <v>495</v>
          </cell>
          <cell r="HQ35">
            <v>651</v>
          </cell>
          <cell r="HU35">
            <v>785</v>
          </cell>
          <cell r="HY35">
            <v>634</v>
          </cell>
          <cell r="IC35">
            <v>683</v>
          </cell>
          <cell r="IG35">
            <v>546</v>
          </cell>
          <cell r="IK35">
            <v>541</v>
          </cell>
          <cell r="IO35">
            <v>403</v>
          </cell>
          <cell r="IS35">
            <v>400</v>
          </cell>
          <cell r="IW35">
            <v>456</v>
          </cell>
        </row>
        <row r="36">
          <cell r="A36" t="str">
            <v/>
          </cell>
          <cell r="B36" t="str">
            <v>10/41548-9</v>
          </cell>
          <cell r="C36" t="str">
            <v>2690</v>
          </cell>
          <cell r="D36" t="str">
            <v>2024-01-01</v>
          </cell>
          <cell r="F36" t="str">
            <v>energisa_ms</v>
          </cell>
          <cell r="G36" t="str">
            <v>2690</v>
          </cell>
          <cell r="H36" t="str">
            <v>Igreja do Evangelho Quadrangular</v>
          </cell>
          <cell r="I36">
            <v>45778</v>
          </cell>
          <cell r="J36" t="str">
            <v>COMERCIAL - TEMPLOS RELIGIOSOS</v>
          </cell>
          <cell r="K36" t="str">
            <v>79833085</v>
          </cell>
          <cell r="L36" t="str">
            <v>MS</v>
          </cell>
          <cell r="M36" t="str">
            <v>DOURADOS</v>
          </cell>
          <cell r="N36" t="str">
            <v>JARDIM MARACANA</v>
          </cell>
          <cell r="O36" t="str">
            <v>RUA JOAO VICENTE FERREIRA, 6715 - 05.010.05.262000</v>
          </cell>
          <cell r="P36">
            <v>45782</v>
          </cell>
          <cell r="Q36" t="str">
            <v>B - B3</v>
          </cell>
          <cell r="R36" t="str">
            <v>62955505269026</v>
          </cell>
          <cell r="U36">
            <v>45748</v>
          </cell>
          <cell r="V36">
            <v>45779</v>
          </cell>
          <cell r="W36">
            <v>45810</v>
          </cell>
          <cell r="X36">
            <v>45791</v>
          </cell>
          <cell r="Y36" t="str">
            <v/>
          </cell>
          <cell r="AA36" t="str">
            <v>010.160.408-002</v>
          </cell>
          <cell r="AB36" t="str">
            <v>bifasico</v>
          </cell>
          <cell r="AC36" t="str">
            <v>convencional</v>
          </cell>
          <cell r="AD36">
            <v>180.92</v>
          </cell>
          <cell r="AF36" t="str">
            <v>IGREJA DO E QUADRANGULAR</v>
          </cell>
          <cell r="AL36">
            <v>286</v>
          </cell>
          <cell r="AM36">
            <v>1.1210804195804196</v>
          </cell>
          <cell r="AN36">
            <v>320.62900000000002</v>
          </cell>
          <cell r="AO36">
            <v>1.1195804195804195</v>
          </cell>
          <cell r="AX36">
            <v>206</v>
          </cell>
          <cell r="AY36">
            <v>0.9670825242718446</v>
          </cell>
          <cell r="AZ36">
            <v>-199.21899999999999</v>
          </cell>
          <cell r="BA36">
            <v>1.1195631067961165</v>
          </cell>
          <cell r="DR36">
            <v>206</v>
          </cell>
          <cell r="DS36">
            <v>1.1210631067961165</v>
          </cell>
          <cell r="DT36">
            <v>-230.93899999999999</v>
          </cell>
          <cell r="DU36">
            <v>1.1195631067961165</v>
          </cell>
          <cell r="ET36">
            <v>206</v>
          </cell>
          <cell r="EX36">
            <v>0</v>
          </cell>
          <cell r="EZ36">
            <v>0.12</v>
          </cell>
          <cell r="FA36">
            <v>59.51</v>
          </cell>
          <cell r="FL36">
            <v>31.72</v>
          </cell>
          <cell r="FM36">
            <v>74.430000000000007</v>
          </cell>
          <cell r="FN36">
            <v>4.6643999999999998E-2</v>
          </cell>
          <cell r="FO36">
            <v>3.46</v>
          </cell>
          <cell r="FP36">
            <v>74.430000000000007</v>
          </cell>
          <cell r="FQ36">
            <v>1.0126999999999999E-2</v>
          </cell>
          <cell r="FR36">
            <v>0.75</v>
          </cell>
          <cell r="FS36">
            <v>89.69</v>
          </cell>
          <cell r="FT36">
            <v>0.17</v>
          </cell>
          <cell r="FU36">
            <v>15.24</v>
          </cell>
          <cell r="GD36">
            <v>286</v>
          </cell>
          <cell r="GE36">
            <v>55544</v>
          </cell>
          <cell r="GF36">
            <v>55258</v>
          </cell>
          <cell r="GG36">
            <v>1</v>
          </cell>
          <cell r="HM36">
            <v>289</v>
          </cell>
          <cell r="HQ36">
            <v>338</v>
          </cell>
          <cell r="HU36">
            <v>425</v>
          </cell>
          <cell r="HY36">
            <v>318</v>
          </cell>
          <cell r="IC36">
            <v>422</v>
          </cell>
          <cell r="IG36">
            <v>340</v>
          </cell>
          <cell r="IK36">
            <v>313</v>
          </cell>
          <cell r="IO36">
            <v>173</v>
          </cell>
          <cell r="IS36">
            <v>137</v>
          </cell>
          <cell r="IW36">
            <v>135</v>
          </cell>
        </row>
        <row r="37">
          <cell r="A37" t="str">
            <v/>
          </cell>
          <cell r="B37" t="str">
            <v>10/489076-0</v>
          </cell>
          <cell r="C37" t="str">
            <v>Marcilio Dias</v>
          </cell>
          <cell r="D37" t="str">
            <v>2024-01-01</v>
          </cell>
          <cell r="F37" t="str">
            <v>energisa_ms</v>
          </cell>
          <cell r="G37" t="str">
            <v>Seac</v>
          </cell>
          <cell r="H37" t="str">
            <v>Igreja do Evangelho Quadrangular</v>
          </cell>
          <cell r="I37">
            <v>45778</v>
          </cell>
          <cell r="J37" t="str">
            <v>COMERCIAL - TEMPLOS RELIGIOSOS</v>
          </cell>
          <cell r="K37" t="str">
            <v>79370000</v>
          </cell>
          <cell r="L37" t="str">
            <v>MS</v>
          </cell>
          <cell r="M37" t="str">
            <v>LADARIO</v>
          </cell>
          <cell r="N37" t="str">
            <v>CENTRO</v>
          </cell>
          <cell r="O37" t="str">
            <v>RUA MARCILIO DIAS, 939 - 10.004.03.080000</v>
          </cell>
          <cell r="P37">
            <v>45784</v>
          </cell>
          <cell r="Q37" t="str">
            <v>B - B3</v>
          </cell>
          <cell r="R37" t="str">
            <v>62955505016080</v>
          </cell>
          <cell r="U37">
            <v>45750</v>
          </cell>
          <cell r="V37">
            <v>45783</v>
          </cell>
          <cell r="W37">
            <v>45812</v>
          </cell>
          <cell r="X37">
            <v>45793</v>
          </cell>
          <cell r="Y37" t="str">
            <v/>
          </cell>
          <cell r="AA37" t="str">
            <v>010.222.772-002</v>
          </cell>
          <cell r="AB37" t="str">
            <v>trifasico</v>
          </cell>
          <cell r="AC37" t="str">
            <v>convencional</v>
          </cell>
          <cell r="AD37">
            <v>382.1</v>
          </cell>
          <cell r="AF37" t="str">
            <v>IGREJA DO EVANGELHO QUADRANGULAR</v>
          </cell>
          <cell r="AL37">
            <v>538</v>
          </cell>
          <cell r="AM37">
            <v>1.1247272223309204</v>
          </cell>
          <cell r="AN37">
            <v>605.10324561403513</v>
          </cell>
          <cell r="AO37">
            <v>1.1202973977695168</v>
          </cell>
          <cell r="AX37">
            <v>310</v>
          </cell>
          <cell r="AY37">
            <v>0.96968788907753289</v>
          </cell>
          <cell r="AZ37">
            <v>-300.60324561403519</v>
          </cell>
          <cell r="BA37">
            <v>1.1202903225806453</v>
          </cell>
          <cell r="DR37">
            <v>310</v>
          </cell>
          <cell r="DS37">
            <v>1.1247201471420489</v>
          </cell>
          <cell r="DT37">
            <v>-348.66324561403519</v>
          </cell>
          <cell r="DU37">
            <v>1.1202903225806453</v>
          </cell>
          <cell r="ET37">
            <v>310</v>
          </cell>
          <cell r="EX37">
            <v>0</v>
          </cell>
          <cell r="EZ37">
            <v>1.01</v>
          </cell>
          <cell r="FA37">
            <v>74.010000000000005</v>
          </cell>
          <cell r="FC37">
            <v>3.59</v>
          </cell>
          <cell r="FL37">
            <v>48.06</v>
          </cell>
          <cell r="FM37">
            <v>212.85</v>
          </cell>
          <cell r="FN37">
            <v>4.6643999999999998E-2</v>
          </cell>
          <cell r="FO37">
            <v>9.93</v>
          </cell>
          <cell r="FP37">
            <v>212.85</v>
          </cell>
          <cell r="FQ37">
            <v>1.0126999999999999E-2</v>
          </cell>
          <cell r="FR37">
            <v>2.16</v>
          </cell>
          <cell r="FS37">
            <v>256.44</v>
          </cell>
          <cell r="FT37">
            <v>0.17</v>
          </cell>
          <cell r="FU37">
            <v>43.59</v>
          </cell>
          <cell r="GD37">
            <v>538</v>
          </cell>
          <cell r="GE37">
            <v>53937</v>
          </cell>
          <cell r="GF37">
            <v>53399</v>
          </cell>
          <cell r="GG37">
            <v>1</v>
          </cell>
          <cell r="HM37">
            <v>470</v>
          </cell>
          <cell r="HQ37">
            <v>606</v>
          </cell>
          <cell r="HU37">
            <v>522</v>
          </cell>
          <cell r="HY37">
            <v>534</v>
          </cell>
          <cell r="IC37">
            <v>397</v>
          </cell>
          <cell r="IG37">
            <v>496</v>
          </cell>
          <cell r="IK37">
            <v>554</v>
          </cell>
          <cell r="IO37">
            <v>439</v>
          </cell>
          <cell r="IS37">
            <v>367</v>
          </cell>
          <cell r="IW37">
            <v>542</v>
          </cell>
        </row>
        <row r="38">
          <cell r="A38" t="str">
            <v/>
          </cell>
          <cell r="B38" t="str">
            <v>10/142353-2</v>
          </cell>
          <cell r="C38" t="str">
            <v>Noroeste 1138</v>
          </cell>
          <cell r="D38" t="str">
            <v>2024-01-01</v>
          </cell>
          <cell r="F38" t="str">
            <v>energisa_ms</v>
          </cell>
          <cell r="G38" t="str">
            <v>Noroeste 1138</v>
          </cell>
          <cell r="H38" t="str">
            <v>Igreja do Evangelho Quadrangular</v>
          </cell>
          <cell r="I38">
            <v>45778</v>
          </cell>
          <cell r="J38" t="str">
            <v>COMERCIAL - TEMPLOS RELIGIOSOS</v>
          </cell>
          <cell r="K38" t="str">
            <v>79904668</v>
          </cell>
          <cell r="L38" t="str">
            <v>MS</v>
          </cell>
          <cell r="M38" t="str">
            <v>PONTA PORA</v>
          </cell>
          <cell r="N38" t="str">
            <v>CENTRO</v>
          </cell>
          <cell r="O38" t="str">
            <v>RUA ANTONIO JOAO, 2547 - 08.032.03.477000</v>
          </cell>
          <cell r="P38">
            <v>45796</v>
          </cell>
          <cell r="Q38" t="str">
            <v>B - B3</v>
          </cell>
          <cell r="R38" t="str">
            <v>62955505113875</v>
          </cell>
          <cell r="U38">
            <v>45762</v>
          </cell>
          <cell r="V38">
            <v>45793</v>
          </cell>
          <cell r="W38">
            <v>45825</v>
          </cell>
          <cell r="X38">
            <v>45810</v>
          </cell>
          <cell r="Y38" t="str">
            <v/>
          </cell>
          <cell r="AA38" t="str">
            <v>010.406.376-002</v>
          </cell>
          <cell r="AB38" t="str">
            <v>bifasico</v>
          </cell>
          <cell r="AC38" t="str">
            <v>convencional</v>
          </cell>
          <cell r="AD38">
            <v>111.75</v>
          </cell>
          <cell r="AF38" t="str">
            <v>IGREJA DO EVANGELHO QUADRANGULAR</v>
          </cell>
          <cell r="AL38">
            <v>330</v>
          </cell>
          <cell r="AM38">
            <v>1.1216060606060605</v>
          </cell>
          <cell r="AN38">
            <v>370.13</v>
          </cell>
          <cell r="AX38">
            <v>330</v>
          </cell>
          <cell r="AY38">
            <v>0.96472727272727277</v>
          </cell>
          <cell r="AZ38">
            <v>-318.36</v>
          </cell>
          <cell r="DR38">
            <v>93</v>
          </cell>
          <cell r="DS38">
            <v>1.1216129032258064</v>
          </cell>
          <cell r="DT38">
            <v>-104.31</v>
          </cell>
          <cell r="DZ38">
            <v>237</v>
          </cell>
          <cell r="EA38">
            <v>1.1216033755274262</v>
          </cell>
          <cell r="EB38">
            <v>-265.82</v>
          </cell>
          <cell r="ET38">
            <v>330</v>
          </cell>
          <cell r="EX38">
            <v>217</v>
          </cell>
          <cell r="FA38">
            <v>59.98</v>
          </cell>
          <cell r="FL38">
            <v>51.77</v>
          </cell>
          <cell r="FM38">
            <v>0.02</v>
          </cell>
          <cell r="FN38">
            <v>4.6643999999999998E-2</v>
          </cell>
          <cell r="FO38">
            <v>0</v>
          </cell>
          <cell r="FP38">
            <v>0.02</v>
          </cell>
          <cell r="FQ38">
            <v>1.0126999999999999E-2</v>
          </cell>
          <cell r="FR38">
            <v>0</v>
          </cell>
          <cell r="FS38">
            <v>0</v>
          </cell>
          <cell r="FT38">
            <v>0.17</v>
          </cell>
          <cell r="FU38">
            <v>0</v>
          </cell>
          <cell r="GD38">
            <v>330</v>
          </cell>
          <cell r="GE38">
            <v>14079</v>
          </cell>
          <cell r="GF38">
            <v>13749</v>
          </cell>
          <cell r="GG38">
            <v>1</v>
          </cell>
          <cell r="HM38">
            <v>421</v>
          </cell>
          <cell r="HQ38">
            <v>681</v>
          </cell>
          <cell r="HU38">
            <v>681</v>
          </cell>
          <cell r="HY38">
            <v>681</v>
          </cell>
          <cell r="IC38">
            <v>457</v>
          </cell>
          <cell r="IG38">
            <v>489</v>
          </cell>
          <cell r="IK38">
            <v>479</v>
          </cell>
          <cell r="IO38">
            <v>364</v>
          </cell>
          <cell r="IS38">
            <v>350</v>
          </cell>
          <cell r="IW38">
            <v>252</v>
          </cell>
        </row>
        <row r="39">
          <cell r="A39" t="str">
            <v/>
          </cell>
          <cell r="B39" t="str">
            <v>10/952579-1</v>
          </cell>
          <cell r="C39" t="str">
            <v>58787</v>
          </cell>
          <cell r="D39" t="str">
            <v>2024-01-01</v>
          </cell>
          <cell r="F39" t="str">
            <v>energisa_ms</v>
          </cell>
          <cell r="G39" t="str">
            <v>58787</v>
          </cell>
          <cell r="H39" t="str">
            <v>Igreja do Evangelho Quadrangular</v>
          </cell>
          <cell r="I39">
            <v>45778</v>
          </cell>
          <cell r="J39" t="str">
            <v>COMERCIAL - TEMPLOS RELIGIOSOS</v>
          </cell>
          <cell r="K39" t="str">
            <v>79415000</v>
          </cell>
          <cell r="L39" t="str">
            <v>MS</v>
          </cell>
          <cell r="M39" t="str">
            <v>SONORA</v>
          </cell>
          <cell r="N39" t="str">
            <v>CENTRO</v>
          </cell>
          <cell r="O39" t="str">
            <v>RUA PRESIDENTE VARGAS, 42 - Q 0 L 00042 05.087.85.225077</v>
          </cell>
          <cell r="P39">
            <v>45797</v>
          </cell>
          <cell r="Q39" t="str">
            <v>B - B3</v>
          </cell>
          <cell r="R39" t="str">
            <v>62955505897930</v>
          </cell>
          <cell r="U39">
            <v>45763</v>
          </cell>
          <cell r="V39">
            <v>45796</v>
          </cell>
          <cell r="W39">
            <v>45826</v>
          </cell>
          <cell r="X39">
            <v>45829</v>
          </cell>
          <cell r="Y39" t="str">
            <v/>
          </cell>
          <cell r="AA39" t="str">
            <v>010.428.956-002</v>
          </cell>
          <cell r="AB39" t="str">
            <v>bifasico</v>
          </cell>
          <cell r="AC39" t="str">
            <v>convencional</v>
          </cell>
          <cell r="AD39">
            <v>107.95</v>
          </cell>
          <cell r="AE39" t="str">
            <v>34191.09115 04110.242932 85972.140009 6 11190000010795</v>
          </cell>
          <cell r="AF39" t="str">
            <v>IGREJA DO EVANGELHO QUADRANGULAR</v>
          </cell>
          <cell r="AL39">
            <v>198</v>
          </cell>
          <cell r="AM39">
            <v>1.1355598235879927</v>
          </cell>
          <cell r="AN39">
            <v>224.84084507042255</v>
          </cell>
          <cell r="AO39">
            <v>1.1216161616161617</v>
          </cell>
          <cell r="AX39">
            <v>127</v>
          </cell>
          <cell r="AY39">
            <v>0.97858933126316949</v>
          </cell>
          <cell r="AZ39">
            <v>-124.28084507042253</v>
          </cell>
          <cell r="BA39">
            <v>1.121496062992126</v>
          </cell>
          <cell r="DR39">
            <v>72</v>
          </cell>
          <cell r="DS39">
            <v>1.1354714397496086</v>
          </cell>
          <cell r="DT39">
            <v>-81.753943661971817</v>
          </cell>
          <cell r="DU39">
            <v>1.1215277777777777</v>
          </cell>
          <cell r="DZ39">
            <v>55</v>
          </cell>
          <cell r="EA39">
            <v>1.1353982074263764</v>
          </cell>
          <cell r="EB39">
            <v>-62.446901408450707</v>
          </cell>
          <cell r="EC39">
            <v>1.1214545454545455</v>
          </cell>
          <cell r="ET39">
            <v>127</v>
          </cell>
          <cell r="EX39">
            <v>0</v>
          </cell>
          <cell r="EZ39">
            <v>0.99</v>
          </cell>
          <cell r="FA39">
            <v>7.39</v>
          </cell>
          <cell r="FL39">
            <v>19.920000000000002</v>
          </cell>
          <cell r="FM39">
            <v>66.930000000000007</v>
          </cell>
          <cell r="FN39">
            <v>4.6643999999999998E-2</v>
          </cell>
          <cell r="FO39">
            <v>3.11</v>
          </cell>
          <cell r="FP39">
            <v>66.930000000000007</v>
          </cell>
          <cell r="FQ39">
            <v>1.0126999999999999E-2</v>
          </cell>
          <cell r="FR39">
            <v>0.67</v>
          </cell>
          <cell r="FS39">
            <v>80.64</v>
          </cell>
          <cell r="FT39">
            <v>0.17</v>
          </cell>
          <cell r="FU39">
            <v>13.7</v>
          </cell>
          <cell r="GD39">
            <v>198</v>
          </cell>
          <cell r="GE39">
            <v>38399</v>
          </cell>
          <cell r="GF39">
            <v>38201</v>
          </cell>
          <cell r="GG39">
            <v>1</v>
          </cell>
          <cell r="HM39">
            <v>151</v>
          </cell>
          <cell r="HQ39">
            <v>125</v>
          </cell>
          <cell r="HU39">
            <v>138</v>
          </cell>
          <cell r="HY39">
            <v>95</v>
          </cell>
          <cell r="IC39">
            <v>138</v>
          </cell>
          <cell r="IG39">
            <v>99</v>
          </cell>
          <cell r="IK39">
            <v>242</v>
          </cell>
          <cell r="IO39">
            <v>141</v>
          </cell>
          <cell r="IS39">
            <v>90</v>
          </cell>
          <cell r="IW39">
            <v>119</v>
          </cell>
        </row>
        <row r="40">
          <cell r="A40" t="str">
            <v/>
          </cell>
          <cell r="B40" t="str">
            <v>10/2794432-1</v>
          </cell>
          <cell r="C40" t="str">
            <v>Jardim Canguru 62588</v>
          </cell>
          <cell r="D40" t="str">
            <v>2024-01-01</v>
          </cell>
          <cell r="F40" t="str">
            <v>energisa_ms</v>
          </cell>
          <cell r="G40" t="str">
            <v>Sede 151</v>
          </cell>
          <cell r="H40" t="str">
            <v>Igreja do Evangelho Quadrangular</v>
          </cell>
          <cell r="I40">
            <v>45778</v>
          </cell>
          <cell r="J40" t="str">
            <v>COMERCIAL - TEMPLOS RELIGIOSOS</v>
          </cell>
          <cell r="K40" t="str">
            <v>79072262</v>
          </cell>
          <cell r="L40" t="str">
            <v>MS</v>
          </cell>
          <cell r="M40" t="str">
            <v>CAMPO GRANDE</v>
          </cell>
          <cell r="N40" t="str">
            <v>JARDIM CANGURU</v>
          </cell>
          <cell r="O40" t="str">
            <v>RUA BIRI, 503 - 16.103.10.065001</v>
          </cell>
          <cell r="P40">
            <v>45804</v>
          </cell>
          <cell r="Q40" t="str">
            <v>B - B3</v>
          </cell>
          <cell r="R40" t="str">
            <v>62955505015199</v>
          </cell>
          <cell r="U40">
            <v>45771</v>
          </cell>
          <cell r="V40">
            <v>45803</v>
          </cell>
          <cell r="W40">
            <v>45833</v>
          </cell>
          <cell r="X40">
            <v>45812</v>
          </cell>
          <cell r="Y40" t="str">
            <v/>
          </cell>
          <cell r="AA40" t="str">
            <v>010.517.234-002</v>
          </cell>
          <cell r="AB40" t="str">
            <v>trifasico</v>
          </cell>
          <cell r="AC40" t="str">
            <v>convencional</v>
          </cell>
          <cell r="AD40">
            <v>470.79</v>
          </cell>
          <cell r="AF40" t="str">
            <v>IGREJA DO EVANGELHO QUADRANGULAR</v>
          </cell>
          <cell r="AL40">
            <v>484</v>
          </cell>
          <cell r="AM40">
            <v>1.1411447397811034</v>
          </cell>
          <cell r="AN40">
            <v>552.31405405405405</v>
          </cell>
          <cell r="AO40">
            <v>1.1216115702479339</v>
          </cell>
          <cell r="AX40">
            <v>77</v>
          </cell>
          <cell r="AY40">
            <v>1.1410916110916112</v>
          </cell>
          <cell r="AZ40">
            <v>-87.864054054054066</v>
          </cell>
          <cell r="BA40">
            <v>1.1215584415584416</v>
          </cell>
          <cell r="DZ40">
            <v>77</v>
          </cell>
          <cell r="EA40">
            <v>1.1410916110916112</v>
          </cell>
          <cell r="EB40">
            <v>-87.864054054054066</v>
          </cell>
          <cell r="EC40">
            <v>1.1215584415584416</v>
          </cell>
          <cell r="ET40">
            <v>77</v>
          </cell>
          <cell r="EX40">
            <v>0</v>
          </cell>
          <cell r="EZ40">
            <v>7.95</v>
          </cell>
          <cell r="FC40">
            <v>6.34</v>
          </cell>
          <cell r="FM40">
            <v>385.49</v>
          </cell>
          <cell r="FN40">
            <v>4.6643999999999998E-2</v>
          </cell>
          <cell r="FO40">
            <v>17.98</v>
          </cell>
          <cell r="FP40">
            <v>385.49</v>
          </cell>
          <cell r="FQ40">
            <v>1.0126999999999999E-2</v>
          </cell>
          <cell r="FR40">
            <v>3.91</v>
          </cell>
          <cell r="FS40">
            <v>464.45</v>
          </cell>
          <cell r="FT40">
            <v>0.17</v>
          </cell>
          <cell r="FU40">
            <v>78.95</v>
          </cell>
          <cell r="GD40">
            <v>484</v>
          </cell>
          <cell r="GE40">
            <v>10752</v>
          </cell>
          <cell r="GF40">
            <v>10268</v>
          </cell>
          <cell r="GG40">
            <v>1</v>
          </cell>
          <cell r="HM40">
            <v>385</v>
          </cell>
          <cell r="HQ40">
            <v>713</v>
          </cell>
          <cell r="HU40">
            <v>479</v>
          </cell>
          <cell r="HY40">
            <v>495</v>
          </cell>
          <cell r="IC40">
            <v>601</v>
          </cell>
          <cell r="IG40">
            <v>533</v>
          </cell>
          <cell r="IK40">
            <v>551</v>
          </cell>
          <cell r="IO40">
            <v>390</v>
          </cell>
          <cell r="IS40">
            <v>221</v>
          </cell>
          <cell r="IW40">
            <v>88</v>
          </cell>
        </row>
        <row r="41">
          <cell r="A41" t="str">
            <v/>
          </cell>
          <cell r="B41" t="str">
            <v>10/3170252-5</v>
          </cell>
          <cell r="C41" t="str">
            <v>6917</v>
          </cell>
          <cell r="D41" t="str">
            <v>2024-01-01</v>
          </cell>
          <cell r="F41" t="str">
            <v>energisa_ms</v>
          </cell>
          <cell r="G41" t="str">
            <v>6917</v>
          </cell>
          <cell r="H41" t="str">
            <v>Igreja do Evangelho Quadrangular</v>
          </cell>
          <cell r="I41">
            <v>45778</v>
          </cell>
          <cell r="J41" t="str">
            <v>COMERCIAL - TEMPLOS RELIGIOSOS</v>
          </cell>
          <cell r="K41" t="str">
            <v>79680000</v>
          </cell>
          <cell r="L41" t="str">
            <v>MS</v>
          </cell>
          <cell r="M41" t="str">
            <v>AGUA CLARA</v>
          </cell>
          <cell r="N41" t="str">
            <v>JARDIM AEROPORTO</v>
          </cell>
          <cell r="O41" t="str">
            <v>RUA GABRIEL FERREIRA DOMINGUES, 335 - FUNDOS QD 02 LT 14 - 05-073-03-13</v>
          </cell>
          <cell r="P41">
            <v>45794</v>
          </cell>
          <cell r="Q41" t="str">
            <v>B - B3</v>
          </cell>
          <cell r="R41" t="str">
            <v>62955505035629</v>
          </cell>
          <cell r="U41">
            <v>45761</v>
          </cell>
          <cell r="V41">
            <v>45792</v>
          </cell>
          <cell r="W41">
            <v>45824</v>
          </cell>
          <cell r="X41">
            <v>45810</v>
          </cell>
          <cell r="Y41" t="str">
            <v/>
          </cell>
          <cell r="AA41" t="str">
            <v>010.389.446-002</v>
          </cell>
          <cell r="AB41" t="str">
            <v>trifasico</v>
          </cell>
          <cell r="AC41" t="str">
            <v>convencional</v>
          </cell>
          <cell r="AD41">
            <v>294.41000000000003</v>
          </cell>
          <cell r="AE41" t="str">
            <v>34191.09115 00489.092932 85972.140009 2 11000000029441</v>
          </cell>
          <cell r="AF41" t="str">
            <v>IGREJA DO EVANGELHO QUADRANGULAR</v>
          </cell>
          <cell r="AL41">
            <v>800</v>
          </cell>
          <cell r="AM41">
            <v>1.1216249999999999</v>
          </cell>
          <cell r="AN41">
            <v>897.3</v>
          </cell>
          <cell r="AX41">
            <v>800</v>
          </cell>
          <cell r="AY41">
            <v>0.96472499999999994</v>
          </cell>
          <cell r="AZ41">
            <v>-771.78</v>
          </cell>
          <cell r="DZ41">
            <v>800</v>
          </cell>
          <cell r="EA41">
            <v>1.1216249999999999</v>
          </cell>
          <cell r="EB41">
            <v>-897.3</v>
          </cell>
          <cell r="ET41">
            <v>800</v>
          </cell>
          <cell r="EV41">
            <v>2353</v>
          </cell>
          <cell r="EW41">
            <v>2353</v>
          </cell>
          <cell r="EX41">
            <v>27617</v>
          </cell>
          <cell r="FA41">
            <v>164.2</v>
          </cell>
          <cell r="FC41">
            <v>4.6899999999999995</v>
          </cell>
          <cell r="FL41">
            <v>125.52</v>
          </cell>
          <cell r="FM41">
            <v>0</v>
          </cell>
          <cell r="FN41">
            <v>4.6643999999999998E-2</v>
          </cell>
          <cell r="FO41">
            <v>0</v>
          </cell>
          <cell r="FP41">
            <v>0</v>
          </cell>
          <cell r="FQ41">
            <v>1.0126999999999999E-2</v>
          </cell>
          <cell r="FR41">
            <v>0</v>
          </cell>
          <cell r="FS41">
            <v>0</v>
          </cell>
          <cell r="FT41">
            <v>0.17</v>
          </cell>
          <cell r="FU41">
            <v>0</v>
          </cell>
          <cell r="GD41">
            <v>800</v>
          </cell>
          <cell r="GE41">
            <v>12598</v>
          </cell>
          <cell r="GF41">
            <v>11798</v>
          </cell>
          <cell r="GG41">
            <v>1</v>
          </cell>
          <cell r="HM41">
            <v>1208</v>
          </cell>
          <cell r="HQ41">
            <v>1313</v>
          </cell>
          <cell r="HU41">
            <v>849</v>
          </cell>
          <cell r="HY41">
            <v>1119</v>
          </cell>
          <cell r="IC41">
            <v>1243</v>
          </cell>
          <cell r="IG41">
            <v>834</v>
          </cell>
          <cell r="IK41">
            <v>1101</v>
          </cell>
          <cell r="IO41">
            <v>609</v>
          </cell>
          <cell r="IS41">
            <v>435</v>
          </cell>
          <cell r="IW41">
            <v>327</v>
          </cell>
        </row>
        <row r="42">
          <cell r="A42" t="str">
            <v/>
          </cell>
          <cell r="B42" t="str">
            <v>10/76927-3</v>
          </cell>
          <cell r="C42" t="str">
            <v>2ª IEQ Anastácio</v>
          </cell>
          <cell r="D42" t="str">
            <v>2024-01-01</v>
          </cell>
          <cell r="F42" t="str">
            <v>energisa_ms</v>
          </cell>
          <cell r="G42" t="str">
            <v>2ª IEQ Anastácio</v>
          </cell>
          <cell r="H42" t="str">
            <v>Igreja do Evangelho Quadrangular</v>
          </cell>
          <cell r="I42">
            <v>45778</v>
          </cell>
          <cell r="J42" t="str">
            <v>COMERCIAL - TEMPLOS RELIGIOSOS</v>
          </cell>
          <cell r="K42" t="str">
            <v>79210000</v>
          </cell>
          <cell r="L42" t="str">
            <v>MS</v>
          </cell>
          <cell r="M42" t="str">
            <v>ANASTACIO</v>
          </cell>
          <cell r="N42" t="str">
            <v>CENTRO</v>
          </cell>
          <cell r="O42" t="str">
            <v>RUA EXPEDICIONARIO CANDIDO GOMES, 819 - 14.011.05.643000</v>
          </cell>
          <cell r="P42">
            <v>45789</v>
          </cell>
          <cell r="Q42" t="str">
            <v>B - B3</v>
          </cell>
          <cell r="R42" t="str">
            <v>62955505058599</v>
          </cell>
          <cell r="U42">
            <v>45756</v>
          </cell>
          <cell r="V42">
            <v>45786</v>
          </cell>
          <cell r="W42">
            <v>45817</v>
          </cell>
          <cell r="X42">
            <v>45798</v>
          </cell>
          <cell r="Y42" t="str">
            <v/>
          </cell>
          <cell r="AA42" t="str">
            <v>010.290.941-002</v>
          </cell>
          <cell r="AB42" t="str">
            <v>trifasico</v>
          </cell>
          <cell r="AC42" t="str">
            <v>convencional</v>
          </cell>
          <cell r="AD42">
            <v>183.31</v>
          </cell>
          <cell r="AF42" t="str">
            <v>IGREJA DO EVANGELHO QUADRANGULAR</v>
          </cell>
          <cell r="AL42">
            <v>297</v>
          </cell>
          <cell r="AM42">
            <v>1.1287590187590189</v>
          </cell>
          <cell r="AN42">
            <v>335.24142857142857</v>
          </cell>
          <cell r="AO42">
            <v>1.1216161616161617</v>
          </cell>
          <cell r="AX42">
            <v>206</v>
          </cell>
          <cell r="AY42">
            <v>0.97185159500693485</v>
          </cell>
          <cell r="AZ42">
            <v>-200.20142857142858</v>
          </cell>
          <cell r="BA42">
            <v>1.1216019417475729</v>
          </cell>
          <cell r="DR42">
            <v>206</v>
          </cell>
          <cell r="DS42">
            <v>1.12874479889043</v>
          </cell>
          <cell r="DT42">
            <v>-232.52142857142857</v>
          </cell>
          <cell r="DU42">
            <v>1.1216019417475729</v>
          </cell>
          <cell r="ET42">
            <v>206</v>
          </cell>
          <cell r="EX42">
            <v>0</v>
          </cell>
          <cell r="EZ42">
            <v>0.65</v>
          </cell>
          <cell r="FA42">
            <v>42.55</v>
          </cell>
          <cell r="FC42">
            <v>5.7200000000000006</v>
          </cell>
          <cell r="FL42">
            <v>32.32</v>
          </cell>
          <cell r="FM42">
            <v>85.27</v>
          </cell>
          <cell r="FN42">
            <v>4.6643999999999998E-2</v>
          </cell>
          <cell r="FO42">
            <v>3.98</v>
          </cell>
          <cell r="FP42">
            <v>85.27</v>
          </cell>
          <cell r="FQ42">
            <v>1.0126999999999999E-2</v>
          </cell>
          <cell r="FR42">
            <v>0.87</v>
          </cell>
          <cell r="FS42">
            <v>102.72</v>
          </cell>
          <cell r="FT42">
            <v>0.17</v>
          </cell>
          <cell r="FU42">
            <v>17.46</v>
          </cell>
          <cell r="GD42">
            <v>297</v>
          </cell>
          <cell r="GE42">
            <v>75238</v>
          </cell>
          <cell r="GF42">
            <v>74941</v>
          </cell>
          <cell r="GG42">
            <v>1</v>
          </cell>
          <cell r="HM42">
            <v>405</v>
          </cell>
          <cell r="HQ42">
            <v>641</v>
          </cell>
          <cell r="HU42">
            <v>494</v>
          </cell>
          <cell r="HY42">
            <v>355</v>
          </cell>
          <cell r="IC42">
            <v>416</v>
          </cell>
          <cell r="IG42">
            <v>380</v>
          </cell>
          <cell r="IK42">
            <v>362</v>
          </cell>
          <cell r="IO42">
            <v>256</v>
          </cell>
          <cell r="IS42">
            <v>234</v>
          </cell>
          <cell r="IW42">
            <v>304</v>
          </cell>
        </row>
        <row r="43">
          <cell r="A43" t="str">
            <v/>
          </cell>
          <cell r="B43" t="str">
            <v>10/1266128-6</v>
          </cell>
          <cell r="C43" t="str">
            <v>Novo Amazonas 6194</v>
          </cell>
          <cell r="D43" t="str">
            <v>2024-01-01</v>
          </cell>
          <cell r="F43" t="str">
            <v>energisa_ms</v>
          </cell>
          <cell r="G43" t="str">
            <v>Administrativa</v>
          </cell>
          <cell r="H43" t="str">
            <v>Igreja do Evangelho Quadrangular</v>
          </cell>
          <cell r="I43">
            <v>45778</v>
          </cell>
          <cell r="J43" t="str">
            <v>COMERCIAL - TEMPLOS RELIGIOSOS</v>
          </cell>
          <cell r="K43" t="str">
            <v>79034280</v>
          </cell>
          <cell r="L43" t="str">
            <v>MS</v>
          </cell>
          <cell r="M43" t="str">
            <v>CAMPO GRANDE</v>
          </cell>
          <cell r="N43" t="str">
            <v>PARQUE DOS NOVOS ESTADOS</v>
          </cell>
          <cell r="O43" t="str">
            <v>RUA MARACANI, 439 - 15.101.11.267002</v>
          </cell>
          <cell r="P43">
            <v>45800</v>
          </cell>
          <cell r="Q43" t="str">
            <v>B - B3</v>
          </cell>
          <cell r="R43" t="str">
            <v>62955505379395</v>
          </cell>
          <cell r="U43">
            <v>45769</v>
          </cell>
          <cell r="V43">
            <v>45799</v>
          </cell>
          <cell r="W43">
            <v>45831</v>
          </cell>
          <cell r="X43">
            <v>45819</v>
          </cell>
          <cell r="Y43" t="str">
            <v/>
          </cell>
          <cell r="AA43" t="str">
            <v>010.472.223-002</v>
          </cell>
          <cell r="AB43" t="str">
            <v>trifasico</v>
          </cell>
          <cell r="AC43" t="str">
            <v>convencional</v>
          </cell>
          <cell r="AD43">
            <v>104.44</v>
          </cell>
          <cell r="AE43" t="str">
            <v>34191.09545 56526.870276 52186.260007 1 11090000010444</v>
          </cell>
          <cell r="AF43" t="str">
            <v>IGREJA DO EVANGELHO QUADRANGULAR</v>
          </cell>
          <cell r="AL43">
            <v>290</v>
          </cell>
          <cell r="AM43">
            <v>1.1392873563218391</v>
          </cell>
          <cell r="AN43">
            <v>330.39333333333332</v>
          </cell>
          <cell r="AO43">
            <v>1.1216206896551724</v>
          </cell>
          <cell r="AX43">
            <v>230</v>
          </cell>
          <cell r="AY43">
            <v>0.98240579710144948</v>
          </cell>
          <cell r="AZ43">
            <v>-225.95333333333338</v>
          </cell>
          <cell r="BA43">
            <v>1.121608695652174</v>
          </cell>
          <cell r="DZ43">
            <v>230</v>
          </cell>
          <cell r="EA43">
            <v>1.1392753623188407</v>
          </cell>
          <cell r="EB43">
            <v>-262.03333333333336</v>
          </cell>
          <cell r="EC43">
            <v>1.121608695652174</v>
          </cell>
          <cell r="ET43">
            <v>230</v>
          </cell>
          <cell r="EX43">
            <v>7</v>
          </cell>
          <cell r="EZ43">
            <v>1.06</v>
          </cell>
          <cell r="FL43">
            <v>36.08</v>
          </cell>
          <cell r="FM43">
            <v>56.73</v>
          </cell>
          <cell r="FN43">
            <v>4.6643999999999998E-2</v>
          </cell>
          <cell r="FO43">
            <v>2.64</v>
          </cell>
          <cell r="FP43">
            <v>56.73</v>
          </cell>
          <cell r="FQ43">
            <v>1.0126999999999999E-2</v>
          </cell>
          <cell r="FR43">
            <v>0.56999999999999995</v>
          </cell>
          <cell r="FS43">
            <v>68.36</v>
          </cell>
          <cell r="FT43">
            <v>0.17</v>
          </cell>
          <cell r="FU43">
            <v>11.62</v>
          </cell>
          <cell r="GD43">
            <v>290</v>
          </cell>
          <cell r="GE43">
            <v>5798</v>
          </cell>
          <cell r="GF43">
            <v>5769</v>
          </cell>
          <cell r="GG43">
            <v>10</v>
          </cell>
          <cell r="HM43">
            <v>410</v>
          </cell>
          <cell r="HQ43">
            <v>460</v>
          </cell>
          <cell r="HU43">
            <v>510</v>
          </cell>
          <cell r="HY43">
            <v>520</v>
          </cell>
          <cell r="IC43">
            <v>440</v>
          </cell>
          <cell r="IG43">
            <v>370</v>
          </cell>
          <cell r="IK43">
            <v>450</v>
          </cell>
          <cell r="IO43">
            <v>330</v>
          </cell>
          <cell r="IS43">
            <v>250</v>
          </cell>
          <cell r="IW43">
            <v>230</v>
          </cell>
        </row>
        <row r="44">
          <cell r="A44" t="str">
            <v/>
          </cell>
          <cell r="B44" t="str">
            <v>10/40190-1</v>
          </cell>
          <cell r="C44" t="str">
            <v>1775</v>
          </cell>
          <cell r="D44" t="str">
            <v>2024-01-01</v>
          </cell>
          <cell r="F44" t="str">
            <v>energisa_ms</v>
          </cell>
          <cell r="G44" t="str">
            <v>Cel Sapucaia 884</v>
          </cell>
          <cell r="H44" t="str">
            <v>Igreja do Evangelho Quadrangular</v>
          </cell>
          <cell r="I44">
            <v>45778</v>
          </cell>
          <cell r="J44" t="str">
            <v>COMERCIAL - TEMPLOS RELIGIOSOS</v>
          </cell>
          <cell r="K44" t="str">
            <v>79842080</v>
          </cell>
          <cell r="L44" t="str">
            <v>MS</v>
          </cell>
          <cell r="M44" t="str">
            <v>DOURADOS</v>
          </cell>
          <cell r="N44" t="str">
            <v>PARQUE DAS NACOES II</v>
          </cell>
          <cell r="O44" t="str">
            <v>RUA JOSE VALERIO DOS SANTOS, 435 - 04.010.13.605000</v>
          </cell>
          <cell r="P44">
            <v>45784</v>
          </cell>
          <cell r="Q44" t="str">
            <v>B - B3</v>
          </cell>
          <cell r="R44" t="str">
            <v>62955505177504</v>
          </cell>
          <cell r="U44">
            <v>45750</v>
          </cell>
          <cell r="V44">
            <v>45783</v>
          </cell>
          <cell r="W44">
            <v>45812</v>
          </cell>
          <cell r="X44">
            <v>45803</v>
          </cell>
          <cell r="Y44" t="str">
            <v/>
          </cell>
          <cell r="AA44" t="str">
            <v>010.221.076-002</v>
          </cell>
          <cell r="AB44" t="str">
            <v>bifasico</v>
          </cell>
          <cell r="AC44" t="str">
            <v>convencional</v>
          </cell>
          <cell r="AD44">
            <v>268.5</v>
          </cell>
          <cell r="AE44" t="str">
            <v>34191.09107 76658.482930 85972.140009 1 10930000026850</v>
          </cell>
          <cell r="AF44" t="str">
            <v>IGREJA DO EVANGELHO QUADRANGULAR</v>
          </cell>
          <cell r="AL44">
            <v>345</v>
          </cell>
          <cell r="AM44">
            <v>1.1246064018350537</v>
          </cell>
          <cell r="AN44">
            <v>387.98920863309354</v>
          </cell>
          <cell r="AO44">
            <v>1.1202898550724638</v>
          </cell>
          <cell r="AX44">
            <v>206</v>
          </cell>
          <cell r="AY44">
            <v>0.96955926520919167</v>
          </cell>
          <cell r="AZ44">
            <v>-199.72920863309349</v>
          </cell>
          <cell r="BA44">
            <v>1.1202912621359222</v>
          </cell>
          <cell r="DR44">
            <v>206</v>
          </cell>
          <cell r="DS44">
            <v>1.1246078088985121</v>
          </cell>
          <cell r="DT44">
            <v>-231.66920863309349</v>
          </cell>
          <cell r="DU44">
            <v>1.1202912621359222</v>
          </cell>
          <cell r="ET44">
            <v>206</v>
          </cell>
          <cell r="EX44">
            <v>0</v>
          </cell>
          <cell r="EZ44">
            <v>0.6</v>
          </cell>
          <cell r="FA44">
            <v>66.3</v>
          </cell>
          <cell r="FC44">
            <v>13.94</v>
          </cell>
          <cell r="FL44">
            <v>31.94</v>
          </cell>
          <cell r="FM44">
            <v>129.75</v>
          </cell>
          <cell r="FN44">
            <v>4.6643999999999998E-2</v>
          </cell>
          <cell r="FO44">
            <v>6.06</v>
          </cell>
          <cell r="FP44">
            <v>129.75</v>
          </cell>
          <cell r="FQ44">
            <v>1.0126999999999999E-2</v>
          </cell>
          <cell r="FR44">
            <v>1.31</v>
          </cell>
          <cell r="FS44">
            <v>156.32</v>
          </cell>
          <cell r="FT44">
            <v>0.17</v>
          </cell>
          <cell r="FU44">
            <v>26.57</v>
          </cell>
          <cell r="GD44">
            <v>345</v>
          </cell>
          <cell r="GE44">
            <v>72632</v>
          </cell>
          <cell r="GF44">
            <v>72287</v>
          </cell>
          <cell r="GG44">
            <v>1</v>
          </cell>
          <cell r="HM44">
            <v>317</v>
          </cell>
          <cell r="HQ44">
            <v>307</v>
          </cell>
          <cell r="HU44">
            <v>339</v>
          </cell>
          <cell r="HY44">
            <v>346</v>
          </cell>
          <cell r="IC44">
            <v>334</v>
          </cell>
          <cell r="IG44">
            <v>327</v>
          </cell>
          <cell r="IK44">
            <v>342</v>
          </cell>
          <cell r="IO44">
            <v>327</v>
          </cell>
          <cell r="IS44">
            <v>321</v>
          </cell>
          <cell r="IW44">
            <v>330</v>
          </cell>
        </row>
        <row r="45">
          <cell r="A45" t="str">
            <v/>
          </cell>
          <cell r="B45" t="str">
            <v>10/283183-2</v>
          </cell>
          <cell r="C45" t="str">
            <v>Paranhos 2876</v>
          </cell>
          <cell r="D45" t="str">
            <v>2024-01-01</v>
          </cell>
          <cell r="F45" t="str">
            <v>energisa_ms</v>
          </cell>
          <cell r="G45" t="str">
            <v>Paranhos 2876</v>
          </cell>
          <cell r="H45" t="str">
            <v>Igreja do Evangelho Quadrangular</v>
          </cell>
          <cell r="I45">
            <v>45778</v>
          </cell>
          <cell r="J45" t="str">
            <v>COMERCIAL - TEMPLOS RELIGIOSOS</v>
          </cell>
          <cell r="K45" t="str">
            <v>79925000</v>
          </cell>
          <cell r="L45" t="str">
            <v>MS</v>
          </cell>
          <cell r="M45" t="str">
            <v>PARANHOS</v>
          </cell>
          <cell r="N45" t="str">
            <v>CENTRO</v>
          </cell>
          <cell r="O45" t="str">
            <v>AVENIDA ALBERTO RATIER, 1200 - 11.091.05.353000</v>
          </cell>
          <cell r="P45">
            <v>45797</v>
          </cell>
          <cell r="Q45" t="str">
            <v>B - B3</v>
          </cell>
          <cell r="R45" t="str">
            <v>62955505287601</v>
          </cell>
          <cell r="U45">
            <v>45763</v>
          </cell>
          <cell r="V45">
            <v>45796</v>
          </cell>
          <cell r="W45">
            <v>45826</v>
          </cell>
          <cell r="X45">
            <v>45833</v>
          </cell>
          <cell r="Y45" t="str">
            <v/>
          </cell>
          <cell r="AA45" t="str">
            <v>010.427.892-002</v>
          </cell>
          <cell r="AB45" t="str">
            <v>trifasico</v>
          </cell>
          <cell r="AC45" t="str">
            <v>convencional</v>
          </cell>
          <cell r="AD45">
            <v>148.66</v>
          </cell>
          <cell r="AE45" t="str">
            <v>34191.09115 04090.692932 85972.140009 7 11230000014866</v>
          </cell>
          <cell r="AF45" t="str">
            <v>IGREJA DO EVANGELHO QUADRANGULAR</v>
          </cell>
          <cell r="AL45">
            <v>155</v>
          </cell>
          <cell r="AM45">
            <v>1.1354331279449075</v>
          </cell>
          <cell r="AN45">
            <v>175.99213483146065</v>
          </cell>
          <cell r="AO45">
            <v>1.1216129032258064</v>
          </cell>
          <cell r="AX45">
            <v>66</v>
          </cell>
          <cell r="AY45">
            <v>0.97851719441607066</v>
          </cell>
          <cell r="AZ45">
            <v>-64.582134831460664</v>
          </cell>
          <cell r="BA45">
            <v>1.1215151515151514</v>
          </cell>
          <cell r="DZ45">
            <v>66</v>
          </cell>
          <cell r="EA45">
            <v>1.1353353762342524</v>
          </cell>
          <cell r="EB45">
            <v>-74.932134831460658</v>
          </cell>
          <cell r="EC45">
            <v>1.1215151515151514</v>
          </cell>
          <cell r="ET45">
            <v>66</v>
          </cell>
          <cell r="EX45">
            <v>205</v>
          </cell>
          <cell r="EZ45">
            <v>1.23</v>
          </cell>
          <cell r="FA45">
            <v>33.86</v>
          </cell>
          <cell r="FC45">
            <v>3.3899999999999997</v>
          </cell>
          <cell r="FL45">
            <v>10.35</v>
          </cell>
          <cell r="FM45">
            <v>83.88</v>
          </cell>
          <cell r="FN45">
            <v>4.6643999999999998E-2</v>
          </cell>
          <cell r="FO45">
            <v>3.92</v>
          </cell>
          <cell r="FP45">
            <v>83.88</v>
          </cell>
          <cell r="FQ45">
            <v>1.0126999999999999E-2</v>
          </cell>
          <cell r="FR45">
            <v>0.85</v>
          </cell>
          <cell r="FS45">
            <v>101.06</v>
          </cell>
          <cell r="FT45">
            <v>0.17</v>
          </cell>
          <cell r="FU45">
            <v>17.18</v>
          </cell>
          <cell r="GD45">
            <v>155</v>
          </cell>
          <cell r="GE45">
            <v>34784</v>
          </cell>
          <cell r="GF45">
            <v>34629</v>
          </cell>
          <cell r="GG45">
            <v>1</v>
          </cell>
          <cell r="HM45">
            <v>126</v>
          </cell>
          <cell r="HQ45">
            <v>183</v>
          </cell>
          <cell r="HU45">
            <v>181</v>
          </cell>
          <cell r="HY45">
            <v>199</v>
          </cell>
          <cell r="IC45">
            <v>177</v>
          </cell>
          <cell r="IG45">
            <v>156</v>
          </cell>
          <cell r="IK45">
            <v>122</v>
          </cell>
          <cell r="IO45">
            <v>62</v>
          </cell>
          <cell r="IS45">
            <v>84</v>
          </cell>
          <cell r="IW45">
            <v>139</v>
          </cell>
        </row>
        <row r="46">
          <cell r="A46" t="str">
            <v/>
          </cell>
          <cell r="B46" t="str">
            <v>10/2605731-5</v>
          </cell>
          <cell r="C46" t="str">
            <v>17213</v>
          </cell>
          <cell r="D46" t="str">
            <v>2024-01-01</v>
          </cell>
          <cell r="F46" t="str">
            <v>energisa_ms</v>
          </cell>
          <cell r="G46" t="str">
            <v>17213</v>
          </cell>
          <cell r="H46" t="str">
            <v>Igreja do Evangelho Quadrangular</v>
          </cell>
          <cell r="I46">
            <v>45778</v>
          </cell>
          <cell r="J46" t="str">
            <v>RESIDENCIAL - RESIDENCIAL</v>
          </cell>
          <cell r="K46" t="str">
            <v>79290000</v>
          </cell>
          <cell r="L46" t="str">
            <v>MS</v>
          </cell>
          <cell r="M46" t="str">
            <v>BONITO</v>
          </cell>
          <cell r="N46" t="str">
            <v>CENTRO</v>
          </cell>
          <cell r="O46" t="str">
            <v>RUA LUIZ DA COSTA LEITE, 2177 - -16.061.05.129002</v>
          </cell>
          <cell r="P46">
            <v>45805</v>
          </cell>
          <cell r="Q46" t="str">
            <v>B - B1</v>
          </cell>
          <cell r="R46" t="str">
            <v>62955505017213</v>
          </cell>
          <cell r="U46">
            <v>45772</v>
          </cell>
          <cell r="V46">
            <v>45804</v>
          </cell>
          <cell r="W46">
            <v>45834</v>
          </cell>
          <cell r="X46">
            <v>45829</v>
          </cell>
          <cell r="Y46" t="str">
            <v/>
          </cell>
          <cell r="AA46" t="str">
            <v>010.531.226-002</v>
          </cell>
          <cell r="AB46" t="str">
            <v>trifasico</v>
          </cell>
          <cell r="AC46" t="str">
            <v>convencional</v>
          </cell>
          <cell r="AD46">
            <v>431.9</v>
          </cell>
          <cell r="AE46" t="str">
            <v>34191.09115 19735.352932 85972.140009 4 11190000043190</v>
          </cell>
          <cell r="AF46" t="str">
            <v>IGREJA DO EVANGELHO QUADRANGULAR</v>
          </cell>
          <cell r="AL46">
            <v>774</v>
          </cell>
          <cell r="AM46">
            <v>1.1419396624047786</v>
          </cell>
          <cell r="AN46">
            <v>883.86129870129867</v>
          </cell>
          <cell r="AO46">
            <v>1.1216149870801033</v>
          </cell>
          <cell r="AX46">
            <v>466</v>
          </cell>
          <cell r="AY46">
            <v>1.141934117384761</v>
          </cell>
          <cell r="AZ46">
            <v>-532.14129870129864</v>
          </cell>
          <cell r="BA46">
            <v>1.1216094420600857</v>
          </cell>
          <cell r="DZ46">
            <v>466</v>
          </cell>
          <cell r="EA46">
            <v>1.141934117384761</v>
          </cell>
          <cell r="EB46">
            <v>-532.14129870129864</v>
          </cell>
          <cell r="EC46">
            <v>1.1216094420600857</v>
          </cell>
          <cell r="ET46">
            <v>466</v>
          </cell>
          <cell r="EX46">
            <v>0</v>
          </cell>
          <cell r="EZ46">
            <v>6.26</v>
          </cell>
          <cell r="FA46">
            <v>80.180000000000007</v>
          </cell>
          <cell r="FM46">
            <v>291.93</v>
          </cell>
          <cell r="FN46">
            <v>4.6643999999999998E-2</v>
          </cell>
          <cell r="FO46">
            <v>13.63</v>
          </cell>
          <cell r="FP46">
            <v>291.93</v>
          </cell>
          <cell r="FQ46">
            <v>1.0126999999999999E-2</v>
          </cell>
          <cell r="FR46">
            <v>2.96</v>
          </cell>
          <cell r="FS46">
            <v>351.72</v>
          </cell>
          <cell r="FT46">
            <v>0.17</v>
          </cell>
          <cell r="FU46">
            <v>59.79</v>
          </cell>
          <cell r="GD46">
            <v>774</v>
          </cell>
          <cell r="GE46">
            <v>63563</v>
          </cell>
          <cell r="GF46">
            <v>62789</v>
          </cell>
          <cell r="GG46">
            <v>1</v>
          </cell>
          <cell r="HM46">
            <v>1008</v>
          </cell>
          <cell r="HQ46">
            <v>995</v>
          </cell>
          <cell r="HU46">
            <v>1598</v>
          </cell>
          <cell r="HY46">
            <v>1719</v>
          </cell>
          <cell r="IC46">
            <v>1255</v>
          </cell>
          <cell r="IG46">
            <v>1124</v>
          </cell>
          <cell r="IK46">
            <v>1206</v>
          </cell>
          <cell r="IO46">
            <v>851</v>
          </cell>
          <cell r="IS46">
            <v>630</v>
          </cell>
          <cell r="IW46">
            <v>457</v>
          </cell>
        </row>
        <row r="47">
          <cell r="A47" t="str">
            <v/>
          </cell>
          <cell r="B47" t="str">
            <v>10/202838-9</v>
          </cell>
          <cell r="C47" t="str">
            <v>16403</v>
          </cell>
          <cell r="D47" t="str">
            <v>2024-01-01</v>
          </cell>
          <cell r="F47" t="str">
            <v>energisa_ms</v>
          </cell>
          <cell r="G47" t="str">
            <v>16403</v>
          </cell>
          <cell r="H47" t="str">
            <v>Igreja do Evangelho Quadrangular</v>
          </cell>
          <cell r="I47">
            <v>45778</v>
          </cell>
          <cell r="J47" t="str">
            <v>COMERCIAL - TEMPLOS RELIGIOSOS</v>
          </cell>
          <cell r="K47" t="str">
            <v>79240000</v>
          </cell>
          <cell r="L47" t="str">
            <v>MS</v>
          </cell>
          <cell r="M47" t="str">
            <v>JARDIM</v>
          </cell>
          <cell r="N47" t="str">
            <v>VILA ANGELICA I</v>
          </cell>
          <cell r="O47" t="str">
            <v>RUA GUANABARA, 146 - 17.047.05.488000 TELEMETRIA</v>
          </cell>
          <cell r="P47">
            <v>45797</v>
          </cell>
          <cell r="Q47" t="str">
            <v>B - B3</v>
          </cell>
          <cell r="R47" t="str">
            <v>62955505016403</v>
          </cell>
          <cell r="U47">
            <v>45763</v>
          </cell>
          <cell r="V47">
            <v>45796</v>
          </cell>
          <cell r="W47">
            <v>45826</v>
          </cell>
          <cell r="X47">
            <v>45829</v>
          </cell>
          <cell r="Y47" t="str">
            <v/>
          </cell>
          <cell r="AA47" t="str">
            <v>010.427.615-002</v>
          </cell>
          <cell r="AB47" t="str">
            <v>trifasico</v>
          </cell>
          <cell r="AC47" t="str">
            <v>convencional</v>
          </cell>
          <cell r="AD47">
            <v>299.20999999999998</v>
          </cell>
          <cell r="AE47" t="str">
            <v>34191.09115 04075.432932 85972.140009 1 11190000029921</v>
          </cell>
          <cell r="AF47" t="str">
            <v>IGREJA DO EVANGELHO QUADRANGULAR</v>
          </cell>
          <cell r="AL47">
            <v>800</v>
          </cell>
          <cell r="AM47">
            <v>1.1353249999999999</v>
          </cell>
          <cell r="AN47">
            <v>908.26</v>
          </cell>
          <cell r="AO47">
            <v>1.1216249999999999</v>
          </cell>
          <cell r="AX47">
            <v>700</v>
          </cell>
          <cell r="AY47">
            <v>1.1353142857142857</v>
          </cell>
          <cell r="AZ47">
            <v>-794.72</v>
          </cell>
          <cell r="BA47">
            <v>1.1216142857142857</v>
          </cell>
          <cell r="DR47">
            <v>374</v>
          </cell>
          <cell r="DS47">
            <v>1.1353042780748663</v>
          </cell>
          <cell r="DT47">
            <v>-424.60380000000004</v>
          </cell>
          <cell r="DU47">
            <v>1.1216042780748663</v>
          </cell>
          <cell r="DZ47">
            <v>326</v>
          </cell>
          <cell r="EA47">
            <v>1.1353257668711656</v>
          </cell>
          <cell r="EB47">
            <v>-370.11619999999999</v>
          </cell>
          <cell r="EC47">
            <v>1.1216257668711656</v>
          </cell>
          <cell r="ET47">
            <v>700</v>
          </cell>
          <cell r="EX47">
            <v>84</v>
          </cell>
          <cell r="EZ47">
            <v>1.37</v>
          </cell>
          <cell r="FA47">
            <v>183.49</v>
          </cell>
          <cell r="FC47">
            <v>2.1800000000000002</v>
          </cell>
          <cell r="FM47">
            <v>94.26</v>
          </cell>
          <cell r="FN47">
            <v>4.6643999999999998E-2</v>
          </cell>
          <cell r="FO47">
            <v>4.41</v>
          </cell>
          <cell r="FP47">
            <v>94.26</v>
          </cell>
          <cell r="FQ47">
            <v>1.0126999999999999E-2</v>
          </cell>
          <cell r="FR47">
            <v>0.96</v>
          </cell>
          <cell r="FS47">
            <v>113.54</v>
          </cell>
          <cell r="FT47">
            <v>0.17</v>
          </cell>
          <cell r="FU47">
            <v>19.3</v>
          </cell>
          <cell r="GD47">
            <v>800</v>
          </cell>
          <cell r="GE47">
            <v>723</v>
          </cell>
          <cell r="GF47">
            <v>703</v>
          </cell>
          <cell r="GG47">
            <v>40</v>
          </cell>
          <cell r="HM47">
            <v>800</v>
          </cell>
          <cell r="HQ47">
            <v>1120</v>
          </cell>
          <cell r="HU47">
            <v>960</v>
          </cell>
          <cell r="HY47">
            <v>880</v>
          </cell>
          <cell r="IC47">
            <v>760</v>
          </cell>
          <cell r="IG47">
            <v>800</v>
          </cell>
          <cell r="IK47">
            <v>880</v>
          </cell>
          <cell r="IO47">
            <v>640</v>
          </cell>
          <cell r="IS47">
            <v>600</v>
          </cell>
          <cell r="IW47">
            <v>440</v>
          </cell>
        </row>
        <row r="48">
          <cell r="A48" t="str">
            <v/>
          </cell>
          <cell r="B48" t="str">
            <v>10/81222-2</v>
          </cell>
          <cell r="C48" t="str">
            <v>159</v>
          </cell>
          <cell r="D48" t="str">
            <v>2024-01-01</v>
          </cell>
          <cell r="F48" t="str">
            <v>energisa_ms</v>
          </cell>
          <cell r="G48" t="str">
            <v>159</v>
          </cell>
          <cell r="H48" t="str">
            <v>Igreja do Evangelho Quadrangular</v>
          </cell>
          <cell r="I48">
            <v>45778</v>
          </cell>
          <cell r="J48" t="str">
            <v>COMERCIAL - TEMPLOS RELIGIOSOS</v>
          </cell>
          <cell r="K48" t="str">
            <v>79380000</v>
          </cell>
          <cell r="L48" t="str">
            <v>MS</v>
          </cell>
          <cell r="M48" t="str">
            <v>MIRANDA</v>
          </cell>
          <cell r="N48" t="str">
            <v>CENTRO</v>
          </cell>
          <cell r="O48" t="str">
            <v>RUA BENJAMIN CONSTANT, 923 - 08.013.01.032000</v>
          </cell>
          <cell r="P48">
            <v>45796</v>
          </cell>
          <cell r="Q48" t="str">
            <v>B - B3</v>
          </cell>
          <cell r="R48" t="str">
            <v>62955505015946</v>
          </cell>
          <cell r="U48">
            <v>45762</v>
          </cell>
          <cell r="V48">
            <v>45793</v>
          </cell>
          <cell r="W48">
            <v>45825</v>
          </cell>
          <cell r="X48">
            <v>45824</v>
          </cell>
          <cell r="Y48" t="str">
            <v/>
          </cell>
          <cell r="AA48" t="str">
            <v>010.405.962-002</v>
          </cell>
          <cell r="AB48" t="str">
            <v>trifasico</v>
          </cell>
          <cell r="AC48" t="str">
            <v>convencional</v>
          </cell>
          <cell r="AD48">
            <v>137.37</v>
          </cell>
          <cell r="AE48" t="str">
            <v>34191.09115 03171.142932 85972.140009 1 11140000013737</v>
          </cell>
          <cell r="AF48" t="str">
            <v>IGREJA DO EVANGELHO QUADRANGULAR</v>
          </cell>
          <cell r="AL48">
            <v>347</v>
          </cell>
          <cell r="AM48">
            <v>1.1339542583849407</v>
          </cell>
          <cell r="AN48">
            <v>393.48212765957442</v>
          </cell>
          <cell r="AO48">
            <v>1.1216138328530258</v>
          </cell>
          <cell r="AX48">
            <v>300</v>
          </cell>
          <cell r="AY48">
            <v>0.97704042553191506</v>
          </cell>
          <cell r="AZ48">
            <v>-293.11212765957453</v>
          </cell>
          <cell r="BA48">
            <v>1.1216000000000002</v>
          </cell>
          <cell r="DR48">
            <v>63</v>
          </cell>
          <cell r="DS48">
            <v>1.1339277271192163</v>
          </cell>
          <cell r="DT48">
            <v>-71.437446808510629</v>
          </cell>
          <cell r="DU48">
            <v>1.1215873015873015</v>
          </cell>
          <cell r="DZ48">
            <v>237</v>
          </cell>
          <cell r="EA48">
            <v>1.133943801059341</v>
          </cell>
          <cell r="EB48">
            <v>-268.74468085106383</v>
          </cell>
          <cell r="EC48">
            <v>1.1216033755274262</v>
          </cell>
          <cell r="ET48">
            <v>300</v>
          </cell>
          <cell r="EX48">
            <v>285</v>
          </cell>
          <cell r="EZ48">
            <v>0.57999999999999996</v>
          </cell>
          <cell r="FA48">
            <v>37</v>
          </cell>
          <cell r="FL48">
            <v>47.07</v>
          </cell>
          <cell r="FM48">
            <v>44.29</v>
          </cell>
          <cell r="FN48">
            <v>4.6643999999999998E-2</v>
          </cell>
          <cell r="FO48">
            <v>2.08</v>
          </cell>
          <cell r="FP48">
            <v>44.29</v>
          </cell>
          <cell r="FQ48">
            <v>1.0126999999999999E-2</v>
          </cell>
          <cell r="FR48">
            <v>0.47</v>
          </cell>
          <cell r="FS48">
            <v>53.3</v>
          </cell>
          <cell r="FT48">
            <v>0.17</v>
          </cell>
          <cell r="FU48">
            <v>9.06</v>
          </cell>
          <cell r="GD48">
            <v>347</v>
          </cell>
          <cell r="GE48">
            <v>60355</v>
          </cell>
          <cell r="GF48">
            <v>60008</v>
          </cell>
          <cell r="GG48">
            <v>1</v>
          </cell>
          <cell r="HM48">
            <v>369</v>
          </cell>
          <cell r="HQ48">
            <v>539</v>
          </cell>
          <cell r="HU48">
            <v>570</v>
          </cell>
          <cell r="HY48">
            <v>664</v>
          </cell>
          <cell r="IC48">
            <v>462</v>
          </cell>
          <cell r="IG48">
            <v>510</v>
          </cell>
          <cell r="IK48">
            <v>604</v>
          </cell>
          <cell r="IO48">
            <v>316</v>
          </cell>
          <cell r="IS48">
            <v>261</v>
          </cell>
          <cell r="IW48">
            <v>250</v>
          </cell>
        </row>
        <row r="49">
          <cell r="A49" t="str">
            <v/>
          </cell>
          <cell r="B49" t="str">
            <v>10/1939035-0</v>
          </cell>
          <cell r="C49" t="str">
            <v>Bataguassu 4194 - Adicionada</v>
          </cell>
          <cell r="D49" t="str">
            <v>2024-01-01</v>
          </cell>
          <cell r="F49" t="str">
            <v>energisa_ms</v>
          </cell>
          <cell r="G49" t="str">
            <v>4465</v>
          </cell>
          <cell r="H49" t="str">
            <v>Igreja do Evangelho Quadrangular</v>
          </cell>
          <cell r="I49">
            <v>45778</v>
          </cell>
          <cell r="J49" t="str">
            <v>RESIDENCIAL - RESIDENCIAL</v>
          </cell>
          <cell r="K49" t="str">
            <v>79780000</v>
          </cell>
          <cell r="L49" t="str">
            <v>MS</v>
          </cell>
          <cell r="M49" t="str">
            <v>BATAGUASSU</v>
          </cell>
          <cell r="N49" t="str">
            <v>RESIDENCIAL MODELO II</v>
          </cell>
          <cell r="O49" t="str">
            <v>RUA NOVE, 121 - QD E LT 1B</v>
          </cell>
          <cell r="P49">
            <v>45794</v>
          </cell>
          <cell r="Q49" t="str">
            <v>B - B1</v>
          </cell>
          <cell r="R49" t="str">
            <v>62955505419443</v>
          </cell>
          <cell r="U49">
            <v>45761</v>
          </cell>
          <cell r="V49">
            <v>45792</v>
          </cell>
          <cell r="W49">
            <v>45824</v>
          </cell>
          <cell r="X49">
            <v>45824</v>
          </cell>
          <cell r="Y49" t="str">
            <v/>
          </cell>
          <cell r="AA49" t="str">
            <v>010.387.753-002</v>
          </cell>
          <cell r="AB49" t="str">
            <v>bifasico</v>
          </cell>
          <cell r="AC49" t="str">
            <v>convencional</v>
          </cell>
          <cell r="AD49">
            <v>82.4</v>
          </cell>
          <cell r="AE49" t="str">
            <v>34191.09115 00194.962932 85972.140009 1 11140000008240</v>
          </cell>
          <cell r="AF49" t="str">
            <v>IGREJA DO EVANGELHO QUADRANGULAR</v>
          </cell>
          <cell r="AL49">
            <v>228</v>
          </cell>
          <cell r="AM49">
            <v>1.1332894736842105</v>
          </cell>
          <cell r="AN49">
            <v>258.39</v>
          </cell>
          <cell r="AO49">
            <v>1.1216228070175438</v>
          </cell>
          <cell r="AX49">
            <v>180</v>
          </cell>
          <cell r="AY49">
            <v>1.1219444444444446</v>
          </cell>
          <cell r="AZ49">
            <v>-201.95000000000002</v>
          </cell>
          <cell r="BA49">
            <v>1.1215555555555556</v>
          </cell>
          <cell r="DR49">
            <v>25</v>
          </cell>
          <cell r="DS49">
            <v>1.1328666666666667</v>
          </cell>
          <cell r="DT49">
            <v>-28.321666666666665</v>
          </cell>
          <cell r="DU49">
            <v>1.1212</v>
          </cell>
          <cell r="DZ49">
            <v>155</v>
          </cell>
          <cell r="EA49">
            <v>1.1332795698924731</v>
          </cell>
          <cell r="EB49">
            <v>-175.65833333333333</v>
          </cell>
          <cell r="EC49">
            <v>1.1216129032258064</v>
          </cell>
          <cell r="ET49">
            <v>180</v>
          </cell>
          <cell r="EX49">
            <v>625</v>
          </cell>
          <cell r="EZ49">
            <v>0.56000000000000005</v>
          </cell>
          <cell r="FA49">
            <v>24.67</v>
          </cell>
          <cell r="FC49">
            <v>1.29</v>
          </cell>
          <cell r="FL49">
            <v>2.0299999999999998</v>
          </cell>
          <cell r="FM49">
            <v>45.18</v>
          </cell>
          <cell r="FN49">
            <v>4.6643999999999998E-2</v>
          </cell>
          <cell r="FO49">
            <v>2.12</v>
          </cell>
          <cell r="FP49">
            <v>45.18</v>
          </cell>
          <cell r="FQ49">
            <v>1.0126999999999999E-2</v>
          </cell>
          <cell r="FR49">
            <v>0.47</v>
          </cell>
          <cell r="FS49">
            <v>54.41</v>
          </cell>
          <cell r="FT49">
            <v>0.17</v>
          </cell>
          <cell r="FU49">
            <v>9.24</v>
          </cell>
          <cell r="GD49">
            <v>228</v>
          </cell>
          <cell r="GE49">
            <v>25659</v>
          </cell>
          <cell r="GF49">
            <v>25431</v>
          </cell>
          <cell r="GG49">
            <v>1</v>
          </cell>
          <cell r="HM49">
            <v>363</v>
          </cell>
          <cell r="HQ49">
            <v>545</v>
          </cell>
          <cell r="HU49">
            <v>417</v>
          </cell>
          <cell r="HY49">
            <v>386</v>
          </cell>
          <cell r="IC49">
            <v>451</v>
          </cell>
          <cell r="IG49">
            <v>310</v>
          </cell>
          <cell r="IK49">
            <v>400</v>
          </cell>
          <cell r="IO49">
            <v>302</v>
          </cell>
          <cell r="IS49">
            <v>228</v>
          </cell>
          <cell r="IW49">
            <v>257</v>
          </cell>
        </row>
        <row r="50">
          <cell r="A50" t="str">
            <v/>
          </cell>
          <cell r="B50" t="str">
            <v>10/384823-1</v>
          </cell>
          <cell r="C50" t="str">
            <v>Santa Emilia 1593</v>
          </cell>
          <cell r="D50" t="str">
            <v>2024-01-01</v>
          </cell>
          <cell r="F50" t="str">
            <v>energisa_ms</v>
          </cell>
          <cell r="G50" t="str">
            <v>Carlos Camisao (3325)</v>
          </cell>
          <cell r="H50" t="str">
            <v>Igreja do Evangelho Quadrangular</v>
          </cell>
          <cell r="I50">
            <v>45778</v>
          </cell>
          <cell r="J50" t="str">
            <v>COMERCIAL - TEMPLOS RELIGIOSOS</v>
          </cell>
          <cell r="K50" t="str">
            <v>79093290</v>
          </cell>
          <cell r="L50" t="str">
            <v>MS</v>
          </cell>
          <cell r="M50" t="str">
            <v>CAMPO GRANDE</v>
          </cell>
          <cell r="N50" t="str">
            <v>JARDIM SAO CONRADO</v>
          </cell>
          <cell r="O50" t="str">
            <v>AVENIDA GEN ALBERTO CARLOS MENDONCA LIMA, 2385 - 09.103.27.350000</v>
          </cell>
          <cell r="P50">
            <v>45789</v>
          </cell>
          <cell r="Q50" t="str">
            <v>B - B3</v>
          </cell>
          <cell r="R50" t="str">
            <v>62955505000167</v>
          </cell>
          <cell r="U50">
            <v>45756</v>
          </cell>
          <cell r="V50">
            <v>45786</v>
          </cell>
          <cell r="W50">
            <v>45817</v>
          </cell>
          <cell r="X50">
            <v>45798</v>
          </cell>
          <cell r="Y50" t="str">
            <v/>
          </cell>
          <cell r="AA50" t="str">
            <v>010.292.342-002</v>
          </cell>
          <cell r="AB50" t="str">
            <v>monofasico</v>
          </cell>
          <cell r="AC50" t="str">
            <v>convencional</v>
          </cell>
          <cell r="AD50">
            <v>31.84</v>
          </cell>
          <cell r="AF50" t="str">
            <v>IGREJA DO EVANGELHO QUADRANGULAR</v>
          </cell>
          <cell r="AL50">
            <v>150</v>
          </cell>
          <cell r="AM50">
            <v>1.1291000000000002</v>
          </cell>
          <cell r="AN50">
            <v>169.36500000000004</v>
          </cell>
          <cell r="AO50">
            <v>1.1216000000000002</v>
          </cell>
          <cell r="AX50">
            <v>130</v>
          </cell>
          <cell r="AY50">
            <v>1.0578846153846155</v>
          </cell>
          <cell r="AZ50">
            <v>-137.52500000000001</v>
          </cell>
          <cell r="BA50">
            <v>1.1215384615384616</v>
          </cell>
          <cell r="DR50">
            <v>130</v>
          </cell>
          <cell r="DS50">
            <v>1.1290384615384617</v>
          </cell>
          <cell r="DT50">
            <v>-146.77500000000001</v>
          </cell>
          <cell r="DU50">
            <v>1.1215384615384616</v>
          </cell>
          <cell r="ET50">
            <v>130</v>
          </cell>
          <cell r="EX50">
            <v>494</v>
          </cell>
          <cell r="EZ50">
            <v>0.15</v>
          </cell>
          <cell r="FL50">
            <v>9.25</v>
          </cell>
          <cell r="FM50">
            <v>18.77</v>
          </cell>
          <cell r="FN50">
            <v>4.6643999999999998E-2</v>
          </cell>
          <cell r="FO50">
            <v>0.88</v>
          </cell>
          <cell r="FP50">
            <v>18.77</v>
          </cell>
          <cell r="FQ50">
            <v>1.0126999999999999E-2</v>
          </cell>
          <cell r="FR50">
            <v>0.19</v>
          </cell>
          <cell r="FS50">
            <v>22.59</v>
          </cell>
          <cell r="FT50">
            <v>0.17</v>
          </cell>
          <cell r="FU50">
            <v>3.84</v>
          </cell>
          <cell r="GD50">
            <v>150</v>
          </cell>
          <cell r="GE50">
            <v>46730</v>
          </cell>
          <cell r="GF50">
            <v>46580</v>
          </cell>
          <cell r="GG50">
            <v>1</v>
          </cell>
          <cell r="HM50">
            <v>131</v>
          </cell>
          <cell r="HQ50">
            <v>171</v>
          </cell>
          <cell r="HU50">
            <v>143</v>
          </cell>
          <cell r="HY50">
            <v>85</v>
          </cell>
          <cell r="IC50">
            <v>80</v>
          </cell>
          <cell r="IG50">
            <v>63</v>
          </cell>
          <cell r="IK50">
            <v>80</v>
          </cell>
          <cell r="IO50">
            <v>109</v>
          </cell>
          <cell r="IS50">
            <v>158</v>
          </cell>
          <cell r="IW50">
            <v>152</v>
          </cell>
        </row>
        <row r="51">
          <cell r="A51" t="str">
            <v/>
          </cell>
          <cell r="B51" t="str">
            <v>10/175073-6</v>
          </cell>
          <cell r="C51" t="str">
            <v>Ivinhema 1344</v>
          </cell>
          <cell r="D51" t="str">
            <v>2024-01-01</v>
          </cell>
          <cell r="F51" t="str">
            <v>energisa_ms</v>
          </cell>
          <cell r="G51" t="str">
            <v>Ivinhema 1344</v>
          </cell>
          <cell r="H51" t="str">
            <v>Igreja do Evangelho Quadrangular</v>
          </cell>
          <cell r="I51">
            <v>45778</v>
          </cell>
          <cell r="J51" t="str">
            <v>COMERCIAL - TEMPLOS RELIGIOSOS</v>
          </cell>
          <cell r="K51" t="str">
            <v>79740000</v>
          </cell>
          <cell r="L51" t="str">
            <v>MS</v>
          </cell>
          <cell r="M51" t="str">
            <v>IVINHEMA</v>
          </cell>
          <cell r="N51" t="str">
            <v>ITAPOA</v>
          </cell>
          <cell r="O51" t="str">
            <v>RUA MIGUEL MARCHETTI, 149 - 14.039.19.312000</v>
          </cell>
          <cell r="P51">
            <v>45797</v>
          </cell>
          <cell r="Q51" t="str">
            <v>B - B3</v>
          </cell>
          <cell r="R51" t="str">
            <v>62955505134449</v>
          </cell>
          <cell r="U51">
            <v>45763</v>
          </cell>
          <cell r="V51">
            <v>45796</v>
          </cell>
          <cell r="W51">
            <v>45826</v>
          </cell>
          <cell r="X51">
            <v>45819</v>
          </cell>
          <cell r="Y51" t="str">
            <v/>
          </cell>
          <cell r="AA51" t="str">
            <v>010.427.505-002</v>
          </cell>
          <cell r="AB51" t="str">
            <v>bifasico</v>
          </cell>
          <cell r="AC51" t="str">
            <v>convencional</v>
          </cell>
          <cell r="AD51">
            <v>76.45</v>
          </cell>
          <cell r="AE51" t="str">
            <v>34191.09115 04069.172932 85972.140009 1 11090000007645</v>
          </cell>
          <cell r="AF51" t="str">
            <v>IGREJA DO EVANGELHO QUADRANGULAR</v>
          </cell>
          <cell r="AL51">
            <v>93</v>
          </cell>
          <cell r="AM51">
            <v>1.1357592446892211</v>
          </cell>
          <cell r="AN51">
            <v>105.62560975609756</v>
          </cell>
          <cell r="AO51">
            <v>1.1216129032258064</v>
          </cell>
          <cell r="AX51">
            <v>52</v>
          </cell>
          <cell r="AY51">
            <v>0.97895403377110712</v>
          </cell>
          <cell r="AZ51">
            <v>-50.905609756097569</v>
          </cell>
          <cell r="BA51">
            <v>1.1215384615384616</v>
          </cell>
          <cell r="DZ51">
            <v>52</v>
          </cell>
          <cell r="EA51">
            <v>1.1356848030018762</v>
          </cell>
          <cell r="EB51">
            <v>-59.055609756097567</v>
          </cell>
          <cell r="EC51">
            <v>1.1215384615384616</v>
          </cell>
          <cell r="ET51">
            <v>52</v>
          </cell>
          <cell r="EX51">
            <v>432</v>
          </cell>
          <cell r="EZ51">
            <v>0.57999999999999996</v>
          </cell>
          <cell r="FA51">
            <v>18.5</v>
          </cell>
          <cell r="FC51">
            <v>3.2300000000000004</v>
          </cell>
          <cell r="FL51">
            <v>8.15</v>
          </cell>
          <cell r="FM51">
            <v>38.65</v>
          </cell>
          <cell r="FN51">
            <v>4.6643999999999998E-2</v>
          </cell>
          <cell r="FO51">
            <v>1.8</v>
          </cell>
          <cell r="FP51">
            <v>38.65</v>
          </cell>
          <cell r="FQ51">
            <v>1.0126999999999999E-2</v>
          </cell>
          <cell r="FR51">
            <v>0.4</v>
          </cell>
          <cell r="FS51">
            <v>46.57</v>
          </cell>
          <cell r="FT51">
            <v>0.17</v>
          </cell>
          <cell r="FU51">
            <v>7.91</v>
          </cell>
          <cell r="GD51">
            <v>93</v>
          </cell>
          <cell r="GE51">
            <v>44318</v>
          </cell>
          <cell r="GF51">
            <v>44225</v>
          </cell>
          <cell r="GG51">
            <v>1</v>
          </cell>
          <cell r="HM51">
            <v>84</v>
          </cell>
          <cell r="HQ51">
            <v>70</v>
          </cell>
          <cell r="HU51">
            <v>82</v>
          </cell>
          <cell r="HY51">
            <v>57</v>
          </cell>
          <cell r="IC51">
            <v>107</v>
          </cell>
          <cell r="IG51">
            <v>101</v>
          </cell>
          <cell r="IK51">
            <v>80</v>
          </cell>
          <cell r="IO51">
            <v>52</v>
          </cell>
          <cell r="IS51">
            <v>120</v>
          </cell>
          <cell r="IW51">
            <v>70</v>
          </cell>
        </row>
        <row r="52">
          <cell r="A52" t="str">
            <v/>
          </cell>
          <cell r="B52" t="str">
            <v>10/2599101-9</v>
          </cell>
          <cell r="C52" t="str">
            <v>Administrativa</v>
          </cell>
          <cell r="D52" t="str">
            <v>2024-01-01</v>
          </cell>
          <cell r="F52" t="str">
            <v>energisa_ms</v>
          </cell>
          <cell r="G52" t="str">
            <v>Administrativa</v>
          </cell>
          <cell r="H52" t="str">
            <v>Igreja do Evangelho Quadrangular</v>
          </cell>
          <cell r="I52">
            <v>45778</v>
          </cell>
          <cell r="J52" t="str">
            <v>COMERCIAL - TEMPLOS RELIGIOSOS</v>
          </cell>
          <cell r="K52" t="str">
            <v>79006001</v>
          </cell>
          <cell r="L52" t="str">
            <v>MS</v>
          </cell>
          <cell r="M52" t="str">
            <v>CAMPO GRANDE</v>
          </cell>
          <cell r="N52" t="str">
            <v>GUANANDI</v>
          </cell>
          <cell r="O52" t="str">
            <v>AVENIDA BANDEIRANTES, 0</v>
          </cell>
          <cell r="P52">
            <v>45784</v>
          </cell>
          <cell r="Q52" t="str">
            <v>B - B3</v>
          </cell>
          <cell r="R52" t="str">
            <v>62955505379395</v>
          </cell>
          <cell r="U52">
            <v>45750</v>
          </cell>
          <cell r="V52">
            <v>45783</v>
          </cell>
          <cell r="W52">
            <v>45812</v>
          </cell>
          <cell r="X52">
            <v>45792</v>
          </cell>
          <cell r="Y52" t="str">
            <v/>
          </cell>
          <cell r="AA52" t="str">
            <v>010.229.573-002</v>
          </cell>
          <cell r="AB52" t="str">
            <v>trifasico</v>
          </cell>
          <cell r="AC52" t="str">
            <v>convencional</v>
          </cell>
          <cell r="AD52">
            <v>112.51</v>
          </cell>
          <cell r="AF52" t="str">
            <v>IGREJA DO EVANGELHO QUADRANGULAR</v>
          </cell>
          <cell r="AL52">
            <v>675</v>
          </cell>
          <cell r="AM52">
            <v>1.1250111111111112</v>
          </cell>
          <cell r="AN52">
            <v>759.38250000000005</v>
          </cell>
          <cell r="AO52">
            <v>1.1203111111111113</v>
          </cell>
          <cell r="AX52">
            <v>575</v>
          </cell>
          <cell r="AY52">
            <v>1.1249956521739131</v>
          </cell>
          <cell r="AZ52">
            <v>-646.87250000000006</v>
          </cell>
          <cell r="BA52">
            <v>1.1202956521739131</v>
          </cell>
          <cell r="DR52">
            <v>575</v>
          </cell>
          <cell r="DS52">
            <v>1.1249956521739131</v>
          </cell>
          <cell r="DT52">
            <v>-646.87250000000006</v>
          </cell>
          <cell r="DU52">
            <v>1.1202956521739131</v>
          </cell>
          <cell r="ET52">
            <v>575</v>
          </cell>
          <cell r="EX52">
            <v>587</v>
          </cell>
          <cell r="EZ52">
            <v>0.47</v>
          </cell>
          <cell r="FM52">
            <v>93.38</v>
          </cell>
          <cell r="FN52">
            <v>4.6643999999999998E-2</v>
          </cell>
          <cell r="FO52">
            <v>4.3600000000000003</v>
          </cell>
          <cell r="FP52">
            <v>93.38</v>
          </cell>
          <cell r="FQ52">
            <v>1.0126999999999999E-2</v>
          </cell>
          <cell r="FR52">
            <v>0.95</v>
          </cell>
          <cell r="FS52">
            <v>112.51</v>
          </cell>
          <cell r="FT52">
            <v>0.17</v>
          </cell>
          <cell r="FU52">
            <v>19.12</v>
          </cell>
          <cell r="GD52">
            <v>675</v>
          </cell>
          <cell r="GE52">
            <v>10907</v>
          </cell>
          <cell r="GF52">
            <v>10232</v>
          </cell>
          <cell r="GG52">
            <v>1</v>
          </cell>
          <cell r="HM52">
            <v>927</v>
          </cell>
          <cell r="HQ52">
            <v>1430</v>
          </cell>
          <cell r="HU52">
            <v>820</v>
          </cell>
          <cell r="HY52">
            <v>763</v>
          </cell>
          <cell r="IC52">
            <v>1140</v>
          </cell>
          <cell r="IG52">
            <v>1181</v>
          </cell>
          <cell r="IK52">
            <v>1060</v>
          </cell>
          <cell r="IO52">
            <v>686</v>
          </cell>
          <cell r="IS52">
            <v>539</v>
          </cell>
          <cell r="IW52">
            <v>664</v>
          </cell>
        </row>
        <row r="53">
          <cell r="A53" t="str">
            <v/>
          </cell>
          <cell r="B53" t="str">
            <v>10/480529-7</v>
          </cell>
          <cell r="C53" t="str">
            <v>58121</v>
          </cell>
          <cell r="D53" t="str">
            <v>2024-01-01</v>
          </cell>
          <cell r="F53" t="str">
            <v>energisa_ms</v>
          </cell>
          <cell r="G53" t="str">
            <v>5661</v>
          </cell>
          <cell r="H53" t="str">
            <v>Igreja do Evangelho Quadrangular</v>
          </cell>
          <cell r="I53">
            <v>45778</v>
          </cell>
          <cell r="J53" t="str">
            <v>COMERCIAL - TEMPLOS RELIGIOSOS</v>
          </cell>
          <cell r="K53" t="str">
            <v>79814330</v>
          </cell>
          <cell r="L53" t="str">
            <v>MS</v>
          </cell>
          <cell r="M53" t="str">
            <v>DOURADOS</v>
          </cell>
          <cell r="N53" t="str">
            <v>VILA CACHOEIRINHA</v>
          </cell>
          <cell r="O53" t="str">
            <v>RUA EULALIA PIRES, 240 - 15.010.33.581000</v>
          </cell>
          <cell r="P53">
            <v>45790</v>
          </cell>
          <cell r="Q53" t="str">
            <v>B - B3</v>
          </cell>
          <cell r="R53" t="str">
            <v>62955505182257</v>
          </cell>
          <cell r="U53">
            <v>45757</v>
          </cell>
          <cell r="V53">
            <v>45789</v>
          </cell>
          <cell r="W53">
            <v>45818</v>
          </cell>
          <cell r="X53">
            <v>45799</v>
          </cell>
          <cell r="Y53" t="str">
            <v/>
          </cell>
          <cell r="AA53" t="str">
            <v>010.317.805-002</v>
          </cell>
          <cell r="AB53" t="str">
            <v>trifasico</v>
          </cell>
          <cell r="AC53" t="str">
            <v>convencional</v>
          </cell>
          <cell r="AD53">
            <v>235.45</v>
          </cell>
          <cell r="AF53" t="str">
            <v>IGREJA DO EVANGELHO QUADRANGULAR</v>
          </cell>
          <cell r="AL53">
            <v>327</v>
          </cell>
          <cell r="AM53">
            <v>1.1307943488260419</v>
          </cell>
          <cell r="AN53">
            <v>369.7697520661157</v>
          </cell>
          <cell r="AO53">
            <v>1.1216207951070336</v>
          </cell>
          <cell r="AX53">
            <v>206</v>
          </cell>
          <cell r="AY53">
            <v>0.97388229158308603</v>
          </cell>
          <cell r="AZ53">
            <v>-200.61975206611572</v>
          </cell>
          <cell r="BA53">
            <v>1.1216019417475729</v>
          </cell>
          <cell r="DR53">
            <v>206</v>
          </cell>
          <cell r="DS53">
            <v>1.1307754954665812</v>
          </cell>
          <cell r="DT53">
            <v>-232.93975206611572</v>
          </cell>
          <cell r="DU53">
            <v>1.1216019417475729</v>
          </cell>
          <cell r="ET53">
            <v>206</v>
          </cell>
          <cell r="EX53">
            <v>0</v>
          </cell>
          <cell r="EZ53">
            <v>1.1100000000000001</v>
          </cell>
          <cell r="FA53">
            <v>66.3</v>
          </cell>
          <cell r="FL53">
            <v>32.32</v>
          </cell>
          <cell r="FM53">
            <v>113.56</v>
          </cell>
          <cell r="FN53">
            <v>4.6643999999999998E-2</v>
          </cell>
          <cell r="FO53">
            <v>5.3</v>
          </cell>
          <cell r="FP53">
            <v>113.56</v>
          </cell>
          <cell r="FQ53">
            <v>1.0126999999999999E-2</v>
          </cell>
          <cell r="FR53">
            <v>1.1499999999999999</v>
          </cell>
          <cell r="FS53">
            <v>136.83000000000001</v>
          </cell>
          <cell r="FT53">
            <v>0.17</v>
          </cell>
          <cell r="FU53">
            <v>23.26</v>
          </cell>
          <cell r="GD53">
            <v>327</v>
          </cell>
          <cell r="GE53">
            <v>12050</v>
          </cell>
          <cell r="GF53">
            <v>11723</v>
          </cell>
          <cell r="GG53">
            <v>1</v>
          </cell>
          <cell r="HM53">
            <v>405</v>
          </cell>
          <cell r="HQ53">
            <v>488</v>
          </cell>
          <cell r="HU53">
            <v>517</v>
          </cell>
          <cell r="HY53">
            <v>356</v>
          </cell>
          <cell r="IC53">
            <v>378</v>
          </cell>
          <cell r="IG53">
            <v>368</v>
          </cell>
          <cell r="IK53">
            <v>364</v>
          </cell>
          <cell r="IO53">
            <v>283</v>
          </cell>
          <cell r="IS53">
            <v>318</v>
          </cell>
          <cell r="IW53">
            <v>374</v>
          </cell>
        </row>
        <row r="54">
          <cell r="A54" t="str">
            <v/>
          </cell>
          <cell r="B54" t="str">
            <v>10/10232-7</v>
          </cell>
          <cell r="C54" t="str">
            <v>Nova Aquidauana (3932)</v>
          </cell>
          <cell r="D54" t="str">
            <v>2024-01-01</v>
          </cell>
          <cell r="F54" t="str">
            <v>energisa_ms</v>
          </cell>
          <cell r="G54" t="str">
            <v>Sede (161)</v>
          </cell>
          <cell r="H54" t="str">
            <v>Igreja do Evangelho Quadrangular</v>
          </cell>
          <cell r="I54">
            <v>45778</v>
          </cell>
          <cell r="J54" t="str">
            <v>COMERCIAL - TEMPLOS RELIGIOSOS</v>
          </cell>
          <cell r="K54" t="str">
            <v>79200000</v>
          </cell>
          <cell r="L54" t="str">
            <v>MS</v>
          </cell>
          <cell r="M54" t="str">
            <v>AQUIDAUANA</v>
          </cell>
          <cell r="N54" t="str">
            <v>NOVA AQUIDAUANA</v>
          </cell>
          <cell r="O54" t="str">
            <v>RUA ONZE, S/N - Q 74 L 22 10.002.13.434000</v>
          </cell>
          <cell r="P54">
            <v>45804</v>
          </cell>
          <cell r="Q54" t="str">
            <v>B - B3</v>
          </cell>
          <cell r="R54" t="str">
            <v>62955505393207</v>
          </cell>
          <cell r="U54">
            <v>45771</v>
          </cell>
          <cell r="V54">
            <v>45803</v>
          </cell>
          <cell r="W54">
            <v>45833</v>
          </cell>
          <cell r="X54">
            <v>45813</v>
          </cell>
          <cell r="Y54" t="str">
            <v/>
          </cell>
          <cell r="AA54" t="str">
            <v>010.505.823-002</v>
          </cell>
          <cell r="AB54" t="str">
            <v>bifasico</v>
          </cell>
          <cell r="AC54" t="str">
            <v>convencional</v>
          </cell>
          <cell r="AD54">
            <v>78.650000000000006</v>
          </cell>
          <cell r="AF54" t="str">
            <v>IGREJA DO EVANGELHO QUADRANGULAR</v>
          </cell>
          <cell r="AL54">
            <v>146</v>
          </cell>
          <cell r="AM54">
            <v>1.1413753424657536</v>
          </cell>
          <cell r="AN54">
            <v>166.64080000000001</v>
          </cell>
          <cell r="AO54">
            <v>1.1215753424657535</v>
          </cell>
          <cell r="AX54">
            <v>96</v>
          </cell>
          <cell r="AY54">
            <v>1.1413624999999998</v>
          </cell>
          <cell r="AZ54">
            <v>-109.57079999999999</v>
          </cell>
          <cell r="BA54">
            <v>1.1215624999999998</v>
          </cell>
          <cell r="DR54">
            <v>58</v>
          </cell>
          <cell r="DS54">
            <v>1.141351724137931</v>
          </cell>
          <cell r="DT54">
            <v>-66.198399999999992</v>
          </cell>
          <cell r="DU54">
            <v>1.1215517241379309</v>
          </cell>
          <cell r="DZ54">
            <v>38</v>
          </cell>
          <cell r="EA54">
            <v>1.141378947368421</v>
          </cell>
          <cell r="EB54">
            <v>-43.372399999999999</v>
          </cell>
          <cell r="EC54">
            <v>1.121578947368421</v>
          </cell>
          <cell r="ET54">
            <v>96</v>
          </cell>
          <cell r="EX54">
            <v>516</v>
          </cell>
          <cell r="EZ54">
            <v>0.99</v>
          </cell>
          <cell r="FA54">
            <v>21.58</v>
          </cell>
          <cell r="FM54">
            <v>47.4</v>
          </cell>
          <cell r="FN54">
            <v>4.6643999999999998E-2</v>
          </cell>
          <cell r="FO54">
            <v>2.21</v>
          </cell>
          <cell r="FP54">
            <v>47.4</v>
          </cell>
          <cell r="FQ54">
            <v>1.0126999999999999E-2</v>
          </cell>
          <cell r="FR54">
            <v>0.47</v>
          </cell>
          <cell r="FS54">
            <v>57.07</v>
          </cell>
          <cell r="FT54">
            <v>0.17</v>
          </cell>
          <cell r="FU54">
            <v>9.6999999999999993</v>
          </cell>
          <cell r="GD54">
            <v>146</v>
          </cell>
          <cell r="GE54">
            <v>35938</v>
          </cell>
          <cell r="GF54">
            <v>35792</v>
          </cell>
          <cell r="GG54">
            <v>1</v>
          </cell>
          <cell r="HM54">
            <v>199</v>
          </cell>
          <cell r="HQ54">
            <v>234</v>
          </cell>
          <cell r="HU54">
            <v>203</v>
          </cell>
          <cell r="HY54">
            <v>93</v>
          </cell>
          <cell r="IC54">
            <v>82</v>
          </cell>
          <cell r="IG54">
            <v>113</v>
          </cell>
          <cell r="IK54">
            <v>116</v>
          </cell>
          <cell r="IO54">
            <v>88</v>
          </cell>
          <cell r="IS54">
            <v>77</v>
          </cell>
          <cell r="IW54">
            <v>72</v>
          </cell>
        </row>
        <row r="55">
          <cell r="A55" t="str">
            <v/>
          </cell>
          <cell r="B55" t="str">
            <v>10/257864-9</v>
          </cell>
          <cell r="C55" t="str">
            <v>Itaquirai 1821</v>
          </cell>
          <cell r="D55" t="str">
            <v>2024-01-01</v>
          </cell>
          <cell r="F55" t="str">
            <v>energisa_ms</v>
          </cell>
          <cell r="G55" t="str">
            <v>Itaquirai 1821</v>
          </cell>
          <cell r="H55" t="str">
            <v>Igreja do Evangelho Quadrangular</v>
          </cell>
          <cell r="I55">
            <v>45778</v>
          </cell>
          <cell r="J55" t="str">
            <v>COMERCIAL - TEMPLOS RELIGIOSOS</v>
          </cell>
          <cell r="K55" t="str">
            <v>79965000</v>
          </cell>
          <cell r="L55" t="str">
            <v>MS</v>
          </cell>
          <cell r="M55" t="str">
            <v>ITAQUIRAI</v>
          </cell>
          <cell r="N55" t="str">
            <v>CENTRO</v>
          </cell>
          <cell r="O55" t="str">
            <v>RUA SEN TEOTONIO VILELA, 427 - 11.074.05.148000</v>
          </cell>
          <cell r="P55">
            <v>45790</v>
          </cell>
          <cell r="Q55" t="str">
            <v>B - B3</v>
          </cell>
          <cell r="R55" t="str">
            <v>62955505182176</v>
          </cell>
          <cell r="U55">
            <v>45757</v>
          </cell>
          <cell r="V55">
            <v>45789</v>
          </cell>
          <cell r="W55">
            <v>45818</v>
          </cell>
          <cell r="X55">
            <v>45823</v>
          </cell>
          <cell r="Y55" t="str">
            <v/>
          </cell>
          <cell r="AA55" t="str">
            <v>010.316.865-002</v>
          </cell>
          <cell r="AB55" t="str">
            <v>bifasico</v>
          </cell>
          <cell r="AC55" t="str">
            <v>convencional</v>
          </cell>
          <cell r="AD55">
            <v>211.03</v>
          </cell>
          <cell r="AE55" t="str">
            <v>34191.09107 90112.312930 85972.140009 1 11130000021103</v>
          </cell>
          <cell r="AF55" t="str">
            <v>IGREJA DO EVANGELHO QUADRANGULAR</v>
          </cell>
          <cell r="AL55">
            <v>221</v>
          </cell>
          <cell r="AM55">
            <v>1.1306256265749046</v>
          </cell>
          <cell r="AN55">
            <v>249.86826347305393</v>
          </cell>
          <cell r="AO55">
            <v>1.1215837104072399</v>
          </cell>
          <cell r="AX55">
            <v>54</v>
          </cell>
          <cell r="AY55">
            <v>1.1305233976491462</v>
          </cell>
          <cell r="AZ55">
            <v>-61.048263473053893</v>
          </cell>
          <cell r="BA55">
            <v>1.1214814814814815</v>
          </cell>
          <cell r="DR55">
            <v>54</v>
          </cell>
          <cell r="DS55">
            <v>1.1305233976491462</v>
          </cell>
          <cell r="DT55">
            <v>-61.048263473053893</v>
          </cell>
          <cell r="DU55">
            <v>1.1214814814814815</v>
          </cell>
          <cell r="ET55">
            <v>54</v>
          </cell>
          <cell r="EX55">
            <v>0</v>
          </cell>
          <cell r="EZ55">
            <v>1.51</v>
          </cell>
          <cell r="FA55">
            <v>18.59</v>
          </cell>
          <cell r="FC55">
            <v>3.62</v>
          </cell>
          <cell r="FM55">
            <v>156.74</v>
          </cell>
          <cell r="FN55">
            <v>4.6643999999999998E-2</v>
          </cell>
          <cell r="FO55">
            <v>7.32</v>
          </cell>
          <cell r="FP55">
            <v>156.74</v>
          </cell>
          <cell r="FQ55">
            <v>1.0126999999999999E-2</v>
          </cell>
          <cell r="FR55">
            <v>1.59</v>
          </cell>
          <cell r="FS55">
            <v>188.82</v>
          </cell>
          <cell r="FT55">
            <v>0.17</v>
          </cell>
          <cell r="FU55">
            <v>32.090000000000003</v>
          </cell>
          <cell r="GD55">
            <v>221</v>
          </cell>
          <cell r="GE55">
            <v>24151</v>
          </cell>
          <cell r="GF55">
            <v>23930</v>
          </cell>
          <cell r="GG55">
            <v>1</v>
          </cell>
          <cell r="HM55">
            <v>226</v>
          </cell>
          <cell r="HQ55">
            <v>250</v>
          </cell>
          <cell r="HU55">
            <v>277</v>
          </cell>
          <cell r="HY55">
            <v>248</v>
          </cell>
          <cell r="IC55">
            <v>236</v>
          </cell>
          <cell r="IG55">
            <v>177</v>
          </cell>
          <cell r="IK55">
            <v>132</v>
          </cell>
          <cell r="IO55">
            <v>108</v>
          </cell>
          <cell r="IS55">
            <v>110</v>
          </cell>
          <cell r="IW55">
            <v>93</v>
          </cell>
        </row>
        <row r="56">
          <cell r="A56" t="str">
            <v/>
          </cell>
          <cell r="B56" t="str">
            <v>10/3139326-7</v>
          </cell>
          <cell r="C56" t="str">
            <v>6315</v>
          </cell>
          <cell r="D56" t="str">
            <v>2024-01-01</v>
          </cell>
          <cell r="F56" t="str">
            <v>energisa_ms</v>
          </cell>
          <cell r="G56" t="str">
            <v>5661</v>
          </cell>
          <cell r="H56" t="str">
            <v>Igreja do Evangelho Quadrangular</v>
          </cell>
          <cell r="I56">
            <v>45778</v>
          </cell>
          <cell r="J56" t="str">
            <v>COMERCIAL - TEMPLOS RELIGIOSOS</v>
          </cell>
          <cell r="K56" t="str">
            <v>79833280</v>
          </cell>
          <cell r="L56" t="str">
            <v>MS</v>
          </cell>
          <cell r="M56" t="str">
            <v>DOURADOS</v>
          </cell>
          <cell r="N56" t="str">
            <v>VILA SAO FRANCISCO</v>
          </cell>
          <cell r="O56" t="str">
            <v>RUA ALBERTINA DE MATTOS, S/N - 01.010.015.346000</v>
          </cell>
          <cell r="P56">
            <v>45783</v>
          </cell>
          <cell r="Q56" t="str">
            <v>B - B3</v>
          </cell>
          <cell r="R56" t="str">
            <v>62955505182257</v>
          </cell>
          <cell r="U56">
            <v>45749</v>
          </cell>
          <cell r="V56">
            <v>45782</v>
          </cell>
          <cell r="W56">
            <v>45811</v>
          </cell>
          <cell r="X56">
            <v>45792</v>
          </cell>
          <cell r="Y56" t="str">
            <v/>
          </cell>
          <cell r="AA56" t="str">
            <v>010.198.413-002</v>
          </cell>
          <cell r="AB56" t="str">
            <v>trifasico</v>
          </cell>
          <cell r="AC56" t="str">
            <v>convencional</v>
          </cell>
          <cell r="AD56">
            <v>268.74</v>
          </cell>
          <cell r="AE56" t="str">
            <v>34191.09107 74141.892930 85972.140009 7 10820000026874</v>
          </cell>
          <cell r="AF56" t="str">
            <v>IGREJA DO EVANGELHO QUADRANGULAR</v>
          </cell>
          <cell r="AL56">
            <v>384</v>
          </cell>
          <cell r="AM56">
            <v>1.1235135135135135</v>
          </cell>
          <cell r="AN56">
            <v>431.42918918918917</v>
          </cell>
          <cell r="AO56">
            <v>1.1199999999999999</v>
          </cell>
          <cell r="AX56">
            <v>310</v>
          </cell>
          <cell r="AY56">
            <v>0.96893286835222314</v>
          </cell>
          <cell r="AZ56">
            <v>-300.36918918918917</v>
          </cell>
          <cell r="BA56">
            <v>1.1199999999999999</v>
          </cell>
          <cell r="DR56">
            <v>310</v>
          </cell>
          <cell r="DS56">
            <v>1.1235135135135135</v>
          </cell>
          <cell r="DT56">
            <v>-348.28918918918919</v>
          </cell>
          <cell r="DU56">
            <v>1.1199999999999999</v>
          </cell>
          <cell r="ET56">
            <v>310</v>
          </cell>
          <cell r="EX56">
            <v>0</v>
          </cell>
          <cell r="EZ56">
            <v>0.26</v>
          </cell>
          <cell r="FA56">
            <v>66.3</v>
          </cell>
          <cell r="FB56">
            <v>46.17</v>
          </cell>
          <cell r="FC56">
            <v>25.209999999999997</v>
          </cell>
          <cell r="FL56">
            <v>47.92</v>
          </cell>
          <cell r="FM56">
            <v>69.02</v>
          </cell>
          <cell r="FN56">
            <v>4.6643999999999998E-2</v>
          </cell>
          <cell r="FO56">
            <v>3.22</v>
          </cell>
          <cell r="FP56">
            <v>69.02</v>
          </cell>
          <cell r="FQ56">
            <v>1.0126999999999999E-2</v>
          </cell>
          <cell r="FR56">
            <v>0.69</v>
          </cell>
          <cell r="FS56">
            <v>83.14</v>
          </cell>
          <cell r="FT56">
            <v>0.17</v>
          </cell>
          <cell r="FU56">
            <v>14.13</v>
          </cell>
          <cell r="GD56">
            <v>384</v>
          </cell>
          <cell r="GE56">
            <v>35908</v>
          </cell>
          <cell r="GF56">
            <v>35524</v>
          </cell>
          <cell r="GG56">
            <v>1</v>
          </cell>
          <cell r="HM56">
            <v>493</v>
          </cell>
          <cell r="HQ56">
            <v>590</v>
          </cell>
          <cell r="HU56">
            <v>493</v>
          </cell>
          <cell r="HY56">
            <v>401</v>
          </cell>
          <cell r="IC56">
            <v>523</v>
          </cell>
          <cell r="IG56">
            <v>528</v>
          </cell>
          <cell r="IK56">
            <v>449</v>
          </cell>
          <cell r="IO56">
            <v>371</v>
          </cell>
          <cell r="IS56">
            <v>412</v>
          </cell>
          <cell r="IW56">
            <v>414</v>
          </cell>
        </row>
        <row r="57">
          <cell r="A57" t="str">
            <v/>
          </cell>
          <cell r="B57" t="str">
            <v>10/218777-1</v>
          </cell>
          <cell r="C57" t="str">
            <v>Sidrolandia 170 - Igreja</v>
          </cell>
          <cell r="D57" t="str">
            <v>2024-01-01</v>
          </cell>
          <cell r="F57" t="str">
            <v>energisa_ms</v>
          </cell>
          <cell r="G57" t="str">
            <v>Sidrolandia 170 - Casa Pastoral</v>
          </cell>
          <cell r="H57" t="str">
            <v>Igreja do Evangelho Quadrangular</v>
          </cell>
          <cell r="I57">
            <v>45778</v>
          </cell>
          <cell r="J57" t="str">
            <v>RESIDENCIAL - RESIDENCIAL</v>
          </cell>
          <cell r="K57" t="str">
            <v>79170000</v>
          </cell>
          <cell r="L57" t="str">
            <v>MS</v>
          </cell>
          <cell r="M57" t="str">
            <v>SIDROLANDIA</v>
          </cell>
          <cell r="N57" t="str">
            <v>CENTRO</v>
          </cell>
          <cell r="O57" t="str">
            <v>RUA AMAZONAS, 171 - 11.053.01.501000</v>
          </cell>
          <cell r="P57">
            <v>45784</v>
          </cell>
          <cell r="Q57" t="str">
            <v>B - B1</v>
          </cell>
          <cell r="R57" t="str">
            <v>62955505017051</v>
          </cell>
          <cell r="U57">
            <v>45750</v>
          </cell>
          <cell r="V57">
            <v>45783</v>
          </cell>
          <cell r="W57">
            <v>45812</v>
          </cell>
          <cell r="X57">
            <v>45829</v>
          </cell>
          <cell r="Y57" t="str">
            <v/>
          </cell>
          <cell r="AA57" t="str">
            <v>010.221.667-002</v>
          </cell>
          <cell r="AB57" t="str">
            <v>bifasico</v>
          </cell>
          <cell r="AC57" t="str">
            <v>convencional</v>
          </cell>
          <cell r="AD57">
            <v>68.16</v>
          </cell>
          <cell r="AF57" t="str">
            <v>IGREJA DO EVANGELHO QUADRANGULAR</v>
          </cell>
          <cell r="AL57">
            <v>124</v>
          </cell>
          <cell r="AM57">
            <v>1.1248930982745686</v>
          </cell>
          <cell r="AN57">
            <v>139.48674418604651</v>
          </cell>
          <cell r="AO57">
            <v>1.1202419354838709</v>
          </cell>
          <cell r="AX57">
            <v>81</v>
          </cell>
          <cell r="AY57">
            <v>1.0404536319265003</v>
          </cell>
          <cell r="AZ57">
            <v>-84.276744186046528</v>
          </cell>
          <cell r="BA57">
            <v>1.1200000000000001</v>
          </cell>
          <cell r="DR57">
            <v>81</v>
          </cell>
          <cell r="DS57">
            <v>1.1246511627906979</v>
          </cell>
          <cell r="DT57">
            <v>-91.096744186046521</v>
          </cell>
          <cell r="DU57">
            <v>1.1200000000000001</v>
          </cell>
          <cell r="ET57">
            <v>81</v>
          </cell>
          <cell r="EX57">
            <v>469</v>
          </cell>
          <cell r="EZ57">
            <v>0.2</v>
          </cell>
          <cell r="FA57">
            <v>12.95</v>
          </cell>
          <cell r="FL57">
            <v>6.82</v>
          </cell>
          <cell r="FM57">
            <v>40.21</v>
          </cell>
          <cell r="FN57">
            <v>4.6643999999999998E-2</v>
          </cell>
          <cell r="FO57">
            <v>1.89</v>
          </cell>
          <cell r="FP57">
            <v>40.21</v>
          </cell>
          <cell r="FQ57">
            <v>1.0126999999999999E-2</v>
          </cell>
          <cell r="FR57">
            <v>0.41</v>
          </cell>
          <cell r="FS57">
            <v>48.39</v>
          </cell>
          <cell r="FT57">
            <v>0.17</v>
          </cell>
          <cell r="FU57">
            <v>8.2200000000000006</v>
          </cell>
          <cell r="GD57">
            <v>124</v>
          </cell>
          <cell r="GE57">
            <v>40955</v>
          </cell>
          <cell r="GF57">
            <v>40831</v>
          </cell>
          <cell r="GG57">
            <v>1</v>
          </cell>
          <cell r="HM57">
            <v>171</v>
          </cell>
          <cell r="HQ57">
            <v>151</v>
          </cell>
          <cell r="HU57">
            <v>179</v>
          </cell>
          <cell r="HY57">
            <v>148</v>
          </cell>
          <cell r="IC57">
            <v>158</v>
          </cell>
          <cell r="IG57">
            <v>200</v>
          </cell>
          <cell r="IK57">
            <v>223</v>
          </cell>
          <cell r="IO57">
            <v>89</v>
          </cell>
          <cell r="IS57">
            <v>107</v>
          </cell>
          <cell r="IW57">
            <v>139</v>
          </cell>
        </row>
        <row r="58">
          <cell r="A58" t="str">
            <v/>
          </cell>
          <cell r="B58" t="str">
            <v>10/1548741-6</v>
          </cell>
          <cell r="C58" t="str">
            <v>Parnaíba 0847-51</v>
          </cell>
          <cell r="D58" t="str">
            <v>2024-01-01</v>
          </cell>
          <cell r="F58" t="str">
            <v>energisa_ms</v>
          </cell>
          <cell r="G58" t="str">
            <v>Parnaíba 0847-51</v>
          </cell>
          <cell r="H58" t="str">
            <v>Igreja do Evangelho Quadrangular</v>
          </cell>
          <cell r="I58">
            <v>45778</v>
          </cell>
          <cell r="J58" t="str">
            <v>COMERCIAL - OUTROS SERVIÇOS E OUTRAS ATIVIDADES</v>
          </cell>
          <cell r="K58" t="str">
            <v>79500000</v>
          </cell>
          <cell r="L58" t="str">
            <v>MS</v>
          </cell>
          <cell r="M58" t="str">
            <v>PARANAIBA</v>
          </cell>
          <cell r="N58" t="str">
            <v>JARDIM AMERICA</v>
          </cell>
          <cell r="O58" t="str">
            <v>RUA JOSE AGI, 651 - 12.014.07.803500</v>
          </cell>
          <cell r="P58">
            <v>45800</v>
          </cell>
          <cell r="Q58" t="str">
            <v>B - B3</v>
          </cell>
          <cell r="R58" t="str">
            <v>62955505084751</v>
          </cell>
          <cell r="U58">
            <v>45769</v>
          </cell>
          <cell r="V58">
            <v>45799</v>
          </cell>
          <cell r="W58">
            <v>45831</v>
          </cell>
          <cell r="X58">
            <v>45824</v>
          </cell>
          <cell r="Y58" t="str">
            <v/>
          </cell>
          <cell r="AA58" t="str">
            <v>010.472.992-002</v>
          </cell>
          <cell r="AB58" t="str">
            <v>monofasico</v>
          </cell>
          <cell r="AC58" t="str">
            <v>convencional</v>
          </cell>
          <cell r="AD58">
            <v>95.54</v>
          </cell>
          <cell r="AE58" t="str">
            <v>34191.09115 13187.982932 85972.140009 5 11140000009554</v>
          </cell>
          <cell r="AF58" t="str">
            <v>IGREJA DO EVANGELHO QUADRANGULAR</v>
          </cell>
          <cell r="AL58">
            <v>153</v>
          </cell>
          <cell r="AM58">
            <v>1.1396455505279035</v>
          </cell>
          <cell r="AN58">
            <v>174.36576923076925</v>
          </cell>
          <cell r="AO58">
            <v>1.1215686274509804</v>
          </cell>
          <cell r="AX58">
            <v>127</v>
          </cell>
          <cell r="AY58">
            <v>1.106265899454876</v>
          </cell>
          <cell r="AZ58">
            <v>-140.49576923076924</v>
          </cell>
          <cell r="BA58">
            <v>1.121496062992126</v>
          </cell>
          <cell r="DR58">
            <v>50</v>
          </cell>
          <cell r="DS58">
            <v>1.1394769230769231</v>
          </cell>
          <cell r="DT58">
            <v>-56.973846153846154</v>
          </cell>
          <cell r="DU58">
            <v>1.1214</v>
          </cell>
          <cell r="DZ58">
            <v>77</v>
          </cell>
          <cell r="EA58">
            <v>1.1396353646353647</v>
          </cell>
          <cell r="EB58">
            <v>-87.751923076923092</v>
          </cell>
          <cell r="EC58">
            <v>1.1215584415584416</v>
          </cell>
          <cell r="ET58">
            <v>127</v>
          </cell>
          <cell r="EX58">
            <v>208</v>
          </cell>
          <cell r="EZ58">
            <v>0.47</v>
          </cell>
          <cell r="FA58">
            <v>61.67</v>
          </cell>
          <cell r="FL58">
            <v>4.2300000000000004</v>
          </cell>
          <cell r="FM58">
            <v>24.63</v>
          </cell>
          <cell r="FN58">
            <v>4.6643999999999998E-2</v>
          </cell>
          <cell r="FO58">
            <v>1.1499999999999999</v>
          </cell>
          <cell r="FP58">
            <v>24.63</v>
          </cell>
          <cell r="FQ58">
            <v>1.0126999999999999E-2</v>
          </cell>
          <cell r="FR58">
            <v>0.26</v>
          </cell>
          <cell r="FS58">
            <v>29.64</v>
          </cell>
          <cell r="FT58">
            <v>0.17</v>
          </cell>
          <cell r="FU58">
            <v>5.03</v>
          </cell>
          <cell r="GD58">
            <v>153</v>
          </cell>
          <cell r="GE58">
            <v>19395</v>
          </cell>
          <cell r="GF58">
            <v>19242</v>
          </cell>
          <cell r="GG58">
            <v>1</v>
          </cell>
          <cell r="HM58">
            <v>179</v>
          </cell>
          <cell r="HQ58">
            <v>153</v>
          </cell>
          <cell r="HU58">
            <v>172</v>
          </cell>
          <cell r="HY58">
            <v>171</v>
          </cell>
          <cell r="IC58">
            <v>156</v>
          </cell>
          <cell r="IG58">
            <v>146</v>
          </cell>
          <cell r="IK58">
            <v>155</v>
          </cell>
          <cell r="IO58">
            <v>128</v>
          </cell>
          <cell r="IS58">
            <v>136</v>
          </cell>
          <cell r="IW58">
            <v>144</v>
          </cell>
        </row>
        <row r="59">
          <cell r="A59" t="str">
            <v/>
          </cell>
          <cell r="B59" t="str">
            <v>10/162736-3</v>
          </cell>
          <cell r="C59" t="str">
            <v>885</v>
          </cell>
          <cell r="D59" t="str">
            <v>2024-01-01</v>
          </cell>
          <cell r="F59" t="str">
            <v>energisa_ms</v>
          </cell>
          <cell r="G59" t="str">
            <v>885</v>
          </cell>
          <cell r="H59" t="str">
            <v>Igreja do Evangelho Quadrangular</v>
          </cell>
          <cell r="I59">
            <v>45778</v>
          </cell>
          <cell r="J59" t="str">
            <v>COMERCIAL - TEMPLOS RELIGIOSOS</v>
          </cell>
          <cell r="K59" t="str">
            <v>79480000</v>
          </cell>
          <cell r="L59" t="str">
            <v>MS</v>
          </cell>
          <cell r="M59" t="str">
            <v>RIO VERDE DE MATO GROSSO</v>
          </cell>
          <cell r="N59" t="str">
            <v>CENTRO</v>
          </cell>
          <cell r="O59" t="str">
            <v>RUA SANTOS DUMONT, 310 - IGREJA</v>
          </cell>
          <cell r="P59">
            <v>45796</v>
          </cell>
          <cell r="Q59" t="str">
            <v>B - B3</v>
          </cell>
          <cell r="R59" t="str">
            <v>62955505197360</v>
          </cell>
          <cell r="U59">
            <v>45762</v>
          </cell>
          <cell r="V59">
            <v>45793</v>
          </cell>
          <cell r="W59">
            <v>45825</v>
          </cell>
          <cell r="X59">
            <v>45818</v>
          </cell>
          <cell r="Y59" t="str">
            <v/>
          </cell>
          <cell r="AA59" t="str">
            <v>010.406.501-002</v>
          </cell>
          <cell r="AB59" t="str">
            <v>trifasico</v>
          </cell>
          <cell r="AC59" t="str">
            <v>convencional</v>
          </cell>
          <cell r="AD59">
            <v>222.58</v>
          </cell>
          <cell r="AE59" t="str">
            <v>34191.09115 03200.272932 85972.140009 1 11080000022258</v>
          </cell>
          <cell r="AF59" t="str">
            <v>IGREJA DO EVANGELHO QUADRANGULAR</v>
          </cell>
          <cell r="AL59">
            <v>314</v>
          </cell>
          <cell r="AM59">
            <v>1.1341242038216559</v>
          </cell>
          <cell r="AN59">
            <v>356.11499999999995</v>
          </cell>
          <cell r="AO59">
            <v>1.121624203821656</v>
          </cell>
          <cell r="AX59">
            <v>186</v>
          </cell>
          <cell r="AY59">
            <v>1.1340591397849462</v>
          </cell>
          <cell r="AZ59">
            <v>-210.935</v>
          </cell>
          <cell r="BA59">
            <v>1.1215591397849463</v>
          </cell>
          <cell r="DR59">
            <v>109</v>
          </cell>
          <cell r="DS59">
            <v>1.134059633027523</v>
          </cell>
          <cell r="DT59">
            <v>-123.61250000000001</v>
          </cell>
          <cell r="DU59">
            <v>1.121559633027523</v>
          </cell>
          <cell r="DZ59">
            <v>77</v>
          </cell>
          <cell r="EA59">
            <v>1.1340584415584416</v>
          </cell>
          <cell r="EB59">
            <v>-87.322500000000005</v>
          </cell>
          <cell r="EC59">
            <v>1.1215584415584416</v>
          </cell>
          <cell r="ET59">
            <v>186</v>
          </cell>
          <cell r="EX59">
            <v>0</v>
          </cell>
          <cell r="EZ59">
            <v>1.6</v>
          </cell>
          <cell r="FA59">
            <v>74.010000000000005</v>
          </cell>
          <cell r="FC59">
            <v>3.39</v>
          </cell>
          <cell r="FM59">
            <v>120.5</v>
          </cell>
          <cell r="FN59">
            <v>4.6643999999999998E-2</v>
          </cell>
          <cell r="FO59">
            <v>5.62</v>
          </cell>
          <cell r="FP59">
            <v>120.5</v>
          </cell>
          <cell r="FQ59">
            <v>1.0126999999999999E-2</v>
          </cell>
          <cell r="FR59">
            <v>1.22</v>
          </cell>
          <cell r="FS59">
            <v>145.18</v>
          </cell>
          <cell r="FT59">
            <v>0.17</v>
          </cell>
          <cell r="FU59">
            <v>24.68</v>
          </cell>
          <cell r="GD59">
            <v>314</v>
          </cell>
          <cell r="GE59">
            <v>33223</v>
          </cell>
          <cell r="GF59">
            <v>32909</v>
          </cell>
          <cell r="GG59">
            <v>1</v>
          </cell>
          <cell r="HM59">
            <v>343</v>
          </cell>
          <cell r="HQ59">
            <v>477</v>
          </cell>
          <cell r="HU59">
            <v>472</v>
          </cell>
          <cell r="HY59">
            <v>332</v>
          </cell>
          <cell r="IC59">
            <v>235</v>
          </cell>
          <cell r="IG59">
            <v>184</v>
          </cell>
          <cell r="IK59">
            <v>255</v>
          </cell>
          <cell r="IO59">
            <v>139</v>
          </cell>
          <cell r="IS59">
            <v>97</v>
          </cell>
          <cell r="IW59">
            <v>89</v>
          </cell>
        </row>
        <row r="60">
          <cell r="A60" t="str">
            <v/>
          </cell>
          <cell r="B60" t="str">
            <v>10/226667-4</v>
          </cell>
          <cell r="C60" t="str">
            <v>408</v>
          </cell>
          <cell r="D60" t="str">
            <v>2024-01-01</v>
          </cell>
          <cell r="F60" t="str">
            <v>energisa_ms</v>
          </cell>
          <cell r="G60" t="str">
            <v>408</v>
          </cell>
          <cell r="H60" t="str">
            <v>Igreja do Evangelho Quadrangular</v>
          </cell>
          <cell r="I60">
            <v>45778</v>
          </cell>
          <cell r="J60" t="str">
            <v>COMERCIAL - TEMPLOS RELIGIOSOS</v>
          </cell>
          <cell r="K60" t="str">
            <v>79260000</v>
          </cell>
          <cell r="L60" t="str">
            <v>MS</v>
          </cell>
          <cell r="M60" t="str">
            <v>BELA VISTA</v>
          </cell>
          <cell r="N60" t="str">
            <v>CENTRO</v>
          </cell>
          <cell r="O60" t="str">
            <v>RUA GENERAL OSORIO, 1200 - 12.056.03.392000</v>
          </cell>
          <cell r="P60">
            <v>45796</v>
          </cell>
          <cell r="Q60" t="str">
            <v>B - B3</v>
          </cell>
          <cell r="R60" t="str">
            <v>62955505040894</v>
          </cell>
          <cell r="U60">
            <v>45762</v>
          </cell>
          <cell r="V60">
            <v>45793</v>
          </cell>
          <cell r="W60">
            <v>45825</v>
          </cell>
          <cell r="X60">
            <v>45824</v>
          </cell>
          <cell r="Y60" t="str">
            <v/>
          </cell>
          <cell r="AA60" t="str">
            <v>010.406.883-002</v>
          </cell>
          <cell r="AB60" t="str">
            <v>bifasico</v>
          </cell>
          <cell r="AC60" t="str">
            <v>convencional</v>
          </cell>
          <cell r="AD60">
            <v>56.71</v>
          </cell>
          <cell r="AF60" t="str">
            <v>IGREJA DO EVANGELHO QUADRANGULAR</v>
          </cell>
          <cell r="AL60">
            <v>77</v>
          </cell>
          <cell r="AM60">
            <v>1.1341584415584416</v>
          </cell>
          <cell r="AN60">
            <v>87.330200000000005</v>
          </cell>
          <cell r="AO60">
            <v>1.1215584415584416</v>
          </cell>
          <cell r="AX60">
            <v>27</v>
          </cell>
          <cell r="AY60">
            <v>1.1340814814814815</v>
          </cell>
          <cell r="AZ60">
            <v>-30.620200000000001</v>
          </cell>
          <cell r="BA60">
            <v>1.1214814814814815</v>
          </cell>
          <cell r="DZ60">
            <v>27</v>
          </cell>
          <cell r="EA60">
            <v>1.1340814814814815</v>
          </cell>
          <cell r="EB60">
            <v>-30.620200000000001</v>
          </cell>
          <cell r="EC60">
            <v>1.1214814814814815</v>
          </cell>
          <cell r="ET60">
            <v>27</v>
          </cell>
          <cell r="EX60">
            <v>709</v>
          </cell>
          <cell r="EZ60">
            <v>0.63</v>
          </cell>
          <cell r="FM60">
            <v>47.07</v>
          </cell>
          <cell r="FN60">
            <v>4.6643999999999998E-2</v>
          </cell>
          <cell r="FO60">
            <v>2.2000000000000002</v>
          </cell>
          <cell r="FP60">
            <v>47.07</v>
          </cell>
          <cell r="FQ60">
            <v>1.0126999999999999E-2</v>
          </cell>
          <cell r="FR60">
            <v>0.48</v>
          </cell>
          <cell r="FS60">
            <v>56.71</v>
          </cell>
          <cell r="FT60">
            <v>0.17</v>
          </cell>
          <cell r="FU60">
            <v>9.64</v>
          </cell>
          <cell r="GD60">
            <v>77</v>
          </cell>
          <cell r="GE60">
            <v>24331</v>
          </cell>
          <cell r="GF60">
            <v>24254</v>
          </cell>
          <cell r="GG60">
            <v>1</v>
          </cell>
          <cell r="HM60">
            <v>98</v>
          </cell>
          <cell r="HQ60">
            <v>157</v>
          </cell>
          <cell r="HU60">
            <v>149</v>
          </cell>
          <cell r="HY60">
            <v>185</v>
          </cell>
          <cell r="IC60">
            <v>133</v>
          </cell>
          <cell r="IG60">
            <v>169</v>
          </cell>
          <cell r="IK60">
            <v>178</v>
          </cell>
          <cell r="IO60">
            <v>127</v>
          </cell>
          <cell r="IS60">
            <v>129</v>
          </cell>
          <cell r="IW60">
            <v>99</v>
          </cell>
        </row>
        <row r="61">
          <cell r="A61" t="str">
            <v/>
          </cell>
          <cell r="B61" t="str">
            <v>10/135237-6</v>
          </cell>
          <cell r="C61" t="str">
            <v>800</v>
          </cell>
          <cell r="D61" t="str">
            <v>2024-01-01</v>
          </cell>
          <cell r="F61" t="str">
            <v>energisa_ms</v>
          </cell>
          <cell r="G61" t="str">
            <v>800</v>
          </cell>
          <cell r="H61" t="str">
            <v>Igreja do Evangelho Quadrangular</v>
          </cell>
          <cell r="I61">
            <v>45778</v>
          </cell>
          <cell r="J61" t="str">
            <v>COMERCIAL - TEMPLOS RELIGIOSOS</v>
          </cell>
          <cell r="K61" t="str">
            <v>79150000</v>
          </cell>
          <cell r="L61" t="str">
            <v>MS</v>
          </cell>
          <cell r="M61" t="str">
            <v>MARACAJU</v>
          </cell>
          <cell r="N61" t="str">
            <v>VILA PRATEADA</v>
          </cell>
          <cell r="O61" t="str">
            <v>RUA ROSALVO FRAGA SANTOS, 60 - 05.031.05.383000</v>
          </cell>
          <cell r="P61">
            <v>45796</v>
          </cell>
          <cell r="Q61" t="str">
            <v>B - B3</v>
          </cell>
          <cell r="R61" t="str">
            <v>62955505080098</v>
          </cell>
          <cell r="U61">
            <v>45762</v>
          </cell>
          <cell r="V61">
            <v>45793</v>
          </cell>
          <cell r="W61">
            <v>45825</v>
          </cell>
          <cell r="X61">
            <v>45820</v>
          </cell>
          <cell r="Y61" t="str">
            <v/>
          </cell>
          <cell r="AA61" t="str">
            <v>010.406.335-002</v>
          </cell>
          <cell r="AB61" t="str">
            <v>trifasico</v>
          </cell>
          <cell r="AC61" t="str">
            <v>convencional</v>
          </cell>
          <cell r="AD61">
            <v>124.79</v>
          </cell>
          <cell r="AE61" t="str">
            <v>34191.09115 03192.762932 85972.140009 1 11100000012479</v>
          </cell>
          <cell r="AF61" t="str">
            <v>IGREJA DO EVANGELHO QUADRANGULAR</v>
          </cell>
          <cell r="AL61">
            <v>106</v>
          </cell>
          <cell r="AM61">
            <v>1.1341037735849056</v>
          </cell>
          <cell r="AN61">
            <v>120.21499999999999</v>
          </cell>
          <cell r="AO61">
            <v>1.1216037735849056</v>
          </cell>
          <cell r="AX61">
            <v>6</v>
          </cell>
          <cell r="AY61">
            <v>1.1324999999999998</v>
          </cell>
          <cell r="AZ61">
            <v>-6.794999999999999</v>
          </cell>
          <cell r="BA61">
            <v>1.1199999999999999</v>
          </cell>
          <cell r="DZ61">
            <v>6</v>
          </cell>
          <cell r="EA61">
            <v>1.1324999999999998</v>
          </cell>
          <cell r="EB61">
            <v>-6.794999999999999</v>
          </cell>
          <cell r="EC61">
            <v>1.1199999999999999</v>
          </cell>
          <cell r="ET61">
            <v>6</v>
          </cell>
          <cell r="EX61">
            <v>992</v>
          </cell>
          <cell r="EZ61">
            <v>1.25</v>
          </cell>
          <cell r="FA61">
            <v>11.37</v>
          </cell>
          <cell r="FM61">
            <v>94.14</v>
          </cell>
          <cell r="FN61">
            <v>4.6643999999999998E-2</v>
          </cell>
          <cell r="FO61">
            <v>4.3899999999999997</v>
          </cell>
          <cell r="FP61">
            <v>94.14</v>
          </cell>
          <cell r="FQ61">
            <v>1.0126999999999999E-2</v>
          </cell>
          <cell r="FR61">
            <v>0.95</v>
          </cell>
          <cell r="FS61">
            <v>113.42</v>
          </cell>
          <cell r="FT61">
            <v>0.17</v>
          </cell>
          <cell r="FU61">
            <v>19.28</v>
          </cell>
          <cell r="GD61">
            <v>106</v>
          </cell>
          <cell r="GE61">
            <v>36541</v>
          </cell>
          <cell r="GF61">
            <v>36435</v>
          </cell>
          <cell r="GG61">
            <v>1</v>
          </cell>
          <cell r="HM61">
            <v>157</v>
          </cell>
          <cell r="HQ61">
            <v>197</v>
          </cell>
          <cell r="HU61">
            <v>159</v>
          </cell>
          <cell r="HY61">
            <v>21</v>
          </cell>
          <cell r="IC61">
            <v>138</v>
          </cell>
          <cell r="IG61">
            <v>112</v>
          </cell>
          <cell r="IK61">
            <v>148</v>
          </cell>
          <cell r="IO61">
            <v>113</v>
          </cell>
          <cell r="IS61">
            <v>103</v>
          </cell>
          <cell r="IW61">
            <v>90</v>
          </cell>
        </row>
        <row r="62">
          <cell r="A62" t="str">
            <v/>
          </cell>
          <cell r="B62" t="str">
            <v>10/501586-2</v>
          </cell>
          <cell r="C62" t="str">
            <v>Santo Antonio 6195</v>
          </cell>
          <cell r="D62" t="str">
            <v>2024-01-01</v>
          </cell>
          <cell r="F62" t="str">
            <v>energisa_ms</v>
          </cell>
          <cell r="G62" t="str">
            <v>Santo Antonio 6195</v>
          </cell>
          <cell r="H62" t="str">
            <v>Igreja do Evangelho Quadrangular</v>
          </cell>
          <cell r="I62">
            <v>45778</v>
          </cell>
          <cell r="J62" t="str">
            <v>COMERCIAL - TEMPLOS RELIGIOSOS</v>
          </cell>
          <cell r="K62" t="str">
            <v>79100300</v>
          </cell>
          <cell r="L62" t="str">
            <v>MS</v>
          </cell>
          <cell r="M62" t="str">
            <v>CAMPO GRANDE</v>
          </cell>
          <cell r="N62" t="str">
            <v>SANTO ANTONIO</v>
          </cell>
          <cell r="O62" t="str">
            <v>RUA LEONIDAS DE MATOS, 841 - 05.104.11.174000</v>
          </cell>
          <cell r="P62">
            <v>45786</v>
          </cell>
          <cell r="Q62" t="str">
            <v>B - B3</v>
          </cell>
          <cell r="R62" t="str">
            <v>62955505273058</v>
          </cell>
          <cell r="U62">
            <v>45754</v>
          </cell>
          <cell r="V62">
            <v>45785</v>
          </cell>
          <cell r="W62">
            <v>45814</v>
          </cell>
          <cell r="X62">
            <v>45803</v>
          </cell>
          <cell r="Y62" t="str">
            <v/>
          </cell>
          <cell r="AA62" t="str">
            <v>010.270.314-002</v>
          </cell>
          <cell r="AB62" t="str">
            <v>trifasico</v>
          </cell>
          <cell r="AC62" t="str">
            <v>convencional</v>
          </cell>
          <cell r="AD62">
            <v>110.27</v>
          </cell>
          <cell r="AF62" t="str">
            <v>IGREJA DO EVANGELHO QUADRANGULAR</v>
          </cell>
          <cell r="AL62">
            <v>240</v>
          </cell>
          <cell r="AM62">
            <v>1.1279171348314607</v>
          </cell>
          <cell r="AN62">
            <v>270.70011235955059</v>
          </cell>
          <cell r="AO62">
            <v>1.1216250000000001</v>
          </cell>
          <cell r="AX62">
            <v>151</v>
          </cell>
          <cell r="AY62">
            <v>1.0624510752288117</v>
          </cell>
          <cell r="AZ62">
            <v>-160.43011235955055</v>
          </cell>
          <cell r="BA62">
            <v>1.1215894039735099</v>
          </cell>
          <cell r="DR62">
            <v>151</v>
          </cell>
          <cell r="DS62">
            <v>1.1278815388049706</v>
          </cell>
          <cell r="DT62">
            <v>-170.31011235955054</v>
          </cell>
          <cell r="DU62">
            <v>1.1215894039735099</v>
          </cell>
          <cell r="ET62">
            <v>151</v>
          </cell>
          <cell r="EX62">
            <v>396</v>
          </cell>
          <cell r="EZ62">
            <v>0.56000000000000005</v>
          </cell>
          <cell r="FL62">
            <v>9.8800000000000008</v>
          </cell>
          <cell r="FM62">
            <v>83.32</v>
          </cell>
          <cell r="FN62">
            <v>4.6643999999999998E-2</v>
          </cell>
          <cell r="FO62">
            <v>3.9</v>
          </cell>
          <cell r="FP62">
            <v>83.32</v>
          </cell>
          <cell r="FQ62">
            <v>1.0126999999999999E-2</v>
          </cell>
          <cell r="FR62">
            <v>0.85</v>
          </cell>
          <cell r="FS62">
            <v>100.39</v>
          </cell>
          <cell r="FT62">
            <v>0.17</v>
          </cell>
          <cell r="FU62">
            <v>17.059999999999999</v>
          </cell>
          <cell r="GD62">
            <v>240</v>
          </cell>
          <cell r="GE62">
            <v>1229</v>
          </cell>
          <cell r="GF62">
            <v>1221</v>
          </cell>
          <cell r="GG62">
            <v>30</v>
          </cell>
          <cell r="HM62">
            <v>240</v>
          </cell>
          <cell r="HQ62">
            <v>270</v>
          </cell>
          <cell r="HU62">
            <v>180</v>
          </cell>
          <cell r="HY62">
            <v>150</v>
          </cell>
          <cell r="IC62">
            <v>210</v>
          </cell>
          <cell r="IG62">
            <v>180</v>
          </cell>
          <cell r="IK62">
            <v>180</v>
          </cell>
          <cell r="IO62">
            <v>150</v>
          </cell>
          <cell r="IS62">
            <v>150</v>
          </cell>
          <cell r="IW62">
            <v>150</v>
          </cell>
        </row>
        <row r="63">
          <cell r="A63" t="str">
            <v/>
          </cell>
          <cell r="B63" t="str">
            <v>10/1117293-9</v>
          </cell>
          <cell r="C63" t="str">
            <v>Nova Andradina 8921</v>
          </cell>
          <cell r="D63" t="str">
            <v>2024-01-01</v>
          </cell>
          <cell r="F63" t="str">
            <v>energisa_ms</v>
          </cell>
          <cell r="G63" t="str">
            <v>Nova Andradina 8921</v>
          </cell>
          <cell r="H63" t="str">
            <v>Igreja do Evangelho Quadrangular</v>
          </cell>
          <cell r="I63">
            <v>45778</v>
          </cell>
          <cell r="J63" t="str">
            <v>COMERCIAL - TEMPLOS RELIGIOSOS</v>
          </cell>
          <cell r="K63" t="str">
            <v>79750000</v>
          </cell>
          <cell r="L63" t="str">
            <v>MS</v>
          </cell>
          <cell r="M63" t="str">
            <v>NOVA ANDRADINA</v>
          </cell>
          <cell r="N63" t="str">
            <v>CENTRO</v>
          </cell>
          <cell r="O63" t="str">
            <v>AVENIDA ANTONIO JOAQUIM DE MOURA ANDRADE, 2141 - 10 041 07 522500</v>
          </cell>
          <cell r="P63">
            <v>45804</v>
          </cell>
          <cell r="Q63" t="str">
            <v>B - B3</v>
          </cell>
          <cell r="R63" t="str">
            <v>62955505892114</v>
          </cell>
          <cell r="U63">
            <v>45771</v>
          </cell>
          <cell r="V63">
            <v>45803</v>
          </cell>
          <cell r="W63">
            <v>45833</v>
          </cell>
          <cell r="X63">
            <v>45824</v>
          </cell>
          <cell r="Y63" t="str">
            <v/>
          </cell>
          <cell r="AA63" t="str">
            <v>010.508.859-002</v>
          </cell>
          <cell r="AB63" t="str">
            <v>trifasico</v>
          </cell>
          <cell r="AC63" t="str">
            <v>convencional</v>
          </cell>
          <cell r="AD63">
            <v>197.29</v>
          </cell>
          <cell r="AE63" t="str">
            <v>34191.09115 16896.442932 85972.140009 5 11140000019729</v>
          </cell>
          <cell r="AF63" t="str">
            <v>IGREJA DO EVANGELHO QUADRANGULAR CENTRO</v>
          </cell>
          <cell r="AL63">
            <v>153</v>
          </cell>
          <cell r="AM63">
            <v>1.1411686274509805</v>
          </cell>
          <cell r="AN63">
            <v>174.59880000000001</v>
          </cell>
          <cell r="AO63">
            <v>1.1215686274509804</v>
          </cell>
          <cell r="AX63">
            <v>53</v>
          </cell>
          <cell r="AY63">
            <v>1.1411094339622643</v>
          </cell>
          <cell r="AZ63">
            <v>-60.478800000000007</v>
          </cell>
          <cell r="BA63">
            <v>1.1215094339622642</v>
          </cell>
          <cell r="DR63">
            <v>15</v>
          </cell>
          <cell r="DS63">
            <v>1.1409333333333334</v>
          </cell>
          <cell r="DT63">
            <v>-17.114000000000001</v>
          </cell>
          <cell r="DU63">
            <v>1.1213333333333333</v>
          </cell>
          <cell r="DZ63">
            <v>38</v>
          </cell>
          <cell r="EA63">
            <v>1.1411789473684211</v>
          </cell>
          <cell r="EB63">
            <v>-43.364800000000002</v>
          </cell>
          <cell r="EC63">
            <v>1.121578947368421</v>
          </cell>
          <cell r="ET63">
            <v>53</v>
          </cell>
          <cell r="EX63">
            <v>499</v>
          </cell>
          <cell r="EZ63">
            <v>1.96</v>
          </cell>
          <cell r="FA63">
            <v>37</v>
          </cell>
          <cell r="FB63">
            <v>46.17</v>
          </cell>
          <cell r="FM63">
            <v>94.73</v>
          </cell>
          <cell r="FN63">
            <v>4.6643999999999998E-2</v>
          </cell>
          <cell r="FO63">
            <v>4.41</v>
          </cell>
          <cell r="FP63">
            <v>94.73</v>
          </cell>
          <cell r="FQ63">
            <v>1.0126999999999999E-2</v>
          </cell>
          <cell r="FR63">
            <v>0.95</v>
          </cell>
          <cell r="FS63">
            <v>114.12</v>
          </cell>
          <cell r="FT63">
            <v>0.17</v>
          </cell>
          <cell r="FU63">
            <v>19.399999999999999</v>
          </cell>
          <cell r="GD63">
            <v>153</v>
          </cell>
          <cell r="GE63">
            <v>13462</v>
          </cell>
          <cell r="GF63">
            <v>13309</v>
          </cell>
          <cell r="GG63">
            <v>1</v>
          </cell>
          <cell r="HM63">
            <v>176</v>
          </cell>
          <cell r="HQ63">
            <v>185</v>
          </cell>
          <cell r="HU63">
            <v>171</v>
          </cell>
          <cell r="HY63">
            <v>282</v>
          </cell>
          <cell r="IC63">
            <v>161</v>
          </cell>
          <cell r="IG63">
            <v>179</v>
          </cell>
          <cell r="IK63">
            <v>175</v>
          </cell>
          <cell r="IO63">
            <v>152</v>
          </cell>
          <cell r="IS63">
            <v>160</v>
          </cell>
          <cell r="IW63">
            <v>145</v>
          </cell>
        </row>
        <row r="64">
          <cell r="A64" t="str">
            <v/>
          </cell>
          <cell r="B64" t="str">
            <v>10/452884-0</v>
          </cell>
          <cell r="C64" t="str">
            <v>Carlos Camisao (3325)</v>
          </cell>
          <cell r="D64" t="str">
            <v>2024-01-01</v>
          </cell>
          <cell r="F64" t="str">
            <v>energisa_ms</v>
          </cell>
          <cell r="G64" t="str">
            <v>Carlos Camisao (3325)</v>
          </cell>
          <cell r="H64" t="str">
            <v>Igreja do Evangelho Quadrangular</v>
          </cell>
          <cell r="I64">
            <v>45778</v>
          </cell>
          <cell r="J64" t="str">
            <v>COMERCIAL - TEMPLOS RELIGIOSOS</v>
          </cell>
          <cell r="K64" t="str">
            <v>79202000</v>
          </cell>
          <cell r="L64" t="str">
            <v>MS</v>
          </cell>
          <cell r="M64" t="str">
            <v>AQUIDAUANA</v>
          </cell>
          <cell r="N64" t="str">
            <v>CAMISAO</v>
          </cell>
          <cell r="O64" t="str">
            <v>AVENIDA CAMISAO, S/N - 06.201.90.426000</v>
          </cell>
          <cell r="P64">
            <v>45805</v>
          </cell>
          <cell r="Q64" t="str">
            <v>B - B3</v>
          </cell>
          <cell r="R64" t="str">
            <v>62955505000167</v>
          </cell>
          <cell r="U64">
            <v>45772</v>
          </cell>
          <cell r="V64">
            <v>45804</v>
          </cell>
          <cell r="W64">
            <v>45834</v>
          </cell>
          <cell r="X64">
            <v>45814</v>
          </cell>
          <cell r="Y64" t="str">
            <v/>
          </cell>
          <cell r="AA64" t="str">
            <v>010.523.312-002</v>
          </cell>
          <cell r="AB64" t="str">
            <v>bifasico</v>
          </cell>
          <cell r="AC64" t="str">
            <v>convencional</v>
          </cell>
          <cell r="AD64">
            <v>228.59</v>
          </cell>
          <cell r="AE64" t="str">
            <v>34191.09115 19514.732932 85972.140009 1 11040000022859</v>
          </cell>
          <cell r="AF64" t="str">
            <v>IGREJA DO EVANGELHO QUADRANGULAR</v>
          </cell>
          <cell r="AL64">
            <v>285</v>
          </cell>
          <cell r="AM64">
            <v>1.1418691371285357</v>
          </cell>
          <cell r="AN64">
            <v>325.43270408163266</v>
          </cell>
          <cell r="AO64">
            <v>1.1216140350877193</v>
          </cell>
          <cell r="AX64">
            <v>89</v>
          </cell>
          <cell r="AY64">
            <v>1.1083449896812656</v>
          </cell>
          <cell r="AZ64">
            <v>-98.642704081632644</v>
          </cell>
          <cell r="BA64">
            <v>1.1215730337078651</v>
          </cell>
          <cell r="DR64">
            <v>51</v>
          </cell>
          <cell r="DS64">
            <v>1.1418237294917968</v>
          </cell>
          <cell r="DT64">
            <v>-58.233010204081637</v>
          </cell>
          <cell r="DU64">
            <v>1.1215686274509804</v>
          </cell>
          <cell r="DZ64">
            <v>38</v>
          </cell>
          <cell r="EA64">
            <v>1.1418340494092374</v>
          </cell>
          <cell r="EB64">
            <v>-43.389693877551018</v>
          </cell>
          <cell r="EC64">
            <v>1.121578947368421</v>
          </cell>
          <cell r="ET64">
            <v>89</v>
          </cell>
          <cell r="EX64">
            <v>0</v>
          </cell>
          <cell r="EZ64">
            <v>3.97</v>
          </cell>
          <cell r="FC64">
            <v>1.8</v>
          </cell>
          <cell r="FL64">
            <v>2.98</v>
          </cell>
          <cell r="FM64">
            <v>185.81</v>
          </cell>
          <cell r="FN64">
            <v>4.6643999999999998E-2</v>
          </cell>
          <cell r="FO64">
            <v>8.67</v>
          </cell>
          <cell r="FP64">
            <v>185.81</v>
          </cell>
          <cell r="FQ64">
            <v>1.0126999999999999E-2</v>
          </cell>
          <cell r="FR64">
            <v>1.89</v>
          </cell>
          <cell r="FS64">
            <v>223.81</v>
          </cell>
          <cell r="FT64">
            <v>0.17</v>
          </cell>
          <cell r="FU64">
            <v>38.04</v>
          </cell>
          <cell r="GD64">
            <v>285</v>
          </cell>
          <cell r="GE64">
            <v>20209</v>
          </cell>
          <cell r="GF64">
            <v>19924</v>
          </cell>
          <cell r="GG64">
            <v>1</v>
          </cell>
          <cell r="HM64">
            <v>302</v>
          </cell>
          <cell r="HQ64">
            <v>318</v>
          </cell>
          <cell r="HU64">
            <v>242</v>
          </cell>
          <cell r="HY64">
            <v>200</v>
          </cell>
          <cell r="IC64">
            <v>164</v>
          </cell>
          <cell r="IG64">
            <v>159</v>
          </cell>
          <cell r="IK64">
            <v>155</v>
          </cell>
          <cell r="IO64">
            <v>102</v>
          </cell>
          <cell r="IS64">
            <v>57</v>
          </cell>
          <cell r="IW64">
            <v>48</v>
          </cell>
        </row>
        <row r="65">
          <cell r="A65" t="str">
            <v>10/1433087-2</v>
          </cell>
          <cell r="B65" t="str">
            <v>10/1433087-2</v>
          </cell>
          <cell r="F65" t="str">
            <v>energisa_ms</v>
          </cell>
          <cell r="H65" t="str">
            <v>10/1433087-2</v>
          </cell>
          <cell r="I65">
            <v>45778</v>
          </cell>
          <cell r="J65" t="str">
            <v>COMERCIAL - TEMPLOS RELIGIOSOS</v>
          </cell>
          <cell r="K65" t="str">
            <v>79780000</v>
          </cell>
          <cell r="L65" t="str">
            <v>MS</v>
          </cell>
          <cell r="M65" t="str">
            <v>BATAGUASSU</v>
          </cell>
          <cell r="N65" t="str">
            <v>JARDIM SANTA LUZIA</v>
          </cell>
          <cell r="O65" t="str">
            <v>RUA RECANTO, 126 - 01.057.03.577000</v>
          </cell>
          <cell r="P65">
            <v>45796</v>
          </cell>
          <cell r="Q65" t="str">
            <v>B - B3</v>
          </cell>
          <cell r="R65" t="str">
            <v>62955505419443</v>
          </cell>
          <cell r="U65">
            <v>45762</v>
          </cell>
          <cell r="V65">
            <v>45793</v>
          </cell>
          <cell r="W65">
            <v>45825</v>
          </cell>
          <cell r="X65">
            <v>45810</v>
          </cell>
          <cell r="Y65" t="str">
            <v/>
          </cell>
          <cell r="AA65" t="str">
            <v>010.410.070-002</v>
          </cell>
          <cell r="AB65" t="str">
            <v>trifasico</v>
          </cell>
          <cell r="AC65" t="str">
            <v>convencional</v>
          </cell>
          <cell r="AD65">
            <v>203.43</v>
          </cell>
          <cell r="AE65" t="str">
            <v>34191.09115 03305.132932 85972.140009 1 11000000020343</v>
          </cell>
          <cell r="AF65" t="str">
            <v>IGREJA DO EVANGELHO QUADRANGULAR</v>
          </cell>
          <cell r="AL65">
            <v>156</v>
          </cell>
          <cell r="AM65">
            <v>1.1341025641025642</v>
          </cell>
          <cell r="AN65">
            <v>176.92000000000002</v>
          </cell>
          <cell r="AO65">
            <v>1.1216025641025642</v>
          </cell>
          <cell r="EZ65">
            <v>1.95</v>
          </cell>
          <cell r="FA65">
            <v>18.5</v>
          </cell>
          <cell r="FC65">
            <v>8.01</v>
          </cell>
          <cell r="FM65">
            <v>146.83000000000001</v>
          </cell>
          <cell r="FN65">
            <v>4.6643999999999998E-2</v>
          </cell>
          <cell r="FO65">
            <v>6.84</v>
          </cell>
          <cell r="FP65">
            <v>146.83000000000001</v>
          </cell>
          <cell r="FQ65">
            <v>1.0126999999999999E-2</v>
          </cell>
          <cell r="FR65">
            <v>1.49</v>
          </cell>
          <cell r="FS65">
            <v>176.92</v>
          </cell>
          <cell r="FT65">
            <v>0.17</v>
          </cell>
          <cell r="FU65">
            <v>30.07</v>
          </cell>
          <cell r="GD65">
            <v>156</v>
          </cell>
          <cell r="GE65">
            <v>19224</v>
          </cell>
          <cell r="GF65">
            <v>19068</v>
          </cell>
          <cell r="GG65">
            <v>1</v>
          </cell>
          <cell r="HM65">
            <v>289</v>
          </cell>
          <cell r="HQ65">
            <v>334</v>
          </cell>
          <cell r="HU65">
            <v>279</v>
          </cell>
          <cell r="HY65">
            <v>226</v>
          </cell>
          <cell r="IC65">
            <v>223</v>
          </cell>
          <cell r="IG65">
            <v>216</v>
          </cell>
          <cell r="IK65">
            <v>228</v>
          </cell>
          <cell r="IO65">
            <v>132</v>
          </cell>
          <cell r="IS65">
            <v>115</v>
          </cell>
          <cell r="IW65">
            <v>155</v>
          </cell>
        </row>
        <row r="66">
          <cell r="A66" t="str">
            <v/>
          </cell>
          <cell r="B66" t="str">
            <v>10/1695011-5</v>
          </cell>
          <cell r="C66" t="str">
            <v>Ribas do Rio Pardo 62552</v>
          </cell>
          <cell r="D66" t="str">
            <v>2024-01-01</v>
          </cell>
          <cell r="F66" t="str">
            <v>energisa_ms</v>
          </cell>
          <cell r="G66" t="str">
            <v>Ribas do Rio Pardo 62552</v>
          </cell>
          <cell r="H66" t="str">
            <v>Igreja do Evangelho Quadrangular</v>
          </cell>
          <cell r="I66">
            <v>45778</v>
          </cell>
          <cell r="J66" t="str">
            <v>RESIDENCIAL - RESIDENCIAL</v>
          </cell>
          <cell r="K66" t="str">
            <v>79180000</v>
          </cell>
          <cell r="L66" t="str">
            <v>MS</v>
          </cell>
          <cell r="M66" t="str">
            <v>RIBAS DO RIO PARDO</v>
          </cell>
          <cell r="N66" t="str">
            <v>CENTRO</v>
          </cell>
          <cell r="O66" t="str">
            <v>RUA DOMINGOS GONCALVES GOMES, 2099 - 11.023.09.544100</v>
          </cell>
          <cell r="P66">
            <v>45790</v>
          </cell>
          <cell r="Q66" t="str">
            <v>B - B1</v>
          </cell>
          <cell r="R66" t="str">
            <v>62955505461210</v>
          </cell>
          <cell r="U66">
            <v>45757</v>
          </cell>
          <cell r="V66">
            <v>45789</v>
          </cell>
          <cell r="W66">
            <v>45818</v>
          </cell>
          <cell r="X66">
            <v>45799</v>
          </cell>
          <cell r="Y66" t="str">
            <v/>
          </cell>
          <cell r="AA66" t="str">
            <v>010.319.837-002</v>
          </cell>
          <cell r="AB66" t="str">
            <v>trifasico</v>
          </cell>
          <cell r="AC66" t="str">
            <v>convencional</v>
          </cell>
          <cell r="AD66">
            <v>933.05</v>
          </cell>
          <cell r="AF66" t="str">
            <v>IGREJA DO EVANGELHO QUADRANGULAR</v>
          </cell>
          <cell r="AL66">
            <v>758</v>
          </cell>
          <cell r="AM66">
            <v>1.1306558803260649</v>
          </cell>
          <cell r="AN66">
            <v>857.03715728715724</v>
          </cell>
          <cell r="AO66">
            <v>1.121622691292876</v>
          </cell>
          <cell r="AX66">
            <v>65</v>
          </cell>
          <cell r="AY66">
            <v>1.1305716505716505</v>
          </cell>
          <cell r="AZ66">
            <v>-73.487157287157288</v>
          </cell>
          <cell r="BA66">
            <v>1.1215384615384616</v>
          </cell>
          <cell r="DR66">
            <v>65</v>
          </cell>
          <cell r="DS66">
            <v>1.1305716505716505</v>
          </cell>
          <cell r="DT66">
            <v>-73.487157287157288</v>
          </cell>
          <cell r="DU66">
            <v>1.1215384615384616</v>
          </cell>
          <cell r="ET66">
            <v>65</v>
          </cell>
          <cell r="EX66">
            <v>0</v>
          </cell>
          <cell r="EZ66">
            <v>6.26</v>
          </cell>
          <cell r="FA66">
            <v>123.35</v>
          </cell>
          <cell r="FC66">
            <v>26.15</v>
          </cell>
          <cell r="FM66">
            <v>650.35</v>
          </cell>
          <cell r="FN66">
            <v>4.6643999999999998E-2</v>
          </cell>
          <cell r="FO66">
            <v>30.33</v>
          </cell>
          <cell r="FP66">
            <v>650.35</v>
          </cell>
          <cell r="FQ66">
            <v>1.0126999999999999E-2</v>
          </cell>
          <cell r="FR66">
            <v>6.6</v>
          </cell>
          <cell r="FS66">
            <v>783.55</v>
          </cell>
          <cell r="FT66">
            <v>0.17</v>
          </cell>
          <cell r="FU66">
            <v>133.19999999999999</v>
          </cell>
          <cell r="GD66">
            <v>758</v>
          </cell>
          <cell r="GE66">
            <v>79382</v>
          </cell>
          <cell r="GF66">
            <v>78624</v>
          </cell>
          <cell r="GG66">
            <v>1</v>
          </cell>
          <cell r="HM66">
            <v>885</v>
          </cell>
          <cell r="HQ66">
            <v>873</v>
          </cell>
          <cell r="HU66">
            <v>930</v>
          </cell>
          <cell r="HY66">
            <v>833</v>
          </cell>
          <cell r="IC66">
            <v>892</v>
          </cell>
          <cell r="IG66">
            <v>786</v>
          </cell>
          <cell r="IK66">
            <v>866</v>
          </cell>
          <cell r="IO66">
            <v>565</v>
          </cell>
          <cell r="IS66">
            <v>428</v>
          </cell>
          <cell r="IW66">
            <v>441</v>
          </cell>
        </row>
        <row r="67">
          <cell r="A67" t="str">
            <v/>
          </cell>
          <cell r="B67" t="str">
            <v>10/1184751-4</v>
          </cell>
          <cell r="C67" t="str">
            <v>1490</v>
          </cell>
          <cell r="D67" t="str">
            <v>2024-01-01</v>
          </cell>
          <cell r="F67" t="str">
            <v>energisa_ms</v>
          </cell>
          <cell r="G67" t="str">
            <v>1490</v>
          </cell>
          <cell r="H67" t="str">
            <v>Igreja do Evangelho Quadrangular</v>
          </cell>
          <cell r="I67">
            <v>45778</v>
          </cell>
          <cell r="J67" t="str">
            <v>COMERCIAL - TEMPLOS RELIGIOSOS</v>
          </cell>
          <cell r="K67" t="str">
            <v>79833090</v>
          </cell>
          <cell r="L67" t="str">
            <v>MS</v>
          </cell>
          <cell r="M67" t="str">
            <v>DOURADOS</v>
          </cell>
          <cell r="N67" t="str">
            <v>JARDIM GUANABARA</v>
          </cell>
          <cell r="O67" t="str">
            <v>RUA DOM PEDRO I, 1135 - 07.010.45.317001</v>
          </cell>
          <cell r="P67">
            <v>45789</v>
          </cell>
          <cell r="Q67" t="str">
            <v>B - B3</v>
          </cell>
          <cell r="R67" t="str">
            <v>62955505149047</v>
          </cell>
          <cell r="U67">
            <v>45756</v>
          </cell>
          <cell r="V67">
            <v>45786</v>
          </cell>
          <cell r="W67">
            <v>45817</v>
          </cell>
          <cell r="X67">
            <v>45798</v>
          </cell>
          <cell r="Y67" t="str">
            <v/>
          </cell>
          <cell r="AA67" t="str">
            <v>010.293.703-002</v>
          </cell>
          <cell r="AB67" t="str">
            <v>trifasico</v>
          </cell>
          <cell r="AC67" t="str">
            <v>convencional</v>
          </cell>
          <cell r="AD67">
            <v>169.13</v>
          </cell>
          <cell r="AF67" t="str">
            <v>IGREJA DO EVANGELHO QUADRANGULAR</v>
          </cell>
          <cell r="AL67">
            <v>293</v>
          </cell>
          <cell r="AM67">
            <v>1.1290158602690223</v>
          </cell>
          <cell r="AN67">
            <v>330.80164705882356</v>
          </cell>
          <cell r="AO67">
            <v>1.1216040955631399</v>
          </cell>
          <cell r="AX67">
            <v>208</v>
          </cell>
          <cell r="AY67">
            <v>1.0633733031674208</v>
          </cell>
          <cell r="AZ67">
            <v>-221.18164705882353</v>
          </cell>
          <cell r="BA67">
            <v>1.1215865384615384</v>
          </cell>
          <cell r="DR67">
            <v>208</v>
          </cell>
          <cell r="DS67">
            <v>1.1289983031674209</v>
          </cell>
          <cell r="DT67">
            <v>-234.83164705882353</v>
          </cell>
          <cell r="DU67">
            <v>1.1215865384615384</v>
          </cell>
          <cell r="ET67">
            <v>208</v>
          </cell>
          <cell r="EX67">
            <v>185</v>
          </cell>
          <cell r="EZ67">
            <v>0.63</v>
          </cell>
          <cell r="FA67">
            <v>59.51</v>
          </cell>
          <cell r="FL67">
            <v>13.65</v>
          </cell>
          <cell r="FM67">
            <v>79.69</v>
          </cell>
          <cell r="FN67">
            <v>4.6643999999999998E-2</v>
          </cell>
          <cell r="FO67">
            <v>3.72</v>
          </cell>
          <cell r="FP67">
            <v>79.69</v>
          </cell>
          <cell r="FQ67">
            <v>1.0126999999999999E-2</v>
          </cell>
          <cell r="FR67">
            <v>0.83</v>
          </cell>
          <cell r="FS67">
            <v>95.97</v>
          </cell>
          <cell r="FT67">
            <v>0.17</v>
          </cell>
          <cell r="FU67">
            <v>16.309999999999999</v>
          </cell>
          <cell r="GD67">
            <v>293</v>
          </cell>
          <cell r="GE67">
            <v>75528</v>
          </cell>
          <cell r="GF67">
            <v>75235</v>
          </cell>
          <cell r="GG67">
            <v>1</v>
          </cell>
          <cell r="HM67">
            <v>317</v>
          </cell>
          <cell r="HQ67">
            <v>371</v>
          </cell>
          <cell r="HU67">
            <v>322</v>
          </cell>
          <cell r="HY67">
            <v>168</v>
          </cell>
          <cell r="IC67">
            <v>196</v>
          </cell>
          <cell r="IG67">
            <v>171</v>
          </cell>
          <cell r="IK67">
            <v>162</v>
          </cell>
          <cell r="IO67">
            <v>143</v>
          </cell>
          <cell r="IS67">
            <v>162</v>
          </cell>
          <cell r="IW67">
            <v>188</v>
          </cell>
        </row>
        <row r="68">
          <cell r="A68" t="str">
            <v/>
          </cell>
          <cell r="B68" t="str">
            <v>10/931327-1</v>
          </cell>
          <cell r="C68" t="str">
            <v>Vila Martins 4027</v>
          </cell>
          <cell r="D68" t="str">
            <v>2024-01-01</v>
          </cell>
          <cell r="F68" t="str">
            <v>energisa_ms</v>
          </cell>
          <cell r="G68" t="str">
            <v>Vila Martins 4027</v>
          </cell>
          <cell r="H68" t="str">
            <v>Igreja do Evangelho Quadrangular</v>
          </cell>
          <cell r="I68">
            <v>45778</v>
          </cell>
          <cell r="J68" t="str">
            <v>COMERCIAL - OUTROS SERVIÇOS E OUTRAS ATIVIDADES</v>
          </cell>
          <cell r="K68" t="str">
            <v>79990000</v>
          </cell>
          <cell r="L68" t="str">
            <v>MS</v>
          </cell>
          <cell r="M68" t="str">
            <v>AMAMBAI</v>
          </cell>
          <cell r="N68" t="str">
            <v>VILA MARTINS</v>
          </cell>
          <cell r="O68" t="str">
            <v>RUA ALCINDO FRANCO MACHADO, 951 - 10.036.25.249000</v>
          </cell>
          <cell r="P68">
            <v>45797</v>
          </cell>
          <cell r="Q68" t="str">
            <v>B - B3</v>
          </cell>
          <cell r="R68" t="str">
            <v>62955505402710</v>
          </cell>
          <cell r="U68">
            <v>45763</v>
          </cell>
          <cell r="V68">
            <v>45796</v>
          </cell>
          <cell r="W68">
            <v>45826</v>
          </cell>
          <cell r="X68">
            <v>45824</v>
          </cell>
          <cell r="Y68" t="str">
            <v/>
          </cell>
          <cell r="AA68" t="str">
            <v>010.428.863-002</v>
          </cell>
          <cell r="AB68" t="str">
            <v>trifasico</v>
          </cell>
          <cell r="AC68" t="str">
            <v>convencional</v>
          </cell>
          <cell r="AD68">
            <v>182.02</v>
          </cell>
          <cell r="AE68" t="str">
            <v>34191.09115 04107.112932 85972.140009 1 11140000018202</v>
          </cell>
          <cell r="AF68" t="str">
            <v>IGREJA DO EVANGELHO QUADRANGULAR</v>
          </cell>
          <cell r="AL68">
            <v>392</v>
          </cell>
          <cell r="AM68">
            <v>1.1357931893687707</v>
          </cell>
          <cell r="AN68">
            <v>445.23093023255814</v>
          </cell>
          <cell r="AO68">
            <v>1.1216071428571428</v>
          </cell>
          <cell r="AX68">
            <v>306</v>
          </cell>
          <cell r="AY68">
            <v>1.0947742818057458</v>
          </cell>
          <cell r="AZ68">
            <v>-335.00093023255818</v>
          </cell>
          <cell r="BA68">
            <v>1.1216013071895425</v>
          </cell>
          <cell r="DR68">
            <v>151</v>
          </cell>
          <cell r="DS68">
            <v>1.1357754504851378</v>
          </cell>
          <cell r="DT68">
            <v>-171.50209302325581</v>
          </cell>
          <cell r="DU68">
            <v>1.1215894039735099</v>
          </cell>
          <cell r="DZ68">
            <v>155</v>
          </cell>
          <cell r="EA68">
            <v>1.1357989497374343</v>
          </cell>
          <cell r="EB68">
            <v>-176.04883720930232</v>
          </cell>
          <cell r="EC68">
            <v>1.1216129032258064</v>
          </cell>
          <cell r="ET68">
            <v>306</v>
          </cell>
          <cell r="EX68">
            <v>784</v>
          </cell>
          <cell r="EZ68">
            <v>1.22</v>
          </cell>
          <cell r="FA68">
            <v>71.790000000000006</v>
          </cell>
          <cell r="FL68">
            <v>12.55</v>
          </cell>
          <cell r="FM68">
            <v>81.099999999999994</v>
          </cell>
          <cell r="FN68">
            <v>4.6643999999999998E-2</v>
          </cell>
          <cell r="FO68">
            <v>3.79</v>
          </cell>
          <cell r="FP68">
            <v>81.099999999999994</v>
          </cell>
          <cell r="FQ68">
            <v>1.0126999999999999E-2</v>
          </cell>
          <cell r="FR68">
            <v>0.81</v>
          </cell>
          <cell r="FS68">
            <v>97.68</v>
          </cell>
          <cell r="FT68">
            <v>0.17</v>
          </cell>
          <cell r="FU68">
            <v>16.600000000000001</v>
          </cell>
          <cell r="GD68">
            <v>392</v>
          </cell>
          <cell r="GE68">
            <v>5850</v>
          </cell>
          <cell r="GF68">
            <v>5458</v>
          </cell>
          <cell r="GG68">
            <v>1</v>
          </cell>
          <cell r="HM68">
            <v>345</v>
          </cell>
          <cell r="HQ68">
            <v>412</v>
          </cell>
          <cell r="HU68">
            <v>361</v>
          </cell>
          <cell r="HY68">
            <v>370</v>
          </cell>
          <cell r="IC68">
            <v>280</v>
          </cell>
          <cell r="IG68">
            <v>252</v>
          </cell>
          <cell r="IK68">
            <v>268</v>
          </cell>
          <cell r="IO68">
            <v>227</v>
          </cell>
          <cell r="IS68">
            <v>202</v>
          </cell>
          <cell r="IW68">
            <v>234</v>
          </cell>
        </row>
        <row r="69">
          <cell r="A69" t="str">
            <v/>
          </cell>
          <cell r="B69" t="str">
            <v>10/237441-1</v>
          </cell>
          <cell r="C69" t="str">
            <v>2390</v>
          </cell>
          <cell r="D69" t="str">
            <v>2024-01-01</v>
          </cell>
          <cell r="F69" t="str">
            <v>energisa_ms</v>
          </cell>
          <cell r="G69" t="str">
            <v>17213</v>
          </cell>
          <cell r="H69" t="str">
            <v>Igreja do Evangelho Quadrangular</v>
          </cell>
          <cell r="I69">
            <v>45778</v>
          </cell>
          <cell r="J69" t="str">
            <v>COMERCIAL - TEMPLOS RELIGIOSOS</v>
          </cell>
          <cell r="K69" t="str">
            <v>79290000</v>
          </cell>
          <cell r="L69" t="str">
            <v>MS</v>
          </cell>
          <cell r="M69" t="str">
            <v>BONITO</v>
          </cell>
          <cell r="N69" t="str">
            <v>MARAMBA</v>
          </cell>
          <cell r="O69" t="str">
            <v>AVENIDA HERON DO COUTO, S/N - 14.061.05.032000</v>
          </cell>
          <cell r="P69">
            <v>45797</v>
          </cell>
          <cell r="Q69" t="str">
            <v>B - B3</v>
          </cell>
          <cell r="R69" t="str">
            <v>62955505017213</v>
          </cell>
          <cell r="U69">
            <v>45763</v>
          </cell>
          <cell r="V69">
            <v>45796</v>
          </cell>
          <cell r="W69">
            <v>45826</v>
          </cell>
          <cell r="X69">
            <v>45819</v>
          </cell>
          <cell r="Y69" t="str">
            <v/>
          </cell>
          <cell r="AA69" t="str">
            <v>010.427.745-002</v>
          </cell>
          <cell r="AB69" t="str">
            <v>trifasico</v>
          </cell>
          <cell r="AC69" t="str">
            <v>convencional</v>
          </cell>
          <cell r="AD69">
            <v>128.61000000000001</v>
          </cell>
          <cell r="AE69" t="str">
            <v>34191.09115 04082.022932 85972.140009 9 11090000012861</v>
          </cell>
          <cell r="AF69" t="str">
            <v>IGREJA DO EVANGELHO QUADRANGULAR</v>
          </cell>
          <cell r="AL69">
            <v>172</v>
          </cell>
          <cell r="AM69">
            <v>1.1357534409112482</v>
          </cell>
          <cell r="AN69">
            <v>195.3495918367347</v>
          </cell>
          <cell r="AO69">
            <v>1.1215697674418605</v>
          </cell>
          <cell r="AX69">
            <v>74</v>
          </cell>
          <cell r="AY69">
            <v>1.1101296194153336</v>
          </cell>
          <cell r="AZ69">
            <v>-82.149591836734686</v>
          </cell>
          <cell r="BA69">
            <v>1.1213513513513513</v>
          </cell>
          <cell r="DR69">
            <v>28</v>
          </cell>
          <cell r="DS69">
            <v>1.1352551020408161</v>
          </cell>
          <cell r="DT69">
            <v>-31.787142857142854</v>
          </cell>
          <cell r="DU69">
            <v>1.1210714285714285</v>
          </cell>
          <cell r="DZ69">
            <v>46</v>
          </cell>
          <cell r="EA69">
            <v>1.1357054125998225</v>
          </cell>
          <cell r="EB69">
            <v>-52.242448979591835</v>
          </cell>
          <cell r="EC69">
            <v>1.1215217391304348</v>
          </cell>
          <cell r="ET69">
            <v>74</v>
          </cell>
          <cell r="EX69">
            <v>497</v>
          </cell>
          <cell r="EZ69">
            <v>1.39</v>
          </cell>
          <cell r="FA69">
            <v>15.41</v>
          </cell>
          <cell r="FL69">
            <v>1.88</v>
          </cell>
          <cell r="FM69">
            <v>92.43</v>
          </cell>
          <cell r="FN69">
            <v>4.6643999999999998E-2</v>
          </cell>
          <cell r="FO69">
            <v>4.3099999999999996</v>
          </cell>
          <cell r="FP69">
            <v>92.43</v>
          </cell>
          <cell r="FQ69">
            <v>1.0126999999999999E-2</v>
          </cell>
          <cell r="FR69">
            <v>0.95</v>
          </cell>
          <cell r="FS69">
            <v>111.32</v>
          </cell>
          <cell r="FT69">
            <v>0.17</v>
          </cell>
          <cell r="FU69">
            <v>18.920000000000002</v>
          </cell>
          <cell r="GD69">
            <v>172</v>
          </cell>
          <cell r="GE69">
            <v>55814</v>
          </cell>
          <cell r="GF69">
            <v>55642</v>
          </cell>
          <cell r="GG69">
            <v>1</v>
          </cell>
          <cell r="HM69">
            <v>152</v>
          </cell>
          <cell r="HQ69">
            <v>317</v>
          </cell>
          <cell r="HU69">
            <v>159</v>
          </cell>
          <cell r="HY69">
            <v>269</v>
          </cell>
          <cell r="IC69">
            <v>383</v>
          </cell>
          <cell r="IG69">
            <v>140</v>
          </cell>
          <cell r="IK69">
            <v>187</v>
          </cell>
          <cell r="IO69">
            <v>95</v>
          </cell>
          <cell r="IS69">
            <v>78</v>
          </cell>
          <cell r="IW69">
            <v>76</v>
          </cell>
        </row>
        <row r="70">
          <cell r="A70" t="str">
            <v/>
          </cell>
          <cell r="B70" t="str">
            <v>10/113971-6</v>
          </cell>
          <cell r="C70" t="str">
            <v>156</v>
          </cell>
          <cell r="D70" t="str">
            <v>2024-01-01</v>
          </cell>
          <cell r="F70" t="str">
            <v>energisa_ms</v>
          </cell>
          <cell r="G70" t="str">
            <v>156</v>
          </cell>
          <cell r="H70" t="str">
            <v>Igreja do Evangelho Quadrangular</v>
          </cell>
          <cell r="I70">
            <v>45778</v>
          </cell>
          <cell r="J70" t="str">
            <v>COMERCIAL - TEMPLOS RELIGIOSOS</v>
          </cell>
          <cell r="K70" t="str">
            <v>79700000</v>
          </cell>
          <cell r="L70" t="str">
            <v>MS</v>
          </cell>
          <cell r="M70" t="str">
            <v>FATIMA DO SUL</v>
          </cell>
          <cell r="N70" t="str">
            <v>JARDIM SAO PAULO</v>
          </cell>
          <cell r="O70" t="str">
            <v>RUA CARLOS CHAGAS, 1092 - 05.026.05.081000</v>
          </cell>
          <cell r="P70">
            <v>45786</v>
          </cell>
          <cell r="Q70" t="str">
            <v>B - B3</v>
          </cell>
          <cell r="R70" t="str">
            <v>62955505015601</v>
          </cell>
          <cell r="U70">
            <v>45754</v>
          </cell>
          <cell r="V70">
            <v>45785</v>
          </cell>
          <cell r="W70">
            <v>45814</v>
          </cell>
          <cell r="X70">
            <v>45797</v>
          </cell>
          <cell r="Y70" t="str">
            <v/>
          </cell>
          <cell r="AA70" t="str">
            <v>010.268.036-002</v>
          </cell>
          <cell r="AB70" t="str">
            <v>trifasico</v>
          </cell>
          <cell r="AC70" t="str">
            <v>convencional</v>
          </cell>
          <cell r="AD70">
            <v>282.88</v>
          </cell>
          <cell r="AF70" t="str">
            <v>IGREJA DO EVANGELHO QUADRANGULAR</v>
          </cell>
          <cell r="AL70">
            <v>226</v>
          </cell>
          <cell r="AM70">
            <v>1.1277433628318585</v>
          </cell>
          <cell r="AN70">
            <v>254.87000000000003</v>
          </cell>
          <cell r="AO70">
            <v>1.1215929203539823</v>
          </cell>
          <cell r="EZ70">
            <v>1.39</v>
          </cell>
          <cell r="FA70">
            <v>28.01</v>
          </cell>
          <cell r="FM70">
            <v>211.54</v>
          </cell>
          <cell r="FN70">
            <v>4.6643999999999998E-2</v>
          </cell>
          <cell r="FO70">
            <v>9.86</v>
          </cell>
          <cell r="FP70">
            <v>211.54</v>
          </cell>
          <cell r="FQ70">
            <v>1.0126999999999999E-2</v>
          </cell>
          <cell r="FR70">
            <v>2.14</v>
          </cell>
          <cell r="FS70">
            <v>254.87</v>
          </cell>
          <cell r="FT70">
            <v>0.17</v>
          </cell>
          <cell r="FU70">
            <v>43.32</v>
          </cell>
          <cell r="GD70">
            <v>226</v>
          </cell>
          <cell r="GE70">
            <v>35301</v>
          </cell>
          <cell r="GF70">
            <v>35075</v>
          </cell>
          <cell r="GG70">
            <v>1</v>
          </cell>
          <cell r="HM70">
            <v>290</v>
          </cell>
          <cell r="HQ70">
            <v>394</v>
          </cell>
          <cell r="HU70">
            <v>324</v>
          </cell>
          <cell r="HY70">
            <v>253</v>
          </cell>
          <cell r="IC70">
            <v>278</v>
          </cell>
          <cell r="IG70">
            <v>218</v>
          </cell>
          <cell r="IK70">
            <v>244</v>
          </cell>
          <cell r="IO70">
            <v>177</v>
          </cell>
          <cell r="IS70">
            <v>218</v>
          </cell>
          <cell r="IW70">
            <v>211</v>
          </cell>
        </row>
        <row r="71">
          <cell r="A71" t="str">
            <v/>
          </cell>
          <cell r="B71" t="str">
            <v>10/1698130-0</v>
          </cell>
          <cell r="C71" t="str">
            <v>Ribas do Rio Pardo 62552</v>
          </cell>
          <cell r="D71" t="str">
            <v>2024-01-01</v>
          </cell>
          <cell r="F71" t="str">
            <v>energisa_ms</v>
          </cell>
          <cell r="G71" t="str">
            <v>Ribas do Rio Pardo 62552</v>
          </cell>
          <cell r="H71" t="str">
            <v>Igreja do Evangelho Quadrangular</v>
          </cell>
          <cell r="I71">
            <v>45778</v>
          </cell>
          <cell r="J71" t="str">
            <v>COMERCIAL - COMERCIAL</v>
          </cell>
          <cell r="K71" t="str">
            <v>79180000</v>
          </cell>
          <cell r="L71" t="str">
            <v>MS</v>
          </cell>
          <cell r="M71" t="str">
            <v>RIBAS DO RIO PARDO</v>
          </cell>
          <cell r="N71" t="str">
            <v>CENTRO</v>
          </cell>
          <cell r="O71" t="str">
            <v>RUA DOMINGOS GONCALVES GOMES, 2079 - Q 08 L 02 11.023.09.544000</v>
          </cell>
          <cell r="P71">
            <v>45790</v>
          </cell>
          <cell r="Q71" t="str">
            <v>B - B3</v>
          </cell>
          <cell r="R71" t="str">
            <v>62955505461210</v>
          </cell>
          <cell r="U71">
            <v>45757</v>
          </cell>
          <cell r="V71">
            <v>45789</v>
          </cell>
          <cell r="W71">
            <v>45818</v>
          </cell>
          <cell r="X71">
            <v>45799</v>
          </cell>
          <cell r="Y71" t="str">
            <v/>
          </cell>
          <cell r="AA71" t="str">
            <v>010.319.847-002</v>
          </cell>
          <cell r="AB71" t="str">
            <v>trifasico</v>
          </cell>
          <cell r="AC71" t="str">
            <v>convencional</v>
          </cell>
          <cell r="AD71">
            <v>226.21</v>
          </cell>
          <cell r="AF71" t="str">
            <v>IGREJA DO EVANGELHO QUADRANGULAR</v>
          </cell>
          <cell r="AL71">
            <v>245</v>
          </cell>
          <cell r="AM71">
            <v>1.1306359543817528</v>
          </cell>
          <cell r="AN71">
            <v>277.00580882352943</v>
          </cell>
          <cell r="AO71">
            <v>1.121591836734694</v>
          </cell>
          <cell r="AX71">
            <v>109</v>
          </cell>
          <cell r="AY71">
            <v>1.1306037506745819</v>
          </cell>
          <cell r="AZ71">
            <v>-123.23580882352942</v>
          </cell>
          <cell r="BA71">
            <v>1.121559633027523</v>
          </cell>
          <cell r="DR71">
            <v>109</v>
          </cell>
          <cell r="DS71">
            <v>1.1306037506745819</v>
          </cell>
          <cell r="DT71">
            <v>-123.23580882352942</v>
          </cell>
          <cell r="DU71">
            <v>1.121559633027523</v>
          </cell>
          <cell r="ET71">
            <v>109</v>
          </cell>
          <cell r="EX71">
            <v>0</v>
          </cell>
          <cell r="EZ71">
            <v>1.23</v>
          </cell>
          <cell r="FA71">
            <v>67.84</v>
          </cell>
          <cell r="FC71">
            <v>4.5999999999999996</v>
          </cell>
          <cell r="FM71">
            <v>127.62</v>
          </cell>
          <cell r="FN71">
            <v>4.6643999999999998E-2</v>
          </cell>
          <cell r="FO71">
            <v>5.95</v>
          </cell>
          <cell r="FP71">
            <v>127.62</v>
          </cell>
          <cell r="FQ71">
            <v>1.0126999999999999E-2</v>
          </cell>
          <cell r="FR71">
            <v>1.29</v>
          </cell>
          <cell r="FS71">
            <v>153.77000000000001</v>
          </cell>
          <cell r="FT71">
            <v>0.17</v>
          </cell>
          <cell r="FU71">
            <v>26.14</v>
          </cell>
          <cell r="GD71">
            <v>245</v>
          </cell>
          <cell r="GE71">
            <v>96004</v>
          </cell>
          <cell r="GF71">
            <v>95759</v>
          </cell>
          <cell r="GG71">
            <v>1</v>
          </cell>
          <cell r="HM71">
            <v>340</v>
          </cell>
          <cell r="HQ71">
            <v>327</v>
          </cell>
          <cell r="HU71">
            <v>371</v>
          </cell>
          <cell r="HY71">
            <v>339</v>
          </cell>
          <cell r="IC71">
            <v>323</v>
          </cell>
          <cell r="IG71">
            <v>283</v>
          </cell>
          <cell r="IK71">
            <v>348</v>
          </cell>
          <cell r="IO71">
            <v>184</v>
          </cell>
          <cell r="IS71">
            <v>128</v>
          </cell>
          <cell r="IW71">
            <v>132</v>
          </cell>
        </row>
        <row r="72">
          <cell r="A72" t="str">
            <v/>
          </cell>
          <cell r="B72" t="str">
            <v>10/276283-9</v>
          </cell>
          <cell r="C72" t="str">
            <v>Cel Sapucaia 884</v>
          </cell>
          <cell r="D72" t="str">
            <v>2024-01-01</v>
          </cell>
          <cell r="F72" t="str">
            <v>energisa_ms</v>
          </cell>
          <cell r="G72" t="str">
            <v>Cel Sapucaia 884</v>
          </cell>
          <cell r="H72" t="str">
            <v>Igreja do Evangelho Quadrangular</v>
          </cell>
          <cell r="I72">
            <v>45778</v>
          </cell>
          <cell r="J72" t="str">
            <v>COMERCIAL - TEMPLOS RELIGIOSOS</v>
          </cell>
          <cell r="K72" t="str">
            <v>79995000</v>
          </cell>
          <cell r="L72" t="str">
            <v>MS</v>
          </cell>
          <cell r="M72" t="str">
            <v>CORONEL SAPUCAIA</v>
          </cell>
          <cell r="N72" t="str">
            <v>JARDIM MONTIVIDEU</v>
          </cell>
          <cell r="O72" t="str">
            <v>RUA ADOLFO DO AMARAL, 284 - 15.085.81.377000</v>
          </cell>
          <cell r="P72">
            <v>45804</v>
          </cell>
          <cell r="Q72" t="str">
            <v>B - B3</v>
          </cell>
          <cell r="R72" t="str">
            <v>62955505088404</v>
          </cell>
          <cell r="U72">
            <v>45771</v>
          </cell>
          <cell r="V72">
            <v>45803</v>
          </cell>
          <cell r="W72">
            <v>45833</v>
          </cell>
          <cell r="X72">
            <v>45819</v>
          </cell>
          <cell r="Y72" t="str">
            <v/>
          </cell>
          <cell r="AA72" t="str">
            <v>010.507.349-002</v>
          </cell>
          <cell r="AB72" t="str">
            <v>trifasico</v>
          </cell>
          <cell r="AC72" t="str">
            <v>convencional</v>
          </cell>
          <cell r="AD72">
            <v>157.28</v>
          </cell>
          <cell r="AE72" t="str">
            <v>34191.09115 16852.202932 85972.140009 2 11090000015728</v>
          </cell>
          <cell r="AF72" t="str">
            <v>IGREJA DO EVANGELHO QUADRANGULAR</v>
          </cell>
          <cell r="AL72">
            <v>286</v>
          </cell>
          <cell r="AM72">
            <v>1.1411083916083915</v>
          </cell>
          <cell r="AN72">
            <v>326.35699999999997</v>
          </cell>
          <cell r="AO72">
            <v>1.1216083916083914</v>
          </cell>
          <cell r="AX72">
            <v>186</v>
          </cell>
          <cell r="AY72">
            <v>1.1411129032258065</v>
          </cell>
          <cell r="AZ72">
            <v>-212.24700000000001</v>
          </cell>
          <cell r="BA72">
            <v>1.1216129032258064</v>
          </cell>
          <cell r="DR72">
            <v>31</v>
          </cell>
          <cell r="DS72">
            <v>1.1411129032258067</v>
          </cell>
          <cell r="DT72">
            <v>-35.374500000000012</v>
          </cell>
          <cell r="DU72">
            <v>1.1216129032258066</v>
          </cell>
          <cell r="DZ72">
            <v>155</v>
          </cell>
          <cell r="EA72">
            <v>1.1411129032258065</v>
          </cell>
          <cell r="EB72">
            <v>-176.8725</v>
          </cell>
          <cell r="EC72">
            <v>1.1216129032258064</v>
          </cell>
          <cell r="ET72">
            <v>186</v>
          </cell>
          <cell r="EX72">
            <v>922</v>
          </cell>
          <cell r="EZ72">
            <v>1.95</v>
          </cell>
          <cell r="FA72">
            <v>43.17</v>
          </cell>
          <cell r="FM72">
            <v>94.73</v>
          </cell>
          <cell r="FN72">
            <v>4.6643999999999998E-2</v>
          </cell>
          <cell r="FO72">
            <v>4.42</v>
          </cell>
          <cell r="FP72">
            <v>94.73</v>
          </cell>
          <cell r="FQ72">
            <v>1.0126999999999999E-2</v>
          </cell>
          <cell r="FR72">
            <v>0.98</v>
          </cell>
          <cell r="FS72">
            <v>114.11</v>
          </cell>
          <cell r="FT72">
            <v>0.17</v>
          </cell>
          <cell r="FU72">
            <v>19.39</v>
          </cell>
          <cell r="GD72">
            <v>286</v>
          </cell>
          <cell r="GE72">
            <v>38987</v>
          </cell>
          <cell r="GF72">
            <v>38701</v>
          </cell>
          <cell r="GG72">
            <v>1</v>
          </cell>
          <cell r="HM72">
            <v>192</v>
          </cell>
          <cell r="HQ72">
            <v>522</v>
          </cell>
          <cell r="HU72">
            <v>452</v>
          </cell>
          <cell r="HY72">
            <v>640</v>
          </cell>
          <cell r="IC72">
            <v>365</v>
          </cell>
          <cell r="IG72">
            <v>409</v>
          </cell>
          <cell r="IK72">
            <v>287</v>
          </cell>
          <cell r="IO72">
            <v>244</v>
          </cell>
          <cell r="IS72">
            <v>156</v>
          </cell>
          <cell r="IW72">
            <v>194</v>
          </cell>
        </row>
        <row r="73">
          <cell r="A73" t="str">
            <v/>
          </cell>
          <cell r="B73" t="str">
            <v>10/511753-6</v>
          </cell>
          <cell r="C73" t="str">
            <v>Seac</v>
          </cell>
          <cell r="D73" t="str">
            <v>2024-01-01</v>
          </cell>
          <cell r="F73" t="str">
            <v>energisa_ms</v>
          </cell>
          <cell r="G73" t="str">
            <v>Seac</v>
          </cell>
          <cell r="H73" t="str">
            <v>Igreja do Evangelho Quadrangular</v>
          </cell>
          <cell r="I73">
            <v>45778</v>
          </cell>
          <cell r="J73" t="str">
            <v>COMERCIAL - TEMPLOS RELIGIOSOS</v>
          </cell>
          <cell r="K73" t="str">
            <v>79370000</v>
          </cell>
          <cell r="L73" t="str">
            <v>MS</v>
          </cell>
          <cell r="M73" t="str">
            <v>LADARIO</v>
          </cell>
          <cell r="N73" t="str">
            <v>CENTRO</v>
          </cell>
          <cell r="O73" t="str">
            <v>RUA PEDRO FELICIDADE, 351 - 04.004.01.200077</v>
          </cell>
          <cell r="P73">
            <v>45784</v>
          </cell>
          <cell r="Q73" t="str">
            <v>B - B3</v>
          </cell>
          <cell r="R73" t="str">
            <v>62955505016080</v>
          </cell>
          <cell r="U73">
            <v>45750</v>
          </cell>
          <cell r="V73">
            <v>45783</v>
          </cell>
          <cell r="W73">
            <v>45812</v>
          </cell>
          <cell r="X73">
            <v>45800</v>
          </cell>
          <cell r="Y73" t="str">
            <v/>
          </cell>
          <cell r="AA73" t="str">
            <v>010.222.865-002</v>
          </cell>
          <cell r="AB73" t="str">
            <v>bifasico</v>
          </cell>
          <cell r="AC73" t="str">
            <v>convencional</v>
          </cell>
          <cell r="AD73">
            <v>101.82</v>
          </cell>
          <cell r="AF73" t="str">
            <v>IGREJA DO EVANGELHO QUADRANGULAR</v>
          </cell>
          <cell r="AL73">
            <v>193</v>
          </cell>
          <cell r="AM73">
            <v>1.1246442141623489</v>
          </cell>
          <cell r="AN73">
            <v>217.05633333333336</v>
          </cell>
          <cell r="AO73">
            <v>1.1203108808290156</v>
          </cell>
          <cell r="AX73">
            <v>163</v>
          </cell>
          <cell r="AY73">
            <v>1.0161738241308793</v>
          </cell>
          <cell r="AZ73">
            <v>-165.63633333333331</v>
          </cell>
          <cell r="BA73">
            <v>1.1202453987730061</v>
          </cell>
          <cell r="DR73">
            <v>163</v>
          </cell>
          <cell r="DS73">
            <v>1.1245787321063394</v>
          </cell>
          <cell r="DT73">
            <v>-183.30633333333333</v>
          </cell>
          <cell r="DU73">
            <v>1.1202453987730061</v>
          </cell>
          <cell r="ET73">
            <v>163</v>
          </cell>
          <cell r="EX73">
            <v>572</v>
          </cell>
          <cell r="EZ73">
            <v>0.13</v>
          </cell>
          <cell r="FA73">
            <v>49.34</v>
          </cell>
          <cell r="FC73">
            <v>1.06</v>
          </cell>
          <cell r="FL73">
            <v>17.670000000000002</v>
          </cell>
          <cell r="FM73">
            <v>28.02</v>
          </cell>
          <cell r="FN73">
            <v>4.6643999999999998E-2</v>
          </cell>
          <cell r="FO73">
            <v>1.31</v>
          </cell>
          <cell r="FP73">
            <v>28.02</v>
          </cell>
          <cell r="FQ73">
            <v>1.0126999999999999E-2</v>
          </cell>
          <cell r="FR73">
            <v>0.3</v>
          </cell>
          <cell r="FS73">
            <v>33.75</v>
          </cell>
          <cell r="FT73">
            <v>0.17</v>
          </cell>
          <cell r="FU73">
            <v>5.73</v>
          </cell>
          <cell r="GD73">
            <v>193</v>
          </cell>
          <cell r="GE73">
            <v>7140</v>
          </cell>
          <cell r="GF73">
            <v>6947</v>
          </cell>
          <cell r="GG73">
            <v>1</v>
          </cell>
          <cell r="HM73">
            <v>226</v>
          </cell>
          <cell r="HQ73">
            <v>317</v>
          </cell>
          <cell r="HU73">
            <v>321</v>
          </cell>
          <cell r="HY73">
            <v>251</v>
          </cell>
          <cell r="IC73">
            <v>253</v>
          </cell>
          <cell r="IG73">
            <v>265</v>
          </cell>
          <cell r="IK73">
            <v>233</v>
          </cell>
          <cell r="IO73">
            <v>107</v>
          </cell>
          <cell r="IS73">
            <v>127</v>
          </cell>
          <cell r="IW73">
            <v>129</v>
          </cell>
        </row>
        <row r="74">
          <cell r="A74" t="str">
            <v/>
          </cell>
          <cell r="B74" t="str">
            <v>10/532723-4</v>
          </cell>
          <cell r="C74" t="str">
            <v>3593</v>
          </cell>
          <cell r="D74" t="str">
            <v>2024-01-01</v>
          </cell>
          <cell r="F74" t="str">
            <v>energisa_ms</v>
          </cell>
          <cell r="G74" t="str">
            <v>3593</v>
          </cell>
          <cell r="H74" t="str">
            <v>Igreja do Evangelho Quadrangular</v>
          </cell>
          <cell r="I74">
            <v>45778</v>
          </cell>
          <cell r="J74" t="str">
            <v>COMERCIAL - TEMPLOS RELIGIOSOS</v>
          </cell>
          <cell r="K74" t="str">
            <v>79140000</v>
          </cell>
          <cell r="L74" t="str">
            <v>MS</v>
          </cell>
          <cell r="M74" t="str">
            <v>NOVA ALVORADA DO SUL</v>
          </cell>
          <cell r="N74" t="str">
            <v>CENTRO</v>
          </cell>
          <cell r="O74" t="str">
            <v>RUA DUAIR JOAO DE BARCELOS, 267 - 04.092.01.513000</v>
          </cell>
          <cell r="P74">
            <v>45804</v>
          </cell>
          <cell r="Q74" t="str">
            <v>B - B3</v>
          </cell>
          <cell r="R74" t="str">
            <v>62955505359360</v>
          </cell>
          <cell r="U74">
            <v>45771</v>
          </cell>
          <cell r="V74">
            <v>45803</v>
          </cell>
          <cell r="W74">
            <v>45833</v>
          </cell>
          <cell r="X74">
            <v>45819</v>
          </cell>
          <cell r="Y74" t="str">
            <v/>
          </cell>
          <cell r="AA74" t="str">
            <v>010.508.031-002</v>
          </cell>
          <cell r="AB74" t="str">
            <v>trifasico</v>
          </cell>
          <cell r="AC74" t="str">
            <v>convencional</v>
          </cell>
          <cell r="AD74">
            <v>186.08</v>
          </cell>
          <cell r="AE74" t="str">
            <v>34191.09115 16868.142932 85972.140009 9 11090000018608</v>
          </cell>
          <cell r="AF74" t="str">
            <v>IGREJA DO EVANGELHO QUADRANGULAR</v>
          </cell>
          <cell r="AL74">
            <v>361</v>
          </cell>
          <cell r="AM74">
            <v>1.1411066481994461</v>
          </cell>
          <cell r="AN74">
            <v>411.93950000000001</v>
          </cell>
          <cell r="AO74">
            <v>1.121606648199446</v>
          </cell>
          <cell r="AX74">
            <v>261</v>
          </cell>
          <cell r="AY74">
            <v>1.1411091954022989</v>
          </cell>
          <cell r="AZ74">
            <v>-297.8295</v>
          </cell>
          <cell r="BA74">
            <v>1.1216091954022989</v>
          </cell>
          <cell r="DZ74">
            <v>261</v>
          </cell>
          <cell r="EA74">
            <v>1.1411091954022989</v>
          </cell>
          <cell r="EB74">
            <v>-297.8295</v>
          </cell>
          <cell r="EC74">
            <v>1.1216091954022989</v>
          </cell>
          <cell r="ET74">
            <v>261</v>
          </cell>
          <cell r="EX74">
            <v>1337</v>
          </cell>
          <cell r="EZ74">
            <v>1.95</v>
          </cell>
          <cell r="FA74">
            <v>67.84</v>
          </cell>
          <cell r="FC74">
            <v>4.13</v>
          </cell>
          <cell r="FM74">
            <v>94.71</v>
          </cell>
          <cell r="FN74">
            <v>4.6643999999999998E-2</v>
          </cell>
          <cell r="FO74">
            <v>4.41</v>
          </cell>
          <cell r="FP74">
            <v>94.71</v>
          </cell>
          <cell r="FQ74">
            <v>1.0126999999999999E-2</v>
          </cell>
          <cell r="FR74">
            <v>0.96</v>
          </cell>
          <cell r="FS74">
            <v>114.11</v>
          </cell>
          <cell r="FT74">
            <v>0.17</v>
          </cell>
          <cell r="FU74">
            <v>19.39</v>
          </cell>
          <cell r="GD74">
            <v>361</v>
          </cell>
          <cell r="GE74">
            <v>95051</v>
          </cell>
          <cell r="GF74">
            <v>94690</v>
          </cell>
          <cell r="GG74">
            <v>1</v>
          </cell>
          <cell r="HM74">
            <v>384</v>
          </cell>
          <cell r="HQ74">
            <v>488</v>
          </cell>
          <cell r="HU74">
            <v>411</v>
          </cell>
          <cell r="HY74">
            <v>435</v>
          </cell>
          <cell r="IC74">
            <v>472</v>
          </cell>
          <cell r="IG74">
            <v>444</v>
          </cell>
          <cell r="IK74">
            <v>470</v>
          </cell>
          <cell r="IO74">
            <v>387</v>
          </cell>
          <cell r="IS74">
            <v>365</v>
          </cell>
          <cell r="IW74">
            <v>272</v>
          </cell>
        </row>
        <row r="75">
          <cell r="A75" t="str">
            <v/>
          </cell>
          <cell r="B75" t="str">
            <v>10/1035655-8</v>
          </cell>
          <cell r="C75" t="str">
            <v>58749 - 1</v>
          </cell>
          <cell r="D75" t="str">
            <v>2024-01-01</v>
          </cell>
          <cell r="F75" t="str">
            <v>energisa_ms</v>
          </cell>
          <cell r="G75" t="str">
            <v>5661</v>
          </cell>
          <cell r="H75" t="str">
            <v>Igreja do Evangelho Quadrangular</v>
          </cell>
          <cell r="I75">
            <v>45778</v>
          </cell>
          <cell r="J75" t="str">
            <v>COMERCIAL - TEMPLOS RELIGIOSOS</v>
          </cell>
          <cell r="K75" t="str">
            <v>79831130</v>
          </cell>
          <cell r="L75" t="str">
            <v>MS</v>
          </cell>
          <cell r="M75" t="str">
            <v>DOURADOS</v>
          </cell>
          <cell r="N75" t="str">
            <v>VILA ROSA</v>
          </cell>
          <cell r="O75" t="str">
            <v>RUA ANTONIO AMARO DE MATTOS, 5413 - 07.010.34.501000</v>
          </cell>
          <cell r="P75">
            <v>45803</v>
          </cell>
          <cell r="Q75" t="str">
            <v>B - B3</v>
          </cell>
          <cell r="R75" t="str">
            <v>62955505182257</v>
          </cell>
          <cell r="U75">
            <v>45770</v>
          </cell>
          <cell r="V75">
            <v>45800</v>
          </cell>
          <cell r="W75">
            <v>45832</v>
          </cell>
          <cell r="X75">
            <v>45812</v>
          </cell>
          <cell r="Y75" t="str">
            <v/>
          </cell>
          <cell r="AA75" t="str">
            <v>010.486.922-002</v>
          </cell>
          <cell r="AB75" t="str">
            <v>trifasico</v>
          </cell>
          <cell r="AC75" t="str">
            <v>convencional</v>
          </cell>
          <cell r="AD75">
            <v>173.54</v>
          </cell>
          <cell r="AE75" t="str">
            <v>34191.09115 16059.622932 85972.140009 4 11020000017354</v>
          </cell>
          <cell r="AF75" t="str">
            <v>IGREJA DO EVANGELHO QUADRANGULAR</v>
          </cell>
          <cell r="AL75">
            <v>259</v>
          </cell>
          <cell r="AM75">
            <v>1.1402216216216217</v>
          </cell>
          <cell r="AN75">
            <v>295.31740000000002</v>
          </cell>
          <cell r="AO75">
            <v>1.1216216216216217</v>
          </cell>
          <cell r="AX75">
            <v>159</v>
          </cell>
          <cell r="AY75">
            <v>1.1401723270440252</v>
          </cell>
          <cell r="AZ75">
            <v>-181.28739999999999</v>
          </cell>
          <cell r="BA75">
            <v>1.1215723270440252</v>
          </cell>
          <cell r="DZ75">
            <v>159</v>
          </cell>
          <cell r="EA75">
            <v>1.1401723270440252</v>
          </cell>
          <cell r="EB75">
            <v>-181.28739999999999</v>
          </cell>
          <cell r="EC75">
            <v>1.1215723270440252</v>
          </cell>
          <cell r="ET75">
            <v>159</v>
          </cell>
          <cell r="EX75">
            <v>2473</v>
          </cell>
          <cell r="EZ75">
            <v>1.86</v>
          </cell>
          <cell r="FA75">
            <v>59.51</v>
          </cell>
          <cell r="FM75">
            <v>94.64</v>
          </cell>
          <cell r="FN75">
            <v>4.6643999999999998E-2</v>
          </cell>
          <cell r="FO75">
            <v>4.41</v>
          </cell>
          <cell r="FP75">
            <v>94.64</v>
          </cell>
          <cell r="FQ75">
            <v>1.0126999999999999E-2</v>
          </cell>
          <cell r="FR75">
            <v>0.96</v>
          </cell>
          <cell r="FS75">
            <v>114.03</v>
          </cell>
          <cell r="FT75">
            <v>0.17</v>
          </cell>
          <cell r="FU75">
            <v>19.38</v>
          </cell>
          <cell r="GD75">
            <v>259</v>
          </cell>
          <cell r="GE75">
            <v>51213</v>
          </cell>
          <cell r="GF75">
            <v>50954</v>
          </cell>
          <cell r="GG75">
            <v>1</v>
          </cell>
          <cell r="HM75">
            <v>338</v>
          </cell>
          <cell r="HQ75">
            <v>581</v>
          </cell>
          <cell r="HU75">
            <v>433</v>
          </cell>
          <cell r="HY75">
            <v>540</v>
          </cell>
          <cell r="IC75">
            <v>528</v>
          </cell>
          <cell r="IG75">
            <v>671</v>
          </cell>
          <cell r="IK75">
            <v>385</v>
          </cell>
          <cell r="IO75">
            <v>321</v>
          </cell>
          <cell r="IS75">
            <v>273</v>
          </cell>
          <cell r="IW75">
            <v>214</v>
          </cell>
        </row>
        <row r="76">
          <cell r="A76" t="str">
            <v/>
          </cell>
          <cell r="B76" t="str">
            <v>10/3092868-3</v>
          </cell>
          <cell r="C76" t="str">
            <v>4465</v>
          </cell>
          <cell r="D76" t="str">
            <v>2024-01-01</v>
          </cell>
          <cell r="F76" t="str">
            <v>energisa_ms</v>
          </cell>
          <cell r="G76" t="str">
            <v>4465</v>
          </cell>
          <cell r="H76" t="str">
            <v>Igreja do Evangelho Quadrangular</v>
          </cell>
          <cell r="I76">
            <v>45778</v>
          </cell>
          <cell r="J76" t="str">
            <v>COMERCIAL - TEMPLOS RELIGIOSOS</v>
          </cell>
          <cell r="K76" t="str">
            <v>79782000</v>
          </cell>
          <cell r="L76" t="str">
            <v>MS</v>
          </cell>
          <cell r="M76" t="str">
            <v>BATAGUASSU</v>
          </cell>
          <cell r="N76" t="str">
            <v>NOVA PORTO XV</v>
          </cell>
          <cell r="O76" t="str">
            <v>RUA ELMODAM OLIVEIRA SOARES, 1909 - QD 19 LT 09 -15.85.330.718200</v>
          </cell>
          <cell r="P76">
            <v>45797</v>
          </cell>
          <cell r="Q76" t="str">
            <v>B - B3</v>
          </cell>
          <cell r="R76" t="str">
            <v>6X.XXX.XXX/XXX4-43</v>
          </cell>
          <cell r="U76">
            <v>45763</v>
          </cell>
          <cell r="V76">
            <v>45796</v>
          </cell>
          <cell r="W76">
            <v>45826</v>
          </cell>
          <cell r="X76">
            <v>45810</v>
          </cell>
          <cell r="Y76" t="str">
            <v/>
          </cell>
          <cell r="Z76" t="str">
            <v>true</v>
          </cell>
          <cell r="AA76" t="str">
            <v>010.432.680-002</v>
          </cell>
          <cell r="AB76" t="str">
            <v>trifasico</v>
          </cell>
          <cell r="AC76" t="str">
            <v>convencional</v>
          </cell>
          <cell r="AD76">
            <v>113.57</v>
          </cell>
          <cell r="AF76" t="str">
            <v>IGREJA DO EVANGELHO QUADRANGULAR</v>
          </cell>
          <cell r="AL76">
            <v>512</v>
          </cell>
          <cell r="AM76">
            <v>1.13562109375</v>
          </cell>
          <cell r="AN76">
            <v>581.43799999999999</v>
          </cell>
          <cell r="AO76">
            <v>1.12162109375</v>
          </cell>
          <cell r="AX76">
            <v>412</v>
          </cell>
          <cell r="AY76">
            <v>1.1356019417475729</v>
          </cell>
          <cell r="AZ76">
            <v>-467.86800000000005</v>
          </cell>
          <cell r="BA76">
            <v>1.1216019417475729</v>
          </cell>
          <cell r="DR76">
            <v>257</v>
          </cell>
          <cell r="DS76">
            <v>1.1355953307392996</v>
          </cell>
          <cell r="DT76">
            <v>-291.84800000000001</v>
          </cell>
          <cell r="DU76">
            <v>1.1215953307392996</v>
          </cell>
          <cell r="DZ76">
            <v>155</v>
          </cell>
          <cell r="EA76">
            <v>1.1356129032258064</v>
          </cell>
          <cell r="EB76">
            <v>-176.02</v>
          </cell>
          <cell r="EC76">
            <v>1.1216129032258064</v>
          </cell>
          <cell r="ET76">
            <v>412</v>
          </cell>
          <cell r="EX76">
            <v>64</v>
          </cell>
          <cell r="EZ76">
            <v>1.4</v>
          </cell>
          <cell r="FM76">
            <v>94.29</v>
          </cell>
          <cell r="FN76">
            <v>4.6643999999999998E-2</v>
          </cell>
          <cell r="FO76">
            <v>4.4000000000000004</v>
          </cell>
          <cell r="FP76">
            <v>94.29</v>
          </cell>
          <cell r="FQ76">
            <v>1.0126999999999999E-2</v>
          </cell>
          <cell r="FR76">
            <v>0.96</v>
          </cell>
          <cell r="FS76">
            <v>113.57</v>
          </cell>
          <cell r="FT76">
            <v>0.17</v>
          </cell>
          <cell r="FU76">
            <v>19.3</v>
          </cell>
          <cell r="GD76">
            <v>512</v>
          </cell>
          <cell r="GE76">
            <v>39389</v>
          </cell>
          <cell r="GF76">
            <v>38877</v>
          </cell>
          <cell r="GG76">
            <v>1</v>
          </cell>
          <cell r="HM76">
            <v>432</v>
          </cell>
          <cell r="HQ76">
            <v>619</v>
          </cell>
          <cell r="HU76">
            <v>434</v>
          </cell>
          <cell r="HY76">
            <v>415</v>
          </cell>
          <cell r="IC76">
            <v>403</v>
          </cell>
          <cell r="IG76">
            <v>374</v>
          </cell>
          <cell r="IK76">
            <v>450</v>
          </cell>
          <cell r="IO76">
            <v>313</v>
          </cell>
          <cell r="IS76">
            <v>243</v>
          </cell>
          <cell r="IW76">
            <v>288</v>
          </cell>
        </row>
        <row r="77">
          <cell r="A77" t="str">
            <v/>
          </cell>
          <cell r="B77" t="str">
            <v>10/3030784-7</v>
          </cell>
          <cell r="C77" t="str">
            <v>Alm. Tamandaré</v>
          </cell>
          <cell r="D77" t="str">
            <v>2024-01-01</v>
          </cell>
          <cell r="F77" t="str">
            <v>energisa_ms</v>
          </cell>
          <cell r="G77" t="str">
            <v>Seac</v>
          </cell>
          <cell r="H77" t="str">
            <v>Igreja do Evangelho Quadrangular</v>
          </cell>
          <cell r="I77">
            <v>45778</v>
          </cell>
          <cell r="J77" t="str">
            <v>COMERCIAL - TEMPLOS RELIGIOSOS</v>
          </cell>
          <cell r="K77" t="str">
            <v>79370000</v>
          </cell>
          <cell r="L77" t="str">
            <v>MS</v>
          </cell>
          <cell r="M77" t="str">
            <v>LADARIO</v>
          </cell>
          <cell r="N77" t="str">
            <v>CENTRO</v>
          </cell>
          <cell r="O77" t="str">
            <v>RUA SALDANHA DA GAMA, 15 - 02.004.21.543600</v>
          </cell>
          <cell r="P77">
            <v>45782</v>
          </cell>
          <cell r="Q77" t="str">
            <v>B - B3</v>
          </cell>
          <cell r="R77" t="str">
            <v>62955505016080</v>
          </cell>
          <cell r="U77">
            <v>45748</v>
          </cell>
          <cell r="V77">
            <v>45779</v>
          </cell>
          <cell r="W77">
            <v>45810</v>
          </cell>
          <cell r="X77">
            <v>45791</v>
          </cell>
          <cell r="Y77" t="str">
            <v/>
          </cell>
          <cell r="AA77" t="str">
            <v>010.165.299-002</v>
          </cell>
          <cell r="AB77" t="str">
            <v>trifasico</v>
          </cell>
          <cell r="AC77" t="str">
            <v>convencional</v>
          </cell>
          <cell r="AD77">
            <v>176.45</v>
          </cell>
          <cell r="AF77" t="str">
            <v>IGREJA DO EVANGELHO QUADRANGULAR</v>
          </cell>
          <cell r="AL77">
            <v>398</v>
          </cell>
          <cell r="AM77">
            <v>1.1210728643216081</v>
          </cell>
          <cell r="AN77">
            <v>446.18700000000001</v>
          </cell>
          <cell r="AO77">
            <v>1.1195728643216081</v>
          </cell>
          <cell r="AX77">
            <v>298</v>
          </cell>
          <cell r="AY77">
            <v>1.1210302013422819</v>
          </cell>
          <cell r="AZ77">
            <v>-334.06700000000001</v>
          </cell>
          <cell r="BA77">
            <v>1.1195302013422819</v>
          </cell>
          <cell r="DR77">
            <v>298</v>
          </cell>
          <cell r="DS77">
            <v>1.1210302013422819</v>
          </cell>
          <cell r="DT77">
            <v>-334.06700000000001</v>
          </cell>
          <cell r="DU77">
            <v>1.1195302013422819</v>
          </cell>
          <cell r="ET77">
            <v>298</v>
          </cell>
          <cell r="EX77">
            <v>21</v>
          </cell>
          <cell r="EZ77">
            <v>0.15</v>
          </cell>
          <cell r="FA77">
            <v>61.67</v>
          </cell>
          <cell r="FC77">
            <v>2.66</v>
          </cell>
          <cell r="FM77">
            <v>93.06</v>
          </cell>
          <cell r="FN77">
            <v>4.6643999999999998E-2</v>
          </cell>
          <cell r="FO77">
            <v>4.33</v>
          </cell>
          <cell r="FP77">
            <v>93.06</v>
          </cell>
          <cell r="FQ77">
            <v>1.0126999999999999E-2</v>
          </cell>
          <cell r="FR77">
            <v>0.94</v>
          </cell>
          <cell r="FS77">
            <v>112.12</v>
          </cell>
          <cell r="FT77">
            <v>0.17</v>
          </cell>
          <cell r="FU77">
            <v>19.059999999999999</v>
          </cell>
          <cell r="GD77">
            <v>398</v>
          </cell>
          <cell r="GE77">
            <v>57347</v>
          </cell>
          <cell r="GF77">
            <v>56949</v>
          </cell>
          <cell r="GG77">
            <v>1</v>
          </cell>
          <cell r="HM77">
            <v>438</v>
          </cell>
          <cell r="HQ77">
            <v>600</v>
          </cell>
          <cell r="HU77">
            <v>649</v>
          </cell>
          <cell r="HY77">
            <v>545</v>
          </cell>
          <cell r="IC77">
            <v>626</v>
          </cell>
          <cell r="IG77">
            <v>537</v>
          </cell>
          <cell r="IK77">
            <v>450</v>
          </cell>
          <cell r="IO77">
            <v>302</v>
          </cell>
          <cell r="IS77">
            <v>354</v>
          </cell>
          <cell r="IW77">
            <v>326</v>
          </cell>
        </row>
        <row r="78">
          <cell r="A78" t="str">
            <v/>
          </cell>
          <cell r="B78" t="str">
            <v>10/156956-5</v>
          </cell>
          <cell r="C78" t="str">
            <v>Sede Amambai 153</v>
          </cell>
          <cell r="D78" t="str">
            <v>2024-01-01</v>
          </cell>
          <cell r="F78" t="str">
            <v>energisa_ms</v>
          </cell>
          <cell r="G78" t="str">
            <v>Sede Amambai 153</v>
          </cell>
          <cell r="H78" t="str">
            <v>Igreja do Evangelho Quadrangular</v>
          </cell>
          <cell r="I78">
            <v>45778</v>
          </cell>
          <cell r="J78" t="str">
            <v>COMERCIAL - TEMPLOS RELIGIOSOS</v>
          </cell>
          <cell r="K78" t="str">
            <v>79990000</v>
          </cell>
          <cell r="L78" t="str">
            <v>MS</v>
          </cell>
          <cell r="M78" t="str">
            <v>AMAMBAI</v>
          </cell>
          <cell r="N78" t="str">
            <v>CENTRO</v>
          </cell>
          <cell r="O78" t="str">
            <v>RUA GENERAL CAMARA, 561 - 14.036.03.163000</v>
          </cell>
          <cell r="P78">
            <v>45790</v>
          </cell>
          <cell r="Q78" t="str">
            <v>B - B3</v>
          </cell>
          <cell r="R78" t="str">
            <v>62955505015350</v>
          </cell>
          <cell r="U78">
            <v>45757</v>
          </cell>
          <cell r="V78">
            <v>45789</v>
          </cell>
          <cell r="W78">
            <v>45818</v>
          </cell>
          <cell r="X78">
            <v>45803</v>
          </cell>
          <cell r="Y78" t="str">
            <v/>
          </cell>
          <cell r="AA78" t="str">
            <v>010.316.516-002</v>
          </cell>
          <cell r="AB78" t="str">
            <v>trifasico</v>
          </cell>
          <cell r="AC78" t="str">
            <v>convencional</v>
          </cell>
          <cell r="AD78">
            <v>173.59</v>
          </cell>
          <cell r="AF78" t="str">
            <v>IGREJA DO EVANGELHO QUADRANGULAR</v>
          </cell>
          <cell r="AL78">
            <v>276</v>
          </cell>
          <cell r="AM78">
            <v>1.1309989648033127</v>
          </cell>
          <cell r="AN78">
            <v>312.15571428571434</v>
          </cell>
          <cell r="AO78">
            <v>1.1215942028985508</v>
          </cell>
          <cell r="AX78">
            <v>192</v>
          </cell>
          <cell r="AY78">
            <v>1.0558110119047619</v>
          </cell>
          <cell r="AZ78">
            <v>-202.71571428571428</v>
          </cell>
          <cell r="BA78">
            <v>1.1215625</v>
          </cell>
          <cell r="DR78">
            <v>192</v>
          </cell>
          <cell r="DS78">
            <v>1.1309672619047619</v>
          </cell>
          <cell r="DT78">
            <v>-217.14571428571429</v>
          </cell>
          <cell r="DU78">
            <v>1.1215625</v>
          </cell>
          <cell r="ET78">
            <v>192</v>
          </cell>
          <cell r="EX78">
            <v>439</v>
          </cell>
          <cell r="EZ78">
            <v>0.79</v>
          </cell>
          <cell r="FA78">
            <v>59.88</v>
          </cell>
          <cell r="FC78">
            <v>4.2699999999999996</v>
          </cell>
          <cell r="FL78">
            <v>14.43</v>
          </cell>
          <cell r="FM78">
            <v>78.87</v>
          </cell>
          <cell r="FN78">
            <v>4.6643999999999998E-2</v>
          </cell>
          <cell r="FO78">
            <v>3.67</v>
          </cell>
          <cell r="FP78">
            <v>78.87</v>
          </cell>
          <cell r="FQ78">
            <v>1.0126999999999999E-2</v>
          </cell>
          <cell r="FR78">
            <v>0.8</v>
          </cell>
          <cell r="FS78">
            <v>95.01</v>
          </cell>
          <cell r="FT78">
            <v>0.17</v>
          </cell>
          <cell r="FU78">
            <v>16.149999999999999</v>
          </cell>
          <cell r="GD78">
            <v>276</v>
          </cell>
          <cell r="GE78">
            <v>33332</v>
          </cell>
          <cell r="GF78">
            <v>33056</v>
          </cell>
          <cell r="GG78">
            <v>1</v>
          </cell>
          <cell r="HM78">
            <v>312</v>
          </cell>
          <cell r="HQ78">
            <v>489</v>
          </cell>
          <cell r="HU78">
            <v>490</v>
          </cell>
          <cell r="HY78">
            <v>396</v>
          </cell>
          <cell r="IC78">
            <v>491</v>
          </cell>
          <cell r="IG78">
            <v>345</v>
          </cell>
          <cell r="IK78">
            <v>370</v>
          </cell>
          <cell r="IO78">
            <v>305</v>
          </cell>
          <cell r="IS78">
            <v>172</v>
          </cell>
          <cell r="IW78">
            <v>168</v>
          </cell>
        </row>
        <row r="79">
          <cell r="A79" t="str">
            <v/>
          </cell>
          <cell r="B79" t="str">
            <v>10/29964-4</v>
          </cell>
          <cell r="C79" t="str">
            <v>Popular Nova 676</v>
          </cell>
          <cell r="D79" t="str">
            <v>2024-01-01</v>
          </cell>
          <cell r="F79" t="str">
            <v>energisa_ms</v>
          </cell>
          <cell r="G79" t="str">
            <v>Popular Nova 676</v>
          </cell>
          <cell r="H79" t="str">
            <v>Igreja do Evangelho Quadrangular</v>
          </cell>
          <cell r="I79">
            <v>45778</v>
          </cell>
          <cell r="J79" t="str">
            <v>COMERCIAL - TEMPLOS RELIGIOSOS</v>
          </cell>
          <cell r="K79" t="str">
            <v>79321070</v>
          </cell>
          <cell r="L79" t="str">
            <v>MS</v>
          </cell>
          <cell r="M79" t="str">
            <v>CORUMBA</v>
          </cell>
          <cell r="N79" t="str">
            <v>POPULAR NOVA</v>
          </cell>
          <cell r="O79" t="str">
            <v>RUA PARANA, 2481 - 18.003.13.440000</v>
          </cell>
          <cell r="P79">
            <v>45791</v>
          </cell>
          <cell r="Q79" t="str">
            <v>B - B3</v>
          </cell>
          <cell r="R79" t="str">
            <v>62955505067660</v>
          </cell>
          <cell r="U79">
            <v>45758</v>
          </cell>
          <cell r="V79">
            <v>45790</v>
          </cell>
          <cell r="W79">
            <v>45819</v>
          </cell>
          <cell r="X79">
            <v>45800</v>
          </cell>
          <cell r="Y79" t="str">
            <v/>
          </cell>
          <cell r="AA79" t="str">
            <v>010.333.984-002</v>
          </cell>
          <cell r="AB79" t="str">
            <v>trifasico</v>
          </cell>
          <cell r="AC79" t="str">
            <v>convencional</v>
          </cell>
          <cell r="AD79">
            <v>109.45</v>
          </cell>
          <cell r="AF79" t="str">
            <v>IGREJA DO EVANGELHO QUADRANGULAR</v>
          </cell>
          <cell r="AL79">
            <v>836</v>
          </cell>
          <cell r="AM79">
            <v>1.1320321996637785</v>
          </cell>
          <cell r="AN79">
            <v>946.37891891891888</v>
          </cell>
          <cell r="AO79">
            <v>1.1216267942583731</v>
          </cell>
          <cell r="AX79">
            <v>762</v>
          </cell>
          <cell r="AY79">
            <v>1.1011271901823083</v>
          </cell>
          <cell r="AZ79">
            <v>-839.05891891891895</v>
          </cell>
          <cell r="BA79">
            <v>1.1216010498687663</v>
          </cell>
          <cell r="DR79">
            <v>451</v>
          </cell>
          <cell r="DS79">
            <v>1.1320018577335651</v>
          </cell>
          <cell r="DT79">
            <v>-510.53283783783786</v>
          </cell>
          <cell r="DU79">
            <v>1.1215964523281596</v>
          </cell>
          <cell r="DZ79">
            <v>311</v>
          </cell>
          <cell r="EA79">
            <v>1.1320131224472061</v>
          </cell>
          <cell r="EB79">
            <v>-352.05608108108112</v>
          </cell>
          <cell r="EC79">
            <v>1.1216077170418006</v>
          </cell>
          <cell r="ET79">
            <v>762</v>
          </cell>
          <cell r="EX79">
            <v>754</v>
          </cell>
          <cell r="EZ79">
            <v>0.77</v>
          </cell>
          <cell r="FC79">
            <v>2.13</v>
          </cell>
          <cell r="FL79">
            <v>23.53</v>
          </cell>
          <cell r="FM79">
            <v>69.58</v>
          </cell>
          <cell r="FN79">
            <v>4.6643999999999998E-2</v>
          </cell>
          <cell r="FO79">
            <v>3.26</v>
          </cell>
          <cell r="FP79">
            <v>69.58</v>
          </cell>
          <cell r="FQ79">
            <v>1.0126999999999999E-2</v>
          </cell>
          <cell r="FR79">
            <v>0.72</v>
          </cell>
          <cell r="FS79">
            <v>83.79</v>
          </cell>
          <cell r="FT79">
            <v>0.17</v>
          </cell>
          <cell r="FU79">
            <v>14.24</v>
          </cell>
          <cell r="GD79">
            <v>836</v>
          </cell>
          <cell r="GE79">
            <v>40600</v>
          </cell>
          <cell r="GF79">
            <v>39764</v>
          </cell>
          <cell r="GG79">
            <v>1</v>
          </cell>
          <cell r="HM79">
            <v>691</v>
          </cell>
          <cell r="HQ79">
            <v>715</v>
          </cell>
          <cell r="HU79">
            <v>774</v>
          </cell>
          <cell r="HY79">
            <v>785</v>
          </cell>
          <cell r="IC79">
            <v>797</v>
          </cell>
          <cell r="IG79">
            <v>728</v>
          </cell>
          <cell r="IK79">
            <v>758</v>
          </cell>
          <cell r="IO79">
            <v>429</v>
          </cell>
          <cell r="IS79">
            <v>516</v>
          </cell>
          <cell r="IW79">
            <v>469</v>
          </cell>
        </row>
        <row r="80">
          <cell r="A80" t="str">
            <v/>
          </cell>
          <cell r="B80" t="str">
            <v>10/510330-4</v>
          </cell>
          <cell r="C80" t="str">
            <v>Morumbi 3671</v>
          </cell>
          <cell r="D80" t="str">
            <v>2024-01-01</v>
          </cell>
          <cell r="F80" t="str">
            <v>energisa_ms</v>
          </cell>
          <cell r="G80" t="str">
            <v>Morumbi 3671</v>
          </cell>
          <cell r="H80" t="str">
            <v>Igreja do Evangelho Quadrangular</v>
          </cell>
          <cell r="I80">
            <v>45778</v>
          </cell>
          <cell r="J80" t="str">
            <v>COMERCIAL - TEMPLOS RELIGIOSOS</v>
          </cell>
          <cell r="K80" t="str">
            <v>79904312</v>
          </cell>
          <cell r="L80" t="str">
            <v>MS</v>
          </cell>
          <cell r="M80" t="str">
            <v>PONTA PORA</v>
          </cell>
          <cell r="N80" t="str">
            <v>PORTAL DO MORUMBI</v>
          </cell>
          <cell r="O80" t="str">
            <v>TRAVESSA JOSE MAURO OCAMPOS, 498 - 02.032.10.221000</v>
          </cell>
          <cell r="P80">
            <v>45794</v>
          </cell>
          <cell r="Q80" t="str">
            <v>B - B3</v>
          </cell>
          <cell r="R80" t="str">
            <v>62955505367117</v>
          </cell>
          <cell r="U80">
            <v>45761</v>
          </cell>
          <cell r="V80">
            <v>45792</v>
          </cell>
          <cell r="W80">
            <v>45824</v>
          </cell>
          <cell r="X80">
            <v>45810</v>
          </cell>
          <cell r="Y80" t="str">
            <v/>
          </cell>
          <cell r="AA80" t="str">
            <v>010.384.480-002</v>
          </cell>
          <cell r="AB80" t="str">
            <v>trifasico</v>
          </cell>
          <cell r="AC80" t="str">
            <v>convencional</v>
          </cell>
          <cell r="AD80">
            <v>195.21</v>
          </cell>
          <cell r="AF80" t="str">
            <v>IGREJA DO EVANGELHO QUADRANGULAR</v>
          </cell>
          <cell r="AL80">
            <v>426</v>
          </cell>
          <cell r="AM80">
            <v>1.1333197183098591</v>
          </cell>
          <cell r="AN80">
            <v>482.79419999999999</v>
          </cell>
          <cell r="AO80">
            <v>1.1216197183098591</v>
          </cell>
          <cell r="AX80">
            <v>326</v>
          </cell>
          <cell r="AY80">
            <v>1.1332950920245399</v>
          </cell>
          <cell r="AZ80">
            <v>-369.45420000000001</v>
          </cell>
          <cell r="BA80">
            <v>1.1215950920245399</v>
          </cell>
          <cell r="DR80">
            <v>171</v>
          </cell>
          <cell r="DS80">
            <v>1.1332789473684211</v>
          </cell>
          <cell r="DT80">
            <v>-193.79069999999999</v>
          </cell>
          <cell r="DU80">
            <v>1.121578947368421</v>
          </cell>
          <cell r="DZ80">
            <v>155</v>
          </cell>
          <cell r="EA80">
            <v>1.1333129032258065</v>
          </cell>
          <cell r="EB80">
            <v>-175.6635</v>
          </cell>
          <cell r="EC80">
            <v>1.1216129032258064</v>
          </cell>
          <cell r="ET80">
            <v>326</v>
          </cell>
          <cell r="EX80">
            <v>47</v>
          </cell>
          <cell r="EZ80">
            <v>1.17</v>
          </cell>
          <cell r="FA80">
            <v>72.97</v>
          </cell>
          <cell r="FC80">
            <v>8.9</v>
          </cell>
          <cell r="FM80">
            <v>94.08</v>
          </cell>
          <cell r="FN80">
            <v>4.6643999999999998E-2</v>
          </cell>
          <cell r="FO80">
            <v>4.3899999999999997</v>
          </cell>
          <cell r="FP80">
            <v>94.08</v>
          </cell>
          <cell r="FQ80">
            <v>1.0126999999999999E-2</v>
          </cell>
          <cell r="FR80">
            <v>0.96</v>
          </cell>
          <cell r="FS80">
            <v>113.34</v>
          </cell>
          <cell r="FT80">
            <v>0.17</v>
          </cell>
          <cell r="FU80">
            <v>19.260000000000002</v>
          </cell>
          <cell r="GD80">
            <v>426</v>
          </cell>
          <cell r="GE80">
            <v>19384</v>
          </cell>
          <cell r="GF80">
            <v>18958</v>
          </cell>
          <cell r="GG80">
            <v>1</v>
          </cell>
          <cell r="HM80">
            <v>585</v>
          </cell>
          <cell r="HQ80">
            <v>808</v>
          </cell>
          <cell r="HU80">
            <v>700</v>
          </cell>
          <cell r="HY80">
            <v>767</v>
          </cell>
          <cell r="IC80">
            <v>813</v>
          </cell>
          <cell r="IG80">
            <v>597</v>
          </cell>
          <cell r="IK80">
            <v>636</v>
          </cell>
          <cell r="IO80">
            <v>478</v>
          </cell>
          <cell r="IS80">
            <v>425</v>
          </cell>
          <cell r="IW80">
            <v>261</v>
          </cell>
        </row>
        <row r="81">
          <cell r="A81" t="str">
            <v/>
          </cell>
          <cell r="B81" t="str">
            <v>10/364440-8</v>
          </cell>
          <cell r="C81" t="str">
            <v>Sede 151</v>
          </cell>
          <cell r="D81" t="str">
            <v>2024-01-01</v>
          </cell>
          <cell r="F81" t="str">
            <v>energisa_ms</v>
          </cell>
          <cell r="G81" t="str">
            <v>Sede 151</v>
          </cell>
          <cell r="H81" t="str">
            <v>Igreja do Evangelho Quadrangular</v>
          </cell>
          <cell r="I81">
            <v>45778</v>
          </cell>
          <cell r="J81" t="str">
            <v>COMERCIAL - TEMPLOS RELIGIOSOS</v>
          </cell>
          <cell r="K81" t="str">
            <v>79006001</v>
          </cell>
          <cell r="L81" t="str">
            <v>MS</v>
          </cell>
          <cell r="M81" t="str">
            <v>CAMPO GRANDE</v>
          </cell>
          <cell r="N81" t="str">
            <v>GUANANDI</v>
          </cell>
          <cell r="O81" t="str">
            <v>AVENIDA BANDEIRANTES, 1437 - 04.103.21.157000</v>
          </cell>
          <cell r="P81">
            <v>45786</v>
          </cell>
          <cell r="Q81" t="str">
            <v>B - B3</v>
          </cell>
          <cell r="R81" t="str">
            <v>62955505015199</v>
          </cell>
          <cell r="U81">
            <v>45754</v>
          </cell>
          <cell r="V81">
            <v>45785</v>
          </cell>
          <cell r="W81">
            <v>45814</v>
          </cell>
          <cell r="X81">
            <v>45796</v>
          </cell>
          <cell r="Y81" t="str">
            <v/>
          </cell>
          <cell r="AA81" t="str">
            <v>010.269.586-002</v>
          </cell>
          <cell r="AB81" t="str">
            <v>trifasico</v>
          </cell>
          <cell r="AC81" t="str">
            <v>convencional</v>
          </cell>
          <cell r="AD81">
            <v>231.91</v>
          </cell>
          <cell r="AF81" t="str">
            <v>IGREJA DO EVANGELHO QUADRANGULAR</v>
          </cell>
          <cell r="AL81">
            <v>2659</v>
          </cell>
          <cell r="AM81">
            <v>1.1216246709289206</v>
          </cell>
          <cell r="AN81">
            <v>2982.4</v>
          </cell>
          <cell r="AX81">
            <v>2659</v>
          </cell>
          <cell r="AY81">
            <v>1.036066190297104</v>
          </cell>
          <cell r="AZ81">
            <v>-2754.8999999999996</v>
          </cell>
          <cell r="DR81">
            <v>2659</v>
          </cell>
          <cell r="DS81">
            <v>1.1216246709289206</v>
          </cell>
          <cell r="DT81">
            <v>-2982.3999999999996</v>
          </cell>
          <cell r="ET81">
            <v>2659</v>
          </cell>
          <cell r="EX81">
            <v>5884</v>
          </cell>
          <cell r="FC81">
            <v>4.41</v>
          </cell>
          <cell r="FL81">
            <v>227.5</v>
          </cell>
          <cell r="FM81">
            <v>0.01</v>
          </cell>
          <cell r="FN81">
            <v>4.6643999999999998E-2</v>
          </cell>
          <cell r="FO81">
            <v>0</v>
          </cell>
          <cell r="FP81">
            <v>0.01</v>
          </cell>
          <cell r="FQ81">
            <v>1.0126999999999999E-2</v>
          </cell>
          <cell r="FR81">
            <v>0</v>
          </cell>
          <cell r="FS81">
            <v>0</v>
          </cell>
          <cell r="FT81">
            <v>0.17</v>
          </cell>
          <cell r="FU81">
            <v>0</v>
          </cell>
          <cell r="GD81">
            <v>2659</v>
          </cell>
          <cell r="GE81">
            <v>16074</v>
          </cell>
          <cell r="GF81">
            <v>13415</v>
          </cell>
          <cell r="GG81">
            <v>1</v>
          </cell>
          <cell r="HM81">
            <v>2722</v>
          </cell>
          <cell r="HQ81">
            <v>2706</v>
          </cell>
          <cell r="HU81">
            <v>2675</v>
          </cell>
          <cell r="HY81">
            <v>2647</v>
          </cell>
          <cell r="IC81">
            <v>2665</v>
          </cell>
          <cell r="IG81">
            <v>2665.71</v>
          </cell>
          <cell r="IK81">
            <v>2665.71</v>
          </cell>
          <cell r="IO81">
            <v>2665.71</v>
          </cell>
          <cell r="IS81">
            <v>2665.71</v>
          </cell>
          <cell r="IW81">
            <v>2665.71</v>
          </cell>
        </row>
        <row r="82">
          <cell r="A82" t="str">
            <v/>
          </cell>
          <cell r="B82" t="str">
            <v>10/191945-5</v>
          </cell>
          <cell r="C82" t="str">
            <v>Cassilandia 2157-91</v>
          </cell>
          <cell r="D82" t="str">
            <v>2024-01-01</v>
          </cell>
          <cell r="F82" t="str">
            <v>energisa_ms</v>
          </cell>
          <cell r="G82" t="str">
            <v>Cassilandia 2157-91</v>
          </cell>
          <cell r="H82" t="str">
            <v>Igreja do Evangelho Quadrangular</v>
          </cell>
          <cell r="I82">
            <v>45778</v>
          </cell>
          <cell r="J82" t="str">
            <v>RESIDENCIAL - RESIDENCIAL</v>
          </cell>
          <cell r="K82" t="str">
            <v>79540000</v>
          </cell>
          <cell r="L82" t="str">
            <v>MS</v>
          </cell>
          <cell r="M82" t="str">
            <v>CASSILANDIA</v>
          </cell>
          <cell r="N82" t="str">
            <v>CENTRO</v>
          </cell>
          <cell r="O82" t="str">
            <v>RUA GOIAS, 1000 - 06.044.03.335000</v>
          </cell>
          <cell r="P82">
            <v>45805</v>
          </cell>
          <cell r="Q82" t="str">
            <v>B - B1</v>
          </cell>
          <cell r="R82" t="str">
            <v>62955505215791</v>
          </cell>
          <cell r="U82">
            <v>45772</v>
          </cell>
          <cell r="V82">
            <v>45804</v>
          </cell>
          <cell r="W82">
            <v>45834</v>
          </cell>
          <cell r="X82">
            <v>45814</v>
          </cell>
          <cell r="Y82" t="str">
            <v/>
          </cell>
          <cell r="AA82" t="str">
            <v>010.522.725-002</v>
          </cell>
          <cell r="AB82" t="str">
            <v>trifasico</v>
          </cell>
          <cell r="AC82" t="str">
            <v>convencional</v>
          </cell>
          <cell r="AD82">
            <v>760.91</v>
          </cell>
          <cell r="AE82" t="str">
            <v>34191.09115 19491.472932 85972.140009 9 11040000076091</v>
          </cell>
          <cell r="AF82" t="str">
            <v>IGREJA DO EVANGELHO QUADRANGULAR</v>
          </cell>
          <cell r="AL82">
            <v>622</v>
          </cell>
          <cell r="AM82">
            <v>1.1419540694415764</v>
          </cell>
          <cell r="AN82">
            <v>710.29543119266054</v>
          </cell>
          <cell r="AO82">
            <v>1.1216237942122187</v>
          </cell>
          <cell r="AX82">
            <v>77</v>
          </cell>
          <cell r="AY82">
            <v>1.1418887167877994</v>
          </cell>
          <cell r="AZ82">
            <v>-87.925431192660554</v>
          </cell>
          <cell r="BA82">
            <v>1.1215584415584416</v>
          </cell>
          <cell r="DZ82">
            <v>77</v>
          </cell>
          <cell r="EA82">
            <v>1.1418887167877994</v>
          </cell>
          <cell r="EB82">
            <v>-87.925431192660554</v>
          </cell>
          <cell r="EC82">
            <v>1.1215584415584416</v>
          </cell>
          <cell r="ET82">
            <v>77</v>
          </cell>
          <cell r="EX82">
            <v>0</v>
          </cell>
          <cell r="EZ82">
            <v>11.08</v>
          </cell>
          <cell r="FA82">
            <v>123.35</v>
          </cell>
          <cell r="FC82">
            <v>15.190000000000001</v>
          </cell>
          <cell r="FM82">
            <v>516.55999999999995</v>
          </cell>
          <cell r="FN82">
            <v>4.6643999999999998E-2</v>
          </cell>
          <cell r="FO82">
            <v>24.1</v>
          </cell>
          <cell r="FP82">
            <v>516.55999999999995</v>
          </cell>
          <cell r="FQ82">
            <v>1.0126999999999999E-2</v>
          </cell>
          <cell r="FR82">
            <v>5.24</v>
          </cell>
          <cell r="FS82">
            <v>622.37</v>
          </cell>
          <cell r="FT82">
            <v>0.17</v>
          </cell>
          <cell r="FU82">
            <v>105.8</v>
          </cell>
          <cell r="GD82">
            <v>622</v>
          </cell>
          <cell r="GE82">
            <v>73497</v>
          </cell>
          <cell r="GF82">
            <v>72875</v>
          </cell>
          <cell r="GG82">
            <v>1</v>
          </cell>
          <cell r="HM82">
            <v>769</v>
          </cell>
          <cell r="HQ82">
            <v>878</v>
          </cell>
          <cell r="HU82">
            <v>863</v>
          </cell>
          <cell r="HY82">
            <v>876</v>
          </cell>
          <cell r="IC82">
            <v>984</v>
          </cell>
          <cell r="IG82">
            <v>983</v>
          </cell>
          <cell r="IK82">
            <v>890</v>
          </cell>
          <cell r="IO82">
            <v>612</v>
          </cell>
          <cell r="IS82">
            <v>508</v>
          </cell>
          <cell r="IW82">
            <v>486</v>
          </cell>
        </row>
        <row r="83">
          <cell r="A83" t="str">
            <v/>
          </cell>
          <cell r="B83" t="str">
            <v>10/18015-8</v>
          </cell>
          <cell r="C83" t="str">
            <v>Joaquim Murtinho</v>
          </cell>
          <cell r="D83" t="str">
            <v>2024-01-01</v>
          </cell>
          <cell r="F83" t="str">
            <v>energisa_ms</v>
          </cell>
          <cell r="G83" t="str">
            <v>Seac</v>
          </cell>
          <cell r="H83" t="str">
            <v>Igreja do Evangelho Quadrangular</v>
          </cell>
          <cell r="I83">
            <v>45778</v>
          </cell>
          <cell r="J83" t="str">
            <v>COMERCIAL - TEMPLOS RELIGIOSOS</v>
          </cell>
          <cell r="K83" t="str">
            <v>79303110</v>
          </cell>
          <cell r="L83" t="str">
            <v>MS</v>
          </cell>
          <cell r="M83" t="str">
            <v>CORUMBA</v>
          </cell>
          <cell r="N83" t="str">
            <v>CENTRO</v>
          </cell>
          <cell r="O83" t="str">
            <v>RUA JOAQUIM MURTINHO, 72 - 07.003.05.357000</v>
          </cell>
          <cell r="P83">
            <v>45803</v>
          </cell>
          <cell r="Q83" t="str">
            <v>B - B3</v>
          </cell>
          <cell r="R83" t="str">
            <v>62955505016080</v>
          </cell>
          <cell r="U83">
            <v>45770</v>
          </cell>
          <cell r="V83">
            <v>45800</v>
          </cell>
          <cell r="W83">
            <v>45832</v>
          </cell>
          <cell r="X83">
            <v>45819</v>
          </cell>
          <cell r="Y83" t="str">
            <v/>
          </cell>
          <cell r="AA83" t="str">
            <v>010.484.648-002</v>
          </cell>
          <cell r="AB83" t="str">
            <v>trifasico</v>
          </cell>
          <cell r="AC83" t="str">
            <v>convencional</v>
          </cell>
          <cell r="AD83">
            <v>883.56</v>
          </cell>
          <cell r="AF83" t="str">
            <v>IGREJA DO EVANGELHO QUADRANGULAR</v>
          </cell>
          <cell r="AL83">
            <v>930</v>
          </cell>
          <cell r="AM83">
            <v>1.140075268817204</v>
          </cell>
          <cell r="AN83">
            <v>1060.2699999999998</v>
          </cell>
          <cell r="AO83">
            <v>1.1216236559139783</v>
          </cell>
          <cell r="AX83">
            <v>155</v>
          </cell>
          <cell r="AY83">
            <v>1.1400645161290321</v>
          </cell>
          <cell r="AZ83">
            <v>-176.70999999999998</v>
          </cell>
          <cell r="BA83">
            <v>1.1216129032258064</v>
          </cell>
          <cell r="DZ83">
            <v>155</v>
          </cell>
          <cell r="EA83">
            <v>1.1400645161290321</v>
          </cell>
          <cell r="EB83">
            <v>-176.70999999999998</v>
          </cell>
          <cell r="EC83">
            <v>1.1216129032258064</v>
          </cell>
          <cell r="ET83">
            <v>155</v>
          </cell>
          <cell r="EX83">
            <v>0</v>
          </cell>
          <cell r="EZ83">
            <v>14.3</v>
          </cell>
          <cell r="FM83">
            <v>733.36</v>
          </cell>
          <cell r="FN83">
            <v>4.6643999999999998E-2</v>
          </cell>
          <cell r="FO83">
            <v>34.200000000000003</v>
          </cell>
          <cell r="FP83">
            <v>733.36</v>
          </cell>
          <cell r="FQ83">
            <v>1.0126999999999999E-2</v>
          </cell>
          <cell r="FR83">
            <v>7.43</v>
          </cell>
          <cell r="FS83">
            <v>883.56</v>
          </cell>
          <cell r="FT83">
            <v>0.17</v>
          </cell>
          <cell r="FU83">
            <v>150.19999999999999</v>
          </cell>
          <cell r="GD83">
            <v>930</v>
          </cell>
          <cell r="GE83">
            <v>90202</v>
          </cell>
          <cell r="GF83">
            <v>89272</v>
          </cell>
          <cell r="GG83">
            <v>1</v>
          </cell>
          <cell r="HM83">
            <v>921</v>
          </cell>
          <cell r="HQ83">
            <v>1130</v>
          </cell>
          <cell r="HU83">
            <v>936</v>
          </cell>
          <cell r="HY83">
            <v>1267</v>
          </cell>
          <cell r="IC83">
            <v>945</v>
          </cell>
          <cell r="IG83">
            <v>1021</v>
          </cell>
          <cell r="IK83">
            <v>1113</v>
          </cell>
          <cell r="IO83">
            <v>849</v>
          </cell>
          <cell r="IS83">
            <v>852</v>
          </cell>
          <cell r="IW83">
            <v>546</v>
          </cell>
        </row>
        <row r="84">
          <cell r="A84" t="str">
            <v/>
          </cell>
          <cell r="B84" t="str">
            <v>10/5202-7</v>
          </cell>
          <cell r="C84" t="str">
            <v>Sede (161)</v>
          </cell>
          <cell r="D84" t="str">
            <v>2024-01-01</v>
          </cell>
          <cell r="F84" t="str">
            <v>energisa_ms</v>
          </cell>
          <cell r="G84" t="str">
            <v>Sede (161)</v>
          </cell>
          <cell r="H84" t="str">
            <v>Igreja do Evangelho Quadrangular</v>
          </cell>
          <cell r="I84">
            <v>45778</v>
          </cell>
          <cell r="J84" t="str">
            <v>COMERCIAL - TEMPLOS RELIGIOSOS</v>
          </cell>
          <cell r="K84" t="str">
            <v>79200000</v>
          </cell>
          <cell r="L84" t="str">
            <v>MS</v>
          </cell>
          <cell r="M84" t="str">
            <v>AQUIDAUANA</v>
          </cell>
          <cell r="N84" t="str">
            <v>CENTRO</v>
          </cell>
          <cell r="O84" t="str">
            <v>RUA DUQUE DE CAXIAS, 887 - 09.002.01.190000</v>
          </cell>
          <cell r="P84">
            <v>45789</v>
          </cell>
          <cell r="Q84" t="str">
            <v>B - B3</v>
          </cell>
          <cell r="R84" t="str">
            <v>62955505393207</v>
          </cell>
          <cell r="U84">
            <v>45756</v>
          </cell>
          <cell r="V84">
            <v>45786</v>
          </cell>
          <cell r="W84">
            <v>45817</v>
          </cell>
          <cell r="X84">
            <v>45823</v>
          </cell>
          <cell r="Y84" t="str">
            <v/>
          </cell>
          <cell r="AA84" t="str">
            <v>010.290.543-002</v>
          </cell>
          <cell r="AB84" t="str">
            <v>trifasico</v>
          </cell>
          <cell r="AC84" t="str">
            <v>convencional</v>
          </cell>
          <cell r="AD84">
            <v>575.9</v>
          </cell>
          <cell r="AE84" t="str">
            <v>34191.09107 86768.282930 85972.140009 8 11130000057590</v>
          </cell>
          <cell r="AF84" t="str">
            <v>IGREJA DO EVANGELHO QUADRANGULAR</v>
          </cell>
          <cell r="AL84">
            <v>1738.68</v>
          </cell>
          <cell r="AM84">
            <v>1.1288591868423463</v>
          </cell>
          <cell r="AN84">
            <v>1962.7248909790508</v>
          </cell>
          <cell r="AO84">
            <v>1.121626751328594</v>
          </cell>
          <cell r="AX84">
            <v>1458</v>
          </cell>
          <cell r="AY84">
            <v>1.128851091206482</v>
          </cell>
          <cell r="AZ84">
            <v>-1645.8648909790506</v>
          </cell>
          <cell r="BA84">
            <v>1.1216186556927297</v>
          </cell>
          <cell r="DR84">
            <v>1458</v>
          </cell>
          <cell r="DS84">
            <v>1.128851091206482</v>
          </cell>
          <cell r="DT84">
            <v>-1645.8648909790506</v>
          </cell>
          <cell r="DU84">
            <v>1.1216186556927297</v>
          </cell>
          <cell r="ET84">
            <v>1458</v>
          </cell>
          <cell r="EX84">
            <v>0</v>
          </cell>
          <cell r="EZ84">
            <v>2.0299999999999998</v>
          </cell>
          <cell r="FA84">
            <v>259.04000000000002</v>
          </cell>
          <cell r="FM84">
            <v>262.99</v>
          </cell>
          <cell r="FN84">
            <v>4.6643999999999998E-2</v>
          </cell>
          <cell r="FO84">
            <v>12.28</v>
          </cell>
          <cell r="FP84">
            <v>262.99</v>
          </cell>
          <cell r="FQ84">
            <v>1.0126999999999999E-2</v>
          </cell>
          <cell r="FR84">
            <v>2.66</v>
          </cell>
          <cell r="FS84">
            <v>316.86</v>
          </cell>
          <cell r="FT84">
            <v>0.17</v>
          </cell>
          <cell r="FU84">
            <v>53.86</v>
          </cell>
          <cell r="GD84">
            <v>1738.68</v>
          </cell>
          <cell r="GE84">
            <v>6110.23</v>
          </cell>
          <cell r="GF84">
            <v>6066.77</v>
          </cell>
          <cell r="GG84">
            <v>40</v>
          </cell>
          <cell r="HM84">
            <v>2042.68</v>
          </cell>
          <cell r="HQ84">
            <v>2733.12</v>
          </cell>
          <cell r="HU84">
            <v>1810.6</v>
          </cell>
          <cell r="HY84">
            <v>1832.2</v>
          </cell>
          <cell r="IC84">
            <v>2993.72</v>
          </cell>
          <cell r="IG84">
            <v>1746.18</v>
          </cell>
          <cell r="IK84">
            <v>1967.69</v>
          </cell>
          <cell r="IO84">
            <v>1244.98</v>
          </cell>
          <cell r="IS84">
            <v>1221.3699999999999</v>
          </cell>
          <cell r="IW84">
            <v>996.67</v>
          </cell>
        </row>
        <row r="85">
          <cell r="A85" t="str">
            <v/>
          </cell>
          <cell r="B85" t="str">
            <v>10/925970-6</v>
          </cell>
          <cell r="C85" t="str">
            <v>577</v>
          </cell>
          <cell r="D85" t="str">
            <v>2024-01-01</v>
          </cell>
          <cell r="F85" t="str">
            <v>energisa_ms</v>
          </cell>
          <cell r="G85" t="str">
            <v>577</v>
          </cell>
          <cell r="H85" t="str">
            <v>Igreja do Evangelho Quadrangular</v>
          </cell>
          <cell r="I85">
            <v>45778</v>
          </cell>
          <cell r="J85" t="str">
            <v>COMERCIAL - TEMPLOS RELIGIOSOS</v>
          </cell>
          <cell r="K85" t="str">
            <v>79940000</v>
          </cell>
          <cell r="L85" t="str">
            <v>MS</v>
          </cell>
          <cell r="M85" t="str">
            <v>CAARAPO</v>
          </cell>
          <cell r="N85" t="str">
            <v>CENTRO</v>
          </cell>
          <cell r="O85" t="str">
            <v>RUA DOM PEDRO II, 361 - 12.025.01.066000</v>
          </cell>
          <cell r="P85">
            <v>45798</v>
          </cell>
          <cell r="Q85" t="str">
            <v>B - B3</v>
          </cell>
          <cell r="R85" t="str">
            <v>62955505057789</v>
          </cell>
          <cell r="U85">
            <v>45764</v>
          </cell>
          <cell r="V85">
            <v>45797</v>
          </cell>
          <cell r="W85">
            <v>45828</v>
          </cell>
          <cell r="X85">
            <v>45833</v>
          </cell>
          <cell r="Y85" t="str">
            <v/>
          </cell>
          <cell r="AA85" t="str">
            <v>010.450.938-002</v>
          </cell>
          <cell r="AB85" t="str">
            <v>trifasico</v>
          </cell>
          <cell r="AC85" t="str">
            <v>convencional</v>
          </cell>
          <cell r="AD85">
            <v>95.91</v>
          </cell>
          <cell r="AE85" t="str">
            <v>34191.09115 09918.272932 85972.140009 1 11230000009591</v>
          </cell>
          <cell r="AF85" t="str">
            <v>IGREJA DO EVANGELHO QUADRANGULAR</v>
          </cell>
          <cell r="AL85">
            <v>449</v>
          </cell>
          <cell r="AM85">
            <v>1.1362412198046943</v>
          </cell>
          <cell r="AN85">
            <v>510.17230769230775</v>
          </cell>
          <cell r="AO85">
            <v>1.1216258351893096</v>
          </cell>
          <cell r="AX85">
            <v>423</v>
          </cell>
          <cell r="AY85">
            <v>0.97934351700309141</v>
          </cell>
          <cell r="AZ85">
            <v>-414.26230769230767</v>
          </cell>
          <cell r="BA85">
            <v>1.1216075650118202</v>
          </cell>
          <cell r="DZ85">
            <v>423</v>
          </cell>
          <cell r="EA85">
            <v>1.1362229496272049</v>
          </cell>
          <cell r="EB85">
            <v>-480.62230769230769</v>
          </cell>
          <cell r="EC85">
            <v>1.1216075650118202</v>
          </cell>
          <cell r="ET85">
            <v>423</v>
          </cell>
          <cell r="EV85">
            <v>873</v>
          </cell>
          <cell r="EW85">
            <v>873</v>
          </cell>
          <cell r="EX85">
            <v>396</v>
          </cell>
          <cell r="EZ85">
            <v>0.38</v>
          </cell>
          <cell r="FL85">
            <v>66.36</v>
          </cell>
          <cell r="FM85">
            <v>24.51</v>
          </cell>
          <cell r="FN85">
            <v>4.6643999999999998E-2</v>
          </cell>
          <cell r="FO85">
            <v>1.1399999999999999</v>
          </cell>
          <cell r="FP85">
            <v>24.51</v>
          </cell>
          <cell r="FQ85">
            <v>1.0126999999999999E-2</v>
          </cell>
          <cell r="FR85">
            <v>0.24</v>
          </cell>
          <cell r="FS85">
            <v>29.55</v>
          </cell>
          <cell r="FT85">
            <v>0.17</v>
          </cell>
          <cell r="FU85">
            <v>5.0199999999999996</v>
          </cell>
          <cell r="GD85">
            <v>449</v>
          </cell>
          <cell r="GE85">
            <v>1000282</v>
          </cell>
          <cell r="GF85">
            <v>999833</v>
          </cell>
          <cell r="GG85">
            <v>1</v>
          </cell>
          <cell r="HM85">
            <v>631</v>
          </cell>
          <cell r="HQ85">
            <v>994</v>
          </cell>
          <cell r="HU85">
            <v>965</v>
          </cell>
          <cell r="HY85">
            <v>790</v>
          </cell>
          <cell r="IC85">
            <v>720</v>
          </cell>
          <cell r="IG85">
            <v>750</v>
          </cell>
          <cell r="IK85">
            <v>789</v>
          </cell>
          <cell r="IO85">
            <v>473</v>
          </cell>
          <cell r="IS85">
            <v>514</v>
          </cell>
          <cell r="IW85">
            <v>437</v>
          </cell>
        </row>
        <row r="86">
          <cell r="A86" t="str">
            <v/>
          </cell>
          <cell r="B86" t="str">
            <v>10/2247256-7</v>
          </cell>
          <cell r="C86" t="str">
            <v>Aero Rancho 62578</v>
          </cell>
          <cell r="D86" t="str">
            <v>2024-01-01</v>
          </cell>
          <cell r="F86" t="str">
            <v>energisa_ms</v>
          </cell>
          <cell r="G86" t="str">
            <v>Sede 151</v>
          </cell>
          <cell r="H86" t="str">
            <v>Igreja do Evangelho Quadrangular</v>
          </cell>
          <cell r="I86">
            <v>45778</v>
          </cell>
          <cell r="J86" t="str">
            <v>COMERCIAL - COMERCIAL</v>
          </cell>
          <cell r="K86" t="str">
            <v>79094440</v>
          </cell>
          <cell r="L86" t="str">
            <v>MS</v>
          </cell>
          <cell r="M86" t="str">
            <v>CAMPO GRANDE</v>
          </cell>
          <cell r="N86" t="str">
            <v>JARDIM AERO RANCHO</v>
          </cell>
          <cell r="O86" t="str">
            <v>RUA CHARLOTE, 785</v>
          </cell>
          <cell r="P86">
            <v>45803</v>
          </cell>
          <cell r="Q86" t="str">
            <v>B - B3</v>
          </cell>
          <cell r="R86" t="str">
            <v>62955505015199</v>
          </cell>
          <cell r="U86">
            <v>45770</v>
          </cell>
          <cell r="V86">
            <v>45800</v>
          </cell>
          <cell r="W86">
            <v>45832</v>
          </cell>
          <cell r="X86">
            <v>45814</v>
          </cell>
          <cell r="Y86" t="str">
            <v/>
          </cell>
          <cell r="AA86" t="str">
            <v>010.492.012-002</v>
          </cell>
          <cell r="AB86" t="str">
            <v>trifasico</v>
          </cell>
          <cell r="AC86" t="str">
            <v>convencional</v>
          </cell>
          <cell r="AD86">
            <v>259.58999999999997</v>
          </cell>
          <cell r="AF86" t="str">
            <v>IGREJA DO EVANGELHO QUADRANGULAR</v>
          </cell>
          <cell r="AL86">
            <v>432</v>
          </cell>
          <cell r="AM86">
            <v>1.1399537037037037</v>
          </cell>
          <cell r="AN86">
            <v>492.46000000000004</v>
          </cell>
          <cell r="AO86">
            <v>1.1216203703703704</v>
          </cell>
          <cell r="AX86">
            <v>402</v>
          </cell>
          <cell r="AY86">
            <v>0.98305970149253719</v>
          </cell>
          <cell r="AZ86">
            <v>-395.18999999999994</v>
          </cell>
          <cell r="BA86">
            <v>1.1216169154228854</v>
          </cell>
          <cell r="DZ86">
            <v>402</v>
          </cell>
          <cell r="EA86">
            <v>1.1399502487562188</v>
          </cell>
          <cell r="EB86">
            <v>-458.25999999999993</v>
          </cell>
          <cell r="EC86">
            <v>1.1216169154228854</v>
          </cell>
          <cell r="ET86">
            <v>402</v>
          </cell>
          <cell r="EV86">
            <v>456</v>
          </cell>
          <cell r="EW86">
            <v>456</v>
          </cell>
          <cell r="EX86">
            <v>1228</v>
          </cell>
          <cell r="EZ86">
            <v>0.55000000000000004</v>
          </cell>
          <cell r="FA86">
            <v>160.36000000000001</v>
          </cell>
          <cell r="FC86">
            <v>1.96</v>
          </cell>
          <cell r="FL86">
            <v>63.07</v>
          </cell>
          <cell r="FM86">
            <v>28.39</v>
          </cell>
          <cell r="FN86">
            <v>4.6643999999999998E-2</v>
          </cell>
          <cell r="FO86">
            <v>1.33</v>
          </cell>
          <cell r="FP86">
            <v>28.39</v>
          </cell>
          <cell r="FQ86">
            <v>1.0126999999999999E-2</v>
          </cell>
          <cell r="FR86">
            <v>0.28999999999999998</v>
          </cell>
          <cell r="FS86">
            <v>34.200000000000003</v>
          </cell>
          <cell r="FT86">
            <v>0.17</v>
          </cell>
          <cell r="FU86">
            <v>5.81</v>
          </cell>
          <cell r="GD86">
            <v>432</v>
          </cell>
          <cell r="GE86">
            <v>16187</v>
          </cell>
          <cell r="GF86">
            <v>15755</v>
          </cell>
          <cell r="GG86">
            <v>1</v>
          </cell>
          <cell r="HM86">
            <v>620</v>
          </cell>
          <cell r="HQ86">
            <v>921</v>
          </cell>
          <cell r="HU86">
            <v>968</v>
          </cell>
          <cell r="HY86">
            <v>593</v>
          </cell>
          <cell r="IC86">
            <v>626</v>
          </cell>
          <cell r="IG86">
            <v>842</v>
          </cell>
          <cell r="IK86">
            <v>516</v>
          </cell>
          <cell r="IO86">
            <v>482</v>
          </cell>
          <cell r="IS86">
            <v>594</v>
          </cell>
          <cell r="IW86">
            <v>323</v>
          </cell>
        </row>
        <row r="87">
          <cell r="A87" t="str">
            <v/>
          </cell>
          <cell r="B87" t="str">
            <v>10/3005226-0</v>
          </cell>
          <cell r="C87" t="str">
            <v>Casa Pastoral 577</v>
          </cell>
          <cell r="D87" t="str">
            <v>2024-01-01</v>
          </cell>
          <cell r="F87" t="str">
            <v>energisa_ms</v>
          </cell>
          <cell r="G87" t="str">
            <v>577</v>
          </cell>
          <cell r="H87" t="str">
            <v>Igreja do Evangelho Quadrangular</v>
          </cell>
          <cell r="I87">
            <v>45778</v>
          </cell>
          <cell r="J87" t="str">
            <v>RESIDENCIAL - RESIDENCIAL</v>
          </cell>
          <cell r="K87" t="str">
            <v>79940000</v>
          </cell>
          <cell r="L87" t="str">
            <v>MS</v>
          </cell>
          <cell r="M87" t="str">
            <v>CAARAPO</v>
          </cell>
          <cell r="N87" t="str">
            <v>CENTRO</v>
          </cell>
          <cell r="O87" t="str">
            <v>RUA DA SAUDADE, 230 - LT 17 QD 02 09.025.07.084077</v>
          </cell>
          <cell r="P87">
            <v>45796</v>
          </cell>
          <cell r="Q87" t="str">
            <v>B - B1</v>
          </cell>
          <cell r="R87" t="str">
            <v>62955505057789</v>
          </cell>
          <cell r="U87">
            <v>45762</v>
          </cell>
          <cell r="V87">
            <v>45793</v>
          </cell>
          <cell r="W87">
            <v>45825</v>
          </cell>
          <cell r="X87">
            <v>45824</v>
          </cell>
          <cell r="Y87" t="str">
            <v/>
          </cell>
          <cell r="AA87" t="str">
            <v>010.412.576-002</v>
          </cell>
          <cell r="AB87" t="str">
            <v>bifasico</v>
          </cell>
          <cell r="AC87" t="str">
            <v>convencional</v>
          </cell>
          <cell r="AD87">
            <v>102.96</v>
          </cell>
          <cell r="AE87" t="str">
            <v>34191.09115 03655.192932 85972.140009 6 11140000010296</v>
          </cell>
          <cell r="AF87" t="str">
            <v>IGREJA DO EVANGELHO QUADRANGULAR</v>
          </cell>
          <cell r="AL87">
            <v>256</v>
          </cell>
          <cell r="AM87">
            <v>1.1342015624999999</v>
          </cell>
          <cell r="AN87">
            <v>290.35559999999998</v>
          </cell>
          <cell r="AO87">
            <v>1.1216015625</v>
          </cell>
          <cell r="AX87">
            <v>206</v>
          </cell>
          <cell r="AY87">
            <v>1.1342019417475728</v>
          </cell>
          <cell r="AZ87">
            <v>-233.6456</v>
          </cell>
          <cell r="BA87">
            <v>1.1216019417475729</v>
          </cell>
          <cell r="DR87">
            <v>51</v>
          </cell>
          <cell r="DS87">
            <v>1.1341686274509803</v>
          </cell>
          <cell r="DT87">
            <v>-57.842599999999997</v>
          </cell>
          <cell r="DU87">
            <v>1.1215686274509804</v>
          </cell>
          <cell r="DZ87">
            <v>155</v>
          </cell>
          <cell r="EA87">
            <v>1.1342129032258064</v>
          </cell>
          <cell r="EB87">
            <v>-175.803</v>
          </cell>
          <cell r="EC87">
            <v>1.1216129032258064</v>
          </cell>
          <cell r="ET87">
            <v>206</v>
          </cell>
          <cell r="EX87">
            <v>167</v>
          </cell>
          <cell r="EZ87">
            <v>0.63</v>
          </cell>
          <cell r="FA87">
            <v>46.25</v>
          </cell>
          <cell r="FM87">
            <v>47.07</v>
          </cell>
          <cell r="FN87">
            <v>4.6643999999999998E-2</v>
          </cell>
          <cell r="FO87">
            <v>2.2000000000000002</v>
          </cell>
          <cell r="FP87">
            <v>47.07</v>
          </cell>
          <cell r="FQ87">
            <v>1.0126999999999999E-2</v>
          </cell>
          <cell r="FR87">
            <v>0.48</v>
          </cell>
          <cell r="FS87">
            <v>56.71</v>
          </cell>
          <cell r="FT87">
            <v>0.17</v>
          </cell>
          <cell r="FU87">
            <v>9.64</v>
          </cell>
          <cell r="GD87">
            <v>256</v>
          </cell>
          <cell r="GE87">
            <v>53505</v>
          </cell>
          <cell r="GF87">
            <v>53249</v>
          </cell>
          <cell r="GG87">
            <v>1</v>
          </cell>
          <cell r="HM87">
            <v>347</v>
          </cell>
          <cell r="HQ87">
            <v>390</v>
          </cell>
          <cell r="HU87">
            <v>323</v>
          </cell>
          <cell r="HY87">
            <v>305</v>
          </cell>
          <cell r="IC87">
            <v>358</v>
          </cell>
          <cell r="IG87">
            <v>286</v>
          </cell>
          <cell r="IK87">
            <v>368</v>
          </cell>
          <cell r="IO87">
            <v>228</v>
          </cell>
          <cell r="IS87">
            <v>251</v>
          </cell>
          <cell r="IW87">
            <v>191</v>
          </cell>
        </row>
        <row r="88">
          <cell r="A88" t="str">
            <v/>
          </cell>
          <cell r="B88" t="str">
            <v>10/1672452-8</v>
          </cell>
          <cell r="C88" t="str">
            <v>172</v>
          </cell>
          <cell r="D88" t="str">
            <v>2024-01-01</v>
          </cell>
          <cell r="F88" t="str">
            <v>energisa_ms</v>
          </cell>
          <cell r="G88" t="str">
            <v>17213</v>
          </cell>
          <cell r="H88" t="str">
            <v>Igreja do Evangelho Quadrangular</v>
          </cell>
          <cell r="I88">
            <v>45778</v>
          </cell>
          <cell r="J88" t="str">
            <v>COMERCIAL - TEMPLOS RELIGIOSOS</v>
          </cell>
          <cell r="K88" t="str">
            <v>79290000</v>
          </cell>
          <cell r="L88" t="str">
            <v>MS</v>
          </cell>
          <cell r="M88" t="str">
            <v>BONITO</v>
          </cell>
          <cell r="N88" t="str">
            <v>CENTRO</v>
          </cell>
          <cell r="O88" t="str">
            <v>RUA N SRA DA PENHA, 540 - 06.061.05.037000</v>
          </cell>
          <cell r="P88">
            <v>45791</v>
          </cell>
          <cell r="Q88" t="str">
            <v>B - B3</v>
          </cell>
          <cell r="R88" t="str">
            <v>62955505017213</v>
          </cell>
          <cell r="U88">
            <v>45758</v>
          </cell>
          <cell r="V88">
            <v>45790</v>
          </cell>
          <cell r="W88">
            <v>45819</v>
          </cell>
          <cell r="X88">
            <v>45824</v>
          </cell>
          <cell r="Y88" t="str">
            <v/>
          </cell>
          <cell r="AA88" t="str">
            <v>010.338.431-002</v>
          </cell>
          <cell r="AB88" t="str">
            <v>trifasico</v>
          </cell>
          <cell r="AC88" t="str">
            <v>convencional</v>
          </cell>
          <cell r="AD88">
            <v>168.67</v>
          </cell>
          <cell r="AE88" t="str">
            <v>34191.09107 93509.022930 85972.140009 1 11140000016867</v>
          </cell>
          <cell r="AF88" t="str">
            <v>IGREJA DO EVANGELHO QUADRANGULAR</v>
          </cell>
          <cell r="AL88">
            <v>456</v>
          </cell>
          <cell r="AM88">
            <v>1.1315228070175438</v>
          </cell>
          <cell r="AN88">
            <v>515.97439999999995</v>
          </cell>
          <cell r="AO88">
            <v>1.1216228070175438</v>
          </cell>
          <cell r="AX88">
            <v>356</v>
          </cell>
          <cell r="AY88">
            <v>1.1315011235955057</v>
          </cell>
          <cell r="AZ88">
            <v>-402.81440000000003</v>
          </cell>
          <cell r="BA88">
            <v>1.1216011235955057</v>
          </cell>
          <cell r="DR88">
            <v>318</v>
          </cell>
          <cell r="DS88">
            <v>1.1315037735849058</v>
          </cell>
          <cell r="DT88">
            <v>-359.81820000000005</v>
          </cell>
          <cell r="DU88">
            <v>1.1216037735849058</v>
          </cell>
          <cell r="DZ88">
            <v>38</v>
          </cell>
          <cell r="EA88">
            <v>1.131478947368421</v>
          </cell>
          <cell r="EB88">
            <v>-42.996200000000002</v>
          </cell>
          <cell r="EC88">
            <v>1.121578947368421</v>
          </cell>
          <cell r="ET88">
            <v>356</v>
          </cell>
          <cell r="EX88">
            <v>2789</v>
          </cell>
          <cell r="EZ88">
            <v>0.99</v>
          </cell>
          <cell r="FA88">
            <v>55.51</v>
          </cell>
          <cell r="FM88">
            <v>93.93</v>
          </cell>
          <cell r="FN88">
            <v>4.6643999999999998E-2</v>
          </cell>
          <cell r="FO88">
            <v>4.38</v>
          </cell>
          <cell r="FP88">
            <v>93.93</v>
          </cell>
          <cell r="FQ88">
            <v>1.0126999999999999E-2</v>
          </cell>
          <cell r="FR88">
            <v>0.95</v>
          </cell>
          <cell r="FS88">
            <v>113.16</v>
          </cell>
          <cell r="FT88">
            <v>0.17</v>
          </cell>
          <cell r="FU88">
            <v>19.23</v>
          </cell>
          <cell r="GD88">
            <v>456</v>
          </cell>
          <cell r="GE88">
            <v>29828</v>
          </cell>
          <cell r="GF88">
            <v>29372</v>
          </cell>
          <cell r="GG88">
            <v>1</v>
          </cell>
          <cell r="HM88">
            <v>523</v>
          </cell>
          <cell r="HQ88">
            <v>476</v>
          </cell>
          <cell r="HU88">
            <v>564</v>
          </cell>
          <cell r="HY88">
            <v>319</v>
          </cell>
          <cell r="IC88">
            <v>377</v>
          </cell>
          <cell r="IG88">
            <v>301</v>
          </cell>
          <cell r="IK88">
            <v>358</v>
          </cell>
          <cell r="IO88">
            <v>263</v>
          </cell>
          <cell r="IS88">
            <v>291</v>
          </cell>
          <cell r="IW88">
            <v>251</v>
          </cell>
        </row>
        <row r="89">
          <cell r="A89" t="str">
            <v/>
          </cell>
          <cell r="B89" t="str">
            <v>10/395471-6</v>
          </cell>
          <cell r="C89" t="str">
            <v>Jardim Tarumã 2488</v>
          </cell>
          <cell r="D89" t="str">
            <v>2024-01-01</v>
          </cell>
          <cell r="F89" t="str">
            <v>energisa_ms</v>
          </cell>
          <cell r="G89" t="str">
            <v>Jardim Tarumã 2488</v>
          </cell>
          <cell r="H89" t="str">
            <v>Igreja do Evangelho Quadrangular</v>
          </cell>
          <cell r="I89">
            <v>45778</v>
          </cell>
          <cell r="J89" t="str">
            <v>COMERCIAL - TEMPLOS RELIGIOSOS</v>
          </cell>
          <cell r="K89" t="str">
            <v>79097200</v>
          </cell>
          <cell r="L89" t="str">
            <v>MS</v>
          </cell>
          <cell r="M89" t="str">
            <v>CAMPO GRANDE</v>
          </cell>
          <cell r="N89" t="str">
            <v>JARDIM TARUMA</v>
          </cell>
          <cell r="O89" t="str">
            <v>RUA VERDE LOURO, 931 - 11.103.25.135000</v>
          </cell>
          <cell r="P89">
            <v>45796</v>
          </cell>
          <cell r="Q89" t="str">
            <v>B - B3</v>
          </cell>
          <cell r="R89" t="str">
            <v>62955505248886</v>
          </cell>
          <cell r="U89">
            <v>45762</v>
          </cell>
          <cell r="V89">
            <v>45793</v>
          </cell>
          <cell r="W89">
            <v>45825</v>
          </cell>
          <cell r="X89">
            <v>45818</v>
          </cell>
          <cell r="Y89" t="str">
            <v/>
          </cell>
          <cell r="AA89" t="str">
            <v>010.407.733-002</v>
          </cell>
          <cell r="AB89" t="str">
            <v>trifasico</v>
          </cell>
          <cell r="AC89" t="str">
            <v>convencional</v>
          </cell>
          <cell r="AD89">
            <v>122.15</v>
          </cell>
          <cell r="AE89" t="str">
            <v>34191.09545 51703.670276 52186.260007 6 11080000012215</v>
          </cell>
          <cell r="AF89" t="str">
            <v>IGREJA DO EVANGELHO QUADRANGULAR</v>
          </cell>
          <cell r="AL89">
            <v>245</v>
          </cell>
          <cell r="AM89">
            <v>1.1342005323868678</v>
          </cell>
          <cell r="AN89">
            <v>277.87913043478261</v>
          </cell>
          <cell r="AO89">
            <v>1.121591836734694</v>
          </cell>
          <cell r="AX89">
            <v>176</v>
          </cell>
          <cell r="AY89">
            <v>0.9772677865612649</v>
          </cell>
          <cell r="AZ89">
            <v>-171.99913043478261</v>
          </cell>
          <cell r="BA89">
            <v>1.121534090909091</v>
          </cell>
          <cell r="DR89">
            <v>18</v>
          </cell>
          <cell r="DS89">
            <v>1.133719806763285</v>
          </cell>
          <cell r="DT89">
            <v>-20.406956521739129</v>
          </cell>
          <cell r="DU89">
            <v>1.1211111111111112</v>
          </cell>
          <cell r="DZ89">
            <v>158</v>
          </cell>
          <cell r="EA89">
            <v>1.1341909741331866</v>
          </cell>
          <cell r="EB89">
            <v>-179.20217391304348</v>
          </cell>
          <cell r="EC89">
            <v>1.1215822784810128</v>
          </cell>
          <cell r="ET89">
            <v>176</v>
          </cell>
          <cell r="EX89">
            <v>188</v>
          </cell>
          <cell r="EZ89">
            <v>0.87</v>
          </cell>
          <cell r="FC89">
            <v>16.27</v>
          </cell>
          <cell r="FL89">
            <v>27.61</v>
          </cell>
          <cell r="FM89">
            <v>64.989999999999995</v>
          </cell>
          <cell r="FN89">
            <v>4.6643999999999998E-2</v>
          </cell>
          <cell r="FO89">
            <v>3.04</v>
          </cell>
          <cell r="FP89">
            <v>64.989999999999995</v>
          </cell>
          <cell r="FQ89">
            <v>1.0126999999999999E-2</v>
          </cell>
          <cell r="FR89">
            <v>0.65</v>
          </cell>
          <cell r="FS89">
            <v>78.27</v>
          </cell>
          <cell r="FT89">
            <v>0.17</v>
          </cell>
          <cell r="FU89">
            <v>13.3</v>
          </cell>
          <cell r="GD89">
            <v>245</v>
          </cell>
          <cell r="GE89">
            <v>34153</v>
          </cell>
          <cell r="GF89">
            <v>33908</v>
          </cell>
          <cell r="GG89">
            <v>1</v>
          </cell>
          <cell r="HM89">
            <v>306</v>
          </cell>
          <cell r="HQ89">
            <v>499</v>
          </cell>
          <cell r="HU89">
            <v>406</v>
          </cell>
          <cell r="HY89">
            <v>452</v>
          </cell>
          <cell r="IC89">
            <v>359</v>
          </cell>
          <cell r="IG89">
            <v>271</v>
          </cell>
          <cell r="IK89">
            <v>239</v>
          </cell>
          <cell r="IO89">
            <v>198</v>
          </cell>
          <cell r="IS89">
            <v>167</v>
          </cell>
          <cell r="IW89">
            <v>171</v>
          </cell>
        </row>
        <row r="90">
          <cell r="A90" t="str">
            <v>10/150263-2</v>
          </cell>
          <cell r="B90" t="str">
            <v>10/150263-2</v>
          </cell>
          <cell r="F90" t="str">
            <v>energisa_ms</v>
          </cell>
          <cell r="H90" t="str">
            <v>10/150263-2</v>
          </cell>
          <cell r="I90">
            <v>45778</v>
          </cell>
          <cell r="J90" t="str">
            <v>COMERCIAL - TEMPLOS RELIGIOSOS</v>
          </cell>
          <cell r="K90" t="str">
            <v>79900558</v>
          </cell>
          <cell r="L90" t="str">
            <v>MS</v>
          </cell>
          <cell r="M90" t="str">
            <v>PONTA PORA</v>
          </cell>
          <cell r="N90" t="str">
            <v>PARQUE DAS AROEIRAS</v>
          </cell>
          <cell r="O90" t="str">
            <v>RUA JAMAICA, 46 - 17.032.04.028077</v>
          </cell>
          <cell r="P90">
            <v>45803</v>
          </cell>
          <cell r="Q90" t="str">
            <v>B - B3</v>
          </cell>
          <cell r="R90" t="str">
            <v>62955505015512</v>
          </cell>
          <cell r="U90">
            <v>45770</v>
          </cell>
          <cell r="V90">
            <v>45800</v>
          </cell>
          <cell r="W90">
            <v>45832</v>
          </cell>
          <cell r="X90">
            <v>45812</v>
          </cell>
          <cell r="Y90" t="str">
            <v/>
          </cell>
          <cell r="AA90" t="str">
            <v>010.485.182-002</v>
          </cell>
          <cell r="AB90" t="str">
            <v>monofasico</v>
          </cell>
          <cell r="AC90" t="str">
            <v>convencional</v>
          </cell>
          <cell r="AD90">
            <v>85.01</v>
          </cell>
          <cell r="AE90" t="str">
            <v>34191.09115 15912.612932 85972.140009 2 11020000008501</v>
          </cell>
          <cell r="AF90" t="str">
            <v>IGREJA DO EVANGELHO QUADRANGULAR</v>
          </cell>
          <cell r="AL90">
            <v>139</v>
          </cell>
          <cell r="AM90">
            <v>1.1399160671462829</v>
          </cell>
          <cell r="AN90">
            <v>158.44833333333332</v>
          </cell>
          <cell r="AO90">
            <v>1.1215827338129496</v>
          </cell>
          <cell r="AX90">
            <v>109</v>
          </cell>
          <cell r="AY90">
            <v>1.1398929663608564</v>
          </cell>
          <cell r="AZ90">
            <v>-124.24833333333335</v>
          </cell>
          <cell r="BA90">
            <v>1.121559633027523</v>
          </cell>
          <cell r="DZ90">
            <v>109</v>
          </cell>
          <cell r="EA90">
            <v>1.1398929663608564</v>
          </cell>
          <cell r="EB90">
            <v>-124.24833333333335</v>
          </cell>
          <cell r="EC90">
            <v>1.121559633027523</v>
          </cell>
          <cell r="ET90">
            <v>109</v>
          </cell>
          <cell r="EX90">
            <v>724</v>
          </cell>
          <cell r="EZ90">
            <v>0.55000000000000004</v>
          </cell>
          <cell r="FA90">
            <v>49.5</v>
          </cell>
          <cell r="FC90">
            <v>1.31</v>
          </cell>
          <cell r="FM90">
            <v>28.38</v>
          </cell>
          <cell r="FN90">
            <v>4.6643999999999998E-2</v>
          </cell>
          <cell r="FO90">
            <v>1.32</v>
          </cell>
          <cell r="FP90">
            <v>28.38</v>
          </cell>
          <cell r="FQ90">
            <v>1.0126999999999999E-2</v>
          </cell>
          <cell r="FR90">
            <v>0.28000000000000003</v>
          </cell>
          <cell r="FS90">
            <v>34.200000000000003</v>
          </cell>
          <cell r="FT90">
            <v>0.17</v>
          </cell>
          <cell r="FU90">
            <v>5.81</v>
          </cell>
          <cell r="GD90">
            <v>139</v>
          </cell>
          <cell r="GE90">
            <v>7246</v>
          </cell>
          <cell r="GF90">
            <v>7107</v>
          </cell>
          <cell r="GG90">
            <v>1</v>
          </cell>
          <cell r="HM90">
            <v>156</v>
          </cell>
          <cell r="HQ90">
            <v>202</v>
          </cell>
          <cell r="HU90">
            <v>198</v>
          </cell>
          <cell r="HY90">
            <v>187</v>
          </cell>
          <cell r="IC90">
            <v>163</v>
          </cell>
          <cell r="IG90">
            <v>188</v>
          </cell>
          <cell r="IK90">
            <v>141</v>
          </cell>
          <cell r="IO90">
            <v>125</v>
          </cell>
          <cell r="IS90">
            <v>162</v>
          </cell>
          <cell r="IW90">
            <v>122</v>
          </cell>
        </row>
        <row r="91">
          <cell r="A91" t="str">
            <v/>
          </cell>
          <cell r="B91" t="str">
            <v>10/532081-7</v>
          </cell>
          <cell r="C91" t="str">
            <v>2ª IEQ de Amambai 1935</v>
          </cell>
          <cell r="D91" t="str">
            <v>2024-01-01</v>
          </cell>
          <cell r="F91" t="str">
            <v>energisa_ms</v>
          </cell>
          <cell r="G91" t="str">
            <v>2ª IEQ de Amambai 1935</v>
          </cell>
          <cell r="H91" t="str">
            <v>Igreja do Evangelho Quadrangular</v>
          </cell>
          <cell r="I91">
            <v>45778</v>
          </cell>
          <cell r="J91" t="str">
            <v>COMERCIAL - TEMPLOS RELIGIOSOS</v>
          </cell>
          <cell r="K91" t="str">
            <v>79990000</v>
          </cell>
          <cell r="L91" t="str">
            <v>MS</v>
          </cell>
          <cell r="M91" t="str">
            <v>AMAMBAI</v>
          </cell>
          <cell r="N91" t="str">
            <v>CENTRO</v>
          </cell>
          <cell r="O91" t="str">
            <v>RUA CASSIANO MARCELO, 923 - 06.036.17.123000</v>
          </cell>
          <cell r="P91">
            <v>45789</v>
          </cell>
          <cell r="Q91" t="str">
            <v>B - B3</v>
          </cell>
          <cell r="R91" t="str">
            <v>62955505193534</v>
          </cell>
          <cell r="U91">
            <v>45756</v>
          </cell>
          <cell r="V91">
            <v>45786</v>
          </cell>
          <cell r="W91">
            <v>45817</v>
          </cell>
          <cell r="X91">
            <v>45814</v>
          </cell>
          <cell r="Y91" t="str">
            <v/>
          </cell>
          <cell r="AA91" t="str">
            <v>010.292.841-002</v>
          </cell>
          <cell r="AB91" t="str">
            <v>trifasico</v>
          </cell>
          <cell r="AC91" t="str">
            <v>convencional</v>
          </cell>
          <cell r="AD91">
            <v>181.94</v>
          </cell>
          <cell r="AE91" t="str">
            <v>34191.09107 86856.472930 85972.140009 3 11040000018194</v>
          </cell>
          <cell r="AF91" t="str">
            <v>IGREJA DO EVANGELHO QUADRANGULAR</v>
          </cell>
          <cell r="AL91">
            <v>224</v>
          </cell>
          <cell r="AM91">
            <v>1.1287375776397515</v>
          </cell>
          <cell r="AN91">
            <v>252.83721739130434</v>
          </cell>
          <cell r="AO91">
            <v>1.1216071428571428</v>
          </cell>
          <cell r="AX91">
            <v>109</v>
          </cell>
          <cell r="AY91">
            <v>1.1286900678101317</v>
          </cell>
          <cell r="AZ91">
            <v>-123.02721739130436</v>
          </cell>
          <cell r="BA91">
            <v>1.121559633027523</v>
          </cell>
          <cell r="DR91">
            <v>109</v>
          </cell>
          <cell r="DS91">
            <v>1.1286900678101317</v>
          </cell>
          <cell r="DT91">
            <v>-123.02721739130436</v>
          </cell>
          <cell r="DU91">
            <v>1.121559633027523</v>
          </cell>
          <cell r="ET91">
            <v>109</v>
          </cell>
          <cell r="EX91">
            <v>0</v>
          </cell>
          <cell r="EZ91">
            <v>0.82</v>
          </cell>
          <cell r="FA91">
            <v>47.92</v>
          </cell>
          <cell r="FC91">
            <v>4.2100000000000009</v>
          </cell>
          <cell r="FM91">
            <v>107.73</v>
          </cell>
          <cell r="FN91">
            <v>4.6643999999999998E-2</v>
          </cell>
          <cell r="FO91">
            <v>5.03</v>
          </cell>
          <cell r="FP91">
            <v>107.73</v>
          </cell>
          <cell r="FQ91">
            <v>1.0126999999999999E-2</v>
          </cell>
          <cell r="FR91">
            <v>1.08</v>
          </cell>
          <cell r="FS91">
            <v>129.81</v>
          </cell>
          <cell r="FT91">
            <v>0.17</v>
          </cell>
          <cell r="FU91">
            <v>22.06</v>
          </cell>
          <cell r="GD91">
            <v>224</v>
          </cell>
          <cell r="GE91">
            <v>18020</v>
          </cell>
          <cell r="GF91">
            <v>17796</v>
          </cell>
          <cell r="GG91">
            <v>1</v>
          </cell>
          <cell r="HM91">
            <v>342</v>
          </cell>
          <cell r="HQ91">
            <v>531</v>
          </cell>
          <cell r="HU91">
            <v>556</v>
          </cell>
          <cell r="HY91">
            <v>379</v>
          </cell>
          <cell r="IC91">
            <v>437</v>
          </cell>
          <cell r="IG91">
            <v>296</v>
          </cell>
          <cell r="IK91">
            <v>300</v>
          </cell>
          <cell r="IO91">
            <v>248</v>
          </cell>
          <cell r="IS91">
            <v>252</v>
          </cell>
          <cell r="IW91">
            <v>253</v>
          </cell>
        </row>
        <row r="92">
          <cell r="A92" t="str">
            <v/>
          </cell>
          <cell r="B92" t="str">
            <v>10/513413-5</v>
          </cell>
          <cell r="C92" t="str">
            <v>Cong. Guia Lopes</v>
          </cell>
          <cell r="D92" t="str">
            <v>2024-01-01</v>
          </cell>
          <cell r="F92" t="str">
            <v>energisa_ms</v>
          </cell>
          <cell r="G92" t="str">
            <v>Cong. Guia Lopes</v>
          </cell>
          <cell r="H92" t="str">
            <v>Igreja do Evangelho Quadrangular</v>
          </cell>
          <cell r="I92">
            <v>45778</v>
          </cell>
          <cell r="J92" t="str">
            <v>COMERCIAL - TEMPLOS RELIGIOSOS</v>
          </cell>
          <cell r="K92" t="str">
            <v>79230000</v>
          </cell>
          <cell r="L92" t="str">
            <v>MS</v>
          </cell>
          <cell r="M92" t="str">
            <v>GUIA LOPES DA LAGUNA</v>
          </cell>
          <cell r="N92" t="str">
            <v>VILA SAO MIGUEL</v>
          </cell>
          <cell r="O92" t="str">
            <v>RUA TREZE DE MAIO, 1200 - 05.048.13.525000</v>
          </cell>
          <cell r="P92">
            <v>45784</v>
          </cell>
          <cell r="Q92" t="str">
            <v>B - B3</v>
          </cell>
          <cell r="R92" t="str">
            <v>62955505321630</v>
          </cell>
          <cell r="U92">
            <v>45750</v>
          </cell>
          <cell r="V92">
            <v>45783</v>
          </cell>
          <cell r="W92">
            <v>45812</v>
          </cell>
          <cell r="X92">
            <v>45793</v>
          </cell>
          <cell r="Y92" t="str">
            <v/>
          </cell>
          <cell r="AA92" t="str">
            <v>010.222.873-002</v>
          </cell>
          <cell r="AB92" t="str">
            <v>trifasico</v>
          </cell>
          <cell r="AC92" t="str">
            <v>convencional</v>
          </cell>
          <cell r="AD92">
            <v>607.6</v>
          </cell>
          <cell r="AF92" t="str">
            <v>IGREJA DO EVANGELHO QUADRANGULAR</v>
          </cell>
          <cell r="AL92">
            <v>458</v>
          </cell>
          <cell r="AM92">
            <v>1.124650655021834</v>
          </cell>
          <cell r="AN92">
            <v>515.09</v>
          </cell>
          <cell r="AO92">
            <v>1.1203056768558952</v>
          </cell>
          <cell r="EZ92">
            <v>1.99</v>
          </cell>
          <cell r="FA92">
            <v>92.51</v>
          </cell>
          <cell r="FM92">
            <v>427.51</v>
          </cell>
          <cell r="FN92">
            <v>4.6643999999999998E-2</v>
          </cell>
          <cell r="FO92">
            <v>19.940000000000001</v>
          </cell>
          <cell r="FP92">
            <v>427.51</v>
          </cell>
          <cell r="FQ92">
            <v>1.0126999999999999E-2</v>
          </cell>
          <cell r="FR92">
            <v>4.33</v>
          </cell>
          <cell r="FS92">
            <v>515.09</v>
          </cell>
          <cell r="FT92">
            <v>0.17</v>
          </cell>
          <cell r="FU92">
            <v>87.56</v>
          </cell>
          <cell r="GD92">
            <v>458</v>
          </cell>
          <cell r="GE92">
            <v>49133</v>
          </cell>
          <cell r="GF92">
            <v>48675</v>
          </cell>
          <cell r="GG92">
            <v>1</v>
          </cell>
          <cell r="HM92">
            <v>585</v>
          </cell>
          <cell r="HQ92">
            <v>555</v>
          </cell>
          <cell r="HU92">
            <v>585</v>
          </cell>
          <cell r="HY92">
            <v>551</v>
          </cell>
          <cell r="IC92">
            <v>553</v>
          </cell>
          <cell r="IG92">
            <v>503</v>
          </cell>
          <cell r="IK92">
            <v>536</v>
          </cell>
          <cell r="IO92">
            <v>319</v>
          </cell>
          <cell r="IS92">
            <v>297</v>
          </cell>
          <cell r="IW92">
            <v>372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1">
          <cell r="A1" t="str">
            <v>identificacao</v>
          </cell>
          <cell r="B1" t="str">
            <v>instalacao</v>
          </cell>
          <cell r="C1" t="str">
            <v>nome</v>
          </cell>
          <cell r="D1" t="str">
            <v>dataAberturaContrato</v>
          </cell>
          <cell r="E1" t="str">
            <v>dataEncerramentoContrato</v>
          </cell>
          <cell r="F1" t="str">
            <v>distribuidora</v>
          </cell>
          <cell r="G1" t="str">
            <v>nomeFantasia</v>
          </cell>
          <cell r="H1" t="str">
            <v>razaoSocial</v>
          </cell>
          <cell r="I1" t="str">
            <v>referencia</v>
          </cell>
          <cell r="J1" t="str">
            <v>classeSubclasse</v>
          </cell>
          <cell r="K1" t="str">
            <v>cep</v>
          </cell>
          <cell r="L1" t="str">
            <v>uf</v>
          </cell>
          <cell r="M1" t="str">
            <v>cidade</v>
          </cell>
          <cell r="N1" t="str">
            <v>bairro</v>
          </cell>
          <cell r="O1" t="str">
            <v>endereco</v>
          </cell>
          <cell r="P1" t="str">
            <v>dataEmissao</v>
          </cell>
          <cell r="Q1" t="str">
            <v>grupoSubgrupo</v>
          </cell>
          <cell r="R1" t="str">
            <v>cnpj</v>
          </cell>
          <cell r="S1" t="str">
            <v>codigoCliente</v>
          </cell>
          <cell r="T1" t="str">
            <v>contaContrato</v>
          </cell>
          <cell r="U1" t="str">
            <v>dataLeituraAnterior</v>
          </cell>
          <cell r="V1" t="str">
            <v>dataLeituraAtual</v>
          </cell>
          <cell r="W1" t="str">
            <v>dataLeituraProxima</v>
          </cell>
          <cell r="X1" t="str">
            <v>dataVencimento</v>
          </cell>
          <cell r="Y1" t="str">
            <v>medidor</v>
          </cell>
          <cell r="Z1" t="str">
            <v>debitoAutomaticoAtivo</v>
          </cell>
          <cell r="AA1" t="str">
            <v>notaFiscal</v>
          </cell>
          <cell r="AB1" t="str">
            <v>tipoFornecimento</v>
          </cell>
          <cell r="AC1" t="str">
            <v>modalidadeTarifaria</v>
          </cell>
          <cell r="AD1" t="str">
            <v>valorTotal</v>
          </cell>
          <cell r="AE1" t="str">
            <v>codigoBarras</v>
          </cell>
          <cell r="AF1" t="str">
            <v>titularidade</v>
          </cell>
          <cell r="AG1" t="str">
            <v>codigoDebitoAutomatico</v>
          </cell>
          <cell r="AH1" t="str">
            <v>faturaSimplificada</v>
          </cell>
          <cell r="AI1" t="str">
            <v>Custo disponibilidade - quantidade</v>
          </cell>
          <cell r="AJ1" t="str">
            <v>Custo disponibilidade - tarifa</v>
          </cell>
          <cell r="AK1" t="str">
            <v>Custo disponibilidade - valor</v>
          </cell>
          <cell r="AL1" t="str">
            <v>Energia consumida - Fora ponta - quantidade</v>
          </cell>
          <cell r="AM1" t="str">
            <v>Energia consumida - Fora ponta - tarifa</v>
          </cell>
          <cell r="AN1" t="str">
            <v>Energia consumida - Fora ponta - valor</v>
          </cell>
          <cell r="AO1" t="str">
            <v>Energia consumida - Fora ponta - tarifa com imposto sem bandeira</v>
          </cell>
          <cell r="AP1" t="str">
            <v>Energia consumida - Ponta - quantidade</v>
          </cell>
          <cell r="AQ1" t="str">
            <v>Energia consumida - Ponta - tarifa</v>
          </cell>
          <cell r="AR1" t="str">
            <v>Energia consumida - Ponta - valor</v>
          </cell>
          <cell r="AS1" t="str">
            <v>Energia consumida - Ponta - tarifa com imposto sem bandeira</v>
          </cell>
          <cell r="AT1" t="str">
            <v>Energia consumida - Intermediario - quantidade</v>
          </cell>
          <cell r="AU1" t="str">
            <v>Energia consumida - Intermediario - tarifa</v>
          </cell>
          <cell r="AV1" t="str">
            <v>Energia consumida - Intermediario - valor</v>
          </cell>
          <cell r="AW1" t="str">
            <v>Energia consumida - Intermediario - tarifa com imposto sem bandeira</v>
          </cell>
          <cell r="AX1" t="str">
            <v>Creditos consumidos - Fora ponta - quantidade</v>
          </cell>
          <cell r="AY1" t="str">
            <v>Creditos consumidos - Fora ponta - tarifa</v>
          </cell>
          <cell r="AZ1" t="str">
            <v>Creditos consumidos - Fora ponta - valor</v>
          </cell>
          <cell r="BA1" t="str">
            <v>Creditos consumidos - Fora ponta - tarifa com imposto sem bandeira</v>
          </cell>
          <cell r="BB1" t="str">
            <v>Creditos consumidos - Ponta - quantidade</v>
          </cell>
          <cell r="BC1" t="str">
            <v>Creditos consumidos - Ponta - tarifa</v>
          </cell>
          <cell r="BD1" t="str">
            <v>Creditos consumidos - Ponta - valor</v>
          </cell>
          <cell r="BE1" t="str">
            <v>Creditos consumidos - Ponta - tarifa com imposto sem bandeira</v>
          </cell>
          <cell r="BF1" t="str">
            <v>Energia consumida abatida - Fora ponta - quantidade</v>
          </cell>
          <cell r="BG1" t="str">
            <v>Energia consumida abatida - Fora ponta - tarifa</v>
          </cell>
          <cell r="BH1" t="str">
            <v>Energia consumida abatida - Fora ponta - valor</v>
          </cell>
          <cell r="BI1" t="str">
            <v>Energia consumida abatida - Fora ponta - tarifa com imposto sem bandeira</v>
          </cell>
          <cell r="BJ1" t="str">
            <v>Energia consumida abatida - Ponta - quantidade</v>
          </cell>
          <cell r="BK1" t="str">
            <v>Energia consumida abatida - Ponta - tarifa</v>
          </cell>
          <cell r="BL1" t="str">
            <v>Energia consumida abatida - Ponta - valor</v>
          </cell>
          <cell r="BM1" t="str">
            <v>Energia consumida abatida - Ponta - tarifa com imposto sem bandeira</v>
          </cell>
          <cell r="BN1" t="str">
            <v>Demanda ativa - Fora ponta - quantidade</v>
          </cell>
          <cell r="BO1" t="str">
            <v>Demanda ativa - Fora ponta - tarifa</v>
          </cell>
          <cell r="BP1" t="str">
            <v>Demanda ativa - Fora ponta - valor</v>
          </cell>
          <cell r="BQ1" t="str">
            <v>Demanda ativa - Fora ponta - tarifa com imposto sem bandeira</v>
          </cell>
          <cell r="BR1" t="str">
            <v>Demanda ativa - Ponta - quantidade</v>
          </cell>
          <cell r="BS1" t="str">
            <v>Demanda ativa - Ponta - tarifa</v>
          </cell>
          <cell r="BT1" t="str">
            <v>Demanda ativa - Ponta - valor</v>
          </cell>
          <cell r="BU1" t="str">
            <v>Demanda ativa - Ponta - tarifa com imposto sem bandeira</v>
          </cell>
          <cell r="BV1" t="str">
            <v>Demanda sem icms - Fora ponta - quantidade</v>
          </cell>
          <cell r="BW1" t="str">
            <v>Demanda sem icms - Fora ponta - tarifa</v>
          </cell>
          <cell r="BX1" t="str">
            <v>Demanda sem icms - Fora ponta - valor</v>
          </cell>
          <cell r="BY1" t="str">
            <v>Demanda sem icms - Fora ponta - tarifa com imposto sem bandeira</v>
          </cell>
          <cell r="BZ1" t="str">
            <v>Demanda sem icms - Ponta - quantidade</v>
          </cell>
          <cell r="CA1" t="str">
            <v>Demanda sem icms - Ponta - tarifa</v>
          </cell>
          <cell r="CB1" t="str">
            <v>Demanda sem icms - Ponta - valor</v>
          </cell>
          <cell r="CC1" t="str">
            <v>Demanda sem icms - Ponta - tarifa com imposto sem bandeira</v>
          </cell>
          <cell r="CD1" t="str">
            <v>Ultrapassagem demanda - Fora ponta - quantidade</v>
          </cell>
          <cell r="CE1" t="str">
            <v>Ultrapassagem demanda - Fora ponta - tarifa</v>
          </cell>
          <cell r="CF1" t="str">
            <v>Ultrapassagem demanda - Fora ponta - valor</v>
          </cell>
          <cell r="CG1" t="str">
            <v>Ultrapassagem demanda - Fora ponta - tarifa com imposto sem bandeira</v>
          </cell>
          <cell r="CH1" t="str">
            <v>Ultrapassagem demanda - Ponta - quantidade</v>
          </cell>
          <cell r="CI1" t="str">
            <v>Ultrapassagem demanda - Ponta - tarifa</v>
          </cell>
          <cell r="CJ1" t="str">
            <v>Ultrapassagem demanda - Ponta - valor</v>
          </cell>
          <cell r="CK1" t="str">
            <v>Ultrapassagem demanda - Ponta - tarifa com imposto sem bandeira</v>
          </cell>
          <cell r="CL1" t="str">
            <v>Energia reativa - Fora ponta - quantidade</v>
          </cell>
          <cell r="CM1" t="str">
            <v>Energia reativa - Fora ponta - tarifa</v>
          </cell>
          <cell r="CN1" t="str">
            <v>Energia reativa - Fora ponta - valor</v>
          </cell>
          <cell r="CO1" t="str">
            <v>Energia reativa - Fora ponta - tarifa com imposto sem bandeira</v>
          </cell>
          <cell r="CP1" t="str">
            <v>Energia reativa - Ponta - quantidade</v>
          </cell>
          <cell r="CQ1" t="str">
            <v>Energia reativa - Ponta - tarifa</v>
          </cell>
          <cell r="CR1" t="str">
            <v>Energia reativa - Ponta - valor</v>
          </cell>
          <cell r="CS1" t="str">
            <v>Energia reativa - Ponta - tarifa com imposto sem bandeira</v>
          </cell>
          <cell r="CT1" t="str">
            <v>Demanda reativa - Fora ponta - quantidade</v>
          </cell>
          <cell r="CU1" t="str">
            <v>Demanda reativa - Fora ponta - tarifa</v>
          </cell>
          <cell r="CV1" t="str">
            <v>Demanda reativa - Fora ponta - valor</v>
          </cell>
          <cell r="CW1" t="str">
            <v>Demanda reativa - Fora ponta - tarifa com imposto sem bandeira</v>
          </cell>
          <cell r="CX1" t="str">
            <v>Demanda reativa - Ponta - quantidade</v>
          </cell>
          <cell r="CY1" t="str">
            <v>Demanda reativa - Ponta - tarifa</v>
          </cell>
          <cell r="CZ1" t="str">
            <v>Demanda reativa - Ponta - valor</v>
          </cell>
          <cell r="DA1" t="str">
            <v>Demanda reativa - Ponta - tarifa com imposto sem bandeira</v>
          </cell>
          <cell r="DB1" t="str">
            <v>Energia comercializada - Fora ponta - quantidade</v>
          </cell>
          <cell r="DC1" t="str">
            <v>Energia comercializada - Fora ponta - tarifa</v>
          </cell>
          <cell r="DD1" t="str">
            <v>Energia comercializada - Fora ponta - valor</v>
          </cell>
          <cell r="DE1" t="str">
            <v>Energia comercializada - Fora ponta - tarifa com imposto sem bandeira</v>
          </cell>
          <cell r="DF1" t="str">
            <v>Energia comercializada - Ponta - quantidade</v>
          </cell>
          <cell r="DG1" t="str">
            <v>Energia comercializada - Ponta - tarifa</v>
          </cell>
          <cell r="DH1" t="str">
            <v>Energia comercializada - Ponta - valor</v>
          </cell>
          <cell r="DI1" t="str">
            <v>Energia comercializada - Ponta - tarifa com imposto sem bandeira</v>
          </cell>
          <cell r="DJ1" t="str">
            <v>Energia gerada - Fora ponta - quantidade</v>
          </cell>
          <cell r="DK1" t="str">
            <v>Energia gerada - Fora ponta - tarifa</v>
          </cell>
          <cell r="DL1" t="str">
            <v>Energia gerada - Fora ponta - valor</v>
          </cell>
          <cell r="DM1" t="str">
            <v>Energia gerada - Fora ponta - tarifa com imposto sem bandeira</v>
          </cell>
          <cell r="DN1" t="str">
            <v>Energia gerada - Ponta - quantidade</v>
          </cell>
          <cell r="DO1" t="str">
            <v>Energia gerada - Ponta - tarifa</v>
          </cell>
          <cell r="DP1" t="str">
            <v>Energia gerada - Ponta - valor</v>
          </cell>
          <cell r="DQ1" t="str">
            <v>Energia gerada - Ponta - tarifa com imposto sem bandeira</v>
          </cell>
          <cell r="DR1" t="str">
            <v>Crédito Consumido de Geração Própria - Fora ponta - quantidade</v>
          </cell>
          <cell r="DS1" t="str">
            <v>Crédito Consumido de Geração Própria - Fora ponta - tarifa</v>
          </cell>
          <cell r="DT1" t="str">
            <v>Crédito Consumido de Geração Própria - Fora ponta - valor</v>
          </cell>
          <cell r="DU1" t="str">
            <v>Crédito Consumido de Geração Própria - Fora ponta - tarifa com imposto sem bandeira</v>
          </cell>
          <cell r="DV1" t="str">
            <v>Crédito Consumido de Geração Própria - Ponta - quantidade</v>
          </cell>
          <cell r="DW1" t="str">
            <v>Crédito Consumido de Geração Própria - Ponta - tarifa</v>
          </cell>
          <cell r="DX1" t="str">
            <v>Crédito Consumido de Geração Própria - Ponta - valor</v>
          </cell>
          <cell r="DY1" t="str">
            <v>Crédito Consumido de Geração Própria - Ponta - tarifa com imposto sem bandeira</v>
          </cell>
          <cell r="DZ1" t="str">
            <v>Crédito Consumido Gerado por Terceiros - Fora ponta - quantidade</v>
          </cell>
          <cell r="EA1" t="str">
            <v>Crédito Consumido Gerado por Terceiros - Fora ponta - tarifa</v>
          </cell>
          <cell r="EB1" t="str">
            <v>Crédito Consumido Gerado por Terceiros - Fora ponta - valor</v>
          </cell>
          <cell r="EC1" t="str">
            <v>Crédito Consumido Gerado por Terceiros - Fora ponta - tarifa com imposto sem bandeira</v>
          </cell>
          <cell r="ED1" t="str">
            <v>Crédito Consumido Gerado por Terceiros - Ponta - quantidade</v>
          </cell>
          <cell r="EE1" t="str">
            <v>Crédito Consumido Gerado por Terceiros - Ponta - tarifa</v>
          </cell>
          <cell r="EF1" t="str">
            <v>Crédito Consumido Gerado por Terceiros - Ponta - valor</v>
          </cell>
          <cell r="EG1" t="str">
            <v>Crédito Consumido Gerado por Terceiros - Ponta - tarifa com imposto sem bandeira</v>
          </cell>
          <cell r="EH1" t="str">
            <v>Energia ACL - Fora ponta - valor</v>
          </cell>
          <cell r="EI1" t="str">
            <v>Energia ACL - Ponta - valor</v>
          </cell>
          <cell r="EJ1" t="str">
            <v>Dedução Energia ACL - Fora ponta - valor</v>
          </cell>
          <cell r="EK1" t="str">
            <v>Dedução Energia ACL - Ponta - valor</v>
          </cell>
          <cell r="EL1" t="str">
            <v>Benefício tarifário bruto - Fora ponta - valor</v>
          </cell>
          <cell r="EM1" t="str">
            <v>Benefício tarifário líquido - Fora ponta - valor</v>
          </cell>
          <cell r="EN1" t="str">
            <v>Subvenção tarifária - Fora ponta - valor</v>
          </cell>
          <cell r="EO1" t="str">
            <v>Desconto Demanda - Fora ponta - valor</v>
          </cell>
          <cell r="EP1" t="str">
            <v>Desconto Demanda - Ponta - valor</v>
          </cell>
          <cell r="EQ1" t="str">
            <v>Desconto Consumo TUSD - Fora ponta - valor</v>
          </cell>
          <cell r="ER1" t="str">
            <v>Desconto Consumo TUSD - Ponta - valor</v>
          </cell>
          <cell r="ES1" t="str">
            <v>Ajuste desconto retroativo - Fora ponta - valor</v>
          </cell>
          <cell r="ET1" t="str">
            <v>Credito recebido - Fora ponta - quantidade</v>
          </cell>
          <cell r="EU1" t="str">
            <v>Credito recebido - Ponta - quantidade</v>
          </cell>
          <cell r="EV1" t="str">
            <v>Energia gerada - Fora ponta - quantidade</v>
          </cell>
          <cell r="EW1" t="str">
            <v>Energia gerada - Ponta - quantidade</v>
          </cell>
          <cell r="EX1" t="str">
            <v>Credito remanescente - Fora ponta - quantidade</v>
          </cell>
          <cell r="EY1" t="str">
            <v>Credito remanescente - Ponta - quantidade</v>
          </cell>
          <cell r="EZ1" t="str">
            <v>ADICIONAL BANDEIRA - valor</v>
          </cell>
          <cell r="FA1" t="str">
            <v>CUSTO ILUMINACAO PUBLICA - valor</v>
          </cell>
          <cell r="FB1" t="str">
            <v>OUTROS - valor</v>
          </cell>
          <cell r="FC1" t="str">
            <v>TAXA DE ATRASO - valor</v>
          </cell>
          <cell r="FD1" t="str">
            <v>RESTITUICAO DE PAGAMENTO - valor</v>
          </cell>
          <cell r="FE1" t="str">
            <v>SALDO PROXIMO MES - valor</v>
          </cell>
          <cell r="FF1" t="str">
            <v>REEMBOLSO - valor</v>
          </cell>
          <cell r="FG1" t="str">
            <v>ENCARGO ESCASSEZ HÍDRICA - valor</v>
          </cell>
          <cell r="FH1" t="str">
            <v>ENCARGO CONTA COVID - valor</v>
          </cell>
          <cell r="FI1" t="str">
            <v>DIFERENÇA CCEE - valor</v>
          </cell>
          <cell r="FJ1" t="str">
            <v>LIMINAR - valor</v>
          </cell>
          <cell r="FK1" t="str">
            <v>DESCONTO - valor</v>
          </cell>
          <cell r="FL1" t="str">
            <v>AJUSTE GDII - valor</v>
          </cell>
          <cell r="FM1" t="str">
            <v>Imposto - COFINS - base calculo</v>
          </cell>
          <cell r="FN1" t="str">
            <v>Imposto - COFINS - alíquota</v>
          </cell>
          <cell r="FO1" t="str">
            <v>Imposto - COFINS - valor</v>
          </cell>
          <cell r="FP1" t="str">
            <v>Imposto - PIS - base calculo</v>
          </cell>
          <cell r="FQ1" t="str">
            <v>Imposto - PIS - alíquota</v>
          </cell>
          <cell r="FR1" t="str">
            <v>Imposto - PIS - valor</v>
          </cell>
          <cell r="FS1" t="str">
            <v>Imposto - ICMS - base calculo</v>
          </cell>
          <cell r="FT1" t="str">
            <v>Imposto - ICMS - alíquota</v>
          </cell>
          <cell r="FU1" t="str">
            <v>Imposto - ICMS - valor</v>
          </cell>
          <cell r="FV1" t="str">
            <v>Imposto - PIS/COFINS - base calculo</v>
          </cell>
          <cell r="FW1" t="str">
            <v>Imposto - PIS/COFINS - alíquota</v>
          </cell>
          <cell r="FX1" t="str">
            <v>Imposto - PIS/COFINS - valor</v>
          </cell>
          <cell r="FY1" t="str">
            <v>Perdas</v>
          </cell>
          <cell r="FZ1" t="str">
            <v>Energia consumida - Fora ponta - Medido</v>
          </cell>
          <cell r="GA1" t="str">
            <v>Energia consumida - Fora ponta - Leitura Atual</v>
          </cell>
          <cell r="GB1" t="str">
            <v>Energia consumida - Fora ponta - Leitura Anterior</v>
          </cell>
          <cell r="GC1" t="str">
            <v>Energia consumida - Fora ponta - Constante</v>
          </cell>
          <cell r="GD1" t="str">
            <v>Energia consumida - Ponta - Medido</v>
          </cell>
          <cell r="GE1" t="str">
            <v>Energia consumida - Ponta - Leitura Atual</v>
          </cell>
          <cell r="GF1" t="str">
            <v>Energia consumida - Ponta - Leitura Anterior</v>
          </cell>
          <cell r="GG1" t="str">
            <v>Energia consumida - Ponta - Constante</v>
          </cell>
          <cell r="GH1" t="str">
            <v>Energia consumida - Intermediario - Medido</v>
          </cell>
          <cell r="GI1" t="str">
            <v>Energia consumida - Intermediario - Leitura Atual</v>
          </cell>
          <cell r="GJ1" t="str">
            <v>Energia consumida - Intermediario - Leitura Anterior</v>
          </cell>
          <cell r="GK1" t="str">
            <v>Energia consumida - Intermediario - Constante</v>
          </cell>
          <cell r="GL1" t="str">
            <v>Demanda ativa - Fora ponta - Medido</v>
          </cell>
          <cell r="GM1" t="str">
            <v>Demanda ativa - Fora ponta - Leitura Atual</v>
          </cell>
          <cell r="GN1" t="str">
            <v>Demanda ativa - Fora ponta - Leitura Anterior</v>
          </cell>
          <cell r="GO1" t="str">
            <v>Demanda ativa - Fora ponta - Constante</v>
          </cell>
          <cell r="GP1" t="str">
            <v>Demanda ativa - Fora ponta - Contratado</v>
          </cell>
          <cell r="GQ1" t="str">
            <v>Demanda ativa - Ponta - Medido</v>
          </cell>
          <cell r="GR1" t="str">
            <v>Demanda ativa - Ponta - Leitura Atual</v>
          </cell>
          <cell r="GS1" t="str">
            <v>Demanda ativa - Ponta - Leitura Anterior</v>
          </cell>
          <cell r="GT1" t="str">
            <v>Demanda ativa - Ponta - Constante</v>
          </cell>
          <cell r="GU1" t="str">
            <v>Demanda ativa - Ponta - Contratado</v>
          </cell>
          <cell r="GV1" t="str">
            <v>Energia reativa - Fora ponta - Medido</v>
          </cell>
          <cell r="GW1" t="str">
            <v>Energia reativa - Fora ponta - Leitura Atual</v>
          </cell>
          <cell r="GX1" t="str">
            <v>Energia reativa - Fora ponta - Leitura Anterior</v>
          </cell>
          <cell r="GY1" t="str">
            <v>Energia reativa - Fora ponta - Constante</v>
          </cell>
          <cell r="GZ1" t="str">
            <v>Energia reativa - Ponta - Medido</v>
          </cell>
          <cell r="HA1" t="str">
            <v>Energia reativa - Ponta - Leitura Atual</v>
          </cell>
          <cell r="HB1" t="str">
            <v>Energia reativa - Ponta - Leitura Anterior</v>
          </cell>
          <cell r="HC1" t="str">
            <v>Energia reativa - Ponta - Constante</v>
          </cell>
          <cell r="HD1" t="str">
            <v>Demanda reativa - Fora ponta - Medido</v>
          </cell>
          <cell r="HE1" t="str">
            <v>Demanda reativa - Fora ponta - Leitura Atual</v>
          </cell>
          <cell r="HF1" t="str">
            <v>Demanda reativa - Fora ponta - Leitura Anterior</v>
          </cell>
          <cell r="HG1" t="str">
            <v>Demanda reativa - Fora ponta - Constante</v>
          </cell>
          <cell r="HH1" t="str">
            <v>Demanda reativa - Ponta - Medido</v>
          </cell>
          <cell r="HI1" t="str">
            <v>Demanda reativa - Ponta - Leitura Atual</v>
          </cell>
          <cell r="HJ1" t="str">
            <v>Demanda reativa - Ponta - Leitura Anterior</v>
          </cell>
          <cell r="HK1" t="str">
            <v>Demanda reativa - Ponta - Constante</v>
          </cell>
          <cell r="HL1" t="str">
            <v>Energia gerada - Fora ponta - Medido</v>
          </cell>
          <cell r="HM1" t="str">
            <v>Energia gerada - Fora ponta - Leitura Atual</v>
          </cell>
          <cell r="HN1" t="str">
            <v>Energia gerada - Fora ponta - Leitura Anterior</v>
          </cell>
          <cell r="HO1" t="str">
            <v>Energia gerada - Fora ponta - Constante</v>
          </cell>
          <cell r="HP1" t="str">
            <v>Energia gerada - Ponta - Medido</v>
          </cell>
          <cell r="HQ1" t="str">
            <v>Energia gerada - Ponta - Leitura Atual</v>
          </cell>
          <cell r="HR1" t="str">
            <v>Energia gerada - Ponta - Leitura Anterior</v>
          </cell>
          <cell r="HS1" t="str">
            <v>Energia gerada - Ponta - Constante</v>
          </cell>
          <cell r="HT1" t="str">
            <v>Energia consumida - Fora ponta - May/2025</v>
          </cell>
          <cell r="HU1" t="str">
            <v>Energia consumida - Ponta - May/2025</v>
          </cell>
          <cell r="HV1" t="str">
            <v>Demanda ativa - Fora ponta - May/2025</v>
          </cell>
          <cell r="HW1" t="str">
            <v>Demanda ativa - Ponta - May/2025</v>
          </cell>
          <cell r="HX1" t="str">
            <v>Energia consumida - Fora ponta - Apr/2025</v>
          </cell>
          <cell r="HY1" t="str">
            <v>Energia consumida - Ponta - Apr/2025</v>
          </cell>
          <cell r="HZ1" t="str">
            <v>Demanda ativa - Fora ponta - Apr/2025</v>
          </cell>
          <cell r="IA1" t="str">
            <v>Demanda ativa - Ponta - Apr/2025</v>
          </cell>
          <cell r="IB1" t="str">
            <v>Energia consumida - Fora ponta - Mar/2025</v>
          </cell>
          <cell r="IC1" t="str">
            <v>Energia consumida - Ponta - Mar/2025</v>
          </cell>
          <cell r="ID1" t="str">
            <v>Demanda ativa - Fora ponta - Mar/2025</v>
          </cell>
          <cell r="IE1" t="str">
            <v>Demanda ativa - Ponta - Mar/2025</v>
          </cell>
          <cell r="IF1" t="str">
            <v>Energia consumida - Fora ponta - Feb/2025</v>
          </cell>
          <cell r="IG1" t="str">
            <v>Energia consumida - Ponta - Feb/2025</v>
          </cell>
          <cell r="IH1" t="str">
            <v>Demanda ativa - Fora ponta - Feb/2025</v>
          </cell>
          <cell r="II1" t="str">
            <v>Demanda ativa - Ponta - Feb/2025</v>
          </cell>
          <cell r="IJ1" t="str">
            <v>Energia consumida - Fora ponta - Jan/2025</v>
          </cell>
          <cell r="IK1" t="str">
            <v>Energia consumida - Ponta - Jan/2025</v>
          </cell>
          <cell r="IL1" t="str">
            <v>Demanda ativa - Fora ponta - Jan/2025</v>
          </cell>
          <cell r="IM1" t="str">
            <v>Demanda ativa - Ponta - Jan/2025</v>
          </cell>
          <cell r="IN1" t="str">
            <v>Energia consumida - Fora ponta - Dec/2024</v>
          </cell>
          <cell r="IO1" t="str">
            <v>Energia consumida - Ponta - Dec/2024</v>
          </cell>
          <cell r="IP1" t="str">
            <v>Demanda ativa - Fora ponta - Dec/2024</v>
          </cell>
          <cell r="IQ1" t="str">
            <v>Demanda ativa - Ponta - Dec/2024</v>
          </cell>
          <cell r="IR1" t="str">
            <v>Energia consumida - Fora ponta - Nov/2024</v>
          </cell>
          <cell r="IS1" t="str">
            <v>Energia consumida - Ponta - Nov/2024</v>
          </cell>
          <cell r="IT1" t="str">
            <v>Demanda ativa - Fora ponta - Nov/2024</v>
          </cell>
          <cell r="IU1" t="str">
            <v>Demanda ativa - Ponta - Nov/2024</v>
          </cell>
          <cell r="IV1" t="str">
            <v>Energia consumida - Fora ponta - Oct/2024</v>
          </cell>
          <cell r="IW1" t="str">
            <v>Energia consumida - Ponta - Oct/2024</v>
          </cell>
          <cell r="IX1" t="str">
            <v>Demanda ativa - Fora ponta - Oct/2024</v>
          </cell>
        </row>
        <row r="2">
          <cell r="A2" t="str">
            <v/>
          </cell>
          <cell r="B2" t="str">
            <v>10/3054052-0</v>
          </cell>
          <cell r="C2" t="str">
            <v>Nova Aliança</v>
          </cell>
          <cell r="F2" t="str">
            <v>energisa_ms</v>
          </cell>
          <cell r="G2" t="str">
            <v>Nova Aliança</v>
          </cell>
          <cell r="H2" t="str">
            <v>Igreja do Evangelho Quadrangular</v>
          </cell>
          <cell r="I2">
            <v>45809</v>
          </cell>
          <cell r="J2" t="str">
            <v>COMERCIAL - TEMPLOS RELIGIOSOS</v>
          </cell>
          <cell r="K2" t="str">
            <v>79370000</v>
          </cell>
          <cell r="L2" t="str">
            <v>MS</v>
          </cell>
          <cell r="M2" t="str">
            <v>LADARIO</v>
          </cell>
          <cell r="N2" t="str">
            <v>NOVA ALIANCA</v>
          </cell>
          <cell r="O2" t="str">
            <v>RUA FREI LIBERATO QUETTERE, S/N - QD 112 LT 34- 02.004.21.308500</v>
          </cell>
          <cell r="P2">
            <v>45811</v>
          </cell>
          <cell r="Q2" t="str">
            <v>B - B3</v>
          </cell>
          <cell r="R2" t="str">
            <v>6X.XXX.XXX/XXX4-87</v>
          </cell>
          <cell r="U2">
            <v>45779</v>
          </cell>
          <cell r="V2">
            <v>45810</v>
          </cell>
          <cell r="W2">
            <v>45840</v>
          </cell>
          <cell r="X2">
            <v>45853</v>
          </cell>
          <cell r="Y2" t="str">
            <v/>
          </cell>
          <cell r="AA2" t="str">
            <v>010.570.017-002</v>
          </cell>
          <cell r="AB2" t="str">
            <v>trifasico</v>
          </cell>
          <cell r="AC2" t="str">
            <v>convencional</v>
          </cell>
          <cell r="AD2">
            <v>142.94</v>
          </cell>
          <cell r="AF2" t="str">
            <v>IGREJA DO EVANGELHO QUADRANGULAR</v>
          </cell>
          <cell r="AI2">
            <v>100</v>
          </cell>
          <cell r="AJ2">
            <v>1.1264000000000001</v>
          </cell>
          <cell r="AK2">
            <v>112.64</v>
          </cell>
          <cell r="AL2">
            <v>0</v>
          </cell>
          <cell r="AM2">
            <v>1.1264000000000001</v>
          </cell>
          <cell r="AN2">
            <v>0</v>
          </cell>
          <cell r="EZ2">
            <v>2.61</v>
          </cell>
          <cell r="FA2">
            <v>24.67</v>
          </cell>
          <cell r="FC2">
            <v>3.02</v>
          </cell>
          <cell r="FM2">
            <v>95.64</v>
          </cell>
          <cell r="FN2">
            <v>4.9954999999999999E-2</v>
          </cell>
          <cell r="FO2">
            <v>4.7699999999999996</v>
          </cell>
          <cell r="FP2">
            <v>95.64</v>
          </cell>
          <cell r="FQ2">
            <v>1.0845E-2</v>
          </cell>
          <cell r="FR2">
            <v>1.03</v>
          </cell>
          <cell r="FS2">
            <v>115.25</v>
          </cell>
          <cell r="FT2">
            <v>0.17</v>
          </cell>
          <cell r="FU2">
            <v>19.59</v>
          </cell>
          <cell r="GD2">
            <v>98</v>
          </cell>
          <cell r="GE2">
            <v>9662</v>
          </cell>
          <cell r="GF2">
            <v>9564</v>
          </cell>
          <cell r="GG2">
            <v>1</v>
          </cell>
          <cell r="HU2">
            <v>123</v>
          </cell>
          <cell r="HY2">
            <v>90</v>
          </cell>
          <cell r="IC2">
            <v>160</v>
          </cell>
          <cell r="IG2">
            <v>160</v>
          </cell>
          <cell r="IK2">
            <v>84</v>
          </cell>
          <cell r="IO2">
            <v>116</v>
          </cell>
          <cell r="IS2">
            <v>172</v>
          </cell>
          <cell r="IW2">
            <v>178</v>
          </cell>
        </row>
        <row r="3">
          <cell r="A3" t="str">
            <v/>
          </cell>
          <cell r="B3" t="str">
            <v>10/40190-1</v>
          </cell>
          <cell r="C3" t="str">
            <v>1775</v>
          </cell>
          <cell r="F3" t="str">
            <v>energisa_ms</v>
          </cell>
          <cell r="G3" t="str">
            <v>Cel Sapucaia 884</v>
          </cell>
          <cell r="H3" t="str">
            <v>Igreja do Evangelho Quadrangular</v>
          </cell>
          <cell r="I3">
            <v>45809</v>
          </cell>
          <cell r="J3" t="str">
            <v>COMERCIAL - TEMPLOS RELIGIOSOS</v>
          </cell>
          <cell r="K3" t="str">
            <v>79842080</v>
          </cell>
          <cell r="L3" t="str">
            <v>MS</v>
          </cell>
          <cell r="M3" t="str">
            <v>DOURADOS</v>
          </cell>
          <cell r="N3" t="str">
            <v>PARQUE DAS NACOES II</v>
          </cell>
          <cell r="O3" t="str">
            <v>RUA JOSE VALERIO DOS SANTOS, 435 - 04.010.13.605000</v>
          </cell>
          <cell r="P3">
            <v>45813</v>
          </cell>
          <cell r="Q3" t="str">
            <v>B - B3</v>
          </cell>
          <cell r="R3" t="str">
            <v>62955505177504</v>
          </cell>
          <cell r="U3">
            <v>45783</v>
          </cell>
          <cell r="V3">
            <v>45812</v>
          </cell>
          <cell r="W3">
            <v>45842</v>
          </cell>
          <cell r="X3">
            <v>45834</v>
          </cell>
          <cell r="Y3" t="str">
            <v/>
          </cell>
          <cell r="AA3" t="str">
            <v>010.610.001-002</v>
          </cell>
          <cell r="AB3" t="str">
            <v>bifasico</v>
          </cell>
          <cell r="AC3" t="str">
            <v>convencional</v>
          </cell>
          <cell r="AD3">
            <v>233.23</v>
          </cell>
          <cell r="AE3" t="str">
            <v>34191.09115 32513.282932 85972.140009 2 11240000023323</v>
          </cell>
          <cell r="AF3" t="str">
            <v>IGREJA DO EVANGELHO QUADRANGULAR</v>
          </cell>
          <cell r="AL3">
            <v>284</v>
          </cell>
          <cell r="AM3">
            <v>1.1551386094343841</v>
          </cell>
          <cell r="AN3">
            <v>328.05936507936508</v>
          </cell>
          <cell r="AO3">
            <v>1.1264084507042254</v>
          </cell>
          <cell r="AX3">
            <v>158</v>
          </cell>
          <cell r="AY3">
            <v>0.99822382961623479</v>
          </cell>
          <cell r="AZ3">
            <v>-157.7193650793651</v>
          </cell>
          <cell r="BA3">
            <v>1.1263924050632912</v>
          </cell>
          <cell r="DR3">
            <v>158</v>
          </cell>
          <cell r="DS3">
            <v>1.1551225637934499</v>
          </cell>
          <cell r="DT3">
            <v>-182.5093650793651</v>
          </cell>
          <cell r="DU3">
            <v>1.1263924050632912</v>
          </cell>
          <cell r="ET3">
            <v>158</v>
          </cell>
          <cell r="EX3">
            <v>0</v>
          </cell>
          <cell r="EZ3">
            <v>3.62</v>
          </cell>
          <cell r="FA3">
            <v>59.51</v>
          </cell>
          <cell r="FC3">
            <v>3.38</v>
          </cell>
          <cell r="FL3">
            <v>24.79</v>
          </cell>
          <cell r="FM3">
            <v>120.8</v>
          </cell>
          <cell r="FN3">
            <v>4.9954999999999999E-2</v>
          </cell>
          <cell r="FO3">
            <v>6.03</v>
          </cell>
          <cell r="FP3">
            <v>120.8</v>
          </cell>
          <cell r="FQ3">
            <v>1.0845E-2</v>
          </cell>
          <cell r="FR3">
            <v>1.31</v>
          </cell>
          <cell r="FS3">
            <v>145.55000000000001</v>
          </cell>
          <cell r="FT3">
            <v>0.17</v>
          </cell>
          <cell r="FU3">
            <v>24.74</v>
          </cell>
          <cell r="GD3">
            <v>284</v>
          </cell>
          <cell r="GE3">
            <v>72916</v>
          </cell>
          <cell r="GF3">
            <v>72632</v>
          </cell>
          <cell r="GG3">
            <v>1</v>
          </cell>
          <cell r="HU3">
            <v>345</v>
          </cell>
          <cell r="HY3">
            <v>317</v>
          </cell>
          <cell r="IC3">
            <v>307</v>
          </cell>
          <cell r="IG3">
            <v>339</v>
          </cell>
          <cell r="IK3">
            <v>346</v>
          </cell>
          <cell r="IO3">
            <v>334</v>
          </cell>
          <cell r="IS3">
            <v>327</v>
          </cell>
          <cell r="IW3">
            <v>342</v>
          </cell>
        </row>
        <row r="4">
          <cell r="A4" t="str">
            <v/>
          </cell>
          <cell r="B4" t="str">
            <v>10/3139326-7</v>
          </cell>
          <cell r="C4" t="str">
            <v>6315</v>
          </cell>
          <cell r="F4" t="str">
            <v>energisa_ms</v>
          </cell>
          <cell r="G4" t="str">
            <v>5661</v>
          </cell>
          <cell r="H4" t="str">
            <v>Igreja do Evangelho Quadrangular</v>
          </cell>
          <cell r="I4">
            <v>45809</v>
          </cell>
          <cell r="J4" t="str">
            <v>COMERCIAL - TEMPLOS RELIGIOSOS</v>
          </cell>
          <cell r="K4" t="str">
            <v>79833280</v>
          </cell>
          <cell r="L4" t="str">
            <v>MS</v>
          </cell>
          <cell r="M4" t="str">
            <v>DOURADOS</v>
          </cell>
          <cell r="N4" t="str">
            <v>VILA SAO FRANCISCO</v>
          </cell>
          <cell r="O4" t="str">
            <v>RUA ALBERTINA DE MATTOS, S/N - 01.010.015.346000</v>
          </cell>
          <cell r="P4">
            <v>45812</v>
          </cell>
          <cell r="Q4" t="str">
            <v>B - B3</v>
          </cell>
          <cell r="R4" t="str">
            <v>62955505182257</v>
          </cell>
          <cell r="U4">
            <v>45782</v>
          </cell>
          <cell r="V4">
            <v>45811</v>
          </cell>
          <cell r="W4">
            <v>45841</v>
          </cell>
          <cell r="X4">
            <v>45821</v>
          </cell>
          <cell r="Y4" t="str">
            <v/>
          </cell>
          <cell r="AA4" t="str">
            <v>010.587.264-002</v>
          </cell>
          <cell r="AB4" t="str">
            <v>trifasico</v>
          </cell>
          <cell r="AC4" t="str">
            <v>convencional</v>
          </cell>
          <cell r="AD4">
            <v>326.49</v>
          </cell>
          <cell r="AE4" t="str">
            <v>34191.09115 29842.342932 85972.140009 5 11110000032649</v>
          </cell>
          <cell r="AF4" t="str">
            <v>IGREJA DO EVANGELHO QUADRANGULAR</v>
          </cell>
          <cell r="AL4">
            <v>420</v>
          </cell>
          <cell r="AM4">
            <v>1.1540241998438721</v>
          </cell>
          <cell r="AN4">
            <v>484.69016393442627</v>
          </cell>
          <cell r="AO4">
            <v>1.1264285714285716</v>
          </cell>
          <cell r="AX4">
            <v>237</v>
          </cell>
          <cell r="AY4">
            <v>0.99713149339420337</v>
          </cell>
          <cell r="AZ4">
            <v>-236.3201639344262</v>
          </cell>
          <cell r="BA4">
            <v>1.1264135021097046</v>
          </cell>
          <cell r="DR4">
            <v>237</v>
          </cell>
          <cell r="DS4">
            <v>1.1540091305250051</v>
          </cell>
          <cell r="DT4">
            <v>-273.50016393442621</v>
          </cell>
          <cell r="DU4">
            <v>1.1264135021097046</v>
          </cell>
          <cell r="ET4">
            <v>237</v>
          </cell>
          <cell r="EX4">
            <v>0</v>
          </cell>
          <cell r="EZ4">
            <v>5.05</v>
          </cell>
          <cell r="FA4">
            <v>71.42</v>
          </cell>
          <cell r="FC4">
            <v>6.7</v>
          </cell>
          <cell r="FL4">
            <v>37.18</v>
          </cell>
          <cell r="FM4">
            <v>175.29</v>
          </cell>
          <cell r="FN4">
            <v>4.9954999999999999E-2</v>
          </cell>
          <cell r="FO4">
            <v>8.75</v>
          </cell>
          <cell r="FP4">
            <v>175.29</v>
          </cell>
          <cell r="FQ4">
            <v>1.0845E-2</v>
          </cell>
          <cell r="FR4">
            <v>1.9</v>
          </cell>
          <cell r="FS4">
            <v>211.19</v>
          </cell>
          <cell r="FT4">
            <v>0.17</v>
          </cell>
          <cell r="FU4">
            <v>35.9</v>
          </cell>
          <cell r="GD4">
            <v>420</v>
          </cell>
          <cell r="GE4">
            <v>36328</v>
          </cell>
          <cell r="GF4">
            <v>35908</v>
          </cell>
          <cell r="GG4">
            <v>1</v>
          </cell>
          <cell r="HU4">
            <v>384</v>
          </cell>
          <cell r="HY4">
            <v>493</v>
          </cell>
          <cell r="IC4">
            <v>590</v>
          </cell>
          <cell r="IG4">
            <v>493</v>
          </cell>
          <cell r="IK4">
            <v>401</v>
          </cell>
          <cell r="IO4">
            <v>523</v>
          </cell>
          <cell r="IS4">
            <v>528</v>
          </cell>
          <cell r="IW4">
            <v>449</v>
          </cell>
        </row>
        <row r="5">
          <cell r="A5" t="str">
            <v/>
          </cell>
          <cell r="B5" t="str">
            <v>10/489076-0</v>
          </cell>
          <cell r="C5" t="str">
            <v>Marcilio Dias</v>
          </cell>
          <cell r="F5" t="str">
            <v>energisa_ms</v>
          </cell>
          <cell r="G5" t="str">
            <v>Seac</v>
          </cell>
          <cell r="H5" t="str">
            <v>Igreja do Evangelho Quadrangular</v>
          </cell>
          <cell r="I5">
            <v>45809</v>
          </cell>
          <cell r="J5" t="str">
            <v>COMERCIAL - TEMPLOS RELIGIOSOS</v>
          </cell>
          <cell r="K5" t="str">
            <v>79370000</v>
          </cell>
          <cell r="L5" t="str">
            <v>MS</v>
          </cell>
          <cell r="M5" t="str">
            <v>LADARIO</v>
          </cell>
          <cell r="N5" t="str">
            <v>CENTRO</v>
          </cell>
          <cell r="O5" t="str">
            <v>RUA MARCILIO DIAS, 939 - 10.004.03.080000</v>
          </cell>
          <cell r="P5">
            <v>45813</v>
          </cell>
          <cell r="Q5" t="str">
            <v>B - B3</v>
          </cell>
          <cell r="R5" t="str">
            <v>62955505016080</v>
          </cell>
          <cell r="U5">
            <v>45783</v>
          </cell>
          <cell r="V5">
            <v>45812</v>
          </cell>
          <cell r="W5">
            <v>45842</v>
          </cell>
          <cell r="X5">
            <v>45824</v>
          </cell>
          <cell r="Y5" t="str">
            <v/>
          </cell>
          <cell r="AA5" t="str">
            <v>010.611.727-002</v>
          </cell>
          <cell r="AB5" t="str">
            <v>trifasico</v>
          </cell>
          <cell r="AC5" t="str">
            <v>convencional</v>
          </cell>
          <cell r="AD5">
            <v>339.91</v>
          </cell>
          <cell r="AF5" t="str">
            <v>IGREJA DO EVANGELHO QUADRANGULAR</v>
          </cell>
          <cell r="AL5">
            <v>435</v>
          </cell>
          <cell r="AM5">
            <v>1.155123650296064</v>
          </cell>
          <cell r="AN5">
            <v>502.47878787878784</v>
          </cell>
          <cell r="AO5">
            <v>1.1264367816091954</v>
          </cell>
          <cell r="AX5">
            <v>237</v>
          </cell>
          <cell r="AY5">
            <v>0.99822273366577163</v>
          </cell>
          <cell r="AZ5">
            <v>-236.57878787878786</v>
          </cell>
          <cell r="BA5">
            <v>1.1264135021097046</v>
          </cell>
          <cell r="DR5">
            <v>237</v>
          </cell>
          <cell r="DS5">
            <v>1.1551003707965732</v>
          </cell>
          <cell r="DT5">
            <v>-273.75878787878787</v>
          </cell>
          <cell r="DU5">
            <v>1.1264135021097046</v>
          </cell>
          <cell r="ET5">
            <v>237</v>
          </cell>
          <cell r="EX5">
            <v>0</v>
          </cell>
          <cell r="EZ5">
            <v>5.68</v>
          </cell>
          <cell r="FA5">
            <v>74.010000000000005</v>
          </cell>
          <cell r="FL5">
            <v>37.18</v>
          </cell>
          <cell r="FM5">
            <v>189.83</v>
          </cell>
          <cell r="FN5">
            <v>4.9954999999999999E-2</v>
          </cell>
          <cell r="FO5">
            <v>9.48</v>
          </cell>
          <cell r="FP5">
            <v>189.83</v>
          </cell>
          <cell r="FQ5">
            <v>1.0845E-2</v>
          </cell>
          <cell r="FR5">
            <v>2.06</v>
          </cell>
          <cell r="FS5">
            <v>228.72</v>
          </cell>
          <cell r="FT5">
            <v>0.17</v>
          </cell>
          <cell r="FU5">
            <v>38.880000000000003</v>
          </cell>
          <cell r="GD5">
            <v>435</v>
          </cell>
          <cell r="GE5">
            <v>54372</v>
          </cell>
          <cell r="GF5">
            <v>53937</v>
          </cell>
          <cell r="GG5">
            <v>1</v>
          </cell>
          <cell r="HU5">
            <v>538</v>
          </cell>
          <cell r="HY5">
            <v>470</v>
          </cell>
          <cell r="IC5">
            <v>606</v>
          </cell>
          <cell r="IG5">
            <v>522</v>
          </cell>
          <cell r="IK5">
            <v>534</v>
          </cell>
          <cell r="IO5">
            <v>397</v>
          </cell>
          <cell r="IS5">
            <v>496</v>
          </cell>
          <cell r="IW5">
            <v>554</v>
          </cell>
        </row>
        <row r="6">
          <cell r="A6" t="str">
            <v/>
          </cell>
          <cell r="B6" t="str">
            <v>10/41548-9</v>
          </cell>
          <cell r="C6" t="str">
            <v>2690</v>
          </cell>
          <cell r="F6" t="str">
            <v>energisa_ms</v>
          </cell>
          <cell r="G6" t="str">
            <v>2690</v>
          </cell>
          <cell r="H6" t="str">
            <v>Igreja do Evangelho Quadrangular</v>
          </cell>
          <cell r="I6">
            <v>45809</v>
          </cell>
          <cell r="J6" t="str">
            <v>COMERCIAL - TEMPLOS RELIGIOSOS</v>
          </cell>
          <cell r="K6" t="str">
            <v>79833085</v>
          </cell>
          <cell r="L6" t="str">
            <v>MS</v>
          </cell>
          <cell r="M6" t="str">
            <v>DOURADOS</v>
          </cell>
          <cell r="N6" t="str">
            <v>JARDIM MARACANA</v>
          </cell>
          <cell r="O6" t="str">
            <v>RUA JOAO VICENTE FERREIRA, 6715 - 05.010.05.262000</v>
          </cell>
          <cell r="P6">
            <v>45811</v>
          </cell>
          <cell r="Q6" t="str">
            <v>B - B3</v>
          </cell>
          <cell r="R6" t="str">
            <v>62955505269026</v>
          </cell>
          <cell r="U6">
            <v>45779</v>
          </cell>
          <cell r="V6">
            <v>45810</v>
          </cell>
          <cell r="W6">
            <v>45840</v>
          </cell>
          <cell r="X6">
            <v>45820</v>
          </cell>
          <cell r="Y6" t="str">
            <v/>
          </cell>
          <cell r="AA6" t="str">
            <v>010.565.032-002</v>
          </cell>
          <cell r="AB6" t="str">
            <v>bifasico</v>
          </cell>
          <cell r="AC6" t="str">
            <v>convencional</v>
          </cell>
          <cell r="AD6">
            <v>109.54</v>
          </cell>
          <cell r="AE6" t="str">
            <v>34191.09115 26785.212932 85972.140009 8 11100000010954</v>
          </cell>
          <cell r="AF6" t="str">
            <v>IGREJA DO E QUADRANGULAR</v>
          </cell>
          <cell r="AL6">
            <v>197</v>
          </cell>
          <cell r="AM6">
            <v>1.1530626057529612</v>
          </cell>
          <cell r="AN6">
            <v>227.15333333333334</v>
          </cell>
          <cell r="AO6">
            <v>1.1263959390862945</v>
          </cell>
          <cell r="AX6">
            <v>158</v>
          </cell>
          <cell r="AY6">
            <v>0.99616033755274269</v>
          </cell>
          <cell r="AZ6">
            <v>-157.39333333333335</v>
          </cell>
          <cell r="BA6">
            <v>1.1263924050632912</v>
          </cell>
          <cell r="DR6">
            <v>158</v>
          </cell>
          <cell r="DS6">
            <v>1.1530590717299578</v>
          </cell>
          <cell r="DT6">
            <v>-182.18333333333334</v>
          </cell>
          <cell r="DU6">
            <v>1.1263924050632912</v>
          </cell>
          <cell r="ET6">
            <v>158</v>
          </cell>
          <cell r="EX6">
            <v>0</v>
          </cell>
          <cell r="EZ6">
            <v>1.04</v>
          </cell>
          <cell r="FA6">
            <v>39.78</v>
          </cell>
          <cell r="FL6">
            <v>24.79</v>
          </cell>
          <cell r="FM6">
            <v>37.340000000000003</v>
          </cell>
          <cell r="FN6">
            <v>4.9954999999999999E-2</v>
          </cell>
          <cell r="FO6">
            <v>1.86</v>
          </cell>
          <cell r="FP6">
            <v>37.340000000000003</v>
          </cell>
          <cell r="FQ6">
            <v>1.0845E-2</v>
          </cell>
          <cell r="FR6">
            <v>0.42</v>
          </cell>
          <cell r="FS6">
            <v>44.97</v>
          </cell>
          <cell r="FT6">
            <v>0.17</v>
          </cell>
          <cell r="FU6">
            <v>7.64</v>
          </cell>
          <cell r="GD6">
            <v>197</v>
          </cell>
          <cell r="GE6">
            <v>55741</v>
          </cell>
          <cell r="GF6">
            <v>55544</v>
          </cell>
          <cell r="GG6">
            <v>1</v>
          </cell>
          <cell r="HU6">
            <v>286</v>
          </cell>
          <cell r="HY6">
            <v>289</v>
          </cell>
          <cell r="IC6">
            <v>338</v>
          </cell>
          <cell r="IG6">
            <v>425</v>
          </cell>
          <cell r="IK6">
            <v>318</v>
          </cell>
          <cell r="IO6">
            <v>422</v>
          </cell>
          <cell r="IS6">
            <v>340</v>
          </cell>
          <cell r="IW6">
            <v>313</v>
          </cell>
        </row>
        <row r="7">
          <cell r="A7" t="str">
            <v/>
          </cell>
          <cell r="B7" t="str">
            <v>10/1288241-1</v>
          </cell>
          <cell r="C7" t="str">
            <v>Planalto 3358</v>
          </cell>
          <cell r="F7" t="str">
            <v>energisa_ms</v>
          </cell>
          <cell r="G7" t="str">
            <v>Planalto 3358</v>
          </cell>
          <cell r="H7" t="str">
            <v>Igreja do Evangelho Quadrangular</v>
          </cell>
          <cell r="I7">
            <v>45809</v>
          </cell>
          <cell r="J7" t="str">
            <v>COMERCIAL - TEMPLOS RELIGIOSOS</v>
          </cell>
          <cell r="K7" t="str">
            <v>79009790</v>
          </cell>
          <cell r="L7" t="str">
            <v>MS</v>
          </cell>
          <cell r="M7" t="str">
            <v>CAMPO GRANDE</v>
          </cell>
          <cell r="N7" t="str">
            <v>VILA PLANALTO</v>
          </cell>
          <cell r="O7" t="str">
            <v>AVENIDA TAMANDARE, 1036 - 02.104.21.198001</v>
          </cell>
          <cell r="P7">
            <v>45812</v>
          </cell>
          <cell r="Q7" t="str">
            <v>B - B3</v>
          </cell>
          <cell r="R7" t="str">
            <v>62955505335851</v>
          </cell>
          <cell r="U7">
            <v>45782</v>
          </cell>
          <cell r="V7">
            <v>45811</v>
          </cell>
          <cell r="W7">
            <v>45841</v>
          </cell>
          <cell r="X7">
            <v>45834</v>
          </cell>
          <cell r="Y7" t="str">
            <v/>
          </cell>
          <cell r="AA7" t="str">
            <v>010.584.485-002</v>
          </cell>
          <cell r="AB7" t="str">
            <v>trifasico</v>
          </cell>
          <cell r="AC7" t="str">
            <v>convencional</v>
          </cell>
          <cell r="AD7">
            <v>159.38</v>
          </cell>
          <cell r="AE7" t="str">
            <v>34191.09545 65026.590276 52186.260007 6 11240000015938</v>
          </cell>
          <cell r="AF7" t="str">
            <v>IGREJA DO EVANGELHO QUADRANGULAR</v>
          </cell>
          <cell r="AL7">
            <v>203</v>
          </cell>
          <cell r="AM7">
            <v>1.1541458763705705</v>
          </cell>
          <cell r="AN7">
            <v>234.29161290322583</v>
          </cell>
          <cell r="AO7">
            <v>1.1264039408866995</v>
          </cell>
          <cell r="AX7">
            <v>79</v>
          </cell>
          <cell r="AY7">
            <v>0.99723560636994713</v>
          </cell>
          <cell r="AZ7">
            <v>-78.78161290322582</v>
          </cell>
          <cell r="BA7">
            <v>1.1263291139240508</v>
          </cell>
          <cell r="DR7">
            <v>79</v>
          </cell>
          <cell r="DS7">
            <v>1.1540710494079218</v>
          </cell>
          <cell r="DT7">
            <v>-91.171612903225821</v>
          </cell>
          <cell r="DU7">
            <v>1.1263291139240508</v>
          </cell>
          <cell r="ET7">
            <v>79</v>
          </cell>
          <cell r="EX7">
            <v>0</v>
          </cell>
          <cell r="EZ7">
            <v>3.44</v>
          </cell>
          <cell r="FC7">
            <v>3.87</v>
          </cell>
          <cell r="FL7">
            <v>12.39</v>
          </cell>
          <cell r="FM7">
            <v>118.79</v>
          </cell>
          <cell r="FN7">
            <v>4.9954999999999999E-2</v>
          </cell>
          <cell r="FO7">
            <v>5.93</v>
          </cell>
          <cell r="FP7">
            <v>118.79</v>
          </cell>
          <cell r="FQ7">
            <v>1.0845E-2</v>
          </cell>
          <cell r="FR7">
            <v>1.3</v>
          </cell>
          <cell r="FS7">
            <v>143.12</v>
          </cell>
          <cell r="FT7">
            <v>0.17</v>
          </cell>
          <cell r="FU7">
            <v>24.33</v>
          </cell>
          <cell r="GD7">
            <v>203</v>
          </cell>
          <cell r="GE7">
            <v>23376</v>
          </cell>
          <cell r="GF7">
            <v>23173</v>
          </cell>
          <cell r="GG7">
            <v>1</v>
          </cell>
          <cell r="HU7">
            <v>250</v>
          </cell>
          <cell r="HY7">
            <v>252</v>
          </cell>
          <cell r="IC7">
            <v>248</v>
          </cell>
          <cell r="IG7">
            <v>253</v>
          </cell>
          <cell r="IK7">
            <v>205</v>
          </cell>
          <cell r="IO7">
            <v>226</v>
          </cell>
          <cell r="IS7">
            <v>257</v>
          </cell>
          <cell r="IW7">
            <v>219</v>
          </cell>
        </row>
        <row r="8">
          <cell r="A8" t="str">
            <v/>
          </cell>
          <cell r="B8" t="str">
            <v>10/987178-1</v>
          </cell>
          <cell r="C8" t="str">
            <v>Jardim Vitória 6276</v>
          </cell>
          <cell r="F8" t="str">
            <v>energisa_ms</v>
          </cell>
          <cell r="G8" t="str">
            <v>Jardim Vitória 6276</v>
          </cell>
          <cell r="H8" t="str">
            <v>Igreja do Evangelho Quadrangular</v>
          </cell>
          <cell r="I8">
            <v>45809</v>
          </cell>
          <cell r="J8" t="str">
            <v>COMERCIAL - OUTROS SERVIÇOS E OUTRAS ATIVIDADES</v>
          </cell>
          <cell r="K8" t="str">
            <v>79906766</v>
          </cell>
          <cell r="L8" t="str">
            <v>MS</v>
          </cell>
          <cell r="M8" t="str">
            <v>PONTA PORA</v>
          </cell>
          <cell r="N8" t="str">
            <v>VILA VITORIA</v>
          </cell>
          <cell r="O8" t="str">
            <v>RUA JOAO PONCE DE ARRUDA, 697 - 09.032.06.230000</v>
          </cell>
          <cell r="P8">
            <v>45812</v>
          </cell>
          <cell r="Q8" t="str">
            <v>B - B3</v>
          </cell>
          <cell r="R8" t="str">
            <v>62955505015512</v>
          </cell>
          <cell r="U8">
            <v>45782</v>
          </cell>
          <cell r="V8">
            <v>45811</v>
          </cell>
          <cell r="W8">
            <v>45841</v>
          </cell>
          <cell r="X8">
            <v>45821</v>
          </cell>
          <cell r="Y8" t="str">
            <v/>
          </cell>
          <cell r="AA8" t="str">
            <v>010.583.837-002</v>
          </cell>
          <cell r="AB8" t="str">
            <v>trifasico</v>
          </cell>
          <cell r="AC8" t="str">
            <v>convencional</v>
          </cell>
          <cell r="AD8">
            <v>162.86000000000001</v>
          </cell>
          <cell r="AE8" t="str">
            <v>34191.09115 29613.642932 85972.140009 9 11110000016286</v>
          </cell>
          <cell r="AF8" t="str">
            <v>IGREJA DO EVANGELHO QUADRANGULAR</v>
          </cell>
          <cell r="AI8">
            <v>100</v>
          </cell>
          <cell r="AJ8">
            <v>1.1264000000000001</v>
          </cell>
          <cell r="AK8">
            <v>112.64</v>
          </cell>
          <cell r="AL8">
            <v>0</v>
          </cell>
          <cell r="AM8">
            <v>1.1264000000000001</v>
          </cell>
          <cell r="AN8">
            <v>0</v>
          </cell>
          <cell r="EZ8">
            <v>2.7399999999999998</v>
          </cell>
          <cell r="FA8">
            <v>44.28</v>
          </cell>
          <cell r="FC8">
            <v>3.2</v>
          </cell>
          <cell r="FM8">
            <v>95.74</v>
          </cell>
          <cell r="FN8">
            <v>4.9954999999999999E-2</v>
          </cell>
          <cell r="FO8">
            <v>4.78</v>
          </cell>
          <cell r="FP8">
            <v>95.74</v>
          </cell>
          <cell r="FQ8">
            <v>1.0845E-2</v>
          </cell>
          <cell r="FR8">
            <v>1.03</v>
          </cell>
          <cell r="FS8">
            <v>115.38</v>
          </cell>
          <cell r="FT8">
            <v>0.17</v>
          </cell>
          <cell r="FU8">
            <v>19.61</v>
          </cell>
          <cell r="GD8">
            <v>80</v>
          </cell>
          <cell r="GE8">
            <v>24221</v>
          </cell>
          <cell r="GF8">
            <v>24141</v>
          </cell>
          <cell r="GG8">
            <v>1</v>
          </cell>
          <cell r="HU8">
            <v>121</v>
          </cell>
          <cell r="HY8">
            <v>113</v>
          </cell>
          <cell r="IC8">
            <v>137</v>
          </cell>
          <cell r="IG8">
            <v>110</v>
          </cell>
          <cell r="IK8">
            <v>112</v>
          </cell>
          <cell r="IO8">
            <v>135</v>
          </cell>
          <cell r="IS8">
            <v>120</v>
          </cell>
          <cell r="IW8">
            <v>97</v>
          </cell>
        </row>
        <row r="9">
          <cell r="A9" t="str">
            <v/>
          </cell>
          <cell r="B9" t="str">
            <v>10/2599101-9</v>
          </cell>
          <cell r="C9" t="str">
            <v>Administrativa</v>
          </cell>
          <cell r="F9" t="str">
            <v>energisa_ms</v>
          </cell>
          <cell r="G9" t="str">
            <v>Administrativa</v>
          </cell>
          <cell r="H9" t="str">
            <v>Igreja do Evangelho Quadrangular</v>
          </cell>
          <cell r="I9">
            <v>45809</v>
          </cell>
          <cell r="J9" t="str">
            <v>COMERCIAL - TEMPLOS RELIGIOSOS</v>
          </cell>
          <cell r="K9" t="str">
            <v>79006001</v>
          </cell>
          <cell r="L9" t="str">
            <v>MS</v>
          </cell>
          <cell r="M9" t="str">
            <v>CAMPO GRANDE</v>
          </cell>
          <cell r="N9" t="str">
            <v>GUANANDI</v>
          </cell>
          <cell r="O9" t="str">
            <v>AVENIDA BANDEIRANTES, 0</v>
          </cell>
          <cell r="P9">
            <v>45813</v>
          </cell>
          <cell r="Q9" t="str">
            <v>B - B3</v>
          </cell>
          <cell r="R9" t="str">
            <v>62955505379395</v>
          </cell>
          <cell r="U9">
            <v>45783</v>
          </cell>
          <cell r="V9">
            <v>45812</v>
          </cell>
          <cell r="W9">
            <v>45842</v>
          </cell>
          <cell r="X9">
            <v>45821</v>
          </cell>
          <cell r="Y9" t="str">
            <v/>
          </cell>
          <cell r="AA9" t="str">
            <v>010.619.007-002</v>
          </cell>
          <cell r="AB9" t="str">
            <v>trifasico</v>
          </cell>
          <cell r="AC9" t="str">
            <v>convencional</v>
          </cell>
          <cell r="AD9">
            <v>121.93</v>
          </cell>
          <cell r="AE9" t="str">
            <v>34191.09545 66603.660276 52186.260007 1 11110000012193</v>
          </cell>
          <cell r="AF9" t="str">
            <v>IGREJA DO EVANGELHO QUADRANGULAR</v>
          </cell>
          <cell r="AL9">
            <v>462</v>
          </cell>
          <cell r="AM9">
            <v>1.1552285714285713</v>
          </cell>
          <cell r="AN9">
            <v>533.71559999999988</v>
          </cell>
          <cell r="AO9">
            <v>1.1264285714285713</v>
          </cell>
          <cell r="AX9">
            <v>362</v>
          </cell>
          <cell r="AY9">
            <v>1.1552364640883976</v>
          </cell>
          <cell r="AZ9">
            <v>-418.19559999999996</v>
          </cell>
          <cell r="BA9">
            <v>1.1264364640883977</v>
          </cell>
          <cell r="DR9">
            <v>362</v>
          </cell>
          <cell r="DS9">
            <v>1.1552364640883976</v>
          </cell>
          <cell r="DT9">
            <v>-418.19559999999996</v>
          </cell>
          <cell r="DU9">
            <v>1.1264364640883977</v>
          </cell>
          <cell r="ET9">
            <v>362</v>
          </cell>
          <cell r="EX9">
            <v>691</v>
          </cell>
          <cell r="EZ9">
            <v>2.88</v>
          </cell>
          <cell r="FC9">
            <v>6.4099999999999993</v>
          </cell>
          <cell r="FM9">
            <v>95.88</v>
          </cell>
          <cell r="FN9">
            <v>4.9954999999999999E-2</v>
          </cell>
          <cell r="FO9">
            <v>4.79</v>
          </cell>
          <cell r="FP9">
            <v>95.88</v>
          </cell>
          <cell r="FQ9">
            <v>1.0845E-2</v>
          </cell>
          <cell r="FR9">
            <v>1.04</v>
          </cell>
          <cell r="FS9">
            <v>115.52</v>
          </cell>
          <cell r="FT9">
            <v>0.17</v>
          </cell>
          <cell r="FU9">
            <v>19.63</v>
          </cell>
          <cell r="GD9">
            <v>462</v>
          </cell>
          <cell r="GE9">
            <v>11369</v>
          </cell>
          <cell r="GF9">
            <v>10907</v>
          </cell>
          <cell r="GG9">
            <v>1</v>
          </cell>
          <cell r="HU9">
            <v>675</v>
          </cell>
          <cell r="HY9">
            <v>927</v>
          </cell>
          <cell r="IC9">
            <v>1430</v>
          </cell>
          <cell r="IG9">
            <v>820</v>
          </cell>
          <cell r="IK9">
            <v>763</v>
          </cell>
          <cell r="IO9">
            <v>1140</v>
          </cell>
          <cell r="IS9">
            <v>1181</v>
          </cell>
          <cell r="IW9">
            <v>1060</v>
          </cell>
        </row>
        <row r="10">
          <cell r="A10" t="str">
            <v/>
          </cell>
          <cell r="B10" t="str">
            <v>10/218777-1</v>
          </cell>
          <cell r="C10" t="str">
            <v>Sidrolandia 170 - Igreja</v>
          </cell>
          <cell r="F10" t="str">
            <v>energisa_ms</v>
          </cell>
          <cell r="G10" t="str">
            <v>Sidrolandia 170 - Casa Pastoral</v>
          </cell>
          <cell r="H10" t="str">
            <v>Igreja do Evangelho Quadrangular</v>
          </cell>
          <cell r="I10">
            <v>45809</v>
          </cell>
          <cell r="J10" t="str">
            <v>RESIDENCIAL - RESIDENCIAL</v>
          </cell>
          <cell r="K10" t="str">
            <v>79170000</v>
          </cell>
          <cell r="L10" t="str">
            <v>MS</v>
          </cell>
          <cell r="M10" t="str">
            <v>SIDROLANDIA</v>
          </cell>
          <cell r="N10" t="str">
            <v>CENTRO</v>
          </cell>
          <cell r="O10" t="str">
            <v>RUA AMAZONAS, 171 - 11.053.01.501000</v>
          </cell>
          <cell r="P10">
            <v>45813</v>
          </cell>
          <cell r="Q10" t="str">
            <v>B - B1</v>
          </cell>
          <cell r="R10" t="str">
            <v>62955505017051</v>
          </cell>
          <cell r="U10">
            <v>45783</v>
          </cell>
          <cell r="V10">
            <v>45812</v>
          </cell>
          <cell r="W10">
            <v>45842</v>
          </cell>
          <cell r="X10">
            <v>45859</v>
          </cell>
          <cell r="Y10" t="str">
            <v/>
          </cell>
          <cell r="AA10" t="str">
            <v>010.610.602-002</v>
          </cell>
          <cell r="AB10" t="str">
            <v>bifasico</v>
          </cell>
          <cell r="AC10" t="str">
            <v>convencional</v>
          </cell>
          <cell r="AD10">
            <v>56.73</v>
          </cell>
          <cell r="AE10" t="str">
            <v>34191.09115 32579.452932 85972.140009 3 11490000005673</v>
          </cell>
          <cell r="AF10" t="str">
            <v>IGREJA DO EVANGELHO QUADRANGULAR</v>
          </cell>
          <cell r="AL10">
            <v>90</v>
          </cell>
          <cell r="AM10">
            <v>1.1548115942028987</v>
          </cell>
          <cell r="AN10">
            <v>103.93304347826088</v>
          </cell>
          <cell r="AO10">
            <v>1.1263333333333334</v>
          </cell>
          <cell r="AX10">
            <v>44</v>
          </cell>
          <cell r="AY10">
            <v>1.072796442687747</v>
          </cell>
          <cell r="AZ10">
            <v>-47.203043478260867</v>
          </cell>
          <cell r="BA10">
            <v>1.1261363636363635</v>
          </cell>
          <cell r="DR10">
            <v>44</v>
          </cell>
          <cell r="DS10">
            <v>1.1546146245059288</v>
          </cell>
          <cell r="DT10">
            <v>-50.803043478260868</v>
          </cell>
          <cell r="DU10">
            <v>1.1261363636363635</v>
          </cell>
          <cell r="ET10">
            <v>44</v>
          </cell>
          <cell r="EZ10">
            <v>1.31</v>
          </cell>
          <cell r="FL10">
            <v>3.6</v>
          </cell>
          <cell r="FM10">
            <v>44.13</v>
          </cell>
          <cell r="FN10">
            <v>4.9954999999999999E-2</v>
          </cell>
          <cell r="FO10">
            <v>2.2000000000000002</v>
          </cell>
          <cell r="FP10">
            <v>44.13</v>
          </cell>
          <cell r="FQ10">
            <v>1.0845E-2</v>
          </cell>
          <cell r="FR10">
            <v>0.5</v>
          </cell>
          <cell r="FS10">
            <v>53.13</v>
          </cell>
          <cell r="FT10">
            <v>0.17</v>
          </cell>
          <cell r="FU10">
            <v>9.0299999999999994</v>
          </cell>
          <cell r="GD10">
            <v>90</v>
          </cell>
          <cell r="GE10">
            <v>41045</v>
          </cell>
          <cell r="GF10">
            <v>40955</v>
          </cell>
          <cell r="GG10">
            <v>1</v>
          </cell>
          <cell r="HU10">
            <v>124</v>
          </cell>
          <cell r="HY10">
            <v>171</v>
          </cell>
          <cell r="IC10">
            <v>151</v>
          </cell>
          <cell r="IG10">
            <v>179</v>
          </cell>
          <cell r="IK10">
            <v>148</v>
          </cell>
          <cell r="IO10">
            <v>158</v>
          </cell>
          <cell r="IS10">
            <v>200</v>
          </cell>
          <cell r="IW10">
            <v>223</v>
          </cell>
        </row>
        <row r="11">
          <cell r="A11" t="str">
            <v/>
          </cell>
          <cell r="B11" t="str">
            <v>10/1081489-5</v>
          </cell>
          <cell r="C11" t="str">
            <v>Cong. Alto Maracajú</v>
          </cell>
          <cell r="F11" t="str">
            <v>energisa_ms</v>
          </cell>
          <cell r="G11" t="str">
            <v>Cong. Alto Maracajú</v>
          </cell>
          <cell r="H11" t="str">
            <v>Igreja do Evangelho Quadrangular</v>
          </cell>
          <cell r="I11">
            <v>45809</v>
          </cell>
          <cell r="J11" t="str">
            <v>COMERCIAL - OUTROS SERVIÇOS E OUTRAS ATIVIDADES</v>
          </cell>
          <cell r="K11" t="str">
            <v>79150000</v>
          </cell>
          <cell r="L11" t="str">
            <v>MS</v>
          </cell>
          <cell r="M11" t="str">
            <v>MARACAJU</v>
          </cell>
          <cell r="N11" t="str">
            <v>ALTO MARACAJU</v>
          </cell>
          <cell r="O11" t="str">
            <v>RUA PRUDENTE DE MORAES, 651 - 08.031.13.593000</v>
          </cell>
          <cell r="P11">
            <v>45813</v>
          </cell>
          <cell r="Q11" t="str">
            <v>B - B3</v>
          </cell>
          <cell r="R11" t="str">
            <v>62955505016918</v>
          </cell>
          <cell r="U11">
            <v>45783</v>
          </cell>
          <cell r="V11">
            <v>45812</v>
          </cell>
          <cell r="W11">
            <v>45842</v>
          </cell>
          <cell r="X11">
            <v>45853</v>
          </cell>
          <cell r="Y11" t="str">
            <v/>
          </cell>
          <cell r="AA11" t="str">
            <v>010.612.469-002</v>
          </cell>
          <cell r="AB11" t="str">
            <v>bifasico</v>
          </cell>
          <cell r="AC11" t="str">
            <v>convencional</v>
          </cell>
          <cell r="AD11">
            <v>306.95</v>
          </cell>
          <cell r="AE11" t="str">
            <v>34191.09115 32722.822932 85972.140009 7 11430000030695</v>
          </cell>
          <cell r="AF11" t="str">
            <v>IGREJA DO EVANGELHO QUADRANGULAR</v>
          </cell>
          <cell r="AL11">
            <v>427</v>
          </cell>
          <cell r="AM11">
            <v>1.1551010723530137</v>
          </cell>
          <cell r="AN11">
            <v>493.22815789473685</v>
          </cell>
          <cell r="AO11">
            <v>1.1264168618266979</v>
          </cell>
          <cell r="AX11">
            <v>237</v>
          </cell>
          <cell r="AY11">
            <v>0.99822007550521863</v>
          </cell>
          <cell r="AZ11">
            <v>-236.57815789473682</v>
          </cell>
          <cell r="BA11">
            <v>1.1264135021097046</v>
          </cell>
          <cell r="DR11">
            <v>237</v>
          </cell>
          <cell r="DS11">
            <v>1.1550977126360205</v>
          </cell>
          <cell r="DT11">
            <v>-273.75815789473683</v>
          </cell>
          <cell r="DU11">
            <v>1.1264135021097046</v>
          </cell>
          <cell r="ET11">
            <v>237</v>
          </cell>
          <cell r="EX11">
            <v>0</v>
          </cell>
          <cell r="EZ11">
            <v>5.45</v>
          </cell>
          <cell r="FA11">
            <v>45.46</v>
          </cell>
          <cell r="FC11">
            <v>4.84</v>
          </cell>
          <cell r="FL11">
            <v>37.18</v>
          </cell>
          <cell r="FM11">
            <v>182.17</v>
          </cell>
          <cell r="FN11">
            <v>4.9954999999999999E-2</v>
          </cell>
          <cell r="FO11">
            <v>9.1</v>
          </cell>
          <cell r="FP11">
            <v>182.17</v>
          </cell>
          <cell r="FQ11">
            <v>1.0845E-2</v>
          </cell>
          <cell r="FR11">
            <v>1.98</v>
          </cell>
          <cell r="FS11">
            <v>219.47</v>
          </cell>
          <cell r="FT11">
            <v>0.17</v>
          </cell>
          <cell r="FU11">
            <v>37.299999999999997</v>
          </cell>
          <cell r="GD11">
            <v>427</v>
          </cell>
          <cell r="GE11">
            <v>51730</v>
          </cell>
          <cell r="GF11">
            <v>51303</v>
          </cell>
          <cell r="GG11">
            <v>1</v>
          </cell>
          <cell r="HU11">
            <v>543</v>
          </cell>
          <cell r="HY11">
            <v>495</v>
          </cell>
          <cell r="IC11">
            <v>651</v>
          </cell>
          <cell r="IG11">
            <v>785</v>
          </cell>
          <cell r="IK11">
            <v>634</v>
          </cell>
          <cell r="IO11">
            <v>683</v>
          </cell>
          <cell r="IS11">
            <v>546</v>
          </cell>
          <cell r="IW11">
            <v>541</v>
          </cell>
        </row>
        <row r="12">
          <cell r="A12" t="str">
            <v/>
          </cell>
          <cell r="B12" t="str">
            <v>10/511753-6</v>
          </cell>
          <cell r="C12" t="str">
            <v>Seac</v>
          </cell>
          <cell r="F12" t="str">
            <v>energisa_ms</v>
          </cell>
          <cell r="G12" t="str">
            <v>Seac</v>
          </cell>
          <cell r="H12" t="str">
            <v>Igreja do Evangelho Quadrangular</v>
          </cell>
          <cell r="I12">
            <v>45809</v>
          </cell>
          <cell r="J12" t="str">
            <v>COMERCIAL - TEMPLOS RELIGIOSOS</v>
          </cell>
          <cell r="K12" t="str">
            <v>79370000</v>
          </cell>
          <cell r="L12" t="str">
            <v>MS</v>
          </cell>
          <cell r="M12" t="str">
            <v>LADARIO</v>
          </cell>
          <cell r="N12" t="str">
            <v>CENTRO</v>
          </cell>
          <cell r="O12" t="str">
            <v>RUA PEDRO FELICIDADE, 351 - 04.004.01.200077</v>
          </cell>
          <cell r="P12">
            <v>45813</v>
          </cell>
          <cell r="Q12" t="str">
            <v>B - B3</v>
          </cell>
          <cell r="R12" t="str">
            <v>62955505016080</v>
          </cell>
          <cell r="U12">
            <v>45783</v>
          </cell>
          <cell r="V12">
            <v>45812</v>
          </cell>
          <cell r="W12">
            <v>45842</v>
          </cell>
          <cell r="X12">
            <v>45831</v>
          </cell>
          <cell r="Y12" t="str">
            <v/>
          </cell>
          <cell r="AA12" t="str">
            <v>010.611.821-002</v>
          </cell>
          <cell r="AB12" t="str">
            <v>bifasico</v>
          </cell>
          <cell r="AC12" t="str">
            <v>convencional</v>
          </cell>
          <cell r="AD12">
            <v>116.85</v>
          </cell>
          <cell r="AF12" t="str">
            <v>IGREJA DO EVANGELHO QUADRANGULAR</v>
          </cell>
          <cell r="AL12">
            <v>247</v>
          </cell>
          <cell r="AM12">
            <v>1.1558967064230223</v>
          </cell>
          <cell r="AN12">
            <v>285.50648648648649</v>
          </cell>
          <cell r="AO12">
            <v>1.1264372469635628</v>
          </cell>
          <cell r="AX12">
            <v>210</v>
          </cell>
          <cell r="AY12">
            <v>1.0967927927927927</v>
          </cell>
          <cell r="AZ12">
            <v>-230.32648648648649</v>
          </cell>
          <cell r="BA12">
            <v>1.1263333333333334</v>
          </cell>
          <cell r="DR12">
            <v>210</v>
          </cell>
          <cell r="DS12">
            <v>1.1557927927927929</v>
          </cell>
          <cell r="DT12">
            <v>-242.7164864864865</v>
          </cell>
          <cell r="DU12">
            <v>1.1263333333333334</v>
          </cell>
          <cell r="ET12">
            <v>210</v>
          </cell>
          <cell r="EX12">
            <v>517</v>
          </cell>
          <cell r="EZ12">
            <v>1.0900000000000001</v>
          </cell>
          <cell r="FA12">
            <v>61.67</v>
          </cell>
          <cell r="FL12">
            <v>12.39</v>
          </cell>
          <cell r="FM12">
            <v>35.520000000000003</v>
          </cell>
          <cell r="FN12">
            <v>4.9954999999999999E-2</v>
          </cell>
          <cell r="FO12">
            <v>1.79</v>
          </cell>
          <cell r="FP12">
            <v>35.520000000000003</v>
          </cell>
          <cell r="FQ12">
            <v>1.0845E-2</v>
          </cell>
          <cell r="FR12">
            <v>0.4</v>
          </cell>
          <cell r="FS12">
            <v>42.79</v>
          </cell>
          <cell r="FT12">
            <v>0.17</v>
          </cell>
          <cell r="FU12">
            <v>7.27</v>
          </cell>
          <cell r="GD12">
            <v>247</v>
          </cell>
          <cell r="GE12">
            <v>7387</v>
          </cell>
          <cell r="GF12">
            <v>7140</v>
          </cell>
          <cell r="GG12">
            <v>1</v>
          </cell>
          <cell r="HU12">
            <v>193</v>
          </cell>
          <cell r="HY12">
            <v>226</v>
          </cell>
          <cell r="IC12">
            <v>317</v>
          </cell>
          <cell r="IG12">
            <v>321</v>
          </cell>
          <cell r="IK12">
            <v>251</v>
          </cell>
          <cell r="IO12">
            <v>253</v>
          </cell>
          <cell r="IS12">
            <v>265</v>
          </cell>
          <cell r="IW12">
            <v>233</v>
          </cell>
        </row>
        <row r="13">
          <cell r="A13" t="str">
            <v/>
          </cell>
          <cell r="B13" t="str">
            <v>10/3030784-7</v>
          </cell>
          <cell r="C13" t="str">
            <v>Alm. Tamandaré</v>
          </cell>
          <cell r="F13" t="str">
            <v>energisa_ms</v>
          </cell>
          <cell r="G13" t="str">
            <v>Seac</v>
          </cell>
          <cell r="H13" t="str">
            <v>Igreja do Evangelho Quadrangular</v>
          </cell>
          <cell r="I13">
            <v>45809</v>
          </cell>
          <cell r="J13" t="str">
            <v>COMERCIAL - TEMPLOS RELIGIOSOS</v>
          </cell>
          <cell r="K13" t="str">
            <v>79370000</v>
          </cell>
          <cell r="L13" t="str">
            <v>MS</v>
          </cell>
          <cell r="M13" t="str">
            <v>LADARIO</v>
          </cell>
          <cell r="N13" t="str">
            <v>CENTRO</v>
          </cell>
          <cell r="O13" t="str">
            <v>RUA SALDANHA DA GAMA, 15 - 02.004.21.543600</v>
          </cell>
          <cell r="P13">
            <v>45811</v>
          </cell>
          <cell r="Q13" t="str">
            <v>B - B3</v>
          </cell>
          <cell r="R13" t="str">
            <v>62955505016080</v>
          </cell>
          <cell r="U13">
            <v>45779</v>
          </cell>
          <cell r="V13">
            <v>45810</v>
          </cell>
          <cell r="W13">
            <v>45840</v>
          </cell>
          <cell r="X13">
            <v>45820</v>
          </cell>
          <cell r="Y13" t="str">
            <v/>
          </cell>
          <cell r="AA13" t="str">
            <v>010.569.980-002</v>
          </cell>
          <cell r="AB13" t="str">
            <v>trifasico</v>
          </cell>
          <cell r="AC13" t="str">
            <v>convencional</v>
          </cell>
          <cell r="AD13">
            <v>269.2</v>
          </cell>
          <cell r="AF13" t="str">
            <v>IGREJA DO EVANGELHO QUADRANGULAR</v>
          </cell>
          <cell r="AL13">
            <v>356</v>
          </cell>
          <cell r="AM13">
            <v>1.1528770287141075</v>
          </cell>
          <cell r="AN13">
            <v>410.42422222222228</v>
          </cell>
          <cell r="AO13">
            <v>1.126432584269663</v>
          </cell>
          <cell r="AX13">
            <v>176</v>
          </cell>
          <cell r="AY13">
            <v>1.1528080808080809</v>
          </cell>
          <cell r="AZ13">
            <v>-202.89422222222225</v>
          </cell>
          <cell r="BA13">
            <v>1.1263636363636365</v>
          </cell>
          <cell r="DR13">
            <v>176</v>
          </cell>
          <cell r="DS13">
            <v>1.1528080808080809</v>
          </cell>
          <cell r="DT13">
            <v>-202.89422222222225</v>
          </cell>
          <cell r="DU13">
            <v>1.1263636363636365</v>
          </cell>
          <cell r="ET13">
            <v>176</v>
          </cell>
          <cell r="EX13">
            <v>0</v>
          </cell>
          <cell r="EZ13">
            <v>4.76</v>
          </cell>
          <cell r="FA13">
            <v>61.67</v>
          </cell>
          <cell r="FM13">
            <v>172.25</v>
          </cell>
          <cell r="FN13">
            <v>4.9954999999999999E-2</v>
          </cell>
          <cell r="FO13">
            <v>8.61</v>
          </cell>
          <cell r="FP13">
            <v>172.25</v>
          </cell>
          <cell r="FQ13">
            <v>1.0845E-2</v>
          </cell>
          <cell r="FR13">
            <v>1.88</v>
          </cell>
          <cell r="FS13">
            <v>207.53</v>
          </cell>
          <cell r="FT13">
            <v>0.17</v>
          </cell>
          <cell r="FU13">
            <v>35.28</v>
          </cell>
          <cell r="GD13">
            <v>356</v>
          </cell>
          <cell r="GE13">
            <v>57703</v>
          </cell>
          <cell r="GF13">
            <v>57347</v>
          </cell>
          <cell r="GG13">
            <v>1</v>
          </cell>
          <cell r="HU13">
            <v>398</v>
          </cell>
          <cell r="HY13">
            <v>438</v>
          </cell>
          <cell r="IC13">
            <v>600</v>
          </cell>
          <cell r="IG13">
            <v>649</v>
          </cell>
          <cell r="IK13">
            <v>545</v>
          </cell>
          <cell r="IO13">
            <v>626</v>
          </cell>
          <cell r="IS13">
            <v>537</v>
          </cell>
          <cell r="IW13">
            <v>450</v>
          </cell>
        </row>
        <row r="14">
          <cell r="A14" t="str">
            <v/>
          </cell>
          <cell r="B14" t="str">
            <v>10/513413-5</v>
          </cell>
          <cell r="C14" t="str">
            <v>Cong. Guia Lopes</v>
          </cell>
          <cell r="F14" t="str">
            <v>energisa_ms</v>
          </cell>
          <cell r="G14" t="str">
            <v>Cong. Guia Lopes</v>
          </cell>
          <cell r="H14" t="str">
            <v>Igreja do Evangelho Quadrangular</v>
          </cell>
          <cell r="I14">
            <v>45809</v>
          </cell>
          <cell r="J14" t="str">
            <v>COMERCIAL - TEMPLOS RELIGIOSOS</v>
          </cell>
          <cell r="K14" t="str">
            <v>79230000</v>
          </cell>
          <cell r="L14" t="str">
            <v>MS</v>
          </cell>
          <cell r="M14" t="str">
            <v>GUIA LOPES DA LAGUNA</v>
          </cell>
          <cell r="N14" t="str">
            <v>VILA SAO MIGUEL</v>
          </cell>
          <cell r="O14" t="str">
            <v>RUA TREZE DE MAIO, 1200 - 05.048.13.525000</v>
          </cell>
          <cell r="P14">
            <v>45813</v>
          </cell>
          <cell r="Q14" t="str">
            <v>B - B3</v>
          </cell>
          <cell r="R14" t="str">
            <v>62955505321630</v>
          </cell>
          <cell r="U14">
            <v>45783</v>
          </cell>
          <cell r="V14">
            <v>45812</v>
          </cell>
          <cell r="W14">
            <v>45842</v>
          </cell>
          <cell r="X14">
            <v>45824</v>
          </cell>
          <cell r="Y14" t="str">
            <v/>
          </cell>
          <cell r="AA14" t="str">
            <v>010.611.829-002</v>
          </cell>
          <cell r="AB14" t="str">
            <v>trifasico</v>
          </cell>
          <cell r="AC14" t="str">
            <v>convencional</v>
          </cell>
          <cell r="AD14">
            <v>512.21</v>
          </cell>
          <cell r="AF14" t="str">
            <v>IGREJA DO EVANGELHO QUADRANGULAR</v>
          </cell>
          <cell r="AL14">
            <v>374</v>
          </cell>
          <cell r="AM14">
            <v>1.1551604278074865</v>
          </cell>
          <cell r="AN14">
            <v>432.03</v>
          </cell>
          <cell r="AO14">
            <v>1.1264171122994651</v>
          </cell>
          <cell r="EX14">
            <v>0</v>
          </cell>
          <cell r="EZ14">
            <v>10.75</v>
          </cell>
          <cell r="FA14">
            <v>80.180000000000007</v>
          </cell>
          <cell r="FM14">
            <v>358.57</v>
          </cell>
          <cell r="FN14">
            <v>4.9954999999999999E-2</v>
          </cell>
          <cell r="FO14">
            <v>17.91</v>
          </cell>
          <cell r="FP14">
            <v>358.57</v>
          </cell>
          <cell r="FQ14">
            <v>1.0845E-2</v>
          </cell>
          <cell r="FR14">
            <v>3.89</v>
          </cell>
          <cell r="FS14">
            <v>432.03</v>
          </cell>
          <cell r="FT14">
            <v>0.17</v>
          </cell>
          <cell r="FU14">
            <v>73.44</v>
          </cell>
          <cell r="GD14">
            <v>374</v>
          </cell>
          <cell r="GE14">
            <v>49507</v>
          </cell>
          <cell r="GF14">
            <v>49133</v>
          </cell>
          <cell r="GG14">
            <v>1</v>
          </cell>
          <cell r="HU14">
            <v>458</v>
          </cell>
          <cell r="HY14">
            <v>585</v>
          </cell>
          <cell r="IC14">
            <v>555</v>
          </cell>
          <cell r="IG14">
            <v>585</v>
          </cell>
          <cell r="IK14">
            <v>551</v>
          </cell>
          <cell r="IO14">
            <v>553</v>
          </cell>
          <cell r="IS14">
            <v>503</v>
          </cell>
          <cell r="IW14">
            <v>536</v>
          </cell>
        </row>
        <row r="15">
          <cell r="A15" t="str">
            <v/>
          </cell>
          <cell r="B15" t="str">
            <v>10/226667-4</v>
          </cell>
          <cell r="C15" t="str">
            <v>408</v>
          </cell>
          <cell r="F15" t="str">
            <v>energisa_ms</v>
          </cell>
          <cell r="G15" t="str">
            <v>408</v>
          </cell>
          <cell r="H15" t="str">
            <v>Igreja do Evangelho Quadrangular</v>
          </cell>
          <cell r="I15">
            <v>45809</v>
          </cell>
          <cell r="J15" t="str">
            <v>COMERCIAL - TEMPLOS RELIGIOSOS</v>
          </cell>
          <cell r="K15" t="str">
            <v>79260000</v>
          </cell>
          <cell r="L15" t="str">
            <v>MS</v>
          </cell>
          <cell r="M15" t="str">
            <v>BELA VISTA</v>
          </cell>
          <cell r="N15" t="str">
            <v>CENTRO</v>
          </cell>
          <cell r="O15" t="str">
            <v>RUA GENERAL OSORIO, 1200 - 12.056.03.392000</v>
          </cell>
          <cell r="P15">
            <v>45826</v>
          </cell>
          <cell r="Q15" t="str">
            <v>B - B3</v>
          </cell>
          <cell r="R15" t="str">
            <v>62955505040894</v>
          </cell>
          <cell r="U15">
            <v>45793</v>
          </cell>
          <cell r="V15">
            <v>45825</v>
          </cell>
          <cell r="W15">
            <v>45855</v>
          </cell>
          <cell r="X15">
            <v>45854</v>
          </cell>
          <cell r="Y15" t="str">
            <v/>
          </cell>
          <cell r="AA15" t="str">
            <v>010.797.730-002</v>
          </cell>
          <cell r="AB15" t="str">
            <v>bifasico</v>
          </cell>
          <cell r="AC15" t="str">
            <v>convencional</v>
          </cell>
          <cell r="AD15">
            <v>58.5</v>
          </cell>
          <cell r="AE15" t="str">
            <v>34191.09115 59597.042932 85972.140009 6 11440000005850</v>
          </cell>
          <cell r="AF15" t="str">
            <v>IGREJA DO EVANGELHO QUADRANGULAR</v>
          </cell>
          <cell r="AL15">
            <v>63</v>
          </cell>
          <cell r="AM15">
            <v>1.1681859410430837</v>
          </cell>
          <cell r="AN15">
            <v>73.59571428571428</v>
          </cell>
          <cell r="AO15">
            <v>1.1263492063492062</v>
          </cell>
          <cell r="AX15">
            <v>14</v>
          </cell>
          <cell r="AY15">
            <v>1.0782653061224488</v>
          </cell>
          <cell r="AZ15">
            <v>-15.095714285714283</v>
          </cell>
          <cell r="BA15">
            <v>1.1257142857142857</v>
          </cell>
          <cell r="DR15">
            <v>14</v>
          </cell>
          <cell r="DS15">
            <v>1.1675510204081632</v>
          </cell>
          <cell r="DT15">
            <v>-16.345714285714283</v>
          </cell>
          <cell r="DU15">
            <v>1.1257142857142857</v>
          </cell>
          <cell r="ET15">
            <v>14</v>
          </cell>
          <cell r="EZ15">
            <v>2.0499999999999998</v>
          </cell>
          <cell r="FL15">
            <v>1.25</v>
          </cell>
          <cell r="FM15">
            <v>47.55</v>
          </cell>
          <cell r="FN15">
            <v>4.9954999999999999E-2</v>
          </cell>
          <cell r="FO15">
            <v>2.38</v>
          </cell>
          <cell r="FP15">
            <v>47.55</v>
          </cell>
          <cell r="FQ15">
            <v>1.0845E-2</v>
          </cell>
          <cell r="FR15">
            <v>0.53</v>
          </cell>
          <cell r="FS15">
            <v>57.25</v>
          </cell>
          <cell r="FT15">
            <v>0.17</v>
          </cell>
          <cell r="FU15">
            <v>9.73</v>
          </cell>
          <cell r="GD15">
            <v>63</v>
          </cell>
          <cell r="GE15">
            <v>24394</v>
          </cell>
          <cell r="GF15">
            <v>24331</v>
          </cell>
          <cell r="GG15">
            <v>1</v>
          </cell>
          <cell r="HU15">
            <v>77</v>
          </cell>
          <cell r="HY15">
            <v>98</v>
          </cell>
          <cell r="IC15">
            <v>157</v>
          </cell>
          <cell r="IG15">
            <v>149</v>
          </cell>
          <cell r="IK15">
            <v>185</v>
          </cell>
          <cell r="IO15">
            <v>133</v>
          </cell>
          <cell r="IS15">
            <v>169</v>
          </cell>
          <cell r="IW15">
            <v>178</v>
          </cell>
        </row>
        <row r="16">
          <cell r="A16" t="str">
            <v/>
          </cell>
          <cell r="B16" t="str">
            <v>10/237441-1</v>
          </cell>
          <cell r="C16" t="str">
            <v>2390</v>
          </cell>
          <cell r="F16" t="str">
            <v>energisa_ms</v>
          </cell>
          <cell r="G16" t="str">
            <v>17213</v>
          </cell>
          <cell r="H16" t="str">
            <v>Igreja do Evangelho Quadrangular</v>
          </cell>
          <cell r="I16">
            <v>45809</v>
          </cell>
          <cell r="J16" t="str">
            <v>COMERCIAL - TEMPLOS RELIGIOSOS</v>
          </cell>
          <cell r="K16" t="str">
            <v>79290000</v>
          </cell>
          <cell r="L16" t="str">
            <v>MS</v>
          </cell>
          <cell r="M16" t="str">
            <v>BONITO</v>
          </cell>
          <cell r="N16" t="str">
            <v>MARAMBA</v>
          </cell>
          <cell r="O16" t="str">
            <v>AVENIDA HERON DO COUTO, S/N - 14.061.05.032000</v>
          </cell>
          <cell r="P16">
            <v>45828</v>
          </cell>
          <cell r="Q16" t="str">
            <v>B - B3</v>
          </cell>
          <cell r="R16" t="str">
            <v>62955505017213</v>
          </cell>
          <cell r="U16">
            <v>45796</v>
          </cell>
          <cell r="V16">
            <v>45826</v>
          </cell>
          <cell r="W16">
            <v>45856</v>
          </cell>
          <cell r="X16">
            <v>45849</v>
          </cell>
          <cell r="Y16" t="str">
            <v/>
          </cell>
          <cell r="AA16" t="str">
            <v>010.818.667-002</v>
          </cell>
          <cell r="AB16" t="str">
            <v>trifasico</v>
          </cell>
          <cell r="AC16" t="str">
            <v>convencional</v>
          </cell>
          <cell r="AD16">
            <v>125.5</v>
          </cell>
          <cell r="AE16" t="str">
            <v>34191.09115 62141.332932 85972.140009 7 11390000012550</v>
          </cell>
          <cell r="AF16" t="str">
            <v>IGREJA DO EVANGELHO QUADRANGULAR</v>
          </cell>
          <cell r="AI16">
            <v>100</v>
          </cell>
          <cell r="AJ16">
            <v>1.1264000000000001</v>
          </cell>
          <cell r="AK16">
            <v>112.64</v>
          </cell>
          <cell r="AL16">
            <v>0</v>
          </cell>
          <cell r="AM16">
            <v>1.1264000000000001</v>
          </cell>
          <cell r="AN16">
            <v>0</v>
          </cell>
          <cell r="EZ16">
            <v>4.3900000000000006</v>
          </cell>
          <cell r="FA16">
            <v>6.16</v>
          </cell>
          <cell r="FC16">
            <v>2.3099999999999996</v>
          </cell>
          <cell r="FM16">
            <v>97.12</v>
          </cell>
          <cell r="FN16">
            <v>4.9954999999999999E-2</v>
          </cell>
          <cell r="FO16">
            <v>4.8499999999999996</v>
          </cell>
          <cell r="FP16">
            <v>97.12</v>
          </cell>
          <cell r="FQ16">
            <v>1.0845E-2</v>
          </cell>
          <cell r="FR16">
            <v>1.05</v>
          </cell>
          <cell r="FS16">
            <v>117.03</v>
          </cell>
          <cell r="FT16">
            <v>0.17</v>
          </cell>
          <cell r="FU16">
            <v>19.89</v>
          </cell>
          <cell r="GD16">
            <v>76</v>
          </cell>
          <cell r="GE16">
            <v>55890</v>
          </cell>
          <cell r="GF16">
            <v>55814</v>
          </cell>
          <cell r="GG16">
            <v>1</v>
          </cell>
          <cell r="HU16">
            <v>172</v>
          </cell>
          <cell r="HY16">
            <v>152</v>
          </cell>
          <cell r="IC16">
            <v>317</v>
          </cell>
          <cell r="IG16">
            <v>159</v>
          </cell>
          <cell r="IK16">
            <v>269</v>
          </cell>
          <cell r="IO16">
            <v>383</v>
          </cell>
          <cell r="IS16">
            <v>140</v>
          </cell>
          <cell r="IW16">
            <v>187</v>
          </cell>
        </row>
        <row r="17">
          <cell r="A17" t="str">
            <v/>
          </cell>
          <cell r="B17" t="str">
            <v>10/3005226-0</v>
          </cell>
          <cell r="C17" t="str">
            <v>Casa Pastoral 577</v>
          </cell>
          <cell r="F17" t="str">
            <v>energisa_ms</v>
          </cell>
          <cell r="G17" t="str">
            <v>577</v>
          </cell>
          <cell r="H17" t="str">
            <v>Igreja do Evangelho Quadrangular</v>
          </cell>
          <cell r="I17">
            <v>45809</v>
          </cell>
          <cell r="J17" t="str">
            <v>RESIDENCIAL - RESIDENCIAL</v>
          </cell>
          <cell r="K17" t="str">
            <v>79940000</v>
          </cell>
          <cell r="L17" t="str">
            <v>MS</v>
          </cell>
          <cell r="M17" t="str">
            <v>CAARAPO</v>
          </cell>
          <cell r="N17" t="str">
            <v>CENTRO</v>
          </cell>
          <cell r="O17" t="str">
            <v>RUA DA SAUDADE, 230 - LT 17 QD 02 09.025.07.084077</v>
          </cell>
          <cell r="P17">
            <v>45826</v>
          </cell>
          <cell r="Q17" t="str">
            <v>B - B1</v>
          </cell>
          <cell r="R17" t="str">
            <v>62955505057789</v>
          </cell>
          <cell r="U17">
            <v>45793</v>
          </cell>
          <cell r="V17">
            <v>45825</v>
          </cell>
          <cell r="W17">
            <v>45855</v>
          </cell>
          <cell r="X17">
            <v>45854</v>
          </cell>
          <cell r="Y17" t="str">
            <v/>
          </cell>
          <cell r="AA17" t="str">
            <v>010.803.477-002</v>
          </cell>
          <cell r="AB17" t="str">
            <v>bifasico</v>
          </cell>
          <cell r="AC17" t="str">
            <v>convencional</v>
          </cell>
          <cell r="AD17">
            <v>100.58</v>
          </cell>
          <cell r="AE17" t="str">
            <v>34191.09115 61710.512932 85972.140009 5 11440000010058</v>
          </cell>
          <cell r="AF17" t="str">
            <v>IGREJA DO EVANGELHO QUADRANGULAR</v>
          </cell>
          <cell r="AL17">
            <v>294</v>
          </cell>
          <cell r="AM17">
            <v>1.1684873949579833</v>
          </cell>
          <cell r="AN17">
            <v>343.53529411764708</v>
          </cell>
          <cell r="AO17">
            <v>1.1264285714285716</v>
          </cell>
          <cell r="AX17">
            <v>260</v>
          </cell>
          <cell r="AY17">
            <v>1.1123280542986427</v>
          </cell>
          <cell r="AZ17">
            <v>-289.2052941176471</v>
          </cell>
          <cell r="BA17">
            <v>1.1263846153846155</v>
          </cell>
          <cell r="DR17">
            <v>260</v>
          </cell>
          <cell r="DS17">
            <v>1.1684434389140272</v>
          </cell>
          <cell r="DT17">
            <v>-303.79529411764707</v>
          </cell>
          <cell r="DU17">
            <v>1.1263846153846155</v>
          </cell>
          <cell r="ET17">
            <v>260</v>
          </cell>
          <cell r="EX17">
            <v>357</v>
          </cell>
          <cell r="EZ17">
            <v>1.4300000000000002</v>
          </cell>
          <cell r="FA17">
            <v>46.25</v>
          </cell>
          <cell r="FL17">
            <v>14.59</v>
          </cell>
          <cell r="FM17">
            <v>33</v>
          </cell>
          <cell r="FN17">
            <v>4.9954999999999999E-2</v>
          </cell>
          <cell r="FO17">
            <v>1.66</v>
          </cell>
          <cell r="FP17">
            <v>33</v>
          </cell>
          <cell r="FQ17">
            <v>1.0845E-2</v>
          </cell>
          <cell r="FR17">
            <v>0.37</v>
          </cell>
          <cell r="FS17">
            <v>39.74</v>
          </cell>
          <cell r="FT17">
            <v>0.17</v>
          </cell>
          <cell r="FU17">
            <v>6.75</v>
          </cell>
          <cell r="GD17">
            <v>294</v>
          </cell>
          <cell r="GE17">
            <v>53799</v>
          </cell>
          <cell r="GF17">
            <v>53505</v>
          </cell>
          <cell r="GG17">
            <v>1</v>
          </cell>
          <cell r="HU17">
            <v>256</v>
          </cell>
          <cell r="HY17">
            <v>347</v>
          </cell>
          <cell r="IC17">
            <v>390</v>
          </cell>
          <cell r="IG17">
            <v>323</v>
          </cell>
          <cell r="IK17">
            <v>305</v>
          </cell>
          <cell r="IO17">
            <v>358</v>
          </cell>
          <cell r="IS17">
            <v>286</v>
          </cell>
          <cell r="IW17">
            <v>368</v>
          </cell>
        </row>
        <row r="18">
          <cell r="A18" t="str">
            <v/>
          </cell>
          <cell r="B18" t="str">
            <v>10/501586-2</v>
          </cell>
          <cell r="C18" t="str">
            <v>Santo Antonio 6195</v>
          </cell>
          <cell r="F18" t="str">
            <v>energisa_ms</v>
          </cell>
          <cell r="G18" t="str">
            <v>Santo Antonio 6195</v>
          </cell>
          <cell r="H18" t="str">
            <v>Igreja do Evangelho Quadrangular</v>
          </cell>
          <cell r="I18">
            <v>45809</v>
          </cell>
          <cell r="J18" t="str">
            <v>COMERCIAL - TEMPLOS RELIGIOSOS</v>
          </cell>
          <cell r="K18" t="str">
            <v>79100300</v>
          </cell>
          <cell r="L18" t="str">
            <v>MS</v>
          </cell>
          <cell r="M18" t="str">
            <v>CAMPO GRANDE</v>
          </cell>
          <cell r="N18" t="str">
            <v>SANTO ANTONIO</v>
          </cell>
          <cell r="O18" t="str">
            <v>RUA LEONIDAS DE MATOS, 841 - 05.104.11.174000</v>
          </cell>
          <cell r="P18">
            <v>45817</v>
          </cell>
          <cell r="Q18" t="str">
            <v>B - B3</v>
          </cell>
          <cell r="R18" t="str">
            <v>62955505273058</v>
          </cell>
          <cell r="U18">
            <v>45785</v>
          </cell>
          <cell r="V18">
            <v>45814</v>
          </cell>
          <cell r="W18">
            <v>45846</v>
          </cell>
          <cell r="X18">
            <v>45834</v>
          </cell>
          <cell r="Y18" t="str">
            <v/>
          </cell>
          <cell r="AA18" t="str">
            <v>010.659.186-002</v>
          </cell>
          <cell r="AB18" t="str">
            <v>trifasico</v>
          </cell>
          <cell r="AC18" t="str">
            <v>convencional</v>
          </cell>
          <cell r="AD18">
            <v>117.9</v>
          </cell>
          <cell r="AE18" t="str">
            <v>34191.09545 69634.630276 52186.260007 1 11240000011790</v>
          </cell>
          <cell r="AF18" t="str">
            <v>IGREJA DO EVANGELHO QUADRANGULAR</v>
          </cell>
          <cell r="AL18">
            <v>150</v>
          </cell>
          <cell r="AM18">
            <v>1.157637113402062</v>
          </cell>
          <cell r="AN18">
            <v>173.64556701030929</v>
          </cell>
          <cell r="AO18">
            <v>1.1264000000000001</v>
          </cell>
          <cell r="AX18">
            <v>53</v>
          </cell>
          <cell r="AY18">
            <v>1.0953880567982881</v>
          </cell>
          <cell r="AZ18">
            <v>-58.055567010309275</v>
          </cell>
          <cell r="BA18">
            <v>1.1262264150943395</v>
          </cell>
          <cell r="DR18">
            <v>53</v>
          </cell>
          <cell r="DS18">
            <v>1.1574635284964014</v>
          </cell>
          <cell r="DT18">
            <v>-61.345567010309274</v>
          </cell>
          <cell r="DU18">
            <v>1.1262264150943395</v>
          </cell>
          <cell r="ET18">
            <v>53</v>
          </cell>
          <cell r="EZ18">
            <v>3.0300000000000002</v>
          </cell>
          <cell r="FC18">
            <v>2.3099999999999996</v>
          </cell>
          <cell r="FL18">
            <v>3.29</v>
          </cell>
          <cell r="FM18">
            <v>93.27</v>
          </cell>
          <cell r="FN18">
            <v>4.9954999999999999E-2</v>
          </cell>
          <cell r="FO18">
            <v>4.66</v>
          </cell>
          <cell r="FP18">
            <v>93.27</v>
          </cell>
          <cell r="FQ18">
            <v>1.0845E-2</v>
          </cell>
          <cell r="FR18">
            <v>1.02</v>
          </cell>
          <cell r="FS18">
            <v>112.3</v>
          </cell>
          <cell r="FT18">
            <v>0.17</v>
          </cell>
          <cell r="FU18">
            <v>19.09</v>
          </cell>
          <cell r="GD18">
            <v>150</v>
          </cell>
          <cell r="GE18">
            <v>1234</v>
          </cell>
          <cell r="GF18">
            <v>1229</v>
          </cell>
          <cell r="GG18">
            <v>30</v>
          </cell>
          <cell r="HU18">
            <v>240</v>
          </cell>
          <cell r="HY18">
            <v>240</v>
          </cell>
          <cell r="IC18">
            <v>270</v>
          </cell>
          <cell r="IG18">
            <v>180</v>
          </cell>
          <cell r="IK18">
            <v>150</v>
          </cell>
          <cell r="IO18">
            <v>210</v>
          </cell>
          <cell r="IS18">
            <v>180</v>
          </cell>
          <cell r="IW18">
            <v>180</v>
          </cell>
        </row>
        <row r="19">
          <cell r="A19" t="str">
            <v/>
          </cell>
          <cell r="B19" t="str">
            <v>10/931327-1</v>
          </cell>
          <cell r="C19" t="str">
            <v>Vila Martins 4027</v>
          </cell>
          <cell r="F19" t="str">
            <v>energisa_ms</v>
          </cell>
          <cell r="G19" t="str">
            <v>Vila Martins 4027</v>
          </cell>
          <cell r="H19" t="str">
            <v>Igreja do Evangelho Quadrangular</v>
          </cell>
          <cell r="I19">
            <v>45809</v>
          </cell>
          <cell r="J19" t="str">
            <v>COMERCIAL - OUTROS SERVIÇOS E OUTRAS ATIVIDADES</v>
          </cell>
          <cell r="K19" t="str">
            <v>79990000</v>
          </cell>
          <cell r="L19" t="str">
            <v>MS</v>
          </cell>
          <cell r="M19" t="str">
            <v>AMAMBAI</v>
          </cell>
          <cell r="N19" t="str">
            <v>VILA MARTINS</v>
          </cell>
          <cell r="O19" t="str">
            <v>RUA ALCINDO FRANCO MACHADO, 951 - 10.036.25.249000</v>
          </cell>
          <cell r="P19">
            <v>45828</v>
          </cell>
          <cell r="Q19" t="str">
            <v>B - B3</v>
          </cell>
          <cell r="R19" t="str">
            <v>62955505402710</v>
          </cell>
          <cell r="U19">
            <v>45796</v>
          </cell>
          <cell r="V19">
            <v>45826</v>
          </cell>
          <cell r="W19">
            <v>45856</v>
          </cell>
          <cell r="X19">
            <v>45854</v>
          </cell>
          <cell r="Y19" t="str">
            <v/>
          </cell>
          <cell r="AA19" t="str">
            <v>010.819.812-002</v>
          </cell>
          <cell r="AB19" t="str">
            <v>trifasico</v>
          </cell>
          <cell r="AC19" t="str">
            <v>convencional</v>
          </cell>
          <cell r="AD19">
            <v>182.49</v>
          </cell>
          <cell r="AE19" t="str">
            <v>34191.09115 62167.572932 85972.140009 1 11440000018249</v>
          </cell>
          <cell r="AF19" t="str">
            <v>IGREJA DO EVANGELHO QUADRANGULAR</v>
          </cell>
          <cell r="AL19">
            <v>348</v>
          </cell>
          <cell r="AM19">
            <v>1.1705701149425287</v>
          </cell>
          <cell r="AN19">
            <v>407.35840000000002</v>
          </cell>
          <cell r="AO19">
            <v>1.1264367816091954</v>
          </cell>
          <cell r="AX19">
            <v>273</v>
          </cell>
          <cell r="AY19">
            <v>1.0866608058608058</v>
          </cell>
          <cell r="AZ19">
            <v>-296.65839999999997</v>
          </cell>
          <cell r="BA19">
            <v>1.1264102564102563</v>
          </cell>
          <cell r="DR19">
            <v>273</v>
          </cell>
          <cell r="DS19">
            <v>1.1705435897435896</v>
          </cell>
          <cell r="DT19">
            <v>-319.55839999999995</v>
          </cell>
          <cell r="DU19">
            <v>1.1264102564102563</v>
          </cell>
          <cell r="ET19">
            <v>273</v>
          </cell>
          <cell r="EZ19">
            <v>3.31</v>
          </cell>
          <cell r="FA19">
            <v>71.790000000000006</v>
          </cell>
          <cell r="FL19">
            <v>22.9</v>
          </cell>
          <cell r="FM19">
            <v>72.89</v>
          </cell>
          <cell r="FN19">
            <v>4.9954999999999999E-2</v>
          </cell>
          <cell r="FO19">
            <v>3.63</v>
          </cell>
          <cell r="FP19">
            <v>72.89</v>
          </cell>
          <cell r="FQ19">
            <v>1.0845E-2</v>
          </cell>
          <cell r="FR19">
            <v>0.8</v>
          </cell>
          <cell r="FS19">
            <v>87.8</v>
          </cell>
          <cell r="FT19">
            <v>0.17</v>
          </cell>
          <cell r="FU19">
            <v>14.92</v>
          </cell>
          <cell r="GD19">
            <v>348</v>
          </cell>
          <cell r="GE19">
            <v>6198</v>
          </cell>
          <cell r="GF19">
            <v>5850</v>
          </cell>
          <cell r="GG19">
            <v>1</v>
          </cell>
          <cell r="HU19">
            <v>392</v>
          </cell>
          <cell r="HY19">
            <v>345</v>
          </cell>
          <cell r="IC19">
            <v>412</v>
          </cell>
          <cell r="IG19">
            <v>361</v>
          </cell>
          <cell r="IK19">
            <v>370</v>
          </cell>
          <cell r="IO19">
            <v>280</v>
          </cell>
          <cell r="IS19">
            <v>252</v>
          </cell>
          <cell r="IW19">
            <v>268</v>
          </cell>
        </row>
        <row r="20">
          <cell r="A20" t="str">
            <v/>
          </cell>
          <cell r="B20" t="str">
            <v>10/1184751-4</v>
          </cell>
          <cell r="C20" t="str">
            <v>1490</v>
          </cell>
          <cell r="F20" t="str">
            <v>energisa_ms</v>
          </cell>
          <cell r="G20" t="str">
            <v>1490</v>
          </cell>
          <cell r="H20" t="str">
            <v>Igreja do Evangelho Quadrangular</v>
          </cell>
          <cell r="I20">
            <v>45809</v>
          </cell>
          <cell r="J20" t="str">
            <v>COMERCIAL - TEMPLOS RELIGIOSOS</v>
          </cell>
          <cell r="K20" t="str">
            <v>79833090</v>
          </cell>
          <cell r="L20" t="str">
            <v>MS</v>
          </cell>
          <cell r="M20" t="str">
            <v>DOURADOS</v>
          </cell>
          <cell r="N20" t="str">
            <v>JARDIM GUANABARA</v>
          </cell>
          <cell r="O20" t="str">
            <v>RUA DOM PEDRO I, 1135 - 07.010.45.317001</v>
          </cell>
          <cell r="P20">
            <v>45818</v>
          </cell>
          <cell r="Q20" t="str">
            <v>B - B3</v>
          </cell>
          <cell r="R20" t="str">
            <v>62955505149047</v>
          </cell>
          <cell r="U20">
            <v>45786</v>
          </cell>
          <cell r="V20">
            <v>45817</v>
          </cell>
          <cell r="W20">
            <v>45847</v>
          </cell>
          <cell r="X20">
            <v>45828</v>
          </cell>
          <cell r="Y20" t="str">
            <v/>
          </cell>
          <cell r="AA20" t="str">
            <v>010.680.843-002</v>
          </cell>
          <cell r="AB20" t="str">
            <v>trifasico</v>
          </cell>
          <cell r="AC20" t="str">
            <v>convencional</v>
          </cell>
          <cell r="AD20">
            <v>182.35</v>
          </cell>
          <cell r="AF20" t="str">
            <v>IGREJA DO EVANGELHO QUADRANGULAR</v>
          </cell>
          <cell r="AL20">
            <v>323</v>
          </cell>
          <cell r="AM20">
            <v>1.1604086687306501</v>
          </cell>
          <cell r="AN20">
            <v>374.81199999999995</v>
          </cell>
          <cell r="AO20">
            <v>1.12640866873065</v>
          </cell>
          <cell r="AX20">
            <v>223</v>
          </cell>
          <cell r="AY20">
            <v>1.1603677130044843</v>
          </cell>
          <cell r="AZ20">
            <v>-258.762</v>
          </cell>
          <cell r="BA20">
            <v>1.1263677130044842</v>
          </cell>
          <cell r="DR20">
            <v>223</v>
          </cell>
          <cell r="DS20">
            <v>1.1603677130044843</v>
          </cell>
          <cell r="DT20">
            <v>-258.762</v>
          </cell>
          <cell r="DU20">
            <v>1.1263677130044842</v>
          </cell>
          <cell r="ET20">
            <v>223</v>
          </cell>
          <cell r="EX20">
            <v>39</v>
          </cell>
          <cell r="EZ20">
            <v>3.4</v>
          </cell>
          <cell r="FA20">
            <v>66.3</v>
          </cell>
          <cell r="FM20">
            <v>96.36</v>
          </cell>
          <cell r="FN20">
            <v>4.9954999999999999E-2</v>
          </cell>
          <cell r="FO20">
            <v>4.82</v>
          </cell>
          <cell r="FP20">
            <v>96.36</v>
          </cell>
          <cell r="FQ20">
            <v>1.0845E-2</v>
          </cell>
          <cell r="FR20">
            <v>1.06</v>
          </cell>
          <cell r="FS20">
            <v>116.05</v>
          </cell>
          <cell r="FT20">
            <v>0.17</v>
          </cell>
          <cell r="FU20">
            <v>19.72</v>
          </cell>
          <cell r="GD20">
            <v>323</v>
          </cell>
          <cell r="GE20">
            <v>75851</v>
          </cell>
          <cell r="GF20">
            <v>75528</v>
          </cell>
          <cell r="GG20">
            <v>1</v>
          </cell>
          <cell r="HU20">
            <v>293</v>
          </cell>
          <cell r="HY20">
            <v>317</v>
          </cell>
          <cell r="IC20">
            <v>371</v>
          </cell>
          <cell r="IG20">
            <v>322</v>
          </cell>
          <cell r="IK20">
            <v>168</v>
          </cell>
          <cell r="IO20">
            <v>196</v>
          </cell>
          <cell r="IS20">
            <v>171</v>
          </cell>
          <cell r="IW20">
            <v>162</v>
          </cell>
        </row>
        <row r="21">
          <cell r="A21" t="str">
            <v/>
          </cell>
          <cell r="B21" t="str">
            <v>10/1695011-5</v>
          </cell>
          <cell r="C21" t="str">
            <v>Ribas do Rio Pardo 62552</v>
          </cell>
          <cell r="F21" t="str">
            <v>energisa_ms</v>
          </cell>
          <cell r="G21" t="str">
            <v>Ribas do Rio Pardo 62552</v>
          </cell>
          <cell r="H21" t="str">
            <v>Igreja do Evangelho Quadrangular</v>
          </cell>
          <cell r="I21">
            <v>45809</v>
          </cell>
          <cell r="J21" t="str">
            <v>RESIDENCIAL - RESIDENCIAL</v>
          </cell>
          <cell r="K21" t="str">
            <v>79180000</v>
          </cell>
          <cell r="L21" t="str">
            <v>MS</v>
          </cell>
          <cell r="M21" t="str">
            <v>RIBAS DO RIO PARDO</v>
          </cell>
          <cell r="N21" t="str">
            <v>CENTRO</v>
          </cell>
          <cell r="O21" t="str">
            <v>RUA DOMINGOS GONCALVES GOMES, 2099 - 11.023.09.544100</v>
          </cell>
          <cell r="P21">
            <v>45819</v>
          </cell>
          <cell r="Q21" t="str">
            <v>B - B1</v>
          </cell>
          <cell r="R21" t="str">
            <v>62955505461210</v>
          </cell>
          <cell r="U21">
            <v>45789</v>
          </cell>
          <cell r="V21">
            <v>45818</v>
          </cell>
          <cell r="W21">
            <v>45848</v>
          </cell>
          <cell r="X21">
            <v>45831</v>
          </cell>
          <cell r="Y21" t="str">
            <v/>
          </cell>
          <cell r="AA21" t="str">
            <v>010.710.072-002</v>
          </cell>
          <cell r="AB21" t="str">
            <v>trifasico</v>
          </cell>
          <cell r="AC21" t="str">
            <v>convencional</v>
          </cell>
          <cell r="AD21">
            <v>735.12</v>
          </cell>
          <cell r="AE21" t="str">
            <v>34191.09115 46145.082932 85972.140009 6 11210000073512</v>
          </cell>
          <cell r="AF21" t="str">
            <v>IGREJA DO EVANGELHO QUADRANGULAR</v>
          </cell>
          <cell r="AL21">
            <v>599</v>
          </cell>
          <cell r="AM21">
            <v>1.1620331655833864</v>
          </cell>
          <cell r="AN21">
            <v>696.05786618444847</v>
          </cell>
          <cell r="AO21">
            <v>1.1264273789649415</v>
          </cell>
          <cell r="AX21">
            <v>46</v>
          </cell>
          <cell r="AY21">
            <v>1.161910134444532</v>
          </cell>
          <cell r="AZ21">
            <v>-53.447866184448472</v>
          </cell>
          <cell r="BA21">
            <v>1.126304347826087</v>
          </cell>
          <cell r="DR21">
            <v>46</v>
          </cell>
          <cell r="DS21">
            <v>1.161910134444532</v>
          </cell>
          <cell r="DT21">
            <v>-53.447866184448472</v>
          </cell>
          <cell r="DU21">
            <v>1.126304347826087</v>
          </cell>
          <cell r="ET21">
            <v>46</v>
          </cell>
          <cell r="EX21">
            <v>0</v>
          </cell>
          <cell r="EZ21">
            <v>19.689999999999998</v>
          </cell>
          <cell r="FA21">
            <v>92.51</v>
          </cell>
          <cell r="FM21">
            <v>533.35</v>
          </cell>
          <cell r="FN21">
            <v>4.9954999999999999E-2</v>
          </cell>
          <cell r="FO21">
            <v>26.63</v>
          </cell>
          <cell r="FP21">
            <v>533.35</v>
          </cell>
          <cell r="FQ21">
            <v>1.0845E-2</v>
          </cell>
          <cell r="FR21">
            <v>5.77</v>
          </cell>
          <cell r="FS21">
            <v>642.61</v>
          </cell>
          <cell r="FT21">
            <v>0.17</v>
          </cell>
          <cell r="FU21">
            <v>109.24</v>
          </cell>
          <cell r="GD21">
            <v>599</v>
          </cell>
          <cell r="GE21">
            <v>79981</v>
          </cell>
          <cell r="GF21">
            <v>79382</v>
          </cell>
          <cell r="GG21">
            <v>1</v>
          </cell>
          <cell r="HU21">
            <v>758</v>
          </cell>
          <cell r="HY21">
            <v>885</v>
          </cell>
          <cell r="IC21">
            <v>873</v>
          </cell>
          <cell r="IG21">
            <v>930</v>
          </cell>
          <cell r="IK21">
            <v>833</v>
          </cell>
          <cell r="IO21">
            <v>892</v>
          </cell>
          <cell r="IS21">
            <v>786</v>
          </cell>
          <cell r="IW21">
            <v>866</v>
          </cell>
        </row>
        <row r="22">
          <cell r="A22" t="str">
            <v/>
          </cell>
          <cell r="B22" t="str">
            <v>10/1698130-0</v>
          </cell>
          <cell r="C22" t="str">
            <v>Ribas do Rio Pardo 62552</v>
          </cell>
          <cell r="F22" t="str">
            <v>energisa_ms</v>
          </cell>
          <cell r="G22" t="str">
            <v>Ribas do Rio Pardo 62552</v>
          </cell>
          <cell r="H22" t="str">
            <v>Igreja do Evangelho Quadrangular</v>
          </cell>
          <cell r="I22">
            <v>45809</v>
          </cell>
          <cell r="J22" t="str">
            <v>COMERCIAL - COMERCIAL</v>
          </cell>
          <cell r="K22" t="str">
            <v>79180000</v>
          </cell>
          <cell r="L22" t="str">
            <v>MS</v>
          </cell>
          <cell r="M22" t="str">
            <v>RIBAS DO RIO PARDO</v>
          </cell>
          <cell r="N22" t="str">
            <v>CENTRO</v>
          </cell>
          <cell r="O22" t="str">
            <v>RUA DOMINGOS GONCALVES GOMES, 2079 - Q 08 L 02 11.023.09.544000</v>
          </cell>
          <cell r="P22">
            <v>45819</v>
          </cell>
          <cell r="Q22" t="str">
            <v>B - B3</v>
          </cell>
          <cell r="R22" t="str">
            <v>62955505461210</v>
          </cell>
          <cell r="U22">
            <v>45789</v>
          </cell>
          <cell r="V22">
            <v>45818</v>
          </cell>
          <cell r="W22">
            <v>45848</v>
          </cell>
          <cell r="X22">
            <v>45831</v>
          </cell>
          <cell r="Y22" t="str">
            <v/>
          </cell>
          <cell r="AA22" t="str">
            <v>010.710.080-002</v>
          </cell>
          <cell r="AB22" t="str">
            <v>trifasico</v>
          </cell>
          <cell r="AC22" t="str">
            <v>convencional</v>
          </cell>
          <cell r="AD22">
            <v>222.4</v>
          </cell>
          <cell r="AE22" t="str">
            <v>34191.09115 46145.322932 85972.140009 8 11210000022240</v>
          </cell>
          <cell r="AF22" t="str">
            <v>IGREJA DO EVANGELHO QUADRANGULAR</v>
          </cell>
          <cell r="AL22">
            <v>210</v>
          </cell>
          <cell r="AM22">
            <v>1.1620676691729324</v>
          </cell>
          <cell r="AN22">
            <v>244.0342105263158</v>
          </cell>
          <cell r="AO22">
            <v>1.1264285714285716</v>
          </cell>
          <cell r="AX22">
            <v>77</v>
          </cell>
          <cell r="AY22">
            <v>1.1620027341079973</v>
          </cell>
          <cell r="AZ22">
            <v>-89.474210526315787</v>
          </cell>
          <cell r="BA22">
            <v>1.1263636363636365</v>
          </cell>
          <cell r="DR22">
            <v>77</v>
          </cell>
          <cell r="DS22">
            <v>1.1620027341079973</v>
          </cell>
          <cell r="DT22">
            <v>-89.474210526315787</v>
          </cell>
          <cell r="DU22">
            <v>1.1263636363636365</v>
          </cell>
          <cell r="ET22">
            <v>77</v>
          </cell>
          <cell r="EX22">
            <v>0</v>
          </cell>
          <cell r="EZ22">
            <v>4.74</v>
          </cell>
          <cell r="FA22">
            <v>67.84</v>
          </cell>
          <cell r="FM22">
            <v>128.27000000000001</v>
          </cell>
          <cell r="FN22">
            <v>4.9954999999999999E-2</v>
          </cell>
          <cell r="FO22">
            <v>6.42</v>
          </cell>
          <cell r="FP22">
            <v>128.27000000000001</v>
          </cell>
          <cell r="FQ22">
            <v>1.0845E-2</v>
          </cell>
          <cell r="FR22">
            <v>1.4</v>
          </cell>
          <cell r="FS22">
            <v>154.56</v>
          </cell>
          <cell r="FT22">
            <v>0.17</v>
          </cell>
          <cell r="FU22">
            <v>26.27</v>
          </cell>
          <cell r="GD22">
            <v>210</v>
          </cell>
          <cell r="GE22">
            <v>96214</v>
          </cell>
          <cell r="GF22">
            <v>96004</v>
          </cell>
          <cell r="GG22">
            <v>1</v>
          </cell>
          <cell r="HU22">
            <v>245</v>
          </cell>
          <cell r="HY22">
            <v>340</v>
          </cell>
          <cell r="IC22">
            <v>327</v>
          </cell>
          <cell r="IG22">
            <v>371</v>
          </cell>
          <cell r="IK22">
            <v>339</v>
          </cell>
          <cell r="IO22">
            <v>323</v>
          </cell>
          <cell r="IS22">
            <v>283</v>
          </cell>
          <cell r="IW22">
            <v>348</v>
          </cell>
        </row>
        <row r="23">
          <cell r="A23" t="str">
            <v/>
          </cell>
          <cell r="B23" t="str">
            <v>10/113971-6</v>
          </cell>
          <cell r="C23" t="str">
            <v>156</v>
          </cell>
          <cell r="F23" t="str">
            <v>energisa_ms</v>
          </cell>
          <cell r="G23" t="str">
            <v>156</v>
          </cell>
          <cell r="H23" t="str">
            <v>Igreja do Evangelho Quadrangular</v>
          </cell>
          <cell r="I23">
            <v>45809</v>
          </cell>
          <cell r="J23" t="str">
            <v>COMERCIAL - TEMPLOS RELIGIOSOS</v>
          </cell>
          <cell r="K23" t="str">
            <v>79700000</v>
          </cell>
          <cell r="L23" t="str">
            <v>MS</v>
          </cell>
          <cell r="M23" t="str">
            <v>FATIMA DO SUL</v>
          </cell>
          <cell r="N23" t="str">
            <v>JARDIM SAO PAULO</v>
          </cell>
          <cell r="O23" t="str">
            <v>RUA CARLOS CHAGAS, 1092 - 05.026.05.081000</v>
          </cell>
          <cell r="P23">
            <v>45817</v>
          </cell>
          <cell r="Q23" t="str">
            <v>B - B3</v>
          </cell>
          <cell r="R23" t="str">
            <v>62955505015601</v>
          </cell>
          <cell r="U23">
            <v>45785</v>
          </cell>
          <cell r="V23">
            <v>45814</v>
          </cell>
          <cell r="W23">
            <v>45846</v>
          </cell>
          <cell r="X23">
            <v>45826</v>
          </cell>
          <cell r="Y23" t="str">
            <v/>
          </cell>
          <cell r="AA23" t="str">
            <v>010.656.880-002</v>
          </cell>
          <cell r="AB23" t="str">
            <v>trifasico</v>
          </cell>
          <cell r="AC23" t="str">
            <v>convencional</v>
          </cell>
          <cell r="AD23">
            <v>261.81</v>
          </cell>
          <cell r="AF23" t="str">
            <v>IGREJA DO EVANGELHO QUADRANGULAR</v>
          </cell>
          <cell r="AL23">
            <v>202</v>
          </cell>
          <cell r="AM23">
            <v>1.1574257425742573</v>
          </cell>
          <cell r="AN23">
            <v>233.79999999999998</v>
          </cell>
          <cell r="AO23">
            <v>1.1264356435643563</v>
          </cell>
          <cell r="EX23">
            <v>0</v>
          </cell>
          <cell r="EZ23">
            <v>6.26</v>
          </cell>
          <cell r="FA23">
            <v>28.01</v>
          </cell>
          <cell r="FM23">
            <v>194.04</v>
          </cell>
          <cell r="FN23">
            <v>4.9954999999999999E-2</v>
          </cell>
          <cell r="FO23">
            <v>9.69</v>
          </cell>
          <cell r="FP23">
            <v>194.04</v>
          </cell>
          <cell r="FQ23">
            <v>1.0845E-2</v>
          </cell>
          <cell r="FR23">
            <v>2.1</v>
          </cell>
          <cell r="FS23">
            <v>233.8</v>
          </cell>
          <cell r="FT23">
            <v>0.17</v>
          </cell>
          <cell r="FU23">
            <v>39.74</v>
          </cell>
          <cell r="GD23">
            <v>202</v>
          </cell>
          <cell r="GE23">
            <v>35503</v>
          </cell>
          <cell r="GF23">
            <v>35301</v>
          </cell>
          <cell r="GG23">
            <v>1</v>
          </cell>
          <cell r="HU23">
            <v>226</v>
          </cell>
          <cell r="HY23">
            <v>290</v>
          </cell>
          <cell r="IC23">
            <v>394</v>
          </cell>
          <cell r="IG23">
            <v>324</v>
          </cell>
          <cell r="IK23">
            <v>253</v>
          </cell>
          <cell r="IO23">
            <v>278</v>
          </cell>
          <cell r="IS23">
            <v>218</v>
          </cell>
          <cell r="IW23">
            <v>244</v>
          </cell>
        </row>
        <row r="24">
          <cell r="A24" t="str">
            <v/>
          </cell>
          <cell r="B24" t="str">
            <v>10/5202-7</v>
          </cell>
          <cell r="C24" t="str">
            <v>Sede (161)</v>
          </cell>
          <cell r="F24" t="str">
            <v>energisa_ms</v>
          </cell>
          <cell r="G24" t="str">
            <v>Sede (161)</v>
          </cell>
          <cell r="H24" t="str">
            <v>Igreja do Evangelho Quadrangular</v>
          </cell>
          <cell r="I24">
            <v>45809</v>
          </cell>
          <cell r="J24" t="str">
            <v>COMERCIAL - TEMPLOS RELIGIOSOS</v>
          </cell>
          <cell r="K24" t="str">
            <v>79200000</v>
          </cell>
          <cell r="L24" t="str">
            <v>MS</v>
          </cell>
          <cell r="M24" t="str">
            <v>AQUIDAUANA</v>
          </cell>
          <cell r="N24" t="str">
            <v>CENTRO</v>
          </cell>
          <cell r="O24" t="str">
            <v>RUA DUQUE DE CAXIAS, 887 - 09.002.01.190000</v>
          </cell>
          <cell r="P24">
            <v>45818</v>
          </cell>
          <cell r="Q24" t="str">
            <v>B - B3</v>
          </cell>
          <cell r="R24" t="str">
            <v>62955505393207</v>
          </cell>
          <cell r="U24">
            <v>45786</v>
          </cell>
          <cell r="V24">
            <v>45817</v>
          </cell>
          <cell r="W24">
            <v>45847</v>
          </cell>
          <cell r="X24">
            <v>45853</v>
          </cell>
          <cell r="Y24" t="str">
            <v/>
          </cell>
          <cell r="AA24" t="str">
            <v>010.677.653-002</v>
          </cell>
          <cell r="AB24" t="str">
            <v>trifasico</v>
          </cell>
          <cell r="AC24" t="str">
            <v>convencional</v>
          </cell>
          <cell r="AD24">
            <v>903.43</v>
          </cell>
          <cell r="AE24" t="str">
            <v>34191.09115 42463.842932 85972.140009 1 11430000090343</v>
          </cell>
          <cell r="AF24" t="str">
            <v>IGREJA DO EVANGELHO QUADRANGULAR</v>
          </cell>
          <cell r="AL24">
            <v>1369.62</v>
          </cell>
          <cell r="AM24">
            <v>1.1602018431946513</v>
          </cell>
          <cell r="AN24">
            <v>1589.0356484762581</v>
          </cell>
          <cell r="AO24">
            <v>1.1264365298403938</v>
          </cell>
          <cell r="AX24">
            <v>777</v>
          </cell>
          <cell r="AY24">
            <v>1.1602003197892639</v>
          </cell>
          <cell r="AZ24">
            <v>-901.47564847625802</v>
          </cell>
          <cell r="BA24">
            <v>1.1264350064350064</v>
          </cell>
          <cell r="DR24">
            <v>777</v>
          </cell>
          <cell r="DS24">
            <v>1.1602003197892639</v>
          </cell>
          <cell r="DT24">
            <v>-901.47564847625802</v>
          </cell>
          <cell r="DU24">
            <v>1.1264350064350064</v>
          </cell>
          <cell r="ET24">
            <v>777</v>
          </cell>
          <cell r="EX24">
            <v>0</v>
          </cell>
          <cell r="EZ24">
            <v>20.009999999999998</v>
          </cell>
          <cell r="FA24">
            <v>215.87</v>
          </cell>
          <cell r="FM24">
            <v>570.66999999999996</v>
          </cell>
          <cell r="FN24">
            <v>4.9954999999999999E-2</v>
          </cell>
          <cell r="FO24">
            <v>28.5</v>
          </cell>
          <cell r="FP24">
            <v>570.66999999999996</v>
          </cell>
          <cell r="FQ24">
            <v>1.0845E-2</v>
          </cell>
          <cell r="FR24">
            <v>6.18</v>
          </cell>
          <cell r="FS24">
            <v>687.56</v>
          </cell>
          <cell r="FT24">
            <v>0.17</v>
          </cell>
          <cell r="FU24">
            <v>116.88</v>
          </cell>
          <cell r="GD24">
            <v>1369.62</v>
          </cell>
          <cell r="GE24">
            <v>6144.47</v>
          </cell>
          <cell r="GF24">
            <v>6110.23</v>
          </cell>
          <cell r="GG24">
            <v>40</v>
          </cell>
          <cell r="HU24">
            <v>1738.68</v>
          </cell>
          <cell r="HY24">
            <v>2042.68</v>
          </cell>
          <cell r="IC24">
            <v>2733.12</v>
          </cell>
          <cell r="IG24">
            <v>1810.6</v>
          </cell>
          <cell r="IK24">
            <v>1832.2</v>
          </cell>
          <cell r="IO24">
            <v>2993.72</v>
          </cell>
          <cell r="IS24">
            <v>1746.18</v>
          </cell>
          <cell r="IW24">
            <v>1967.69</v>
          </cell>
        </row>
        <row r="25">
          <cell r="A25" t="str">
            <v/>
          </cell>
          <cell r="B25" t="str">
            <v>10/532081-7</v>
          </cell>
          <cell r="C25" t="str">
            <v>2ª IEQ de Amambai 1935</v>
          </cell>
          <cell r="F25" t="str">
            <v>energisa_ms</v>
          </cell>
          <cell r="G25" t="str">
            <v>2ª IEQ de Amambai 1935</v>
          </cell>
          <cell r="H25" t="str">
            <v>Igreja do Evangelho Quadrangular</v>
          </cell>
          <cell r="I25">
            <v>45809</v>
          </cell>
          <cell r="J25" t="str">
            <v>COMERCIAL - TEMPLOS RELIGIOSOS</v>
          </cell>
          <cell r="K25" t="str">
            <v>79990000</v>
          </cell>
          <cell r="L25" t="str">
            <v>MS</v>
          </cell>
          <cell r="M25" t="str">
            <v>AMAMBAI</v>
          </cell>
          <cell r="N25" t="str">
            <v>CENTRO</v>
          </cell>
          <cell r="O25" t="str">
            <v>RUA CASSIANO MARCELO, 923 - 06.036.17.123000</v>
          </cell>
          <cell r="P25">
            <v>45818</v>
          </cell>
          <cell r="Q25" t="str">
            <v>B - B3</v>
          </cell>
          <cell r="R25" t="str">
            <v>62955505193534</v>
          </cell>
          <cell r="U25">
            <v>45786</v>
          </cell>
          <cell r="V25">
            <v>45817</v>
          </cell>
          <cell r="W25">
            <v>45847</v>
          </cell>
          <cell r="X25">
            <v>45844</v>
          </cell>
          <cell r="Y25" t="str">
            <v/>
          </cell>
          <cell r="AA25" t="str">
            <v>010.679.970-002</v>
          </cell>
          <cell r="AB25" t="str">
            <v>trifasico</v>
          </cell>
          <cell r="AC25" t="str">
            <v>convencional</v>
          </cell>
          <cell r="AD25">
            <v>219.64</v>
          </cell>
          <cell r="AE25" t="str">
            <v>34191.09115 42553.022932 85972.140009 4 11340000021964</v>
          </cell>
          <cell r="AF25" t="str">
            <v>IGREJA DO EVANGELHO QUADRANGULAR</v>
          </cell>
          <cell r="AL25">
            <v>225</v>
          </cell>
          <cell r="AM25">
            <v>1.1602513513513515</v>
          </cell>
          <cell r="AN25">
            <v>261.05655405405406</v>
          </cell>
          <cell r="AO25">
            <v>1.1264000000000001</v>
          </cell>
          <cell r="AX25">
            <v>77</v>
          </cell>
          <cell r="AY25">
            <v>1.1602149877149879</v>
          </cell>
          <cell r="AZ25">
            <v>-89.336554054054062</v>
          </cell>
          <cell r="BA25">
            <v>1.1263636363636365</v>
          </cell>
          <cell r="DR25">
            <v>77</v>
          </cell>
          <cell r="DS25">
            <v>1.1602149877149879</v>
          </cell>
          <cell r="DT25">
            <v>-89.336554054054062</v>
          </cell>
          <cell r="DU25">
            <v>1.1263636363636365</v>
          </cell>
          <cell r="ET25">
            <v>77</v>
          </cell>
          <cell r="EX25">
            <v>0</v>
          </cell>
          <cell r="EZ25">
            <v>5.01</v>
          </cell>
          <cell r="FA25">
            <v>47.92</v>
          </cell>
          <cell r="FM25">
            <v>142.52000000000001</v>
          </cell>
          <cell r="FN25">
            <v>4.9954999999999999E-2</v>
          </cell>
          <cell r="FO25">
            <v>7.13</v>
          </cell>
          <cell r="FP25">
            <v>142.52000000000001</v>
          </cell>
          <cell r="FQ25">
            <v>1.0845E-2</v>
          </cell>
          <cell r="FR25">
            <v>1.54</v>
          </cell>
          <cell r="FS25">
            <v>171.72</v>
          </cell>
          <cell r="FT25">
            <v>0.17</v>
          </cell>
          <cell r="FU25">
            <v>29.19</v>
          </cell>
          <cell r="GD25">
            <v>225</v>
          </cell>
          <cell r="GE25">
            <v>18245</v>
          </cell>
          <cell r="GF25">
            <v>18020</v>
          </cell>
          <cell r="GG25">
            <v>1</v>
          </cell>
          <cell r="HU25">
            <v>224</v>
          </cell>
          <cell r="HY25">
            <v>342</v>
          </cell>
          <cell r="IC25">
            <v>531</v>
          </cell>
          <cell r="IG25">
            <v>556</v>
          </cell>
          <cell r="IK25">
            <v>379</v>
          </cell>
          <cell r="IO25">
            <v>437</v>
          </cell>
          <cell r="IS25">
            <v>296</v>
          </cell>
          <cell r="IW25">
            <v>300</v>
          </cell>
        </row>
        <row r="26">
          <cell r="A26" t="str">
            <v/>
          </cell>
          <cell r="B26" t="str">
            <v>10/510330-4</v>
          </cell>
          <cell r="C26" t="str">
            <v>Morumbi 3671</v>
          </cell>
          <cell r="F26" t="str">
            <v>energisa_ms</v>
          </cell>
          <cell r="G26" t="str">
            <v>Morumbi 3671</v>
          </cell>
          <cell r="H26" t="str">
            <v>Igreja do Evangelho Quadrangular</v>
          </cell>
          <cell r="I26">
            <v>45809</v>
          </cell>
          <cell r="J26" t="str">
            <v>COMERCIAL - TEMPLOS RELIGIOSOS</v>
          </cell>
          <cell r="K26" t="str">
            <v>79904312</v>
          </cell>
          <cell r="L26" t="str">
            <v>MS</v>
          </cell>
          <cell r="M26" t="str">
            <v>PONTA PORA</v>
          </cell>
          <cell r="N26" t="str">
            <v>PORTAL DO MORUMBI</v>
          </cell>
          <cell r="O26" t="str">
            <v>TRAVESSA JOSE MAURO OCAMPOS, 498 - 02.032.10.221000</v>
          </cell>
          <cell r="P26">
            <v>45825</v>
          </cell>
          <cell r="Q26" t="str">
            <v>B - B3</v>
          </cell>
          <cell r="R26" t="str">
            <v>62955505367117</v>
          </cell>
          <cell r="U26">
            <v>45792</v>
          </cell>
          <cell r="V26">
            <v>45824</v>
          </cell>
          <cell r="W26">
            <v>45854</v>
          </cell>
          <cell r="X26">
            <v>45839</v>
          </cell>
          <cell r="Y26" t="str">
            <v/>
          </cell>
          <cell r="AA26" t="str">
            <v>010.775.268-002</v>
          </cell>
          <cell r="AB26" t="str">
            <v>trifasico</v>
          </cell>
          <cell r="AC26" t="str">
            <v>convencional</v>
          </cell>
          <cell r="AD26">
            <v>388.01</v>
          </cell>
          <cell r="AE26" t="str">
            <v>34191.09115 55778.602932 85972.140009 1 11290000038801</v>
          </cell>
          <cell r="AF26" t="str">
            <v>IGREJA DO EVANGELHO QUADRANGULAR</v>
          </cell>
          <cell r="AL26">
            <v>326</v>
          </cell>
          <cell r="AM26">
            <v>1.167199573410735</v>
          </cell>
          <cell r="AN26">
            <v>380.50706093189962</v>
          </cell>
          <cell r="AO26">
            <v>1.1264110429447851</v>
          </cell>
          <cell r="AX26">
            <v>47</v>
          </cell>
          <cell r="AY26">
            <v>1.1671715091893542</v>
          </cell>
          <cell r="AZ26">
            <v>-54.857060931899646</v>
          </cell>
          <cell r="BA26">
            <v>1.1263829787234043</v>
          </cell>
          <cell r="DR26">
            <v>47</v>
          </cell>
          <cell r="DS26">
            <v>1.1671715091893542</v>
          </cell>
          <cell r="DT26">
            <v>-54.857060931899646</v>
          </cell>
          <cell r="DU26">
            <v>1.1263829787234043</v>
          </cell>
          <cell r="ET26">
            <v>47</v>
          </cell>
          <cell r="EX26">
            <v>0</v>
          </cell>
          <cell r="EZ26">
            <v>11.379999999999999</v>
          </cell>
          <cell r="FA26">
            <v>59.98</v>
          </cell>
          <cell r="FC26">
            <v>2.38</v>
          </cell>
          <cell r="FM26">
            <v>270.3</v>
          </cell>
          <cell r="FN26">
            <v>4.9954999999999999E-2</v>
          </cell>
          <cell r="FO26">
            <v>13.51</v>
          </cell>
          <cell r="FP26">
            <v>270.3</v>
          </cell>
          <cell r="FQ26">
            <v>1.0845E-2</v>
          </cell>
          <cell r="FR26">
            <v>2.92</v>
          </cell>
          <cell r="FS26">
            <v>325.64999999999998</v>
          </cell>
          <cell r="FT26">
            <v>0.17</v>
          </cell>
          <cell r="FU26">
            <v>55.36</v>
          </cell>
          <cell r="GD26">
            <v>326</v>
          </cell>
          <cell r="GE26">
            <v>19710</v>
          </cell>
          <cell r="GF26">
            <v>19384</v>
          </cell>
          <cell r="GG26">
            <v>1</v>
          </cell>
          <cell r="HU26">
            <v>426</v>
          </cell>
          <cell r="HY26">
            <v>585</v>
          </cell>
          <cell r="IC26">
            <v>808</v>
          </cell>
          <cell r="IG26">
            <v>700</v>
          </cell>
          <cell r="IK26">
            <v>767</v>
          </cell>
          <cell r="IO26">
            <v>813</v>
          </cell>
          <cell r="IS26">
            <v>597</v>
          </cell>
          <cell r="IW26">
            <v>636</v>
          </cell>
        </row>
        <row r="27">
          <cell r="A27" t="str">
            <v>10/1433087-2</v>
          </cell>
          <cell r="B27" t="str">
            <v>10/1433087-2</v>
          </cell>
          <cell r="F27" t="str">
            <v>energisa_ms</v>
          </cell>
          <cell r="H27" t="str">
            <v>10/1433087-2</v>
          </cell>
          <cell r="I27">
            <v>45809</v>
          </cell>
          <cell r="J27" t="str">
            <v>COMERCIAL - TEMPLOS RELIGIOSOS</v>
          </cell>
          <cell r="K27" t="str">
            <v>79780000</v>
          </cell>
          <cell r="L27" t="str">
            <v>MS</v>
          </cell>
          <cell r="M27" t="str">
            <v>BATAGUASSU</v>
          </cell>
          <cell r="N27" t="str">
            <v>JARDIM SANTA LUZIA</v>
          </cell>
          <cell r="O27" t="str">
            <v>RUA RECANTO, 126 - 01.057.03.577000</v>
          </cell>
          <cell r="P27">
            <v>45826</v>
          </cell>
          <cell r="Q27" t="str">
            <v>B - B3</v>
          </cell>
          <cell r="R27" t="str">
            <v>62955505419443</v>
          </cell>
          <cell r="U27">
            <v>45793</v>
          </cell>
          <cell r="V27">
            <v>45825</v>
          </cell>
          <cell r="W27">
            <v>45855</v>
          </cell>
          <cell r="X27">
            <v>45839</v>
          </cell>
          <cell r="Y27" t="str">
            <v/>
          </cell>
          <cell r="AA27" t="str">
            <v>010.800.949-002</v>
          </cell>
          <cell r="AB27" t="str">
            <v>trifasico</v>
          </cell>
          <cell r="AC27" t="str">
            <v>convencional</v>
          </cell>
          <cell r="AD27">
            <v>174.15</v>
          </cell>
          <cell r="AE27" t="str">
            <v>34191.09115 61360.392932 85972.140009 5 11290000017415</v>
          </cell>
          <cell r="AF27" t="str">
            <v>IGREJA DO EVANGELHO QUADRANGULAR</v>
          </cell>
          <cell r="AL27">
            <v>135</v>
          </cell>
          <cell r="AM27">
            <v>1.1681481481481482</v>
          </cell>
          <cell r="AN27">
            <v>157.69999999999999</v>
          </cell>
          <cell r="AO27">
            <v>1.1263703703703705</v>
          </cell>
          <cell r="EX27">
            <v>0</v>
          </cell>
          <cell r="EZ27">
            <v>5.6400000000000006</v>
          </cell>
          <cell r="FA27">
            <v>12.33</v>
          </cell>
          <cell r="FC27">
            <v>4.12</v>
          </cell>
          <cell r="FM27">
            <v>130.87</v>
          </cell>
          <cell r="FN27">
            <v>4.9954999999999999E-2</v>
          </cell>
          <cell r="FO27">
            <v>6.53</v>
          </cell>
          <cell r="FP27">
            <v>130.87</v>
          </cell>
          <cell r="FQ27">
            <v>1.0845E-2</v>
          </cell>
          <cell r="FR27">
            <v>1.42</v>
          </cell>
          <cell r="FS27">
            <v>157.69999999999999</v>
          </cell>
          <cell r="FT27">
            <v>0.17</v>
          </cell>
          <cell r="FU27">
            <v>26.8</v>
          </cell>
          <cell r="GD27">
            <v>135</v>
          </cell>
          <cell r="GE27">
            <v>19359</v>
          </cell>
          <cell r="GF27">
            <v>19224</v>
          </cell>
          <cell r="GG27">
            <v>1</v>
          </cell>
          <cell r="HU27">
            <v>156</v>
          </cell>
          <cell r="HY27">
            <v>289</v>
          </cell>
          <cell r="IC27">
            <v>334</v>
          </cell>
          <cell r="IG27">
            <v>279</v>
          </cell>
          <cell r="IK27">
            <v>226</v>
          </cell>
          <cell r="IO27">
            <v>223</v>
          </cell>
          <cell r="IS27">
            <v>216</v>
          </cell>
          <cell r="IW27">
            <v>228</v>
          </cell>
        </row>
        <row r="28">
          <cell r="A28" t="str">
            <v/>
          </cell>
          <cell r="B28" t="str">
            <v>10/1672452-8</v>
          </cell>
          <cell r="C28" t="str">
            <v>172</v>
          </cell>
          <cell r="F28" t="str">
            <v>energisa_ms</v>
          </cell>
          <cell r="G28" t="str">
            <v>17213</v>
          </cell>
          <cell r="H28" t="str">
            <v>Igreja do Evangelho Quadrangular</v>
          </cell>
          <cell r="I28">
            <v>45809</v>
          </cell>
          <cell r="J28" t="str">
            <v>COMERCIAL - TEMPLOS RELIGIOSOS</v>
          </cell>
          <cell r="K28" t="str">
            <v>79290000</v>
          </cell>
          <cell r="L28" t="str">
            <v>MS</v>
          </cell>
          <cell r="M28" t="str">
            <v>BONITO</v>
          </cell>
          <cell r="N28" t="str">
            <v>CENTRO</v>
          </cell>
          <cell r="O28" t="str">
            <v>RUA N SRA DA PENHA, 540 - 06.061.05.037000</v>
          </cell>
          <cell r="P28">
            <v>45820</v>
          </cell>
          <cell r="Q28" t="str">
            <v>B - B3</v>
          </cell>
          <cell r="R28" t="str">
            <v>62955505017213</v>
          </cell>
          <cell r="U28">
            <v>45790</v>
          </cell>
          <cell r="V28">
            <v>45819</v>
          </cell>
          <cell r="W28">
            <v>45849</v>
          </cell>
          <cell r="X28">
            <v>45854</v>
          </cell>
          <cell r="Y28" t="str">
            <v/>
          </cell>
          <cell r="AA28" t="str">
            <v>010.729.087-002</v>
          </cell>
          <cell r="AB28" t="str">
            <v>trifasico</v>
          </cell>
          <cell r="AC28" t="str">
            <v>convencional</v>
          </cell>
          <cell r="AD28">
            <v>143.47</v>
          </cell>
          <cell r="AE28" t="str">
            <v>34191.09115 46883.382932 85972.140009 7 11440000014347</v>
          </cell>
          <cell r="AF28" t="str">
            <v>IGREJA DO EVANGELHO QUADRANGULAR</v>
          </cell>
          <cell r="AL28">
            <v>283</v>
          </cell>
          <cell r="AM28">
            <v>1.1632310954063603</v>
          </cell>
          <cell r="AN28">
            <v>329.19439999999997</v>
          </cell>
          <cell r="AO28">
            <v>1.1264310954063603</v>
          </cell>
          <cell r="AX28">
            <v>183</v>
          </cell>
          <cell r="AY28">
            <v>1.1631934426229507</v>
          </cell>
          <cell r="AZ28">
            <v>-212.86439999999996</v>
          </cell>
          <cell r="BA28">
            <v>1.1263934426229507</v>
          </cell>
          <cell r="DR28">
            <v>183</v>
          </cell>
          <cell r="DS28">
            <v>1.1631934426229507</v>
          </cell>
          <cell r="DT28">
            <v>-212.86439999999996</v>
          </cell>
          <cell r="DU28">
            <v>1.1263934426229507</v>
          </cell>
          <cell r="ET28">
            <v>183</v>
          </cell>
          <cell r="EZ28">
            <v>3.68</v>
          </cell>
          <cell r="FA28">
            <v>24.67</v>
          </cell>
          <cell r="FC28">
            <v>2.4700000000000002</v>
          </cell>
          <cell r="FM28">
            <v>96.56</v>
          </cell>
          <cell r="FN28">
            <v>4.9954999999999999E-2</v>
          </cell>
          <cell r="FO28">
            <v>4.83</v>
          </cell>
          <cell r="FP28">
            <v>96.56</v>
          </cell>
          <cell r="FQ28">
            <v>1.0845E-2</v>
          </cell>
          <cell r="FR28">
            <v>1.06</v>
          </cell>
          <cell r="FS28">
            <v>116.33</v>
          </cell>
          <cell r="FT28">
            <v>0.17</v>
          </cell>
          <cell r="FU28">
            <v>19.77</v>
          </cell>
          <cell r="GD28">
            <v>283</v>
          </cell>
          <cell r="GE28">
            <v>30111</v>
          </cell>
          <cell r="GF28">
            <v>29828</v>
          </cell>
          <cell r="GG28">
            <v>1</v>
          </cell>
          <cell r="HU28">
            <v>456</v>
          </cell>
          <cell r="HY28">
            <v>523</v>
          </cell>
          <cell r="IC28">
            <v>476</v>
          </cell>
          <cell r="IG28">
            <v>564</v>
          </cell>
          <cell r="IK28">
            <v>319</v>
          </cell>
          <cell r="IO28">
            <v>377</v>
          </cell>
          <cell r="IS28">
            <v>301</v>
          </cell>
          <cell r="IW28">
            <v>358</v>
          </cell>
        </row>
        <row r="29">
          <cell r="A29" t="str">
            <v/>
          </cell>
          <cell r="B29" t="str">
            <v>10/29964-4</v>
          </cell>
          <cell r="C29" t="str">
            <v>Popular Nova 676</v>
          </cell>
          <cell r="F29" t="str">
            <v>energisa_ms</v>
          </cell>
          <cell r="G29" t="str">
            <v>Popular Nova 676</v>
          </cell>
          <cell r="H29" t="str">
            <v>Igreja do Evangelho Quadrangular</v>
          </cell>
          <cell r="I29">
            <v>45809</v>
          </cell>
          <cell r="J29" t="str">
            <v>COMERCIAL - TEMPLOS RELIGIOSOS</v>
          </cell>
          <cell r="K29" t="str">
            <v>79321070</v>
          </cell>
          <cell r="L29" t="str">
            <v>MS</v>
          </cell>
          <cell r="M29" t="str">
            <v>CORUMBA</v>
          </cell>
          <cell r="N29" t="str">
            <v>POPULAR NOVA</v>
          </cell>
          <cell r="O29" t="str">
            <v>RUA PARANA, 2481 - 18.003.13.440000</v>
          </cell>
          <cell r="P29">
            <v>45820</v>
          </cell>
          <cell r="Q29" t="str">
            <v>B - B3</v>
          </cell>
          <cell r="R29" t="str">
            <v>62955505067660</v>
          </cell>
          <cell r="U29">
            <v>45790</v>
          </cell>
          <cell r="V29">
            <v>45819</v>
          </cell>
          <cell r="W29">
            <v>45849</v>
          </cell>
          <cell r="X29">
            <v>45831</v>
          </cell>
          <cell r="Y29" t="str">
            <v/>
          </cell>
          <cell r="AA29" t="str">
            <v>010.724.619-002</v>
          </cell>
          <cell r="AB29" t="str">
            <v>trifasico</v>
          </cell>
          <cell r="AC29" t="str">
            <v>convencional</v>
          </cell>
          <cell r="AD29">
            <v>116.31</v>
          </cell>
          <cell r="AE29" t="str">
            <v>34191.09115 46732.642932 85972.140009 8 11210000011631</v>
          </cell>
          <cell r="AF29" t="str">
            <v>IGREJA DO EVANGELHO QUADRANGULAR</v>
          </cell>
          <cell r="AL29">
            <v>388</v>
          </cell>
          <cell r="AM29">
            <v>1.1631175257731958</v>
          </cell>
          <cell r="AN29">
            <v>451.28960000000001</v>
          </cell>
          <cell r="AO29">
            <v>1.1264175257731959</v>
          </cell>
          <cell r="AX29">
            <v>288</v>
          </cell>
          <cell r="AY29">
            <v>1.1631236111111112</v>
          </cell>
          <cell r="AZ29">
            <v>-334.9796</v>
          </cell>
          <cell r="BA29">
            <v>1.1264236111111112</v>
          </cell>
          <cell r="DR29">
            <v>288</v>
          </cell>
          <cell r="DS29">
            <v>1.1631236111111112</v>
          </cell>
          <cell r="DT29">
            <v>-334.9796</v>
          </cell>
          <cell r="DU29">
            <v>1.1264236111111112</v>
          </cell>
          <cell r="ET29">
            <v>288</v>
          </cell>
          <cell r="EX29">
            <v>466</v>
          </cell>
          <cell r="EZ29">
            <v>3.67</v>
          </cell>
          <cell r="FM29">
            <v>96.55</v>
          </cell>
          <cell r="FN29">
            <v>4.9954999999999999E-2</v>
          </cell>
          <cell r="FO29">
            <v>4.82</v>
          </cell>
          <cell r="FP29">
            <v>96.55</v>
          </cell>
          <cell r="FQ29">
            <v>1.0845E-2</v>
          </cell>
          <cell r="FR29">
            <v>1.03</v>
          </cell>
          <cell r="FS29">
            <v>116.31</v>
          </cell>
          <cell r="FT29">
            <v>0.17</v>
          </cell>
          <cell r="FU29">
            <v>19.77</v>
          </cell>
          <cell r="GD29">
            <v>388</v>
          </cell>
          <cell r="GE29">
            <v>40988</v>
          </cell>
          <cell r="GF29">
            <v>40600</v>
          </cell>
          <cell r="GG29">
            <v>1</v>
          </cell>
          <cell r="HU29">
            <v>836</v>
          </cell>
          <cell r="HY29">
            <v>691</v>
          </cell>
          <cell r="IC29">
            <v>715</v>
          </cell>
          <cell r="IG29">
            <v>774</v>
          </cell>
          <cell r="IK29">
            <v>785</v>
          </cell>
          <cell r="IO29">
            <v>797</v>
          </cell>
          <cell r="IS29">
            <v>728</v>
          </cell>
          <cell r="IW29">
            <v>758</v>
          </cell>
        </row>
        <row r="30">
          <cell r="A30" t="str">
            <v/>
          </cell>
          <cell r="B30" t="str">
            <v>10/925970-6</v>
          </cell>
          <cell r="C30" t="str">
            <v>577</v>
          </cell>
          <cell r="F30" t="str">
            <v>energisa_ms</v>
          </cell>
          <cell r="G30" t="str">
            <v>577</v>
          </cell>
          <cell r="H30" t="str">
            <v>Igreja do Evangelho Quadrangular</v>
          </cell>
          <cell r="I30">
            <v>45809</v>
          </cell>
          <cell r="J30" t="str">
            <v>COMERCIAL - TEMPLOS RELIGIOSOS</v>
          </cell>
          <cell r="K30" t="str">
            <v>79940000</v>
          </cell>
          <cell r="L30" t="str">
            <v>MS</v>
          </cell>
          <cell r="M30" t="str">
            <v>CAARAPO</v>
          </cell>
          <cell r="N30" t="str">
            <v>CENTRO</v>
          </cell>
          <cell r="O30" t="str">
            <v>RUA DOM PEDRO II, 361 - 12.025.01.066000</v>
          </cell>
          <cell r="P30">
            <v>45831</v>
          </cell>
          <cell r="Q30" t="str">
            <v>B - B3</v>
          </cell>
          <cell r="R30" t="str">
            <v>62955505057789</v>
          </cell>
          <cell r="U30">
            <v>45797</v>
          </cell>
          <cell r="V30">
            <v>45828</v>
          </cell>
          <cell r="W30">
            <v>45859</v>
          </cell>
          <cell r="X30">
            <v>45863</v>
          </cell>
          <cell r="Y30" t="str">
            <v/>
          </cell>
          <cell r="AA30" t="str">
            <v>010.842.480-002</v>
          </cell>
          <cell r="AB30" t="str">
            <v>trifasico</v>
          </cell>
          <cell r="AC30" t="str">
            <v>convencional</v>
          </cell>
          <cell r="AD30">
            <v>108.57</v>
          </cell>
          <cell r="AE30" t="str">
            <v>34191.09115 65612.282932 85972.140009 1 11530000010857</v>
          </cell>
          <cell r="AF30" t="str">
            <v>IGREJA DO EVANGELHO QUADRANGULAR</v>
          </cell>
          <cell r="AL30">
            <v>278</v>
          </cell>
          <cell r="AM30">
            <v>1.1717513489208633</v>
          </cell>
          <cell r="AN30">
            <v>325.74687499999999</v>
          </cell>
          <cell r="AO30">
            <v>1.1264388489208632</v>
          </cell>
          <cell r="AX30">
            <v>214</v>
          </cell>
          <cell r="AY30">
            <v>1.014845210280374</v>
          </cell>
          <cell r="AZ30">
            <v>-217.17687500000005</v>
          </cell>
          <cell r="BA30">
            <v>1.1264018691588786</v>
          </cell>
          <cell r="DZ30">
            <v>214</v>
          </cell>
          <cell r="EA30">
            <v>1.1717143691588787</v>
          </cell>
          <cell r="EB30">
            <v>-250.74687500000005</v>
          </cell>
          <cell r="EC30">
            <v>1.1264018691588786</v>
          </cell>
          <cell r="ET30">
            <v>214</v>
          </cell>
          <cell r="EV30">
            <v>1278</v>
          </cell>
          <cell r="EW30">
            <v>1278</v>
          </cell>
          <cell r="EX30">
            <v>396</v>
          </cell>
          <cell r="EZ30">
            <v>2.9</v>
          </cell>
          <cell r="FL30">
            <v>33.57</v>
          </cell>
          <cell r="FM30">
            <v>62.25</v>
          </cell>
          <cell r="FN30">
            <v>4.9954999999999999E-2</v>
          </cell>
          <cell r="FO30">
            <v>3.11</v>
          </cell>
          <cell r="FP30">
            <v>62.25</v>
          </cell>
          <cell r="FQ30">
            <v>1.0845E-2</v>
          </cell>
          <cell r="FR30">
            <v>0.67</v>
          </cell>
          <cell r="FS30">
            <v>75</v>
          </cell>
          <cell r="FT30">
            <v>0.17</v>
          </cell>
          <cell r="FU30">
            <v>12.74</v>
          </cell>
          <cell r="GD30">
            <v>278</v>
          </cell>
          <cell r="GE30">
            <v>560</v>
          </cell>
          <cell r="GF30">
            <v>282</v>
          </cell>
          <cell r="GG30">
            <v>1</v>
          </cell>
          <cell r="HP30">
            <v>1278</v>
          </cell>
          <cell r="HQ30">
            <v>2151</v>
          </cell>
          <cell r="HR30">
            <v>873</v>
          </cell>
          <cell r="HS30">
            <v>1</v>
          </cell>
          <cell r="HU30">
            <v>449</v>
          </cell>
          <cell r="HY30">
            <v>631</v>
          </cell>
          <cell r="IC30">
            <v>994</v>
          </cell>
          <cell r="IG30">
            <v>965</v>
          </cell>
          <cell r="IK30">
            <v>790</v>
          </cell>
          <cell r="IO30">
            <v>720</v>
          </cell>
          <cell r="IS30">
            <v>750</v>
          </cell>
          <cell r="IW30">
            <v>789</v>
          </cell>
        </row>
        <row r="31">
          <cell r="A31" t="str">
            <v/>
          </cell>
          <cell r="B31" t="str">
            <v>10/1939035-0</v>
          </cell>
          <cell r="C31" t="str">
            <v>Bataguassu 4194 - Adicionada</v>
          </cell>
          <cell r="F31" t="str">
            <v>energisa_ms</v>
          </cell>
          <cell r="G31" t="str">
            <v>4465</v>
          </cell>
          <cell r="H31" t="str">
            <v>Igreja do Evangelho Quadrangular</v>
          </cell>
          <cell r="I31">
            <v>45809</v>
          </cell>
          <cell r="J31" t="str">
            <v>RESIDENCIAL - RESIDENCIAL</v>
          </cell>
          <cell r="K31" t="str">
            <v>79780000</v>
          </cell>
          <cell r="L31" t="str">
            <v>MS</v>
          </cell>
          <cell r="M31" t="str">
            <v>BATAGUASSU</v>
          </cell>
          <cell r="N31" t="str">
            <v>RESIDENCIAL MODELO II</v>
          </cell>
          <cell r="O31" t="str">
            <v>RUA NOVE, 121 - QD E LT 1B</v>
          </cell>
          <cell r="P31">
            <v>45825</v>
          </cell>
          <cell r="Q31" t="str">
            <v>B - B1</v>
          </cell>
          <cell r="R31" t="str">
            <v>62955505419443</v>
          </cell>
          <cell r="U31">
            <v>45792</v>
          </cell>
          <cell r="V31">
            <v>45824</v>
          </cell>
          <cell r="W31">
            <v>45854</v>
          </cell>
          <cell r="X31">
            <v>45854</v>
          </cell>
          <cell r="Y31" t="str">
            <v/>
          </cell>
          <cell r="AA31" t="str">
            <v>010.778.544-002</v>
          </cell>
          <cell r="AB31" t="str">
            <v>bifasico</v>
          </cell>
          <cell r="AC31" t="str">
            <v>convencional</v>
          </cell>
          <cell r="AD31">
            <v>86.74</v>
          </cell>
          <cell r="AE31" t="str">
            <v>34191.09115 55890.482932 85972.140009 1 11440000008674</v>
          </cell>
          <cell r="AF31" t="str">
            <v>IGREJA DO EVANGELHO QUADRANGULAR</v>
          </cell>
          <cell r="AL31">
            <v>253</v>
          </cell>
          <cell r="AM31">
            <v>1.1684031620553361</v>
          </cell>
          <cell r="AN31">
            <v>295.60600000000005</v>
          </cell>
          <cell r="AO31">
            <v>1.1264031620553361</v>
          </cell>
          <cell r="AX31">
            <v>218</v>
          </cell>
          <cell r="AY31">
            <v>1.1043394495412844</v>
          </cell>
          <cell r="AZ31">
            <v>-240.74599999999998</v>
          </cell>
          <cell r="BA31">
            <v>1.1263761467889908</v>
          </cell>
          <cell r="DR31">
            <v>218</v>
          </cell>
          <cell r="DS31">
            <v>1.1683761467889908</v>
          </cell>
          <cell r="DT31">
            <v>-254.70599999999999</v>
          </cell>
          <cell r="DU31">
            <v>1.1263761467889908</v>
          </cell>
          <cell r="ET31">
            <v>218</v>
          </cell>
          <cell r="EX31">
            <v>407</v>
          </cell>
          <cell r="EZ31">
            <v>1.47</v>
          </cell>
          <cell r="FA31">
            <v>30.83</v>
          </cell>
          <cell r="FC31">
            <v>1.05</v>
          </cell>
          <cell r="FL31">
            <v>13.96</v>
          </cell>
          <cell r="FM31">
            <v>33.97</v>
          </cell>
          <cell r="FN31">
            <v>4.9954999999999999E-2</v>
          </cell>
          <cell r="FO31">
            <v>1.71</v>
          </cell>
          <cell r="FP31">
            <v>33.97</v>
          </cell>
          <cell r="FQ31">
            <v>1.0845E-2</v>
          </cell>
          <cell r="FR31">
            <v>0.37</v>
          </cell>
          <cell r="FS31">
            <v>40.9</v>
          </cell>
          <cell r="FT31">
            <v>0.17</v>
          </cell>
          <cell r="FU31">
            <v>6.95</v>
          </cell>
          <cell r="GD31">
            <v>253</v>
          </cell>
          <cell r="GE31">
            <v>25912</v>
          </cell>
          <cell r="GF31">
            <v>25659</v>
          </cell>
          <cell r="GG31">
            <v>1</v>
          </cell>
          <cell r="HU31">
            <v>228</v>
          </cell>
          <cell r="HY31">
            <v>363</v>
          </cell>
          <cell r="IC31">
            <v>545</v>
          </cell>
          <cell r="IG31">
            <v>417</v>
          </cell>
          <cell r="IK31">
            <v>386</v>
          </cell>
          <cell r="IO31">
            <v>451</v>
          </cell>
          <cell r="IS31">
            <v>310</v>
          </cell>
          <cell r="IW31">
            <v>400</v>
          </cell>
        </row>
        <row r="32">
          <cell r="A32" t="str">
            <v/>
          </cell>
          <cell r="B32" t="str">
            <v>10/364440-8</v>
          </cell>
          <cell r="C32" t="str">
            <v>Sede 151</v>
          </cell>
          <cell r="F32" t="str">
            <v>energisa_ms</v>
          </cell>
          <cell r="G32" t="str">
            <v>Sede 151</v>
          </cell>
          <cell r="H32" t="str">
            <v>Igreja do Evangelho Quadrangular</v>
          </cell>
          <cell r="I32">
            <v>45809</v>
          </cell>
          <cell r="J32" t="str">
            <v>COMERCIAL - TEMPLOS RELIGIOSOS</v>
          </cell>
          <cell r="K32" t="str">
            <v>79006001</v>
          </cell>
          <cell r="L32" t="str">
            <v>MS</v>
          </cell>
          <cell r="M32" t="str">
            <v>CAMPO GRANDE</v>
          </cell>
          <cell r="N32" t="str">
            <v>GUANANDI</v>
          </cell>
          <cell r="O32" t="str">
            <v>AVENIDA BANDEIRANTES, 1437 - 04.103.21.157000</v>
          </cell>
          <cell r="P32">
            <v>45817</v>
          </cell>
          <cell r="Q32" t="str">
            <v>B - B3</v>
          </cell>
          <cell r="R32" t="str">
            <v>62955505015199</v>
          </cell>
          <cell r="U32">
            <v>45785</v>
          </cell>
          <cell r="V32">
            <v>45814</v>
          </cell>
          <cell r="W32">
            <v>45846</v>
          </cell>
          <cell r="X32">
            <v>45825</v>
          </cell>
          <cell r="Y32" t="str">
            <v/>
          </cell>
          <cell r="AA32" t="str">
            <v>010.658.443-002</v>
          </cell>
          <cell r="AB32" t="str">
            <v>trifasico</v>
          </cell>
          <cell r="AC32" t="str">
            <v>convencional</v>
          </cell>
          <cell r="AD32">
            <v>95.4</v>
          </cell>
          <cell r="AF32" t="str">
            <v>IGREJA DO EVANGELHO QUADRANGULAR</v>
          </cell>
          <cell r="AL32">
            <v>2580</v>
          </cell>
          <cell r="AM32">
            <v>1.1864379844961241</v>
          </cell>
          <cell r="AN32">
            <v>3061.01</v>
          </cell>
          <cell r="AO32">
            <v>1.1264379844961241</v>
          </cell>
          <cell r="AX32">
            <v>2579</v>
          </cell>
          <cell r="AY32">
            <v>1.1517603722373013</v>
          </cell>
          <cell r="AZ32">
            <v>-2970.3900000000003</v>
          </cell>
          <cell r="BA32">
            <v>1.1264366033346258</v>
          </cell>
          <cell r="DR32">
            <v>2579</v>
          </cell>
          <cell r="DS32">
            <v>1.1864366033346259</v>
          </cell>
          <cell r="DT32">
            <v>-3059.82</v>
          </cell>
          <cell r="DU32">
            <v>1.1264366033346258</v>
          </cell>
          <cell r="ET32">
            <v>2579</v>
          </cell>
          <cell r="EX32">
            <v>4938</v>
          </cell>
          <cell r="EZ32">
            <v>0.06</v>
          </cell>
          <cell r="FC32">
            <v>4.78</v>
          </cell>
          <cell r="FL32">
            <v>89.43</v>
          </cell>
          <cell r="FM32">
            <v>1.01</v>
          </cell>
          <cell r="FN32">
            <v>4.9954999999999999E-2</v>
          </cell>
          <cell r="FO32">
            <v>0.06</v>
          </cell>
          <cell r="FP32">
            <v>1.01</v>
          </cell>
          <cell r="FQ32">
            <v>1.0845E-2</v>
          </cell>
          <cell r="FR32">
            <v>0.01</v>
          </cell>
          <cell r="FS32">
            <v>1.19</v>
          </cell>
          <cell r="FT32">
            <v>0.17</v>
          </cell>
          <cell r="FU32">
            <v>0.2</v>
          </cell>
          <cell r="GD32">
            <v>2580</v>
          </cell>
          <cell r="GE32">
            <v>18654</v>
          </cell>
          <cell r="GF32">
            <v>16074</v>
          </cell>
          <cell r="GG32">
            <v>1</v>
          </cell>
          <cell r="HU32">
            <v>2659</v>
          </cell>
          <cell r="HY32">
            <v>2722</v>
          </cell>
          <cell r="IC32">
            <v>2706</v>
          </cell>
          <cell r="IG32">
            <v>2675</v>
          </cell>
          <cell r="IK32">
            <v>2647</v>
          </cell>
          <cell r="IO32">
            <v>2665</v>
          </cell>
          <cell r="IS32">
            <v>2665.71</v>
          </cell>
          <cell r="IW32">
            <v>2665.71</v>
          </cell>
        </row>
        <row r="33">
          <cell r="A33" t="str">
            <v/>
          </cell>
          <cell r="B33" t="str">
            <v>10/257864-9</v>
          </cell>
          <cell r="C33" t="str">
            <v>Itaquirai 1821</v>
          </cell>
          <cell r="F33" t="str">
            <v>energisa_ms</v>
          </cell>
          <cell r="G33" t="str">
            <v>Itaquirai 1821</v>
          </cell>
          <cell r="H33" t="str">
            <v>Igreja do Evangelho Quadrangular</v>
          </cell>
          <cell r="I33">
            <v>45809</v>
          </cell>
          <cell r="J33" t="str">
            <v>COMERCIAL - TEMPLOS RELIGIOSOS</v>
          </cell>
          <cell r="K33" t="str">
            <v>79965000</v>
          </cell>
          <cell r="L33" t="str">
            <v>MS</v>
          </cell>
          <cell r="M33" t="str">
            <v>ITAQUIRAI</v>
          </cell>
          <cell r="N33" t="str">
            <v>CENTRO</v>
          </cell>
          <cell r="O33" t="str">
            <v>RUA SEN TEOTONIO VILELA, 427 - 11.074.05.148000</v>
          </cell>
          <cell r="P33">
            <v>45819</v>
          </cell>
          <cell r="Q33" t="str">
            <v>B - B3</v>
          </cell>
          <cell r="R33" t="str">
            <v>62955505182176</v>
          </cell>
          <cell r="U33">
            <v>45789</v>
          </cell>
          <cell r="V33">
            <v>45818</v>
          </cell>
          <cell r="W33">
            <v>45848</v>
          </cell>
          <cell r="X33">
            <v>45853</v>
          </cell>
          <cell r="Y33" t="str">
            <v/>
          </cell>
          <cell r="AA33" t="str">
            <v>010.707.187-002</v>
          </cell>
          <cell r="AB33" t="str">
            <v>bifasico</v>
          </cell>
          <cell r="AC33" t="str">
            <v>convencional</v>
          </cell>
          <cell r="AD33">
            <v>83.63</v>
          </cell>
          <cell r="AE33" t="str">
            <v>34191.09115 46067.692932 85972.140009 4 11430000008363</v>
          </cell>
          <cell r="AF33" t="str">
            <v>IGREJA DO EVANGELHO QUADRANGULAR</v>
          </cell>
          <cell r="AL33">
            <v>99</v>
          </cell>
          <cell r="AM33">
            <v>1.1619374068554398</v>
          </cell>
          <cell r="AN33">
            <v>115.03180327868854</v>
          </cell>
          <cell r="AO33">
            <v>1.1263636363636365</v>
          </cell>
          <cell r="AX33">
            <v>38</v>
          </cell>
          <cell r="AY33">
            <v>1.1618895599654875</v>
          </cell>
          <cell r="AZ33">
            <v>-44.151803278688526</v>
          </cell>
          <cell r="BA33">
            <v>1.1263157894736842</v>
          </cell>
          <cell r="DR33">
            <v>38</v>
          </cell>
          <cell r="DS33">
            <v>1.1618895599654875</v>
          </cell>
          <cell r="DT33">
            <v>-44.151803278688526</v>
          </cell>
          <cell r="DU33">
            <v>1.1263157894736842</v>
          </cell>
          <cell r="ET33">
            <v>38</v>
          </cell>
          <cell r="EX33">
            <v>0</v>
          </cell>
          <cell r="EZ33">
            <v>2.17</v>
          </cell>
          <cell r="FA33">
            <v>12.75</v>
          </cell>
          <cell r="FM33">
            <v>58.82</v>
          </cell>
          <cell r="FN33">
            <v>4.9954999999999999E-2</v>
          </cell>
          <cell r="FO33">
            <v>2.94</v>
          </cell>
          <cell r="FP33">
            <v>58.82</v>
          </cell>
          <cell r="FQ33">
            <v>1.0845E-2</v>
          </cell>
          <cell r="FR33">
            <v>0.64</v>
          </cell>
          <cell r="FS33">
            <v>70.88</v>
          </cell>
          <cell r="FT33">
            <v>0.17</v>
          </cell>
          <cell r="FU33">
            <v>12.04</v>
          </cell>
          <cell r="GD33">
            <v>99</v>
          </cell>
          <cell r="GE33">
            <v>24250</v>
          </cell>
          <cell r="GF33">
            <v>24151</v>
          </cell>
          <cell r="GG33">
            <v>1</v>
          </cell>
          <cell r="HU33">
            <v>221</v>
          </cell>
          <cell r="HY33">
            <v>226</v>
          </cell>
          <cell r="IC33">
            <v>250</v>
          </cell>
          <cell r="IG33">
            <v>277</v>
          </cell>
          <cell r="IK33">
            <v>248</v>
          </cell>
          <cell r="IO33">
            <v>236</v>
          </cell>
          <cell r="IS33">
            <v>177</v>
          </cell>
          <cell r="IW33">
            <v>132</v>
          </cell>
        </row>
        <row r="34">
          <cell r="A34" t="str">
            <v/>
          </cell>
          <cell r="B34" t="str">
            <v>10/3092868-3</v>
          </cell>
          <cell r="C34" t="str">
            <v>4465</v>
          </cell>
          <cell r="F34" t="str">
            <v>energisa_ms</v>
          </cell>
          <cell r="G34" t="str">
            <v>4465</v>
          </cell>
          <cell r="H34" t="str">
            <v>Igreja do Evangelho Quadrangular</v>
          </cell>
          <cell r="I34">
            <v>45809</v>
          </cell>
          <cell r="J34" t="str">
            <v>COMERCIAL - TEMPLOS RELIGIOSOS</v>
          </cell>
          <cell r="K34" t="str">
            <v>79782000</v>
          </cell>
          <cell r="L34" t="str">
            <v>MS</v>
          </cell>
          <cell r="M34" t="str">
            <v>BATAGUASSU</v>
          </cell>
          <cell r="N34" t="str">
            <v>NOVA PORTO XV</v>
          </cell>
          <cell r="O34" t="str">
            <v>RUA ELMODAM OLIVEIRA SOARES, 1909 - QD 19 LT 09 -15.85.330.718200</v>
          </cell>
          <cell r="P34">
            <v>45828</v>
          </cell>
          <cell r="Q34" t="str">
            <v>B - B3</v>
          </cell>
          <cell r="R34" t="str">
            <v>6X.XXX.XXX/XXX4-43</v>
          </cell>
          <cell r="U34">
            <v>45796</v>
          </cell>
          <cell r="V34">
            <v>45826</v>
          </cell>
          <cell r="W34">
            <v>45856</v>
          </cell>
          <cell r="X34">
            <v>45839</v>
          </cell>
          <cell r="Y34" t="str">
            <v/>
          </cell>
          <cell r="Z34" t="str">
            <v>true</v>
          </cell>
          <cell r="AA34" t="str">
            <v>010.823.682-002</v>
          </cell>
          <cell r="AB34" t="str">
            <v>trifasico</v>
          </cell>
          <cell r="AC34" t="str">
            <v>convencional</v>
          </cell>
          <cell r="AD34">
            <v>177.9</v>
          </cell>
          <cell r="AF34" t="str">
            <v>IGREJA DO EVANGELHO QUADRANGULAR</v>
          </cell>
          <cell r="AL34">
            <v>216</v>
          </cell>
          <cell r="AM34">
            <v>1.170382553606238</v>
          </cell>
          <cell r="AN34">
            <v>252.8026315789474</v>
          </cell>
          <cell r="AO34">
            <v>1.1264351851851853</v>
          </cell>
          <cell r="AX34">
            <v>64</v>
          </cell>
          <cell r="AY34">
            <v>1.1703536184210528</v>
          </cell>
          <cell r="AZ34">
            <v>-74.902631578947378</v>
          </cell>
          <cell r="BA34">
            <v>1.1264062500000001</v>
          </cell>
          <cell r="DR34">
            <v>64</v>
          </cell>
          <cell r="DS34">
            <v>1.1703536184210528</v>
          </cell>
          <cell r="DT34">
            <v>-74.902631578947378</v>
          </cell>
          <cell r="DU34">
            <v>1.1264062500000001</v>
          </cell>
          <cell r="ET34">
            <v>64</v>
          </cell>
          <cell r="EX34">
            <v>0</v>
          </cell>
          <cell r="EZ34">
            <v>6.68</v>
          </cell>
          <cell r="FM34">
            <v>147.65</v>
          </cell>
          <cell r="FN34">
            <v>4.9954999999999999E-2</v>
          </cell>
          <cell r="FO34">
            <v>7.38</v>
          </cell>
          <cell r="FP34">
            <v>147.65</v>
          </cell>
          <cell r="FQ34">
            <v>1.0845E-2</v>
          </cell>
          <cell r="FR34">
            <v>1.61</v>
          </cell>
          <cell r="FS34">
            <v>177.9</v>
          </cell>
          <cell r="FT34">
            <v>0.17</v>
          </cell>
          <cell r="FU34">
            <v>30.24</v>
          </cell>
          <cell r="GD34">
            <v>216</v>
          </cell>
          <cell r="GE34">
            <v>39605</v>
          </cell>
          <cell r="GF34">
            <v>39389</v>
          </cell>
          <cell r="GG34">
            <v>1</v>
          </cell>
          <cell r="HU34">
            <v>512</v>
          </cell>
          <cell r="HY34">
            <v>432</v>
          </cell>
          <cell r="IC34">
            <v>619</v>
          </cell>
          <cell r="IG34">
            <v>434</v>
          </cell>
          <cell r="IK34">
            <v>415</v>
          </cell>
          <cell r="IO34">
            <v>403</v>
          </cell>
          <cell r="IS34">
            <v>374</v>
          </cell>
          <cell r="IW34">
            <v>450</v>
          </cell>
        </row>
        <row r="35">
          <cell r="A35" t="str">
            <v/>
          </cell>
          <cell r="B35" t="str">
            <v>10/3170252-5</v>
          </cell>
          <cell r="C35" t="str">
            <v>6917</v>
          </cell>
          <cell r="F35" t="str">
            <v>energisa_ms</v>
          </cell>
          <cell r="G35" t="str">
            <v>6917</v>
          </cell>
          <cell r="H35" t="str">
            <v>Igreja do Evangelho Quadrangular</v>
          </cell>
          <cell r="I35">
            <v>45809</v>
          </cell>
          <cell r="J35" t="str">
            <v>COMERCIAL - TEMPLOS RELIGIOSOS</v>
          </cell>
          <cell r="K35" t="str">
            <v>79680000</v>
          </cell>
          <cell r="L35" t="str">
            <v>MS</v>
          </cell>
          <cell r="M35" t="str">
            <v>AGUA CLARA</v>
          </cell>
          <cell r="N35" t="str">
            <v>JARDIM AEROPORTO</v>
          </cell>
          <cell r="O35" t="str">
            <v>RUA GABRIEL FERREIRA DOMINGUES, 335 - FUNDOS QD 02 LT 14 - 05-073-03-13</v>
          </cell>
          <cell r="P35">
            <v>45825</v>
          </cell>
          <cell r="Q35" t="str">
            <v>B - B3</v>
          </cell>
          <cell r="R35" t="str">
            <v>62955505035629</v>
          </cell>
          <cell r="U35">
            <v>45792</v>
          </cell>
          <cell r="V35">
            <v>45824</v>
          </cell>
          <cell r="W35">
            <v>45854</v>
          </cell>
          <cell r="X35">
            <v>45839</v>
          </cell>
          <cell r="Y35" t="str">
            <v/>
          </cell>
          <cell r="AA35" t="str">
            <v>010.780.246-002</v>
          </cell>
          <cell r="AB35" t="str">
            <v>trifasico</v>
          </cell>
          <cell r="AC35" t="str">
            <v>convencional</v>
          </cell>
          <cell r="AD35">
            <v>268.38</v>
          </cell>
          <cell r="AE35" t="str">
            <v>34191.09115 56176.332932 85972.140009 1 11290000026838</v>
          </cell>
          <cell r="AF35" t="str">
            <v>IGREJA DO EVANGELHO QUADRANGULAR</v>
          </cell>
          <cell r="AL35">
            <v>645</v>
          </cell>
          <cell r="AM35">
            <v>1.1264341085271317</v>
          </cell>
          <cell r="AN35">
            <v>726.55</v>
          </cell>
          <cell r="AX35">
            <v>645</v>
          </cell>
          <cell r="AY35">
            <v>0.96953488372093011</v>
          </cell>
          <cell r="AZ35">
            <v>-625.34999999999991</v>
          </cell>
          <cell r="DZ35">
            <v>645</v>
          </cell>
          <cell r="EA35">
            <v>1.1264341085271317</v>
          </cell>
          <cell r="EB35">
            <v>-726.55</v>
          </cell>
          <cell r="ET35">
            <v>645</v>
          </cell>
          <cell r="EV35">
            <v>2682</v>
          </cell>
          <cell r="EW35">
            <v>2682</v>
          </cell>
          <cell r="EX35">
            <v>27617</v>
          </cell>
          <cell r="FA35">
            <v>164.2</v>
          </cell>
          <cell r="FC35">
            <v>2.98</v>
          </cell>
          <cell r="FL35">
            <v>101.2</v>
          </cell>
          <cell r="FM35">
            <v>0</v>
          </cell>
          <cell r="FN35">
            <v>4.9954999999999999E-2</v>
          </cell>
          <cell r="FO35">
            <v>0</v>
          </cell>
          <cell r="FP35">
            <v>0</v>
          </cell>
          <cell r="FQ35">
            <v>1.0845E-2</v>
          </cell>
          <cell r="FR35">
            <v>0</v>
          </cell>
          <cell r="FS35">
            <v>0</v>
          </cell>
          <cell r="FT35">
            <v>0.17</v>
          </cell>
          <cell r="FU35">
            <v>0</v>
          </cell>
          <cell r="GD35">
            <v>645</v>
          </cell>
          <cell r="GE35">
            <v>13243</v>
          </cell>
          <cell r="GF35">
            <v>12598</v>
          </cell>
          <cell r="GG35">
            <v>1</v>
          </cell>
          <cell r="HP35">
            <v>2682</v>
          </cell>
          <cell r="HQ35">
            <v>41893</v>
          </cell>
          <cell r="HR35">
            <v>39211</v>
          </cell>
          <cell r="HS35">
            <v>1</v>
          </cell>
          <cell r="HU35">
            <v>800</v>
          </cell>
          <cell r="HY35">
            <v>1208</v>
          </cell>
          <cell r="IC35">
            <v>1313</v>
          </cell>
          <cell r="IG35">
            <v>849</v>
          </cell>
          <cell r="IK35">
            <v>1119</v>
          </cell>
          <cell r="IO35">
            <v>1243</v>
          </cell>
          <cell r="IS35">
            <v>834</v>
          </cell>
          <cell r="IW35">
            <v>1101</v>
          </cell>
        </row>
        <row r="36">
          <cell r="A36" t="str">
            <v/>
          </cell>
          <cell r="B36" t="str">
            <v>10/384823-1</v>
          </cell>
          <cell r="C36" t="str">
            <v>Santa Emilia 1593</v>
          </cell>
          <cell r="F36" t="str">
            <v>energisa_ms</v>
          </cell>
          <cell r="G36" t="str">
            <v>Carlos Camisao (3325)</v>
          </cell>
          <cell r="H36" t="str">
            <v>Igreja do Evangelho Quadrangular</v>
          </cell>
          <cell r="I36">
            <v>45809</v>
          </cell>
          <cell r="J36" t="str">
            <v>COMERCIAL - TEMPLOS RELIGIOSOS</v>
          </cell>
          <cell r="K36" t="str">
            <v>79093290</v>
          </cell>
          <cell r="L36" t="str">
            <v>MS</v>
          </cell>
          <cell r="M36" t="str">
            <v>CAMPO GRANDE</v>
          </cell>
          <cell r="N36" t="str">
            <v>JARDIM SAO CONRADO</v>
          </cell>
          <cell r="O36" t="str">
            <v>AVENIDA GEN ALBERTO CARLOS MENDONCA LIMA, 2385 - 09.103.27.350000</v>
          </cell>
          <cell r="P36">
            <v>45818</v>
          </cell>
          <cell r="Q36" t="str">
            <v>B - B3</v>
          </cell>
          <cell r="R36" t="str">
            <v>62955505000167</v>
          </cell>
          <cell r="U36">
            <v>45786</v>
          </cell>
          <cell r="V36">
            <v>45817</v>
          </cell>
          <cell r="W36">
            <v>45847</v>
          </cell>
          <cell r="X36">
            <v>45829</v>
          </cell>
          <cell r="Y36" t="str">
            <v/>
          </cell>
          <cell r="AA36" t="str">
            <v>010.679.463-002</v>
          </cell>
          <cell r="AB36" t="str">
            <v>monofasico</v>
          </cell>
          <cell r="AC36" t="str">
            <v>convencional</v>
          </cell>
          <cell r="AD36">
            <v>33.520000000000003</v>
          </cell>
          <cell r="AF36" t="str">
            <v>IGREJA DO EVANGELHO QUADRANGULAR</v>
          </cell>
          <cell r="AL36">
            <v>155</v>
          </cell>
          <cell r="AM36">
            <v>1.1613870967741935</v>
          </cell>
          <cell r="AN36">
            <v>180.01499999999999</v>
          </cell>
          <cell r="AO36">
            <v>1.1263870967741936</v>
          </cell>
          <cell r="AX36">
            <v>135</v>
          </cell>
          <cell r="AY36">
            <v>1.0904074074074073</v>
          </cell>
          <cell r="AZ36">
            <v>-147.20499999999998</v>
          </cell>
          <cell r="BA36">
            <v>1.1262962962962961</v>
          </cell>
          <cell r="DR36">
            <v>135</v>
          </cell>
          <cell r="DS36">
            <v>1.161296296296296</v>
          </cell>
          <cell r="DT36">
            <v>-156.77499999999998</v>
          </cell>
          <cell r="DU36">
            <v>1.1262962962962961</v>
          </cell>
          <cell r="ET36">
            <v>135</v>
          </cell>
          <cell r="EZ36">
            <v>0.7</v>
          </cell>
          <cell r="FC36">
            <v>0.71000000000000008</v>
          </cell>
          <cell r="FL36">
            <v>9.57</v>
          </cell>
          <cell r="FM36">
            <v>19.38</v>
          </cell>
          <cell r="FN36">
            <v>4.9954999999999999E-2</v>
          </cell>
          <cell r="FO36">
            <v>0.96</v>
          </cell>
          <cell r="FP36">
            <v>19.38</v>
          </cell>
          <cell r="FQ36">
            <v>1.0845E-2</v>
          </cell>
          <cell r="FR36">
            <v>0.2</v>
          </cell>
          <cell r="FS36">
            <v>23.24</v>
          </cell>
          <cell r="FT36">
            <v>0.17</v>
          </cell>
          <cell r="FU36">
            <v>3.95</v>
          </cell>
          <cell r="GD36">
            <v>155</v>
          </cell>
          <cell r="GE36">
            <v>46885</v>
          </cell>
          <cell r="GF36">
            <v>46730</v>
          </cell>
          <cell r="GG36">
            <v>1</v>
          </cell>
          <cell r="HU36">
            <v>150</v>
          </cell>
          <cell r="HY36">
            <v>131</v>
          </cell>
          <cell r="IC36">
            <v>171</v>
          </cell>
          <cell r="IG36">
            <v>143</v>
          </cell>
          <cell r="IK36">
            <v>85</v>
          </cell>
          <cell r="IO36">
            <v>80</v>
          </cell>
          <cell r="IS36">
            <v>63</v>
          </cell>
          <cell r="IW36">
            <v>80</v>
          </cell>
        </row>
        <row r="37">
          <cell r="A37" t="str">
            <v/>
          </cell>
          <cell r="B37" t="str">
            <v>10/135237-6</v>
          </cell>
          <cell r="C37" t="str">
            <v>800</v>
          </cell>
          <cell r="F37" t="str">
            <v>energisa_ms</v>
          </cell>
          <cell r="G37" t="str">
            <v>800</v>
          </cell>
          <cell r="H37" t="str">
            <v>Igreja do Evangelho Quadrangular</v>
          </cell>
          <cell r="I37">
            <v>45809</v>
          </cell>
          <cell r="J37" t="str">
            <v>COMERCIAL - TEMPLOS RELIGIOSOS</v>
          </cell>
          <cell r="K37" t="str">
            <v>79150000</v>
          </cell>
          <cell r="L37" t="str">
            <v>MS</v>
          </cell>
          <cell r="M37" t="str">
            <v>MARACAJU</v>
          </cell>
          <cell r="N37" t="str">
            <v>VILA PRATEADA</v>
          </cell>
          <cell r="O37" t="str">
            <v>RUA ROSALVO FRAGA SANTOS, 60 - 05.031.05.383000</v>
          </cell>
          <cell r="P37">
            <v>45826</v>
          </cell>
          <cell r="Q37" t="str">
            <v>B - B3</v>
          </cell>
          <cell r="R37" t="str">
            <v>62955505080098</v>
          </cell>
          <cell r="U37">
            <v>45793</v>
          </cell>
          <cell r="V37">
            <v>45825</v>
          </cell>
          <cell r="W37">
            <v>45855</v>
          </cell>
          <cell r="X37">
            <v>45850</v>
          </cell>
          <cell r="Y37" t="str">
            <v/>
          </cell>
          <cell r="AA37" t="str">
            <v>010.797.147-002</v>
          </cell>
          <cell r="AB37" t="str">
            <v>trifasico</v>
          </cell>
          <cell r="AC37" t="str">
            <v>convencional</v>
          </cell>
          <cell r="AD37">
            <v>119.12</v>
          </cell>
          <cell r="AE37" t="str">
            <v>34191.09115 59279.092932 85972.140009 8 11400000011912</v>
          </cell>
          <cell r="AF37" t="str">
            <v>IGREJA DO EVANGELHO QUADRANGULAR</v>
          </cell>
          <cell r="AI37">
            <v>100</v>
          </cell>
          <cell r="AJ37">
            <v>1.1264000000000001</v>
          </cell>
          <cell r="AK37">
            <v>112.64</v>
          </cell>
          <cell r="AL37">
            <v>0</v>
          </cell>
          <cell r="AM37">
            <v>1.1264000000000001</v>
          </cell>
          <cell r="AN37">
            <v>0</v>
          </cell>
          <cell r="EZ37">
            <v>4.16</v>
          </cell>
          <cell r="FC37">
            <v>2.3199999999999998</v>
          </cell>
          <cell r="FM37">
            <v>96.93</v>
          </cell>
          <cell r="FN37">
            <v>4.9954999999999999E-2</v>
          </cell>
          <cell r="FO37">
            <v>4.84</v>
          </cell>
          <cell r="FP37">
            <v>96.93</v>
          </cell>
          <cell r="FQ37">
            <v>1.0845E-2</v>
          </cell>
          <cell r="FR37">
            <v>1.05</v>
          </cell>
          <cell r="FS37">
            <v>116.8</v>
          </cell>
          <cell r="FT37">
            <v>0.17</v>
          </cell>
          <cell r="FU37">
            <v>19.850000000000001</v>
          </cell>
          <cell r="GD37">
            <v>85</v>
          </cell>
          <cell r="GE37">
            <v>36626</v>
          </cell>
          <cell r="GF37">
            <v>36541</v>
          </cell>
          <cell r="GG37">
            <v>1</v>
          </cell>
          <cell r="HU37">
            <v>106</v>
          </cell>
          <cell r="HY37">
            <v>157</v>
          </cell>
          <cell r="IC37">
            <v>197</v>
          </cell>
          <cell r="IG37">
            <v>159</v>
          </cell>
          <cell r="IK37">
            <v>21</v>
          </cell>
          <cell r="IO37">
            <v>138</v>
          </cell>
          <cell r="IS37">
            <v>112</v>
          </cell>
          <cell r="IW37">
            <v>148</v>
          </cell>
        </row>
        <row r="38">
          <cell r="A38" t="str">
            <v/>
          </cell>
          <cell r="B38" t="str">
            <v>10/202838-9</v>
          </cell>
          <cell r="C38" t="str">
            <v>16403</v>
          </cell>
          <cell r="F38" t="str">
            <v>energisa_ms</v>
          </cell>
          <cell r="G38" t="str">
            <v>16403</v>
          </cell>
          <cell r="H38" t="str">
            <v>Igreja do Evangelho Quadrangular</v>
          </cell>
          <cell r="I38">
            <v>45809</v>
          </cell>
          <cell r="J38" t="str">
            <v>COMERCIAL - TEMPLOS RELIGIOSOS</v>
          </cell>
          <cell r="K38" t="str">
            <v>79240000</v>
          </cell>
          <cell r="L38" t="str">
            <v>MS</v>
          </cell>
          <cell r="M38" t="str">
            <v>JARDIM</v>
          </cell>
          <cell r="N38" t="str">
            <v>VILA ANGELICA I</v>
          </cell>
          <cell r="O38" t="str">
            <v>RUA GUANABARA, 146 - 17.047.05.488000 TELEMETRIA</v>
          </cell>
          <cell r="P38">
            <v>45828</v>
          </cell>
          <cell r="Q38" t="str">
            <v>B - B3</v>
          </cell>
          <cell r="R38" t="str">
            <v>62955505016403</v>
          </cell>
          <cell r="U38">
            <v>45796</v>
          </cell>
          <cell r="V38">
            <v>45826</v>
          </cell>
          <cell r="W38">
            <v>45856</v>
          </cell>
          <cell r="X38">
            <v>45859</v>
          </cell>
          <cell r="Y38" t="str">
            <v/>
          </cell>
          <cell r="AA38" t="str">
            <v>010.818.537-002</v>
          </cell>
          <cell r="AB38" t="str">
            <v>trifasico</v>
          </cell>
          <cell r="AC38" t="str">
            <v>convencional</v>
          </cell>
          <cell r="AD38">
            <v>641.38</v>
          </cell>
          <cell r="AE38" t="str">
            <v>34191.09115 62134.652932 85972.140009 5 11490000064138</v>
          </cell>
          <cell r="AF38" t="str">
            <v>IGREJA DO EVANGELHO QUADRANGULAR</v>
          </cell>
          <cell r="AL38">
            <v>520</v>
          </cell>
          <cell r="AM38">
            <v>1.1704597741707834</v>
          </cell>
          <cell r="AN38">
            <v>608.63908256880734</v>
          </cell>
          <cell r="AO38">
            <v>1.126423076923077</v>
          </cell>
          <cell r="AX38">
            <v>84</v>
          </cell>
          <cell r="AY38">
            <v>1.170465268676278</v>
          </cell>
          <cell r="AZ38">
            <v>-98.319082568807346</v>
          </cell>
          <cell r="BA38">
            <v>1.1264285714285716</v>
          </cell>
          <cell r="DR38">
            <v>84</v>
          </cell>
          <cell r="DS38">
            <v>1.170465268676278</v>
          </cell>
          <cell r="DT38">
            <v>-98.319082568807346</v>
          </cell>
          <cell r="DU38">
            <v>1.1264285714285716</v>
          </cell>
          <cell r="ET38">
            <v>84</v>
          </cell>
          <cell r="EX38">
            <v>0</v>
          </cell>
          <cell r="EZ38">
            <v>19.2</v>
          </cell>
          <cell r="FA38">
            <v>131.06</v>
          </cell>
          <cell r="FM38">
            <v>423.57</v>
          </cell>
          <cell r="FN38">
            <v>4.9954999999999999E-2</v>
          </cell>
          <cell r="FO38">
            <v>21.17</v>
          </cell>
          <cell r="FP38">
            <v>423.57</v>
          </cell>
          <cell r="FQ38">
            <v>1.0845E-2</v>
          </cell>
          <cell r="FR38">
            <v>4.59</v>
          </cell>
          <cell r="FS38">
            <v>510.32</v>
          </cell>
          <cell r="FT38">
            <v>0.17</v>
          </cell>
          <cell r="FU38">
            <v>86.75</v>
          </cell>
          <cell r="GD38">
            <v>520</v>
          </cell>
          <cell r="GE38">
            <v>736</v>
          </cell>
          <cell r="GF38">
            <v>723</v>
          </cell>
          <cell r="GG38">
            <v>40</v>
          </cell>
          <cell r="HU38">
            <v>800</v>
          </cell>
          <cell r="HY38">
            <v>800</v>
          </cell>
          <cell r="IC38">
            <v>1120</v>
          </cell>
          <cell r="IG38">
            <v>960</v>
          </cell>
          <cell r="IK38">
            <v>880</v>
          </cell>
          <cell r="IO38">
            <v>760</v>
          </cell>
          <cell r="IS38">
            <v>800</v>
          </cell>
          <cell r="IW38">
            <v>880</v>
          </cell>
        </row>
        <row r="39">
          <cell r="A39" t="str">
            <v/>
          </cell>
          <cell r="B39" t="str">
            <v>10/156956-5</v>
          </cell>
          <cell r="C39" t="str">
            <v>Sede Amambai 153</v>
          </cell>
          <cell r="F39" t="str">
            <v>energisa_ms</v>
          </cell>
          <cell r="G39" t="str">
            <v>Sede Amambai 153</v>
          </cell>
          <cell r="H39" t="str">
            <v>Igreja do Evangelho Quadrangular</v>
          </cell>
          <cell r="I39">
            <v>45809</v>
          </cell>
          <cell r="J39" t="str">
            <v>COMERCIAL - TEMPLOS RELIGIOSOS</v>
          </cell>
          <cell r="K39" t="str">
            <v>79990000</v>
          </cell>
          <cell r="L39" t="str">
            <v>MS</v>
          </cell>
          <cell r="M39" t="str">
            <v>AMAMBAI</v>
          </cell>
          <cell r="N39" t="str">
            <v>CENTRO</v>
          </cell>
          <cell r="O39" t="str">
            <v>RUA GENERAL CAMARA, 561 - 14.036.03.163000</v>
          </cell>
          <cell r="P39">
            <v>45819</v>
          </cell>
          <cell r="Q39" t="str">
            <v>B - B3</v>
          </cell>
          <cell r="R39" t="str">
            <v>62955505015350</v>
          </cell>
          <cell r="U39">
            <v>45789</v>
          </cell>
          <cell r="V39">
            <v>45818</v>
          </cell>
          <cell r="W39">
            <v>45848</v>
          </cell>
          <cell r="X39">
            <v>45834</v>
          </cell>
          <cell r="Y39" t="str">
            <v/>
          </cell>
          <cell r="AA39" t="str">
            <v>010.706.830-002</v>
          </cell>
          <cell r="AB39" t="str">
            <v>trifasico</v>
          </cell>
          <cell r="AC39" t="str">
            <v>convencional</v>
          </cell>
          <cell r="AD39">
            <v>158.63999999999999</v>
          </cell>
          <cell r="AE39" t="str">
            <v>34191.09115 46049.212932 85972.140009 2 11240000015864</v>
          </cell>
          <cell r="AF39" t="str">
            <v>IGREJA DO EVANGELHO QUADRANGULAR</v>
          </cell>
          <cell r="AL39">
            <v>189</v>
          </cell>
          <cell r="AM39">
            <v>1.1618021164021164</v>
          </cell>
          <cell r="AN39">
            <v>219.5806</v>
          </cell>
          <cell r="AO39">
            <v>1.1264021164021163</v>
          </cell>
          <cell r="AX39">
            <v>89</v>
          </cell>
          <cell r="AY39">
            <v>1.1618044943820225</v>
          </cell>
          <cell r="AZ39">
            <v>-103.4006</v>
          </cell>
          <cell r="BA39">
            <v>1.1264044943820224</v>
          </cell>
          <cell r="DR39">
            <v>89</v>
          </cell>
          <cell r="DS39">
            <v>1.1618044943820225</v>
          </cell>
          <cell r="DT39">
            <v>-103.4006</v>
          </cell>
          <cell r="DU39">
            <v>1.1264044943820224</v>
          </cell>
          <cell r="ET39">
            <v>89</v>
          </cell>
          <cell r="EX39">
            <v>505</v>
          </cell>
          <cell r="EZ39">
            <v>3.54</v>
          </cell>
          <cell r="FA39">
            <v>36.01</v>
          </cell>
          <cell r="FC39">
            <v>6.45</v>
          </cell>
          <cell r="FM39">
            <v>96.44</v>
          </cell>
          <cell r="FN39">
            <v>4.9954999999999999E-2</v>
          </cell>
          <cell r="FO39">
            <v>4.8099999999999996</v>
          </cell>
          <cell r="FP39">
            <v>96.44</v>
          </cell>
          <cell r="FQ39">
            <v>1.0845E-2</v>
          </cell>
          <cell r="FR39">
            <v>1.06</v>
          </cell>
          <cell r="FS39">
            <v>116.18</v>
          </cell>
          <cell r="FT39">
            <v>0.17</v>
          </cell>
          <cell r="FU39">
            <v>19.75</v>
          </cell>
          <cell r="GD39">
            <v>189</v>
          </cell>
          <cell r="GE39">
            <v>33521</v>
          </cell>
          <cell r="GF39">
            <v>33332</v>
          </cell>
          <cell r="GG39">
            <v>1</v>
          </cell>
          <cell r="HU39">
            <v>276</v>
          </cell>
          <cell r="HY39">
            <v>312</v>
          </cell>
          <cell r="IC39">
            <v>489</v>
          </cell>
          <cell r="IG39">
            <v>490</v>
          </cell>
          <cell r="IK39">
            <v>396</v>
          </cell>
          <cell r="IO39">
            <v>491</v>
          </cell>
          <cell r="IS39">
            <v>345</v>
          </cell>
          <cell r="IW39">
            <v>370</v>
          </cell>
        </row>
        <row r="40">
          <cell r="A40" t="str">
            <v/>
          </cell>
          <cell r="B40" t="str">
            <v>10/260761-2</v>
          </cell>
          <cell r="C40" t="str">
            <v>8979</v>
          </cell>
          <cell r="F40" t="str">
            <v>energisa_ms</v>
          </cell>
          <cell r="G40" t="str">
            <v>Carlos Camisao (3325)</v>
          </cell>
          <cell r="H40" t="str">
            <v>Igreja do Evangelho Quadrangular</v>
          </cell>
          <cell r="I40">
            <v>45809</v>
          </cell>
          <cell r="J40" t="str">
            <v>COMERCIAL - TEMPLOS RELIGIOSOS</v>
          </cell>
          <cell r="K40" t="str">
            <v>79490000</v>
          </cell>
          <cell r="L40" t="str">
            <v>MS</v>
          </cell>
          <cell r="M40" t="str">
            <v>SAO GABRIEL DO OESTE</v>
          </cell>
          <cell r="N40" t="str">
            <v>CENTRO</v>
          </cell>
          <cell r="O40" t="str">
            <v>RUA PARANA, 2051 - 14.075.07.245000</v>
          </cell>
          <cell r="P40">
            <v>45821</v>
          </cell>
          <cell r="Q40" t="str">
            <v>B - B3</v>
          </cell>
          <cell r="R40" t="str">
            <v>62955505000167</v>
          </cell>
          <cell r="U40">
            <v>45791</v>
          </cell>
          <cell r="V40">
            <v>45820</v>
          </cell>
          <cell r="W40">
            <v>45852</v>
          </cell>
          <cell r="X40">
            <v>45832</v>
          </cell>
          <cell r="Y40" t="str">
            <v/>
          </cell>
          <cell r="AA40" t="str">
            <v>010.750.374-002</v>
          </cell>
          <cell r="AB40" t="str">
            <v>trifasico</v>
          </cell>
          <cell r="AC40" t="str">
            <v>convencional</v>
          </cell>
          <cell r="AD40">
            <v>476.81</v>
          </cell>
          <cell r="AE40" t="str">
            <v>34191.09115 50135.442932 85972.140009 7 11220000047681</v>
          </cell>
          <cell r="AF40" t="str">
            <v>IGREJA DO EVANGELHO QUADRANGULAR</v>
          </cell>
          <cell r="AL40">
            <v>347</v>
          </cell>
          <cell r="AM40">
            <v>1.1642939481268013</v>
          </cell>
          <cell r="AN40">
            <v>404.01000000000005</v>
          </cell>
          <cell r="AO40">
            <v>1.1264265129682998</v>
          </cell>
          <cell r="EX40">
            <v>0</v>
          </cell>
          <cell r="EZ40">
            <v>13.14</v>
          </cell>
          <cell r="FA40">
            <v>69.38</v>
          </cell>
          <cell r="FC40">
            <v>3.4200000000000004</v>
          </cell>
          <cell r="FM40">
            <v>335.31</v>
          </cell>
          <cell r="FN40">
            <v>4.9954999999999999E-2</v>
          </cell>
          <cell r="FO40">
            <v>16.75</v>
          </cell>
          <cell r="FP40">
            <v>335.31</v>
          </cell>
          <cell r="FQ40">
            <v>1.0845E-2</v>
          </cell>
          <cell r="FR40">
            <v>3.63</v>
          </cell>
          <cell r="FS40">
            <v>404.01</v>
          </cell>
          <cell r="FT40">
            <v>0.17</v>
          </cell>
          <cell r="FU40">
            <v>68.680000000000007</v>
          </cell>
          <cell r="GD40">
            <v>347</v>
          </cell>
          <cell r="GE40">
            <v>15070</v>
          </cell>
          <cell r="GF40">
            <v>14723</v>
          </cell>
          <cell r="GG40">
            <v>1</v>
          </cell>
          <cell r="HU40">
            <v>455</v>
          </cell>
          <cell r="HY40">
            <v>432</v>
          </cell>
          <cell r="IC40">
            <v>520</v>
          </cell>
          <cell r="IG40">
            <v>437</v>
          </cell>
          <cell r="IK40">
            <v>314</v>
          </cell>
          <cell r="IO40">
            <v>513</v>
          </cell>
          <cell r="IS40">
            <v>381</v>
          </cell>
          <cell r="IW40">
            <v>513</v>
          </cell>
        </row>
        <row r="41">
          <cell r="A41" t="str">
            <v/>
          </cell>
          <cell r="B41" t="str">
            <v>10/908866-7</v>
          </cell>
          <cell r="C41" t="str">
            <v>Cong. Santa Tereza</v>
          </cell>
          <cell r="F41" t="str">
            <v>energisa_ms</v>
          </cell>
          <cell r="G41" t="str">
            <v>Cong. Santa Tereza</v>
          </cell>
          <cell r="H41" t="str">
            <v>Igreja do Evangelho Quadrangular</v>
          </cell>
          <cell r="I41">
            <v>45809</v>
          </cell>
          <cell r="J41" t="str">
            <v>COMERCIAL - TEMPLOS RELIGIOSOS</v>
          </cell>
          <cell r="K41" t="str">
            <v>79240000</v>
          </cell>
          <cell r="L41" t="str">
            <v>MS</v>
          </cell>
          <cell r="M41" t="str">
            <v>JARDIM</v>
          </cell>
          <cell r="N41" t="str">
            <v>VILA ANGELICA II</v>
          </cell>
          <cell r="O41" t="str">
            <v>RUA APARECIDO PEREIRA BUENO, 1273 - 01.047.17.111577</v>
          </cell>
          <cell r="P41">
            <v>45826</v>
          </cell>
          <cell r="Q41" t="str">
            <v>B - B3</v>
          </cell>
          <cell r="R41" t="str">
            <v>62955505358630</v>
          </cell>
          <cell r="U41">
            <v>45793</v>
          </cell>
          <cell r="V41">
            <v>45825</v>
          </cell>
          <cell r="W41">
            <v>45855</v>
          </cell>
          <cell r="X41">
            <v>45853</v>
          </cell>
          <cell r="Y41" t="str">
            <v/>
          </cell>
          <cell r="AA41" t="str">
            <v>010.799.252-002</v>
          </cell>
          <cell r="AB41" t="str">
            <v>trifasico</v>
          </cell>
          <cell r="AC41" t="str">
            <v>convencional</v>
          </cell>
          <cell r="AD41">
            <v>140.21</v>
          </cell>
          <cell r="AE41" t="str">
            <v>34191.09115 60465.352932 85972.140009 9 11430000014021</v>
          </cell>
          <cell r="AF41" t="str">
            <v>IGREJA DO EVANGELHO QUADRANGULAR</v>
          </cell>
          <cell r="AI41">
            <v>100</v>
          </cell>
          <cell r="AJ41">
            <v>1.1264000000000001</v>
          </cell>
          <cell r="AK41">
            <v>112.64</v>
          </cell>
          <cell r="AL41">
            <v>0</v>
          </cell>
          <cell r="AM41">
            <v>1.1264000000000001</v>
          </cell>
          <cell r="AN41">
            <v>0</v>
          </cell>
          <cell r="EX41">
            <v>257</v>
          </cell>
          <cell r="EZ41">
            <v>4.16</v>
          </cell>
          <cell r="FA41">
            <v>20.97</v>
          </cell>
          <cell r="FC41">
            <v>2.44</v>
          </cell>
          <cell r="FM41">
            <v>96.93</v>
          </cell>
          <cell r="FN41">
            <v>4.9954999999999999E-2</v>
          </cell>
          <cell r="FO41">
            <v>4.84</v>
          </cell>
          <cell r="FP41">
            <v>96.93</v>
          </cell>
          <cell r="FQ41">
            <v>1.0845E-2</v>
          </cell>
          <cell r="FR41">
            <v>1.05</v>
          </cell>
          <cell r="FS41">
            <v>116.8</v>
          </cell>
          <cell r="FT41">
            <v>0.17</v>
          </cell>
          <cell r="FU41">
            <v>19.850000000000001</v>
          </cell>
          <cell r="GD41">
            <v>97</v>
          </cell>
          <cell r="GE41">
            <v>21077</v>
          </cell>
          <cell r="GF41">
            <v>20980</v>
          </cell>
          <cell r="GG41">
            <v>1</v>
          </cell>
          <cell r="HU41">
            <v>112</v>
          </cell>
          <cell r="HY41">
            <v>126</v>
          </cell>
          <cell r="IC41">
            <v>187</v>
          </cell>
          <cell r="IG41">
            <v>175</v>
          </cell>
          <cell r="IK41">
            <v>172</v>
          </cell>
          <cell r="IO41">
            <v>194</v>
          </cell>
          <cell r="IS41">
            <v>223</v>
          </cell>
          <cell r="IW41">
            <v>227</v>
          </cell>
        </row>
        <row r="42">
          <cell r="A42" t="str">
            <v/>
          </cell>
          <cell r="B42" t="str">
            <v>10/3125732-2</v>
          </cell>
          <cell r="C42" t="str">
            <v>Aral Moreira 58175</v>
          </cell>
          <cell r="F42" t="str">
            <v>energisa_ms</v>
          </cell>
          <cell r="G42" t="str">
            <v>Jardim Vitória 6276</v>
          </cell>
          <cell r="H42" t="str">
            <v>Igreja do Evangelho Quadrangular</v>
          </cell>
          <cell r="I42">
            <v>45809</v>
          </cell>
          <cell r="J42" t="str">
            <v>COMERCIAL - TEMPLOS RELIGIOSOS</v>
          </cell>
          <cell r="K42" t="str">
            <v>79930000</v>
          </cell>
          <cell r="L42" t="str">
            <v>MS</v>
          </cell>
          <cell r="M42" t="str">
            <v>ARAL MOREIRA</v>
          </cell>
          <cell r="N42" t="str">
            <v>CENTRO</v>
          </cell>
          <cell r="O42" t="str">
            <v>RUA QUINZE DE NOVEMBRO, 182 - 06-070-07-058000</v>
          </cell>
          <cell r="P42">
            <v>45819</v>
          </cell>
          <cell r="Q42" t="str">
            <v>B - B3</v>
          </cell>
          <cell r="R42" t="str">
            <v>6X.XXX.XXX/XXX5-12</v>
          </cell>
          <cell r="U42">
            <v>45789</v>
          </cell>
          <cell r="V42">
            <v>45818</v>
          </cell>
          <cell r="W42">
            <v>45848</v>
          </cell>
          <cell r="X42">
            <v>45831</v>
          </cell>
          <cell r="Y42" t="str">
            <v/>
          </cell>
          <cell r="Z42" t="str">
            <v>true</v>
          </cell>
          <cell r="AA42" t="str">
            <v>010.712.123-002</v>
          </cell>
          <cell r="AB42" t="str">
            <v>bifasico</v>
          </cell>
          <cell r="AC42" t="str">
            <v>convencional</v>
          </cell>
          <cell r="AD42">
            <v>204.68</v>
          </cell>
          <cell r="AF42" t="str">
            <v>IGREJA DO EVANGELHO QUADRANGULAR</v>
          </cell>
          <cell r="AL42">
            <v>176</v>
          </cell>
          <cell r="AM42">
            <v>1.1622967432052485</v>
          </cell>
          <cell r="AN42">
            <v>204.56422680412373</v>
          </cell>
          <cell r="AO42">
            <v>1.1264204545454546</v>
          </cell>
          <cell r="AX42">
            <v>79</v>
          </cell>
          <cell r="AY42">
            <v>1.0053699595458698</v>
          </cell>
          <cell r="AZ42">
            <v>-79.42422680412372</v>
          </cell>
          <cell r="BA42">
            <v>1.1263291139240508</v>
          </cell>
          <cell r="DR42">
            <v>79</v>
          </cell>
          <cell r="DS42">
            <v>1.1622054025838446</v>
          </cell>
          <cell r="DT42">
            <v>-91.81422680412372</v>
          </cell>
          <cell r="DU42">
            <v>1.1263291139240508</v>
          </cell>
          <cell r="ET42">
            <v>79</v>
          </cell>
          <cell r="EX42">
            <v>0</v>
          </cell>
          <cell r="EZ42">
            <v>3.48</v>
          </cell>
          <cell r="FA42">
            <v>79.540000000000006</v>
          </cell>
          <cell r="FL42">
            <v>12.39</v>
          </cell>
          <cell r="FM42">
            <v>93.56</v>
          </cell>
          <cell r="FN42">
            <v>4.9954999999999999E-2</v>
          </cell>
          <cell r="FO42">
            <v>4.67</v>
          </cell>
          <cell r="FP42">
            <v>93.56</v>
          </cell>
          <cell r="FQ42">
            <v>1.0845E-2</v>
          </cell>
          <cell r="FR42">
            <v>1.01</v>
          </cell>
          <cell r="FS42">
            <v>112.75</v>
          </cell>
          <cell r="FT42">
            <v>0.17</v>
          </cell>
          <cell r="FU42">
            <v>19.16</v>
          </cell>
          <cell r="GD42">
            <v>176</v>
          </cell>
          <cell r="GE42">
            <v>17070</v>
          </cell>
          <cell r="GF42">
            <v>16894</v>
          </cell>
          <cell r="GG42">
            <v>1</v>
          </cell>
          <cell r="HU42">
            <v>183</v>
          </cell>
          <cell r="HY42">
            <v>198</v>
          </cell>
          <cell r="IC42">
            <v>208</v>
          </cell>
          <cell r="IG42">
            <v>244</v>
          </cell>
          <cell r="IK42">
            <v>215</v>
          </cell>
          <cell r="IO42">
            <v>222</v>
          </cell>
          <cell r="IS42">
            <v>177</v>
          </cell>
          <cell r="IW42">
            <v>184</v>
          </cell>
        </row>
        <row r="43">
          <cell r="A43" t="str">
            <v/>
          </cell>
          <cell r="B43" t="str">
            <v>10/466560-0</v>
          </cell>
          <cell r="C43" t="str">
            <v>Congregação Sanga Puita</v>
          </cell>
          <cell r="F43" t="str">
            <v>energisa_ms</v>
          </cell>
          <cell r="G43" t="str">
            <v>Jardim Vitória 6276</v>
          </cell>
          <cell r="H43" t="str">
            <v>Igreja do Evangelho Quadrangular</v>
          </cell>
          <cell r="I43">
            <v>45809</v>
          </cell>
          <cell r="J43" t="str">
            <v>COMERCIAL - TEMPLOS RELIGIOSOS</v>
          </cell>
          <cell r="K43" t="str">
            <v>79900000</v>
          </cell>
          <cell r="L43" t="str">
            <v>MS</v>
          </cell>
          <cell r="M43" t="str">
            <v>PONTA PORA</v>
          </cell>
          <cell r="N43" t="str">
            <v>SANGA PUITA</v>
          </cell>
          <cell r="O43" t="str">
            <v>RUA MARCILIANO MACIEL, 246 - 05.341.09.031000</v>
          </cell>
          <cell r="P43">
            <v>45814</v>
          </cell>
          <cell r="Q43" t="str">
            <v>B - B3</v>
          </cell>
          <cell r="R43" t="str">
            <v>62955505015512</v>
          </cell>
          <cell r="U43">
            <v>45784</v>
          </cell>
          <cell r="V43">
            <v>45813</v>
          </cell>
          <cell r="W43">
            <v>45845</v>
          </cell>
          <cell r="X43">
            <v>45825</v>
          </cell>
          <cell r="Y43" t="str">
            <v/>
          </cell>
          <cell r="AA43" t="str">
            <v>010.630.422-002</v>
          </cell>
          <cell r="AB43" t="str">
            <v>bifasico</v>
          </cell>
          <cell r="AC43" t="str">
            <v>convencional</v>
          </cell>
          <cell r="AD43">
            <v>173.85</v>
          </cell>
          <cell r="AE43" t="str">
            <v>34191.09115 35993.202932 85972.140009 5 11150000017385</v>
          </cell>
          <cell r="AF43" t="str">
            <v>IGREJA DO EVANGELHO QUADRANGULAR</v>
          </cell>
          <cell r="AL43">
            <v>172</v>
          </cell>
          <cell r="AM43">
            <v>1.1561802950737685</v>
          </cell>
          <cell r="AN43">
            <v>198.86301075268818</v>
          </cell>
          <cell r="AO43">
            <v>1.1263953488372094</v>
          </cell>
          <cell r="AX43">
            <v>79</v>
          </cell>
          <cell r="AY43">
            <v>0.99927861712263522</v>
          </cell>
          <cell r="AZ43">
            <v>-78.943010752688181</v>
          </cell>
          <cell r="BA43">
            <v>1.1263291139240508</v>
          </cell>
          <cell r="DR43">
            <v>79</v>
          </cell>
          <cell r="DS43">
            <v>1.1561140601606099</v>
          </cell>
          <cell r="DT43">
            <v>-91.333010752688182</v>
          </cell>
          <cell r="DU43">
            <v>1.1263291139240508</v>
          </cell>
          <cell r="ET43">
            <v>79</v>
          </cell>
          <cell r="EX43">
            <v>0</v>
          </cell>
          <cell r="EZ43">
            <v>2.77</v>
          </cell>
          <cell r="FA43">
            <v>52.15</v>
          </cell>
          <cell r="FC43">
            <v>1.78</v>
          </cell>
          <cell r="FL43">
            <v>12.39</v>
          </cell>
          <cell r="FM43">
            <v>89.25</v>
          </cell>
          <cell r="FN43">
            <v>4.9954999999999999E-2</v>
          </cell>
          <cell r="FO43">
            <v>4.46</v>
          </cell>
          <cell r="FP43">
            <v>89.25</v>
          </cell>
          <cell r="FQ43">
            <v>1.0845E-2</v>
          </cell>
          <cell r="FR43">
            <v>0.96</v>
          </cell>
          <cell r="FS43">
            <v>107.53</v>
          </cell>
          <cell r="FT43">
            <v>0.17</v>
          </cell>
          <cell r="FU43">
            <v>18.28</v>
          </cell>
          <cell r="GD43">
            <v>172</v>
          </cell>
          <cell r="GE43">
            <v>20312</v>
          </cell>
          <cell r="GF43">
            <v>20140</v>
          </cell>
          <cell r="GG43">
            <v>1</v>
          </cell>
          <cell r="HU43">
            <v>173</v>
          </cell>
          <cell r="HY43">
            <v>165</v>
          </cell>
          <cell r="IC43">
            <v>164</v>
          </cell>
          <cell r="IG43">
            <v>174</v>
          </cell>
          <cell r="IK43">
            <v>179</v>
          </cell>
          <cell r="IO43">
            <v>168</v>
          </cell>
          <cell r="IS43">
            <v>149</v>
          </cell>
          <cell r="IW43">
            <v>160</v>
          </cell>
        </row>
        <row r="44">
          <cell r="A44" t="str">
            <v/>
          </cell>
          <cell r="B44" t="str">
            <v>10/78338-1</v>
          </cell>
          <cell r="C44" t="str">
            <v>1º IEQ de Anastácio (168)</v>
          </cell>
          <cell r="F44" t="str">
            <v>energisa_ms</v>
          </cell>
          <cell r="G44" t="str">
            <v>1º IEQ de Anastácio (168)</v>
          </cell>
          <cell r="H44" t="str">
            <v>Igreja do Evangelho Quadrangular</v>
          </cell>
          <cell r="I44">
            <v>45809</v>
          </cell>
          <cell r="J44" t="str">
            <v>COMERCIAL - TEMPLOS RELIGIOSOS</v>
          </cell>
          <cell r="K44" t="str">
            <v>79210000</v>
          </cell>
          <cell r="L44" t="str">
            <v>MS</v>
          </cell>
          <cell r="M44" t="str">
            <v>ANASTACIO</v>
          </cell>
          <cell r="N44" t="str">
            <v>CENTRO</v>
          </cell>
          <cell r="O44" t="str">
            <v>RUA 27 DE JULHO, 1200 - 04.011.01.701000</v>
          </cell>
          <cell r="P44">
            <v>45819</v>
          </cell>
          <cell r="Q44" t="str">
            <v>B - B3</v>
          </cell>
          <cell r="R44" t="str">
            <v>62955505016837</v>
          </cell>
          <cell r="U44">
            <v>45789</v>
          </cell>
          <cell r="V44">
            <v>45818</v>
          </cell>
          <cell r="W44">
            <v>45848</v>
          </cell>
          <cell r="X44">
            <v>45831</v>
          </cell>
          <cell r="Y44" t="str">
            <v/>
          </cell>
          <cell r="AA44" t="str">
            <v>010.706.327-002</v>
          </cell>
          <cell r="AB44" t="str">
            <v>trifasico</v>
          </cell>
          <cell r="AC44" t="str">
            <v>convencional</v>
          </cell>
          <cell r="AD44">
            <v>163.66999999999999</v>
          </cell>
          <cell r="AE44" t="str">
            <v>34191.09115 46020.812932 85972.140009 9 11210000016367</v>
          </cell>
          <cell r="AF44" t="str">
            <v>IGREJA DO EVANGELHO QUADRANGULAR</v>
          </cell>
          <cell r="AL44">
            <v>245</v>
          </cell>
          <cell r="AM44">
            <v>1.1619254046446166</v>
          </cell>
          <cell r="AN44">
            <v>284.67172413793105</v>
          </cell>
          <cell r="AO44">
            <v>1.1264081632653062</v>
          </cell>
          <cell r="AX44">
            <v>158</v>
          </cell>
          <cell r="AY44">
            <v>1.0050109122653865</v>
          </cell>
          <cell r="AZ44">
            <v>-158.79172413793106</v>
          </cell>
          <cell r="BA44">
            <v>1.1263924050632912</v>
          </cell>
          <cell r="DR44">
            <v>158</v>
          </cell>
          <cell r="DS44">
            <v>1.1619096464426015</v>
          </cell>
          <cell r="DT44">
            <v>-183.58172413793105</v>
          </cell>
          <cell r="DU44">
            <v>1.1263924050632912</v>
          </cell>
          <cell r="ET44">
            <v>158</v>
          </cell>
          <cell r="EX44">
            <v>0</v>
          </cell>
          <cell r="EZ44">
            <v>3.09</v>
          </cell>
          <cell r="FA44">
            <v>35.46</v>
          </cell>
          <cell r="FC44">
            <v>2.33</v>
          </cell>
          <cell r="FL44">
            <v>24.79</v>
          </cell>
          <cell r="FM44">
            <v>83.9</v>
          </cell>
          <cell r="FN44">
            <v>4.9954999999999999E-2</v>
          </cell>
          <cell r="FO44">
            <v>4.1900000000000004</v>
          </cell>
          <cell r="FP44">
            <v>83.9</v>
          </cell>
          <cell r="FQ44">
            <v>1.0845E-2</v>
          </cell>
          <cell r="FR44">
            <v>0.9</v>
          </cell>
          <cell r="FS44">
            <v>101.09</v>
          </cell>
          <cell r="FT44">
            <v>0.17</v>
          </cell>
          <cell r="FU44">
            <v>17.18</v>
          </cell>
          <cell r="GD44">
            <v>245</v>
          </cell>
          <cell r="GE44">
            <v>17970</v>
          </cell>
          <cell r="GF44">
            <v>17725</v>
          </cell>
          <cell r="GG44">
            <v>1</v>
          </cell>
          <cell r="HU44">
            <v>302</v>
          </cell>
          <cell r="HY44">
            <v>271</v>
          </cell>
          <cell r="IC44">
            <v>386</v>
          </cell>
          <cell r="IG44">
            <v>480</v>
          </cell>
          <cell r="IK44">
            <v>336</v>
          </cell>
          <cell r="IO44">
            <v>384</v>
          </cell>
          <cell r="IS44">
            <v>421</v>
          </cell>
          <cell r="IW44">
            <v>315</v>
          </cell>
        </row>
        <row r="45">
          <cell r="A45" t="str">
            <v/>
          </cell>
          <cell r="B45" t="str">
            <v>10/109074-5</v>
          </cell>
          <cell r="C45" t="str">
            <v>59758</v>
          </cell>
          <cell r="F45" t="str">
            <v>energisa_ms</v>
          </cell>
          <cell r="G45" t="str">
            <v>Carlos Camisao (3325)</v>
          </cell>
          <cell r="H45" t="str">
            <v>Igreja do Evangelho Quadrangular</v>
          </cell>
          <cell r="I45">
            <v>45809</v>
          </cell>
          <cell r="J45" t="str">
            <v>COMERCIAL - TEMPLOS RELIGIOSOS</v>
          </cell>
          <cell r="K45" t="str">
            <v>79940000</v>
          </cell>
          <cell r="L45" t="str">
            <v>MS</v>
          </cell>
          <cell r="M45" t="str">
            <v>CAARAPO</v>
          </cell>
          <cell r="N45" t="str">
            <v>CENTRO</v>
          </cell>
          <cell r="O45" t="str">
            <v>RUA QUINZE DE NOVEMBRO, 2180</v>
          </cell>
          <cell r="P45">
            <v>45817</v>
          </cell>
          <cell r="Q45" t="str">
            <v>B - B3</v>
          </cell>
          <cell r="R45" t="str">
            <v>62955505000167</v>
          </cell>
          <cell r="U45">
            <v>45785</v>
          </cell>
          <cell r="V45">
            <v>45814</v>
          </cell>
          <cell r="W45">
            <v>45846</v>
          </cell>
          <cell r="X45">
            <v>45826</v>
          </cell>
          <cell r="Y45" t="str">
            <v/>
          </cell>
          <cell r="AA45" t="str">
            <v>010.656.858-002</v>
          </cell>
          <cell r="AB45" t="str">
            <v>bifasico</v>
          </cell>
          <cell r="AC45" t="str">
            <v>convencional</v>
          </cell>
          <cell r="AD45">
            <v>162.33000000000001</v>
          </cell>
          <cell r="AE45" t="str">
            <v>34191.09115 39154.352932 85972.140009 1 11160000016233</v>
          </cell>
          <cell r="AF45" t="str">
            <v>IGREJA DO EVANGELHO QUADRANGULAR</v>
          </cell>
          <cell r="AL45">
            <v>271</v>
          </cell>
          <cell r="AM45">
            <v>1.1573056199588545</v>
          </cell>
          <cell r="AN45">
            <v>313.6298230088496</v>
          </cell>
          <cell r="AO45">
            <v>1.1264206642066421</v>
          </cell>
          <cell r="AX45">
            <v>158</v>
          </cell>
          <cell r="AY45">
            <v>1.0003786266382884</v>
          </cell>
          <cell r="AZ45">
            <v>-158.05982300884958</v>
          </cell>
          <cell r="BA45">
            <v>1.1263924050632912</v>
          </cell>
          <cell r="DR45">
            <v>158</v>
          </cell>
          <cell r="DS45">
            <v>1.1572773608155036</v>
          </cell>
          <cell r="DT45">
            <v>-182.84982300884957</v>
          </cell>
          <cell r="DU45">
            <v>1.1263924050632912</v>
          </cell>
          <cell r="ET45">
            <v>158</v>
          </cell>
          <cell r="EX45">
            <v>0</v>
          </cell>
          <cell r="EZ45">
            <v>3.49</v>
          </cell>
          <cell r="FC45">
            <v>6.76</v>
          </cell>
          <cell r="FL45">
            <v>24.79</v>
          </cell>
          <cell r="FM45">
            <v>108.55</v>
          </cell>
          <cell r="FN45">
            <v>4.9954999999999999E-2</v>
          </cell>
          <cell r="FO45">
            <v>5.42</v>
          </cell>
          <cell r="FP45">
            <v>108.55</v>
          </cell>
          <cell r="FQ45">
            <v>1.0845E-2</v>
          </cell>
          <cell r="FR45">
            <v>1.18</v>
          </cell>
          <cell r="FS45">
            <v>130.78</v>
          </cell>
          <cell r="FT45">
            <v>0.17</v>
          </cell>
          <cell r="FU45">
            <v>22.23</v>
          </cell>
          <cell r="GD45">
            <v>271</v>
          </cell>
          <cell r="GE45">
            <v>22476</v>
          </cell>
          <cell r="GF45">
            <v>22205</v>
          </cell>
          <cell r="GG45">
            <v>1</v>
          </cell>
          <cell r="HU45">
            <v>320</v>
          </cell>
          <cell r="HY45">
            <v>351</v>
          </cell>
          <cell r="IC45">
            <v>320</v>
          </cell>
          <cell r="IG45">
            <v>254</v>
          </cell>
          <cell r="IK45">
            <v>220</v>
          </cell>
          <cell r="IO45">
            <v>369</v>
          </cell>
          <cell r="IS45">
            <v>297</v>
          </cell>
          <cell r="IW45">
            <v>279</v>
          </cell>
        </row>
        <row r="46">
          <cell r="A46" t="str">
            <v/>
          </cell>
          <cell r="B46" t="str">
            <v>10/530195-7</v>
          </cell>
          <cell r="C46" t="str">
            <v>Batayporã 59155</v>
          </cell>
          <cell r="F46" t="str">
            <v>energisa_ms</v>
          </cell>
          <cell r="G46" t="str">
            <v>Morumbi 3671</v>
          </cell>
          <cell r="H46" t="str">
            <v>Igreja do Evangelho Quadrangular</v>
          </cell>
          <cell r="I46">
            <v>45809</v>
          </cell>
          <cell r="J46" t="str">
            <v>COMERCIAL - OUTROS SERVIÇOS E OUTRAS ATIVIDADES</v>
          </cell>
          <cell r="K46" t="str">
            <v>79760000</v>
          </cell>
          <cell r="L46" t="str">
            <v>MS</v>
          </cell>
          <cell r="M46" t="str">
            <v>BATAYPORA</v>
          </cell>
          <cell r="N46" t="str">
            <v>CENTRO</v>
          </cell>
          <cell r="O46" t="str">
            <v>RUA JONAS PEDRO NUNES, 1576 - 09.045.05.426000</v>
          </cell>
          <cell r="P46">
            <v>45817</v>
          </cell>
          <cell r="Q46" t="str">
            <v>B - B3</v>
          </cell>
          <cell r="R46" t="str">
            <v>62955505367117</v>
          </cell>
          <cell r="U46">
            <v>45785</v>
          </cell>
          <cell r="V46">
            <v>45814</v>
          </cell>
          <cell r="W46">
            <v>45846</v>
          </cell>
          <cell r="X46">
            <v>45853</v>
          </cell>
          <cell r="Y46" t="str">
            <v/>
          </cell>
          <cell r="AA46" t="str">
            <v>010.659.298-002</v>
          </cell>
          <cell r="AB46" t="str">
            <v>bifasico</v>
          </cell>
          <cell r="AC46" t="str">
            <v>convencional</v>
          </cell>
          <cell r="AD46">
            <v>84.99</v>
          </cell>
          <cell r="AE46" t="str">
            <v>34191.09115 39348.162932 85972.140009 9 11430000008499</v>
          </cell>
          <cell r="AF46" t="str">
            <v>IGREJA DO EVANGELHO QUADRANGULAR</v>
          </cell>
          <cell r="AL46">
            <v>104</v>
          </cell>
          <cell r="AM46">
            <v>1.157371794871795</v>
          </cell>
          <cell r="AN46">
            <v>120.36666666666667</v>
          </cell>
          <cell r="AO46">
            <v>1.1263461538461539</v>
          </cell>
          <cell r="AX46">
            <v>65</v>
          </cell>
          <cell r="AY46">
            <v>1.0005641025641028</v>
          </cell>
          <cell r="AZ46">
            <v>-65.036666666666676</v>
          </cell>
          <cell r="BA46">
            <v>1.1263076923076925</v>
          </cell>
          <cell r="DR46">
            <v>65</v>
          </cell>
          <cell r="DS46">
            <v>1.1573333333333335</v>
          </cell>
          <cell r="DT46">
            <v>-75.226666666666674</v>
          </cell>
          <cell r="DU46">
            <v>1.1263076923076925</v>
          </cell>
          <cell r="ET46">
            <v>65</v>
          </cell>
          <cell r="EX46">
            <v>60</v>
          </cell>
          <cell r="EZ46">
            <v>1.21</v>
          </cell>
          <cell r="FA46">
            <v>27.13</v>
          </cell>
          <cell r="FC46">
            <v>2.5300000000000002</v>
          </cell>
          <cell r="FL46">
            <v>10.19</v>
          </cell>
          <cell r="FM46">
            <v>37.51</v>
          </cell>
          <cell r="FN46">
            <v>4.9954999999999999E-2</v>
          </cell>
          <cell r="FO46">
            <v>1.88</v>
          </cell>
          <cell r="FP46">
            <v>37.51</v>
          </cell>
          <cell r="FQ46">
            <v>1.0845E-2</v>
          </cell>
          <cell r="FR46">
            <v>0.41</v>
          </cell>
          <cell r="FS46">
            <v>45.14</v>
          </cell>
          <cell r="FT46">
            <v>0.17</v>
          </cell>
          <cell r="FU46">
            <v>7.67</v>
          </cell>
          <cell r="GD46">
            <v>104</v>
          </cell>
          <cell r="GE46">
            <v>29016</v>
          </cell>
          <cell r="GF46">
            <v>28912</v>
          </cell>
          <cell r="GG46">
            <v>1</v>
          </cell>
          <cell r="HU46">
            <v>97</v>
          </cell>
          <cell r="HY46">
            <v>190</v>
          </cell>
          <cell r="IC46">
            <v>231</v>
          </cell>
          <cell r="IG46">
            <v>167</v>
          </cell>
          <cell r="IK46">
            <v>123</v>
          </cell>
          <cell r="IO46">
            <v>222</v>
          </cell>
          <cell r="IS46">
            <v>169</v>
          </cell>
          <cell r="IW46">
            <v>141</v>
          </cell>
        </row>
        <row r="47">
          <cell r="A47" t="str">
            <v/>
          </cell>
          <cell r="B47" t="str">
            <v>10/395471-6</v>
          </cell>
          <cell r="C47" t="str">
            <v>Jardim Tarumã 2488</v>
          </cell>
          <cell r="F47" t="str">
            <v>energisa_ms</v>
          </cell>
          <cell r="G47" t="str">
            <v>Jardim Tarumã 2488</v>
          </cell>
          <cell r="H47" t="str">
            <v>Igreja do Evangelho Quadrangular</v>
          </cell>
          <cell r="I47">
            <v>45809</v>
          </cell>
          <cell r="J47" t="str">
            <v>COMERCIAL - TEMPLOS RELIGIOSOS</v>
          </cell>
          <cell r="K47" t="str">
            <v>79097200</v>
          </cell>
          <cell r="L47" t="str">
            <v>MS</v>
          </cell>
          <cell r="M47" t="str">
            <v>CAMPO GRANDE</v>
          </cell>
          <cell r="N47" t="str">
            <v>JARDIM TARUMA</v>
          </cell>
          <cell r="O47" t="str">
            <v>RUA VERDE LOURO, 931 - 11.103.25.135000</v>
          </cell>
          <cell r="P47">
            <v>45826</v>
          </cell>
          <cell r="Q47" t="str">
            <v>B - B3</v>
          </cell>
          <cell r="R47" t="str">
            <v>62955505248886</v>
          </cell>
          <cell r="U47">
            <v>45793</v>
          </cell>
          <cell r="V47">
            <v>45825</v>
          </cell>
          <cell r="W47">
            <v>45855</v>
          </cell>
          <cell r="X47">
            <v>45848</v>
          </cell>
          <cell r="Y47" t="str">
            <v/>
          </cell>
          <cell r="AA47" t="str">
            <v>010.798.583-002</v>
          </cell>
          <cell r="AB47" t="str">
            <v>trifasico</v>
          </cell>
          <cell r="AC47" t="str">
            <v>convencional</v>
          </cell>
          <cell r="AD47">
            <v>110.23</v>
          </cell>
          <cell r="AE47" t="str">
            <v>34191.09545 79076.340276 52186.260007 1 11380000011023</v>
          </cell>
          <cell r="AF47" t="str">
            <v>IGREJA DO EVANGELHO QUADRANGULAR</v>
          </cell>
          <cell r="AL47">
            <v>232</v>
          </cell>
          <cell r="AM47">
            <v>1.1683402220122814</v>
          </cell>
          <cell r="AN47">
            <v>271.0549315068493</v>
          </cell>
          <cell r="AO47">
            <v>1.1264224137931034</v>
          </cell>
          <cell r="AX47">
            <v>159</v>
          </cell>
          <cell r="AY47">
            <v>1.0114775566468508</v>
          </cell>
          <cell r="AZ47">
            <v>-160.82493150684928</v>
          </cell>
          <cell r="BA47">
            <v>1.1264150943396225</v>
          </cell>
          <cell r="DR47">
            <v>159</v>
          </cell>
          <cell r="DS47">
            <v>1.1683329025588005</v>
          </cell>
          <cell r="DT47">
            <v>-185.76493150684928</v>
          </cell>
          <cell r="DU47">
            <v>1.1264150943396225</v>
          </cell>
          <cell r="ET47">
            <v>159</v>
          </cell>
          <cell r="EX47">
            <v>29</v>
          </cell>
          <cell r="EZ47">
            <v>3.06</v>
          </cell>
          <cell r="FL47">
            <v>24.94</v>
          </cell>
          <cell r="FM47">
            <v>70.78</v>
          </cell>
          <cell r="FN47">
            <v>4.9954999999999999E-2</v>
          </cell>
          <cell r="FO47">
            <v>3.54</v>
          </cell>
          <cell r="FP47">
            <v>70.78</v>
          </cell>
          <cell r="FQ47">
            <v>1.0845E-2</v>
          </cell>
          <cell r="FR47">
            <v>0.76</v>
          </cell>
          <cell r="FS47">
            <v>85.29</v>
          </cell>
          <cell r="FT47">
            <v>0.17</v>
          </cell>
          <cell r="FU47">
            <v>14.49</v>
          </cell>
          <cell r="GD47">
            <v>232</v>
          </cell>
          <cell r="GE47">
            <v>34385</v>
          </cell>
          <cell r="GF47">
            <v>34153</v>
          </cell>
          <cell r="GG47">
            <v>1</v>
          </cell>
          <cell r="HU47">
            <v>245</v>
          </cell>
          <cell r="HY47">
            <v>306</v>
          </cell>
          <cell r="IC47">
            <v>499</v>
          </cell>
          <cell r="IG47">
            <v>406</v>
          </cell>
          <cell r="IK47">
            <v>452</v>
          </cell>
          <cell r="IO47">
            <v>359</v>
          </cell>
          <cell r="IS47">
            <v>271</v>
          </cell>
          <cell r="IW47">
            <v>239</v>
          </cell>
        </row>
        <row r="48">
          <cell r="A48" t="str">
            <v/>
          </cell>
          <cell r="B48" t="str">
            <v>10/3040565-8</v>
          </cell>
          <cell r="C48" t="str">
            <v>58749 - 2</v>
          </cell>
          <cell r="F48" t="str">
            <v>energisa_ms</v>
          </cell>
          <cell r="G48" t="str">
            <v>154</v>
          </cell>
          <cell r="H48" t="str">
            <v>Igreja do Evangelho Quadrangular</v>
          </cell>
          <cell r="I48">
            <v>45809</v>
          </cell>
          <cell r="J48" t="str">
            <v>RESIDENCIAL - RESIDENCIAL</v>
          </cell>
          <cell r="K48" t="str">
            <v>79831130</v>
          </cell>
          <cell r="L48" t="str">
            <v>MS</v>
          </cell>
          <cell r="M48" t="str">
            <v>DOURADOS</v>
          </cell>
          <cell r="N48" t="str">
            <v>VILA ROSA</v>
          </cell>
          <cell r="O48" t="str">
            <v>RUA ANTONIO AMARO DE MATTOS, 5422 - CX 02 07.010.26.205001</v>
          </cell>
          <cell r="P48">
            <v>45833</v>
          </cell>
          <cell r="Q48" t="str">
            <v>B - B1</v>
          </cell>
          <cell r="R48" t="str">
            <v>6X.XXX.XXX/XXX4-31</v>
          </cell>
          <cell r="U48">
            <v>45800</v>
          </cell>
          <cell r="V48">
            <v>45832</v>
          </cell>
          <cell r="W48">
            <v>45861</v>
          </cell>
          <cell r="X48">
            <v>45842</v>
          </cell>
          <cell r="Y48" t="str">
            <v/>
          </cell>
          <cell r="AA48" t="str">
            <v>010.887.843-002</v>
          </cell>
          <cell r="AB48" t="str">
            <v>bifasico</v>
          </cell>
          <cell r="AC48" t="str">
            <v>convencional</v>
          </cell>
          <cell r="AD48">
            <v>472.77</v>
          </cell>
          <cell r="AF48" t="str">
            <v>IGREJA DO EVANGELHO QUADRANGULAR</v>
          </cell>
          <cell r="AL48">
            <v>342</v>
          </cell>
          <cell r="AM48">
            <v>1.1753216374269007</v>
          </cell>
          <cell r="AN48">
            <v>401.96000000000004</v>
          </cell>
          <cell r="AO48">
            <v>1.1264327485380117</v>
          </cell>
          <cell r="EX48">
            <v>0</v>
          </cell>
          <cell r="EZ48">
            <v>16.72</v>
          </cell>
          <cell r="FA48">
            <v>59.51</v>
          </cell>
          <cell r="FC48">
            <v>11.3</v>
          </cell>
          <cell r="FM48">
            <v>333.62</v>
          </cell>
          <cell r="FN48">
            <v>4.9954999999999999E-2</v>
          </cell>
          <cell r="FO48">
            <v>16.66</v>
          </cell>
          <cell r="FP48">
            <v>333.62</v>
          </cell>
          <cell r="FQ48">
            <v>1.0845E-2</v>
          </cell>
          <cell r="FR48">
            <v>3.62</v>
          </cell>
          <cell r="FS48">
            <v>401.96</v>
          </cell>
          <cell r="FT48">
            <v>0.17</v>
          </cell>
          <cell r="FU48">
            <v>68.33</v>
          </cell>
          <cell r="GD48">
            <v>342</v>
          </cell>
          <cell r="GE48">
            <v>9538</v>
          </cell>
          <cell r="GF48">
            <v>9196</v>
          </cell>
          <cell r="GG48">
            <v>1</v>
          </cell>
          <cell r="HU48">
            <v>311</v>
          </cell>
          <cell r="HY48">
            <v>352</v>
          </cell>
          <cell r="IC48">
            <v>374</v>
          </cell>
          <cell r="IG48">
            <v>309</v>
          </cell>
          <cell r="IK48">
            <v>193</v>
          </cell>
          <cell r="IO48">
            <v>256</v>
          </cell>
          <cell r="IS48">
            <v>319</v>
          </cell>
          <cell r="IW48">
            <v>273</v>
          </cell>
        </row>
        <row r="49">
          <cell r="A49" t="str">
            <v/>
          </cell>
          <cell r="B49" t="str">
            <v>10/52987-5</v>
          </cell>
          <cell r="C49" t="str">
            <v>1822</v>
          </cell>
          <cell r="F49" t="str">
            <v>energisa_ms</v>
          </cell>
          <cell r="G49" t="str">
            <v>5661</v>
          </cell>
          <cell r="H49" t="str">
            <v>Igreja do Evangelho Quadrangular</v>
          </cell>
          <cell r="I49">
            <v>45809</v>
          </cell>
          <cell r="J49" t="str">
            <v>COMERCIAL - TEMPLOS RELIGIOSOS</v>
          </cell>
          <cell r="K49" t="str">
            <v>79812170</v>
          </cell>
          <cell r="L49" t="str">
            <v>MS</v>
          </cell>
          <cell r="M49" t="str">
            <v>DOURADOS</v>
          </cell>
          <cell r="N49" t="str">
            <v>JARDIM AGUA BOA</v>
          </cell>
          <cell r="O49" t="str">
            <v>RUA SALVIANO PEDROSO, 1150 - 09.010.29.651000</v>
          </cell>
          <cell r="P49">
            <v>45828</v>
          </cell>
          <cell r="Q49" t="str">
            <v>B - B3</v>
          </cell>
          <cell r="R49" t="str">
            <v>62955505182257</v>
          </cell>
          <cell r="U49">
            <v>45796</v>
          </cell>
          <cell r="V49">
            <v>45826</v>
          </cell>
          <cell r="W49">
            <v>45856</v>
          </cell>
          <cell r="X49">
            <v>45839</v>
          </cell>
          <cell r="Y49" t="str">
            <v/>
          </cell>
          <cell r="AA49" t="str">
            <v>010.817.568-002</v>
          </cell>
          <cell r="AB49" t="str">
            <v>trifasico</v>
          </cell>
          <cell r="AC49" t="str">
            <v>convencional</v>
          </cell>
          <cell r="AD49">
            <v>210.71</v>
          </cell>
          <cell r="AE49" t="str">
            <v>34191.09115 62082.672932 85972.140009 4 11290000021071</v>
          </cell>
          <cell r="AF49" t="str">
            <v>IGREJA DO EVANGELHO QUADRANGULAR</v>
          </cell>
          <cell r="AL49">
            <v>185</v>
          </cell>
          <cell r="AM49">
            <v>1.1704324324324324</v>
          </cell>
          <cell r="AN49">
            <v>216.53</v>
          </cell>
          <cell r="AO49">
            <v>1.1264324324324324</v>
          </cell>
          <cell r="AX49">
            <v>45</v>
          </cell>
          <cell r="AY49">
            <v>1.0133333333333334</v>
          </cell>
          <cell r="AZ49">
            <v>-45.6</v>
          </cell>
          <cell r="BA49">
            <v>1.1262222222222222</v>
          </cell>
          <cell r="DR49">
            <v>45</v>
          </cell>
          <cell r="DS49">
            <v>1.1702222222222223</v>
          </cell>
          <cell r="DT49">
            <v>-52.660000000000004</v>
          </cell>
          <cell r="DU49">
            <v>1.1262222222222222</v>
          </cell>
          <cell r="ET49">
            <v>45</v>
          </cell>
          <cell r="EX49">
            <v>0</v>
          </cell>
          <cell r="EZ49">
            <v>6.16</v>
          </cell>
          <cell r="FA49">
            <v>39.78</v>
          </cell>
          <cell r="FL49">
            <v>7.06</v>
          </cell>
          <cell r="FM49">
            <v>136.01</v>
          </cell>
          <cell r="FN49">
            <v>4.9954999999999999E-2</v>
          </cell>
          <cell r="FO49">
            <v>6.79</v>
          </cell>
          <cell r="FP49">
            <v>136.01</v>
          </cell>
          <cell r="FQ49">
            <v>1.0845E-2</v>
          </cell>
          <cell r="FR49">
            <v>1.47</v>
          </cell>
          <cell r="FS49">
            <v>163.87</v>
          </cell>
          <cell r="FT49">
            <v>0.17</v>
          </cell>
          <cell r="FU49">
            <v>27.85</v>
          </cell>
          <cell r="GD49">
            <v>185</v>
          </cell>
          <cell r="GE49">
            <v>27764</v>
          </cell>
          <cell r="GF49">
            <v>27579</v>
          </cell>
          <cell r="GG49">
            <v>1</v>
          </cell>
          <cell r="HU49">
            <v>213</v>
          </cell>
          <cell r="HY49">
            <v>286</v>
          </cell>
          <cell r="IC49">
            <v>433</v>
          </cell>
          <cell r="IG49">
            <v>467</v>
          </cell>
          <cell r="IK49">
            <v>358</v>
          </cell>
          <cell r="IO49">
            <v>314</v>
          </cell>
          <cell r="IS49">
            <v>222</v>
          </cell>
          <cell r="IW49">
            <v>315</v>
          </cell>
        </row>
        <row r="50">
          <cell r="A50" t="str">
            <v/>
          </cell>
          <cell r="B50" t="str">
            <v>10/127464-6</v>
          </cell>
          <cell r="C50" t="str">
            <v>3311</v>
          </cell>
          <cell r="F50" t="str">
            <v>energisa_ms</v>
          </cell>
          <cell r="G50" t="str">
            <v>3311</v>
          </cell>
          <cell r="H50" t="str">
            <v>Igreja do Evangelho Quadrangular</v>
          </cell>
          <cell r="I50">
            <v>45809</v>
          </cell>
          <cell r="J50" t="str">
            <v>COMERCIAL - TEMPLOS RELIGIOSOS</v>
          </cell>
          <cell r="K50" t="str">
            <v>79400000</v>
          </cell>
          <cell r="L50" t="str">
            <v>MS</v>
          </cell>
          <cell r="M50" t="str">
            <v>COXIM</v>
          </cell>
          <cell r="N50" t="str">
            <v>CENTRO</v>
          </cell>
          <cell r="O50" t="str">
            <v>AVENIDA MATO GROSSO DO SUL, 1466 - 12.029.03.222000</v>
          </cell>
          <cell r="P50">
            <v>45814</v>
          </cell>
          <cell r="Q50" t="str">
            <v>B - B3</v>
          </cell>
          <cell r="R50" t="str">
            <v>62955505331198</v>
          </cell>
          <cell r="U50">
            <v>45784</v>
          </cell>
          <cell r="V50">
            <v>45813</v>
          </cell>
          <cell r="W50">
            <v>45845</v>
          </cell>
          <cell r="X50">
            <v>45844</v>
          </cell>
          <cell r="Y50" t="str">
            <v/>
          </cell>
          <cell r="AA50" t="str">
            <v>010.628.271-002</v>
          </cell>
          <cell r="AB50" t="str">
            <v>trifasico</v>
          </cell>
          <cell r="AC50" t="str">
            <v>convencional</v>
          </cell>
          <cell r="AD50">
            <v>182.72</v>
          </cell>
          <cell r="AE50" t="str">
            <v>34191.09115 35953.022932 85972.140009 9 11340000018272</v>
          </cell>
          <cell r="AF50" t="str">
            <v>IGREJA DO EVANGELHO QUADRANGULAR</v>
          </cell>
          <cell r="AL50">
            <v>376</v>
          </cell>
          <cell r="AM50">
            <v>1.1564361702127661</v>
          </cell>
          <cell r="AN50">
            <v>434.82000000000005</v>
          </cell>
          <cell r="AO50">
            <v>1.1264361702127661</v>
          </cell>
          <cell r="AX50">
            <v>317</v>
          </cell>
          <cell r="AY50">
            <v>0.99955835962145112</v>
          </cell>
          <cell r="AZ50">
            <v>-316.86</v>
          </cell>
          <cell r="BA50">
            <v>1.1264353312302839</v>
          </cell>
          <cell r="DR50">
            <v>317</v>
          </cell>
          <cell r="DS50">
            <v>1.156435331230284</v>
          </cell>
          <cell r="DT50">
            <v>-366.59000000000003</v>
          </cell>
          <cell r="DU50">
            <v>1.1264353312302839</v>
          </cell>
          <cell r="ET50">
            <v>317</v>
          </cell>
          <cell r="EX50">
            <v>0</v>
          </cell>
          <cell r="EZ50">
            <v>1.77</v>
          </cell>
          <cell r="FA50">
            <v>64.760000000000005</v>
          </cell>
          <cell r="FL50">
            <v>49.73</v>
          </cell>
          <cell r="FM50">
            <v>56.64</v>
          </cell>
          <cell r="FN50">
            <v>4.9954999999999999E-2</v>
          </cell>
          <cell r="FO50">
            <v>2.83</v>
          </cell>
          <cell r="FP50">
            <v>56.64</v>
          </cell>
          <cell r="FQ50">
            <v>1.0845E-2</v>
          </cell>
          <cell r="FR50">
            <v>0.61</v>
          </cell>
          <cell r="FS50">
            <v>68.23</v>
          </cell>
          <cell r="FT50">
            <v>0.17</v>
          </cell>
          <cell r="FU50">
            <v>11.59</v>
          </cell>
          <cell r="GD50">
            <v>376</v>
          </cell>
          <cell r="GE50">
            <v>42128</v>
          </cell>
          <cell r="GF50">
            <v>41752</v>
          </cell>
          <cell r="GG50">
            <v>1</v>
          </cell>
          <cell r="HU50">
            <v>594</v>
          </cell>
          <cell r="HY50">
            <v>472</v>
          </cell>
          <cell r="IC50">
            <v>537</v>
          </cell>
          <cell r="IG50">
            <v>531</v>
          </cell>
          <cell r="IK50">
            <v>546</v>
          </cell>
          <cell r="IO50">
            <v>468</v>
          </cell>
          <cell r="IS50">
            <v>584</v>
          </cell>
          <cell r="IW50">
            <v>528</v>
          </cell>
        </row>
        <row r="51">
          <cell r="A51" t="str">
            <v/>
          </cell>
          <cell r="B51" t="str">
            <v>10/63920-3</v>
          </cell>
          <cell r="C51" t="str">
            <v>1355 (Jardim Itália)</v>
          </cell>
          <cell r="F51" t="str">
            <v>energisa_ms</v>
          </cell>
          <cell r="G51" t="str">
            <v>1355 (Jardim Itália)</v>
          </cell>
          <cell r="H51" t="str">
            <v>Igreja do Evangelho Quadrangular</v>
          </cell>
          <cell r="I51">
            <v>45809</v>
          </cell>
          <cell r="J51" t="str">
            <v>COMERCIAL - TEMPLOS RELIGIOSOS</v>
          </cell>
          <cell r="K51" t="str">
            <v>79814040</v>
          </cell>
          <cell r="L51" t="str">
            <v>MS</v>
          </cell>
          <cell r="M51" t="str">
            <v>DOURADOS</v>
          </cell>
          <cell r="N51" t="str">
            <v>JARDIM MATO GROSSO</v>
          </cell>
          <cell r="O51" t="str">
            <v>RUA INOCENCIA DE MATOS OSORIO, 240 - 08.010.19.882000</v>
          </cell>
          <cell r="P51">
            <v>45819</v>
          </cell>
          <cell r="Q51" t="str">
            <v>B - B3</v>
          </cell>
          <cell r="R51" t="str">
            <v>62955505135500</v>
          </cell>
          <cell r="U51">
            <v>45789</v>
          </cell>
          <cell r="V51">
            <v>45818</v>
          </cell>
          <cell r="W51">
            <v>45848</v>
          </cell>
          <cell r="X51">
            <v>45848</v>
          </cell>
          <cell r="Y51" t="str">
            <v/>
          </cell>
          <cell r="AA51" t="str">
            <v>010.706.041-002</v>
          </cell>
          <cell r="AB51" t="str">
            <v>trifasico</v>
          </cell>
          <cell r="AC51" t="str">
            <v>convencional</v>
          </cell>
          <cell r="AD51">
            <v>245.82</v>
          </cell>
          <cell r="AE51" t="str">
            <v>34191.09115 46006.062932 85972.140009 4 11380000024582</v>
          </cell>
          <cell r="AF51" t="str">
            <v>IGREJA DO EVANGELHO QUADRANGULAR</v>
          </cell>
          <cell r="AL51">
            <v>297</v>
          </cell>
          <cell r="AM51">
            <v>1.1619705447763002</v>
          </cell>
          <cell r="AN51">
            <v>345.1052517985612</v>
          </cell>
          <cell r="AO51">
            <v>1.1264309764309766</v>
          </cell>
          <cell r="AX51">
            <v>158</v>
          </cell>
          <cell r="AY51">
            <v>1.0050332392313999</v>
          </cell>
          <cell r="AZ51">
            <v>-158.79525179856117</v>
          </cell>
          <cell r="BA51">
            <v>1.1263924050632912</v>
          </cell>
          <cell r="DR51">
            <v>158</v>
          </cell>
          <cell r="DS51">
            <v>1.1619319734086149</v>
          </cell>
          <cell r="DT51">
            <v>-183.58525179856116</v>
          </cell>
          <cell r="DU51">
            <v>1.1263924050632912</v>
          </cell>
          <cell r="ET51">
            <v>158</v>
          </cell>
          <cell r="EX51">
            <v>0</v>
          </cell>
          <cell r="EZ51">
            <v>4.9400000000000004</v>
          </cell>
          <cell r="FA51">
            <v>59.51</v>
          </cell>
          <cell r="FL51">
            <v>24.79</v>
          </cell>
          <cell r="FM51">
            <v>134.06</v>
          </cell>
          <cell r="FN51">
            <v>4.9954999999999999E-2</v>
          </cell>
          <cell r="FO51">
            <v>6.69</v>
          </cell>
          <cell r="FP51">
            <v>134.06</v>
          </cell>
          <cell r="FQ51">
            <v>1.0845E-2</v>
          </cell>
          <cell r="FR51">
            <v>1.45</v>
          </cell>
          <cell r="FS51">
            <v>161.52000000000001</v>
          </cell>
          <cell r="FT51">
            <v>0.17</v>
          </cell>
          <cell r="FU51">
            <v>27.45</v>
          </cell>
          <cell r="GD51">
            <v>297</v>
          </cell>
          <cell r="GE51">
            <v>7038</v>
          </cell>
          <cell r="GF51">
            <v>6741</v>
          </cell>
          <cell r="GG51">
            <v>1</v>
          </cell>
          <cell r="HU51">
            <v>411</v>
          </cell>
          <cell r="HY51">
            <v>396</v>
          </cell>
          <cell r="IC51">
            <v>459</v>
          </cell>
          <cell r="IG51">
            <v>462</v>
          </cell>
          <cell r="IK51">
            <v>387</v>
          </cell>
          <cell r="IO51">
            <v>396</v>
          </cell>
          <cell r="IS51">
            <v>376</v>
          </cell>
          <cell r="IW51">
            <v>423</v>
          </cell>
        </row>
        <row r="52">
          <cell r="A52" t="str">
            <v/>
          </cell>
          <cell r="B52" t="str">
            <v>10/3123706-8</v>
          </cell>
          <cell r="C52" t="str">
            <v>Navirai 3757</v>
          </cell>
          <cell r="F52" t="str">
            <v>energisa_ms</v>
          </cell>
          <cell r="G52" t="str">
            <v>Navirai 3757</v>
          </cell>
          <cell r="H52" t="str">
            <v>Igreja do Evangelho Quadrangular</v>
          </cell>
          <cell r="I52">
            <v>45809</v>
          </cell>
          <cell r="J52" t="str">
            <v>RESIDENCIAL - RESIDENCIAL</v>
          </cell>
          <cell r="K52" t="str">
            <v>79950000</v>
          </cell>
          <cell r="L52" t="str">
            <v>MS</v>
          </cell>
          <cell r="M52" t="str">
            <v>NAVIRAI</v>
          </cell>
          <cell r="N52" t="str">
            <v>CENTRO</v>
          </cell>
          <cell r="O52" t="str">
            <v>RUA CUIABA, 225 - TRATA-SE RESIDENCIA 18-038-13-89250</v>
          </cell>
          <cell r="P52">
            <v>45834</v>
          </cell>
          <cell r="Q52" t="str">
            <v>B - B1</v>
          </cell>
          <cell r="R52" t="str">
            <v>62955505375721</v>
          </cell>
          <cell r="U52">
            <v>45803</v>
          </cell>
          <cell r="V52">
            <v>45833</v>
          </cell>
          <cell r="W52">
            <v>45862</v>
          </cell>
          <cell r="X52">
            <v>45864</v>
          </cell>
          <cell r="AA52" t="str">
            <v>010.905.253-002</v>
          </cell>
          <cell r="AB52" t="str">
            <v>trifasico</v>
          </cell>
          <cell r="AC52" t="str">
            <v>convencional</v>
          </cell>
          <cell r="AD52">
            <v>530.4</v>
          </cell>
          <cell r="AE52" t="str">
            <v>34191.09115 75027.592932 85972.140009 3 11540000053040</v>
          </cell>
          <cell r="AF52" t="str">
            <v>IGREJA DO EVANGELHO QUADRANGULAR</v>
          </cell>
          <cell r="AL52">
            <v>400</v>
          </cell>
          <cell r="AM52">
            <v>1.1781250000000001</v>
          </cell>
          <cell r="AN52">
            <v>471.25000000000006</v>
          </cell>
          <cell r="AO52">
            <v>1.126425</v>
          </cell>
          <cell r="EX52">
            <v>0</v>
          </cell>
          <cell r="EZ52">
            <v>20.68</v>
          </cell>
          <cell r="FA52">
            <v>54.09</v>
          </cell>
          <cell r="FC52">
            <v>5.0600000000000005</v>
          </cell>
          <cell r="FM52">
            <v>391.13</v>
          </cell>
          <cell r="FN52">
            <v>4.9954999999999999E-2</v>
          </cell>
          <cell r="FO52">
            <v>19.54</v>
          </cell>
          <cell r="FP52">
            <v>391.13</v>
          </cell>
          <cell r="FQ52">
            <v>1.0845E-2</v>
          </cell>
          <cell r="FR52">
            <v>4.2300000000000004</v>
          </cell>
          <cell r="FS52">
            <v>471.25</v>
          </cell>
          <cell r="FT52">
            <v>0.17</v>
          </cell>
          <cell r="FU52">
            <v>80.11</v>
          </cell>
          <cell r="GD52">
            <v>400</v>
          </cell>
          <cell r="GE52">
            <v>37740</v>
          </cell>
          <cell r="GF52">
            <v>37340</v>
          </cell>
          <cell r="GG52">
            <v>1</v>
          </cell>
          <cell r="HU52">
            <v>355</v>
          </cell>
          <cell r="HY52">
            <v>320</v>
          </cell>
          <cell r="IC52">
            <v>400</v>
          </cell>
          <cell r="IG52">
            <v>307</v>
          </cell>
          <cell r="IK52">
            <v>316</v>
          </cell>
          <cell r="IO52">
            <v>320</v>
          </cell>
          <cell r="IS52">
            <v>355</v>
          </cell>
          <cell r="IW52">
            <v>397</v>
          </cell>
        </row>
        <row r="53">
          <cell r="A53" t="str">
            <v/>
          </cell>
          <cell r="B53" t="str">
            <v>10/952579-1</v>
          </cell>
          <cell r="C53" t="str">
            <v>58787</v>
          </cell>
          <cell r="F53" t="str">
            <v>energisa_ms</v>
          </cell>
          <cell r="G53" t="str">
            <v>58787</v>
          </cell>
          <cell r="H53" t="str">
            <v>Igreja do Evangelho Quadrangular</v>
          </cell>
          <cell r="I53">
            <v>45809</v>
          </cell>
          <cell r="J53" t="str">
            <v>COMERCIAL - TEMPLOS RELIGIOSOS</v>
          </cell>
          <cell r="K53" t="str">
            <v>79415000</v>
          </cell>
          <cell r="L53" t="str">
            <v>MS</v>
          </cell>
          <cell r="M53" t="str">
            <v>SONORA</v>
          </cell>
          <cell r="N53" t="str">
            <v>CENTRO</v>
          </cell>
          <cell r="O53" t="str">
            <v>RUA PRESIDENTE VARGAS, 42 - Q 0 L 00042 05.087.85.225077</v>
          </cell>
          <cell r="P53">
            <v>45828</v>
          </cell>
          <cell r="Q53" t="str">
            <v>B - B3</v>
          </cell>
          <cell r="R53" t="str">
            <v>62955505897930</v>
          </cell>
          <cell r="U53">
            <v>45796</v>
          </cell>
          <cell r="V53">
            <v>45826</v>
          </cell>
          <cell r="W53">
            <v>45856</v>
          </cell>
          <cell r="X53">
            <v>45859</v>
          </cell>
          <cell r="Y53" t="str">
            <v/>
          </cell>
          <cell r="AA53" t="str">
            <v>010.819.910-002</v>
          </cell>
          <cell r="AB53" t="str">
            <v>bifasico</v>
          </cell>
          <cell r="AC53" t="str">
            <v>convencional</v>
          </cell>
          <cell r="AD53">
            <v>180.47</v>
          </cell>
          <cell r="AE53" t="str">
            <v>34191.09115 62170.602932 85972.140009 6 11490000018047</v>
          </cell>
          <cell r="AF53" t="str">
            <v>IGREJA DO EVANGELHO QUADRANGULAR</v>
          </cell>
          <cell r="AL53">
            <v>146</v>
          </cell>
          <cell r="AM53">
            <v>1.1704794520547945</v>
          </cell>
          <cell r="AN53">
            <v>170.89000000000001</v>
          </cell>
          <cell r="AO53">
            <v>1.1264383561643836</v>
          </cell>
          <cell r="EX53">
            <v>0</v>
          </cell>
          <cell r="EZ53">
            <v>6.43</v>
          </cell>
          <cell r="FA53">
            <v>7.39</v>
          </cell>
          <cell r="FC53">
            <v>2.19</v>
          </cell>
          <cell r="FM53">
            <v>141.82</v>
          </cell>
          <cell r="FN53">
            <v>4.9954999999999999E-2</v>
          </cell>
          <cell r="FO53">
            <v>7.09</v>
          </cell>
          <cell r="FP53">
            <v>141.82</v>
          </cell>
          <cell r="FQ53">
            <v>1.0845E-2</v>
          </cell>
          <cell r="FR53">
            <v>1.53</v>
          </cell>
          <cell r="FS53">
            <v>170.89</v>
          </cell>
          <cell r="FT53">
            <v>0.17</v>
          </cell>
          <cell r="FU53">
            <v>29.05</v>
          </cell>
          <cell r="GD53">
            <v>146</v>
          </cell>
          <cell r="GE53">
            <v>38545</v>
          </cell>
          <cell r="GF53">
            <v>38399</v>
          </cell>
          <cell r="GG53">
            <v>1</v>
          </cell>
          <cell r="HU53">
            <v>198</v>
          </cell>
          <cell r="HY53">
            <v>151</v>
          </cell>
          <cell r="IC53">
            <v>125</v>
          </cell>
          <cell r="IG53">
            <v>138</v>
          </cell>
          <cell r="IK53">
            <v>95</v>
          </cell>
          <cell r="IO53">
            <v>138</v>
          </cell>
          <cell r="IS53">
            <v>99</v>
          </cell>
          <cell r="IW53">
            <v>242</v>
          </cell>
        </row>
        <row r="54">
          <cell r="A54" t="str">
            <v/>
          </cell>
          <cell r="B54" t="str">
            <v>10/13786-9</v>
          </cell>
          <cell r="C54" t="str">
            <v>Generoso</v>
          </cell>
          <cell r="F54" t="str">
            <v>energisa_ms</v>
          </cell>
          <cell r="G54" t="str">
            <v>Generoso</v>
          </cell>
          <cell r="H54" t="str">
            <v>Igreja do Evangelho Quadrangular</v>
          </cell>
          <cell r="I54">
            <v>45809</v>
          </cell>
          <cell r="J54" t="str">
            <v>COMERCIAL - TEMPLOS RELIGIOSOS</v>
          </cell>
          <cell r="K54" t="str">
            <v>79333080</v>
          </cell>
          <cell r="L54" t="str">
            <v>MS</v>
          </cell>
          <cell r="M54" t="str">
            <v>CORUMBA</v>
          </cell>
          <cell r="N54" t="str">
            <v>DOM BOSCO</v>
          </cell>
          <cell r="O54" t="str">
            <v>RUA MARECHAL DEODORO, 118 - 03.003.01.491000</v>
          </cell>
          <cell r="P54">
            <v>45826</v>
          </cell>
          <cell r="Q54" t="str">
            <v>B - B3</v>
          </cell>
          <cell r="R54" t="str">
            <v>62955505197521</v>
          </cell>
          <cell r="U54">
            <v>45793</v>
          </cell>
          <cell r="V54">
            <v>45825</v>
          </cell>
          <cell r="W54">
            <v>45855</v>
          </cell>
          <cell r="X54">
            <v>45838</v>
          </cell>
          <cell r="Y54" t="str">
            <v/>
          </cell>
          <cell r="AA54" t="str">
            <v>010.796.245-002</v>
          </cell>
          <cell r="AB54" t="str">
            <v>bifasico</v>
          </cell>
          <cell r="AC54" t="str">
            <v>convencional</v>
          </cell>
          <cell r="AD54">
            <v>195.44</v>
          </cell>
          <cell r="AF54" t="str">
            <v>IGREJA DO EVANGELHO QUADRANGULAR</v>
          </cell>
          <cell r="AL54">
            <v>227</v>
          </cell>
          <cell r="AM54">
            <v>1.1683425460871515</v>
          </cell>
          <cell r="AN54">
            <v>265.21375796178341</v>
          </cell>
          <cell r="AO54">
            <v>1.1264317180616739</v>
          </cell>
          <cell r="AX54">
            <v>70</v>
          </cell>
          <cell r="AY54">
            <v>1.0114822565969059</v>
          </cell>
          <cell r="AZ54">
            <v>-70.803757961783418</v>
          </cell>
          <cell r="BA54">
            <v>1.1264285714285713</v>
          </cell>
          <cell r="DR54">
            <v>70</v>
          </cell>
          <cell r="DS54">
            <v>1.168339399454049</v>
          </cell>
          <cell r="DT54">
            <v>-81.783757961783422</v>
          </cell>
          <cell r="DU54">
            <v>1.1264285714285713</v>
          </cell>
          <cell r="ET54">
            <v>70</v>
          </cell>
          <cell r="EX54">
            <v>0</v>
          </cell>
          <cell r="EZ54">
            <v>6.58</v>
          </cell>
          <cell r="FC54">
            <v>1.03</v>
          </cell>
          <cell r="FL54">
            <v>10.98</v>
          </cell>
          <cell r="FM54">
            <v>152.22999999999999</v>
          </cell>
          <cell r="FN54">
            <v>4.9954999999999999E-2</v>
          </cell>
          <cell r="FO54">
            <v>7.6</v>
          </cell>
          <cell r="FP54">
            <v>152.22999999999999</v>
          </cell>
          <cell r="FQ54">
            <v>1.0845E-2</v>
          </cell>
          <cell r="FR54">
            <v>1.64</v>
          </cell>
          <cell r="FS54">
            <v>183.43</v>
          </cell>
          <cell r="FT54">
            <v>0.17</v>
          </cell>
          <cell r="FU54">
            <v>31.18</v>
          </cell>
          <cell r="GD54">
            <v>227</v>
          </cell>
          <cell r="GE54">
            <v>12480</v>
          </cell>
          <cell r="GF54">
            <v>12253</v>
          </cell>
          <cell r="GG54">
            <v>1</v>
          </cell>
          <cell r="HU54">
            <v>294</v>
          </cell>
          <cell r="HY54">
            <v>280</v>
          </cell>
          <cell r="IC54">
            <v>410</v>
          </cell>
          <cell r="IG54">
            <v>271</v>
          </cell>
          <cell r="IK54">
            <v>315</v>
          </cell>
          <cell r="IO54">
            <v>380</v>
          </cell>
          <cell r="IS54">
            <v>282</v>
          </cell>
          <cell r="IW54">
            <v>294</v>
          </cell>
        </row>
        <row r="55">
          <cell r="A55" t="str">
            <v/>
          </cell>
          <cell r="B55" t="str">
            <v>10/283183-2</v>
          </cell>
          <cell r="C55" t="str">
            <v>Paranhos 2876</v>
          </cell>
          <cell r="F55" t="str">
            <v>energisa_ms</v>
          </cell>
          <cell r="G55" t="str">
            <v>Paranhos 2876</v>
          </cell>
          <cell r="H55" t="str">
            <v>Igreja do Evangelho Quadrangular</v>
          </cell>
          <cell r="I55">
            <v>45809</v>
          </cell>
          <cell r="J55" t="str">
            <v>COMERCIAL - TEMPLOS RELIGIOSOS</v>
          </cell>
          <cell r="K55" t="str">
            <v>79925000</v>
          </cell>
          <cell r="L55" t="str">
            <v>MS</v>
          </cell>
          <cell r="M55" t="str">
            <v>PARANHOS</v>
          </cell>
          <cell r="N55" t="str">
            <v>CENTRO</v>
          </cell>
          <cell r="O55" t="str">
            <v>AVENIDA ALBERTO RATIER, 1200 - 11.091.05.353000</v>
          </cell>
          <cell r="P55">
            <v>45828</v>
          </cell>
          <cell r="Q55" t="str">
            <v>B - B3</v>
          </cell>
          <cell r="R55" t="str">
            <v>62955505287601</v>
          </cell>
          <cell r="U55">
            <v>45796</v>
          </cell>
          <cell r="V55">
            <v>45826</v>
          </cell>
          <cell r="W55">
            <v>45856</v>
          </cell>
          <cell r="X55">
            <v>45863</v>
          </cell>
          <cell r="Y55" t="str">
            <v/>
          </cell>
          <cell r="AA55" t="str">
            <v>010.818.815-002</v>
          </cell>
          <cell r="AB55" t="str">
            <v>trifasico</v>
          </cell>
          <cell r="AC55" t="str">
            <v>convencional</v>
          </cell>
          <cell r="AD55">
            <v>140.97</v>
          </cell>
          <cell r="AE55" t="str">
            <v>34191.09115 62150.072932 85972.140009 4 11530000014097</v>
          </cell>
          <cell r="AF55" t="str">
            <v>IGREJA DO EVANGELHO QUADRANGULAR</v>
          </cell>
          <cell r="AL55">
            <v>119</v>
          </cell>
          <cell r="AM55">
            <v>1.1704071731785497</v>
          </cell>
          <cell r="AN55">
            <v>139.27845360824742</v>
          </cell>
          <cell r="AO55">
            <v>1.1263865546218488</v>
          </cell>
          <cell r="AX55">
            <v>22</v>
          </cell>
          <cell r="AY55">
            <v>1.0135660731021559</v>
          </cell>
          <cell r="AZ55">
            <v>-22.298453608247428</v>
          </cell>
          <cell r="BA55">
            <v>1.1263636363636365</v>
          </cell>
          <cell r="DR55">
            <v>22</v>
          </cell>
          <cell r="DS55">
            <v>1.1703842549203376</v>
          </cell>
          <cell r="DT55">
            <v>-25.748453608247427</v>
          </cell>
          <cell r="DU55">
            <v>1.1263636363636365</v>
          </cell>
          <cell r="ET55">
            <v>22</v>
          </cell>
          <cell r="EX55">
            <v>183</v>
          </cell>
          <cell r="EZ55">
            <v>4.2699999999999996</v>
          </cell>
          <cell r="FA55">
            <v>23.99</v>
          </cell>
          <cell r="FL55">
            <v>3.45</v>
          </cell>
          <cell r="FM55">
            <v>94.22</v>
          </cell>
          <cell r="FN55">
            <v>4.9954999999999999E-2</v>
          </cell>
          <cell r="FO55">
            <v>4.71</v>
          </cell>
          <cell r="FP55">
            <v>94.22</v>
          </cell>
          <cell r="FQ55">
            <v>1.0845E-2</v>
          </cell>
          <cell r="FR55">
            <v>1.03</v>
          </cell>
          <cell r="FS55">
            <v>113.53</v>
          </cell>
          <cell r="FT55">
            <v>0.17</v>
          </cell>
          <cell r="FU55">
            <v>19.3</v>
          </cell>
          <cell r="GD55">
            <v>119</v>
          </cell>
          <cell r="GE55">
            <v>34903</v>
          </cell>
          <cell r="GF55">
            <v>34784</v>
          </cell>
          <cell r="GG55">
            <v>1</v>
          </cell>
          <cell r="HU55">
            <v>155</v>
          </cell>
          <cell r="HY55">
            <v>126</v>
          </cell>
          <cell r="IC55">
            <v>183</v>
          </cell>
          <cell r="IG55">
            <v>181</v>
          </cell>
          <cell r="IK55">
            <v>199</v>
          </cell>
          <cell r="IO55">
            <v>177</v>
          </cell>
          <cell r="IS55">
            <v>156</v>
          </cell>
          <cell r="IW55">
            <v>122</v>
          </cell>
        </row>
        <row r="56">
          <cell r="A56" t="str">
            <v/>
          </cell>
          <cell r="B56" t="str">
            <v>10/1674177-9</v>
          </cell>
          <cell r="C56" t="str">
            <v>3ª IEQ de Anastácio 59611</v>
          </cell>
          <cell r="F56" t="str">
            <v>energisa_ms</v>
          </cell>
          <cell r="G56" t="str">
            <v>3ª IEQ de Anastácio 59611</v>
          </cell>
          <cell r="H56" t="str">
            <v>Igreja do Evangelho Quadrangular</v>
          </cell>
          <cell r="I56">
            <v>45809</v>
          </cell>
          <cell r="J56" t="str">
            <v>COMERCIAL - COMERCIAL</v>
          </cell>
          <cell r="K56" t="str">
            <v>79210000</v>
          </cell>
          <cell r="L56" t="str">
            <v>MS</v>
          </cell>
          <cell r="M56" t="str">
            <v>ANASTACIO</v>
          </cell>
          <cell r="N56" t="str">
            <v>CENTRO</v>
          </cell>
          <cell r="O56" t="str">
            <v>RUA JOAO LEITE RIBEIRO, 1636 - LT 18 QUADRA 04</v>
          </cell>
          <cell r="P56">
            <v>45818</v>
          </cell>
          <cell r="Q56" t="str">
            <v>B - B3</v>
          </cell>
          <cell r="R56" t="str">
            <v>62955505016160</v>
          </cell>
          <cell r="U56">
            <v>45786</v>
          </cell>
          <cell r="V56">
            <v>45817</v>
          </cell>
          <cell r="W56">
            <v>45847</v>
          </cell>
          <cell r="X56">
            <v>45829</v>
          </cell>
          <cell r="Y56" t="str">
            <v/>
          </cell>
          <cell r="AA56" t="str">
            <v>010.681.996-002</v>
          </cell>
          <cell r="AB56" t="str">
            <v>trifasico</v>
          </cell>
          <cell r="AC56" t="str">
            <v>convencional</v>
          </cell>
          <cell r="AD56">
            <v>341.37</v>
          </cell>
          <cell r="AE56" t="str">
            <v>34191.09115 42624.802932 85972.140009 8 11190000034137</v>
          </cell>
          <cell r="AF56" t="str">
            <v>IGREJA DO EVANGELICO QUADRANGULAR</v>
          </cell>
          <cell r="AL56">
            <v>375</v>
          </cell>
          <cell r="AM56">
            <v>1.1602515514592935</v>
          </cell>
          <cell r="AN56">
            <v>435.09433179723504</v>
          </cell>
          <cell r="AO56">
            <v>1.1264266666666667</v>
          </cell>
          <cell r="AX56">
            <v>158</v>
          </cell>
          <cell r="AY56">
            <v>1.0033185556787028</v>
          </cell>
          <cell r="AZ56">
            <v>-158.52433179723505</v>
          </cell>
          <cell r="BA56">
            <v>1.1263924050632912</v>
          </cell>
          <cell r="DR56">
            <v>158</v>
          </cell>
          <cell r="DS56">
            <v>1.160217289855918</v>
          </cell>
          <cell r="DT56">
            <v>-183.31433179723504</v>
          </cell>
          <cell r="DU56">
            <v>1.1263924050632912</v>
          </cell>
          <cell r="ET56">
            <v>158</v>
          </cell>
          <cell r="EX56">
            <v>0</v>
          </cell>
          <cell r="EZ56">
            <v>7.34</v>
          </cell>
          <cell r="FA56">
            <v>53.22</v>
          </cell>
          <cell r="FC56">
            <v>11.579999999999998</v>
          </cell>
          <cell r="FL56">
            <v>24.79</v>
          </cell>
          <cell r="FM56">
            <v>208.96</v>
          </cell>
          <cell r="FN56">
            <v>4.9954999999999999E-2</v>
          </cell>
          <cell r="FO56">
            <v>10.44</v>
          </cell>
          <cell r="FP56">
            <v>208.96</v>
          </cell>
          <cell r="FQ56">
            <v>1.0845E-2</v>
          </cell>
          <cell r="FR56">
            <v>2.2799999999999998</v>
          </cell>
          <cell r="FS56">
            <v>251.78</v>
          </cell>
          <cell r="FT56">
            <v>0.17</v>
          </cell>
          <cell r="FU56">
            <v>42.8</v>
          </cell>
          <cell r="GD56">
            <v>375</v>
          </cell>
          <cell r="GE56">
            <v>28099</v>
          </cell>
          <cell r="GF56">
            <v>27724</v>
          </cell>
          <cell r="GG56">
            <v>1</v>
          </cell>
          <cell r="HU56">
            <v>377</v>
          </cell>
          <cell r="HY56">
            <v>540</v>
          </cell>
          <cell r="IC56">
            <v>754</v>
          </cell>
          <cell r="IG56">
            <v>507</v>
          </cell>
          <cell r="IK56">
            <v>484</v>
          </cell>
          <cell r="IO56">
            <v>564</v>
          </cell>
          <cell r="IS56">
            <v>410</v>
          </cell>
          <cell r="IW56">
            <v>446</v>
          </cell>
        </row>
        <row r="57">
          <cell r="A57" t="str">
            <v/>
          </cell>
          <cell r="B57" t="str">
            <v>10/1266128-6</v>
          </cell>
          <cell r="C57" t="str">
            <v>Novo Amazonas 6194</v>
          </cell>
          <cell r="F57" t="str">
            <v>energisa_ms</v>
          </cell>
          <cell r="G57" t="str">
            <v>Administrativa</v>
          </cell>
          <cell r="H57" t="str">
            <v>Igreja do Evangelho Quadrangular</v>
          </cell>
          <cell r="I57">
            <v>45809</v>
          </cell>
          <cell r="J57" t="str">
            <v>COMERCIAL - TEMPLOS RELIGIOSOS</v>
          </cell>
          <cell r="K57" t="str">
            <v>79034280</v>
          </cell>
          <cell r="L57" t="str">
            <v>MS</v>
          </cell>
          <cell r="M57" t="str">
            <v>CAMPO GRANDE</v>
          </cell>
          <cell r="N57" t="str">
            <v>PARQUE DOS NOVOS ESTADOS</v>
          </cell>
          <cell r="O57" t="str">
            <v>RUA MARACANI, 439 - 15.101.11.267002</v>
          </cell>
          <cell r="P57">
            <v>45832</v>
          </cell>
          <cell r="Q57" t="str">
            <v>B - B3</v>
          </cell>
          <cell r="R57" t="str">
            <v>62955505379395</v>
          </cell>
          <cell r="U57">
            <v>45799</v>
          </cell>
          <cell r="V57">
            <v>45831</v>
          </cell>
          <cell r="W57">
            <v>45860</v>
          </cell>
          <cell r="X57">
            <v>45849</v>
          </cell>
          <cell r="Y57" t="str">
            <v/>
          </cell>
          <cell r="AA57" t="str">
            <v>010.863.839-002</v>
          </cell>
          <cell r="AB57" t="str">
            <v>trifasico</v>
          </cell>
          <cell r="AC57" t="str">
            <v>convencional</v>
          </cell>
          <cell r="AD57">
            <v>457.94</v>
          </cell>
          <cell r="AE57" t="str">
            <v>34191.09545 83338.300276 52186.260007 1 11390000045794</v>
          </cell>
          <cell r="AF57" t="str">
            <v>IGREJA DO EVANGELHO QUADRANGULAR</v>
          </cell>
          <cell r="AL57">
            <v>396</v>
          </cell>
          <cell r="AM57">
            <v>1.1744090000259666</v>
          </cell>
          <cell r="AN57">
            <v>465.06596401028276</v>
          </cell>
          <cell r="AO57">
            <v>1.1264141414141413</v>
          </cell>
          <cell r="AX57">
            <v>7</v>
          </cell>
          <cell r="AY57">
            <v>1.0179948586118253</v>
          </cell>
          <cell r="AZ57">
            <v>-7.125964010282777</v>
          </cell>
          <cell r="BA57">
            <v>1.1257142857142857</v>
          </cell>
          <cell r="DR57">
            <v>7</v>
          </cell>
          <cell r="DS57">
            <v>1.173709144326111</v>
          </cell>
          <cell r="DT57">
            <v>-8.2159640102827769</v>
          </cell>
          <cell r="DU57">
            <v>1.1257142857142857</v>
          </cell>
          <cell r="ET57">
            <v>7</v>
          </cell>
          <cell r="EX57">
            <v>0</v>
          </cell>
          <cell r="EZ57">
            <v>18.670000000000002</v>
          </cell>
          <cell r="FL57">
            <v>1.0900000000000001</v>
          </cell>
          <cell r="FM57">
            <v>379.18</v>
          </cell>
          <cell r="FN57">
            <v>4.9954999999999999E-2</v>
          </cell>
          <cell r="FO57">
            <v>18.93</v>
          </cell>
          <cell r="FP57">
            <v>379.18</v>
          </cell>
          <cell r="FQ57">
            <v>1.0845E-2</v>
          </cell>
          <cell r="FR57">
            <v>4.1100000000000003</v>
          </cell>
          <cell r="FS57">
            <v>456.85</v>
          </cell>
          <cell r="FT57">
            <v>0.17</v>
          </cell>
          <cell r="FU57">
            <v>77.66</v>
          </cell>
          <cell r="GD57">
            <v>396</v>
          </cell>
          <cell r="GE57">
            <v>5837</v>
          </cell>
          <cell r="GF57">
            <v>5798</v>
          </cell>
          <cell r="GG57">
            <v>10</v>
          </cell>
          <cell r="HU57">
            <v>290</v>
          </cell>
          <cell r="HY57">
            <v>410</v>
          </cell>
          <cell r="IC57">
            <v>460</v>
          </cell>
          <cell r="IG57">
            <v>510</v>
          </cell>
          <cell r="IK57">
            <v>520</v>
          </cell>
          <cell r="IO57">
            <v>440</v>
          </cell>
          <cell r="IS57">
            <v>370</v>
          </cell>
          <cell r="IW57">
            <v>450</v>
          </cell>
        </row>
        <row r="58">
          <cell r="A58" t="str">
            <v/>
          </cell>
          <cell r="B58" t="str">
            <v>10/252817-2</v>
          </cell>
          <cell r="C58" t="str">
            <v>Cong. Caracol</v>
          </cell>
          <cell r="F58" t="str">
            <v>energisa_ms</v>
          </cell>
          <cell r="G58" t="str">
            <v>Cong. Caracol</v>
          </cell>
          <cell r="H58" t="str">
            <v>Igreja do Evangelho Quadrangular</v>
          </cell>
          <cell r="I58">
            <v>45809</v>
          </cell>
          <cell r="J58" t="str">
            <v>RESIDENCIAL - RESIDENCIAL</v>
          </cell>
          <cell r="K58" t="str">
            <v>79270000</v>
          </cell>
          <cell r="L58" t="str">
            <v>MS</v>
          </cell>
          <cell r="M58" t="str">
            <v>CARACOL</v>
          </cell>
          <cell r="N58" t="str">
            <v>CENTRO</v>
          </cell>
          <cell r="O58" t="str">
            <v>RUA JOAO MARTINS LEITE, 200 - 04.071.07.270000</v>
          </cell>
          <cell r="P58">
            <v>45826</v>
          </cell>
          <cell r="Q58" t="str">
            <v>B - B1</v>
          </cell>
          <cell r="R58" t="str">
            <v>62955505274020</v>
          </cell>
          <cell r="U58">
            <v>45793</v>
          </cell>
          <cell r="V58">
            <v>45825</v>
          </cell>
          <cell r="W58">
            <v>45855</v>
          </cell>
          <cell r="X58">
            <v>45863</v>
          </cell>
          <cell r="Y58" t="str">
            <v/>
          </cell>
          <cell r="AA58" t="str">
            <v>010.797.814-002</v>
          </cell>
          <cell r="AB58" t="str">
            <v>trifasico</v>
          </cell>
          <cell r="AC58" t="str">
            <v>convencional</v>
          </cell>
          <cell r="AD58">
            <v>152.58000000000001</v>
          </cell>
          <cell r="AE58" t="str">
            <v>34191.09115 59657.922932 85972.140009 6 11530000015258</v>
          </cell>
          <cell r="AF58" t="str">
            <v>IGREJA DO EVANGELHO QUADRANGULAR</v>
          </cell>
          <cell r="AL58">
            <v>148</v>
          </cell>
          <cell r="AM58">
            <v>1.1682745890220116</v>
          </cell>
          <cell r="AN58">
            <v>172.90463917525773</v>
          </cell>
          <cell r="AO58">
            <v>1.1264189189189189</v>
          </cell>
          <cell r="AX58">
            <v>51</v>
          </cell>
          <cell r="AY58">
            <v>1.0112674348089752</v>
          </cell>
          <cell r="AZ58">
            <v>-51.57463917525773</v>
          </cell>
          <cell r="BA58">
            <v>1.1262745098039215</v>
          </cell>
          <cell r="DR58">
            <v>51</v>
          </cell>
          <cell r="DS58">
            <v>1.1681301799070143</v>
          </cell>
          <cell r="DT58">
            <v>-59.57463917525773</v>
          </cell>
          <cell r="DU58">
            <v>1.1262745098039215</v>
          </cell>
          <cell r="ET58">
            <v>51</v>
          </cell>
          <cell r="EX58">
            <v>0</v>
          </cell>
          <cell r="EZ58">
            <v>4.0600000000000005</v>
          </cell>
          <cell r="FA58">
            <v>27.75</v>
          </cell>
          <cell r="FC58">
            <v>3.5</v>
          </cell>
          <cell r="FL58">
            <v>8</v>
          </cell>
          <cell r="FM58">
            <v>94.07</v>
          </cell>
          <cell r="FN58">
            <v>4.9954999999999999E-2</v>
          </cell>
          <cell r="FO58">
            <v>4.71</v>
          </cell>
          <cell r="FP58">
            <v>94.07</v>
          </cell>
          <cell r="FQ58">
            <v>1.0845E-2</v>
          </cell>
          <cell r="FR58">
            <v>1.02</v>
          </cell>
          <cell r="FS58">
            <v>113.33</v>
          </cell>
          <cell r="FT58">
            <v>0.17</v>
          </cell>
          <cell r="FU58">
            <v>19.260000000000002</v>
          </cell>
          <cell r="GD58">
            <v>148</v>
          </cell>
          <cell r="GE58">
            <v>26017</v>
          </cell>
          <cell r="GF58">
            <v>25869</v>
          </cell>
          <cell r="GG58">
            <v>1</v>
          </cell>
          <cell r="HU58">
            <v>208</v>
          </cell>
          <cell r="HY58">
            <v>231</v>
          </cell>
          <cell r="IC58">
            <v>451</v>
          </cell>
          <cell r="IG58">
            <v>338</v>
          </cell>
          <cell r="IK58">
            <v>465</v>
          </cell>
          <cell r="IO58">
            <v>343</v>
          </cell>
          <cell r="IS58">
            <v>227</v>
          </cell>
          <cell r="IW58">
            <v>265</v>
          </cell>
        </row>
        <row r="59">
          <cell r="A59" t="str">
            <v/>
          </cell>
          <cell r="B59" t="str">
            <v>10/505854-0</v>
          </cell>
          <cell r="C59" t="str">
            <v>Cong. Douradina</v>
          </cell>
          <cell r="F59" t="str">
            <v>energisa_ms</v>
          </cell>
          <cell r="G59" t="str">
            <v>Cong. Douradina</v>
          </cell>
          <cell r="H59" t="str">
            <v>Igreja do Evangelho Quadrangular</v>
          </cell>
          <cell r="I59">
            <v>45809</v>
          </cell>
          <cell r="J59" t="str">
            <v>COMERCIAL - TEMPLOS RELIGIOSOS</v>
          </cell>
          <cell r="K59" t="str">
            <v>79880000</v>
          </cell>
          <cell r="L59" t="str">
            <v>MS</v>
          </cell>
          <cell r="M59" t="str">
            <v>DOURADINA</v>
          </cell>
          <cell r="N59" t="str">
            <v>CENTRO</v>
          </cell>
          <cell r="O59" t="str">
            <v>AVENIDA PRESIDENTE DUTRA, 925 - 02.079.03.198000</v>
          </cell>
          <cell r="P59">
            <v>45819</v>
          </cell>
          <cell r="Q59" t="str">
            <v>B - B3</v>
          </cell>
          <cell r="R59" t="str">
            <v>62955505887382</v>
          </cell>
          <cell r="U59">
            <v>45789</v>
          </cell>
          <cell r="V59">
            <v>45818</v>
          </cell>
          <cell r="W59">
            <v>45848</v>
          </cell>
          <cell r="X59">
            <v>45831</v>
          </cell>
          <cell r="Y59" t="str">
            <v/>
          </cell>
          <cell r="AA59" t="str">
            <v>010.708.120-002</v>
          </cell>
          <cell r="AB59" t="str">
            <v>trifasico</v>
          </cell>
          <cell r="AC59" t="str">
            <v>convencional</v>
          </cell>
          <cell r="AD59">
            <v>122.67</v>
          </cell>
          <cell r="AE59" t="str">
            <v>34191.09115 46083.282932 85972.140009 9 11210000012267</v>
          </cell>
          <cell r="AF59" t="str">
            <v>IGREJA DO EVANGELHO QUADRANGULAR</v>
          </cell>
          <cell r="AI59">
            <v>100</v>
          </cell>
          <cell r="AJ59">
            <v>1.1264000000000001</v>
          </cell>
          <cell r="AK59">
            <v>112.64</v>
          </cell>
          <cell r="AL59">
            <v>0</v>
          </cell>
          <cell r="AM59">
            <v>1.1264000000000001</v>
          </cell>
          <cell r="AN59">
            <v>0</v>
          </cell>
          <cell r="EX59">
            <v>432</v>
          </cell>
          <cell r="EZ59">
            <v>3.5300000000000002</v>
          </cell>
          <cell r="FC59">
            <v>6.5</v>
          </cell>
          <cell r="FM59">
            <v>96.41</v>
          </cell>
          <cell r="FN59">
            <v>4.9954999999999999E-2</v>
          </cell>
          <cell r="FO59">
            <v>4.8099999999999996</v>
          </cell>
          <cell r="FP59">
            <v>96.41</v>
          </cell>
          <cell r="FQ59">
            <v>1.0845E-2</v>
          </cell>
          <cell r="FR59">
            <v>1.04</v>
          </cell>
          <cell r="FS59">
            <v>116.17</v>
          </cell>
          <cell r="FT59">
            <v>0.17</v>
          </cell>
          <cell r="FU59">
            <v>19.739999999999998</v>
          </cell>
          <cell r="GD59">
            <v>48</v>
          </cell>
          <cell r="GE59">
            <v>9150</v>
          </cell>
          <cell r="GF59">
            <v>9102</v>
          </cell>
          <cell r="GG59">
            <v>1</v>
          </cell>
          <cell r="HU59">
            <v>66</v>
          </cell>
          <cell r="HY59">
            <v>66</v>
          </cell>
          <cell r="IC59">
            <v>120</v>
          </cell>
          <cell r="IG59">
            <v>139</v>
          </cell>
          <cell r="IK59">
            <v>100</v>
          </cell>
          <cell r="IO59">
            <v>100</v>
          </cell>
          <cell r="IS59">
            <v>96</v>
          </cell>
          <cell r="IW59">
            <v>111</v>
          </cell>
        </row>
        <row r="60">
          <cell r="A60" t="str">
            <v/>
          </cell>
          <cell r="B60" t="str">
            <v>10/24514-2</v>
          </cell>
          <cell r="C60" t="str">
            <v>Cristo Redentor</v>
          </cell>
          <cell r="F60" t="str">
            <v>energisa_ms</v>
          </cell>
          <cell r="G60" t="str">
            <v>Cristo Redentor</v>
          </cell>
          <cell r="H60" t="str">
            <v>Igreja do Evangelho Quadrangular</v>
          </cell>
          <cell r="I60">
            <v>45809</v>
          </cell>
          <cell r="J60" t="str">
            <v>COMERCIAL - TEMPLOS RELIGIOSOS</v>
          </cell>
          <cell r="K60" t="str">
            <v>79311040</v>
          </cell>
          <cell r="L60" t="str">
            <v>MS</v>
          </cell>
          <cell r="M60" t="str">
            <v>CORUMBA</v>
          </cell>
          <cell r="N60" t="str">
            <v>CRISTO REDENTOR</v>
          </cell>
          <cell r="O60" t="str">
            <v>RUA SAO PAULO, 36 - 15.003.03.307000</v>
          </cell>
          <cell r="P60">
            <v>45819</v>
          </cell>
          <cell r="Q60" t="str">
            <v>B - B3</v>
          </cell>
          <cell r="R60" t="str">
            <v>62955505157066</v>
          </cell>
          <cell r="U60">
            <v>45789</v>
          </cell>
          <cell r="V60">
            <v>45818</v>
          </cell>
          <cell r="W60">
            <v>45848</v>
          </cell>
          <cell r="X60">
            <v>45856</v>
          </cell>
          <cell r="Y60" t="str">
            <v/>
          </cell>
          <cell r="AA60" t="str">
            <v>010.705.869-002</v>
          </cell>
          <cell r="AB60" t="str">
            <v>trifasico</v>
          </cell>
          <cell r="AC60" t="str">
            <v>convencional</v>
          </cell>
          <cell r="AD60">
            <v>114.31</v>
          </cell>
          <cell r="AE60" t="str">
            <v>34191.09115 45996.002932 85972.140009 7 11460000011431</v>
          </cell>
          <cell r="AF60" t="str">
            <v>IGREJA DO EVANGELHO QUADRANGULAR</v>
          </cell>
          <cell r="AL60">
            <v>152</v>
          </cell>
          <cell r="AM60">
            <v>1.1620482456140353</v>
          </cell>
          <cell r="AN60">
            <v>176.63133333333337</v>
          </cell>
          <cell r="AO60">
            <v>1.1263815789473686</v>
          </cell>
          <cell r="AX60">
            <v>62</v>
          </cell>
          <cell r="AY60">
            <v>1.0051827956989245</v>
          </cell>
          <cell r="AZ60">
            <v>-62.321333333333328</v>
          </cell>
          <cell r="BA60">
            <v>1.1262903225806451</v>
          </cell>
          <cell r="DR60">
            <v>62</v>
          </cell>
          <cell r="DS60">
            <v>1.1619569892473118</v>
          </cell>
          <cell r="DT60">
            <v>-72.041333333333327</v>
          </cell>
          <cell r="DU60">
            <v>1.1262903225806451</v>
          </cell>
          <cell r="ET60">
            <v>62</v>
          </cell>
          <cell r="EX60">
            <v>331</v>
          </cell>
          <cell r="EZ60">
            <v>3.21</v>
          </cell>
          <cell r="FL60">
            <v>9.7200000000000006</v>
          </cell>
          <cell r="FM60">
            <v>86.86</v>
          </cell>
          <cell r="FN60">
            <v>4.9954999999999999E-2</v>
          </cell>
          <cell r="FO60">
            <v>4.3499999999999996</v>
          </cell>
          <cell r="FP60">
            <v>86.86</v>
          </cell>
          <cell r="FQ60">
            <v>1.0845E-2</v>
          </cell>
          <cell r="FR60">
            <v>0.97</v>
          </cell>
          <cell r="FS60">
            <v>104.59</v>
          </cell>
          <cell r="FT60">
            <v>0.17</v>
          </cell>
          <cell r="FU60">
            <v>17.78</v>
          </cell>
          <cell r="GD60">
            <v>152</v>
          </cell>
          <cell r="GE60">
            <v>4815</v>
          </cell>
          <cell r="GF60">
            <v>4663</v>
          </cell>
          <cell r="GG60">
            <v>1</v>
          </cell>
          <cell r="HU60">
            <v>207</v>
          </cell>
          <cell r="HY60">
            <v>168</v>
          </cell>
          <cell r="IC60">
            <v>327</v>
          </cell>
          <cell r="IG60">
            <v>381</v>
          </cell>
          <cell r="IK60">
            <v>304</v>
          </cell>
          <cell r="IO60">
            <v>355</v>
          </cell>
          <cell r="IS60">
            <v>321</v>
          </cell>
          <cell r="IW60">
            <v>427</v>
          </cell>
        </row>
        <row r="61">
          <cell r="A61" t="str">
            <v/>
          </cell>
          <cell r="B61" t="str">
            <v>10/81222-2</v>
          </cell>
          <cell r="C61" t="str">
            <v>159</v>
          </cell>
          <cell r="F61" t="str">
            <v>energisa_ms</v>
          </cell>
          <cell r="G61" t="str">
            <v>159</v>
          </cell>
          <cell r="H61" t="str">
            <v>Igreja do Evangelho Quadrangular</v>
          </cell>
          <cell r="I61">
            <v>45809</v>
          </cell>
          <cell r="J61" t="str">
            <v>COMERCIAL - TEMPLOS RELIGIOSOS</v>
          </cell>
          <cell r="K61" t="str">
            <v>79380000</v>
          </cell>
          <cell r="L61" t="str">
            <v>MS</v>
          </cell>
          <cell r="M61" t="str">
            <v>MIRANDA</v>
          </cell>
          <cell r="N61" t="str">
            <v>CENTRO</v>
          </cell>
          <cell r="O61" t="str">
            <v>RUA BENJAMIN CONSTANT, 923 - 08.013.01.032000</v>
          </cell>
          <cell r="P61">
            <v>45826</v>
          </cell>
          <cell r="Q61" t="str">
            <v>B - B3</v>
          </cell>
          <cell r="R61" t="str">
            <v>62955505015946</v>
          </cell>
          <cell r="U61">
            <v>45793</v>
          </cell>
          <cell r="V61">
            <v>45825</v>
          </cell>
          <cell r="W61">
            <v>45855</v>
          </cell>
          <cell r="X61">
            <v>45854</v>
          </cell>
          <cell r="Y61" t="str">
            <v/>
          </cell>
          <cell r="AA61" t="str">
            <v>010.796.777-002</v>
          </cell>
          <cell r="AB61" t="str">
            <v>trifasico</v>
          </cell>
          <cell r="AC61" t="str">
            <v>convencional</v>
          </cell>
          <cell r="AD61">
            <v>137.55000000000001</v>
          </cell>
          <cell r="AE61" t="str">
            <v>34191.09115 58877.232932 85972.140009 2 11440000013755</v>
          </cell>
          <cell r="AF61" t="str">
            <v>IGREJA DO EVANGELHO QUADRANGULAR</v>
          </cell>
          <cell r="AL61">
            <v>300</v>
          </cell>
          <cell r="AM61">
            <v>1.167958757062147</v>
          </cell>
          <cell r="AN61">
            <v>350.3876271186441</v>
          </cell>
          <cell r="AO61">
            <v>1.1264333333333334</v>
          </cell>
          <cell r="AX61">
            <v>241</v>
          </cell>
          <cell r="AY61">
            <v>1.0110689921935438</v>
          </cell>
          <cell r="AZ61">
            <v>-243.66762711864408</v>
          </cell>
          <cell r="BA61">
            <v>1.1264315352697096</v>
          </cell>
          <cell r="DR61">
            <v>241</v>
          </cell>
          <cell r="DS61">
            <v>1.1679569589985233</v>
          </cell>
          <cell r="DT61">
            <v>-281.47762711864408</v>
          </cell>
          <cell r="DU61">
            <v>1.1264315352697096</v>
          </cell>
          <cell r="ET61">
            <v>241</v>
          </cell>
          <cell r="EX61">
            <v>44</v>
          </cell>
          <cell r="EZ61">
            <v>2.4500000000000002</v>
          </cell>
          <cell r="FA61">
            <v>30.83</v>
          </cell>
          <cell r="FL61">
            <v>37.81</v>
          </cell>
          <cell r="FM61">
            <v>57.2</v>
          </cell>
          <cell r="FN61">
            <v>4.9954999999999999E-2</v>
          </cell>
          <cell r="FO61">
            <v>2.87</v>
          </cell>
          <cell r="FP61">
            <v>57.2</v>
          </cell>
          <cell r="FQ61">
            <v>1.0845E-2</v>
          </cell>
          <cell r="FR61">
            <v>0.63</v>
          </cell>
          <cell r="FS61">
            <v>68.91</v>
          </cell>
          <cell r="FT61">
            <v>0.17</v>
          </cell>
          <cell r="FU61">
            <v>11.71</v>
          </cell>
          <cell r="GD61">
            <v>300</v>
          </cell>
          <cell r="GE61">
            <v>60655</v>
          </cell>
          <cell r="GF61">
            <v>60355</v>
          </cell>
          <cell r="GG61">
            <v>1</v>
          </cell>
          <cell r="HU61">
            <v>347</v>
          </cell>
          <cell r="HY61">
            <v>369</v>
          </cell>
          <cell r="IC61">
            <v>539</v>
          </cell>
          <cell r="IG61">
            <v>570</v>
          </cell>
          <cell r="IK61">
            <v>664</v>
          </cell>
          <cell r="IO61">
            <v>462</v>
          </cell>
          <cell r="IS61">
            <v>510</v>
          </cell>
          <cell r="IW61">
            <v>604</v>
          </cell>
        </row>
        <row r="62">
          <cell r="A62" t="str">
            <v/>
          </cell>
          <cell r="B62" t="str">
            <v>10/61344-8</v>
          </cell>
          <cell r="C62" t="str">
            <v>154</v>
          </cell>
          <cell r="F62" t="str">
            <v>energisa_ms</v>
          </cell>
          <cell r="G62" t="str">
            <v>154</v>
          </cell>
          <cell r="H62" t="str">
            <v>Igreja do Evangelho Quadrangular</v>
          </cell>
          <cell r="I62">
            <v>45809</v>
          </cell>
          <cell r="J62" t="str">
            <v>RESIDENCIAL - RESIDENCIAL</v>
          </cell>
          <cell r="K62" t="str">
            <v>79802031</v>
          </cell>
          <cell r="L62" t="str">
            <v>MS</v>
          </cell>
          <cell r="M62" t="str">
            <v>DOURADOS</v>
          </cell>
          <cell r="N62" t="str">
            <v>CENTRO</v>
          </cell>
          <cell r="O62" t="str">
            <v>RUA CUIABA, 3395 - 12.010.03.220000</v>
          </cell>
          <cell r="P62">
            <v>45832</v>
          </cell>
          <cell r="Q62" t="str">
            <v>B - B1</v>
          </cell>
          <cell r="R62" t="str">
            <v>62955505015431</v>
          </cell>
          <cell r="U62">
            <v>45799</v>
          </cell>
          <cell r="V62">
            <v>45831</v>
          </cell>
          <cell r="W62">
            <v>45860</v>
          </cell>
          <cell r="X62">
            <v>45854</v>
          </cell>
          <cell r="Y62" t="str">
            <v/>
          </cell>
          <cell r="AA62" t="str">
            <v>010.860.546-002</v>
          </cell>
          <cell r="AB62" t="str">
            <v>bifasico</v>
          </cell>
          <cell r="AC62" t="str">
            <v>convencional</v>
          </cell>
          <cell r="AD62">
            <v>609.17999999999995</v>
          </cell>
          <cell r="AE62" t="str">
            <v>34191.09115 68768.082932 85972.140009 9 11440000060918</v>
          </cell>
          <cell r="AF62" t="str">
            <v>IGREJA DO EVANGELHO QUADRANGULAR</v>
          </cell>
          <cell r="AL62">
            <v>465</v>
          </cell>
          <cell r="AM62">
            <v>1.1743440860215053</v>
          </cell>
          <cell r="AN62">
            <v>546.06999999999994</v>
          </cell>
          <cell r="AO62">
            <v>1.1264301075268817</v>
          </cell>
          <cell r="EX62">
            <v>0</v>
          </cell>
          <cell r="EZ62">
            <v>22.28</v>
          </cell>
          <cell r="FA62">
            <v>69.69</v>
          </cell>
          <cell r="FB62">
            <v>-19.03</v>
          </cell>
          <cell r="FC62">
            <v>12.450000000000001</v>
          </cell>
          <cell r="FM62">
            <v>453.21</v>
          </cell>
          <cell r="FN62">
            <v>4.9954999999999999E-2</v>
          </cell>
          <cell r="FO62">
            <v>22.64</v>
          </cell>
          <cell r="FP62">
            <v>453.21</v>
          </cell>
          <cell r="FQ62">
            <v>1.0845E-2</v>
          </cell>
          <cell r="FR62">
            <v>4.91</v>
          </cell>
          <cell r="FS62">
            <v>546.07000000000005</v>
          </cell>
          <cell r="FT62">
            <v>0.17</v>
          </cell>
          <cell r="FU62">
            <v>92.83</v>
          </cell>
          <cell r="GD62">
            <v>465</v>
          </cell>
          <cell r="GE62">
            <v>30404</v>
          </cell>
          <cell r="GF62">
            <v>29939</v>
          </cell>
          <cell r="GG62">
            <v>1</v>
          </cell>
          <cell r="HU62">
            <v>509</v>
          </cell>
          <cell r="HY62">
            <v>716</v>
          </cell>
          <cell r="IC62">
            <v>850</v>
          </cell>
          <cell r="IG62">
            <v>1004</v>
          </cell>
          <cell r="IK62">
            <v>1172</v>
          </cell>
          <cell r="IO62">
            <v>960</v>
          </cell>
          <cell r="IS62">
            <v>959</v>
          </cell>
          <cell r="IW62">
            <v>887</v>
          </cell>
        </row>
        <row r="63">
          <cell r="A63" t="str">
            <v/>
          </cell>
          <cell r="B63" t="str">
            <v>10/175073-6</v>
          </cell>
          <cell r="C63" t="str">
            <v>Ivinhema 1344</v>
          </cell>
          <cell r="F63" t="str">
            <v>energisa_ms</v>
          </cell>
          <cell r="G63" t="str">
            <v>Ivinhema 1344</v>
          </cell>
          <cell r="H63" t="str">
            <v>Igreja do Evangelho Quadrangular</v>
          </cell>
          <cell r="I63">
            <v>45809</v>
          </cell>
          <cell r="J63" t="str">
            <v>COMERCIAL - TEMPLOS RELIGIOSOS</v>
          </cell>
          <cell r="K63" t="str">
            <v>79740000</v>
          </cell>
          <cell r="L63" t="str">
            <v>MS</v>
          </cell>
          <cell r="M63" t="str">
            <v>IVINHEMA</v>
          </cell>
          <cell r="N63" t="str">
            <v>ITAPOA</v>
          </cell>
          <cell r="O63" t="str">
            <v>RUA MIGUEL MARCHETTI, 149 - 14.039.19.312000</v>
          </cell>
          <cell r="P63">
            <v>45828</v>
          </cell>
          <cell r="Q63" t="str">
            <v>B - B3</v>
          </cell>
          <cell r="R63" t="str">
            <v>62955505134449</v>
          </cell>
          <cell r="U63">
            <v>45796</v>
          </cell>
          <cell r="V63">
            <v>45826</v>
          </cell>
          <cell r="W63">
            <v>45856</v>
          </cell>
          <cell r="X63">
            <v>45849</v>
          </cell>
          <cell r="Y63" t="str">
            <v/>
          </cell>
          <cell r="AA63" t="str">
            <v>010.818.425-002</v>
          </cell>
          <cell r="AB63" t="str">
            <v>bifasico</v>
          </cell>
          <cell r="AC63" t="str">
            <v>convencional</v>
          </cell>
          <cell r="AD63">
            <v>79.400000000000006</v>
          </cell>
          <cell r="AE63" t="str">
            <v>34191.09115 62127.982932 85972.140009 1 11390000007940</v>
          </cell>
          <cell r="AF63" t="str">
            <v>IGREJA DO EVANGELHO QUADRANGULAR</v>
          </cell>
          <cell r="AL63">
            <v>129</v>
          </cell>
          <cell r="AM63">
            <v>1.171139990880073</v>
          </cell>
          <cell r="AN63">
            <v>151.07705882352943</v>
          </cell>
          <cell r="AO63">
            <v>1.1264341085271319</v>
          </cell>
          <cell r="AX63">
            <v>95</v>
          </cell>
          <cell r="AY63">
            <v>1.0141795665634674</v>
          </cell>
          <cell r="AZ63">
            <v>-96.347058823529395</v>
          </cell>
          <cell r="BA63">
            <v>1.1263157894736842</v>
          </cell>
          <cell r="DR63">
            <v>95</v>
          </cell>
          <cell r="DS63">
            <v>1.1710216718266253</v>
          </cell>
          <cell r="DT63">
            <v>-111.2470588235294</v>
          </cell>
          <cell r="DU63">
            <v>1.1263157894736842</v>
          </cell>
          <cell r="ET63">
            <v>95</v>
          </cell>
          <cell r="EZ63">
            <v>1.52</v>
          </cell>
          <cell r="FA63">
            <v>24.67</v>
          </cell>
          <cell r="FL63">
            <v>14.9</v>
          </cell>
          <cell r="FM63">
            <v>33.090000000000003</v>
          </cell>
          <cell r="FN63">
            <v>4.9954999999999999E-2</v>
          </cell>
          <cell r="FO63">
            <v>1.64</v>
          </cell>
          <cell r="FP63">
            <v>33.090000000000003</v>
          </cell>
          <cell r="FQ63">
            <v>1.0845E-2</v>
          </cell>
          <cell r="FR63">
            <v>0.37</v>
          </cell>
          <cell r="FS63">
            <v>39.83</v>
          </cell>
          <cell r="FT63">
            <v>0.17</v>
          </cell>
          <cell r="FU63">
            <v>6.77</v>
          </cell>
          <cell r="GD63">
            <v>129</v>
          </cell>
          <cell r="GE63">
            <v>44447</v>
          </cell>
          <cell r="GF63">
            <v>44318</v>
          </cell>
          <cell r="GG63">
            <v>1</v>
          </cell>
          <cell r="HU63">
            <v>93</v>
          </cell>
          <cell r="HY63">
            <v>84</v>
          </cell>
          <cell r="IC63">
            <v>70</v>
          </cell>
          <cell r="IG63">
            <v>82</v>
          </cell>
          <cell r="IK63">
            <v>57</v>
          </cell>
          <cell r="IO63">
            <v>107</v>
          </cell>
          <cell r="IS63">
            <v>101</v>
          </cell>
          <cell r="IW63">
            <v>80</v>
          </cell>
        </row>
        <row r="64">
          <cell r="A64" t="str">
            <v/>
          </cell>
          <cell r="B64" t="str">
            <v>10/480529-7</v>
          </cell>
          <cell r="C64" t="str">
            <v>58121</v>
          </cell>
          <cell r="F64" t="str">
            <v>energisa_ms</v>
          </cell>
          <cell r="G64" t="str">
            <v>5661</v>
          </cell>
          <cell r="H64" t="str">
            <v>Igreja do Evangelho Quadrangular</v>
          </cell>
          <cell r="I64">
            <v>45809</v>
          </cell>
          <cell r="J64" t="str">
            <v>COMERCIAL - TEMPLOS RELIGIOSOS</v>
          </cell>
          <cell r="K64" t="str">
            <v>79814330</v>
          </cell>
          <cell r="L64" t="str">
            <v>MS</v>
          </cell>
          <cell r="M64" t="str">
            <v>DOURADOS</v>
          </cell>
          <cell r="N64" t="str">
            <v>VILA CACHOEIRINHA</v>
          </cell>
          <cell r="O64" t="str">
            <v>RUA EULALIA PIRES, 240 - 15.010.33.581000</v>
          </cell>
          <cell r="P64">
            <v>45819</v>
          </cell>
          <cell r="Q64" t="str">
            <v>B - B3</v>
          </cell>
          <cell r="R64" t="str">
            <v>62955505182257</v>
          </cell>
          <cell r="U64">
            <v>45789</v>
          </cell>
          <cell r="V64">
            <v>45818</v>
          </cell>
          <cell r="W64">
            <v>45848</v>
          </cell>
          <cell r="X64">
            <v>45831</v>
          </cell>
          <cell r="Y64" t="str">
            <v/>
          </cell>
          <cell r="AA64" t="str">
            <v>010.708.016-002</v>
          </cell>
          <cell r="AB64" t="str">
            <v>trifasico</v>
          </cell>
          <cell r="AC64" t="str">
            <v>convencional</v>
          </cell>
          <cell r="AD64">
            <v>211.82</v>
          </cell>
          <cell r="AE64" t="str">
            <v>34191.09115 46078.662932 85972.140009 3 11210000021182</v>
          </cell>
          <cell r="AF64" t="str">
            <v>IGREJA DO EVANGELHO QUADRANGULAR</v>
          </cell>
          <cell r="AL64">
            <v>264</v>
          </cell>
          <cell r="AM64">
            <v>1.1620618925100057</v>
          </cell>
          <cell r="AN64">
            <v>306.78433962264148</v>
          </cell>
          <cell r="AO64">
            <v>1.1264015151515152</v>
          </cell>
          <cell r="AX64">
            <v>158</v>
          </cell>
          <cell r="AY64">
            <v>1.0051540482445664</v>
          </cell>
          <cell r="AZ64">
            <v>-158.81433962264151</v>
          </cell>
          <cell r="BA64">
            <v>1.1263924050632912</v>
          </cell>
          <cell r="DR64">
            <v>158</v>
          </cell>
          <cell r="DS64">
            <v>1.1620527824217817</v>
          </cell>
          <cell r="DT64">
            <v>-183.6043396226415</v>
          </cell>
          <cell r="DU64">
            <v>1.1263924050632912</v>
          </cell>
          <cell r="ET64">
            <v>158</v>
          </cell>
          <cell r="EX64">
            <v>0</v>
          </cell>
          <cell r="EZ64">
            <v>3.78</v>
          </cell>
          <cell r="FA64">
            <v>59.51</v>
          </cell>
          <cell r="FC64">
            <v>4.34</v>
          </cell>
          <cell r="FL64">
            <v>24.79</v>
          </cell>
          <cell r="FM64">
            <v>102.25</v>
          </cell>
          <cell r="FN64">
            <v>4.9954999999999999E-2</v>
          </cell>
          <cell r="FO64">
            <v>5.0999999999999996</v>
          </cell>
          <cell r="FP64">
            <v>102.25</v>
          </cell>
          <cell r="FQ64">
            <v>1.0845E-2</v>
          </cell>
          <cell r="FR64">
            <v>1.1200000000000001</v>
          </cell>
          <cell r="FS64">
            <v>123.18</v>
          </cell>
          <cell r="FT64">
            <v>0.17</v>
          </cell>
          <cell r="FU64">
            <v>20.94</v>
          </cell>
          <cell r="GD64">
            <v>264</v>
          </cell>
          <cell r="GE64">
            <v>12314</v>
          </cell>
          <cell r="GF64">
            <v>12050</v>
          </cell>
          <cell r="GG64">
            <v>1</v>
          </cell>
          <cell r="HU64">
            <v>327</v>
          </cell>
          <cell r="HY64">
            <v>405</v>
          </cell>
          <cell r="IC64">
            <v>488</v>
          </cell>
          <cell r="IG64">
            <v>517</v>
          </cell>
          <cell r="IK64">
            <v>356</v>
          </cell>
          <cell r="IO64">
            <v>378</v>
          </cell>
          <cell r="IS64">
            <v>368</v>
          </cell>
          <cell r="IW64">
            <v>364</v>
          </cell>
        </row>
        <row r="65">
          <cell r="A65" t="str">
            <v/>
          </cell>
          <cell r="B65" t="str">
            <v>10/69319-2</v>
          </cell>
          <cell r="C65" t="str">
            <v>5661</v>
          </cell>
          <cell r="F65" t="str">
            <v>energisa_ms</v>
          </cell>
          <cell r="G65" t="str">
            <v>5661</v>
          </cell>
          <cell r="H65" t="str">
            <v>Igreja do Evangelho Quadrangular</v>
          </cell>
          <cell r="I65">
            <v>45809</v>
          </cell>
          <cell r="J65" t="str">
            <v>COMERCIAL - TEMPLOS RELIGIOSOS</v>
          </cell>
          <cell r="K65" t="str">
            <v>79822200</v>
          </cell>
          <cell r="L65" t="str">
            <v>MS</v>
          </cell>
          <cell r="M65" t="str">
            <v>DOURADOS</v>
          </cell>
          <cell r="N65" t="str">
            <v>PANAMBI VERA</v>
          </cell>
          <cell r="O65" t="str">
            <v>RUA ANTONIO ALVES ROCHA, 635 - 18.010.02.266000</v>
          </cell>
          <cell r="P65">
            <v>45825</v>
          </cell>
          <cell r="Q65" t="str">
            <v>B - B3</v>
          </cell>
          <cell r="R65" t="str">
            <v>62955505182257</v>
          </cell>
          <cell r="U65">
            <v>45792</v>
          </cell>
          <cell r="V65">
            <v>45824</v>
          </cell>
          <cell r="W65">
            <v>45854</v>
          </cell>
          <cell r="X65">
            <v>45835</v>
          </cell>
          <cell r="Y65" t="str">
            <v/>
          </cell>
          <cell r="AA65" t="str">
            <v>010.773.192-002</v>
          </cell>
          <cell r="AB65" t="str">
            <v>trifasico</v>
          </cell>
          <cell r="AC65" t="str">
            <v>convencional</v>
          </cell>
          <cell r="AD65">
            <v>163.44</v>
          </cell>
          <cell r="AE65" t="str">
            <v>34191.09115 55701.392932 85972.140009 7 11250000016344</v>
          </cell>
          <cell r="AF65" t="str">
            <v>IGREJA DO EVANGELHO QUADRANGULAR</v>
          </cell>
          <cell r="AL65">
            <v>202</v>
          </cell>
          <cell r="AM65">
            <v>1.1674483017922044</v>
          </cell>
          <cell r="AN65">
            <v>235.8245569620253</v>
          </cell>
          <cell r="AO65">
            <v>1.1264356435643563</v>
          </cell>
          <cell r="AX65">
            <v>123</v>
          </cell>
          <cell r="AY65">
            <v>1.0106061541628075</v>
          </cell>
          <cell r="AZ65">
            <v>-124.30455696202532</v>
          </cell>
          <cell r="BA65">
            <v>1.1264227642276423</v>
          </cell>
          <cell r="DR65">
            <v>123</v>
          </cell>
          <cell r="DS65">
            <v>1.1674354224554904</v>
          </cell>
          <cell r="DT65">
            <v>-143.59455696202531</v>
          </cell>
          <cell r="DU65">
            <v>1.1264227642276423</v>
          </cell>
          <cell r="ET65">
            <v>123</v>
          </cell>
          <cell r="EZ65">
            <v>3.24</v>
          </cell>
          <cell r="FA65">
            <v>49.34</v>
          </cell>
          <cell r="FC65">
            <v>2.5799999999999996</v>
          </cell>
          <cell r="FL65">
            <v>19.29</v>
          </cell>
          <cell r="FM65">
            <v>76.55</v>
          </cell>
          <cell r="FN65">
            <v>4.9954999999999999E-2</v>
          </cell>
          <cell r="FO65">
            <v>3.83</v>
          </cell>
          <cell r="FP65">
            <v>76.55</v>
          </cell>
          <cell r="FQ65">
            <v>1.0845E-2</v>
          </cell>
          <cell r="FR65">
            <v>0.83</v>
          </cell>
          <cell r="FS65">
            <v>92.23</v>
          </cell>
          <cell r="FT65">
            <v>0.17</v>
          </cell>
          <cell r="FU65">
            <v>15.67</v>
          </cell>
          <cell r="GD65">
            <v>202</v>
          </cell>
          <cell r="GE65">
            <v>45685</v>
          </cell>
          <cell r="GF65">
            <v>45483</v>
          </cell>
          <cell r="GG65">
            <v>1</v>
          </cell>
          <cell r="HU65">
            <v>237</v>
          </cell>
          <cell r="HY65">
            <v>302</v>
          </cell>
          <cell r="IC65">
            <v>477</v>
          </cell>
          <cell r="IG65">
            <v>392</v>
          </cell>
          <cell r="IK65">
            <v>360</v>
          </cell>
          <cell r="IO65">
            <v>461</v>
          </cell>
          <cell r="IS65">
            <v>302</v>
          </cell>
          <cell r="IW65">
            <v>251</v>
          </cell>
        </row>
        <row r="66">
          <cell r="A66" t="str">
            <v/>
          </cell>
          <cell r="B66" t="str">
            <v>10/399338-3</v>
          </cell>
          <cell r="C66" t="str">
            <v>Piratininga 2132</v>
          </cell>
          <cell r="F66" t="str">
            <v>energisa_ms</v>
          </cell>
          <cell r="G66" t="str">
            <v>Piratininga 2132</v>
          </cell>
          <cell r="H66" t="str">
            <v>Igreja do Evangelho Quadrangular</v>
          </cell>
          <cell r="I66">
            <v>45809</v>
          </cell>
          <cell r="J66" t="str">
            <v>COMERCIAL - TEMPLOS RELIGIOSOS</v>
          </cell>
          <cell r="K66" t="str">
            <v>79081160</v>
          </cell>
          <cell r="L66" t="str">
            <v>MS</v>
          </cell>
          <cell r="M66" t="str">
            <v>CAMPO GRANDE</v>
          </cell>
          <cell r="N66" t="str">
            <v>VILA PIRATININGA</v>
          </cell>
          <cell r="O66" t="str">
            <v>RUA GENERAL ALCOFORADO, 499 - 17.103.11.353000</v>
          </cell>
          <cell r="P66">
            <v>45821</v>
          </cell>
          <cell r="Q66" t="str">
            <v>B - B3</v>
          </cell>
          <cell r="R66" t="str">
            <v>62955505213233</v>
          </cell>
          <cell r="U66">
            <v>45791</v>
          </cell>
          <cell r="V66">
            <v>45820</v>
          </cell>
          <cell r="W66">
            <v>45852</v>
          </cell>
          <cell r="X66">
            <v>45831</v>
          </cell>
          <cell r="Y66" t="str">
            <v/>
          </cell>
          <cell r="AA66" t="str">
            <v>010.750.988-002</v>
          </cell>
          <cell r="AB66" t="str">
            <v>trifasico</v>
          </cell>
          <cell r="AC66" t="str">
            <v>convencional</v>
          </cell>
          <cell r="AD66">
            <v>107.64</v>
          </cell>
          <cell r="AE66" t="str">
            <v>34191.09545 74469.060276 52186.260007 8 11210000010764</v>
          </cell>
          <cell r="AF66" t="str">
            <v>IGREJA DO EVANGELHO QUADRANGULAR</v>
          </cell>
          <cell r="AL66">
            <v>313</v>
          </cell>
          <cell r="AM66">
            <v>1.1642788680967595</v>
          </cell>
          <cell r="AN66">
            <v>364.41928571428571</v>
          </cell>
          <cell r="AO66">
            <v>1.1264217252396167</v>
          </cell>
          <cell r="AX66">
            <v>257</v>
          </cell>
          <cell r="AY66">
            <v>1.0073902167871041</v>
          </cell>
          <cell r="AZ66">
            <v>-258.89928571428572</v>
          </cell>
          <cell r="BA66">
            <v>1.1264202334630351</v>
          </cell>
          <cell r="DR66">
            <v>257</v>
          </cell>
          <cell r="DS66">
            <v>1.1642773763201779</v>
          </cell>
          <cell r="DT66">
            <v>-299.21928571428572</v>
          </cell>
          <cell r="DU66">
            <v>1.1264202334630351</v>
          </cell>
          <cell r="ET66">
            <v>257</v>
          </cell>
          <cell r="EX66">
            <v>82</v>
          </cell>
          <cell r="EZ66">
            <v>2.12</v>
          </cell>
          <cell r="FC66">
            <v>2.12</v>
          </cell>
          <cell r="FL66">
            <v>40.32</v>
          </cell>
          <cell r="FM66">
            <v>54.12</v>
          </cell>
          <cell r="FN66">
            <v>4.9954999999999999E-2</v>
          </cell>
          <cell r="FO66">
            <v>2.71</v>
          </cell>
          <cell r="FP66">
            <v>54.12</v>
          </cell>
          <cell r="FQ66">
            <v>1.0845E-2</v>
          </cell>
          <cell r="FR66">
            <v>0.6</v>
          </cell>
          <cell r="FS66">
            <v>65.2</v>
          </cell>
          <cell r="FT66">
            <v>0.17</v>
          </cell>
          <cell r="FU66">
            <v>11.08</v>
          </cell>
          <cell r="GD66">
            <v>313</v>
          </cell>
          <cell r="GE66">
            <v>61645</v>
          </cell>
          <cell r="GF66">
            <v>61332</v>
          </cell>
          <cell r="GG66">
            <v>1</v>
          </cell>
          <cell r="HU66">
            <v>422</v>
          </cell>
          <cell r="HY66">
            <v>605</v>
          </cell>
          <cell r="IC66">
            <v>757</v>
          </cell>
          <cell r="IG66">
            <v>639</v>
          </cell>
          <cell r="IK66">
            <v>572</v>
          </cell>
          <cell r="IO66">
            <v>895</v>
          </cell>
          <cell r="IS66">
            <v>648</v>
          </cell>
          <cell r="IW66">
            <v>735</v>
          </cell>
        </row>
        <row r="67">
          <cell r="A67" t="str">
            <v/>
          </cell>
          <cell r="B67" t="str">
            <v>10/504844-2</v>
          </cell>
          <cell r="C67" t="str">
            <v>3544</v>
          </cell>
          <cell r="F67" t="str">
            <v>energisa_ms</v>
          </cell>
          <cell r="G67" t="str">
            <v>3544</v>
          </cell>
          <cell r="H67" t="str">
            <v>Igreja do Evangelho Quadrangular</v>
          </cell>
          <cell r="I67">
            <v>45809</v>
          </cell>
          <cell r="J67" t="str">
            <v>COMERCIAL - TEMPLOS RELIGIOSOS</v>
          </cell>
          <cell r="K67" t="str">
            <v>79390000</v>
          </cell>
          <cell r="L67" t="str">
            <v>MS</v>
          </cell>
          <cell r="M67" t="str">
            <v>BODOQUENA</v>
          </cell>
          <cell r="N67" t="str">
            <v>CENTRO</v>
          </cell>
          <cell r="O67" t="str">
            <v>AVENIDA DO AEROPORTO, S/N - 13.076.07.034001</v>
          </cell>
          <cell r="P67">
            <v>45821</v>
          </cell>
          <cell r="Q67" t="str">
            <v>B - B3</v>
          </cell>
          <cell r="R67" t="str">
            <v>62955505354481</v>
          </cell>
          <cell r="U67">
            <v>45791</v>
          </cell>
          <cell r="V67">
            <v>45820</v>
          </cell>
          <cell r="W67">
            <v>45852</v>
          </cell>
          <cell r="X67">
            <v>45848</v>
          </cell>
          <cell r="Y67" t="str">
            <v/>
          </cell>
          <cell r="AA67" t="str">
            <v>010.751.521-002</v>
          </cell>
          <cell r="AB67" t="str">
            <v>trifasico</v>
          </cell>
          <cell r="AC67" t="str">
            <v>convencional</v>
          </cell>
          <cell r="AD67">
            <v>413.86</v>
          </cell>
          <cell r="AE67" t="str">
            <v>34191.09115 50150.442932 85972.140009 4 11380000041386</v>
          </cell>
          <cell r="AF67" t="str">
            <v>IGREJA DO EVANGELHO QUADRANGULAR</v>
          </cell>
          <cell r="AL67">
            <v>329</v>
          </cell>
          <cell r="AM67">
            <v>1.164224924012158</v>
          </cell>
          <cell r="AN67">
            <v>383.03</v>
          </cell>
          <cell r="AO67">
            <v>1.1264133738601823</v>
          </cell>
          <cell r="EX67">
            <v>0</v>
          </cell>
          <cell r="EZ67">
            <v>12.440000000000001</v>
          </cell>
          <cell r="FA67">
            <v>30.83</v>
          </cell>
          <cell r="FM67">
            <v>317.89999999999998</v>
          </cell>
          <cell r="FN67">
            <v>4.9954999999999999E-2</v>
          </cell>
          <cell r="FO67">
            <v>15.87</v>
          </cell>
          <cell r="FP67">
            <v>317.89999999999998</v>
          </cell>
          <cell r="FQ67">
            <v>1.0845E-2</v>
          </cell>
          <cell r="FR67">
            <v>3.44</v>
          </cell>
          <cell r="FS67">
            <v>383.03</v>
          </cell>
          <cell r="FT67">
            <v>0.17</v>
          </cell>
          <cell r="FU67">
            <v>65.11</v>
          </cell>
          <cell r="GD67">
            <v>329</v>
          </cell>
          <cell r="GE67">
            <v>39361</v>
          </cell>
          <cell r="GF67">
            <v>39032</v>
          </cell>
          <cell r="GG67">
            <v>1</v>
          </cell>
          <cell r="HU67">
            <v>470</v>
          </cell>
          <cell r="HY67">
            <v>621</v>
          </cell>
          <cell r="IC67">
            <v>567</v>
          </cell>
          <cell r="IG67">
            <v>544</v>
          </cell>
          <cell r="IK67">
            <v>514</v>
          </cell>
          <cell r="IO67">
            <v>529</v>
          </cell>
          <cell r="IS67">
            <v>399</v>
          </cell>
          <cell r="IW67">
            <v>533</v>
          </cell>
        </row>
        <row r="68">
          <cell r="A68" t="str">
            <v/>
          </cell>
          <cell r="B68" t="str">
            <v>10/8777-5</v>
          </cell>
          <cell r="C68" t="str">
            <v>Santa Terezinha (1224)</v>
          </cell>
          <cell r="F68" t="str">
            <v>energisa_ms</v>
          </cell>
          <cell r="G68" t="str">
            <v>Santa Terezinha (1224)</v>
          </cell>
          <cell r="H68" t="str">
            <v>Igreja do Evangelho Quadrangular</v>
          </cell>
          <cell r="I68">
            <v>45809</v>
          </cell>
          <cell r="J68" t="str">
            <v>COMERCIAL - TEMPLOS RELIGIOSOS</v>
          </cell>
          <cell r="K68" t="str">
            <v>79200000</v>
          </cell>
          <cell r="L68" t="str">
            <v>MS</v>
          </cell>
          <cell r="M68" t="str">
            <v>AQUIDAUANA</v>
          </cell>
          <cell r="N68" t="str">
            <v>CENTRO</v>
          </cell>
          <cell r="O68" t="str">
            <v>RUA GIOVANI TOSCANO DE BRITO, 2648 - 13.002.13.311000</v>
          </cell>
          <cell r="P68">
            <v>45826</v>
          </cell>
          <cell r="Q68" t="str">
            <v>B - B3</v>
          </cell>
          <cell r="R68" t="str">
            <v>62955505122432</v>
          </cell>
          <cell r="U68">
            <v>45793</v>
          </cell>
          <cell r="V68">
            <v>45825</v>
          </cell>
          <cell r="W68">
            <v>45855</v>
          </cell>
          <cell r="X68">
            <v>45848</v>
          </cell>
          <cell r="Y68" t="str">
            <v/>
          </cell>
          <cell r="AA68" t="str">
            <v>010.796.147-002</v>
          </cell>
          <cell r="AB68" t="str">
            <v>trifasico</v>
          </cell>
          <cell r="AC68" t="str">
            <v>convencional</v>
          </cell>
          <cell r="AD68">
            <v>501.92</v>
          </cell>
          <cell r="AE68" t="str">
            <v>34191.09115 58829.302932 85972.140009 6 11380000050192</v>
          </cell>
          <cell r="AF68" t="str">
            <v>IGREJA DO EVANGELHO QUADRANGULAR</v>
          </cell>
          <cell r="AL68">
            <v>365</v>
          </cell>
          <cell r="AM68">
            <v>1.1681643835616438</v>
          </cell>
          <cell r="AN68">
            <v>426.38</v>
          </cell>
          <cell r="AO68">
            <v>1.1264383561643836</v>
          </cell>
          <cell r="EX68">
            <v>0</v>
          </cell>
          <cell r="EZ68">
            <v>15.23</v>
          </cell>
          <cell r="FA68">
            <v>64.760000000000005</v>
          </cell>
          <cell r="FC68">
            <v>10.78</v>
          </cell>
          <cell r="FM68">
            <v>353.86</v>
          </cell>
          <cell r="FN68">
            <v>4.9954999999999999E-2</v>
          </cell>
          <cell r="FO68">
            <v>17.68</v>
          </cell>
          <cell r="FP68">
            <v>353.86</v>
          </cell>
          <cell r="FQ68">
            <v>1.0845E-2</v>
          </cell>
          <cell r="FR68">
            <v>3.84</v>
          </cell>
          <cell r="FS68">
            <v>426.38</v>
          </cell>
          <cell r="FT68">
            <v>0.17</v>
          </cell>
          <cell r="FU68">
            <v>72.48</v>
          </cell>
          <cell r="GD68">
            <v>365</v>
          </cell>
          <cell r="GE68">
            <v>37233</v>
          </cell>
          <cell r="GF68">
            <v>36868</v>
          </cell>
          <cell r="GG68">
            <v>1</v>
          </cell>
          <cell r="HU68">
            <v>478</v>
          </cell>
          <cell r="HY68">
            <v>600</v>
          </cell>
          <cell r="IC68">
            <v>717</v>
          </cell>
          <cell r="IG68">
            <v>592</v>
          </cell>
          <cell r="IK68">
            <v>639</v>
          </cell>
          <cell r="IO68">
            <v>469</v>
          </cell>
          <cell r="IS68">
            <v>393</v>
          </cell>
          <cell r="IW68">
            <v>563</v>
          </cell>
        </row>
        <row r="69">
          <cell r="A69" t="str">
            <v/>
          </cell>
          <cell r="B69" t="str">
            <v>10/280638-8</v>
          </cell>
          <cell r="C69" t="str">
            <v>Chapadão do Sul 8432-53</v>
          </cell>
          <cell r="F69" t="str">
            <v>energisa_ms</v>
          </cell>
          <cell r="G69" t="str">
            <v>Chapadão do Sul 8432-53</v>
          </cell>
          <cell r="H69" t="str">
            <v>Igreja do Evangelho Quadrangular</v>
          </cell>
          <cell r="I69">
            <v>45809</v>
          </cell>
          <cell r="J69" t="str">
            <v>COMERCIAL - TEMPLOS RELIGIOSOS</v>
          </cell>
          <cell r="K69" t="str">
            <v>79560000</v>
          </cell>
          <cell r="L69" t="str">
            <v>MS</v>
          </cell>
          <cell r="M69" t="str">
            <v>CHAPADAO DO SUL</v>
          </cell>
          <cell r="N69" t="str">
            <v>CENTRO</v>
          </cell>
          <cell r="O69" t="str">
            <v>RUA CARACOL, 1292 - 13.088.03.243000</v>
          </cell>
          <cell r="P69">
            <v>45831</v>
          </cell>
          <cell r="Q69" t="str">
            <v>B - B3</v>
          </cell>
          <cell r="R69" t="str">
            <v>62955505843253</v>
          </cell>
          <cell r="U69">
            <v>45797</v>
          </cell>
          <cell r="V69">
            <v>45828</v>
          </cell>
          <cell r="W69">
            <v>45859</v>
          </cell>
          <cell r="X69">
            <v>45848</v>
          </cell>
          <cell r="Y69" t="str">
            <v/>
          </cell>
          <cell r="AA69" t="str">
            <v>010.841.269-002</v>
          </cell>
          <cell r="AB69" t="str">
            <v>trifasico</v>
          </cell>
          <cell r="AC69" t="str">
            <v>convencional</v>
          </cell>
          <cell r="AD69">
            <v>303.08999999999997</v>
          </cell>
          <cell r="AE69" t="str">
            <v>34191.09115 65598.182932 85972.140009 7 11380000030309</v>
          </cell>
          <cell r="AF69" t="str">
            <v>IGREJA DO EVANGELHO QUADRANGULAR</v>
          </cell>
          <cell r="AL69">
            <v>229</v>
          </cell>
          <cell r="AM69">
            <v>1.1719213973799127</v>
          </cell>
          <cell r="AN69">
            <v>268.37</v>
          </cell>
          <cell r="AO69">
            <v>1.1264192139737992</v>
          </cell>
          <cell r="EX69">
            <v>0</v>
          </cell>
          <cell r="EZ69">
            <v>10.42</v>
          </cell>
          <cell r="FA69">
            <v>30.83</v>
          </cell>
          <cell r="FC69">
            <v>3.8899999999999997</v>
          </cell>
          <cell r="FM69">
            <v>222.72</v>
          </cell>
          <cell r="FN69">
            <v>4.9954999999999999E-2</v>
          </cell>
          <cell r="FO69">
            <v>11.12</v>
          </cell>
          <cell r="FP69">
            <v>222.72</v>
          </cell>
          <cell r="FQ69">
            <v>1.0845E-2</v>
          </cell>
          <cell r="FR69">
            <v>2.42</v>
          </cell>
          <cell r="FS69">
            <v>268.37</v>
          </cell>
          <cell r="FT69">
            <v>0.17</v>
          </cell>
          <cell r="FU69">
            <v>45.62</v>
          </cell>
          <cell r="GD69">
            <v>229</v>
          </cell>
          <cell r="GE69">
            <v>46745</v>
          </cell>
          <cell r="GF69">
            <v>46516</v>
          </cell>
          <cell r="GG69">
            <v>1</v>
          </cell>
          <cell r="HU69">
            <v>308</v>
          </cell>
          <cell r="HY69">
            <v>302</v>
          </cell>
          <cell r="IC69">
            <v>337</v>
          </cell>
          <cell r="IG69">
            <v>125</v>
          </cell>
          <cell r="IK69">
            <v>363</v>
          </cell>
          <cell r="IO69">
            <v>305</v>
          </cell>
          <cell r="IS69">
            <v>260</v>
          </cell>
          <cell r="IW69">
            <v>372</v>
          </cell>
        </row>
        <row r="70">
          <cell r="A70" t="str">
            <v/>
          </cell>
          <cell r="B70" t="str">
            <v>10/15297-5</v>
          </cell>
          <cell r="C70" t="str">
            <v>Aeroporto</v>
          </cell>
          <cell r="F70" t="str">
            <v>energisa_ms</v>
          </cell>
          <cell r="G70" t="str">
            <v>Nova Aliança</v>
          </cell>
          <cell r="H70" t="str">
            <v>Igreja do Evangelho Quadrangular</v>
          </cell>
          <cell r="I70">
            <v>45809</v>
          </cell>
          <cell r="J70" t="str">
            <v>COMERCIAL - TEMPLOS RELIGIOSOS</v>
          </cell>
          <cell r="K70" t="str">
            <v>79333130</v>
          </cell>
          <cell r="L70" t="str">
            <v>MS</v>
          </cell>
          <cell r="M70" t="str">
            <v>CORUMBA</v>
          </cell>
          <cell r="N70" t="str">
            <v>DOM BOSCO</v>
          </cell>
          <cell r="O70" t="str">
            <v>RUA REPUBLICA DA BOLIVIA, 32 - 08.003.07.190000</v>
          </cell>
          <cell r="P70">
            <v>45825</v>
          </cell>
          <cell r="Q70" t="str">
            <v>B - B3</v>
          </cell>
          <cell r="R70" t="str">
            <v>6X.XXX.XXX/XXX4-87</v>
          </cell>
          <cell r="U70">
            <v>45792</v>
          </cell>
          <cell r="V70">
            <v>45824</v>
          </cell>
          <cell r="W70">
            <v>45854</v>
          </cell>
          <cell r="X70">
            <v>45839</v>
          </cell>
          <cell r="Y70" t="str">
            <v/>
          </cell>
          <cell r="Z70" t="str">
            <v>true</v>
          </cell>
          <cell r="AA70" t="str">
            <v>010.773.083-002</v>
          </cell>
          <cell r="AB70" t="str">
            <v>trifasico</v>
          </cell>
          <cell r="AC70" t="str">
            <v>convencional</v>
          </cell>
          <cell r="AD70">
            <v>419.26</v>
          </cell>
          <cell r="AF70" t="str">
            <v>IGREJA DO EVANGELHO QUADRANGULAR</v>
          </cell>
          <cell r="AL70">
            <v>380</v>
          </cell>
          <cell r="AM70">
            <v>1.1671232998225902</v>
          </cell>
          <cell r="AN70">
            <v>443.50685393258431</v>
          </cell>
          <cell r="AO70">
            <v>1.126421052631579</v>
          </cell>
          <cell r="AX70">
            <v>24</v>
          </cell>
          <cell r="AY70">
            <v>1.0102855805243447</v>
          </cell>
          <cell r="AZ70">
            <v>-24.246853932584273</v>
          </cell>
          <cell r="BA70">
            <v>1.12625</v>
          </cell>
          <cell r="DR70">
            <v>24</v>
          </cell>
          <cell r="DS70">
            <v>1.1669522471910112</v>
          </cell>
          <cell r="DT70">
            <v>-28.006853932584271</v>
          </cell>
          <cell r="DU70">
            <v>1.12625</v>
          </cell>
          <cell r="ET70">
            <v>24</v>
          </cell>
          <cell r="EX70">
            <v>0</v>
          </cell>
          <cell r="EZ70">
            <v>14.489999999999998</v>
          </cell>
          <cell r="FL70">
            <v>3.76</v>
          </cell>
          <cell r="FM70">
            <v>344.87</v>
          </cell>
          <cell r="FN70">
            <v>4.9954999999999999E-2</v>
          </cell>
          <cell r="FO70">
            <v>17.23</v>
          </cell>
          <cell r="FP70">
            <v>344.87</v>
          </cell>
          <cell r="FQ70">
            <v>1.0845E-2</v>
          </cell>
          <cell r="FR70">
            <v>3.74</v>
          </cell>
          <cell r="FS70">
            <v>415.5</v>
          </cell>
          <cell r="FT70">
            <v>0.17</v>
          </cell>
          <cell r="FU70">
            <v>70.63</v>
          </cell>
          <cell r="GD70">
            <v>380</v>
          </cell>
          <cell r="GE70">
            <v>48021</v>
          </cell>
          <cell r="GF70">
            <v>47641</v>
          </cell>
          <cell r="GG70">
            <v>1</v>
          </cell>
          <cell r="HU70">
            <v>545</v>
          </cell>
          <cell r="HY70">
            <v>387</v>
          </cell>
          <cell r="IC70">
            <v>706</v>
          </cell>
          <cell r="IG70">
            <v>692</v>
          </cell>
          <cell r="IK70">
            <v>488</v>
          </cell>
          <cell r="IO70">
            <v>850</v>
          </cell>
          <cell r="IS70">
            <v>499</v>
          </cell>
          <cell r="IW70">
            <v>496</v>
          </cell>
        </row>
        <row r="71">
          <cell r="A71" t="str">
            <v/>
          </cell>
          <cell r="B71" t="str">
            <v>10/129490-9</v>
          </cell>
          <cell r="C71" t="str">
            <v>169</v>
          </cell>
          <cell r="F71" t="str">
            <v>energisa_ms</v>
          </cell>
          <cell r="G71" t="str">
            <v>169</v>
          </cell>
          <cell r="H71" t="str">
            <v>Igreja do Evangelho Quadrangular</v>
          </cell>
          <cell r="I71">
            <v>45809</v>
          </cell>
          <cell r="J71" t="str">
            <v>COMERCIAL - TEMPLOS RELIGIOSOS</v>
          </cell>
          <cell r="K71" t="str">
            <v>79130000</v>
          </cell>
          <cell r="L71" t="str">
            <v>MS</v>
          </cell>
          <cell r="M71" t="str">
            <v>RIO BRILHANTE</v>
          </cell>
          <cell r="N71" t="str">
            <v>CENTRO</v>
          </cell>
          <cell r="O71" t="str">
            <v>RUA JUVIANO MEDEIROS, 1239 - 05.030.15.076000</v>
          </cell>
          <cell r="P71">
            <v>45832</v>
          </cell>
          <cell r="Q71" t="str">
            <v>B - B3</v>
          </cell>
          <cell r="R71" t="str">
            <v>62955505405140</v>
          </cell>
          <cell r="U71">
            <v>45799</v>
          </cell>
          <cell r="V71">
            <v>45831</v>
          </cell>
          <cell r="W71">
            <v>45860</v>
          </cell>
          <cell r="X71">
            <v>45846</v>
          </cell>
          <cell r="Y71" t="str">
            <v/>
          </cell>
          <cell r="AA71" t="str">
            <v>010.860.945-002</v>
          </cell>
          <cell r="AB71" t="str">
            <v>bifasico</v>
          </cell>
          <cell r="AC71" t="str">
            <v>convencional</v>
          </cell>
          <cell r="AD71">
            <v>341.37</v>
          </cell>
          <cell r="AE71" t="str">
            <v>34191.09115 68792.162932 85972.140009 3 11360000034137</v>
          </cell>
          <cell r="AF71" t="str">
            <v>IGREJA DO EVANGELHO QUADRANGULAR</v>
          </cell>
          <cell r="AL71">
            <v>268</v>
          </cell>
          <cell r="AM71">
            <v>1.174365671641791</v>
          </cell>
          <cell r="AN71">
            <v>314.72999999999996</v>
          </cell>
          <cell r="AO71">
            <v>1.1264179104477612</v>
          </cell>
          <cell r="EX71">
            <v>0</v>
          </cell>
          <cell r="EZ71">
            <v>12.85</v>
          </cell>
          <cell r="FA71">
            <v>26.64</v>
          </cell>
          <cell r="FM71">
            <v>261.22000000000003</v>
          </cell>
          <cell r="FN71">
            <v>4.9954999999999999E-2</v>
          </cell>
          <cell r="FO71">
            <v>13.05</v>
          </cell>
          <cell r="FP71">
            <v>261.22000000000003</v>
          </cell>
          <cell r="FQ71">
            <v>1.0845E-2</v>
          </cell>
          <cell r="FR71">
            <v>2.84</v>
          </cell>
          <cell r="FS71">
            <v>314.73</v>
          </cell>
          <cell r="FT71">
            <v>0.17</v>
          </cell>
          <cell r="FU71">
            <v>53.5</v>
          </cell>
          <cell r="GD71">
            <v>268</v>
          </cell>
          <cell r="GE71">
            <v>73574</v>
          </cell>
          <cell r="GF71">
            <v>73306</v>
          </cell>
          <cell r="GG71">
            <v>1</v>
          </cell>
          <cell r="HU71">
            <v>252</v>
          </cell>
          <cell r="HY71">
            <v>287</v>
          </cell>
          <cell r="IC71">
            <v>315</v>
          </cell>
          <cell r="IG71">
            <v>324</v>
          </cell>
          <cell r="IK71">
            <v>286</v>
          </cell>
          <cell r="IO71">
            <v>301</v>
          </cell>
          <cell r="IS71">
            <v>306</v>
          </cell>
          <cell r="IW71">
            <v>294</v>
          </cell>
        </row>
        <row r="72">
          <cell r="A72" t="str">
            <v/>
          </cell>
          <cell r="B72" t="str">
            <v>10/341308-5</v>
          </cell>
          <cell r="C72" t="str">
            <v>Albuquerque 2391</v>
          </cell>
          <cell r="F72" t="str">
            <v>energisa_ms</v>
          </cell>
          <cell r="G72" t="str">
            <v>Albuquerque 2391</v>
          </cell>
          <cell r="H72" t="str">
            <v>Igreja do Evangelho Quadrangular</v>
          </cell>
          <cell r="I72">
            <v>45809</v>
          </cell>
          <cell r="J72" t="str">
            <v>COMERCIAL - TEMPLOS RELIGIOSOS</v>
          </cell>
          <cell r="K72" t="str">
            <v>79060170</v>
          </cell>
          <cell r="L72" t="str">
            <v>MS</v>
          </cell>
          <cell r="M72" t="str">
            <v>CAMPO GRANDE</v>
          </cell>
          <cell r="N72" t="str">
            <v>VILA ALBUQUERQUE</v>
          </cell>
          <cell r="O72" t="str">
            <v>RUA MAGNUS FONTAINE, 121 - 09.102.08.220000</v>
          </cell>
          <cell r="P72">
            <v>45820</v>
          </cell>
          <cell r="Q72" t="str">
            <v>B - B3</v>
          </cell>
          <cell r="R72" t="str">
            <v>6X.XXX.XXX/XXX1-19</v>
          </cell>
          <cell r="U72">
            <v>45790</v>
          </cell>
          <cell r="V72">
            <v>45819</v>
          </cell>
          <cell r="W72">
            <v>45849</v>
          </cell>
          <cell r="X72">
            <v>45853</v>
          </cell>
          <cell r="Y72" t="str">
            <v/>
          </cell>
          <cell r="AA72" t="str">
            <v>010.726.253-002</v>
          </cell>
          <cell r="AB72" t="str">
            <v>bifasico</v>
          </cell>
          <cell r="AC72" t="str">
            <v>convencional</v>
          </cell>
          <cell r="AD72">
            <v>178.66</v>
          </cell>
          <cell r="AF72" t="str">
            <v>IGREJA DO EVANGELHO QUADRANGULAR</v>
          </cell>
          <cell r="AL72">
            <v>228</v>
          </cell>
          <cell r="AM72">
            <v>1.1631640721522114</v>
          </cell>
          <cell r="AN72">
            <v>265.20140845070421</v>
          </cell>
          <cell r="AO72">
            <v>1.1264035087719297</v>
          </cell>
          <cell r="AX72">
            <v>86</v>
          </cell>
          <cell r="AY72">
            <v>1.006295447101212</v>
          </cell>
          <cell r="AZ72">
            <v>-86.541408450704239</v>
          </cell>
          <cell r="BA72">
            <v>1.1263953488372094</v>
          </cell>
          <cell r="DR72">
            <v>86</v>
          </cell>
          <cell r="DS72">
            <v>1.163155912217491</v>
          </cell>
          <cell r="DT72">
            <v>-100.03140845070423</v>
          </cell>
          <cell r="DU72">
            <v>1.1263953488372094</v>
          </cell>
          <cell r="ET72">
            <v>86</v>
          </cell>
          <cell r="EX72">
            <v>0</v>
          </cell>
          <cell r="EZ72">
            <v>5.22</v>
          </cell>
          <cell r="FL72">
            <v>13.49</v>
          </cell>
          <cell r="FM72">
            <v>137.1</v>
          </cell>
          <cell r="FN72">
            <v>4.9954999999999999E-2</v>
          </cell>
          <cell r="FO72">
            <v>6.86</v>
          </cell>
          <cell r="FP72">
            <v>137.1</v>
          </cell>
          <cell r="FQ72">
            <v>1.0845E-2</v>
          </cell>
          <cell r="FR72">
            <v>1.48</v>
          </cell>
          <cell r="FS72">
            <v>165.17</v>
          </cell>
          <cell r="FT72">
            <v>0.17</v>
          </cell>
          <cell r="FU72">
            <v>28.07</v>
          </cell>
          <cell r="GD72">
            <v>228</v>
          </cell>
          <cell r="GE72">
            <v>93913</v>
          </cell>
          <cell r="GF72">
            <v>93685</v>
          </cell>
          <cell r="GG72">
            <v>1</v>
          </cell>
          <cell r="HU72">
            <v>279</v>
          </cell>
          <cell r="HY72">
            <v>325</v>
          </cell>
          <cell r="IC72">
            <v>359</v>
          </cell>
          <cell r="IG72">
            <v>374</v>
          </cell>
          <cell r="IK72">
            <v>278</v>
          </cell>
          <cell r="IO72">
            <v>311</v>
          </cell>
          <cell r="IS72">
            <v>294</v>
          </cell>
          <cell r="IW72">
            <v>335</v>
          </cell>
        </row>
        <row r="73">
          <cell r="A73" t="str">
            <v/>
          </cell>
          <cell r="B73" t="str">
            <v>10/435964-2</v>
          </cell>
          <cell r="C73" t="str">
            <v>Vila Nasser 3574</v>
          </cell>
          <cell r="F73" t="str">
            <v>energisa_ms</v>
          </cell>
          <cell r="G73" t="str">
            <v>Vila Nasser 3574</v>
          </cell>
          <cell r="H73" t="str">
            <v>Igreja do Evangelho Quadrangular</v>
          </cell>
          <cell r="I73">
            <v>45809</v>
          </cell>
          <cell r="J73" t="str">
            <v>COMERCIAL - TEMPLOS RELIGIOSOS</v>
          </cell>
          <cell r="K73" t="str">
            <v>79116191</v>
          </cell>
          <cell r="L73" t="str">
            <v>MS</v>
          </cell>
          <cell r="M73" t="str">
            <v>CAMPO GRANDE</v>
          </cell>
          <cell r="N73" t="str">
            <v>VILA MARLI</v>
          </cell>
          <cell r="O73" t="str">
            <v>RUA THEODORO ROOSEVELT, 1263 - 08.104.25.107000</v>
          </cell>
          <cell r="P73">
            <v>45821</v>
          </cell>
          <cell r="Q73" t="str">
            <v>B - B3</v>
          </cell>
          <cell r="R73" t="str">
            <v>6X.XXX.XXX/XXX4-05</v>
          </cell>
          <cell r="U73">
            <v>45791</v>
          </cell>
          <cell r="V73">
            <v>45820</v>
          </cell>
          <cell r="W73">
            <v>45852</v>
          </cell>
          <cell r="X73">
            <v>45831</v>
          </cell>
          <cell r="Y73" t="str">
            <v/>
          </cell>
          <cell r="Z73" t="str">
            <v>true</v>
          </cell>
          <cell r="AA73" t="str">
            <v>010.751.236-002</v>
          </cell>
          <cell r="AB73" t="str">
            <v>trifasico</v>
          </cell>
          <cell r="AC73" t="str">
            <v>convencional</v>
          </cell>
          <cell r="AD73">
            <v>200.83</v>
          </cell>
          <cell r="AF73" t="str">
            <v>IGREJA DO EVANGELHO QUADRANGULAR</v>
          </cell>
          <cell r="AL73">
            <v>240</v>
          </cell>
          <cell r="AM73">
            <v>1.1641944444444443</v>
          </cell>
          <cell r="AN73">
            <v>279.40666666666664</v>
          </cell>
          <cell r="AO73">
            <v>1.1264166666666666</v>
          </cell>
          <cell r="AX73">
            <v>78</v>
          </cell>
          <cell r="AY73">
            <v>1.0073931623931625</v>
          </cell>
          <cell r="AZ73">
            <v>-78.576666666666668</v>
          </cell>
          <cell r="BA73">
            <v>1.1264102564102565</v>
          </cell>
          <cell r="DR73">
            <v>78</v>
          </cell>
          <cell r="DS73">
            <v>1.1641880341880342</v>
          </cell>
          <cell r="DT73">
            <v>-90.806666666666672</v>
          </cell>
          <cell r="DU73">
            <v>1.1264102564102565</v>
          </cell>
          <cell r="ET73">
            <v>78</v>
          </cell>
          <cell r="EX73">
            <v>0</v>
          </cell>
          <cell r="EZ73">
            <v>6.12</v>
          </cell>
          <cell r="FL73">
            <v>12.23</v>
          </cell>
          <cell r="FM73">
            <v>156.55000000000001</v>
          </cell>
          <cell r="FN73">
            <v>4.9954999999999999E-2</v>
          </cell>
          <cell r="FO73">
            <v>7.83</v>
          </cell>
          <cell r="FP73">
            <v>156.55000000000001</v>
          </cell>
          <cell r="FQ73">
            <v>1.0845E-2</v>
          </cell>
          <cell r="FR73">
            <v>1.69</v>
          </cell>
          <cell r="FS73">
            <v>188.6</v>
          </cell>
          <cell r="FT73">
            <v>0.17</v>
          </cell>
          <cell r="FU73">
            <v>32.06</v>
          </cell>
          <cell r="GD73">
            <v>240</v>
          </cell>
          <cell r="GE73">
            <v>66833</v>
          </cell>
          <cell r="GF73">
            <v>66593</v>
          </cell>
          <cell r="GG73">
            <v>1</v>
          </cell>
          <cell r="HU73">
            <v>336</v>
          </cell>
          <cell r="HY73">
            <v>439</v>
          </cell>
          <cell r="IC73">
            <v>413</v>
          </cell>
          <cell r="IG73">
            <v>417</v>
          </cell>
          <cell r="IK73">
            <v>448</v>
          </cell>
          <cell r="IO73">
            <v>466</v>
          </cell>
          <cell r="IS73">
            <v>295</v>
          </cell>
          <cell r="IW73">
            <v>436</v>
          </cell>
        </row>
        <row r="74">
          <cell r="A74" t="str">
            <v/>
          </cell>
          <cell r="B74" t="str">
            <v>10/142353-2</v>
          </cell>
          <cell r="C74" t="str">
            <v>Noroeste 1138</v>
          </cell>
          <cell r="F74" t="str">
            <v>energisa_ms</v>
          </cell>
          <cell r="G74" t="str">
            <v>Noroeste 1138</v>
          </cell>
          <cell r="H74" t="str">
            <v>Igreja do Evangelho Quadrangular</v>
          </cell>
          <cell r="I74">
            <v>45809</v>
          </cell>
          <cell r="J74" t="str">
            <v>COMERCIAL - TEMPLOS RELIGIOSOS</v>
          </cell>
          <cell r="K74" t="str">
            <v>79904668</v>
          </cell>
          <cell r="L74" t="str">
            <v>MS</v>
          </cell>
          <cell r="M74" t="str">
            <v>PONTA PORA</v>
          </cell>
          <cell r="N74" t="str">
            <v>CENTRO</v>
          </cell>
          <cell r="O74" t="str">
            <v>RUA ANTONIO JOAO, 2547 - 08.032.03.477000</v>
          </cell>
          <cell r="P74">
            <v>45826</v>
          </cell>
          <cell r="Q74" t="str">
            <v>B - B3</v>
          </cell>
          <cell r="R74" t="str">
            <v>62955505113875</v>
          </cell>
          <cell r="U74">
            <v>45793</v>
          </cell>
          <cell r="V74">
            <v>45825</v>
          </cell>
          <cell r="W74">
            <v>45855</v>
          </cell>
          <cell r="X74">
            <v>45839</v>
          </cell>
          <cell r="Y74" t="str">
            <v/>
          </cell>
          <cell r="AA74" t="str">
            <v>010.797.188-002</v>
          </cell>
          <cell r="AB74" t="str">
            <v>bifasico</v>
          </cell>
          <cell r="AC74" t="str">
            <v>convencional</v>
          </cell>
          <cell r="AD74">
            <v>222.12</v>
          </cell>
          <cell r="AE74" t="str">
            <v>34191.09115 59320.732932 85972.140009 5 11290000022212</v>
          </cell>
          <cell r="AF74" t="str">
            <v>IGREJA DO EVANGELHO QUADRANGULAR</v>
          </cell>
          <cell r="AL74">
            <v>323</v>
          </cell>
          <cell r="AM74">
            <v>1.1680124423155558</v>
          </cell>
          <cell r="AN74">
            <v>377.26801886792452</v>
          </cell>
          <cell r="AO74">
            <v>1.12640866873065</v>
          </cell>
          <cell r="AX74">
            <v>217</v>
          </cell>
          <cell r="AY74">
            <v>1.0111429440918183</v>
          </cell>
          <cell r="AZ74">
            <v>-219.41801886792456</v>
          </cell>
          <cell r="BA74">
            <v>1.1264055299539171</v>
          </cell>
          <cell r="DR74">
            <v>217</v>
          </cell>
          <cell r="DS74">
            <v>1.1680093035388228</v>
          </cell>
          <cell r="DT74">
            <v>-253.45801886792455</v>
          </cell>
          <cell r="DU74">
            <v>1.1264055299539171</v>
          </cell>
          <cell r="ET74">
            <v>217</v>
          </cell>
          <cell r="EX74">
            <v>0</v>
          </cell>
          <cell r="EZ74">
            <v>4.41</v>
          </cell>
          <cell r="FA74">
            <v>59.98</v>
          </cell>
          <cell r="FC74">
            <v>4.29</v>
          </cell>
          <cell r="FL74">
            <v>34.04</v>
          </cell>
          <cell r="FM74">
            <v>102.77</v>
          </cell>
          <cell r="FN74">
            <v>4.9954999999999999E-2</v>
          </cell>
          <cell r="FO74">
            <v>5.14</v>
          </cell>
          <cell r="FP74">
            <v>102.77</v>
          </cell>
          <cell r="FQ74">
            <v>1.0845E-2</v>
          </cell>
          <cell r="FR74">
            <v>1.1100000000000001</v>
          </cell>
          <cell r="FS74">
            <v>123.81</v>
          </cell>
          <cell r="FT74">
            <v>0.17</v>
          </cell>
          <cell r="FU74">
            <v>21.04</v>
          </cell>
          <cell r="GD74">
            <v>323</v>
          </cell>
          <cell r="GE74">
            <v>14402</v>
          </cell>
          <cell r="GF74">
            <v>14079</v>
          </cell>
          <cell r="GG74">
            <v>1</v>
          </cell>
          <cell r="HU74">
            <v>330</v>
          </cell>
          <cell r="HY74">
            <v>421</v>
          </cell>
          <cell r="IC74">
            <v>681</v>
          </cell>
          <cell r="IG74">
            <v>681</v>
          </cell>
          <cell r="IK74">
            <v>681</v>
          </cell>
          <cell r="IO74">
            <v>457</v>
          </cell>
          <cell r="IS74">
            <v>489</v>
          </cell>
          <cell r="IW74">
            <v>479</v>
          </cell>
        </row>
        <row r="75">
          <cell r="A75" t="str">
            <v/>
          </cell>
          <cell r="B75" t="str">
            <v>10/76927-3</v>
          </cell>
          <cell r="C75" t="str">
            <v>2ª IEQ Anastácio</v>
          </cell>
          <cell r="F75" t="str">
            <v>energisa_ms</v>
          </cell>
          <cell r="G75" t="str">
            <v>2ª IEQ Anastácio</v>
          </cell>
          <cell r="H75" t="str">
            <v>Igreja do Evangelho Quadrangular</v>
          </cell>
          <cell r="I75">
            <v>45809</v>
          </cell>
          <cell r="J75" t="str">
            <v>COMERCIAL - TEMPLOS RELIGIOSOS</v>
          </cell>
          <cell r="K75" t="str">
            <v>79210000</v>
          </cell>
          <cell r="L75" t="str">
            <v>MS</v>
          </cell>
          <cell r="M75" t="str">
            <v>ANASTACIO</v>
          </cell>
          <cell r="N75" t="str">
            <v>CENTRO</v>
          </cell>
          <cell r="O75" t="str">
            <v>RUA EXPEDICIONARIO CANDIDO GOMES, 819 - 14.011.05.643000</v>
          </cell>
          <cell r="P75">
            <v>45818</v>
          </cell>
          <cell r="Q75" t="str">
            <v>B - B3</v>
          </cell>
          <cell r="R75" t="str">
            <v>62955505058599</v>
          </cell>
          <cell r="U75">
            <v>45786</v>
          </cell>
          <cell r="V75">
            <v>45817</v>
          </cell>
          <cell r="W75">
            <v>45847</v>
          </cell>
          <cell r="X75">
            <v>45828</v>
          </cell>
          <cell r="Y75" t="str">
            <v/>
          </cell>
          <cell r="AA75" t="str">
            <v>010.678.050-002</v>
          </cell>
          <cell r="AB75" t="str">
            <v>trifasico</v>
          </cell>
          <cell r="AC75" t="str">
            <v>convencional</v>
          </cell>
          <cell r="AD75">
            <v>204.72</v>
          </cell>
          <cell r="AE75" t="str">
            <v>34191.09115 42485.212932 85972.140009 1 11180000020472</v>
          </cell>
          <cell r="AF75" t="str">
            <v>IGREJA DO EVANGELHO QUADRANGULAR</v>
          </cell>
          <cell r="AL75">
            <v>274</v>
          </cell>
          <cell r="AM75">
            <v>1.1603888749056128</v>
          </cell>
          <cell r="AN75">
            <v>317.94655172413792</v>
          </cell>
          <cell r="AO75">
            <v>1.1264233576642335</v>
          </cell>
          <cell r="AX75">
            <v>158</v>
          </cell>
          <cell r="AY75">
            <v>1.0034591881274553</v>
          </cell>
          <cell r="AZ75">
            <v>-158.54655172413794</v>
          </cell>
          <cell r="BA75">
            <v>1.1263924050632912</v>
          </cell>
          <cell r="DR75">
            <v>158</v>
          </cell>
          <cell r="DS75">
            <v>1.1603579223046705</v>
          </cell>
          <cell r="DT75">
            <v>-183.33655172413793</v>
          </cell>
          <cell r="DU75">
            <v>1.1263924050632912</v>
          </cell>
          <cell r="ET75">
            <v>158</v>
          </cell>
          <cell r="EX75">
            <v>0</v>
          </cell>
          <cell r="EZ75">
            <v>3.94</v>
          </cell>
          <cell r="FA75">
            <v>42.55</v>
          </cell>
          <cell r="FC75">
            <v>2.77</v>
          </cell>
          <cell r="FL75">
            <v>24.79</v>
          </cell>
          <cell r="FM75">
            <v>111.71</v>
          </cell>
          <cell r="FN75">
            <v>4.9954999999999999E-2</v>
          </cell>
          <cell r="FO75">
            <v>5.58</v>
          </cell>
          <cell r="FP75">
            <v>111.71</v>
          </cell>
          <cell r="FQ75">
            <v>1.0845E-2</v>
          </cell>
          <cell r="FR75">
            <v>1.22</v>
          </cell>
          <cell r="FS75">
            <v>134.61000000000001</v>
          </cell>
          <cell r="FT75">
            <v>0.17</v>
          </cell>
          <cell r="FU75">
            <v>22.88</v>
          </cell>
          <cell r="GD75">
            <v>274</v>
          </cell>
          <cell r="GE75">
            <v>75512</v>
          </cell>
          <cell r="GF75">
            <v>75238</v>
          </cell>
          <cell r="GG75">
            <v>1</v>
          </cell>
          <cell r="HU75">
            <v>297</v>
          </cell>
          <cell r="HY75">
            <v>405</v>
          </cell>
          <cell r="IC75">
            <v>641</v>
          </cell>
          <cell r="IG75">
            <v>494</v>
          </cell>
          <cell r="IK75">
            <v>355</v>
          </cell>
          <cell r="IO75">
            <v>416</v>
          </cell>
          <cell r="IS75">
            <v>380</v>
          </cell>
          <cell r="IW75">
            <v>362</v>
          </cell>
        </row>
        <row r="76">
          <cell r="A76" t="str">
            <v/>
          </cell>
          <cell r="B76" t="str">
            <v>10/72605-9</v>
          </cell>
          <cell r="C76" t="str">
            <v>1364</v>
          </cell>
          <cell r="F76" t="str">
            <v>energisa_ms</v>
          </cell>
          <cell r="G76" t="str">
            <v>1364</v>
          </cell>
          <cell r="H76" t="str">
            <v>Igreja do Evangelho Quadrangular</v>
          </cell>
          <cell r="I76">
            <v>45809</v>
          </cell>
          <cell r="J76" t="str">
            <v>COMERCIAL - TEMPLOS RELIGIOSOS</v>
          </cell>
          <cell r="K76" t="str">
            <v>79820010</v>
          </cell>
          <cell r="L76" t="str">
            <v>MS</v>
          </cell>
          <cell r="M76" t="str">
            <v>DOURADOS</v>
          </cell>
          <cell r="N76" t="str">
            <v>JARDIM CLIMAX</v>
          </cell>
          <cell r="O76" t="str">
            <v>AVENIDA MARCELINO PIRES, 287 - 08.010.04.293000</v>
          </cell>
          <cell r="P76">
            <v>45820</v>
          </cell>
          <cell r="Q76" t="str">
            <v>B - B3</v>
          </cell>
          <cell r="R76" t="str">
            <v>6X.XXX.XXX/XXX4-92</v>
          </cell>
          <cell r="U76">
            <v>45790</v>
          </cell>
          <cell r="V76">
            <v>45819</v>
          </cell>
          <cell r="W76">
            <v>45849</v>
          </cell>
          <cell r="X76">
            <v>45831</v>
          </cell>
          <cell r="Y76" t="str">
            <v/>
          </cell>
          <cell r="Z76" t="str">
            <v>true</v>
          </cell>
          <cell r="AA76" t="str">
            <v>010.724.800-002</v>
          </cell>
          <cell r="AB76" t="str">
            <v>trifasico</v>
          </cell>
          <cell r="AC76" t="str">
            <v>convencional</v>
          </cell>
          <cell r="AD76">
            <v>152</v>
          </cell>
          <cell r="AF76" t="str">
            <v>IGREJA DO EVANGELHO QUADRANGULAR</v>
          </cell>
          <cell r="AL76">
            <v>183</v>
          </cell>
          <cell r="AM76">
            <v>1.1630199486470472</v>
          </cell>
          <cell r="AN76">
            <v>212.83265060240964</v>
          </cell>
          <cell r="AO76">
            <v>1.1263934426229507</v>
          </cell>
          <cell r="AX76">
            <v>100</v>
          </cell>
          <cell r="AY76">
            <v>1.0061265060240965</v>
          </cell>
          <cell r="AZ76">
            <v>-100.61265060240966</v>
          </cell>
          <cell r="BA76">
            <v>1.1264000000000001</v>
          </cell>
          <cell r="DR76">
            <v>100</v>
          </cell>
          <cell r="DS76">
            <v>1.1630265060240965</v>
          </cell>
          <cell r="DT76">
            <v>-116.30265060240966</v>
          </cell>
          <cell r="DU76">
            <v>1.1264000000000001</v>
          </cell>
          <cell r="ET76">
            <v>100</v>
          </cell>
          <cell r="EX76">
            <v>403</v>
          </cell>
          <cell r="EZ76">
            <v>3.04</v>
          </cell>
          <cell r="FA76">
            <v>39.78</v>
          </cell>
          <cell r="FL76">
            <v>15.69</v>
          </cell>
          <cell r="FM76">
            <v>80.11</v>
          </cell>
          <cell r="FN76">
            <v>4.9954999999999999E-2</v>
          </cell>
          <cell r="FO76">
            <v>4</v>
          </cell>
          <cell r="FP76">
            <v>80.11</v>
          </cell>
          <cell r="FQ76">
            <v>1.0845E-2</v>
          </cell>
          <cell r="FR76">
            <v>0.86</v>
          </cell>
          <cell r="FS76">
            <v>96.53</v>
          </cell>
          <cell r="FT76">
            <v>0.17</v>
          </cell>
          <cell r="FU76">
            <v>16.41</v>
          </cell>
          <cell r="GD76">
            <v>183</v>
          </cell>
          <cell r="GE76">
            <v>66880</v>
          </cell>
          <cell r="GF76">
            <v>66697</v>
          </cell>
          <cell r="GG76">
            <v>1</v>
          </cell>
          <cell r="HU76">
            <v>268</v>
          </cell>
          <cell r="HY76">
            <v>268</v>
          </cell>
          <cell r="IC76">
            <v>394</v>
          </cell>
          <cell r="IG76">
            <v>444</v>
          </cell>
          <cell r="IK76">
            <v>310</v>
          </cell>
          <cell r="IO76">
            <v>391</v>
          </cell>
          <cell r="IS76">
            <v>422</v>
          </cell>
          <cell r="IW76">
            <v>426</v>
          </cell>
        </row>
        <row r="77">
          <cell r="A77" t="str">
            <v/>
          </cell>
          <cell r="B77" t="str">
            <v>10/239312-2</v>
          </cell>
          <cell r="C77" t="str">
            <v>Nioaque (165)</v>
          </cell>
          <cell r="F77" t="str">
            <v>energisa_ms</v>
          </cell>
          <cell r="G77" t="str">
            <v>Nioaque (165)</v>
          </cell>
          <cell r="H77" t="str">
            <v>Igreja do Evangelho Quadrangular</v>
          </cell>
          <cell r="I77">
            <v>45809</v>
          </cell>
          <cell r="J77" t="str">
            <v>COMERCIAL - TEMPLOS RELIGIOSOS</v>
          </cell>
          <cell r="K77" t="str">
            <v>79220000</v>
          </cell>
          <cell r="L77" t="str">
            <v>MS</v>
          </cell>
          <cell r="M77" t="str">
            <v>NIOAQUE</v>
          </cell>
          <cell r="N77" t="str">
            <v>CENTRO</v>
          </cell>
          <cell r="O77" t="str">
            <v>RUA TREZE DE MAIO, 692 - 09.062.01.072000</v>
          </cell>
          <cell r="P77">
            <v>45819</v>
          </cell>
          <cell r="Q77" t="str">
            <v>B - B3</v>
          </cell>
          <cell r="R77" t="str">
            <v>62955505016594</v>
          </cell>
          <cell r="U77">
            <v>45789</v>
          </cell>
          <cell r="V77">
            <v>45818</v>
          </cell>
          <cell r="W77">
            <v>45848</v>
          </cell>
          <cell r="X77">
            <v>45850</v>
          </cell>
          <cell r="Y77" t="str">
            <v/>
          </cell>
          <cell r="AA77" t="str">
            <v>010.707.055-002</v>
          </cell>
          <cell r="AB77" t="str">
            <v>bifasico</v>
          </cell>
          <cell r="AC77" t="str">
            <v>convencional</v>
          </cell>
          <cell r="AD77">
            <v>158.59</v>
          </cell>
          <cell r="AE77" t="str">
            <v>34191.09115 46061.162932 85972.140009 7 11400000015859</v>
          </cell>
          <cell r="AF77" t="str">
            <v>IGREJA DO EVANGELHO QUADRANGULAR</v>
          </cell>
          <cell r="AL77">
            <v>236</v>
          </cell>
          <cell r="AM77">
            <v>1.1619111255975663</v>
          </cell>
          <cell r="AN77">
            <v>274.21102564102563</v>
          </cell>
          <cell r="AO77">
            <v>1.1263983050847457</v>
          </cell>
          <cell r="AX77">
            <v>158</v>
          </cell>
          <cell r="AY77">
            <v>1.0050064913988968</v>
          </cell>
          <cell r="AZ77">
            <v>-158.79102564102567</v>
          </cell>
          <cell r="BA77">
            <v>1.1263924050632912</v>
          </cell>
          <cell r="DR77">
            <v>158</v>
          </cell>
          <cell r="DS77">
            <v>1.1619052255761118</v>
          </cell>
          <cell r="DT77">
            <v>-183.58102564102566</v>
          </cell>
          <cell r="DU77">
            <v>1.1263924050632912</v>
          </cell>
          <cell r="ET77">
            <v>158</v>
          </cell>
          <cell r="EX77">
            <v>0</v>
          </cell>
          <cell r="EZ77">
            <v>2.77</v>
          </cell>
          <cell r="FA77">
            <v>43.17</v>
          </cell>
          <cell r="FL77">
            <v>24.79</v>
          </cell>
          <cell r="FM77">
            <v>75.23</v>
          </cell>
          <cell r="FN77">
            <v>4.9954999999999999E-2</v>
          </cell>
          <cell r="FO77">
            <v>3.75</v>
          </cell>
          <cell r="FP77">
            <v>75.23</v>
          </cell>
          <cell r="FQ77">
            <v>1.0845E-2</v>
          </cell>
          <cell r="FR77">
            <v>0.81</v>
          </cell>
          <cell r="FS77">
            <v>90.63</v>
          </cell>
          <cell r="FT77">
            <v>0.17</v>
          </cell>
          <cell r="FU77">
            <v>15.4</v>
          </cell>
          <cell r="GD77">
            <v>236</v>
          </cell>
          <cell r="GE77">
            <v>28922</v>
          </cell>
          <cell r="GF77">
            <v>28686</v>
          </cell>
          <cell r="GG77">
            <v>1</v>
          </cell>
          <cell r="HU77">
            <v>285</v>
          </cell>
          <cell r="HY77">
            <v>272</v>
          </cell>
          <cell r="IC77">
            <v>320</v>
          </cell>
          <cell r="IG77">
            <v>305</v>
          </cell>
          <cell r="IK77">
            <v>290</v>
          </cell>
          <cell r="IO77">
            <v>370</v>
          </cell>
          <cell r="IS77">
            <v>272</v>
          </cell>
          <cell r="IW77">
            <v>313</v>
          </cell>
        </row>
        <row r="78">
          <cell r="A78" t="str">
            <v/>
          </cell>
          <cell r="B78" t="str">
            <v>10/10232-7</v>
          </cell>
          <cell r="C78" t="str">
            <v>Nova Aquidauana (3932)</v>
          </cell>
          <cell r="F78" t="str">
            <v>energisa_ms</v>
          </cell>
          <cell r="G78" t="str">
            <v>Sede (161)</v>
          </cell>
          <cell r="H78" t="str">
            <v>Igreja do Evangelho Quadrangular</v>
          </cell>
          <cell r="I78">
            <v>45809</v>
          </cell>
          <cell r="J78" t="str">
            <v>COMERCIAL - TEMPLOS RELIGIOSOS</v>
          </cell>
          <cell r="K78" t="str">
            <v>79200000</v>
          </cell>
          <cell r="L78" t="str">
            <v>MS</v>
          </cell>
          <cell r="M78" t="str">
            <v>AQUIDAUANA</v>
          </cell>
          <cell r="N78" t="str">
            <v>NOVA AQUIDAUANA</v>
          </cell>
          <cell r="O78" t="str">
            <v>RUA ONZE, S/N - Q 74 L 22 10.002.13.434000</v>
          </cell>
          <cell r="P78">
            <v>45834</v>
          </cell>
          <cell r="Q78" t="str">
            <v>B - B3</v>
          </cell>
          <cell r="R78" t="str">
            <v>62955505393207</v>
          </cell>
          <cell r="U78">
            <v>45803</v>
          </cell>
          <cell r="V78">
            <v>45833</v>
          </cell>
          <cell r="W78">
            <v>45862</v>
          </cell>
          <cell r="X78">
            <v>45845</v>
          </cell>
          <cell r="Y78" t="str">
            <v/>
          </cell>
          <cell r="AA78" t="str">
            <v>010.899.024-002</v>
          </cell>
          <cell r="AB78" t="str">
            <v>bifasico</v>
          </cell>
          <cell r="AC78" t="str">
            <v>convencional</v>
          </cell>
          <cell r="AD78">
            <v>58.94</v>
          </cell>
          <cell r="AE78" t="str">
            <v>34191.09115 74571.942932 85972.140009 8 11350000005894</v>
          </cell>
          <cell r="AF78" t="str">
            <v>IGREJA DO EVANGELHO QUADRANGULAR</v>
          </cell>
          <cell r="AL78">
            <v>78</v>
          </cell>
          <cell r="AM78">
            <v>1.1786102564102565</v>
          </cell>
          <cell r="AN78">
            <v>91.931600000000003</v>
          </cell>
          <cell r="AO78">
            <v>1.1264102564102565</v>
          </cell>
          <cell r="AX78">
            <v>28</v>
          </cell>
          <cell r="AY78">
            <v>1.1782714285714286</v>
          </cell>
          <cell r="AZ78">
            <v>-32.991600000000005</v>
          </cell>
          <cell r="BA78">
            <v>1.1260714285714286</v>
          </cell>
          <cell r="DR78">
            <v>28</v>
          </cell>
          <cell r="DS78">
            <v>1.1782714285714286</v>
          </cell>
          <cell r="DT78">
            <v>-32.991600000000005</v>
          </cell>
          <cell r="DU78">
            <v>1.1260714285714286</v>
          </cell>
          <cell r="ET78">
            <v>28</v>
          </cell>
          <cell r="EZ78">
            <v>2.6100000000000003</v>
          </cell>
          <cell r="FM78">
            <v>48.95</v>
          </cell>
          <cell r="FN78">
            <v>4.9954999999999999E-2</v>
          </cell>
          <cell r="FO78">
            <v>2.44</v>
          </cell>
          <cell r="FP78">
            <v>48.95</v>
          </cell>
          <cell r="FQ78">
            <v>1.0845E-2</v>
          </cell>
          <cell r="FR78">
            <v>0.53</v>
          </cell>
          <cell r="FS78">
            <v>58.94</v>
          </cell>
          <cell r="FT78">
            <v>0.17</v>
          </cell>
          <cell r="FU78">
            <v>10.01</v>
          </cell>
          <cell r="GD78">
            <v>78</v>
          </cell>
          <cell r="GE78">
            <v>36016</v>
          </cell>
          <cell r="GF78">
            <v>35938</v>
          </cell>
          <cell r="GG78">
            <v>1</v>
          </cell>
          <cell r="HU78">
            <v>146</v>
          </cell>
          <cell r="HY78">
            <v>199</v>
          </cell>
          <cell r="IC78">
            <v>234</v>
          </cell>
          <cell r="IG78">
            <v>203</v>
          </cell>
          <cell r="IK78">
            <v>93</v>
          </cell>
          <cell r="IO78">
            <v>82</v>
          </cell>
          <cell r="IS78">
            <v>113</v>
          </cell>
          <cell r="IW78">
            <v>116</v>
          </cell>
        </row>
        <row r="79">
          <cell r="A79" t="str">
            <v/>
          </cell>
          <cell r="B79" t="str">
            <v>10/1548741-6</v>
          </cell>
          <cell r="C79" t="str">
            <v>Parnaíba 0847-51</v>
          </cell>
          <cell r="F79" t="str">
            <v>energisa_ms</v>
          </cell>
          <cell r="G79" t="str">
            <v>Parnaíba 0847-51</v>
          </cell>
          <cell r="H79" t="str">
            <v>Igreja do Evangelho Quadrangular</v>
          </cell>
          <cell r="I79">
            <v>45809</v>
          </cell>
          <cell r="J79" t="str">
            <v>COMERCIAL - OUTROS SERVIÇOS E OUTRAS ATIVIDADES</v>
          </cell>
          <cell r="K79" t="str">
            <v>79500000</v>
          </cell>
          <cell r="L79" t="str">
            <v>MS</v>
          </cell>
          <cell r="M79" t="str">
            <v>PARANAIBA</v>
          </cell>
          <cell r="N79" t="str">
            <v>JARDIM AMERICA</v>
          </cell>
          <cell r="O79" t="str">
            <v>RUA JOSE AGI, 651 - 12.014.07.803500</v>
          </cell>
          <cell r="P79">
            <v>45832</v>
          </cell>
          <cell r="Q79" t="str">
            <v>B - B3</v>
          </cell>
          <cell r="R79" t="str">
            <v>62955505084751</v>
          </cell>
          <cell r="U79">
            <v>45799</v>
          </cell>
          <cell r="V79">
            <v>45831</v>
          </cell>
          <cell r="W79">
            <v>45860</v>
          </cell>
          <cell r="X79">
            <v>45854</v>
          </cell>
          <cell r="Y79" t="str">
            <v/>
          </cell>
          <cell r="AA79" t="str">
            <v>010.864.680-002</v>
          </cell>
          <cell r="AB79" t="str">
            <v>monofasico</v>
          </cell>
          <cell r="AC79" t="str">
            <v>convencional</v>
          </cell>
          <cell r="AD79">
            <v>95.2</v>
          </cell>
          <cell r="AE79" t="str">
            <v>34191.09115 68930.192932 85972.140009 6 11440000009520</v>
          </cell>
          <cell r="AF79" t="str">
            <v>IGREJA DO EVANGELHO QUADRANGULAR</v>
          </cell>
          <cell r="AL79">
            <v>126</v>
          </cell>
          <cell r="AM79">
            <v>1.1773809523809524</v>
          </cell>
          <cell r="AN79">
            <v>148.35</v>
          </cell>
          <cell r="AO79">
            <v>1.1264285714285716</v>
          </cell>
          <cell r="AX79">
            <v>105</v>
          </cell>
          <cell r="AY79">
            <v>1.0935238095238096</v>
          </cell>
          <cell r="AZ79">
            <v>-114.82</v>
          </cell>
          <cell r="BA79">
            <v>1.1261904761904762</v>
          </cell>
          <cell r="DR79">
            <v>105</v>
          </cell>
          <cell r="DS79">
            <v>1.177142857142857</v>
          </cell>
          <cell r="DT79">
            <v>-123.6</v>
          </cell>
          <cell r="DU79">
            <v>1.1261904761904762</v>
          </cell>
          <cell r="ET79">
            <v>105</v>
          </cell>
          <cell r="EX79">
            <v>103</v>
          </cell>
          <cell r="EZ79">
            <v>1.07</v>
          </cell>
          <cell r="FA79">
            <v>61.67</v>
          </cell>
          <cell r="FL79">
            <v>8.7799999999999994</v>
          </cell>
          <cell r="FM79">
            <v>20.6</v>
          </cell>
          <cell r="FN79">
            <v>4.9954999999999999E-2</v>
          </cell>
          <cell r="FO79">
            <v>1.03</v>
          </cell>
          <cell r="FP79">
            <v>20.6</v>
          </cell>
          <cell r="FQ79">
            <v>1.0845E-2</v>
          </cell>
          <cell r="FR79">
            <v>0.25</v>
          </cell>
          <cell r="FS79">
            <v>24.75</v>
          </cell>
          <cell r="FT79">
            <v>0.17</v>
          </cell>
          <cell r="FU79">
            <v>4.2</v>
          </cell>
          <cell r="GD79">
            <v>126</v>
          </cell>
          <cell r="GE79">
            <v>19521</v>
          </cell>
          <cell r="GF79">
            <v>19395</v>
          </cell>
          <cell r="GG79">
            <v>1</v>
          </cell>
          <cell r="HU79">
            <v>153</v>
          </cell>
          <cell r="HY79">
            <v>179</v>
          </cell>
          <cell r="IC79">
            <v>153</v>
          </cell>
          <cell r="IG79">
            <v>172</v>
          </cell>
          <cell r="IK79">
            <v>171</v>
          </cell>
          <cell r="IO79">
            <v>156</v>
          </cell>
          <cell r="IS79">
            <v>146</v>
          </cell>
          <cell r="IW79">
            <v>155</v>
          </cell>
        </row>
        <row r="80">
          <cell r="A80" t="str">
            <v/>
          </cell>
          <cell r="B80" t="str">
            <v>10/2794432-1</v>
          </cell>
          <cell r="C80" t="str">
            <v>Jardim Canguru 62588</v>
          </cell>
          <cell r="F80" t="str">
            <v>energisa_ms</v>
          </cell>
          <cell r="G80" t="str">
            <v>Sede 151</v>
          </cell>
          <cell r="H80" t="str">
            <v>Igreja do Evangelho Quadrangular</v>
          </cell>
          <cell r="I80">
            <v>45809</v>
          </cell>
          <cell r="J80" t="str">
            <v>COMERCIAL - TEMPLOS RELIGIOSOS</v>
          </cell>
          <cell r="K80" t="str">
            <v>79072262</v>
          </cell>
          <cell r="L80" t="str">
            <v>MS</v>
          </cell>
          <cell r="M80" t="str">
            <v>CAMPO GRANDE</v>
          </cell>
          <cell r="N80" t="str">
            <v>JARDIM CANGURU</v>
          </cell>
          <cell r="O80" t="str">
            <v>RUA BIRI, 503 - 16.103.10.065001</v>
          </cell>
          <cell r="P80">
            <v>45834</v>
          </cell>
          <cell r="Q80" t="str">
            <v>B - B3</v>
          </cell>
          <cell r="R80" t="str">
            <v>62955505015199</v>
          </cell>
          <cell r="U80">
            <v>45803</v>
          </cell>
          <cell r="V80">
            <v>45833</v>
          </cell>
          <cell r="W80">
            <v>45862</v>
          </cell>
          <cell r="X80">
            <v>45842</v>
          </cell>
          <cell r="Y80" t="str">
            <v/>
          </cell>
          <cell r="AA80" t="str">
            <v>010.910.457-002</v>
          </cell>
          <cell r="AB80" t="str">
            <v>trifasico</v>
          </cell>
          <cell r="AC80" t="str">
            <v>convencional</v>
          </cell>
          <cell r="AD80">
            <v>706.96</v>
          </cell>
          <cell r="AE80" t="str">
            <v>34191.09545 86675.260276 52186.260007 7 11320000070696</v>
          </cell>
          <cell r="AF80" t="str">
            <v>IGREJA DO EVANGELHO QUADRANGULAR</v>
          </cell>
          <cell r="AL80">
            <v>592</v>
          </cell>
          <cell r="AM80">
            <v>1.1781418918918918</v>
          </cell>
          <cell r="AN80">
            <v>697.45999999999992</v>
          </cell>
          <cell r="AO80">
            <v>1.1264358108108108</v>
          </cell>
          <cell r="EX80">
            <v>0</v>
          </cell>
          <cell r="EZ80">
            <v>30.61</v>
          </cell>
          <cell r="FC80">
            <v>9.5</v>
          </cell>
          <cell r="FM80">
            <v>578.88</v>
          </cell>
          <cell r="FN80">
            <v>4.9954999999999999E-2</v>
          </cell>
          <cell r="FO80">
            <v>28.92</v>
          </cell>
          <cell r="FP80">
            <v>578.88</v>
          </cell>
          <cell r="FQ80">
            <v>1.0845E-2</v>
          </cell>
          <cell r="FR80">
            <v>6.27</v>
          </cell>
          <cell r="FS80">
            <v>697.46</v>
          </cell>
          <cell r="FT80">
            <v>0.17</v>
          </cell>
          <cell r="FU80">
            <v>118.56</v>
          </cell>
          <cell r="GD80">
            <v>592</v>
          </cell>
          <cell r="GE80">
            <v>11344</v>
          </cell>
          <cell r="GF80">
            <v>10752</v>
          </cell>
          <cell r="GG80">
            <v>1</v>
          </cell>
          <cell r="HU80">
            <v>484</v>
          </cell>
          <cell r="HY80">
            <v>385</v>
          </cell>
          <cell r="IC80">
            <v>713</v>
          </cell>
          <cell r="IG80">
            <v>479</v>
          </cell>
          <cell r="IK80">
            <v>495</v>
          </cell>
          <cell r="IO80">
            <v>601</v>
          </cell>
          <cell r="IS80">
            <v>533</v>
          </cell>
          <cell r="IW80">
            <v>551</v>
          </cell>
        </row>
        <row r="81">
          <cell r="A81" t="str">
            <v/>
          </cell>
          <cell r="B81" t="str">
            <v>10/2605731-5</v>
          </cell>
          <cell r="C81" t="str">
            <v>17213</v>
          </cell>
          <cell r="F81" t="str">
            <v>energisa_ms</v>
          </cell>
          <cell r="G81" t="str">
            <v>17213</v>
          </cell>
          <cell r="H81" t="str">
            <v>Igreja do Evangelho Quadrangular</v>
          </cell>
          <cell r="I81">
            <v>45809</v>
          </cell>
          <cell r="J81" t="str">
            <v>RESIDENCIAL - RESIDENCIAL</v>
          </cell>
          <cell r="K81" t="str">
            <v>79290000</v>
          </cell>
          <cell r="L81" t="str">
            <v>MS</v>
          </cell>
          <cell r="M81" t="str">
            <v>BONITO</v>
          </cell>
          <cell r="N81" t="str">
            <v>CENTRO</v>
          </cell>
          <cell r="O81" t="str">
            <v>RUA LUIZ DA COSTA LEITE, 2177 - -16.061.05.129002</v>
          </cell>
          <cell r="P81">
            <v>45835</v>
          </cell>
          <cell r="Q81" t="str">
            <v>B - B1</v>
          </cell>
          <cell r="R81" t="str">
            <v>62955505017213</v>
          </cell>
          <cell r="U81">
            <v>45804</v>
          </cell>
          <cell r="V81">
            <v>45834</v>
          </cell>
          <cell r="W81">
            <v>45863</v>
          </cell>
          <cell r="X81">
            <v>45859</v>
          </cell>
          <cell r="Y81" t="str">
            <v/>
          </cell>
          <cell r="AA81" t="str">
            <v>010.924.482-002</v>
          </cell>
          <cell r="AB81" t="str">
            <v>trifasico</v>
          </cell>
          <cell r="AC81" t="str">
            <v>convencional</v>
          </cell>
          <cell r="AD81">
            <v>671.33</v>
          </cell>
          <cell r="AE81" t="str">
            <v>34191.09115 75548.342932 85972.140009 1 11490000067133</v>
          </cell>
          <cell r="AF81" t="str">
            <v>IGREJA DO EVANGELHO QUADRANGULAR</v>
          </cell>
          <cell r="AL81">
            <v>517</v>
          </cell>
          <cell r="AM81">
            <v>1.1792263056092844</v>
          </cell>
          <cell r="AN81">
            <v>609.66000000000008</v>
          </cell>
          <cell r="AO81">
            <v>1.12642166344294</v>
          </cell>
          <cell r="EX81">
            <v>0</v>
          </cell>
          <cell r="EZ81">
            <v>27.3</v>
          </cell>
          <cell r="FA81">
            <v>61.67</v>
          </cell>
          <cell r="FM81">
            <v>506.01</v>
          </cell>
          <cell r="FN81">
            <v>4.9954999999999999E-2</v>
          </cell>
          <cell r="FO81">
            <v>25.27</v>
          </cell>
          <cell r="FP81">
            <v>506.01</v>
          </cell>
          <cell r="FQ81">
            <v>1.0845E-2</v>
          </cell>
          <cell r="FR81">
            <v>5.48</v>
          </cell>
          <cell r="FS81">
            <v>609.66</v>
          </cell>
          <cell r="FT81">
            <v>0.17</v>
          </cell>
          <cell r="FU81">
            <v>103.64</v>
          </cell>
          <cell r="GD81">
            <v>517</v>
          </cell>
          <cell r="GE81">
            <v>64080</v>
          </cell>
          <cell r="GF81">
            <v>63563</v>
          </cell>
          <cell r="GG81">
            <v>1</v>
          </cell>
          <cell r="HU81">
            <v>774</v>
          </cell>
          <cell r="HY81">
            <v>1008</v>
          </cell>
          <cell r="IC81">
            <v>995</v>
          </cell>
          <cell r="IG81">
            <v>1598</v>
          </cell>
          <cell r="IK81">
            <v>1719</v>
          </cell>
          <cell r="IO81">
            <v>1255</v>
          </cell>
          <cell r="IS81">
            <v>1124</v>
          </cell>
          <cell r="IW81">
            <v>1206</v>
          </cell>
        </row>
        <row r="82">
          <cell r="A82" t="str">
            <v/>
          </cell>
          <cell r="B82" t="str">
            <v>10/18015-8</v>
          </cell>
          <cell r="C82" t="str">
            <v>Joaquim Murtinho</v>
          </cell>
          <cell r="F82" t="str">
            <v>energisa_ms</v>
          </cell>
          <cell r="G82" t="str">
            <v>Seac</v>
          </cell>
          <cell r="H82" t="str">
            <v>Igreja do Evangelho Quadrangular</v>
          </cell>
          <cell r="I82">
            <v>45809</v>
          </cell>
          <cell r="J82" t="str">
            <v>COMERCIAL - TEMPLOS RELIGIOSOS</v>
          </cell>
          <cell r="K82" t="str">
            <v>79303110</v>
          </cell>
          <cell r="L82" t="str">
            <v>MS</v>
          </cell>
          <cell r="M82" t="str">
            <v>CORUMBA</v>
          </cell>
          <cell r="N82" t="str">
            <v>CENTRO</v>
          </cell>
          <cell r="O82" t="str">
            <v>RUA JOAQUIM MURTINHO, 72 - 07.003.05.357000</v>
          </cell>
          <cell r="P82">
            <v>45833</v>
          </cell>
          <cell r="Q82" t="str">
            <v>B - B3</v>
          </cell>
          <cell r="R82" t="str">
            <v>62955505016080</v>
          </cell>
          <cell r="U82">
            <v>45800</v>
          </cell>
          <cell r="V82">
            <v>45832</v>
          </cell>
          <cell r="W82">
            <v>45861</v>
          </cell>
          <cell r="X82">
            <v>45849</v>
          </cell>
          <cell r="Y82" t="str">
            <v/>
          </cell>
          <cell r="AA82" t="str">
            <v>010.882.659-002</v>
          </cell>
          <cell r="AB82" t="str">
            <v>trifasico</v>
          </cell>
          <cell r="AC82" t="str">
            <v>convencional</v>
          </cell>
          <cell r="AD82">
            <v>822.78</v>
          </cell>
          <cell r="AE82" t="str">
            <v>34191.09115 71894.252932 85972.140009 8 11390000082278</v>
          </cell>
          <cell r="AF82" t="str">
            <v>IGREJA DO EVANGELHO QUADRANGULAR</v>
          </cell>
          <cell r="AL82">
            <v>700</v>
          </cell>
          <cell r="AM82">
            <v>1.1754</v>
          </cell>
          <cell r="AN82">
            <v>822.78</v>
          </cell>
          <cell r="AO82">
            <v>1.1264285714285713</v>
          </cell>
          <cell r="EX82">
            <v>0</v>
          </cell>
          <cell r="EZ82">
            <v>34.28</v>
          </cell>
          <cell r="FM82">
            <v>682.9</v>
          </cell>
          <cell r="FN82">
            <v>4.9954999999999999E-2</v>
          </cell>
          <cell r="FO82">
            <v>34.1</v>
          </cell>
          <cell r="FP82">
            <v>682.9</v>
          </cell>
          <cell r="FQ82">
            <v>1.0845E-2</v>
          </cell>
          <cell r="FR82">
            <v>7.41</v>
          </cell>
          <cell r="FS82">
            <v>822.78</v>
          </cell>
          <cell r="FT82">
            <v>0.17</v>
          </cell>
          <cell r="FU82">
            <v>139.87</v>
          </cell>
          <cell r="GD82">
            <v>700</v>
          </cell>
          <cell r="GE82">
            <v>90902</v>
          </cell>
          <cell r="GF82">
            <v>90202</v>
          </cell>
          <cell r="GG82">
            <v>1</v>
          </cell>
          <cell r="HU82">
            <v>930</v>
          </cell>
          <cell r="HY82">
            <v>921</v>
          </cell>
          <cell r="IC82">
            <v>1130</v>
          </cell>
          <cell r="IG82">
            <v>936</v>
          </cell>
          <cell r="IK82">
            <v>1267</v>
          </cell>
          <cell r="IO82">
            <v>945</v>
          </cell>
          <cell r="IS82">
            <v>1021</v>
          </cell>
          <cell r="IW82">
            <v>1113</v>
          </cell>
        </row>
        <row r="83">
          <cell r="A83" t="str">
            <v/>
          </cell>
          <cell r="B83" t="str">
            <v>10/532723-4</v>
          </cell>
          <cell r="C83" t="str">
            <v>3593</v>
          </cell>
          <cell r="F83" t="str">
            <v>energisa_ms</v>
          </cell>
          <cell r="G83" t="str">
            <v>3593</v>
          </cell>
          <cell r="H83" t="str">
            <v>Igreja do Evangelho Quadrangular</v>
          </cell>
          <cell r="I83">
            <v>45809</v>
          </cell>
          <cell r="J83" t="str">
            <v>COMERCIAL - TEMPLOS RELIGIOSOS</v>
          </cell>
          <cell r="K83" t="str">
            <v>79140000</v>
          </cell>
          <cell r="L83" t="str">
            <v>MS</v>
          </cell>
          <cell r="M83" t="str">
            <v>NOVA ALVORADA DO SUL</v>
          </cell>
          <cell r="N83" t="str">
            <v>CENTRO</v>
          </cell>
          <cell r="O83" t="str">
            <v>RUA DUAIR JOAO DE BARCELOS, 267 - 04.092.01.513000</v>
          </cell>
          <cell r="P83">
            <v>45834</v>
          </cell>
          <cell r="Q83" t="str">
            <v>B - B3</v>
          </cell>
          <cell r="R83" t="str">
            <v>62955505359360</v>
          </cell>
          <cell r="U83">
            <v>45803</v>
          </cell>
          <cell r="V83">
            <v>45833</v>
          </cell>
          <cell r="W83">
            <v>45862</v>
          </cell>
          <cell r="X83">
            <v>45849</v>
          </cell>
          <cell r="Y83" t="str">
            <v/>
          </cell>
          <cell r="AA83" t="str">
            <v>010.901.229-002</v>
          </cell>
          <cell r="AB83" t="str">
            <v>trifasico</v>
          </cell>
          <cell r="AC83" t="str">
            <v>convencional</v>
          </cell>
          <cell r="AD83">
            <v>174.04</v>
          </cell>
          <cell r="AE83" t="str">
            <v>34191.09115 74665.422932 85972.140009 9 11390000017404</v>
          </cell>
          <cell r="AF83" t="str">
            <v>IGREJA DO EVANGELHO QUADRANGULAR</v>
          </cell>
          <cell r="AL83">
            <v>295</v>
          </cell>
          <cell r="AM83">
            <v>1.1784338066880442</v>
          </cell>
          <cell r="AN83">
            <v>347.63797297297305</v>
          </cell>
          <cell r="AO83">
            <v>1.1264067796610171</v>
          </cell>
          <cell r="AX83">
            <v>221</v>
          </cell>
          <cell r="AY83">
            <v>1.0676831356243122</v>
          </cell>
          <cell r="AZ83">
            <v>-235.95797297297301</v>
          </cell>
          <cell r="BA83">
            <v>1.1263800904977377</v>
          </cell>
          <cell r="DR83">
            <v>221</v>
          </cell>
          <cell r="DS83">
            <v>1.1784071175247648</v>
          </cell>
          <cell r="DT83">
            <v>-260.42797297297301</v>
          </cell>
          <cell r="DU83">
            <v>1.1263800904977377</v>
          </cell>
          <cell r="ET83">
            <v>221</v>
          </cell>
          <cell r="EZ83">
            <v>3.8499999999999996</v>
          </cell>
          <cell r="FA83">
            <v>58.59</v>
          </cell>
          <cell r="FC83">
            <v>3.7700000000000005</v>
          </cell>
          <cell r="FL83">
            <v>24.47</v>
          </cell>
          <cell r="FM83">
            <v>72.38</v>
          </cell>
          <cell r="FN83">
            <v>4.9954999999999999E-2</v>
          </cell>
          <cell r="FO83">
            <v>3.63</v>
          </cell>
          <cell r="FP83">
            <v>72.38</v>
          </cell>
          <cell r="FQ83">
            <v>1.0845E-2</v>
          </cell>
          <cell r="FR83">
            <v>0.79</v>
          </cell>
          <cell r="FS83">
            <v>87.21</v>
          </cell>
          <cell r="FT83">
            <v>0.17</v>
          </cell>
          <cell r="FU83">
            <v>14.82</v>
          </cell>
          <cell r="GD83">
            <v>295</v>
          </cell>
          <cell r="GE83">
            <v>95346</v>
          </cell>
          <cell r="GF83">
            <v>95051</v>
          </cell>
          <cell r="GG83">
            <v>1</v>
          </cell>
          <cell r="HU83">
            <v>361</v>
          </cell>
          <cell r="HY83">
            <v>384</v>
          </cell>
          <cell r="IC83">
            <v>488</v>
          </cell>
          <cell r="IG83">
            <v>411</v>
          </cell>
          <cell r="IK83">
            <v>435</v>
          </cell>
          <cell r="IO83">
            <v>472</v>
          </cell>
          <cell r="IS83">
            <v>444</v>
          </cell>
          <cell r="IW83">
            <v>470</v>
          </cell>
        </row>
        <row r="84">
          <cell r="A84" t="str">
            <v/>
          </cell>
          <cell r="B84" t="str">
            <v>10/191945-5</v>
          </cell>
          <cell r="C84" t="str">
            <v>Cassilandia 2157-91</v>
          </cell>
          <cell r="F84" t="str">
            <v>energisa_ms</v>
          </cell>
          <cell r="G84" t="str">
            <v>Cassilandia 2157-91</v>
          </cell>
          <cell r="H84" t="str">
            <v>Igreja do Evangelho Quadrangular</v>
          </cell>
          <cell r="I84">
            <v>45809</v>
          </cell>
          <cell r="J84" t="str">
            <v>RESIDENCIAL - RESIDENCIAL</v>
          </cell>
          <cell r="K84" t="str">
            <v>79540000</v>
          </cell>
          <cell r="L84" t="str">
            <v>MS</v>
          </cell>
          <cell r="M84" t="str">
            <v>CASSILANDIA</v>
          </cell>
          <cell r="N84" t="str">
            <v>CENTRO</v>
          </cell>
          <cell r="O84" t="str">
            <v>RUA GOIAS, 1000 - 06.044.03.335000</v>
          </cell>
          <cell r="P84">
            <v>45835</v>
          </cell>
          <cell r="Q84" t="str">
            <v>B - B1</v>
          </cell>
          <cell r="R84" t="str">
            <v>62955505215791</v>
          </cell>
          <cell r="U84">
            <v>45804</v>
          </cell>
          <cell r="V84">
            <v>45834</v>
          </cell>
          <cell r="W84">
            <v>45863</v>
          </cell>
          <cell r="X84">
            <v>45846</v>
          </cell>
          <cell r="Y84" t="str">
            <v/>
          </cell>
          <cell r="AA84" t="str">
            <v>010.915.897-002</v>
          </cell>
          <cell r="AB84" t="str">
            <v>trifasico</v>
          </cell>
          <cell r="AC84" t="str">
            <v>convencional</v>
          </cell>
          <cell r="AD84">
            <v>598.41</v>
          </cell>
          <cell r="AE84" t="str">
            <v>34191.09115 75304.952932 85972.140009 1 11360000059841</v>
          </cell>
          <cell r="AF84" t="str">
            <v>IGREJA DO EVANGELHO QUADRANGULAR</v>
          </cell>
          <cell r="AL84">
            <v>429</v>
          </cell>
          <cell r="AM84">
            <v>1.1792540792540793</v>
          </cell>
          <cell r="AN84">
            <v>505.90000000000003</v>
          </cell>
          <cell r="AO84">
            <v>1.1264335664335665</v>
          </cell>
          <cell r="EX84">
            <v>0</v>
          </cell>
          <cell r="EZ84">
            <v>22.66</v>
          </cell>
          <cell r="FA84">
            <v>92.51</v>
          </cell>
          <cell r="FM84">
            <v>419.88</v>
          </cell>
          <cell r="FN84">
            <v>4.9954999999999999E-2</v>
          </cell>
          <cell r="FO84">
            <v>20.97</v>
          </cell>
          <cell r="FP84">
            <v>419.88</v>
          </cell>
          <cell r="FQ84">
            <v>1.0845E-2</v>
          </cell>
          <cell r="FR84">
            <v>4.55</v>
          </cell>
          <cell r="FS84">
            <v>505.9</v>
          </cell>
          <cell r="FT84">
            <v>0.17</v>
          </cell>
          <cell r="FU84">
            <v>86</v>
          </cell>
          <cell r="GD84">
            <v>429</v>
          </cell>
          <cell r="GE84">
            <v>73926</v>
          </cell>
          <cell r="GF84">
            <v>73497</v>
          </cell>
          <cell r="GG84">
            <v>1</v>
          </cell>
          <cell r="HU84">
            <v>622</v>
          </cell>
          <cell r="HY84">
            <v>769</v>
          </cell>
          <cell r="IC84">
            <v>878</v>
          </cell>
          <cell r="IG84">
            <v>863</v>
          </cell>
          <cell r="IK84">
            <v>876</v>
          </cell>
          <cell r="IO84">
            <v>984</v>
          </cell>
          <cell r="IS84">
            <v>983</v>
          </cell>
          <cell r="IW84">
            <v>890</v>
          </cell>
        </row>
        <row r="85">
          <cell r="A85" t="str">
            <v/>
          </cell>
          <cell r="B85" t="str">
            <v>10/2247256-7</v>
          </cell>
          <cell r="C85" t="str">
            <v>Aero Rancho 62578</v>
          </cell>
          <cell r="F85" t="str">
            <v>energisa_ms</v>
          </cell>
          <cell r="G85" t="str">
            <v>Sede 151</v>
          </cell>
          <cell r="H85" t="str">
            <v>Igreja do Evangelho Quadrangular</v>
          </cell>
          <cell r="I85">
            <v>45809</v>
          </cell>
          <cell r="J85" t="str">
            <v>COMERCIAL - COMERCIAL</v>
          </cell>
          <cell r="K85" t="str">
            <v>79094440</v>
          </cell>
          <cell r="L85" t="str">
            <v>MS</v>
          </cell>
          <cell r="M85" t="str">
            <v>CAMPO GRANDE</v>
          </cell>
          <cell r="N85" t="str">
            <v>JARDIM AERO RANCHO</v>
          </cell>
          <cell r="O85" t="str">
            <v>RUA CHARLOTE, 785</v>
          </cell>
          <cell r="P85">
            <v>45833</v>
          </cell>
          <cell r="Q85" t="str">
            <v>B - B3</v>
          </cell>
          <cell r="R85" t="str">
            <v>62955505015199</v>
          </cell>
          <cell r="U85">
            <v>45800</v>
          </cell>
          <cell r="V85">
            <v>45832</v>
          </cell>
          <cell r="W85">
            <v>45861</v>
          </cell>
          <cell r="X85">
            <v>45844</v>
          </cell>
          <cell r="Y85" t="str">
            <v/>
          </cell>
          <cell r="AA85" t="str">
            <v>010.890.227-002</v>
          </cell>
          <cell r="AB85" t="str">
            <v>trifasico</v>
          </cell>
          <cell r="AC85" t="str">
            <v>convencional</v>
          </cell>
          <cell r="AD85">
            <v>260.88</v>
          </cell>
          <cell r="AE85" t="str">
            <v>34191.09545 85151.390276 52186.260007 1 11340000026088</v>
          </cell>
          <cell r="AF85" t="str">
            <v>IGREJA DO EVANGELHO QUADRANGULAR</v>
          </cell>
          <cell r="AL85">
            <v>433</v>
          </cell>
          <cell r="AM85">
            <v>1.1754828233256351</v>
          </cell>
          <cell r="AN85">
            <v>508.98406249999999</v>
          </cell>
          <cell r="AO85">
            <v>1.1264203233256351</v>
          </cell>
          <cell r="AX85">
            <v>401</v>
          </cell>
          <cell r="AY85">
            <v>1.0186136221945137</v>
          </cell>
          <cell r="AZ85">
            <v>-408.46406249999995</v>
          </cell>
          <cell r="BA85">
            <v>1.12643391521197</v>
          </cell>
          <cell r="DZ85">
            <v>401</v>
          </cell>
          <cell r="EA85">
            <v>1.17549641521197</v>
          </cell>
          <cell r="EB85">
            <v>-471.37406249999998</v>
          </cell>
          <cell r="EC85">
            <v>1.12643391521197</v>
          </cell>
          <cell r="ET85">
            <v>401</v>
          </cell>
          <cell r="EV85">
            <v>430</v>
          </cell>
          <cell r="EW85">
            <v>430</v>
          </cell>
          <cell r="EX85">
            <v>1257</v>
          </cell>
          <cell r="EZ85">
            <v>1.57</v>
          </cell>
          <cell r="FA85">
            <v>160.36000000000001</v>
          </cell>
          <cell r="FL85">
            <v>62.91</v>
          </cell>
          <cell r="FM85">
            <v>31.22</v>
          </cell>
          <cell r="FN85">
            <v>4.9954999999999999E-2</v>
          </cell>
          <cell r="FO85">
            <v>1.56</v>
          </cell>
          <cell r="FP85">
            <v>31.22</v>
          </cell>
          <cell r="FQ85">
            <v>1.0845E-2</v>
          </cell>
          <cell r="FR85">
            <v>0.35</v>
          </cell>
          <cell r="FS85">
            <v>37.61</v>
          </cell>
          <cell r="FT85">
            <v>0.17</v>
          </cell>
          <cell r="FU85">
            <v>6.39</v>
          </cell>
          <cell r="GD85">
            <v>433</v>
          </cell>
          <cell r="GE85">
            <v>16620</v>
          </cell>
          <cell r="GF85">
            <v>16187</v>
          </cell>
          <cell r="GG85">
            <v>1</v>
          </cell>
          <cell r="HP85">
            <v>430</v>
          </cell>
          <cell r="HQ85">
            <v>10432</v>
          </cell>
          <cell r="HR85">
            <v>10002</v>
          </cell>
          <cell r="HS85">
            <v>1</v>
          </cell>
          <cell r="HU85">
            <v>432</v>
          </cell>
          <cell r="HY85">
            <v>620</v>
          </cell>
          <cell r="IC85">
            <v>921</v>
          </cell>
          <cell r="IG85">
            <v>968</v>
          </cell>
          <cell r="IK85">
            <v>593</v>
          </cell>
          <cell r="IO85">
            <v>626</v>
          </cell>
          <cell r="IS85">
            <v>842</v>
          </cell>
          <cell r="IW85">
            <v>516</v>
          </cell>
        </row>
        <row r="86">
          <cell r="A86" t="str">
            <v/>
          </cell>
          <cell r="B86" t="str">
            <v>10/276283-9</v>
          </cell>
          <cell r="C86" t="str">
            <v>Cel Sapucaia 884</v>
          </cell>
          <cell r="F86" t="str">
            <v>energisa_ms</v>
          </cell>
          <cell r="G86" t="str">
            <v>Cel Sapucaia 884</v>
          </cell>
          <cell r="H86" t="str">
            <v>Igreja do Evangelho Quadrangular</v>
          </cell>
          <cell r="I86">
            <v>45809</v>
          </cell>
          <cell r="J86" t="str">
            <v>COMERCIAL - TEMPLOS RELIGIOSOS</v>
          </cell>
          <cell r="K86" t="str">
            <v>79995000</v>
          </cell>
          <cell r="L86" t="str">
            <v>MS</v>
          </cell>
          <cell r="M86" t="str">
            <v>CORONEL SAPUCAIA</v>
          </cell>
          <cell r="N86" t="str">
            <v>JARDIM MONTIVIDEU</v>
          </cell>
          <cell r="O86" t="str">
            <v>RUA ADOLFO DO AMARAL, 284 - 15.085.81.377000</v>
          </cell>
          <cell r="P86">
            <v>45841</v>
          </cell>
          <cell r="Q86" t="str">
            <v>B - B3</v>
          </cell>
          <cell r="R86" t="str">
            <v>62955505088404</v>
          </cell>
          <cell r="U86">
            <v>45803</v>
          </cell>
          <cell r="V86">
            <v>45833</v>
          </cell>
          <cell r="W86">
            <v>45862</v>
          </cell>
          <cell r="X86">
            <v>45849</v>
          </cell>
          <cell r="AA86" t="str">
            <v>010.943.148-002</v>
          </cell>
          <cell r="AB86" t="str">
            <v>trifasico</v>
          </cell>
          <cell r="AC86" t="str">
            <v>convencional</v>
          </cell>
          <cell r="AD86">
            <v>160.97</v>
          </cell>
          <cell r="AE86" t="str">
            <v>34191.09115 82565.792932 85972.140009 1 11390000016097</v>
          </cell>
          <cell r="AF86" t="str">
            <v>IGREJA DO EVANGELHO QUADRANGULAR</v>
          </cell>
          <cell r="AL86">
            <v>226</v>
          </cell>
          <cell r="AM86">
            <v>1.1780159292035399</v>
          </cell>
          <cell r="AN86">
            <v>266.23160000000001</v>
          </cell>
          <cell r="AO86">
            <v>1.1264159292035398</v>
          </cell>
          <cell r="AX86">
            <v>126</v>
          </cell>
          <cell r="AY86">
            <v>1.1780285714285716</v>
          </cell>
          <cell r="AZ86">
            <v>-148.43160000000003</v>
          </cell>
          <cell r="BA86">
            <v>1.1264285714285716</v>
          </cell>
          <cell r="DR86">
            <v>126</v>
          </cell>
          <cell r="DS86">
            <v>1.1780285714285716</v>
          </cell>
          <cell r="DT86">
            <v>-148.43160000000003</v>
          </cell>
          <cell r="DU86">
            <v>1.1264285714285716</v>
          </cell>
          <cell r="ET86">
            <v>126</v>
          </cell>
          <cell r="EX86">
            <v>832</v>
          </cell>
          <cell r="EZ86">
            <v>5.16</v>
          </cell>
          <cell r="FA86">
            <v>43.17</v>
          </cell>
          <cell r="FM86">
            <v>97.78</v>
          </cell>
          <cell r="FN86">
            <v>4.9954999999999999E-2</v>
          </cell>
          <cell r="FO86">
            <v>4.8899999999999997</v>
          </cell>
          <cell r="FP86">
            <v>97.78</v>
          </cell>
          <cell r="FQ86">
            <v>1.0845E-2</v>
          </cell>
          <cell r="FR86">
            <v>1.07</v>
          </cell>
          <cell r="FS86">
            <v>117.8</v>
          </cell>
          <cell r="FT86">
            <v>0.17</v>
          </cell>
          <cell r="FU86">
            <v>20.02</v>
          </cell>
          <cell r="GD86">
            <v>226</v>
          </cell>
          <cell r="GE86">
            <v>39213</v>
          </cell>
          <cell r="GF86">
            <v>38987</v>
          </cell>
          <cell r="GG86">
            <v>1</v>
          </cell>
          <cell r="HU86">
            <v>286</v>
          </cell>
          <cell r="HY86">
            <v>192</v>
          </cell>
          <cell r="IC86">
            <v>522</v>
          </cell>
          <cell r="IG86">
            <v>452</v>
          </cell>
          <cell r="IK86">
            <v>640</v>
          </cell>
          <cell r="IO86">
            <v>365</v>
          </cell>
          <cell r="IS86">
            <v>409</v>
          </cell>
          <cell r="IW86">
            <v>287</v>
          </cell>
        </row>
        <row r="87">
          <cell r="A87" t="str">
            <v/>
          </cell>
          <cell r="B87" t="str">
            <v>10/1117293-9</v>
          </cell>
          <cell r="C87" t="str">
            <v>Nova Andradina 8921</v>
          </cell>
          <cell r="F87" t="str">
            <v>energisa_ms</v>
          </cell>
          <cell r="G87" t="str">
            <v>Nova Andradina 8921</v>
          </cell>
          <cell r="H87" t="str">
            <v>Igreja do Evangelho Quadrangular</v>
          </cell>
          <cell r="I87">
            <v>45809</v>
          </cell>
          <cell r="J87" t="str">
            <v>COMERCIAL - TEMPLOS RELIGIOSOS</v>
          </cell>
          <cell r="K87" t="str">
            <v>79750000</v>
          </cell>
          <cell r="L87" t="str">
            <v>MS</v>
          </cell>
          <cell r="M87" t="str">
            <v>NOVA ANDRADINA</v>
          </cell>
          <cell r="N87" t="str">
            <v>CENTRO</v>
          </cell>
          <cell r="O87" t="str">
            <v>AVENIDA ANTONIO JOAQUIM DE MOURA ANDRADE, 2141 - 10 041 07 522500</v>
          </cell>
          <cell r="P87">
            <v>45834</v>
          </cell>
          <cell r="Q87" t="str">
            <v>B - B3</v>
          </cell>
          <cell r="R87" t="str">
            <v>62955505892114</v>
          </cell>
          <cell r="U87">
            <v>45803</v>
          </cell>
          <cell r="V87">
            <v>45833</v>
          </cell>
          <cell r="W87">
            <v>45862</v>
          </cell>
          <cell r="X87">
            <v>45854</v>
          </cell>
          <cell r="Y87" t="str">
            <v/>
          </cell>
          <cell r="AA87" t="str">
            <v>010.902.055-002</v>
          </cell>
          <cell r="AB87" t="str">
            <v>trifasico</v>
          </cell>
          <cell r="AC87" t="str">
            <v>convencional</v>
          </cell>
          <cell r="AD87">
            <v>139.94</v>
          </cell>
          <cell r="AE87" t="str">
            <v>34191.09115 74693.482932 85972.140009 5 11440000013994</v>
          </cell>
          <cell r="AF87" t="str">
            <v>IGREJA DO EVANGELHO QUADRANGULAR CENTRO</v>
          </cell>
          <cell r="AL87">
            <v>118</v>
          </cell>
          <cell r="AM87">
            <v>1.1781559322033899</v>
          </cell>
          <cell r="AN87">
            <v>139.0224</v>
          </cell>
          <cell r="AO87">
            <v>1.1263559322033898</v>
          </cell>
          <cell r="AX87">
            <v>18</v>
          </cell>
          <cell r="AY87">
            <v>1.1779111111111111</v>
          </cell>
          <cell r="AZ87">
            <v>-21.202400000000001</v>
          </cell>
          <cell r="BA87">
            <v>1.1261111111111111</v>
          </cell>
          <cell r="DR87">
            <v>18</v>
          </cell>
          <cell r="DS87">
            <v>1.1779111111111111</v>
          </cell>
          <cell r="DT87">
            <v>-21.202400000000001</v>
          </cell>
          <cell r="DU87">
            <v>1.1261111111111111</v>
          </cell>
          <cell r="ET87">
            <v>18</v>
          </cell>
          <cell r="EZ87">
            <v>5.18</v>
          </cell>
          <cell r="FA87">
            <v>18.5</v>
          </cell>
          <cell r="FC87">
            <v>3.62</v>
          </cell>
          <cell r="FM87">
            <v>97.82</v>
          </cell>
          <cell r="FN87">
            <v>4.9954999999999999E-2</v>
          </cell>
          <cell r="FO87">
            <v>4.8899999999999997</v>
          </cell>
          <cell r="FP87">
            <v>97.82</v>
          </cell>
          <cell r="FQ87">
            <v>1.0845E-2</v>
          </cell>
          <cell r="FR87">
            <v>1.07</v>
          </cell>
          <cell r="FS87">
            <v>117.82</v>
          </cell>
          <cell r="FT87">
            <v>0.17</v>
          </cell>
          <cell r="FU87">
            <v>20.02</v>
          </cell>
          <cell r="GD87">
            <v>118</v>
          </cell>
          <cell r="GE87">
            <v>13580</v>
          </cell>
          <cell r="GF87">
            <v>13462</v>
          </cell>
          <cell r="GG87">
            <v>1</v>
          </cell>
          <cell r="HU87">
            <v>153</v>
          </cell>
          <cell r="HY87">
            <v>176</v>
          </cell>
          <cell r="IC87">
            <v>185</v>
          </cell>
          <cell r="IG87">
            <v>171</v>
          </cell>
          <cell r="IK87">
            <v>282</v>
          </cell>
          <cell r="IO87">
            <v>161</v>
          </cell>
          <cell r="IS87">
            <v>179</v>
          </cell>
          <cell r="IW87">
            <v>175</v>
          </cell>
        </row>
        <row r="88">
          <cell r="A88" t="str">
            <v/>
          </cell>
          <cell r="B88" t="str">
            <v>10/1130988-7</v>
          </cell>
          <cell r="C88" t="str">
            <v>Cong. Porto Murtinho</v>
          </cell>
          <cell r="F88" t="str">
            <v>energisa_ms</v>
          </cell>
          <cell r="G88" t="str">
            <v>408</v>
          </cell>
          <cell r="H88" t="str">
            <v>Igreja do Evangelho Quadrangular</v>
          </cell>
          <cell r="I88">
            <v>45809</v>
          </cell>
          <cell r="J88" t="str">
            <v>COMERCIAL - TEMPLOS RELIGIOSOS</v>
          </cell>
          <cell r="K88" t="str">
            <v>79280000</v>
          </cell>
          <cell r="L88" t="str">
            <v>MS</v>
          </cell>
          <cell r="M88" t="str">
            <v>PORTO MURTINHO</v>
          </cell>
          <cell r="N88" t="str">
            <v>CENTRO</v>
          </cell>
          <cell r="O88" t="str">
            <v>RUA CAPITAO CANTALICE, 0 - Q 86 L 84 13.060.03.238000</v>
          </cell>
          <cell r="P88">
            <v>45835</v>
          </cell>
          <cell r="Q88" t="str">
            <v>B - B3</v>
          </cell>
          <cell r="R88" t="str">
            <v>62955505040894</v>
          </cell>
          <cell r="U88">
            <v>45804</v>
          </cell>
          <cell r="V88">
            <v>45834</v>
          </cell>
          <cell r="W88">
            <v>45863</v>
          </cell>
          <cell r="X88">
            <v>45859</v>
          </cell>
          <cell r="Y88" t="str">
            <v/>
          </cell>
          <cell r="AA88" t="str">
            <v>010.917.302-002</v>
          </cell>
          <cell r="AB88" t="str">
            <v>bifasico</v>
          </cell>
          <cell r="AC88" t="str">
            <v>convencional</v>
          </cell>
          <cell r="AD88">
            <v>104.94</v>
          </cell>
          <cell r="AE88" t="str">
            <v>34191.09115 75361.042932 85972.140009 2 11490000010494</v>
          </cell>
          <cell r="AF88" t="str">
            <v>IGREJA DO EVANGELHO QUADRANGULAR</v>
          </cell>
          <cell r="AL88">
            <v>89</v>
          </cell>
          <cell r="AM88">
            <v>1.1791011235955056</v>
          </cell>
          <cell r="AN88">
            <v>104.94</v>
          </cell>
          <cell r="AO88">
            <v>1.1264044943820224</v>
          </cell>
          <cell r="EX88">
            <v>0</v>
          </cell>
          <cell r="EZ88">
            <v>4.6900000000000004</v>
          </cell>
          <cell r="FM88">
            <v>87.08</v>
          </cell>
          <cell r="FN88">
            <v>4.9954999999999999E-2</v>
          </cell>
          <cell r="FO88">
            <v>4.3499999999999996</v>
          </cell>
          <cell r="FP88">
            <v>87.08</v>
          </cell>
          <cell r="FQ88">
            <v>1.0845E-2</v>
          </cell>
          <cell r="FR88">
            <v>0.94</v>
          </cell>
          <cell r="FS88">
            <v>104.94</v>
          </cell>
          <cell r="FT88">
            <v>0.17</v>
          </cell>
          <cell r="FU88">
            <v>17.829999999999998</v>
          </cell>
          <cell r="GD88">
            <v>89</v>
          </cell>
          <cell r="GE88">
            <v>36158</v>
          </cell>
          <cell r="GF88">
            <v>36069</v>
          </cell>
          <cell r="GG88">
            <v>1</v>
          </cell>
          <cell r="HU88">
            <v>290</v>
          </cell>
          <cell r="HY88">
            <v>235</v>
          </cell>
          <cell r="IC88">
            <v>331</v>
          </cell>
          <cell r="IG88">
            <v>321</v>
          </cell>
          <cell r="IK88">
            <v>350</v>
          </cell>
          <cell r="IO88">
            <v>299</v>
          </cell>
          <cell r="IS88">
            <v>234</v>
          </cell>
          <cell r="IW88">
            <v>187</v>
          </cell>
        </row>
        <row r="89">
          <cell r="A89" t="str">
            <v/>
          </cell>
          <cell r="B89" t="str">
            <v>10/1035655-8</v>
          </cell>
          <cell r="C89" t="str">
            <v>58749 - 1</v>
          </cell>
          <cell r="F89" t="str">
            <v>energisa_ms</v>
          </cell>
          <cell r="G89" t="str">
            <v>5661</v>
          </cell>
          <cell r="H89" t="str">
            <v>Igreja do Evangelho Quadrangular</v>
          </cell>
          <cell r="I89">
            <v>45809</v>
          </cell>
          <cell r="J89" t="str">
            <v>COMERCIAL - TEMPLOS RELIGIOSOS</v>
          </cell>
          <cell r="K89" t="str">
            <v>79831130</v>
          </cell>
          <cell r="L89" t="str">
            <v>MS</v>
          </cell>
          <cell r="M89" t="str">
            <v>DOURADOS</v>
          </cell>
          <cell r="N89" t="str">
            <v>VILA ROSA</v>
          </cell>
          <cell r="O89" t="str">
            <v>RUA ANTONIO AMARO DE MATTOS, 5413 - 07.010.34.501000</v>
          </cell>
          <cell r="P89">
            <v>45833</v>
          </cell>
          <cell r="Q89" t="str">
            <v>B - B3</v>
          </cell>
          <cell r="R89" t="str">
            <v>62955505182257</v>
          </cell>
          <cell r="U89">
            <v>45800</v>
          </cell>
          <cell r="V89">
            <v>45832</v>
          </cell>
          <cell r="W89">
            <v>45861</v>
          </cell>
          <cell r="X89">
            <v>45842</v>
          </cell>
          <cell r="Y89" t="str">
            <v/>
          </cell>
          <cell r="AA89" t="str">
            <v>010.884.957-002</v>
          </cell>
          <cell r="AB89" t="str">
            <v>trifasico</v>
          </cell>
          <cell r="AC89" t="str">
            <v>convencional</v>
          </cell>
          <cell r="AD89">
            <v>174.34</v>
          </cell>
          <cell r="AE89" t="str">
            <v>34191.09115 71983.762932 85972.140009 8 11320000017434</v>
          </cell>
          <cell r="AF89" t="str">
            <v>IGREJA DO EVANGELHO QUADRANGULAR</v>
          </cell>
          <cell r="AL89">
            <v>272</v>
          </cell>
          <cell r="AM89">
            <v>1.1756230127186009</v>
          </cell>
          <cell r="AN89">
            <v>319.76945945945943</v>
          </cell>
          <cell r="AO89">
            <v>1.1264338235294118</v>
          </cell>
          <cell r="AX89">
            <v>198</v>
          </cell>
          <cell r="AY89">
            <v>1.0527750477750477</v>
          </cell>
          <cell r="AZ89">
            <v>-208.44945945945946</v>
          </cell>
          <cell r="BA89">
            <v>1.1263636363636365</v>
          </cell>
          <cell r="DR89">
            <v>198</v>
          </cell>
          <cell r="DS89">
            <v>1.1755528255528256</v>
          </cell>
          <cell r="DT89">
            <v>-232.75945945945946</v>
          </cell>
          <cell r="DU89">
            <v>1.1263636363636365</v>
          </cell>
          <cell r="ET89">
            <v>198</v>
          </cell>
          <cell r="EZ89">
            <v>3.64</v>
          </cell>
          <cell r="FA89">
            <v>59.51</v>
          </cell>
          <cell r="FC89">
            <v>3.5100000000000002</v>
          </cell>
          <cell r="FL89">
            <v>24.31</v>
          </cell>
          <cell r="FM89">
            <v>72.25</v>
          </cell>
          <cell r="FN89">
            <v>4.9954999999999999E-2</v>
          </cell>
          <cell r="FO89">
            <v>3.61</v>
          </cell>
          <cell r="FP89">
            <v>72.25</v>
          </cell>
          <cell r="FQ89">
            <v>1.0845E-2</v>
          </cell>
          <cell r="FR89">
            <v>0.78</v>
          </cell>
          <cell r="FS89">
            <v>87.01</v>
          </cell>
          <cell r="FT89">
            <v>0.17</v>
          </cell>
          <cell r="FU89">
            <v>14.79</v>
          </cell>
          <cell r="GD89">
            <v>272</v>
          </cell>
          <cell r="GE89">
            <v>51485</v>
          </cell>
          <cell r="GF89">
            <v>51213</v>
          </cell>
          <cell r="GG89">
            <v>1</v>
          </cell>
          <cell r="HU89">
            <v>259</v>
          </cell>
          <cell r="HY89">
            <v>338</v>
          </cell>
          <cell r="IC89">
            <v>581</v>
          </cell>
          <cell r="IG89">
            <v>433</v>
          </cell>
          <cell r="IK89">
            <v>540</v>
          </cell>
          <cell r="IO89">
            <v>528</v>
          </cell>
          <cell r="IS89">
            <v>671</v>
          </cell>
          <cell r="IW89">
            <v>385</v>
          </cell>
        </row>
        <row r="90">
          <cell r="A90" t="str">
            <v/>
          </cell>
          <cell r="B90" t="str">
            <v>10/452884-0</v>
          </cell>
          <cell r="C90" t="str">
            <v>Carlos Camisao (3325)</v>
          </cell>
          <cell r="F90" t="str">
            <v>energisa_ms</v>
          </cell>
          <cell r="G90" t="str">
            <v>Carlos Camisao (3325)</v>
          </cell>
          <cell r="H90" t="str">
            <v>Igreja do Evangelho Quadrangular</v>
          </cell>
          <cell r="I90">
            <v>45809</v>
          </cell>
          <cell r="J90" t="str">
            <v>COMERCIAL - TEMPLOS RELIGIOSOS</v>
          </cell>
          <cell r="K90" t="str">
            <v>79202000</v>
          </cell>
          <cell r="L90" t="str">
            <v>MS</v>
          </cell>
          <cell r="M90" t="str">
            <v>AQUIDAUANA</v>
          </cell>
          <cell r="N90" t="str">
            <v>CAMISAO</v>
          </cell>
          <cell r="O90" t="str">
            <v>AVENIDA CAMISAO, S/N - 06.201.90.426000</v>
          </cell>
          <cell r="P90">
            <v>45835</v>
          </cell>
          <cell r="Q90" t="str">
            <v>B - B3</v>
          </cell>
          <cell r="R90" t="str">
            <v>62955505000167</v>
          </cell>
          <cell r="U90">
            <v>45804</v>
          </cell>
          <cell r="V90">
            <v>45834</v>
          </cell>
          <cell r="W90">
            <v>45863</v>
          </cell>
          <cell r="X90">
            <v>45846</v>
          </cell>
          <cell r="Y90" t="str">
            <v/>
          </cell>
          <cell r="AA90" t="str">
            <v>010.916.479-002</v>
          </cell>
          <cell r="AB90" t="str">
            <v>bifasico</v>
          </cell>
          <cell r="AC90" t="str">
            <v>convencional</v>
          </cell>
          <cell r="AD90">
            <v>223.87</v>
          </cell>
          <cell r="AE90" t="str">
            <v>34191.09115 75328.062932 85972.140009 1 11360000022387</v>
          </cell>
          <cell r="AF90" t="str">
            <v>IGREJA DO EVANGELHO QUADRANGULAR</v>
          </cell>
          <cell r="AL90">
            <v>185</v>
          </cell>
          <cell r="AM90">
            <v>1.1791891891891892</v>
          </cell>
          <cell r="AN90">
            <v>218.15</v>
          </cell>
          <cell r="AO90">
            <v>1.1264324324324324</v>
          </cell>
          <cell r="EX90">
            <v>0</v>
          </cell>
          <cell r="EZ90">
            <v>9.76</v>
          </cell>
          <cell r="FC90">
            <v>5.72</v>
          </cell>
          <cell r="FM90">
            <v>181.05</v>
          </cell>
          <cell r="FN90">
            <v>4.9954999999999999E-2</v>
          </cell>
          <cell r="FO90">
            <v>9.0399999999999991</v>
          </cell>
          <cell r="FP90">
            <v>181.05</v>
          </cell>
          <cell r="FQ90">
            <v>1.0845E-2</v>
          </cell>
          <cell r="FR90">
            <v>1.95</v>
          </cell>
          <cell r="FS90">
            <v>218.15</v>
          </cell>
          <cell r="FT90">
            <v>0.17</v>
          </cell>
          <cell r="FU90">
            <v>37.08</v>
          </cell>
          <cell r="GD90">
            <v>185</v>
          </cell>
          <cell r="GE90">
            <v>20394</v>
          </cell>
          <cell r="GF90">
            <v>20209</v>
          </cell>
          <cell r="GG90">
            <v>1</v>
          </cell>
          <cell r="HU90">
            <v>285</v>
          </cell>
          <cell r="HY90">
            <v>302</v>
          </cell>
          <cell r="IC90">
            <v>318</v>
          </cell>
          <cell r="IG90">
            <v>242</v>
          </cell>
          <cell r="IK90">
            <v>200</v>
          </cell>
          <cell r="IO90">
            <v>164</v>
          </cell>
          <cell r="IS90">
            <v>159</v>
          </cell>
          <cell r="IW90">
            <v>155</v>
          </cell>
        </row>
        <row r="91">
          <cell r="A91" t="str">
            <v/>
          </cell>
          <cell r="B91" t="str">
            <v>10/162736-3</v>
          </cell>
          <cell r="C91" t="str">
            <v>885</v>
          </cell>
          <cell r="F91" t="str">
            <v>energisa_ms</v>
          </cell>
          <cell r="G91" t="str">
            <v>885</v>
          </cell>
          <cell r="H91" t="str">
            <v>Igreja do Evangelho Quadrangular</v>
          </cell>
          <cell r="I91">
            <v>45809</v>
          </cell>
          <cell r="J91" t="str">
            <v>COMERCIAL - TEMPLOS RELIGIOSOS</v>
          </cell>
          <cell r="K91" t="str">
            <v>79480000</v>
          </cell>
          <cell r="L91" t="str">
            <v>MS</v>
          </cell>
          <cell r="M91" t="str">
            <v>RIO VERDE DE MATO GROSSO</v>
          </cell>
          <cell r="N91" t="str">
            <v>CENTRO</v>
          </cell>
          <cell r="O91" t="str">
            <v>RUA SANTOS DUMONT, 310 - IGREJA</v>
          </cell>
          <cell r="P91">
            <v>45826</v>
          </cell>
          <cell r="Q91" t="str">
            <v>B - B3</v>
          </cell>
          <cell r="R91" t="str">
            <v>62955505197360</v>
          </cell>
          <cell r="U91">
            <v>45793</v>
          </cell>
          <cell r="V91">
            <v>45825</v>
          </cell>
          <cell r="W91">
            <v>45855</v>
          </cell>
          <cell r="X91">
            <v>45848</v>
          </cell>
          <cell r="Y91" t="str">
            <v/>
          </cell>
          <cell r="AA91" t="str">
            <v>010.797.312-002</v>
          </cell>
          <cell r="AB91" t="str">
            <v>trifasico</v>
          </cell>
          <cell r="AC91" t="str">
            <v>convencional</v>
          </cell>
          <cell r="AD91">
            <v>221.66</v>
          </cell>
          <cell r="AE91" t="str">
            <v>34191.09115 59361.162932 85972.140009 9 11380000022166</v>
          </cell>
          <cell r="AF91" t="str">
            <v>IGREJA DO EVANGELHO QUADRANGULAR</v>
          </cell>
          <cell r="AL91">
            <v>148</v>
          </cell>
          <cell r="AM91">
            <v>1.1681756756756756</v>
          </cell>
          <cell r="AN91">
            <v>172.89</v>
          </cell>
          <cell r="AO91">
            <v>1.1264189189189189</v>
          </cell>
          <cell r="EX91">
            <v>0</v>
          </cell>
          <cell r="EZ91">
            <v>6.18</v>
          </cell>
          <cell r="FA91">
            <v>24.67</v>
          </cell>
          <cell r="FB91">
            <v>13.85</v>
          </cell>
          <cell r="FC91">
            <v>10.25</v>
          </cell>
          <cell r="FM91">
            <v>143.47999999999999</v>
          </cell>
          <cell r="FN91">
            <v>4.9954999999999999E-2</v>
          </cell>
          <cell r="FO91">
            <v>7.17</v>
          </cell>
          <cell r="FP91">
            <v>143.47999999999999</v>
          </cell>
          <cell r="FQ91">
            <v>1.0845E-2</v>
          </cell>
          <cell r="FR91">
            <v>1.55</v>
          </cell>
          <cell r="FS91">
            <v>172.89</v>
          </cell>
          <cell r="FT91">
            <v>0.17</v>
          </cell>
          <cell r="FU91">
            <v>29.39</v>
          </cell>
          <cell r="GD91">
            <v>148</v>
          </cell>
          <cell r="GE91">
            <v>33371</v>
          </cell>
          <cell r="GF91">
            <v>33223</v>
          </cell>
          <cell r="GG91">
            <v>1</v>
          </cell>
          <cell r="HU91">
            <v>314</v>
          </cell>
          <cell r="HY91">
            <v>343</v>
          </cell>
          <cell r="IC91">
            <v>477</v>
          </cell>
          <cell r="IG91">
            <v>472</v>
          </cell>
          <cell r="IK91">
            <v>332</v>
          </cell>
          <cell r="IO91">
            <v>235</v>
          </cell>
          <cell r="IS91">
            <v>184</v>
          </cell>
          <cell r="IW91">
            <v>255</v>
          </cell>
        </row>
        <row r="92">
          <cell r="A92" t="str">
            <v>10/150263-2</v>
          </cell>
          <cell r="B92" t="str">
            <v>10/150263-2</v>
          </cell>
          <cell r="F92" t="str">
            <v>energisa_ms</v>
          </cell>
          <cell r="H92" t="str">
            <v>10/150263-2</v>
          </cell>
          <cell r="I92">
            <v>45809</v>
          </cell>
          <cell r="J92" t="str">
            <v>COMERCIAL - TEMPLOS RELIGIOSOS</v>
          </cell>
          <cell r="K92" t="str">
            <v>79900558</v>
          </cell>
          <cell r="L92" t="str">
            <v>MS</v>
          </cell>
          <cell r="M92" t="str">
            <v>PONTA PORA</v>
          </cell>
          <cell r="N92" t="str">
            <v>PARQUE DAS AROEIRAS</v>
          </cell>
          <cell r="O92" t="str">
            <v>RUA JAMAICA, 46 - 17.032.04.028077</v>
          </cell>
          <cell r="P92">
            <v>45833</v>
          </cell>
          <cell r="Q92" t="str">
            <v>B - B3</v>
          </cell>
          <cell r="R92" t="str">
            <v>62955505015512</v>
          </cell>
          <cell r="U92">
            <v>45800</v>
          </cell>
          <cell r="V92">
            <v>45832</v>
          </cell>
          <cell r="W92">
            <v>45861</v>
          </cell>
          <cell r="X92">
            <v>45842</v>
          </cell>
          <cell r="AA92" t="str">
            <v>010.883.197-002</v>
          </cell>
          <cell r="AB92" t="str">
            <v>monofasico</v>
          </cell>
          <cell r="AC92" t="str">
            <v>convencional</v>
          </cell>
          <cell r="AD92">
            <v>83.18</v>
          </cell>
          <cell r="AE92" t="str">
            <v>34191.09115 71923.872932 85972.140009 7 11320000008318</v>
          </cell>
          <cell r="AF92" t="str">
            <v>IGREJA DO EVANGELHO QUADRANGULAR</v>
          </cell>
          <cell r="AL92">
            <v>122</v>
          </cell>
          <cell r="AM92">
            <v>1.1763934426229508</v>
          </cell>
          <cell r="AN92">
            <v>143.51999999999998</v>
          </cell>
          <cell r="AO92">
            <v>1.1263934426229507</v>
          </cell>
          <cell r="AX92">
            <v>104</v>
          </cell>
          <cell r="AY92">
            <v>1.0662499999999999</v>
          </cell>
          <cell r="AZ92">
            <v>-110.89</v>
          </cell>
          <cell r="BA92">
            <v>1.1263461538461539</v>
          </cell>
          <cell r="DR92">
            <v>104</v>
          </cell>
          <cell r="DS92">
            <v>1.1763461538461539</v>
          </cell>
          <cell r="DT92">
            <v>-122.34</v>
          </cell>
          <cell r="DU92">
            <v>1.1263461538461539</v>
          </cell>
          <cell r="ET92">
            <v>104</v>
          </cell>
          <cell r="EZ92">
            <v>0.9</v>
          </cell>
          <cell r="FA92">
            <v>49.5</v>
          </cell>
          <cell r="FC92">
            <v>1.05</v>
          </cell>
          <cell r="FL92">
            <v>11.45</v>
          </cell>
          <cell r="FM92">
            <v>17.600000000000001</v>
          </cell>
          <cell r="FN92">
            <v>4.9954999999999999E-2</v>
          </cell>
          <cell r="FO92">
            <v>0.87</v>
          </cell>
          <cell r="FP92">
            <v>17.600000000000001</v>
          </cell>
          <cell r="FQ92">
            <v>1.0845E-2</v>
          </cell>
          <cell r="FR92">
            <v>0.21</v>
          </cell>
          <cell r="FS92">
            <v>21.18</v>
          </cell>
          <cell r="FT92">
            <v>0.17</v>
          </cell>
          <cell r="FU92">
            <v>3.6</v>
          </cell>
          <cell r="GD92">
            <v>122</v>
          </cell>
          <cell r="GE92">
            <v>7368</v>
          </cell>
          <cell r="GF92">
            <v>7246</v>
          </cell>
          <cell r="GG92">
            <v>1</v>
          </cell>
          <cell r="HU92">
            <v>139</v>
          </cell>
          <cell r="HY92">
            <v>156</v>
          </cell>
          <cell r="IC92">
            <v>202</v>
          </cell>
          <cell r="IG92">
            <v>198</v>
          </cell>
          <cell r="IK92">
            <v>187</v>
          </cell>
          <cell r="IO92">
            <v>163</v>
          </cell>
          <cell r="IS92">
            <v>188</v>
          </cell>
          <cell r="IW92">
            <v>141</v>
          </cell>
        </row>
        <row r="93">
          <cell r="A93" t="str">
            <v>10/2878131-8</v>
          </cell>
          <cell r="B93" t="str">
            <v>10/2878131-8</v>
          </cell>
          <cell r="F93" t="str">
            <v>energisa_ms</v>
          </cell>
          <cell r="G93" t="str">
            <v>Administrativa</v>
          </cell>
          <cell r="H93" t="str">
            <v>Igreja do Evangelho Quadrangular</v>
          </cell>
          <cell r="I93">
            <v>45809</v>
          </cell>
          <cell r="J93" t="str">
            <v>RURAL - RURAL RESIDENCIAL</v>
          </cell>
          <cell r="K93" t="str">
            <v>79880000</v>
          </cell>
          <cell r="L93" t="str">
            <v>MS</v>
          </cell>
          <cell r="M93" t="str">
            <v>DOURADINA</v>
          </cell>
          <cell r="N93" t="str">
            <v>RURAL</v>
          </cell>
          <cell r="O93" t="str">
            <v>RODOVIA MS 379, 0 - QD 16 PARTE 03</v>
          </cell>
          <cell r="P93">
            <v>45841</v>
          </cell>
          <cell r="Q93" t="str">
            <v>B - B2</v>
          </cell>
          <cell r="R93" t="str">
            <v>62955505379395</v>
          </cell>
          <cell r="U93">
            <v>45790</v>
          </cell>
          <cell r="V93">
            <v>45819</v>
          </cell>
          <cell r="W93">
            <v>45849</v>
          </cell>
          <cell r="X93">
            <v>45849</v>
          </cell>
          <cell r="AA93" t="str">
            <v>010.943.154-002</v>
          </cell>
          <cell r="AB93" t="str">
            <v>trifasico</v>
          </cell>
          <cell r="AC93" t="str">
            <v>convencional</v>
          </cell>
          <cell r="AD93">
            <v>118.76</v>
          </cell>
          <cell r="AE93" t="str">
            <v>34191.09115 82569.672932 85972.140009 9 11390000011876</v>
          </cell>
          <cell r="AF93" t="str">
            <v>IGREJA DO EVANGELHO QUADRANGULAR</v>
          </cell>
          <cell r="AI93">
            <v>100</v>
          </cell>
          <cell r="AJ93">
            <v>1.163</v>
          </cell>
          <cell r="AK93">
            <v>116.3</v>
          </cell>
          <cell r="AL93">
            <v>0</v>
          </cell>
          <cell r="AM93">
            <v>1.163</v>
          </cell>
          <cell r="AN93">
            <v>0</v>
          </cell>
          <cell r="EV93">
            <v>17239</v>
          </cell>
          <cell r="EW93">
            <v>17239</v>
          </cell>
          <cell r="EX93">
            <v>7671</v>
          </cell>
          <cell r="EZ93">
            <v>3.66</v>
          </cell>
          <cell r="FB93">
            <v>-0.01</v>
          </cell>
          <cell r="FC93">
            <v>2.4700000000000002</v>
          </cell>
          <cell r="FM93">
            <v>96.5</v>
          </cell>
          <cell r="FN93">
            <v>4.9954999999999999E-2</v>
          </cell>
          <cell r="FO93">
            <v>4.82</v>
          </cell>
          <cell r="FP93">
            <v>96.5</v>
          </cell>
          <cell r="FQ93">
            <v>1.0845E-2</v>
          </cell>
          <cell r="FR93">
            <v>1.04</v>
          </cell>
          <cell r="FS93">
            <v>116.3</v>
          </cell>
          <cell r="FT93">
            <v>0.17</v>
          </cell>
          <cell r="FU93">
            <v>19.77</v>
          </cell>
          <cell r="GD93">
            <v>86</v>
          </cell>
          <cell r="GE93">
            <v>626</v>
          </cell>
          <cell r="GF93">
            <v>540</v>
          </cell>
          <cell r="GG93">
            <v>1</v>
          </cell>
          <cell r="HP93">
            <v>17239</v>
          </cell>
          <cell r="HQ93">
            <v>125651</v>
          </cell>
          <cell r="HR93">
            <v>108412</v>
          </cell>
          <cell r="HS93">
            <v>1</v>
          </cell>
          <cell r="HU93">
            <v>74</v>
          </cell>
          <cell r="HY93">
            <v>85</v>
          </cell>
          <cell r="IC93">
            <v>79</v>
          </cell>
          <cell r="IG93">
            <v>77</v>
          </cell>
          <cell r="IK93">
            <v>68</v>
          </cell>
          <cell r="IO93">
            <v>78</v>
          </cell>
          <cell r="IS93">
            <v>34</v>
          </cell>
          <cell r="IW93">
            <v>31</v>
          </cell>
        </row>
        <row r="94">
          <cell r="A94" t="str">
            <v/>
          </cell>
          <cell r="B94" t="str">
            <v>10/257864-9</v>
          </cell>
          <cell r="C94" t="str">
            <v>Itaquirai 1821</v>
          </cell>
          <cell r="F94" t="str">
            <v>energisa_ms</v>
          </cell>
          <cell r="G94" t="str">
            <v>Itaquirai 1821</v>
          </cell>
          <cell r="H94" t="str">
            <v>Igreja do Evangelho Quadrangular</v>
          </cell>
          <cell r="I94">
            <v>45809</v>
          </cell>
          <cell r="J94" t="str">
            <v>COMERCIAL - TEMPLOS RELIGIOSOS</v>
          </cell>
          <cell r="K94" t="str">
            <v>79965000</v>
          </cell>
          <cell r="L94" t="str">
            <v>MS</v>
          </cell>
          <cell r="M94" t="str">
            <v>ITAQUIRAI</v>
          </cell>
          <cell r="N94" t="str">
            <v>CENTRO</v>
          </cell>
          <cell r="O94" t="str">
            <v>RUA SEN TEOTONIO VILELA, 427 - 11.074.05.148000</v>
          </cell>
          <cell r="P94">
            <v>45841</v>
          </cell>
          <cell r="Q94" t="str">
            <v>B - B3</v>
          </cell>
          <cell r="R94" t="str">
            <v>62955505182176</v>
          </cell>
          <cell r="U94">
            <v>45789</v>
          </cell>
          <cell r="V94">
            <v>45818</v>
          </cell>
          <cell r="W94">
            <v>45848</v>
          </cell>
          <cell r="X94">
            <v>45853</v>
          </cell>
          <cell r="AA94" t="str">
            <v>010.943.147-002</v>
          </cell>
          <cell r="AB94" t="str">
            <v>bifasico</v>
          </cell>
          <cell r="AC94" t="str">
            <v>convencional</v>
          </cell>
          <cell r="AD94">
            <v>70.84</v>
          </cell>
          <cell r="AE94" t="str">
            <v>34191.09115 82565.612932 85972.140009 3 11430000007084</v>
          </cell>
          <cell r="AF94" t="str">
            <v>IGREJA DO EVANGELHO QUADRANGULAR</v>
          </cell>
          <cell r="AL94">
            <v>99</v>
          </cell>
          <cell r="AM94">
            <v>1.1617636363636366</v>
          </cell>
          <cell r="AN94">
            <v>115.01460000000002</v>
          </cell>
          <cell r="AO94">
            <v>1.1263636363636365</v>
          </cell>
          <cell r="AX94">
            <v>49</v>
          </cell>
          <cell r="AY94">
            <v>1.1617265306122448</v>
          </cell>
          <cell r="AZ94">
            <v>-56.924599999999998</v>
          </cell>
          <cell r="BA94">
            <v>1.1263265306122447</v>
          </cell>
          <cell r="DR94">
            <v>49</v>
          </cell>
          <cell r="DS94">
            <v>1.1617265306122448</v>
          </cell>
          <cell r="DT94">
            <v>-56.924599999999998</v>
          </cell>
          <cell r="DU94">
            <v>1.1263265306122447</v>
          </cell>
          <cell r="ET94">
            <v>49</v>
          </cell>
          <cell r="EX94">
            <v>175</v>
          </cell>
          <cell r="EZ94">
            <v>1.77</v>
          </cell>
          <cell r="FA94">
            <v>12.75</v>
          </cell>
          <cell r="FM94">
            <v>48.22</v>
          </cell>
          <cell r="FN94">
            <v>4.9954999999999999E-2</v>
          </cell>
          <cell r="FO94">
            <v>2.4</v>
          </cell>
          <cell r="FP94">
            <v>48.22</v>
          </cell>
          <cell r="FQ94">
            <v>1.0845E-2</v>
          </cell>
          <cell r="FR94">
            <v>0.51</v>
          </cell>
          <cell r="FS94">
            <v>58.09</v>
          </cell>
          <cell r="FT94">
            <v>0.17</v>
          </cell>
          <cell r="FU94">
            <v>9.8699999999999992</v>
          </cell>
          <cell r="GD94">
            <v>99</v>
          </cell>
          <cell r="GE94">
            <v>24250</v>
          </cell>
          <cell r="GF94">
            <v>24151</v>
          </cell>
          <cell r="GG94">
            <v>1</v>
          </cell>
          <cell r="HU94">
            <v>221</v>
          </cell>
          <cell r="HY94">
            <v>226</v>
          </cell>
          <cell r="IC94">
            <v>250</v>
          </cell>
          <cell r="IG94">
            <v>277</v>
          </cell>
          <cell r="IK94">
            <v>248</v>
          </cell>
          <cell r="IO94">
            <v>236</v>
          </cell>
          <cell r="IS94">
            <v>177</v>
          </cell>
          <cell r="IW94">
            <v>132</v>
          </cell>
        </row>
        <row r="95">
          <cell r="A95" t="str">
            <v/>
          </cell>
          <cell r="B95" t="str">
            <v>10/1548741-6</v>
          </cell>
          <cell r="C95" t="str">
            <v>Parnaíba 0847-51</v>
          </cell>
          <cell r="F95" t="str">
            <v>energisa_ms</v>
          </cell>
          <cell r="G95" t="str">
            <v>Parnaíba 0847-51</v>
          </cell>
          <cell r="H95" t="str">
            <v>Igreja do Evangelho Quadrangular</v>
          </cell>
          <cell r="I95">
            <v>45809</v>
          </cell>
          <cell r="J95" t="str">
            <v>COMERCIAL - OUTROS SERVIÇOS E OUTRAS ATIVIDADES</v>
          </cell>
          <cell r="K95" t="str">
            <v>79500000</v>
          </cell>
          <cell r="L95" t="str">
            <v>MS</v>
          </cell>
          <cell r="M95" t="str">
            <v>PARANAIBA</v>
          </cell>
          <cell r="N95" t="str">
            <v>JARDIM AMERICA</v>
          </cell>
          <cell r="O95" t="str">
            <v>RUA JOSE AGI, 651 - 12.014.07.803500</v>
          </cell>
          <cell r="P95">
            <v>45841</v>
          </cell>
          <cell r="Q95" t="str">
            <v>B - B3</v>
          </cell>
          <cell r="R95" t="str">
            <v>62955505084751</v>
          </cell>
          <cell r="U95">
            <v>45799</v>
          </cell>
          <cell r="V95">
            <v>45831</v>
          </cell>
          <cell r="W95">
            <v>45860</v>
          </cell>
          <cell r="X95">
            <v>45854</v>
          </cell>
          <cell r="AA95" t="str">
            <v>010.943.162-002</v>
          </cell>
          <cell r="AB95" t="str">
            <v>monofasico</v>
          </cell>
          <cell r="AC95" t="str">
            <v>convencional</v>
          </cell>
          <cell r="AD95">
            <v>96.61</v>
          </cell>
          <cell r="AE95" t="str">
            <v>34191.09115 82567.512932 85972.140009 7 11440000009661</v>
          </cell>
          <cell r="AF95" t="str">
            <v>IGREJA DO EVANGELHO QUADRANGULAR</v>
          </cell>
          <cell r="AL95">
            <v>126</v>
          </cell>
          <cell r="AM95">
            <v>1.1748901098901101</v>
          </cell>
          <cell r="AN95">
            <v>148.03615384615387</v>
          </cell>
          <cell r="AO95">
            <v>1.1264285714285716</v>
          </cell>
          <cell r="AX95">
            <v>100</v>
          </cell>
          <cell r="AY95">
            <v>1.1309615384615384</v>
          </cell>
          <cell r="AZ95">
            <v>-113.09615384615384</v>
          </cell>
          <cell r="BA95">
            <v>1.1263999999999998</v>
          </cell>
          <cell r="DR95">
            <v>100</v>
          </cell>
          <cell r="DS95">
            <v>1.1748615384615384</v>
          </cell>
          <cell r="DT95">
            <v>-117.48615384615384</v>
          </cell>
          <cell r="DU95">
            <v>1.1263999999999998</v>
          </cell>
          <cell r="ET95">
            <v>100</v>
          </cell>
          <cell r="EX95">
            <v>200</v>
          </cell>
          <cell r="EZ95">
            <v>1.26</v>
          </cell>
          <cell r="FA95">
            <v>61.67</v>
          </cell>
          <cell r="FL95">
            <v>4.3899999999999997</v>
          </cell>
          <cell r="FM95">
            <v>25.38</v>
          </cell>
          <cell r="FN95">
            <v>4.9954999999999999E-2</v>
          </cell>
          <cell r="FO95">
            <v>1.25</v>
          </cell>
          <cell r="FP95">
            <v>25.38</v>
          </cell>
          <cell r="FQ95">
            <v>1.0845E-2</v>
          </cell>
          <cell r="FR95">
            <v>0.28999999999999998</v>
          </cell>
          <cell r="FS95">
            <v>30.55</v>
          </cell>
          <cell r="FT95">
            <v>0.17</v>
          </cell>
          <cell r="FU95">
            <v>5.19</v>
          </cell>
          <cell r="GD95">
            <v>126</v>
          </cell>
          <cell r="GE95">
            <v>19521</v>
          </cell>
          <cell r="GF95">
            <v>19395</v>
          </cell>
          <cell r="GG95">
            <v>1</v>
          </cell>
          <cell r="HU95">
            <v>153</v>
          </cell>
          <cell r="HY95">
            <v>179</v>
          </cell>
          <cell r="IC95">
            <v>153</v>
          </cell>
          <cell r="IG95">
            <v>172</v>
          </cell>
          <cell r="IK95">
            <v>171</v>
          </cell>
          <cell r="IO95">
            <v>156</v>
          </cell>
          <cell r="IS95">
            <v>146</v>
          </cell>
          <cell r="IW95">
            <v>155</v>
          </cell>
        </row>
        <row r="96">
          <cell r="A96" t="str">
            <v/>
          </cell>
          <cell r="B96" t="str">
            <v>10/532081-7</v>
          </cell>
          <cell r="C96" t="str">
            <v>2ª IEQ de Amambai 1935</v>
          </cell>
          <cell r="F96" t="str">
            <v>energisa_ms</v>
          </cell>
          <cell r="G96" t="str">
            <v>2ª IEQ de Amambai 1935</v>
          </cell>
          <cell r="H96" t="str">
            <v>Igreja do Evangelho Quadrangular</v>
          </cell>
          <cell r="I96">
            <v>45809</v>
          </cell>
          <cell r="J96" t="str">
            <v>COMERCIAL - TEMPLOS RELIGIOSOS</v>
          </cell>
          <cell r="K96" t="str">
            <v>79990000</v>
          </cell>
          <cell r="L96" t="str">
            <v>MS</v>
          </cell>
          <cell r="M96" t="str">
            <v>AMAMBAI</v>
          </cell>
          <cell r="N96" t="str">
            <v>CENTRO</v>
          </cell>
          <cell r="O96" t="str">
            <v>RUA CASSIANO MARCELO, 923 - 06.036.17.123000</v>
          </cell>
          <cell r="P96">
            <v>45841</v>
          </cell>
          <cell r="Q96" t="str">
            <v>B - B3</v>
          </cell>
          <cell r="R96" t="str">
            <v>62955505193534</v>
          </cell>
          <cell r="U96">
            <v>45786</v>
          </cell>
          <cell r="V96">
            <v>45817</v>
          </cell>
          <cell r="W96">
            <v>45847</v>
          </cell>
          <cell r="X96">
            <v>45875</v>
          </cell>
          <cell r="AA96" t="str">
            <v>010.943.159-002</v>
          </cell>
          <cell r="AB96" t="str">
            <v>trifasico</v>
          </cell>
          <cell r="AC96" t="str">
            <v>convencional</v>
          </cell>
          <cell r="AD96">
            <v>163.93</v>
          </cell>
          <cell r="AE96" t="str">
            <v>34191.09115 82566.452932 85972.140009 9 11650000016393</v>
          </cell>
          <cell r="AF96" t="str">
            <v>IGREJA DO EVANGELHO QUADRANGULAR</v>
          </cell>
          <cell r="AL96">
            <v>225</v>
          </cell>
          <cell r="AM96">
            <v>1.1601000000000001</v>
          </cell>
          <cell r="AN96">
            <v>261.02250000000004</v>
          </cell>
          <cell r="AO96">
            <v>1.1264000000000001</v>
          </cell>
          <cell r="AX96">
            <v>125</v>
          </cell>
          <cell r="AY96">
            <v>1.1601000000000001</v>
          </cell>
          <cell r="AZ96">
            <v>-145.01250000000002</v>
          </cell>
          <cell r="BA96">
            <v>1.1264000000000001</v>
          </cell>
          <cell r="DR96">
            <v>125</v>
          </cell>
          <cell r="DS96">
            <v>1.1601000000000001</v>
          </cell>
          <cell r="DT96">
            <v>-145.01250000000002</v>
          </cell>
          <cell r="DU96">
            <v>1.1264000000000001</v>
          </cell>
          <cell r="ET96">
            <v>125</v>
          </cell>
          <cell r="EX96">
            <v>335</v>
          </cell>
          <cell r="EZ96">
            <v>3.37</v>
          </cell>
          <cell r="FA96">
            <v>47.92</v>
          </cell>
          <cell r="FM96">
            <v>96.3</v>
          </cell>
          <cell r="FN96">
            <v>4.9954999999999999E-2</v>
          </cell>
          <cell r="FO96">
            <v>4.8099999999999996</v>
          </cell>
          <cell r="FP96">
            <v>96.3</v>
          </cell>
          <cell r="FQ96">
            <v>1.0845E-2</v>
          </cell>
          <cell r="FR96">
            <v>1.03</v>
          </cell>
          <cell r="FS96">
            <v>116.01</v>
          </cell>
          <cell r="FT96">
            <v>0.17</v>
          </cell>
          <cell r="FU96">
            <v>19.72</v>
          </cell>
          <cell r="GD96">
            <v>225</v>
          </cell>
          <cell r="GE96">
            <v>18245</v>
          </cell>
          <cell r="GF96">
            <v>18020</v>
          </cell>
          <cell r="GG96">
            <v>1</v>
          </cell>
          <cell r="HU96">
            <v>224</v>
          </cell>
          <cell r="HY96">
            <v>342</v>
          </cell>
          <cell r="IC96">
            <v>531</v>
          </cell>
          <cell r="IG96">
            <v>556</v>
          </cell>
          <cell r="IK96">
            <v>379</v>
          </cell>
          <cell r="IO96">
            <v>437</v>
          </cell>
          <cell r="IS96">
            <v>296</v>
          </cell>
          <cell r="IW96">
            <v>300</v>
          </cell>
        </row>
        <row r="97">
          <cell r="A97" t="str">
            <v>10/2621883-4</v>
          </cell>
          <cell r="B97" t="str">
            <v>10/2621883-4</v>
          </cell>
          <cell r="F97" t="str">
            <v>energisa_ms</v>
          </cell>
          <cell r="H97" t="str">
            <v>10/2621883-4</v>
          </cell>
          <cell r="I97">
            <v>45809</v>
          </cell>
          <cell r="J97" t="str">
            <v>COMERCIAL - TEMPLOS RELIGIOSOS</v>
          </cell>
          <cell r="K97" t="str">
            <v>79880000</v>
          </cell>
          <cell r="L97" t="str">
            <v>MS</v>
          </cell>
          <cell r="M97" t="str">
            <v>DOURADINA</v>
          </cell>
          <cell r="N97" t="str">
            <v>RURAL</v>
          </cell>
          <cell r="O97" t="str">
            <v>RUA JOSE FRANCISCO DA CRUZ, 0 - LT28 QD22</v>
          </cell>
          <cell r="P97">
            <v>45841</v>
          </cell>
          <cell r="Q97" t="str">
            <v>B - B3</v>
          </cell>
          <cell r="R97" t="str">
            <v>62955505091456</v>
          </cell>
          <cell r="U97">
            <v>45790</v>
          </cell>
          <cell r="V97">
            <v>45819</v>
          </cell>
          <cell r="W97">
            <v>45849</v>
          </cell>
          <cell r="X97">
            <v>45848</v>
          </cell>
          <cell r="AA97" t="str">
            <v>010.943.171-002</v>
          </cell>
          <cell r="AB97" t="str">
            <v>trifasico</v>
          </cell>
          <cell r="AC97" t="str">
            <v>convencional</v>
          </cell>
          <cell r="AD97">
            <v>148.26</v>
          </cell>
          <cell r="AE97" t="str">
            <v>34191.09115 82569.182932 85972.140009 5 11380000014826</v>
          </cell>
          <cell r="AF97" t="str">
            <v>IGREJA DO EVANGELHO QUADRANGULAR</v>
          </cell>
          <cell r="AI97">
            <v>100</v>
          </cell>
          <cell r="AJ97">
            <v>1.163</v>
          </cell>
          <cell r="AK97">
            <v>116.3</v>
          </cell>
          <cell r="AL97">
            <v>0</v>
          </cell>
          <cell r="AM97">
            <v>1.163</v>
          </cell>
          <cell r="AN97">
            <v>0</v>
          </cell>
          <cell r="EV97">
            <v>17434</v>
          </cell>
          <cell r="EW97">
            <v>17434</v>
          </cell>
          <cell r="EX97">
            <v>4398</v>
          </cell>
          <cell r="EZ97">
            <v>3.66</v>
          </cell>
          <cell r="FA97">
            <v>28.97</v>
          </cell>
          <cell r="FC97">
            <v>2.99</v>
          </cell>
          <cell r="FM97">
            <v>96.5</v>
          </cell>
          <cell r="FN97">
            <v>4.9954999999999999E-2</v>
          </cell>
          <cell r="FO97">
            <v>4.82</v>
          </cell>
          <cell r="FP97">
            <v>96.5</v>
          </cell>
          <cell r="FQ97">
            <v>1.0845E-2</v>
          </cell>
          <cell r="FR97">
            <v>1.04</v>
          </cell>
          <cell r="FS97">
            <v>116.3</v>
          </cell>
          <cell r="FT97">
            <v>0.17</v>
          </cell>
          <cell r="FU97">
            <v>19.77</v>
          </cell>
          <cell r="GD97">
            <v>83</v>
          </cell>
          <cell r="GE97">
            <v>722</v>
          </cell>
          <cell r="GF97">
            <v>639</v>
          </cell>
          <cell r="GG97">
            <v>1</v>
          </cell>
          <cell r="HP97">
            <v>17434</v>
          </cell>
          <cell r="HQ97">
            <v>231329</v>
          </cell>
          <cell r="HR97">
            <v>213895</v>
          </cell>
          <cell r="HS97">
            <v>1</v>
          </cell>
          <cell r="HU97">
            <v>41</v>
          </cell>
          <cell r="HY97">
            <v>49</v>
          </cell>
          <cell r="IC97">
            <v>79</v>
          </cell>
          <cell r="IG97">
            <v>70</v>
          </cell>
          <cell r="IK97">
            <v>53</v>
          </cell>
          <cell r="IO97">
            <v>54</v>
          </cell>
          <cell r="IS97">
            <v>42</v>
          </cell>
          <cell r="IW97">
            <v>28</v>
          </cell>
        </row>
        <row r="98">
          <cell r="A98" t="str">
            <v/>
          </cell>
          <cell r="B98" t="str">
            <v>10/191945-5</v>
          </cell>
          <cell r="C98" t="str">
            <v>Cassilandia 2157-91</v>
          </cell>
          <cell r="F98" t="str">
            <v>energisa_ms</v>
          </cell>
          <cell r="G98" t="str">
            <v>Cassilandia 2157-91</v>
          </cell>
          <cell r="H98" t="str">
            <v>Igreja do Evangelho Quadrangular</v>
          </cell>
          <cell r="I98">
            <v>45809</v>
          </cell>
          <cell r="J98" t="str">
            <v>RESIDENCIAL - RESIDENCIAL</v>
          </cell>
          <cell r="K98" t="str">
            <v>79540000</v>
          </cell>
          <cell r="L98" t="str">
            <v>MS</v>
          </cell>
          <cell r="M98" t="str">
            <v>CASSILANDIA</v>
          </cell>
          <cell r="N98" t="str">
            <v>CENTRO</v>
          </cell>
          <cell r="O98" t="str">
            <v>RUA GOIAS, 1000 - 06.044.03.335000</v>
          </cell>
          <cell r="P98">
            <v>45841</v>
          </cell>
          <cell r="Q98" t="str">
            <v>B - B1</v>
          </cell>
          <cell r="R98" t="str">
            <v>62955505215791</v>
          </cell>
          <cell r="U98">
            <v>45804</v>
          </cell>
          <cell r="V98">
            <v>45834</v>
          </cell>
          <cell r="W98">
            <v>45863</v>
          </cell>
          <cell r="X98">
            <v>45848</v>
          </cell>
          <cell r="AA98" t="str">
            <v>010.943.144-002</v>
          </cell>
          <cell r="AB98" t="str">
            <v>trifasico</v>
          </cell>
          <cell r="AC98" t="str">
            <v>convencional</v>
          </cell>
          <cell r="AD98">
            <v>210.45</v>
          </cell>
          <cell r="AE98" t="str">
            <v>34191.09115 82564.882932 85972.140009 7 11380000021045</v>
          </cell>
          <cell r="AF98" t="str">
            <v>IGREJA DO EVANGELHO QUADRANGULAR</v>
          </cell>
          <cell r="AL98">
            <v>429</v>
          </cell>
          <cell r="AM98">
            <v>1.1793335664335665</v>
          </cell>
          <cell r="AN98">
            <v>505.9341</v>
          </cell>
          <cell r="AO98">
            <v>1.1264335664335665</v>
          </cell>
          <cell r="AX98">
            <v>329</v>
          </cell>
          <cell r="AY98">
            <v>1.1793133738601822</v>
          </cell>
          <cell r="AZ98">
            <v>-387.99409999999995</v>
          </cell>
          <cell r="BA98">
            <v>1.1264133738601823</v>
          </cell>
          <cell r="DR98">
            <v>329</v>
          </cell>
          <cell r="DS98">
            <v>1.1793133738601822</v>
          </cell>
          <cell r="DT98">
            <v>-387.99409999999995</v>
          </cell>
          <cell r="DU98">
            <v>1.1264133738601823</v>
          </cell>
          <cell r="ET98">
            <v>329</v>
          </cell>
          <cell r="EX98">
            <v>662</v>
          </cell>
          <cell r="EZ98">
            <v>5.29</v>
          </cell>
          <cell r="FA98">
            <v>92.51</v>
          </cell>
          <cell r="FM98">
            <v>97.89</v>
          </cell>
          <cell r="FN98">
            <v>4.9954999999999999E-2</v>
          </cell>
          <cell r="FO98">
            <v>4.9000000000000004</v>
          </cell>
          <cell r="FP98">
            <v>97.89</v>
          </cell>
          <cell r="FQ98">
            <v>1.0845E-2</v>
          </cell>
          <cell r="FR98">
            <v>1.06</v>
          </cell>
          <cell r="FS98">
            <v>117.94</v>
          </cell>
          <cell r="FT98">
            <v>0.17</v>
          </cell>
          <cell r="FU98">
            <v>20.04</v>
          </cell>
          <cell r="GD98">
            <v>429</v>
          </cell>
          <cell r="GE98">
            <v>73926</v>
          </cell>
          <cell r="GF98">
            <v>73497</v>
          </cell>
          <cell r="GG98">
            <v>1</v>
          </cell>
          <cell r="HU98">
            <v>622</v>
          </cell>
          <cell r="HY98">
            <v>769</v>
          </cell>
          <cell r="IC98">
            <v>878</v>
          </cell>
          <cell r="IG98">
            <v>863</v>
          </cell>
          <cell r="IK98">
            <v>876</v>
          </cell>
          <cell r="IO98">
            <v>984</v>
          </cell>
          <cell r="IS98">
            <v>983</v>
          </cell>
          <cell r="IW98">
            <v>890</v>
          </cell>
        </row>
        <row r="99">
          <cell r="A99" t="str">
            <v/>
          </cell>
          <cell r="B99" t="str">
            <v>10/1698130-0</v>
          </cell>
          <cell r="C99" t="str">
            <v>Ribas do Rio Pardo 62552</v>
          </cell>
          <cell r="F99" t="str">
            <v>energisa_ms</v>
          </cell>
          <cell r="G99" t="str">
            <v>Ribas do Rio Pardo 62552</v>
          </cell>
          <cell r="H99" t="str">
            <v>Igreja do Evangelho Quadrangular</v>
          </cell>
          <cell r="I99">
            <v>45809</v>
          </cell>
          <cell r="J99" t="str">
            <v>COMERCIAL - COMERCIAL</v>
          </cell>
          <cell r="K99" t="str">
            <v>79180000</v>
          </cell>
          <cell r="L99" t="str">
            <v>MS</v>
          </cell>
          <cell r="M99" t="str">
            <v>RIBAS DO RIO PARDO</v>
          </cell>
          <cell r="N99" t="str">
            <v>CENTRO</v>
          </cell>
          <cell r="O99" t="str">
            <v>RUA DOMINGOS GONCALVES GOMES, 2079 - Q 08 L 02 11.023.09.544000</v>
          </cell>
          <cell r="P99">
            <v>45841</v>
          </cell>
          <cell r="Q99" t="str">
            <v>B - B3</v>
          </cell>
          <cell r="R99" t="str">
            <v>62955505461210</v>
          </cell>
          <cell r="U99">
            <v>45789</v>
          </cell>
          <cell r="V99">
            <v>45818</v>
          </cell>
          <cell r="W99">
            <v>45848</v>
          </cell>
          <cell r="X99">
            <v>45848</v>
          </cell>
          <cell r="AA99" t="str">
            <v>010.943.164-002</v>
          </cell>
          <cell r="AB99" t="str">
            <v>trifasico</v>
          </cell>
          <cell r="AC99" t="str">
            <v>convencional</v>
          </cell>
          <cell r="AD99">
            <v>184.03</v>
          </cell>
          <cell r="AE99" t="str">
            <v>34191.09115 82568.352932 85972.140009 1 11380000018403</v>
          </cell>
          <cell r="AF99" t="str">
            <v>IGREJA DO EVANGELHO QUADRANGULAR</v>
          </cell>
          <cell r="AL99">
            <v>210</v>
          </cell>
          <cell r="AM99">
            <v>1.1618285714285717</v>
          </cell>
          <cell r="AN99">
            <v>243.98400000000004</v>
          </cell>
          <cell r="AO99">
            <v>1.1264285714285716</v>
          </cell>
          <cell r="AX99">
            <v>110</v>
          </cell>
          <cell r="AY99">
            <v>1.1617636363636366</v>
          </cell>
          <cell r="AZ99">
            <v>-127.79400000000003</v>
          </cell>
          <cell r="BA99">
            <v>1.1263636363636365</v>
          </cell>
          <cell r="DR99">
            <v>110</v>
          </cell>
          <cell r="DS99">
            <v>1.1617636363636366</v>
          </cell>
          <cell r="DT99">
            <v>-127.79400000000003</v>
          </cell>
          <cell r="DU99">
            <v>1.1263636363636365</v>
          </cell>
          <cell r="ET99">
            <v>110</v>
          </cell>
          <cell r="EX99">
            <v>218</v>
          </cell>
          <cell r="EZ99">
            <v>3.54</v>
          </cell>
          <cell r="FA99">
            <v>67.84</v>
          </cell>
          <cell r="FM99">
            <v>96.44</v>
          </cell>
          <cell r="FN99">
            <v>4.9954999999999999E-2</v>
          </cell>
          <cell r="FO99">
            <v>4.82</v>
          </cell>
          <cell r="FP99">
            <v>96.44</v>
          </cell>
          <cell r="FQ99">
            <v>1.0845E-2</v>
          </cell>
          <cell r="FR99">
            <v>1.06</v>
          </cell>
          <cell r="FS99">
            <v>116.19</v>
          </cell>
          <cell r="FT99">
            <v>0.17</v>
          </cell>
          <cell r="FU99">
            <v>19.75</v>
          </cell>
          <cell r="GD99">
            <v>210</v>
          </cell>
          <cell r="GE99">
            <v>96214</v>
          </cell>
          <cell r="GF99">
            <v>96004</v>
          </cell>
          <cell r="GG99">
            <v>1</v>
          </cell>
          <cell r="HU99">
            <v>245</v>
          </cell>
          <cell r="HY99">
            <v>340</v>
          </cell>
          <cell r="IC99">
            <v>327</v>
          </cell>
          <cell r="IG99">
            <v>371</v>
          </cell>
          <cell r="IK99">
            <v>339</v>
          </cell>
          <cell r="IO99">
            <v>323</v>
          </cell>
          <cell r="IS99">
            <v>283</v>
          </cell>
          <cell r="IW99">
            <v>348</v>
          </cell>
        </row>
        <row r="100">
          <cell r="A100" t="str">
            <v/>
          </cell>
          <cell r="B100" t="str">
            <v>10/2605731-5</v>
          </cell>
          <cell r="C100" t="str">
            <v>17213</v>
          </cell>
          <cell r="F100" t="str">
            <v>energisa_ms</v>
          </cell>
          <cell r="G100" t="str">
            <v>17213</v>
          </cell>
          <cell r="H100" t="str">
            <v>Igreja do Evangelho Quadrangular</v>
          </cell>
          <cell r="I100">
            <v>45809</v>
          </cell>
          <cell r="J100" t="str">
            <v>RESIDENCIAL - RESIDENCIAL</v>
          </cell>
          <cell r="K100" t="str">
            <v>79290000</v>
          </cell>
          <cell r="L100" t="str">
            <v>MS</v>
          </cell>
          <cell r="M100" t="str">
            <v>BONITO</v>
          </cell>
          <cell r="N100" t="str">
            <v>CENTRO</v>
          </cell>
          <cell r="O100" t="str">
            <v>RUA LUIZ DA COSTA LEITE, 2177 - -16.061.05.129002</v>
          </cell>
          <cell r="P100">
            <v>45841</v>
          </cell>
          <cell r="Q100" t="str">
            <v>B - B1</v>
          </cell>
          <cell r="R100" t="str">
            <v>62955505017213</v>
          </cell>
          <cell r="U100">
            <v>45804</v>
          </cell>
          <cell r="V100">
            <v>45834</v>
          </cell>
          <cell r="W100">
            <v>45863</v>
          </cell>
          <cell r="X100">
            <v>45859</v>
          </cell>
          <cell r="AA100" t="str">
            <v>010.943.170-002</v>
          </cell>
          <cell r="AB100" t="str">
            <v>trifasico</v>
          </cell>
          <cell r="AC100" t="str">
            <v>convencional</v>
          </cell>
          <cell r="AD100">
            <v>179.6</v>
          </cell>
          <cell r="AE100" t="str">
            <v>34191.09115 82568.922932 85972.140009 4 11490000017960</v>
          </cell>
          <cell r="AF100" t="str">
            <v>IGREJA DO EVANGELHO QUADRANGULAR</v>
          </cell>
          <cell r="AL100">
            <v>517</v>
          </cell>
          <cell r="AM100">
            <v>1.17932166344294</v>
          </cell>
          <cell r="AN100">
            <v>609.70929999999998</v>
          </cell>
          <cell r="AO100">
            <v>1.12642166344294</v>
          </cell>
          <cell r="AX100">
            <v>417</v>
          </cell>
          <cell r="AY100">
            <v>1.1793268585131895</v>
          </cell>
          <cell r="AZ100">
            <v>-491.77930000000003</v>
          </cell>
          <cell r="BA100">
            <v>1.1264268585131896</v>
          </cell>
          <cell r="DR100">
            <v>417</v>
          </cell>
          <cell r="DS100">
            <v>1.1793268585131895</v>
          </cell>
          <cell r="DT100">
            <v>-491.77930000000003</v>
          </cell>
          <cell r="DU100">
            <v>1.1264268585131896</v>
          </cell>
          <cell r="ET100">
            <v>417</v>
          </cell>
          <cell r="EX100">
            <v>988</v>
          </cell>
          <cell r="EZ100">
            <v>5.29</v>
          </cell>
          <cell r="FA100">
            <v>61.67</v>
          </cell>
          <cell r="FM100">
            <v>97.89</v>
          </cell>
          <cell r="FN100">
            <v>4.9954999999999999E-2</v>
          </cell>
          <cell r="FO100">
            <v>4.8899999999999997</v>
          </cell>
          <cell r="FP100">
            <v>97.89</v>
          </cell>
          <cell r="FQ100">
            <v>1.0845E-2</v>
          </cell>
          <cell r="FR100">
            <v>1.06</v>
          </cell>
          <cell r="FS100">
            <v>117.93</v>
          </cell>
          <cell r="FT100">
            <v>0.17</v>
          </cell>
          <cell r="FU100">
            <v>20.04</v>
          </cell>
          <cell r="GD100">
            <v>517</v>
          </cell>
          <cell r="GE100">
            <v>64080</v>
          </cell>
          <cell r="GF100">
            <v>63563</v>
          </cell>
          <cell r="GG100">
            <v>1</v>
          </cell>
          <cell r="HU100">
            <v>774</v>
          </cell>
          <cell r="HY100">
            <v>1008</v>
          </cell>
          <cell r="IC100">
            <v>995</v>
          </cell>
          <cell r="IG100">
            <v>1598</v>
          </cell>
          <cell r="IK100">
            <v>1719</v>
          </cell>
          <cell r="IO100">
            <v>1255</v>
          </cell>
          <cell r="IS100">
            <v>1124</v>
          </cell>
          <cell r="IW100">
            <v>1206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1">
          <cell r="A1" t="str">
            <v>identificacao</v>
          </cell>
          <cell r="B1" t="str">
            <v>instalacao</v>
          </cell>
          <cell r="C1" t="str">
            <v>nome</v>
          </cell>
          <cell r="D1" t="str">
            <v>dataAberturaContrato</v>
          </cell>
          <cell r="E1" t="str">
            <v>dataEncerramentoContrato</v>
          </cell>
          <cell r="F1" t="str">
            <v>distribuidora</v>
          </cell>
          <cell r="G1" t="str">
            <v>nomeFantasia</v>
          </cell>
          <cell r="H1" t="str">
            <v>razaoSocial</v>
          </cell>
          <cell r="I1" t="str">
            <v>referencia</v>
          </cell>
          <cell r="J1" t="str">
            <v>classeSubclasse</v>
          </cell>
          <cell r="K1" t="str">
            <v>cep</v>
          </cell>
          <cell r="L1" t="str">
            <v>uf</v>
          </cell>
          <cell r="M1" t="str">
            <v>cidade</v>
          </cell>
          <cell r="N1" t="str">
            <v>bairro</v>
          </cell>
          <cell r="O1" t="str">
            <v>endereco</v>
          </cell>
          <cell r="P1" t="str">
            <v>dataEmissao</v>
          </cell>
          <cell r="Q1" t="str">
            <v>grupoSubgrupo</v>
          </cell>
          <cell r="R1" t="str">
            <v>cnpj</v>
          </cell>
          <cell r="S1" t="str">
            <v>codigoCliente</v>
          </cell>
          <cell r="T1" t="str">
            <v>contaContrato</v>
          </cell>
          <cell r="U1" t="str">
            <v>dataLeituraAnterior</v>
          </cell>
          <cell r="V1" t="str">
            <v>dataLeituraAtual</v>
          </cell>
          <cell r="W1" t="str">
            <v>dataLeituraProxima</v>
          </cell>
          <cell r="X1" t="str">
            <v>dataVencimento</v>
          </cell>
          <cell r="Y1" t="str">
            <v>medidor</v>
          </cell>
          <cell r="Z1" t="str">
            <v>debitoAutomaticoAtivo</v>
          </cell>
          <cell r="AA1" t="str">
            <v>notaFiscal</v>
          </cell>
          <cell r="AB1" t="str">
            <v>tipoFornecimento</v>
          </cell>
          <cell r="AC1" t="str">
            <v>modalidadeTarifaria</v>
          </cell>
          <cell r="AD1" t="str">
            <v>valorTotal</v>
          </cell>
          <cell r="AE1" t="str">
            <v>codigoBarras</v>
          </cell>
          <cell r="AF1" t="str">
            <v>titularidade</v>
          </cell>
          <cell r="AG1" t="str">
            <v>codigoDebitoAutomatico</v>
          </cell>
          <cell r="AH1" t="str">
            <v>faturaSimplificada</v>
          </cell>
          <cell r="AI1" t="str">
            <v>Custo disponibilidade - quantidade</v>
          </cell>
          <cell r="AJ1" t="str">
            <v>Custo disponibilidade - tarifa</v>
          </cell>
          <cell r="AK1" t="str">
            <v>Custo disponibilidade - valor</v>
          </cell>
          <cell r="AL1" t="str">
            <v>Energia consumida - Fora ponta - quantidade</v>
          </cell>
          <cell r="AM1" t="str">
            <v>Energia consumida - Fora ponta - tarifa</v>
          </cell>
          <cell r="AN1" t="str">
            <v>Energia consumida - Fora ponta - valor</v>
          </cell>
          <cell r="AO1" t="str">
            <v>Energia consumida - Fora ponta - tarifa com imposto sem bandeira</v>
          </cell>
          <cell r="AP1" t="str">
            <v>Energia consumida - Ponta - quantidade</v>
          </cell>
          <cell r="AQ1" t="str">
            <v>Energia consumida - Ponta - tarifa</v>
          </cell>
          <cell r="AR1" t="str">
            <v>Energia consumida - Ponta - valor</v>
          </cell>
          <cell r="AS1" t="str">
            <v>Energia consumida - Ponta - tarifa com imposto sem bandeira</v>
          </cell>
          <cell r="AT1" t="str">
            <v>Energia consumida - Intermediario - quantidade</v>
          </cell>
          <cell r="AU1" t="str">
            <v>Energia consumida - Intermediario - tarifa</v>
          </cell>
          <cell r="AV1" t="str">
            <v>Energia consumida - Intermediario - valor</v>
          </cell>
          <cell r="AW1" t="str">
            <v>Energia consumida - Intermediario - tarifa com imposto sem bandeira</v>
          </cell>
          <cell r="AX1" t="str">
            <v>Creditos consumidos - Fora ponta - quantidade</v>
          </cell>
          <cell r="AY1" t="str">
            <v>Creditos consumidos - Fora ponta - tarifa</v>
          </cell>
          <cell r="AZ1" t="str">
            <v>Creditos consumidos - Fora ponta - valor</v>
          </cell>
          <cell r="BA1" t="str">
            <v>Creditos consumidos - Fora ponta - tarifa com imposto sem bandeira</v>
          </cell>
          <cell r="BB1" t="str">
            <v>Creditos consumidos - Ponta - quantidade</v>
          </cell>
          <cell r="BC1" t="str">
            <v>Creditos consumidos - Ponta - tarifa</v>
          </cell>
          <cell r="BD1" t="str">
            <v>Creditos consumidos - Ponta - valor</v>
          </cell>
          <cell r="BE1" t="str">
            <v>Creditos consumidos - Ponta - tarifa com imposto sem bandeira</v>
          </cell>
          <cell r="BF1" t="str">
            <v>Energia consumida abatida - Fora ponta - quantidade</v>
          </cell>
          <cell r="BG1" t="str">
            <v>Energia consumida abatida - Fora ponta - tarifa</v>
          </cell>
          <cell r="BH1" t="str">
            <v>Energia consumida abatida - Fora ponta - valor</v>
          </cell>
          <cell r="BI1" t="str">
            <v>Energia consumida abatida - Fora ponta - tarifa com imposto sem bandeira</v>
          </cell>
          <cell r="BJ1" t="str">
            <v>Energia consumida abatida - Ponta - quantidade</v>
          </cell>
          <cell r="BK1" t="str">
            <v>Energia consumida abatida - Ponta - tarifa</v>
          </cell>
          <cell r="BL1" t="str">
            <v>Energia consumida abatida - Ponta - valor</v>
          </cell>
          <cell r="BM1" t="str">
            <v>Energia consumida abatida - Ponta - tarifa com imposto sem bandeira</v>
          </cell>
          <cell r="BN1" t="str">
            <v>Demanda ativa - Fora ponta - quantidade</v>
          </cell>
          <cell r="BO1" t="str">
            <v>Demanda ativa - Fora ponta - tarifa</v>
          </cell>
          <cell r="BP1" t="str">
            <v>Demanda ativa - Fora ponta - valor</v>
          </cell>
          <cell r="BQ1" t="str">
            <v>Demanda ativa - Fora ponta - tarifa com imposto sem bandeira</v>
          </cell>
          <cell r="BR1" t="str">
            <v>Demanda ativa - Ponta - quantidade</v>
          </cell>
          <cell r="BS1" t="str">
            <v>Demanda ativa - Ponta - tarifa</v>
          </cell>
          <cell r="BT1" t="str">
            <v>Demanda ativa - Ponta - valor</v>
          </cell>
          <cell r="BU1" t="str">
            <v>Demanda ativa - Ponta - tarifa com imposto sem bandeira</v>
          </cell>
          <cell r="BV1" t="str">
            <v>Demanda sem icms - Fora ponta - quantidade</v>
          </cell>
          <cell r="BW1" t="str">
            <v>Demanda sem icms - Fora ponta - tarifa</v>
          </cell>
          <cell r="BX1" t="str">
            <v>Demanda sem icms - Fora ponta - valor</v>
          </cell>
          <cell r="BY1" t="str">
            <v>Demanda sem icms - Fora ponta - tarifa com imposto sem bandeira</v>
          </cell>
          <cell r="BZ1" t="str">
            <v>Demanda sem icms - Ponta - quantidade</v>
          </cell>
          <cell r="CA1" t="str">
            <v>Demanda sem icms - Ponta - tarifa</v>
          </cell>
          <cell r="CB1" t="str">
            <v>Demanda sem icms - Ponta - valor</v>
          </cell>
          <cell r="CC1" t="str">
            <v>Demanda sem icms - Ponta - tarifa com imposto sem bandeira</v>
          </cell>
          <cell r="CD1" t="str">
            <v>Ultrapassagem demanda - Fora ponta - quantidade</v>
          </cell>
          <cell r="CE1" t="str">
            <v>Ultrapassagem demanda - Fora ponta - tarifa</v>
          </cell>
          <cell r="CF1" t="str">
            <v>Ultrapassagem demanda - Fora ponta - valor</v>
          </cell>
          <cell r="CG1" t="str">
            <v>Ultrapassagem demanda - Fora ponta - tarifa com imposto sem bandeira</v>
          </cell>
          <cell r="CH1" t="str">
            <v>Ultrapassagem demanda - Ponta - quantidade</v>
          </cell>
          <cell r="CI1" t="str">
            <v>Ultrapassagem demanda - Ponta - tarifa</v>
          </cell>
          <cell r="CJ1" t="str">
            <v>Ultrapassagem demanda - Ponta - valor</v>
          </cell>
          <cell r="CK1" t="str">
            <v>Ultrapassagem demanda - Ponta - tarifa com imposto sem bandeira</v>
          </cell>
          <cell r="CL1" t="str">
            <v>Energia reativa - Fora ponta - quantidade</v>
          </cell>
          <cell r="CM1" t="str">
            <v>Energia reativa - Fora ponta - tarifa</v>
          </cell>
          <cell r="CN1" t="str">
            <v>Energia reativa - Fora ponta - valor</v>
          </cell>
          <cell r="CO1" t="str">
            <v>Energia reativa - Fora ponta - tarifa com imposto sem bandeira</v>
          </cell>
          <cell r="CP1" t="str">
            <v>Energia reativa - Ponta - quantidade</v>
          </cell>
          <cell r="CQ1" t="str">
            <v>Energia reativa - Ponta - tarifa</v>
          </cell>
          <cell r="CR1" t="str">
            <v>Energia reativa - Ponta - valor</v>
          </cell>
          <cell r="CS1" t="str">
            <v>Energia reativa - Ponta - tarifa com imposto sem bandeira</v>
          </cell>
          <cell r="CT1" t="str">
            <v>Demanda reativa - Fora ponta - quantidade</v>
          </cell>
          <cell r="CU1" t="str">
            <v>Demanda reativa - Fora ponta - tarifa</v>
          </cell>
          <cell r="CV1" t="str">
            <v>Demanda reativa - Fora ponta - valor</v>
          </cell>
          <cell r="CW1" t="str">
            <v>Demanda reativa - Fora ponta - tarifa com imposto sem bandeira</v>
          </cell>
          <cell r="CX1" t="str">
            <v>Demanda reativa - Ponta - quantidade</v>
          </cell>
          <cell r="CY1" t="str">
            <v>Demanda reativa - Ponta - tarifa</v>
          </cell>
          <cell r="CZ1" t="str">
            <v>Demanda reativa - Ponta - valor</v>
          </cell>
          <cell r="DA1" t="str">
            <v>Demanda reativa - Ponta - tarifa com imposto sem bandeira</v>
          </cell>
          <cell r="DB1" t="str">
            <v>Energia comercializada - Fora ponta - quantidade</v>
          </cell>
          <cell r="DC1" t="str">
            <v>Energia comercializada - Fora ponta - tarifa</v>
          </cell>
          <cell r="DD1" t="str">
            <v>Energia comercializada - Fora ponta - valor</v>
          </cell>
          <cell r="DE1" t="str">
            <v>Energia comercializada - Fora ponta - tarifa com imposto sem bandeira</v>
          </cell>
          <cell r="DF1" t="str">
            <v>Energia comercializada - Ponta - quantidade</v>
          </cell>
          <cell r="DG1" t="str">
            <v>Energia comercializada - Ponta - tarifa</v>
          </cell>
          <cell r="DH1" t="str">
            <v>Energia comercializada - Ponta - valor</v>
          </cell>
          <cell r="DI1" t="str">
            <v>Energia comercializada - Ponta - tarifa com imposto sem bandeira</v>
          </cell>
          <cell r="DJ1" t="str">
            <v>Energia gerada - Fora ponta - quantidade</v>
          </cell>
          <cell r="DK1" t="str">
            <v>Energia gerada - Fora ponta - tarifa</v>
          </cell>
          <cell r="DL1" t="str">
            <v>Energia gerada - Fora ponta - valor</v>
          </cell>
          <cell r="DM1" t="str">
            <v>Energia gerada - Fora ponta - tarifa com imposto sem bandeira</v>
          </cell>
          <cell r="DN1" t="str">
            <v>Energia gerada - Ponta - quantidade</v>
          </cell>
          <cell r="DO1" t="str">
            <v>Energia gerada - Ponta - tarifa</v>
          </cell>
          <cell r="DP1" t="str">
            <v>Energia gerada - Ponta - valor</v>
          </cell>
          <cell r="DQ1" t="str">
            <v>Energia gerada - Ponta - tarifa com imposto sem bandeira</v>
          </cell>
          <cell r="DR1" t="str">
            <v>Crédito Consumido de Geração Própria - Fora ponta - quantidade</v>
          </cell>
          <cell r="DS1" t="str">
            <v>Crédito Consumido de Geração Própria - Fora ponta - tarifa</v>
          </cell>
          <cell r="DT1" t="str">
            <v>Crédito Consumido de Geração Própria - Fora ponta - valor</v>
          </cell>
          <cell r="DU1" t="str">
            <v>Crédito Consumido de Geração Própria - Fora ponta - tarifa com imposto sem bandeira</v>
          </cell>
          <cell r="DV1" t="str">
            <v>Crédito Consumido de Geração Própria - Ponta - quantidade</v>
          </cell>
          <cell r="DW1" t="str">
            <v>Crédito Consumido de Geração Própria - Ponta - tarifa</v>
          </cell>
          <cell r="DX1" t="str">
            <v>Crédito Consumido de Geração Própria - Ponta - valor</v>
          </cell>
          <cell r="DY1" t="str">
            <v>Crédito Consumido de Geração Própria - Ponta - tarifa com imposto sem bandeira</v>
          </cell>
          <cell r="DZ1" t="str">
            <v>Crédito Consumido Gerado por Terceiros - Fora ponta - quantidade</v>
          </cell>
          <cell r="EA1" t="str">
            <v>Crédito Consumido Gerado por Terceiros - Fora ponta - tarifa</v>
          </cell>
          <cell r="EB1" t="str">
            <v>Crédito Consumido Gerado por Terceiros - Fora ponta - valor</v>
          </cell>
          <cell r="EC1" t="str">
            <v>Crédito Consumido Gerado por Terceiros - Fora ponta - tarifa com imposto sem bandeira</v>
          </cell>
          <cell r="ED1" t="str">
            <v>Crédito Consumido Gerado por Terceiros - Ponta - quantidade</v>
          </cell>
          <cell r="EE1" t="str">
            <v>Crédito Consumido Gerado por Terceiros - Ponta - tarifa</v>
          </cell>
          <cell r="EF1" t="str">
            <v>Crédito Consumido Gerado por Terceiros - Ponta - valor</v>
          </cell>
          <cell r="EG1" t="str">
            <v>Crédito Consumido Gerado por Terceiros - Ponta - tarifa com imposto sem bandeira</v>
          </cell>
          <cell r="EH1" t="str">
            <v>Energia ACL - Fora ponta - valor</v>
          </cell>
          <cell r="EI1" t="str">
            <v>Energia ACL - Ponta - valor</v>
          </cell>
          <cell r="EJ1" t="str">
            <v>Dedução Energia ACL - Fora ponta - valor</v>
          </cell>
          <cell r="EK1" t="str">
            <v>Dedução Energia ACL - Ponta - valor</v>
          </cell>
          <cell r="EL1" t="str">
            <v>Benefício tarifário bruto - Fora ponta - valor</v>
          </cell>
          <cell r="EM1" t="str">
            <v>Benefício tarifário líquido - Fora ponta - valor</v>
          </cell>
          <cell r="EN1" t="str">
            <v>Subvenção tarifária - Fora ponta - valor</v>
          </cell>
          <cell r="EO1" t="str">
            <v>Desconto Demanda - Fora ponta - valor</v>
          </cell>
          <cell r="EP1" t="str">
            <v>Desconto Demanda - Ponta - valor</v>
          </cell>
          <cell r="EQ1" t="str">
            <v>Desconto Consumo TUSD - Fora ponta - valor</v>
          </cell>
          <cell r="ER1" t="str">
            <v>Desconto Consumo TUSD - Ponta - valor</v>
          </cell>
          <cell r="ES1" t="str">
            <v>Ajuste desconto retroativo - Fora ponta - valor</v>
          </cell>
          <cell r="ET1" t="str">
            <v>Credito recebido - Fora ponta - quantidade</v>
          </cell>
          <cell r="EU1" t="str">
            <v>Credito recebido - Ponta - quantidade</v>
          </cell>
          <cell r="EV1" t="str">
            <v>Energia gerada - Fora ponta - quantidade</v>
          </cell>
          <cell r="EW1" t="str">
            <v>Energia gerada - Ponta - quantidade</v>
          </cell>
          <cell r="EX1" t="str">
            <v>Credito remanescente - Fora ponta - quantidade</v>
          </cell>
          <cell r="EY1" t="str">
            <v>Credito remanescente - Ponta - quantidade</v>
          </cell>
          <cell r="EZ1" t="str">
            <v>ADICIONAL BANDEIRA - valor</v>
          </cell>
          <cell r="FA1" t="str">
            <v>CUSTO ILUMINACAO PUBLICA - valor</v>
          </cell>
          <cell r="FB1" t="str">
            <v>OUTROS - valor</v>
          </cell>
          <cell r="FC1" t="str">
            <v>TAXA DE ATRASO - valor</v>
          </cell>
          <cell r="FD1" t="str">
            <v>RESTITUICAO DE PAGAMENTO - valor</v>
          </cell>
          <cell r="FE1" t="str">
            <v>SALDO PROXIMO MES - valor</v>
          </cell>
          <cell r="FF1" t="str">
            <v>REEMBOLSO - valor</v>
          </cell>
          <cell r="FG1" t="str">
            <v>ENCARGO ESCASSEZ HÍDRICA - valor</v>
          </cell>
          <cell r="FH1" t="str">
            <v>ENCARGO CONTA COVID - valor</v>
          </cell>
          <cell r="FI1" t="str">
            <v>DIFERENÇA CCEE - valor</v>
          </cell>
          <cell r="FJ1" t="str">
            <v>LIMINAR - valor</v>
          </cell>
          <cell r="FK1" t="str">
            <v>DESCONTO - valor</v>
          </cell>
          <cell r="FL1" t="str">
            <v>AJUSTE GDII - valor</v>
          </cell>
          <cell r="FM1" t="str">
            <v>Imposto - COFINS - base calculo</v>
          </cell>
          <cell r="FN1" t="str">
            <v>Imposto - COFINS - alíquota</v>
          </cell>
          <cell r="FO1" t="str">
            <v>Imposto - COFINS - valor</v>
          </cell>
          <cell r="FP1" t="str">
            <v>Imposto - PIS - base calculo</v>
          </cell>
          <cell r="FQ1" t="str">
            <v>Imposto - PIS - alíquota</v>
          </cell>
          <cell r="FR1" t="str">
            <v>Imposto - PIS - valor</v>
          </cell>
          <cell r="FS1" t="str">
            <v>Imposto - ICMS - base calculo</v>
          </cell>
          <cell r="FT1" t="str">
            <v>Imposto - ICMS - alíquota</v>
          </cell>
          <cell r="FU1" t="str">
            <v>Imposto - ICMS - valor</v>
          </cell>
          <cell r="FV1" t="str">
            <v>Imposto - PIS/COFINS - base calculo</v>
          </cell>
          <cell r="FW1" t="str">
            <v>Imposto - PIS/COFINS - alíquota</v>
          </cell>
          <cell r="FX1" t="str">
            <v>Imposto - PIS/COFINS - valor</v>
          </cell>
          <cell r="FY1" t="str">
            <v>Perdas</v>
          </cell>
          <cell r="FZ1" t="str">
            <v>Energia consumida - Fora ponta - Medido</v>
          </cell>
          <cell r="GA1" t="str">
            <v>Energia consumida - Fora ponta - Leitura Atual</v>
          </cell>
          <cell r="GB1" t="str">
            <v>Energia consumida - Fora ponta - Leitura Anterior</v>
          </cell>
          <cell r="GC1" t="str">
            <v>Energia consumida - Fora ponta - Constante</v>
          </cell>
          <cell r="GD1" t="str">
            <v>Energia consumida - Ponta - Medido</v>
          </cell>
          <cell r="GE1" t="str">
            <v>Energia consumida - Ponta - Leitura Atual</v>
          </cell>
          <cell r="GF1" t="str">
            <v>Energia consumida - Ponta - Leitura Anterior</v>
          </cell>
          <cell r="GG1" t="str">
            <v>Energia consumida - Ponta - Constante</v>
          </cell>
          <cell r="GH1" t="str">
            <v>Energia consumida - Intermediario - Medido</v>
          </cell>
          <cell r="GI1" t="str">
            <v>Energia consumida - Intermediario - Leitura Atual</v>
          </cell>
          <cell r="GJ1" t="str">
            <v>Energia consumida - Intermediario - Leitura Anterior</v>
          </cell>
          <cell r="GK1" t="str">
            <v>Energia consumida - Intermediario - Constante</v>
          </cell>
          <cell r="GL1" t="str">
            <v>Demanda ativa - Fora ponta - Medido</v>
          </cell>
          <cell r="GM1" t="str">
            <v>Demanda ativa - Fora ponta - Leitura Atual</v>
          </cell>
          <cell r="GN1" t="str">
            <v>Demanda ativa - Fora ponta - Leitura Anterior</v>
          </cell>
          <cell r="GO1" t="str">
            <v>Demanda ativa - Fora ponta - Constante</v>
          </cell>
          <cell r="GP1" t="str">
            <v>Demanda ativa - Fora ponta - Contratado</v>
          </cell>
          <cell r="GQ1" t="str">
            <v>Demanda ativa - Ponta - Medido</v>
          </cell>
          <cell r="GR1" t="str">
            <v>Demanda ativa - Ponta - Leitura Atual</v>
          </cell>
          <cell r="GS1" t="str">
            <v>Demanda ativa - Ponta - Leitura Anterior</v>
          </cell>
          <cell r="GT1" t="str">
            <v>Demanda ativa - Ponta - Constante</v>
          </cell>
          <cell r="GU1" t="str">
            <v>Demanda ativa - Ponta - Contratado</v>
          </cell>
          <cell r="GV1" t="str">
            <v>Energia reativa - Fora ponta - Medido</v>
          </cell>
          <cell r="GW1" t="str">
            <v>Energia reativa - Fora ponta - Leitura Atual</v>
          </cell>
          <cell r="GX1" t="str">
            <v>Energia reativa - Fora ponta - Leitura Anterior</v>
          </cell>
          <cell r="GY1" t="str">
            <v>Energia reativa - Fora ponta - Constante</v>
          </cell>
          <cell r="GZ1" t="str">
            <v>Energia reativa - Ponta - Medido</v>
          </cell>
          <cell r="HA1" t="str">
            <v>Energia reativa - Ponta - Leitura Atual</v>
          </cell>
          <cell r="HB1" t="str">
            <v>Energia reativa - Ponta - Leitura Anterior</v>
          </cell>
          <cell r="HC1" t="str">
            <v>Energia reativa - Ponta - Constante</v>
          </cell>
          <cell r="HD1" t="str">
            <v>Demanda reativa - Fora ponta - Medido</v>
          </cell>
          <cell r="HE1" t="str">
            <v>Demanda reativa - Fora ponta - Leitura Atual</v>
          </cell>
          <cell r="HF1" t="str">
            <v>Demanda reativa - Fora ponta - Leitura Anterior</v>
          </cell>
          <cell r="HG1" t="str">
            <v>Demanda reativa - Fora ponta - Constante</v>
          </cell>
          <cell r="HH1" t="str">
            <v>Demanda reativa - Ponta - Medido</v>
          </cell>
          <cell r="HI1" t="str">
            <v>Demanda reativa - Ponta - Leitura Atual</v>
          </cell>
          <cell r="HJ1" t="str">
            <v>Demanda reativa - Ponta - Leitura Anterior</v>
          </cell>
          <cell r="HK1" t="str">
            <v>Demanda reativa - Ponta - Constante</v>
          </cell>
          <cell r="HL1" t="str">
            <v>Energia gerada - Fora ponta - Medido</v>
          </cell>
          <cell r="HM1" t="str">
            <v>Energia gerada - Fora ponta - Leitura Atual</v>
          </cell>
          <cell r="HN1" t="str">
            <v>Energia gerada - Fora ponta - Leitura Anterior</v>
          </cell>
          <cell r="HO1" t="str">
            <v>Energia gerada - Fora ponta - Constante</v>
          </cell>
          <cell r="HP1" t="str">
            <v>Energia gerada - Ponta - Medido</v>
          </cell>
          <cell r="HQ1" t="str">
            <v>Energia gerada - Ponta - Leitura Atual</v>
          </cell>
          <cell r="HR1" t="str">
            <v>Energia gerada - Ponta - Leitura Anterior</v>
          </cell>
          <cell r="HS1" t="str">
            <v>Energia gerada - Ponta - Constante</v>
          </cell>
          <cell r="HT1" t="str">
            <v>Energia consumida - Fora ponta - Jun/2025</v>
          </cell>
          <cell r="HU1" t="str">
            <v>Energia consumida - Ponta - Jun/2025</v>
          </cell>
          <cell r="HV1" t="str">
            <v>Demanda ativa - Fora ponta - Jun/2025</v>
          </cell>
          <cell r="HW1" t="str">
            <v>Demanda ativa - Ponta - Jun/2025</v>
          </cell>
          <cell r="HX1" t="str">
            <v>Energia consumida - Fora ponta - May/2025</v>
          </cell>
          <cell r="HY1" t="str">
            <v>Energia consumida - Ponta - May/2025</v>
          </cell>
          <cell r="HZ1" t="str">
            <v>Demanda ativa - Fora ponta - May/2025</v>
          </cell>
          <cell r="IA1" t="str">
            <v>Demanda ativa - Ponta - May/2025</v>
          </cell>
          <cell r="IB1" t="str">
            <v>Energia consumida - Fora ponta - Apr/2025</v>
          </cell>
          <cell r="IC1" t="str">
            <v>Energia consumida - Ponta - Apr/2025</v>
          </cell>
          <cell r="ID1" t="str">
            <v>Demanda ativa - Fora ponta - Apr/2025</v>
          </cell>
          <cell r="IE1" t="str">
            <v>Demanda ativa - Ponta - Apr/2025</v>
          </cell>
          <cell r="IF1" t="str">
            <v>Energia consumida - Fora ponta - Mar/2025</v>
          </cell>
          <cell r="IG1" t="str">
            <v>Energia consumida - Ponta - Mar/2025</v>
          </cell>
          <cell r="IH1" t="str">
            <v>Demanda ativa - Fora ponta - Mar/2025</v>
          </cell>
          <cell r="II1" t="str">
            <v>Demanda ativa - Ponta - Mar/2025</v>
          </cell>
          <cell r="IJ1" t="str">
            <v>Energia consumida - Fora ponta - Feb/2025</v>
          </cell>
          <cell r="IK1" t="str">
            <v>Energia consumida - Ponta - Feb/2025</v>
          </cell>
          <cell r="IL1" t="str">
            <v>Demanda ativa - Fora ponta - Feb/2025</v>
          </cell>
          <cell r="IM1" t="str">
            <v>Demanda ativa - Ponta - Feb/2025</v>
          </cell>
          <cell r="IN1" t="str">
            <v>Energia consumida - Fora ponta - Jan/2025</v>
          </cell>
          <cell r="IO1" t="str">
            <v>Energia consumida - Ponta - Jan/2025</v>
          </cell>
          <cell r="IP1" t="str">
            <v>Demanda ativa - Fora ponta - Jan/2025</v>
          </cell>
          <cell r="IQ1" t="str">
            <v>Demanda ativa - Ponta - Jan/2025</v>
          </cell>
          <cell r="IR1" t="str">
            <v>Energia consumida - Fora ponta - Dec/2024</v>
          </cell>
          <cell r="IS1" t="str">
            <v>Energia consumida - Ponta - Dec/2024</v>
          </cell>
          <cell r="IT1" t="str">
            <v>Demanda ativa - Fora ponta - Dec/2024</v>
          </cell>
          <cell r="IU1" t="str">
            <v>Demanda ativa - Ponta - Dec/2024</v>
          </cell>
          <cell r="IV1" t="str">
            <v>Energia consumida - Fora ponta - Nov/2024</v>
          </cell>
          <cell r="IW1" t="str">
            <v>Energia consumida - Ponta - Nov/2024</v>
          </cell>
          <cell r="IX1" t="str">
            <v>Demanda ativa - Fora ponta - Nov/2024</v>
          </cell>
        </row>
        <row r="2">
          <cell r="A2" t="str">
            <v/>
          </cell>
          <cell r="B2" t="str">
            <v>10/3030784-7</v>
          </cell>
          <cell r="C2" t="str">
            <v>Alm. Tamandaré</v>
          </cell>
          <cell r="F2" t="str">
            <v>energisa_ms</v>
          </cell>
          <cell r="G2" t="str">
            <v>Seac</v>
          </cell>
          <cell r="H2" t="str">
            <v>Igreja do Evangelho Quadrangular</v>
          </cell>
          <cell r="I2">
            <v>45839</v>
          </cell>
          <cell r="J2" t="str">
            <v>COMERCIAL - TEMPLOS RELIGIOSOS</v>
          </cell>
          <cell r="K2" t="str">
            <v>79370000</v>
          </cell>
          <cell r="L2" t="str">
            <v>MS</v>
          </cell>
          <cell r="M2" t="str">
            <v>LADARIO</v>
          </cell>
          <cell r="N2" t="str">
            <v>CENTRO</v>
          </cell>
          <cell r="O2" t="str">
            <v>RUA SALDANHA DA GAMA, 15 - 02.004.21.543600</v>
          </cell>
          <cell r="P2">
            <v>45841</v>
          </cell>
          <cell r="Q2" t="str">
            <v>B - B3</v>
          </cell>
          <cell r="R2" t="str">
            <v>62955505016080</v>
          </cell>
          <cell r="U2">
            <v>45810</v>
          </cell>
          <cell r="V2">
            <v>45840</v>
          </cell>
          <cell r="W2">
            <v>45870</v>
          </cell>
          <cell r="X2">
            <v>45852</v>
          </cell>
          <cell r="AA2" t="str">
            <v>010.948.296-002</v>
          </cell>
          <cell r="AB2" t="str">
            <v>trifasico</v>
          </cell>
          <cell r="AC2" t="str">
            <v>convencional</v>
          </cell>
          <cell r="AD2">
            <v>437.91</v>
          </cell>
          <cell r="AF2" t="str">
            <v>IGREJA DO EVANGELHO QUADRANGULAR</v>
          </cell>
          <cell r="AL2">
            <v>317</v>
          </cell>
          <cell r="AM2">
            <v>1.1630914826498424</v>
          </cell>
          <cell r="AN2">
            <v>368.70000000000005</v>
          </cell>
          <cell r="AO2">
            <v>1.106845425867508</v>
          </cell>
          <cell r="EX2">
            <v>0</v>
          </cell>
          <cell r="EZ2">
            <v>17.829999999999998</v>
          </cell>
          <cell r="FA2">
            <v>61.67</v>
          </cell>
          <cell r="FC2">
            <v>7.54</v>
          </cell>
          <cell r="FM2">
            <v>306</v>
          </cell>
          <cell r="FN2">
            <v>3.6297000000000003E-2</v>
          </cell>
          <cell r="FO2">
            <v>11.11</v>
          </cell>
          <cell r="FP2">
            <v>306</v>
          </cell>
          <cell r="FQ2">
            <v>7.8799999999999999E-3</v>
          </cell>
          <cell r="FR2">
            <v>2.41</v>
          </cell>
          <cell r="FS2">
            <v>368.7</v>
          </cell>
          <cell r="FT2">
            <v>0.17</v>
          </cell>
          <cell r="FU2">
            <v>62.67</v>
          </cell>
          <cell r="GD2">
            <v>317</v>
          </cell>
          <cell r="GE2">
            <v>58020</v>
          </cell>
          <cell r="GF2">
            <v>57703</v>
          </cell>
          <cell r="GG2">
            <v>1</v>
          </cell>
          <cell r="HU2">
            <v>356</v>
          </cell>
          <cell r="HY2">
            <v>398</v>
          </cell>
          <cell r="IC2">
            <v>438</v>
          </cell>
          <cell r="IG2">
            <v>600</v>
          </cell>
          <cell r="IK2">
            <v>649</v>
          </cell>
          <cell r="IO2">
            <v>545</v>
          </cell>
          <cell r="IS2">
            <v>626</v>
          </cell>
          <cell r="IW2">
            <v>537</v>
          </cell>
        </row>
        <row r="3">
          <cell r="A3" t="str">
            <v/>
          </cell>
          <cell r="B3" t="str">
            <v>10/260761-2</v>
          </cell>
          <cell r="C3" t="str">
            <v>8979</v>
          </cell>
          <cell r="F3" t="str">
            <v>energisa_ms</v>
          </cell>
          <cell r="G3" t="str">
            <v>Carlos Camisao (3325)</v>
          </cell>
          <cell r="H3" t="str">
            <v>Igreja do Evangelho Quadrangular</v>
          </cell>
          <cell r="I3">
            <v>45839</v>
          </cell>
          <cell r="J3" t="str">
            <v>COMERCIAL - TEMPLOS RELIGIOSOS</v>
          </cell>
          <cell r="K3" t="str">
            <v>79490000</v>
          </cell>
          <cell r="L3" t="str">
            <v>MS</v>
          </cell>
          <cell r="M3" t="str">
            <v>SAO GABRIEL DO OESTE</v>
          </cell>
          <cell r="N3" t="str">
            <v>CENTRO</v>
          </cell>
          <cell r="O3" t="str">
            <v>RUA PARANA, 2051 - 14.075.07.245000</v>
          </cell>
          <cell r="P3">
            <v>45853</v>
          </cell>
          <cell r="Q3" t="str">
            <v>B - B3</v>
          </cell>
          <cell r="R3" t="str">
            <v>62955505000167</v>
          </cell>
          <cell r="U3">
            <v>45820</v>
          </cell>
          <cell r="V3">
            <v>45852</v>
          </cell>
          <cell r="W3">
            <v>45882</v>
          </cell>
          <cell r="X3">
            <v>45862</v>
          </cell>
          <cell r="AA3" t="str">
            <v>011.145.946-002</v>
          </cell>
          <cell r="AB3" t="str">
            <v>trifasico</v>
          </cell>
          <cell r="AC3" t="str">
            <v>convencional</v>
          </cell>
          <cell r="AD3">
            <v>407.6</v>
          </cell>
          <cell r="AE3" t="str">
            <v>34191.09123 06011.842934 85972.140009 1 11520000040760</v>
          </cell>
          <cell r="AF3" t="str">
            <v>IGREJA DO EVANGELHO QUADRANGULAR</v>
          </cell>
          <cell r="AL3">
            <v>559</v>
          </cell>
          <cell r="AM3">
            <v>1.1630897891202623</v>
          </cell>
          <cell r="AN3">
            <v>650.16719211822658</v>
          </cell>
          <cell r="AO3">
            <v>1.1068336314847944</v>
          </cell>
          <cell r="AX3">
            <v>356</v>
          </cell>
          <cell r="AY3">
            <v>1.0061999778601867</v>
          </cell>
          <cell r="AZ3">
            <v>-358.20719211822649</v>
          </cell>
          <cell r="BA3">
            <v>1.1068258426966291</v>
          </cell>
          <cell r="DR3">
            <v>356</v>
          </cell>
          <cell r="DS3">
            <v>1.163082000332097</v>
          </cell>
          <cell r="DT3">
            <v>-414.05719211822651</v>
          </cell>
          <cell r="DU3">
            <v>1.1068258426966291</v>
          </cell>
          <cell r="ET3">
            <v>356</v>
          </cell>
          <cell r="EX3">
            <v>0</v>
          </cell>
          <cell r="EZ3">
            <v>11.42</v>
          </cell>
          <cell r="FA3">
            <v>115.64</v>
          </cell>
          <cell r="FL3">
            <v>55.85</v>
          </cell>
          <cell r="FM3">
            <v>195.97</v>
          </cell>
          <cell r="FN3">
            <v>3.6297000000000003E-2</v>
          </cell>
          <cell r="FO3">
            <v>7.12</v>
          </cell>
          <cell r="FP3">
            <v>195.97</v>
          </cell>
          <cell r="FQ3">
            <v>7.8799999999999999E-3</v>
          </cell>
          <cell r="FR3">
            <v>1.54</v>
          </cell>
          <cell r="FS3">
            <v>236.11</v>
          </cell>
          <cell r="FT3">
            <v>0.17</v>
          </cell>
          <cell r="FU3">
            <v>40.130000000000003</v>
          </cell>
          <cell r="GD3">
            <v>559</v>
          </cell>
          <cell r="GE3">
            <v>15629</v>
          </cell>
          <cell r="GF3">
            <v>15070</v>
          </cell>
          <cell r="GG3">
            <v>1</v>
          </cell>
          <cell r="HU3">
            <v>347</v>
          </cell>
          <cell r="HY3">
            <v>455</v>
          </cell>
          <cell r="IC3">
            <v>432</v>
          </cell>
          <cell r="IG3">
            <v>520</v>
          </cell>
          <cell r="IK3">
            <v>437</v>
          </cell>
          <cell r="IO3">
            <v>314</v>
          </cell>
          <cell r="IS3">
            <v>513</v>
          </cell>
          <cell r="IW3">
            <v>381</v>
          </cell>
        </row>
        <row r="4">
          <cell r="A4" t="str">
            <v/>
          </cell>
          <cell r="B4" t="str">
            <v>10/3170252-5</v>
          </cell>
          <cell r="C4" t="str">
            <v>6917</v>
          </cell>
          <cell r="F4" t="str">
            <v>energisa_ms</v>
          </cell>
          <cell r="G4" t="str">
            <v>6917</v>
          </cell>
          <cell r="H4" t="str">
            <v>Igreja do Evangelho Quadrangular</v>
          </cell>
          <cell r="I4">
            <v>45839</v>
          </cell>
          <cell r="J4" t="str">
            <v>COMERCIAL - TEMPLOS RELIGIOSOS</v>
          </cell>
          <cell r="K4" t="str">
            <v>79680000</v>
          </cell>
          <cell r="L4" t="str">
            <v>MS</v>
          </cell>
          <cell r="M4" t="str">
            <v>AGUA CLARA</v>
          </cell>
          <cell r="N4" t="str">
            <v>JARDIM AEROPORTO</v>
          </cell>
          <cell r="O4" t="str">
            <v>RUA GABRIEL FERREIRA DOMINGUES, 335 - FUNDOS QD 02 LT 14 - 05-073-03-13</v>
          </cell>
          <cell r="P4">
            <v>45855</v>
          </cell>
          <cell r="Q4" t="str">
            <v>B - B3</v>
          </cell>
          <cell r="R4" t="str">
            <v>62955505035629</v>
          </cell>
          <cell r="U4">
            <v>45824</v>
          </cell>
          <cell r="V4">
            <v>45854</v>
          </cell>
          <cell r="W4">
            <v>45883</v>
          </cell>
          <cell r="X4">
            <v>45870</v>
          </cell>
          <cell r="AA4" t="str">
            <v>011.175.360-002</v>
          </cell>
          <cell r="AB4" t="str">
            <v>trifasico</v>
          </cell>
          <cell r="AC4" t="str">
            <v>convencional</v>
          </cell>
          <cell r="AD4">
            <v>225.57</v>
          </cell>
          <cell r="AE4" t="str">
            <v>34191.09123 11971.172934 85972.140009 9 11600000022557</v>
          </cell>
          <cell r="AF4" t="str">
            <v>IGREJA DO EVANGELHO QUADRANGULAR</v>
          </cell>
          <cell r="AL4">
            <v>348</v>
          </cell>
          <cell r="AM4">
            <v>1.1630390804597701</v>
          </cell>
          <cell r="AN4">
            <v>404.73759999999999</v>
          </cell>
          <cell r="AO4">
            <v>1.1068390804597701</v>
          </cell>
          <cell r="AX4">
            <v>298</v>
          </cell>
          <cell r="AY4">
            <v>1.0061664429530199</v>
          </cell>
          <cell r="AZ4">
            <v>-299.83759999999995</v>
          </cell>
          <cell r="BA4">
            <v>1.1068456375838924</v>
          </cell>
          <cell r="DZ4">
            <v>298</v>
          </cell>
          <cell r="EA4">
            <v>1.1630456375838925</v>
          </cell>
          <cell r="EB4">
            <v>-346.58759999999995</v>
          </cell>
          <cell r="EC4">
            <v>1.1068456375838924</v>
          </cell>
          <cell r="ET4">
            <v>298</v>
          </cell>
          <cell r="EV4">
            <v>2586</v>
          </cell>
          <cell r="EW4">
            <v>2586</v>
          </cell>
          <cell r="EX4">
            <v>27617</v>
          </cell>
          <cell r="EZ4">
            <v>2.81</v>
          </cell>
          <cell r="FA4">
            <v>118.32</v>
          </cell>
          <cell r="FC4">
            <v>2.35</v>
          </cell>
          <cell r="FL4">
            <v>46.75</v>
          </cell>
          <cell r="FM4">
            <v>48.27</v>
          </cell>
          <cell r="FN4">
            <v>3.6297000000000003E-2</v>
          </cell>
          <cell r="FO4">
            <v>1.75</v>
          </cell>
          <cell r="FP4">
            <v>48.27</v>
          </cell>
          <cell r="FQ4">
            <v>7.8799999999999999E-3</v>
          </cell>
          <cell r="FR4">
            <v>0.38</v>
          </cell>
          <cell r="FS4">
            <v>58.15</v>
          </cell>
          <cell r="FT4">
            <v>0.17</v>
          </cell>
          <cell r="FU4">
            <v>9.8800000000000008</v>
          </cell>
          <cell r="GD4">
            <v>348</v>
          </cell>
          <cell r="GE4">
            <v>13591</v>
          </cell>
          <cell r="GF4">
            <v>13243</v>
          </cell>
          <cell r="GG4">
            <v>1</v>
          </cell>
          <cell r="HP4">
            <v>2586</v>
          </cell>
          <cell r="HQ4">
            <v>44479</v>
          </cell>
          <cell r="HR4">
            <v>41893</v>
          </cell>
          <cell r="HS4">
            <v>1</v>
          </cell>
          <cell r="HU4">
            <v>645</v>
          </cell>
          <cell r="HY4">
            <v>800</v>
          </cell>
          <cell r="IC4">
            <v>1208</v>
          </cell>
          <cell r="IG4">
            <v>1313</v>
          </cell>
          <cell r="IK4">
            <v>849</v>
          </cell>
          <cell r="IO4">
            <v>1119</v>
          </cell>
          <cell r="IS4">
            <v>1243</v>
          </cell>
          <cell r="IW4">
            <v>834</v>
          </cell>
        </row>
        <row r="5">
          <cell r="A5" t="str">
            <v/>
          </cell>
          <cell r="B5" t="str">
            <v>10/908866-7</v>
          </cell>
          <cell r="C5" t="str">
            <v>Cong. Santa Tereza</v>
          </cell>
          <cell r="F5" t="str">
            <v>energisa_ms</v>
          </cell>
          <cell r="G5" t="str">
            <v>Cong. Santa Tereza</v>
          </cell>
          <cell r="H5" t="str">
            <v>Igreja do Evangelho Quadrangular</v>
          </cell>
          <cell r="I5">
            <v>45839</v>
          </cell>
          <cell r="J5" t="str">
            <v>COMERCIAL - TEMPLOS RELIGIOSOS</v>
          </cell>
          <cell r="K5" t="str">
            <v>79240000</v>
          </cell>
          <cell r="L5" t="str">
            <v>MS</v>
          </cell>
          <cell r="M5" t="str">
            <v>JARDIM</v>
          </cell>
          <cell r="N5" t="str">
            <v>VILA ANGELICA II</v>
          </cell>
          <cell r="O5" t="str">
            <v>RUA APARECIDO PEREIRA BUENO, 1273 - 01.047.17.111577</v>
          </cell>
          <cell r="P5">
            <v>45856</v>
          </cell>
          <cell r="Q5" t="str">
            <v>B - B3</v>
          </cell>
          <cell r="R5" t="str">
            <v>62955505358630</v>
          </cell>
          <cell r="U5">
            <v>45825</v>
          </cell>
          <cell r="V5">
            <v>45855</v>
          </cell>
          <cell r="W5">
            <v>45884</v>
          </cell>
          <cell r="X5">
            <v>45884</v>
          </cell>
          <cell r="AA5" t="str">
            <v>011.194.654-002</v>
          </cell>
          <cell r="AB5" t="str">
            <v>trifasico</v>
          </cell>
          <cell r="AC5" t="str">
            <v>convencional</v>
          </cell>
          <cell r="AD5">
            <v>137.27000000000001</v>
          </cell>
          <cell r="AE5" t="str">
            <v>34191.09123 14725.772934 85972.140009 5 11740000013727</v>
          </cell>
          <cell r="AF5" t="str">
            <v>IGREJA DO EVANGELHO QUADRANGULAR</v>
          </cell>
          <cell r="AI5">
            <v>100</v>
          </cell>
          <cell r="AJ5">
            <v>1.1068</v>
          </cell>
          <cell r="AK5">
            <v>110.68</v>
          </cell>
          <cell r="AL5">
            <v>0</v>
          </cell>
          <cell r="AM5">
            <v>1.1068</v>
          </cell>
          <cell r="AN5">
            <v>0</v>
          </cell>
          <cell r="EZ5">
            <v>5.62</v>
          </cell>
          <cell r="FA5">
            <v>20.97</v>
          </cell>
          <cell r="FM5">
            <v>96.52</v>
          </cell>
          <cell r="FN5">
            <v>3.6297000000000003E-2</v>
          </cell>
          <cell r="FO5">
            <v>3.5</v>
          </cell>
          <cell r="FP5">
            <v>96.52</v>
          </cell>
          <cell r="FQ5">
            <v>7.8799999999999999E-3</v>
          </cell>
          <cell r="FR5">
            <v>0.76</v>
          </cell>
          <cell r="FS5">
            <v>116.3</v>
          </cell>
          <cell r="FT5">
            <v>0.17</v>
          </cell>
          <cell r="FU5">
            <v>19.77</v>
          </cell>
          <cell r="GD5">
            <v>86</v>
          </cell>
          <cell r="GE5">
            <v>21163</v>
          </cell>
          <cell r="GF5">
            <v>21077</v>
          </cell>
          <cell r="GG5">
            <v>1</v>
          </cell>
          <cell r="HU5">
            <v>97</v>
          </cell>
          <cell r="HY5">
            <v>112</v>
          </cell>
          <cell r="IC5">
            <v>126</v>
          </cell>
          <cell r="IG5">
            <v>187</v>
          </cell>
          <cell r="IK5">
            <v>175</v>
          </cell>
          <cell r="IO5">
            <v>172</v>
          </cell>
          <cell r="IS5">
            <v>194</v>
          </cell>
          <cell r="IW5">
            <v>223</v>
          </cell>
        </row>
        <row r="6">
          <cell r="A6" t="str">
            <v/>
          </cell>
          <cell r="B6" t="str">
            <v>10/78338-1</v>
          </cell>
          <cell r="C6" t="str">
            <v>1º IEQ de Anastácio (168)</v>
          </cell>
          <cell r="F6" t="str">
            <v>energisa_ms</v>
          </cell>
          <cell r="G6" t="str">
            <v>1º IEQ de Anastácio (168)</v>
          </cell>
          <cell r="H6" t="str">
            <v>Igreja do Evangelho Quadrangular</v>
          </cell>
          <cell r="I6">
            <v>45839</v>
          </cell>
          <cell r="J6" t="str">
            <v>COMERCIAL - TEMPLOS RELIGIOSOS</v>
          </cell>
          <cell r="K6" t="str">
            <v>79210000</v>
          </cell>
          <cell r="L6" t="str">
            <v>MS</v>
          </cell>
          <cell r="M6" t="str">
            <v>ANASTACIO</v>
          </cell>
          <cell r="N6" t="str">
            <v>CENTRO</v>
          </cell>
          <cell r="O6" t="str">
            <v>RUA 27 DE JULHO, 1200 - 04.011.01.701000</v>
          </cell>
          <cell r="P6">
            <v>45849</v>
          </cell>
          <cell r="Q6" t="str">
            <v>B - B3</v>
          </cell>
          <cell r="R6" t="str">
            <v>62955505016837</v>
          </cell>
          <cell r="U6">
            <v>45818</v>
          </cell>
          <cell r="V6">
            <v>45848</v>
          </cell>
          <cell r="W6">
            <v>45880</v>
          </cell>
          <cell r="X6">
            <v>45860</v>
          </cell>
          <cell r="AA6" t="str">
            <v>011.101.660-002</v>
          </cell>
          <cell r="AB6" t="str">
            <v>trifasico</v>
          </cell>
          <cell r="AC6" t="str">
            <v>convencional</v>
          </cell>
          <cell r="AD6">
            <v>141</v>
          </cell>
          <cell r="AE6" t="str">
            <v>34191.09123 01841.652934 85972.140009 4 11500000014100</v>
          </cell>
          <cell r="AF6" t="str">
            <v>IGREJA DO EVANGELHO QUADRANGULAR</v>
          </cell>
          <cell r="AL6">
            <v>164</v>
          </cell>
          <cell r="AM6">
            <v>1.1630361648444072</v>
          </cell>
          <cell r="AN6">
            <v>190.73793103448278</v>
          </cell>
          <cell r="AO6">
            <v>1.106829268292683</v>
          </cell>
          <cell r="AX6">
            <v>77</v>
          </cell>
          <cell r="AY6">
            <v>1.0060770264218541</v>
          </cell>
          <cell r="AZ6">
            <v>-77.467931034482774</v>
          </cell>
          <cell r="BA6">
            <v>1.1067532467532468</v>
          </cell>
          <cell r="DR6">
            <v>77</v>
          </cell>
          <cell r="DS6">
            <v>1.162960143304971</v>
          </cell>
          <cell r="DT6">
            <v>-89.547931034482772</v>
          </cell>
          <cell r="DU6">
            <v>1.1067532467532468</v>
          </cell>
          <cell r="ET6">
            <v>77</v>
          </cell>
          <cell r="EX6">
            <v>260</v>
          </cell>
          <cell r="EZ6">
            <v>4.8899999999999997</v>
          </cell>
          <cell r="FA6">
            <v>24.85</v>
          </cell>
          <cell r="FC6">
            <v>2.88</v>
          </cell>
          <cell r="FL6">
            <v>12.08</v>
          </cell>
          <cell r="FM6">
            <v>83.98</v>
          </cell>
          <cell r="FN6">
            <v>3.6297000000000003E-2</v>
          </cell>
          <cell r="FO6">
            <v>3.05</v>
          </cell>
          <cell r="FP6">
            <v>83.98</v>
          </cell>
          <cell r="FQ6">
            <v>7.8799999999999999E-3</v>
          </cell>
          <cell r="FR6">
            <v>0.66</v>
          </cell>
          <cell r="FS6">
            <v>101.19</v>
          </cell>
          <cell r="FT6">
            <v>0.17</v>
          </cell>
          <cell r="FU6">
            <v>17.2</v>
          </cell>
          <cell r="GD6">
            <v>164</v>
          </cell>
          <cell r="GE6">
            <v>18134</v>
          </cell>
          <cell r="GF6">
            <v>17970</v>
          </cell>
          <cell r="GG6">
            <v>1</v>
          </cell>
          <cell r="HU6">
            <v>245</v>
          </cell>
          <cell r="HY6">
            <v>302</v>
          </cell>
          <cell r="IC6">
            <v>271</v>
          </cell>
          <cell r="IG6">
            <v>386</v>
          </cell>
          <cell r="IK6">
            <v>480</v>
          </cell>
          <cell r="IO6">
            <v>336</v>
          </cell>
          <cell r="IS6">
            <v>384</v>
          </cell>
          <cell r="IW6">
            <v>421</v>
          </cell>
        </row>
        <row r="7">
          <cell r="A7" t="str">
            <v/>
          </cell>
          <cell r="B7" t="str">
            <v>10/952579-1</v>
          </cell>
          <cell r="C7" t="str">
            <v>58787</v>
          </cell>
          <cell r="F7" t="str">
            <v>energisa_ms</v>
          </cell>
          <cell r="G7" t="str">
            <v>58787</v>
          </cell>
          <cell r="H7" t="str">
            <v>Igreja do Evangelho Quadrangular</v>
          </cell>
          <cell r="I7">
            <v>45839</v>
          </cell>
          <cell r="J7" t="str">
            <v>COMERCIAL - TEMPLOS RELIGIOSOS</v>
          </cell>
          <cell r="K7" t="str">
            <v>79415000</v>
          </cell>
          <cell r="L7" t="str">
            <v>MS</v>
          </cell>
          <cell r="M7" t="str">
            <v>SONORA</v>
          </cell>
          <cell r="N7" t="str">
            <v>CENTRO</v>
          </cell>
          <cell r="O7" t="str">
            <v>RUA PRESIDENTE VARGAS, 42 - Q 0 L 00042 05.087.85.225077</v>
          </cell>
          <cell r="P7">
            <v>45859</v>
          </cell>
          <cell r="Q7" t="str">
            <v>B - B3</v>
          </cell>
          <cell r="R7" t="str">
            <v>62955505897930</v>
          </cell>
          <cell r="U7">
            <v>45826</v>
          </cell>
          <cell r="V7">
            <v>45856</v>
          </cell>
          <cell r="W7">
            <v>45887</v>
          </cell>
          <cell r="X7">
            <v>45890</v>
          </cell>
          <cell r="AA7" t="str">
            <v>011.216.087-002</v>
          </cell>
          <cell r="AB7" t="str">
            <v>bifasico</v>
          </cell>
          <cell r="AC7" t="str">
            <v>convencional</v>
          </cell>
          <cell r="AD7">
            <v>62</v>
          </cell>
          <cell r="AE7" t="str">
            <v>34191.09123 15634.662934 85972.140009 6 11800000006200</v>
          </cell>
          <cell r="AF7" t="str">
            <v>IGREJA DO EVANGELHO QUADRANGULAR</v>
          </cell>
          <cell r="AL7">
            <v>130</v>
          </cell>
          <cell r="AM7">
            <v>1.1630226244343891</v>
          </cell>
          <cell r="AN7">
            <v>151.19294117647058</v>
          </cell>
          <cell r="AO7">
            <v>1.1068461538461538</v>
          </cell>
          <cell r="AX7">
            <v>96</v>
          </cell>
          <cell r="AY7">
            <v>1.0060723039215684</v>
          </cell>
          <cell r="AZ7">
            <v>-96.58294117647057</v>
          </cell>
          <cell r="BA7">
            <v>1.1067708333333333</v>
          </cell>
          <cell r="DR7">
            <v>96</v>
          </cell>
          <cell r="DS7">
            <v>1.1629473039215685</v>
          </cell>
          <cell r="DT7">
            <v>-111.64294117647057</v>
          </cell>
          <cell r="DU7">
            <v>1.1067708333333333</v>
          </cell>
          <cell r="ET7">
            <v>96</v>
          </cell>
          <cell r="EX7">
            <v>16</v>
          </cell>
          <cell r="EZ7">
            <v>1.91</v>
          </cell>
          <cell r="FA7">
            <v>7.39</v>
          </cell>
          <cell r="FL7">
            <v>15.06</v>
          </cell>
          <cell r="FM7">
            <v>32.83</v>
          </cell>
          <cell r="FN7">
            <v>3.6297000000000003E-2</v>
          </cell>
          <cell r="FO7">
            <v>1.19</v>
          </cell>
          <cell r="FP7">
            <v>32.83</v>
          </cell>
          <cell r="FQ7">
            <v>7.8799999999999999E-3</v>
          </cell>
          <cell r="FR7">
            <v>0.27</v>
          </cell>
          <cell r="FS7">
            <v>39.549999999999997</v>
          </cell>
          <cell r="FT7">
            <v>0.17</v>
          </cell>
          <cell r="FU7">
            <v>6.72</v>
          </cell>
          <cell r="GD7">
            <v>130</v>
          </cell>
          <cell r="GE7">
            <v>38675</v>
          </cell>
          <cell r="GF7">
            <v>38545</v>
          </cell>
          <cell r="GG7">
            <v>1</v>
          </cell>
          <cell r="HU7">
            <v>146</v>
          </cell>
          <cell r="HY7">
            <v>198</v>
          </cell>
          <cell r="IC7">
            <v>151</v>
          </cell>
          <cell r="IG7">
            <v>125</v>
          </cell>
          <cell r="IK7">
            <v>138</v>
          </cell>
          <cell r="IO7">
            <v>95</v>
          </cell>
          <cell r="IS7">
            <v>138</v>
          </cell>
          <cell r="IW7">
            <v>99</v>
          </cell>
        </row>
        <row r="8">
          <cell r="A8" t="str">
            <v/>
          </cell>
          <cell r="B8" t="str">
            <v>10/81222-2</v>
          </cell>
          <cell r="C8" t="str">
            <v>159</v>
          </cell>
          <cell r="F8" t="str">
            <v>energisa_ms</v>
          </cell>
          <cell r="G8" t="str">
            <v>159</v>
          </cell>
          <cell r="H8" t="str">
            <v>Igreja do Evangelho Quadrangular</v>
          </cell>
          <cell r="I8">
            <v>45839</v>
          </cell>
          <cell r="J8" t="str">
            <v>COMERCIAL - TEMPLOS RELIGIOSOS</v>
          </cell>
          <cell r="K8" t="str">
            <v>79380000</v>
          </cell>
          <cell r="L8" t="str">
            <v>MS</v>
          </cell>
          <cell r="M8" t="str">
            <v>MIRANDA</v>
          </cell>
          <cell r="N8" t="str">
            <v>CENTRO</v>
          </cell>
          <cell r="O8" t="str">
            <v>RUA BENJAMIN CONSTANT, 923 - 08.013.01.032000</v>
          </cell>
          <cell r="P8">
            <v>45856</v>
          </cell>
          <cell r="Q8" t="str">
            <v>B - B3</v>
          </cell>
          <cell r="R8" t="str">
            <v>62955505015946</v>
          </cell>
          <cell r="U8">
            <v>45825</v>
          </cell>
          <cell r="V8">
            <v>45855</v>
          </cell>
          <cell r="W8">
            <v>45884</v>
          </cell>
          <cell r="X8">
            <v>45885</v>
          </cell>
          <cell r="AA8" t="str">
            <v>011.192.214-002</v>
          </cell>
          <cell r="AB8" t="str">
            <v>trifasico</v>
          </cell>
          <cell r="AC8" t="str">
            <v>convencional</v>
          </cell>
          <cell r="AD8">
            <v>139.18</v>
          </cell>
          <cell r="AE8" t="str">
            <v>34191.09123 14651.182934 85972.140009 1 11750000013918</v>
          </cell>
          <cell r="AF8" t="str">
            <v>IGREJA DO EVANGELHO QUADRANGULAR</v>
          </cell>
          <cell r="AL8">
            <v>210</v>
          </cell>
          <cell r="AM8">
            <v>1.1630915750915751</v>
          </cell>
          <cell r="AN8">
            <v>244.24923076923076</v>
          </cell>
          <cell r="AO8">
            <v>1.1068095238095239</v>
          </cell>
          <cell r="AX8">
            <v>132</v>
          </cell>
          <cell r="AY8">
            <v>1.0062062937062937</v>
          </cell>
          <cell r="AZ8">
            <v>-132.81923076923076</v>
          </cell>
          <cell r="BA8">
            <v>1.1068181818181819</v>
          </cell>
          <cell r="DR8">
            <v>132</v>
          </cell>
          <cell r="DS8">
            <v>1.1631002331002331</v>
          </cell>
          <cell r="DT8">
            <v>-153.52923076923076</v>
          </cell>
          <cell r="DU8">
            <v>1.1068181818181819</v>
          </cell>
          <cell r="ET8">
            <v>132</v>
          </cell>
          <cell r="EX8">
            <v>506</v>
          </cell>
          <cell r="EZ8">
            <v>4.3899999999999997</v>
          </cell>
          <cell r="FA8">
            <v>27.75</v>
          </cell>
          <cell r="FL8">
            <v>20.71</v>
          </cell>
          <cell r="FM8">
            <v>75.319999999999993</v>
          </cell>
          <cell r="FN8">
            <v>3.6297000000000003E-2</v>
          </cell>
          <cell r="FO8">
            <v>2.73</v>
          </cell>
          <cell r="FP8">
            <v>75.319999999999993</v>
          </cell>
          <cell r="FQ8">
            <v>7.8799999999999999E-3</v>
          </cell>
          <cell r="FR8">
            <v>0.59</v>
          </cell>
          <cell r="FS8">
            <v>90.72</v>
          </cell>
          <cell r="FT8">
            <v>0.17</v>
          </cell>
          <cell r="FU8">
            <v>15.42</v>
          </cell>
          <cell r="GD8">
            <v>210</v>
          </cell>
          <cell r="GE8">
            <v>60865</v>
          </cell>
          <cell r="GF8">
            <v>60655</v>
          </cell>
          <cell r="GG8">
            <v>1</v>
          </cell>
          <cell r="HU8">
            <v>300</v>
          </cell>
          <cell r="HY8">
            <v>347</v>
          </cell>
          <cell r="IC8">
            <v>369</v>
          </cell>
          <cell r="IG8">
            <v>539</v>
          </cell>
          <cell r="IK8">
            <v>570</v>
          </cell>
          <cell r="IO8">
            <v>664</v>
          </cell>
          <cell r="IS8">
            <v>462</v>
          </cell>
          <cell r="IW8">
            <v>510</v>
          </cell>
        </row>
        <row r="9">
          <cell r="A9" t="str">
            <v/>
          </cell>
          <cell r="B9" t="str">
            <v>10/8777-5</v>
          </cell>
          <cell r="C9" t="str">
            <v>Santa Terezinha (1224)</v>
          </cell>
          <cell r="F9" t="str">
            <v>energisa_ms</v>
          </cell>
          <cell r="G9" t="str">
            <v>Santa Terezinha (1224)</v>
          </cell>
          <cell r="H9" t="str">
            <v>Igreja do Evangelho Quadrangular</v>
          </cell>
          <cell r="I9">
            <v>45839</v>
          </cell>
          <cell r="J9" t="str">
            <v>COMERCIAL - TEMPLOS RELIGIOSOS</v>
          </cell>
          <cell r="K9" t="str">
            <v>79200000</v>
          </cell>
          <cell r="L9" t="str">
            <v>MS</v>
          </cell>
          <cell r="M9" t="str">
            <v>AQUIDAUANA</v>
          </cell>
          <cell r="N9" t="str">
            <v>CENTRO</v>
          </cell>
          <cell r="O9" t="str">
            <v>RUA GIOVANI TOSCANO DE BRITO, 2648 - 13.002.13.311000</v>
          </cell>
          <cell r="P9">
            <v>45856</v>
          </cell>
          <cell r="Q9" t="str">
            <v>B - B3</v>
          </cell>
          <cell r="R9" t="str">
            <v>62955505122432</v>
          </cell>
          <cell r="U9">
            <v>45825</v>
          </cell>
          <cell r="V9">
            <v>45855</v>
          </cell>
          <cell r="W9">
            <v>45884</v>
          </cell>
          <cell r="X9">
            <v>45879</v>
          </cell>
          <cell r="AA9" t="str">
            <v>011.191.589-002</v>
          </cell>
          <cell r="AB9" t="str">
            <v>trifasico</v>
          </cell>
          <cell r="AC9" t="str">
            <v>convencional</v>
          </cell>
          <cell r="AD9">
            <v>164.46</v>
          </cell>
          <cell r="AE9" t="str">
            <v>34191.09123 14619.012934 85972.140009 1 11690000016446</v>
          </cell>
          <cell r="AF9" t="str">
            <v>IGREJA DO EVANGELHO QUADRANGULAR</v>
          </cell>
          <cell r="AL9">
            <v>273</v>
          </cell>
          <cell r="AM9">
            <v>1.1629670329670332</v>
          </cell>
          <cell r="AN9">
            <v>317.49000000000007</v>
          </cell>
          <cell r="AO9">
            <v>1.106813186813187</v>
          </cell>
          <cell r="AX9">
            <v>208</v>
          </cell>
          <cell r="AY9">
            <v>1.0061057692307693</v>
          </cell>
          <cell r="AZ9">
            <v>-209.27</v>
          </cell>
          <cell r="BA9">
            <v>1.106826923076923</v>
          </cell>
          <cell r="DR9">
            <v>208</v>
          </cell>
          <cell r="DS9">
            <v>1.1629807692307692</v>
          </cell>
          <cell r="DT9">
            <v>-241.9</v>
          </cell>
          <cell r="DU9">
            <v>1.106826923076923</v>
          </cell>
          <cell r="ET9">
            <v>208</v>
          </cell>
          <cell r="EX9">
            <v>310</v>
          </cell>
          <cell r="EZ9">
            <v>3.65</v>
          </cell>
          <cell r="FA9">
            <v>51.8</v>
          </cell>
          <cell r="FC9">
            <v>4.4399999999999995</v>
          </cell>
          <cell r="FL9">
            <v>32.630000000000003</v>
          </cell>
          <cell r="FM9">
            <v>62.75</v>
          </cell>
          <cell r="FN9">
            <v>3.6297000000000003E-2</v>
          </cell>
          <cell r="FO9">
            <v>2.2799999999999998</v>
          </cell>
          <cell r="FP9">
            <v>62.75</v>
          </cell>
          <cell r="FQ9">
            <v>7.8799999999999999E-3</v>
          </cell>
          <cell r="FR9">
            <v>0.5</v>
          </cell>
          <cell r="FS9">
            <v>75.59</v>
          </cell>
          <cell r="FT9">
            <v>0.17</v>
          </cell>
          <cell r="FU9">
            <v>12.85</v>
          </cell>
          <cell r="GD9">
            <v>273</v>
          </cell>
          <cell r="GE9">
            <v>37506</v>
          </cell>
          <cell r="GF9">
            <v>37233</v>
          </cell>
          <cell r="GG9">
            <v>1</v>
          </cell>
          <cell r="HU9">
            <v>365</v>
          </cell>
          <cell r="HY9">
            <v>478</v>
          </cell>
          <cell r="IC9">
            <v>600</v>
          </cell>
          <cell r="IG9">
            <v>717</v>
          </cell>
          <cell r="IK9">
            <v>592</v>
          </cell>
          <cell r="IO9">
            <v>639</v>
          </cell>
          <cell r="IS9">
            <v>469</v>
          </cell>
          <cell r="IW9">
            <v>393</v>
          </cell>
        </row>
        <row r="10">
          <cell r="A10" t="str">
            <v/>
          </cell>
          <cell r="B10" t="str">
            <v>10/76927-3</v>
          </cell>
          <cell r="C10" t="str">
            <v>2ª IEQ Anastácio</v>
          </cell>
          <cell r="F10" t="str">
            <v>energisa_ms</v>
          </cell>
          <cell r="G10" t="str">
            <v>2ª IEQ Anastácio</v>
          </cell>
          <cell r="H10" t="str">
            <v>Igreja do Evangelho Quadrangular</v>
          </cell>
          <cell r="I10">
            <v>45839</v>
          </cell>
          <cell r="J10" t="str">
            <v>COMERCIAL - TEMPLOS RELIGIOSOS</v>
          </cell>
          <cell r="K10" t="str">
            <v>79210000</v>
          </cell>
          <cell r="L10" t="str">
            <v>MS</v>
          </cell>
          <cell r="M10" t="str">
            <v>ANASTACIO</v>
          </cell>
          <cell r="N10" t="str">
            <v>CENTRO</v>
          </cell>
          <cell r="O10" t="str">
            <v>RUA EXPEDICIONARIO CANDIDO GOMES, 819 - 14.011.05.643000</v>
          </cell>
          <cell r="P10">
            <v>45848</v>
          </cell>
          <cell r="Q10" t="str">
            <v>B - B3</v>
          </cell>
          <cell r="R10" t="str">
            <v>62955505058599</v>
          </cell>
          <cell r="U10">
            <v>45817</v>
          </cell>
          <cell r="V10">
            <v>45847</v>
          </cell>
          <cell r="W10">
            <v>45877</v>
          </cell>
          <cell r="X10">
            <v>45859</v>
          </cell>
          <cell r="AA10" t="str">
            <v>011.078.565-002</v>
          </cell>
          <cell r="AB10" t="str">
            <v>trifasico</v>
          </cell>
          <cell r="AC10" t="str">
            <v>convencional</v>
          </cell>
          <cell r="AD10">
            <v>143.1</v>
          </cell>
          <cell r="AF10" t="str">
            <v>IGREJA DO EVANGELHO QUADRANGULAR</v>
          </cell>
          <cell r="AL10">
            <v>158</v>
          </cell>
          <cell r="AM10">
            <v>1.1630152183188736</v>
          </cell>
          <cell r="AN10">
            <v>183.75640449438202</v>
          </cell>
          <cell r="AO10">
            <v>1.1068354430379748</v>
          </cell>
          <cell r="AX10">
            <v>69</v>
          </cell>
          <cell r="AY10">
            <v>1.0061797752808987</v>
          </cell>
          <cell r="AZ10">
            <v>-69.426404494382012</v>
          </cell>
          <cell r="BA10">
            <v>1.1068115942028987</v>
          </cell>
          <cell r="DR10">
            <v>69</v>
          </cell>
          <cell r="DS10">
            <v>1.1629913694837974</v>
          </cell>
          <cell r="DT10">
            <v>-80.24640449438202</v>
          </cell>
          <cell r="DU10">
            <v>1.1068115942028987</v>
          </cell>
          <cell r="ET10">
            <v>69</v>
          </cell>
          <cell r="EX10">
            <v>317</v>
          </cell>
          <cell r="EZ10">
            <v>5</v>
          </cell>
          <cell r="FA10">
            <v>24.85</v>
          </cell>
          <cell r="FC10">
            <v>3.92</v>
          </cell>
          <cell r="FL10">
            <v>10.82</v>
          </cell>
          <cell r="FM10">
            <v>85.93</v>
          </cell>
          <cell r="FN10">
            <v>3.6297000000000003E-2</v>
          </cell>
          <cell r="FO10">
            <v>3.12</v>
          </cell>
          <cell r="FP10">
            <v>85.93</v>
          </cell>
          <cell r="FQ10">
            <v>7.8799999999999999E-3</v>
          </cell>
          <cell r="FR10">
            <v>0.68</v>
          </cell>
          <cell r="FS10">
            <v>103.51</v>
          </cell>
          <cell r="FT10">
            <v>0.17</v>
          </cell>
          <cell r="FU10">
            <v>17.59</v>
          </cell>
          <cell r="GD10">
            <v>158</v>
          </cell>
          <cell r="GE10">
            <v>75670</v>
          </cell>
          <cell r="GF10">
            <v>75512</v>
          </cell>
          <cell r="GG10">
            <v>1</v>
          </cell>
          <cell r="HU10">
            <v>274</v>
          </cell>
          <cell r="HY10">
            <v>297</v>
          </cell>
          <cell r="IC10">
            <v>405</v>
          </cell>
          <cell r="IG10">
            <v>641</v>
          </cell>
          <cell r="IK10">
            <v>494</v>
          </cell>
          <cell r="IO10">
            <v>355</v>
          </cell>
          <cell r="IS10">
            <v>416</v>
          </cell>
          <cell r="IW10">
            <v>380</v>
          </cell>
        </row>
        <row r="11">
          <cell r="A11" t="str">
            <v/>
          </cell>
          <cell r="B11" t="str">
            <v>10/530195-7</v>
          </cell>
          <cell r="C11" t="str">
            <v>Batayporã 59155</v>
          </cell>
          <cell r="F11" t="str">
            <v>energisa_ms</v>
          </cell>
          <cell r="G11" t="str">
            <v>Morumbi 3671</v>
          </cell>
          <cell r="H11" t="str">
            <v>Igreja do Evangelho Quadrangular</v>
          </cell>
          <cell r="I11">
            <v>45839</v>
          </cell>
          <cell r="J11" t="str">
            <v>COMERCIAL - OUTROS SERVIÇOS E OUTRAS ATIVIDADES</v>
          </cell>
          <cell r="K11" t="str">
            <v>79760000</v>
          </cell>
          <cell r="L11" t="str">
            <v>MS</v>
          </cell>
          <cell r="M11" t="str">
            <v>BATAYPORA</v>
          </cell>
          <cell r="N11" t="str">
            <v>CENTRO</v>
          </cell>
          <cell r="O11" t="str">
            <v>RUA JONAS PEDRO NUNES, 1576 - 09.045.05.426000</v>
          </cell>
          <cell r="P11">
            <v>45847</v>
          </cell>
          <cell r="Q11" t="str">
            <v>B - B3</v>
          </cell>
          <cell r="R11" t="str">
            <v>62955505367117</v>
          </cell>
          <cell r="U11">
            <v>45814</v>
          </cell>
          <cell r="V11">
            <v>45846</v>
          </cell>
          <cell r="W11">
            <v>45876</v>
          </cell>
          <cell r="X11">
            <v>45884</v>
          </cell>
          <cell r="AA11" t="str">
            <v>011.055.418-002</v>
          </cell>
          <cell r="AB11" t="str">
            <v>bifasico</v>
          </cell>
          <cell r="AC11" t="str">
            <v>convencional</v>
          </cell>
          <cell r="AD11">
            <v>75.290000000000006</v>
          </cell>
          <cell r="AE11" t="str">
            <v>34191.09115 95311.782932 85972.140009 8 11740000007529</v>
          </cell>
          <cell r="AF11" t="str">
            <v>IGREJA DO EVANGELHO QUADRANGULAR</v>
          </cell>
          <cell r="AI11">
            <v>50</v>
          </cell>
          <cell r="AJ11">
            <v>1.1068</v>
          </cell>
          <cell r="AK11">
            <v>55.34</v>
          </cell>
          <cell r="AL11">
            <v>0</v>
          </cell>
          <cell r="AM11">
            <v>1.1068</v>
          </cell>
          <cell r="AN11">
            <v>0</v>
          </cell>
          <cell r="EX11">
            <v>172</v>
          </cell>
          <cell r="EZ11">
            <v>2.81</v>
          </cell>
          <cell r="FA11">
            <v>15.72</v>
          </cell>
          <cell r="FC11">
            <v>1.4200000000000002</v>
          </cell>
          <cell r="FM11">
            <v>48.25</v>
          </cell>
          <cell r="FN11">
            <v>3.6297000000000003E-2</v>
          </cell>
          <cell r="FO11">
            <v>1.75</v>
          </cell>
          <cell r="FP11">
            <v>48.25</v>
          </cell>
          <cell r="FQ11">
            <v>7.8799999999999999E-3</v>
          </cell>
          <cell r="FR11">
            <v>0.38</v>
          </cell>
          <cell r="FS11">
            <v>58.15</v>
          </cell>
          <cell r="FT11">
            <v>0.17</v>
          </cell>
          <cell r="FU11">
            <v>9.8800000000000008</v>
          </cell>
          <cell r="GD11">
            <v>38</v>
          </cell>
          <cell r="GE11">
            <v>29054</v>
          </cell>
          <cell r="GF11">
            <v>29016</v>
          </cell>
          <cell r="GG11">
            <v>1</v>
          </cell>
          <cell r="HU11">
            <v>104</v>
          </cell>
          <cell r="HY11">
            <v>97</v>
          </cell>
          <cell r="IC11">
            <v>190</v>
          </cell>
          <cell r="IG11">
            <v>231</v>
          </cell>
          <cell r="IK11">
            <v>167</v>
          </cell>
          <cell r="IO11">
            <v>123</v>
          </cell>
          <cell r="IS11">
            <v>222</v>
          </cell>
          <cell r="IW11">
            <v>169</v>
          </cell>
        </row>
        <row r="12">
          <cell r="A12" t="str">
            <v/>
          </cell>
          <cell r="B12" t="str">
            <v>10/72605-9</v>
          </cell>
          <cell r="C12" t="str">
            <v>1364</v>
          </cell>
          <cell r="F12" t="str">
            <v>energisa_ms</v>
          </cell>
          <cell r="G12" t="str">
            <v>1364</v>
          </cell>
          <cell r="H12" t="str">
            <v>Igreja do Evangelho Quadrangular</v>
          </cell>
          <cell r="I12">
            <v>45839</v>
          </cell>
          <cell r="J12" t="str">
            <v>COMERCIAL - TEMPLOS RELIGIOSOS</v>
          </cell>
          <cell r="K12" t="str">
            <v>79820010</v>
          </cell>
          <cell r="L12" t="str">
            <v>MS</v>
          </cell>
          <cell r="M12" t="str">
            <v>DOURADOS</v>
          </cell>
          <cell r="N12" t="str">
            <v>JARDIM CLIMAX</v>
          </cell>
          <cell r="O12" t="str">
            <v>AVENIDA MARCELINO PIRES, 287 - 08.010.04.293000</v>
          </cell>
          <cell r="P12">
            <v>45852</v>
          </cell>
          <cell r="Q12" t="str">
            <v>B - B3</v>
          </cell>
          <cell r="R12" t="str">
            <v>6X.XXX.XXX/XXX4-92</v>
          </cell>
          <cell r="U12">
            <v>45819</v>
          </cell>
          <cell r="V12">
            <v>45849</v>
          </cell>
          <cell r="W12">
            <v>45881</v>
          </cell>
          <cell r="X12">
            <v>45861</v>
          </cell>
          <cell r="Z12" t="str">
            <v>true</v>
          </cell>
          <cell r="AA12" t="str">
            <v>011.119.936-002</v>
          </cell>
          <cell r="AB12" t="str">
            <v>trifasico</v>
          </cell>
          <cell r="AC12" t="str">
            <v>convencional</v>
          </cell>
          <cell r="AD12">
            <v>143.62</v>
          </cell>
          <cell r="AF12" t="str">
            <v>IGREJA DO EVANGELHO QUADRANGULAR</v>
          </cell>
          <cell r="AL12">
            <v>112</v>
          </cell>
          <cell r="AM12">
            <v>1.1631122448979592</v>
          </cell>
          <cell r="AN12">
            <v>130.26857142857142</v>
          </cell>
          <cell r="AO12">
            <v>1.1067857142857143</v>
          </cell>
          <cell r="AX12">
            <v>14</v>
          </cell>
          <cell r="AY12">
            <v>1.0063265306122451</v>
          </cell>
          <cell r="AZ12">
            <v>-14.088571428571433</v>
          </cell>
          <cell r="BA12">
            <v>1.1064285714285715</v>
          </cell>
          <cell r="DR12">
            <v>14</v>
          </cell>
          <cell r="DS12">
            <v>1.1627551020408164</v>
          </cell>
          <cell r="DT12">
            <v>-16.278571428571432</v>
          </cell>
          <cell r="DU12">
            <v>1.1064285714285715</v>
          </cell>
          <cell r="ET12">
            <v>14</v>
          </cell>
          <cell r="EX12">
            <v>690</v>
          </cell>
          <cell r="EZ12">
            <v>5.52</v>
          </cell>
          <cell r="FA12">
            <v>27.44</v>
          </cell>
          <cell r="FL12">
            <v>2.19</v>
          </cell>
          <cell r="FM12">
            <v>94.61</v>
          </cell>
          <cell r="FN12">
            <v>3.6297000000000003E-2</v>
          </cell>
          <cell r="FO12">
            <v>3.43</v>
          </cell>
          <cell r="FP12">
            <v>94.61</v>
          </cell>
          <cell r="FQ12">
            <v>7.8799999999999999E-3</v>
          </cell>
          <cell r="FR12">
            <v>0.75</v>
          </cell>
          <cell r="FS12">
            <v>113.99</v>
          </cell>
          <cell r="FT12">
            <v>0.17</v>
          </cell>
          <cell r="FU12">
            <v>19.37</v>
          </cell>
          <cell r="GD12">
            <v>112</v>
          </cell>
          <cell r="GE12">
            <v>66992</v>
          </cell>
          <cell r="GF12">
            <v>66880</v>
          </cell>
          <cell r="GG12">
            <v>1</v>
          </cell>
          <cell r="HU12">
            <v>183</v>
          </cell>
          <cell r="HY12">
            <v>268</v>
          </cell>
          <cell r="IC12">
            <v>268</v>
          </cell>
          <cell r="IG12">
            <v>394</v>
          </cell>
          <cell r="IK12">
            <v>444</v>
          </cell>
          <cell r="IO12">
            <v>310</v>
          </cell>
          <cell r="IS12">
            <v>391</v>
          </cell>
          <cell r="IW12">
            <v>422</v>
          </cell>
        </row>
        <row r="13">
          <cell r="A13" t="str">
            <v/>
          </cell>
          <cell r="B13" t="str">
            <v>10/505854-0</v>
          </cell>
          <cell r="C13" t="str">
            <v>Cong. Douradina</v>
          </cell>
          <cell r="F13" t="str">
            <v>energisa_ms</v>
          </cell>
          <cell r="G13" t="str">
            <v>Cong. Douradina</v>
          </cell>
          <cell r="H13" t="str">
            <v>Igreja do Evangelho Quadrangular</v>
          </cell>
          <cell r="I13">
            <v>45839</v>
          </cell>
          <cell r="J13" t="str">
            <v>COMERCIAL - TEMPLOS RELIGIOSOS</v>
          </cell>
          <cell r="K13" t="str">
            <v>79880000</v>
          </cell>
          <cell r="L13" t="str">
            <v>MS</v>
          </cell>
          <cell r="M13" t="str">
            <v>DOURADINA</v>
          </cell>
          <cell r="N13" t="str">
            <v>CENTRO</v>
          </cell>
          <cell r="O13" t="str">
            <v>AVENIDA PRESIDENTE DUTRA, 925 - 02.079.03.198000</v>
          </cell>
          <cell r="P13">
            <v>45849</v>
          </cell>
          <cell r="Q13" t="str">
            <v>B - B3</v>
          </cell>
          <cell r="R13" t="str">
            <v>62955505887382</v>
          </cell>
          <cell r="U13">
            <v>45818</v>
          </cell>
          <cell r="V13">
            <v>45848</v>
          </cell>
          <cell r="W13">
            <v>45880</v>
          </cell>
          <cell r="X13">
            <v>45860</v>
          </cell>
          <cell r="AA13" t="str">
            <v>011.103.462-002</v>
          </cell>
          <cell r="AB13" t="str">
            <v>trifasico</v>
          </cell>
          <cell r="AC13" t="str">
            <v>convencional</v>
          </cell>
          <cell r="AD13">
            <v>116.3</v>
          </cell>
          <cell r="AE13" t="str">
            <v>34191.09123 01903.522934 85972.140009 1 11500000011630</v>
          </cell>
          <cell r="AF13" t="str">
            <v>IGREJA DO EVANGELHO QUADRANGULAR</v>
          </cell>
          <cell r="AI13">
            <v>100</v>
          </cell>
          <cell r="AJ13">
            <v>1.1068</v>
          </cell>
          <cell r="AK13">
            <v>110.68</v>
          </cell>
          <cell r="AL13">
            <v>0</v>
          </cell>
          <cell r="AM13">
            <v>1.1068</v>
          </cell>
          <cell r="AN13">
            <v>0</v>
          </cell>
          <cell r="EZ13">
            <v>5.62</v>
          </cell>
          <cell r="FM13">
            <v>96.52</v>
          </cell>
          <cell r="FN13">
            <v>3.6297000000000003E-2</v>
          </cell>
          <cell r="FO13">
            <v>3.5</v>
          </cell>
          <cell r="FP13">
            <v>96.52</v>
          </cell>
          <cell r="FQ13">
            <v>7.8799999999999999E-3</v>
          </cell>
          <cell r="FR13">
            <v>0.76</v>
          </cell>
          <cell r="FS13">
            <v>116.3</v>
          </cell>
          <cell r="FT13">
            <v>0.17</v>
          </cell>
          <cell r="FU13">
            <v>19.77</v>
          </cell>
          <cell r="GD13">
            <v>37</v>
          </cell>
          <cell r="GE13">
            <v>9187</v>
          </cell>
          <cell r="GF13">
            <v>9150</v>
          </cell>
          <cell r="GG13">
            <v>1</v>
          </cell>
          <cell r="HU13">
            <v>48</v>
          </cell>
          <cell r="HY13">
            <v>66</v>
          </cell>
          <cell r="IC13">
            <v>66</v>
          </cell>
          <cell r="IG13">
            <v>120</v>
          </cell>
          <cell r="IK13">
            <v>139</v>
          </cell>
          <cell r="IO13">
            <v>100</v>
          </cell>
          <cell r="IS13">
            <v>100</v>
          </cell>
          <cell r="IW13">
            <v>96</v>
          </cell>
        </row>
        <row r="14">
          <cell r="A14" t="str">
            <v/>
          </cell>
          <cell r="B14" t="str">
            <v>10/489076-0</v>
          </cell>
          <cell r="C14" t="str">
            <v>Marcilio Dias</v>
          </cell>
          <cell r="F14" t="str">
            <v>energisa_ms</v>
          </cell>
          <cell r="G14" t="str">
            <v>Seac</v>
          </cell>
          <cell r="H14" t="str">
            <v>Igreja do Evangelho Quadrangular</v>
          </cell>
          <cell r="I14">
            <v>45839</v>
          </cell>
          <cell r="J14" t="str">
            <v>COMERCIAL - TEMPLOS RELIGIOSOS</v>
          </cell>
          <cell r="K14" t="str">
            <v>79370000</v>
          </cell>
          <cell r="L14" t="str">
            <v>MS</v>
          </cell>
          <cell r="M14" t="str">
            <v>LADARIO</v>
          </cell>
          <cell r="N14" t="str">
            <v>CENTRO</v>
          </cell>
          <cell r="O14" t="str">
            <v>RUA MARCILIO DIAS, 939 - 10.004.03.080000</v>
          </cell>
          <cell r="P14">
            <v>45845</v>
          </cell>
          <cell r="Q14" t="str">
            <v>B - B3</v>
          </cell>
          <cell r="R14" t="str">
            <v>62955505016080</v>
          </cell>
          <cell r="U14">
            <v>45812</v>
          </cell>
          <cell r="V14">
            <v>45842</v>
          </cell>
          <cell r="W14">
            <v>45874</v>
          </cell>
          <cell r="X14">
            <v>45854</v>
          </cell>
          <cell r="AA14" t="str">
            <v>011.005.823-002</v>
          </cell>
          <cell r="AB14" t="str">
            <v>trifasico</v>
          </cell>
          <cell r="AC14" t="str">
            <v>convencional</v>
          </cell>
          <cell r="AD14">
            <v>169.14</v>
          </cell>
          <cell r="AF14" t="str">
            <v>IGREJA DO EVANGELHO QUADRANGULAR</v>
          </cell>
          <cell r="AL14">
            <v>281</v>
          </cell>
          <cell r="AM14">
            <v>1.1630232164039991</v>
          </cell>
          <cell r="AN14">
            <v>326.80952380952374</v>
          </cell>
          <cell r="AO14">
            <v>1.106832740213523</v>
          </cell>
          <cell r="AX14">
            <v>218</v>
          </cell>
          <cell r="AY14">
            <v>1.0061446046308429</v>
          </cell>
          <cell r="AZ14">
            <v>-219.33952380952377</v>
          </cell>
          <cell r="BA14">
            <v>1.106834862385321</v>
          </cell>
          <cell r="DR14">
            <v>218</v>
          </cell>
          <cell r="DS14">
            <v>1.1630253385757972</v>
          </cell>
          <cell r="DT14">
            <v>-253.53952380952379</v>
          </cell>
          <cell r="DU14">
            <v>1.106834862385321</v>
          </cell>
          <cell r="ET14">
            <v>218</v>
          </cell>
          <cell r="EX14">
            <v>302</v>
          </cell>
          <cell r="EZ14">
            <v>3.54</v>
          </cell>
          <cell r="FA14">
            <v>61.67</v>
          </cell>
          <cell r="FL14">
            <v>34.200000000000003</v>
          </cell>
          <cell r="FM14">
            <v>60.83</v>
          </cell>
          <cell r="FN14">
            <v>3.6297000000000003E-2</v>
          </cell>
          <cell r="FO14">
            <v>2.2000000000000002</v>
          </cell>
          <cell r="FP14">
            <v>60.83</v>
          </cell>
          <cell r="FQ14">
            <v>7.8799999999999999E-3</v>
          </cell>
          <cell r="FR14">
            <v>0.47</v>
          </cell>
          <cell r="FS14">
            <v>73.27</v>
          </cell>
          <cell r="FT14">
            <v>0.17</v>
          </cell>
          <cell r="FU14">
            <v>12.45</v>
          </cell>
          <cell r="GD14">
            <v>281</v>
          </cell>
          <cell r="GE14">
            <v>54653</v>
          </cell>
          <cell r="GF14">
            <v>54372</v>
          </cell>
          <cell r="GG14">
            <v>1</v>
          </cell>
          <cell r="HU14">
            <v>435</v>
          </cell>
          <cell r="HY14">
            <v>538</v>
          </cell>
          <cell r="IC14">
            <v>470</v>
          </cell>
          <cell r="IG14">
            <v>606</v>
          </cell>
          <cell r="IK14">
            <v>522</v>
          </cell>
          <cell r="IO14">
            <v>534</v>
          </cell>
          <cell r="IS14">
            <v>397</v>
          </cell>
          <cell r="IW14">
            <v>496</v>
          </cell>
        </row>
        <row r="15">
          <cell r="A15" t="str">
            <v/>
          </cell>
          <cell r="B15" t="str">
            <v>10/41548-9</v>
          </cell>
          <cell r="C15" t="str">
            <v>2690</v>
          </cell>
          <cell r="F15" t="str">
            <v>energisa_ms</v>
          </cell>
          <cell r="G15" t="str">
            <v>2690</v>
          </cell>
          <cell r="H15" t="str">
            <v>Igreja do Evangelho Quadrangular</v>
          </cell>
          <cell r="I15">
            <v>45839</v>
          </cell>
          <cell r="J15" t="str">
            <v>COMERCIAL - TEMPLOS RELIGIOSOS</v>
          </cell>
          <cell r="K15" t="str">
            <v>79833085</v>
          </cell>
          <cell r="L15" t="str">
            <v>MS</v>
          </cell>
          <cell r="M15" t="str">
            <v>DOURADOS</v>
          </cell>
          <cell r="N15" t="str">
            <v>JARDIM MARACANA</v>
          </cell>
          <cell r="O15" t="str">
            <v>RUA JOAO VICENTE FERREIRA, 6715 - 05.010.05.262000</v>
          </cell>
          <cell r="P15">
            <v>45841</v>
          </cell>
          <cell r="Q15" t="str">
            <v>B - B3</v>
          </cell>
          <cell r="R15" t="str">
            <v>62955505269026</v>
          </cell>
          <cell r="U15">
            <v>45810</v>
          </cell>
          <cell r="V15">
            <v>45840</v>
          </cell>
          <cell r="W15">
            <v>45870</v>
          </cell>
          <cell r="X15">
            <v>45852</v>
          </cell>
          <cell r="AA15" t="str">
            <v>010.943.343-002</v>
          </cell>
          <cell r="AB15" t="str">
            <v>bifasico</v>
          </cell>
          <cell r="AC15" t="str">
            <v>convencional</v>
          </cell>
          <cell r="AD15">
            <v>111.08</v>
          </cell>
          <cell r="AF15" t="str">
            <v>IGREJA DO E QUADRANGULAR</v>
          </cell>
          <cell r="AL15">
            <v>94</v>
          </cell>
          <cell r="AM15">
            <v>1.1629787234042552</v>
          </cell>
          <cell r="AN15">
            <v>109.32</v>
          </cell>
          <cell r="AO15">
            <v>1.1068085106382979</v>
          </cell>
          <cell r="EX15">
            <v>0</v>
          </cell>
          <cell r="EZ15">
            <v>5.28</v>
          </cell>
          <cell r="FC15">
            <v>1.76</v>
          </cell>
          <cell r="FM15">
            <v>90.73</v>
          </cell>
          <cell r="FN15">
            <v>3.6297000000000003E-2</v>
          </cell>
          <cell r="FO15">
            <v>3.29</v>
          </cell>
          <cell r="FP15">
            <v>90.73</v>
          </cell>
          <cell r="FQ15">
            <v>7.8799999999999999E-3</v>
          </cell>
          <cell r="FR15">
            <v>0.71</v>
          </cell>
          <cell r="FS15">
            <v>109.32</v>
          </cell>
          <cell r="FT15">
            <v>0.17</v>
          </cell>
          <cell r="FU15">
            <v>18.579999999999998</v>
          </cell>
          <cell r="GD15">
            <v>94</v>
          </cell>
          <cell r="GE15">
            <v>55835</v>
          </cell>
          <cell r="GF15">
            <v>55741</v>
          </cell>
          <cell r="GG15">
            <v>1</v>
          </cell>
          <cell r="HU15">
            <v>197</v>
          </cell>
          <cell r="HY15">
            <v>286</v>
          </cell>
          <cell r="IC15">
            <v>289</v>
          </cell>
          <cell r="IG15">
            <v>338</v>
          </cell>
          <cell r="IK15">
            <v>425</v>
          </cell>
          <cell r="IO15">
            <v>318</v>
          </cell>
          <cell r="IS15">
            <v>422</v>
          </cell>
          <cell r="IW15">
            <v>340</v>
          </cell>
        </row>
        <row r="16">
          <cell r="A16" t="str">
            <v/>
          </cell>
          <cell r="B16" t="str">
            <v>10/480529-7</v>
          </cell>
          <cell r="C16" t="str">
            <v>58121</v>
          </cell>
          <cell r="F16" t="str">
            <v>energisa_ms</v>
          </cell>
          <cell r="G16" t="str">
            <v>5661</v>
          </cell>
          <cell r="H16" t="str">
            <v>Igreja do Evangelho Quadrangular</v>
          </cell>
          <cell r="I16">
            <v>45839</v>
          </cell>
          <cell r="J16" t="str">
            <v>COMERCIAL - TEMPLOS RELIGIOSOS</v>
          </cell>
          <cell r="K16" t="str">
            <v>79814330</v>
          </cell>
          <cell r="L16" t="str">
            <v>MS</v>
          </cell>
          <cell r="M16" t="str">
            <v>DOURADOS</v>
          </cell>
          <cell r="N16" t="str">
            <v>VILA CACHOEIRINHA</v>
          </cell>
          <cell r="O16" t="str">
            <v>RUA EULALIA PIRES, 240 - 15.010.33.581000</v>
          </cell>
          <cell r="P16">
            <v>45849</v>
          </cell>
          <cell r="Q16" t="str">
            <v>B - B3</v>
          </cell>
          <cell r="R16" t="str">
            <v>62955505182257</v>
          </cell>
          <cell r="U16">
            <v>45818</v>
          </cell>
          <cell r="V16">
            <v>45848</v>
          </cell>
          <cell r="W16">
            <v>45880</v>
          </cell>
          <cell r="X16">
            <v>45860</v>
          </cell>
          <cell r="AA16" t="str">
            <v>011.103.358-002</v>
          </cell>
          <cell r="AB16" t="str">
            <v>trifasico</v>
          </cell>
          <cell r="AC16" t="str">
            <v>convencional</v>
          </cell>
          <cell r="AD16">
            <v>171.35</v>
          </cell>
          <cell r="AE16" t="str">
            <v>34191.09123 01899.252934 85972.140009 8 11500000017135</v>
          </cell>
          <cell r="AF16" t="str">
            <v>IGREJA DO EVANGELHO QUADRANGULAR</v>
          </cell>
          <cell r="AL16">
            <v>257</v>
          </cell>
          <cell r="AM16">
            <v>1.1630247196154726</v>
          </cell>
          <cell r="AN16">
            <v>298.89735294117645</v>
          </cell>
          <cell r="AO16">
            <v>1.1068482490272373</v>
          </cell>
          <cell r="AX16">
            <v>189</v>
          </cell>
          <cell r="AY16">
            <v>1.0061235605353251</v>
          </cell>
          <cell r="AZ16">
            <v>-190.15735294117644</v>
          </cell>
          <cell r="BA16">
            <v>1.1068253968253967</v>
          </cell>
          <cell r="DR16">
            <v>189</v>
          </cell>
          <cell r="DS16">
            <v>1.163001867413632</v>
          </cell>
          <cell r="DT16">
            <v>-219.80735294117645</v>
          </cell>
          <cell r="DU16">
            <v>1.1068253968253967</v>
          </cell>
          <cell r="ET16">
            <v>189</v>
          </cell>
          <cell r="EX16">
            <v>200</v>
          </cell>
          <cell r="EZ16">
            <v>3.82</v>
          </cell>
          <cell r="FA16">
            <v>59.51</v>
          </cell>
          <cell r="FC16">
            <v>3.1</v>
          </cell>
          <cell r="FL16">
            <v>29.65</v>
          </cell>
          <cell r="FM16">
            <v>65.64</v>
          </cell>
          <cell r="FN16">
            <v>3.6297000000000003E-2</v>
          </cell>
          <cell r="FO16">
            <v>2.38</v>
          </cell>
          <cell r="FP16">
            <v>65.64</v>
          </cell>
          <cell r="FQ16">
            <v>7.8799999999999999E-3</v>
          </cell>
          <cell r="FR16">
            <v>0.51</v>
          </cell>
          <cell r="FS16">
            <v>79.09</v>
          </cell>
          <cell r="FT16">
            <v>0.17</v>
          </cell>
          <cell r="FU16">
            <v>13.44</v>
          </cell>
          <cell r="GD16">
            <v>257</v>
          </cell>
          <cell r="GE16">
            <v>12571</v>
          </cell>
          <cell r="GF16">
            <v>12314</v>
          </cell>
          <cell r="GG16">
            <v>1</v>
          </cell>
          <cell r="HU16">
            <v>264</v>
          </cell>
          <cell r="HY16">
            <v>327</v>
          </cell>
          <cell r="IC16">
            <v>405</v>
          </cell>
          <cell r="IG16">
            <v>488</v>
          </cell>
          <cell r="IK16">
            <v>517</v>
          </cell>
          <cell r="IO16">
            <v>356</v>
          </cell>
          <cell r="IS16">
            <v>378</v>
          </cell>
          <cell r="IW16">
            <v>368</v>
          </cell>
        </row>
        <row r="17">
          <cell r="A17" t="str">
            <v/>
          </cell>
          <cell r="B17" t="str">
            <v>10/504844-2</v>
          </cell>
          <cell r="C17" t="str">
            <v>3544</v>
          </cell>
          <cell r="F17" t="str">
            <v>energisa_ms</v>
          </cell>
          <cell r="G17" t="str">
            <v>3544</v>
          </cell>
          <cell r="H17" t="str">
            <v>Igreja do Evangelho Quadrangular</v>
          </cell>
          <cell r="I17">
            <v>45839</v>
          </cell>
          <cell r="J17" t="str">
            <v>COMERCIAL - TEMPLOS RELIGIOSOS</v>
          </cell>
          <cell r="K17" t="str">
            <v>79390000</v>
          </cell>
          <cell r="L17" t="str">
            <v>MS</v>
          </cell>
          <cell r="M17" t="str">
            <v>BODOQUENA</v>
          </cell>
          <cell r="N17" t="str">
            <v>CENTRO</v>
          </cell>
          <cell r="O17" t="str">
            <v>AVENIDA DO AEROPORTO, S/N - 13.076.07.034001</v>
          </cell>
          <cell r="P17">
            <v>45853</v>
          </cell>
          <cell r="Q17" t="str">
            <v>B - B3</v>
          </cell>
          <cell r="R17" t="str">
            <v>62955505354481</v>
          </cell>
          <cell r="U17">
            <v>45820</v>
          </cell>
          <cell r="V17">
            <v>45852</v>
          </cell>
          <cell r="W17">
            <v>45882</v>
          </cell>
          <cell r="X17">
            <v>45879</v>
          </cell>
          <cell r="AA17" t="str">
            <v>011.147.102-002</v>
          </cell>
          <cell r="AB17" t="str">
            <v>trifasico</v>
          </cell>
          <cell r="AC17" t="str">
            <v>convencional</v>
          </cell>
          <cell r="AD17">
            <v>145.47</v>
          </cell>
          <cell r="AE17" t="str">
            <v>34191.09123 06026.872934 85972.140009 5 11690000014547</v>
          </cell>
          <cell r="AF17" t="str">
            <v>IGREJA DO EVANGELHO QUADRANGULAR</v>
          </cell>
          <cell r="AL17">
            <v>255</v>
          </cell>
          <cell r="AM17">
            <v>1.1630554134697357</v>
          </cell>
          <cell r="AN17">
            <v>296.5791304347826</v>
          </cell>
          <cell r="AO17">
            <v>1.1068235294117648</v>
          </cell>
          <cell r="AX17">
            <v>186</v>
          </cell>
          <cell r="AY17">
            <v>1.0061781206171108</v>
          </cell>
          <cell r="AZ17">
            <v>-187.14913043478262</v>
          </cell>
          <cell r="BA17">
            <v>1.1068279569892474</v>
          </cell>
          <cell r="DR17">
            <v>186</v>
          </cell>
          <cell r="DS17">
            <v>1.1630598410472184</v>
          </cell>
          <cell r="DT17">
            <v>-216.32913043478263</v>
          </cell>
          <cell r="DU17">
            <v>1.1068279569892474</v>
          </cell>
          <cell r="ET17">
            <v>186</v>
          </cell>
          <cell r="EX17">
            <v>303</v>
          </cell>
          <cell r="EZ17">
            <v>3.88</v>
          </cell>
          <cell r="FA17">
            <v>27.75</v>
          </cell>
          <cell r="FC17">
            <v>8.2900000000000009</v>
          </cell>
          <cell r="FL17">
            <v>29.18</v>
          </cell>
          <cell r="FM17">
            <v>66.61</v>
          </cell>
          <cell r="FN17">
            <v>3.6297000000000003E-2</v>
          </cell>
          <cell r="FO17">
            <v>2.42</v>
          </cell>
          <cell r="FP17">
            <v>66.61</v>
          </cell>
          <cell r="FQ17">
            <v>7.8799999999999999E-3</v>
          </cell>
          <cell r="FR17">
            <v>0.51</v>
          </cell>
          <cell r="FS17">
            <v>80.25</v>
          </cell>
          <cell r="FT17">
            <v>0.17</v>
          </cell>
          <cell r="FU17">
            <v>13.64</v>
          </cell>
          <cell r="GD17">
            <v>255</v>
          </cell>
          <cell r="GE17">
            <v>39616</v>
          </cell>
          <cell r="GF17">
            <v>39361</v>
          </cell>
          <cell r="GG17">
            <v>1</v>
          </cell>
          <cell r="HU17">
            <v>329</v>
          </cell>
          <cell r="HY17">
            <v>470</v>
          </cell>
          <cell r="IC17">
            <v>621</v>
          </cell>
          <cell r="IG17">
            <v>567</v>
          </cell>
          <cell r="IK17">
            <v>544</v>
          </cell>
          <cell r="IO17">
            <v>514</v>
          </cell>
          <cell r="IS17">
            <v>529</v>
          </cell>
          <cell r="IW17">
            <v>399</v>
          </cell>
        </row>
        <row r="18">
          <cell r="A18" t="str">
            <v/>
          </cell>
          <cell r="B18" t="str">
            <v>10/40190-1</v>
          </cell>
          <cell r="C18" t="str">
            <v>1775</v>
          </cell>
          <cell r="F18" t="str">
            <v>energisa_ms</v>
          </cell>
          <cell r="G18" t="str">
            <v>Cel Sapucaia 884</v>
          </cell>
          <cell r="H18" t="str">
            <v>Igreja do Evangelho Quadrangular</v>
          </cell>
          <cell r="I18">
            <v>45839</v>
          </cell>
          <cell r="J18" t="str">
            <v>COMERCIAL - TEMPLOS RELIGIOSOS</v>
          </cell>
          <cell r="K18" t="str">
            <v>79842080</v>
          </cell>
          <cell r="L18" t="str">
            <v>MS</v>
          </cell>
          <cell r="M18" t="str">
            <v>DOURADOS</v>
          </cell>
          <cell r="N18" t="str">
            <v>PARQUE DAS NACOES II</v>
          </cell>
          <cell r="O18" t="str">
            <v>RUA JOSE VALERIO DOS SANTOS, 435 - 04.010.13.605000</v>
          </cell>
          <cell r="P18">
            <v>45845</v>
          </cell>
          <cell r="Q18" t="str">
            <v>B - B3</v>
          </cell>
          <cell r="R18" t="str">
            <v>62955505177504</v>
          </cell>
          <cell r="U18">
            <v>45812</v>
          </cell>
          <cell r="V18">
            <v>45842</v>
          </cell>
          <cell r="W18">
            <v>45874</v>
          </cell>
          <cell r="X18">
            <v>45864</v>
          </cell>
          <cell r="AA18" t="str">
            <v>011.004.096-002</v>
          </cell>
          <cell r="AB18" t="str">
            <v>bifasico</v>
          </cell>
          <cell r="AC18" t="str">
            <v>convencional</v>
          </cell>
          <cell r="AD18">
            <v>113.93</v>
          </cell>
          <cell r="AE18" t="str">
            <v>34191.09115 88192.102932 85972.140009 6 11540000011393</v>
          </cell>
          <cell r="AF18" t="str">
            <v>IGREJA DO EVANGELHO QUADRANGULAR</v>
          </cell>
          <cell r="AL18">
            <v>259</v>
          </cell>
          <cell r="AM18">
            <v>1.1630839768339769</v>
          </cell>
          <cell r="AN18">
            <v>301.23875000000004</v>
          </cell>
          <cell r="AO18">
            <v>1.106833976833977</v>
          </cell>
          <cell r="AX18">
            <v>251</v>
          </cell>
          <cell r="AY18">
            <v>1.0061703187250994</v>
          </cell>
          <cell r="AZ18">
            <v>-252.54874999999998</v>
          </cell>
          <cell r="BA18">
            <v>1.1068127490039841</v>
          </cell>
          <cell r="DR18">
            <v>251</v>
          </cell>
          <cell r="DS18">
            <v>1.163062749003984</v>
          </cell>
          <cell r="DT18">
            <v>-291.92874999999998</v>
          </cell>
          <cell r="DU18">
            <v>1.1068127490039841</v>
          </cell>
          <cell r="ET18">
            <v>251</v>
          </cell>
          <cell r="EZ18">
            <v>0.45</v>
          </cell>
          <cell r="FA18">
            <v>59.51</v>
          </cell>
          <cell r="FC18">
            <v>5.7299999999999995</v>
          </cell>
          <cell r="FL18">
            <v>39.380000000000003</v>
          </cell>
          <cell r="FM18">
            <v>7.72</v>
          </cell>
          <cell r="FN18">
            <v>3.6297000000000003E-2</v>
          </cell>
          <cell r="FO18">
            <v>0.28999999999999998</v>
          </cell>
          <cell r="FP18">
            <v>7.72</v>
          </cell>
          <cell r="FQ18">
            <v>7.8799999999999999E-3</v>
          </cell>
          <cell r="FR18">
            <v>0.05</v>
          </cell>
          <cell r="FS18">
            <v>9.31</v>
          </cell>
          <cell r="FT18">
            <v>0.17</v>
          </cell>
          <cell r="FU18">
            <v>1.58</v>
          </cell>
          <cell r="GD18">
            <v>259</v>
          </cell>
          <cell r="GE18">
            <v>73175</v>
          </cell>
          <cell r="GF18">
            <v>72916</v>
          </cell>
          <cell r="GG18">
            <v>1</v>
          </cell>
          <cell r="HU18">
            <v>284</v>
          </cell>
          <cell r="HY18">
            <v>345</v>
          </cell>
          <cell r="IC18">
            <v>317</v>
          </cell>
          <cell r="IG18">
            <v>307</v>
          </cell>
          <cell r="IK18">
            <v>339</v>
          </cell>
          <cell r="IO18">
            <v>346</v>
          </cell>
          <cell r="IS18">
            <v>334</v>
          </cell>
          <cell r="IW18">
            <v>327</v>
          </cell>
        </row>
        <row r="19">
          <cell r="A19" t="str">
            <v/>
          </cell>
          <cell r="B19" t="str">
            <v>10/15297-5</v>
          </cell>
          <cell r="C19" t="str">
            <v>Aeroporto</v>
          </cell>
          <cell r="F19" t="str">
            <v>energisa_ms</v>
          </cell>
          <cell r="G19" t="str">
            <v>Nova Aliança</v>
          </cell>
          <cell r="H19" t="str">
            <v>Igreja do Evangelho Quadrangular</v>
          </cell>
          <cell r="I19">
            <v>45839</v>
          </cell>
          <cell r="J19" t="str">
            <v>COMERCIAL - TEMPLOS RELIGIOSOS</v>
          </cell>
          <cell r="K19" t="str">
            <v>79333130</v>
          </cell>
          <cell r="L19" t="str">
            <v>MS</v>
          </cell>
          <cell r="M19" t="str">
            <v>CORUMBA</v>
          </cell>
          <cell r="N19" t="str">
            <v>DOM BOSCO</v>
          </cell>
          <cell r="O19" t="str">
            <v>RUA REPUBLICA DA BOLIVIA, 32 - 08.003.07.190000</v>
          </cell>
          <cell r="P19">
            <v>45855</v>
          </cell>
          <cell r="Q19" t="str">
            <v>B - B3</v>
          </cell>
          <cell r="R19" t="str">
            <v>6X.XXX.XXX/XXX4-87</v>
          </cell>
          <cell r="U19">
            <v>45824</v>
          </cell>
          <cell r="V19">
            <v>45854</v>
          </cell>
          <cell r="W19">
            <v>45883</v>
          </cell>
          <cell r="X19">
            <v>45870</v>
          </cell>
          <cell r="Z19" t="str">
            <v>true</v>
          </cell>
          <cell r="AA19" t="str">
            <v>011.168.158-002</v>
          </cell>
          <cell r="AB19" t="str">
            <v>trifasico</v>
          </cell>
          <cell r="AC19" t="str">
            <v>convencional</v>
          </cell>
          <cell r="AD19">
            <v>106.2</v>
          </cell>
          <cell r="AF19" t="str">
            <v>IGREJA DO EVANGELHO QUADRANGULAR</v>
          </cell>
          <cell r="AL19">
            <v>305</v>
          </cell>
          <cell r="AM19">
            <v>1.1630265686828716</v>
          </cell>
          <cell r="AN19">
            <v>354.72310344827582</v>
          </cell>
          <cell r="AO19">
            <v>1.1068196721311474</v>
          </cell>
          <cell r="AX19">
            <v>247</v>
          </cell>
          <cell r="AY19">
            <v>1.0061664107217645</v>
          </cell>
          <cell r="AZ19">
            <v>-248.52310344827583</v>
          </cell>
          <cell r="BA19">
            <v>1.1068421052631578</v>
          </cell>
          <cell r="DR19">
            <v>247</v>
          </cell>
          <cell r="DS19">
            <v>1.163049001814882</v>
          </cell>
          <cell r="DT19">
            <v>-287.27310344827583</v>
          </cell>
          <cell r="DU19">
            <v>1.1068421052631578</v>
          </cell>
          <cell r="ET19">
            <v>247</v>
          </cell>
          <cell r="EX19">
            <v>461</v>
          </cell>
          <cell r="EZ19">
            <v>3.26</v>
          </cell>
          <cell r="FL19">
            <v>38.75</v>
          </cell>
          <cell r="FM19">
            <v>55.99</v>
          </cell>
          <cell r="FN19">
            <v>3.6297000000000003E-2</v>
          </cell>
          <cell r="FO19">
            <v>2.0299999999999998</v>
          </cell>
          <cell r="FP19">
            <v>55.99</v>
          </cell>
          <cell r="FQ19">
            <v>7.8799999999999999E-3</v>
          </cell>
          <cell r="FR19">
            <v>0.44</v>
          </cell>
          <cell r="FS19">
            <v>67.45</v>
          </cell>
          <cell r="FT19">
            <v>0.17</v>
          </cell>
          <cell r="FU19">
            <v>11.46</v>
          </cell>
          <cell r="GD19">
            <v>305</v>
          </cell>
          <cell r="GE19">
            <v>48326</v>
          </cell>
          <cell r="GF19">
            <v>48021</v>
          </cell>
          <cell r="GG19">
            <v>1</v>
          </cell>
          <cell r="HU19">
            <v>380</v>
          </cell>
          <cell r="HY19">
            <v>545</v>
          </cell>
          <cell r="IC19">
            <v>387</v>
          </cell>
          <cell r="IG19">
            <v>706</v>
          </cell>
          <cell r="IK19">
            <v>692</v>
          </cell>
          <cell r="IO19">
            <v>488</v>
          </cell>
          <cell r="IS19">
            <v>850</v>
          </cell>
          <cell r="IW19">
            <v>499</v>
          </cell>
        </row>
        <row r="20">
          <cell r="A20" t="str">
            <v/>
          </cell>
          <cell r="B20" t="str">
            <v>10/435964-2</v>
          </cell>
          <cell r="C20" t="str">
            <v>Vila Nasser 3574</v>
          </cell>
          <cell r="F20" t="str">
            <v>energisa_ms</v>
          </cell>
          <cell r="G20" t="str">
            <v>Vila Nasser 3574</v>
          </cell>
          <cell r="H20" t="str">
            <v>Igreja do Evangelho Quadrangular</v>
          </cell>
          <cell r="I20">
            <v>45839</v>
          </cell>
          <cell r="J20" t="str">
            <v>COMERCIAL - TEMPLOS RELIGIOSOS</v>
          </cell>
          <cell r="K20" t="str">
            <v>79116191</v>
          </cell>
          <cell r="L20" t="str">
            <v>MS</v>
          </cell>
          <cell r="M20" t="str">
            <v>CAMPO GRANDE</v>
          </cell>
          <cell r="N20" t="str">
            <v>VILA MARLI</v>
          </cell>
          <cell r="O20" t="str">
            <v>RUA THEODORO ROOSEVELT, 1263 - 08.104.25.107000</v>
          </cell>
          <cell r="P20">
            <v>45853</v>
          </cell>
          <cell r="Q20" t="str">
            <v>B - B3</v>
          </cell>
          <cell r="R20" t="str">
            <v>6X.XXX.XXX/XXX4-05</v>
          </cell>
          <cell r="U20">
            <v>45820</v>
          </cell>
          <cell r="V20">
            <v>45852</v>
          </cell>
          <cell r="W20">
            <v>45882</v>
          </cell>
          <cell r="X20">
            <v>45861</v>
          </cell>
          <cell r="Z20" t="str">
            <v>true</v>
          </cell>
          <cell r="AA20" t="str">
            <v>011.146.810-002</v>
          </cell>
          <cell r="AB20" t="str">
            <v>trifasico</v>
          </cell>
          <cell r="AC20" t="str">
            <v>convencional</v>
          </cell>
          <cell r="AD20">
            <v>110.67</v>
          </cell>
          <cell r="AF20" t="str">
            <v>IGREJA DO EVANGELHO QUADRANGULAR</v>
          </cell>
          <cell r="AL20">
            <v>218</v>
          </cell>
          <cell r="AM20">
            <v>1.1631506518590053</v>
          </cell>
          <cell r="AN20">
            <v>253.56684210526316</v>
          </cell>
          <cell r="AO20">
            <v>1.106834862385321</v>
          </cell>
          <cell r="AX20">
            <v>142</v>
          </cell>
          <cell r="AY20">
            <v>1.0063157894736841</v>
          </cell>
          <cell r="AZ20">
            <v>-142.89684210526315</v>
          </cell>
          <cell r="BA20">
            <v>1.1068309859154928</v>
          </cell>
          <cell r="DR20">
            <v>142</v>
          </cell>
          <cell r="DS20">
            <v>1.1631467753891771</v>
          </cell>
          <cell r="DT20">
            <v>-165.16684210526316</v>
          </cell>
          <cell r="DU20">
            <v>1.1068309859154928</v>
          </cell>
          <cell r="ET20">
            <v>142</v>
          </cell>
          <cell r="EX20">
            <v>240</v>
          </cell>
          <cell r="EZ20">
            <v>4.28</v>
          </cell>
          <cell r="FL20">
            <v>22.27</v>
          </cell>
          <cell r="FM20">
            <v>73.349999999999994</v>
          </cell>
          <cell r="FN20">
            <v>3.6297000000000003E-2</v>
          </cell>
          <cell r="FO20">
            <v>2.67</v>
          </cell>
          <cell r="FP20">
            <v>73.349999999999994</v>
          </cell>
          <cell r="FQ20">
            <v>7.8799999999999999E-3</v>
          </cell>
          <cell r="FR20">
            <v>0.57999999999999996</v>
          </cell>
          <cell r="FS20">
            <v>88.4</v>
          </cell>
          <cell r="FT20">
            <v>0.17</v>
          </cell>
          <cell r="FU20">
            <v>15.02</v>
          </cell>
          <cell r="GD20">
            <v>218</v>
          </cell>
          <cell r="GE20">
            <v>67051</v>
          </cell>
          <cell r="GF20">
            <v>66833</v>
          </cell>
          <cell r="GG20">
            <v>1</v>
          </cell>
          <cell r="HU20">
            <v>240</v>
          </cell>
          <cell r="HY20">
            <v>336</v>
          </cell>
          <cell r="IC20">
            <v>439</v>
          </cell>
          <cell r="IG20">
            <v>413</v>
          </cell>
          <cell r="IK20">
            <v>417</v>
          </cell>
          <cell r="IO20">
            <v>448</v>
          </cell>
          <cell r="IS20">
            <v>466</v>
          </cell>
          <cell r="IW20">
            <v>295</v>
          </cell>
        </row>
        <row r="21">
          <cell r="A21" t="str">
            <v/>
          </cell>
          <cell r="B21" t="str">
            <v>10/399338-3</v>
          </cell>
          <cell r="C21" t="str">
            <v>Piratininga 2132</v>
          </cell>
          <cell r="F21" t="str">
            <v>energisa_ms</v>
          </cell>
          <cell r="G21" t="str">
            <v>Piratininga 2132</v>
          </cell>
          <cell r="H21" t="str">
            <v>Igreja do Evangelho Quadrangular</v>
          </cell>
          <cell r="I21">
            <v>45839</v>
          </cell>
          <cell r="J21" t="str">
            <v>COMERCIAL - TEMPLOS RELIGIOSOS</v>
          </cell>
          <cell r="K21" t="str">
            <v>79081160</v>
          </cell>
          <cell r="L21" t="str">
            <v>MS</v>
          </cell>
          <cell r="M21" t="str">
            <v>CAMPO GRANDE</v>
          </cell>
          <cell r="N21" t="str">
            <v>VILA PIRATININGA</v>
          </cell>
          <cell r="O21" t="str">
            <v>RUA GENERAL ALCOFORADO, 499 - 17.103.11.353000</v>
          </cell>
          <cell r="P21">
            <v>45853</v>
          </cell>
          <cell r="Q21" t="str">
            <v>B - B3</v>
          </cell>
          <cell r="R21" t="str">
            <v>62955505213233</v>
          </cell>
          <cell r="U21">
            <v>45820</v>
          </cell>
          <cell r="V21">
            <v>45852</v>
          </cell>
          <cell r="W21">
            <v>45882</v>
          </cell>
          <cell r="X21">
            <v>45861</v>
          </cell>
          <cell r="AA21" t="str">
            <v>011.146.565-002</v>
          </cell>
          <cell r="AB21" t="str">
            <v>trifasico</v>
          </cell>
          <cell r="AC21" t="str">
            <v>convencional</v>
          </cell>
          <cell r="AD21">
            <v>112.47</v>
          </cell>
          <cell r="AE21" t="str">
            <v>34191.09552 01312.540279 52186.260007 1 11510000011247</v>
          </cell>
          <cell r="AF21" t="str">
            <v>IGREJA DO EVANGELHO QUADRANGULAR</v>
          </cell>
          <cell r="AL21">
            <v>241</v>
          </cell>
          <cell r="AM21">
            <v>1.1630964730290456</v>
          </cell>
          <cell r="AN21">
            <v>280.30624999999998</v>
          </cell>
          <cell r="AO21">
            <v>1.1068464730290457</v>
          </cell>
          <cell r="AX21">
            <v>169</v>
          </cell>
          <cell r="AY21">
            <v>1.0061908284023668</v>
          </cell>
          <cell r="AZ21">
            <v>-170.04624999999999</v>
          </cell>
          <cell r="BA21">
            <v>1.1068047337278106</v>
          </cell>
          <cell r="DR21">
            <v>169</v>
          </cell>
          <cell r="DS21">
            <v>1.1630547337278105</v>
          </cell>
          <cell r="DT21">
            <v>-196.55624999999998</v>
          </cell>
          <cell r="DU21">
            <v>1.1068047337278106</v>
          </cell>
          <cell r="ET21">
            <v>169</v>
          </cell>
          <cell r="EX21">
            <v>619</v>
          </cell>
          <cell r="EZ21">
            <v>4.05</v>
          </cell>
          <cell r="FC21">
            <v>2.2099999999999995</v>
          </cell>
          <cell r="FL21">
            <v>26.51</v>
          </cell>
          <cell r="FM21">
            <v>69.540000000000006</v>
          </cell>
          <cell r="FN21">
            <v>3.6297000000000003E-2</v>
          </cell>
          <cell r="FO21">
            <v>2.5299999999999998</v>
          </cell>
          <cell r="FP21">
            <v>69.540000000000006</v>
          </cell>
          <cell r="FQ21">
            <v>7.8799999999999999E-3</v>
          </cell>
          <cell r="FR21">
            <v>0.55000000000000004</v>
          </cell>
          <cell r="FS21">
            <v>83.75</v>
          </cell>
          <cell r="FT21">
            <v>0.17</v>
          </cell>
          <cell r="FU21">
            <v>14.23</v>
          </cell>
          <cell r="GD21">
            <v>241</v>
          </cell>
          <cell r="GE21">
            <v>61886</v>
          </cell>
          <cell r="GF21">
            <v>61645</v>
          </cell>
          <cell r="GG21">
            <v>1</v>
          </cell>
          <cell r="HU21">
            <v>313</v>
          </cell>
          <cell r="HY21">
            <v>422</v>
          </cell>
          <cell r="IC21">
            <v>605</v>
          </cell>
          <cell r="IG21">
            <v>757</v>
          </cell>
          <cell r="IK21">
            <v>639</v>
          </cell>
          <cell r="IO21">
            <v>572</v>
          </cell>
          <cell r="IS21">
            <v>895</v>
          </cell>
          <cell r="IW21">
            <v>648</v>
          </cell>
        </row>
        <row r="22">
          <cell r="A22" t="str">
            <v/>
          </cell>
          <cell r="B22" t="str">
            <v>10/3139326-7</v>
          </cell>
          <cell r="C22" t="str">
            <v>6315</v>
          </cell>
          <cell r="F22" t="str">
            <v>energisa_ms</v>
          </cell>
          <cell r="G22" t="str">
            <v>5661</v>
          </cell>
          <cell r="H22" t="str">
            <v>Igreja do Evangelho Quadrangular</v>
          </cell>
          <cell r="I22">
            <v>45839</v>
          </cell>
          <cell r="J22" t="str">
            <v>COMERCIAL - TEMPLOS RELIGIOSOS</v>
          </cell>
          <cell r="K22" t="str">
            <v>79833280</v>
          </cell>
          <cell r="L22" t="str">
            <v>MS</v>
          </cell>
          <cell r="M22" t="str">
            <v>DOURADOS</v>
          </cell>
          <cell r="N22" t="str">
            <v>VILA SAO FRANCISCO</v>
          </cell>
          <cell r="O22" t="str">
            <v>RUA ALBERTINA DE MATTOS, S/N - 01.010.015.346000</v>
          </cell>
          <cell r="P22">
            <v>45842</v>
          </cell>
          <cell r="Q22" t="str">
            <v>B - B3</v>
          </cell>
          <cell r="R22" t="str">
            <v>62955505182257</v>
          </cell>
          <cell r="U22">
            <v>45811</v>
          </cell>
          <cell r="V22">
            <v>45841</v>
          </cell>
          <cell r="W22">
            <v>45873</v>
          </cell>
          <cell r="X22">
            <v>45853</v>
          </cell>
          <cell r="AA22" t="str">
            <v>010.981.019-002</v>
          </cell>
          <cell r="AB22" t="str">
            <v>trifasico</v>
          </cell>
          <cell r="AC22" t="str">
            <v>convencional</v>
          </cell>
          <cell r="AD22">
            <v>230.21</v>
          </cell>
          <cell r="AE22" t="str">
            <v>34191.09115 85531.082932 85972.140009 9 11430000023021</v>
          </cell>
          <cell r="AF22" t="str">
            <v>IGREJA DO EVANGELHO QUADRANGULAR</v>
          </cell>
          <cell r="AL22">
            <v>363</v>
          </cell>
          <cell r="AM22">
            <v>1.1632149346462692</v>
          </cell>
          <cell r="AN22">
            <v>422.24702127659572</v>
          </cell>
          <cell r="AO22">
            <v>1.106831955922865</v>
          </cell>
          <cell r="AX22">
            <v>316</v>
          </cell>
          <cell r="AY22">
            <v>1.0063196875841638</v>
          </cell>
          <cell r="AZ22">
            <v>-317.99702127659577</v>
          </cell>
          <cell r="BA22">
            <v>1.1068354430379748</v>
          </cell>
          <cell r="DR22">
            <v>316</v>
          </cell>
          <cell r="DS22">
            <v>1.163218421761379</v>
          </cell>
          <cell r="DT22">
            <v>-367.57702127659576</v>
          </cell>
          <cell r="DU22">
            <v>1.1068354430379748</v>
          </cell>
          <cell r="ET22">
            <v>316</v>
          </cell>
          <cell r="EX22">
            <v>182</v>
          </cell>
          <cell r="EZ22">
            <v>2.65</v>
          </cell>
          <cell r="FA22">
            <v>66.3</v>
          </cell>
          <cell r="FB22">
            <v>46.17</v>
          </cell>
          <cell r="FC22">
            <v>13.489999999999998</v>
          </cell>
          <cell r="FL22">
            <v>49.58</v>
          </cell>
          <cell r="FM22">
            <v>45.38</v>
          </cell>
          <cell r="FN22">
            <v>3.6297000000000003E-2</v>
          </cell>
          <cell r="FO22">
            <v>1.64</v>
          </cell>
          <cell r="FP22">
            <v>45.38</v>
          </cell>
          <cell r="FQ22">
            <v>7.8799999999999999E-3</v>
          </cell>
          <cell r="FR22">
            <v>0.35</v>
          </cell>
          <cell r="FS22">
            <v>54.67</v>
          </cell>
          <cell r="FT22">
            <v>0.17</v>
          </cell>
          <cell r="FU22">
            <v>9.2899999999999991</v>
          </cell>
          <cell r="GD22">
            <v>363</v>
          </cell>
          <cell r="GE22">
            <v>36691</v>
          </cell>
          <cell r="GF22">
            <v>36328</v>
          </cell>
          <cell r="GG22">
            <v>1</v>
          </cell>
          <cell r="HU22">
            <v>420</v>
          </cell>
          <cell r="HY22">
            <v>384</v>
          </cell>
          <cell r="IC22">
            <v>493</v>
          </cell>
          <cell r="IG22">
            <v>590</v>
          </cell>
          <cell r="IK22">
            <v>493</v>
          </cell>
          <cell r="IO22">
            <v>401</v>
          </cell>
          <cell r="IS22">
            <v>523</v>
          </cell>
          <cell r="IW22">
            <v>528</v>
          </cell>
        </row>
        <row r="23">
          <cell r="A23" t="str">
            <v/>
          </cell>
          <cell r="B23" t="str">
            <v>10/3125732-2</v>
          </cell>
          <cell r="C23" t="str">
            <v>Aral Moreira 58175</v>
          </cell>
          <cell r="F23" t="str">
            <v>energisa_ms</v>
          </cell>
          <cell r="G23" t="str">
            <v>Jardim Vitória 6276</v>
          </cell>
          <cell r="H23" t="str">
            <v>Igreja do Evangelho Quadrangular</v>
          </cell>
          <cell r="I23">
            <v>45839</v>
          </cell>
          <cell r="J23" t="str">
            <v>COMERCIAL - TEMPLOS RELIGIOSOS</v>
          </cell>
          <cell r="K23" t="str">
            <v>79930000</v>
          </cell>
          <cell r="L23" t="str">
            <v>MS</v>
          </cell>
          <cell r="M23" t="str">
            <v>ARAL MOREIRA</v>
          </cell>
          <cell r="N23" t="str">
            <v>CENTRO</v>
          </cell>
          <cell r="O23" t="str">
            <v>RUA QUINZE DE NOVEMBRO, 182 - 06-070-07-058000</v>
          </cell>
          <cell r="P23">
            <v>45849</v>
          </cell>
          <cell r="Q23" t="str">
            <v>B - B3</v>
          </cell>
          <cell r="R23" t="str">
            <v>6X.XXX.XXX/XXX5-12</v>
          </cell>
          <cell r="U23">
            <v>45818</v>
          </cell>
          <cell r="V23">
            <v>45848</v>
          </cell>
          <cell r="W23">
            <v>45880</v>
          </cell>
          <cell r="X23">
            <v>45860</v>
          </cell>
          <cell r="Z23" t="str">
            <v>true</v>
          </cell>
          <cell r="AA23" t="str">
            <v>011.107.444-002</v>
          </cell>
          <cell r="AB23" t="str">
            <v>bifasico</v>
          </cell>
          <cell r="AC23" t="str">
            <v>convencional</v>
          </cell>
          <cell r="AD23">
            <v>114.19</v>
          </cell>
          <cell r="AF23" t="str">
            <v>IGREJA DO EVANGELHO QUADRANGULAR</v>
          </cell>
          <cell r="AL23">
            <v>136</v>
          </cell>
          <cell r="AM23">
            <v>1.1632018716577541</v>
          </cell>
          <cell r="AN23">
            <v>158.19545454545457</v>
          </cell>
          <cell r="AO23">
            <v>1.1068382352941177</v>
          </cell>
          <cell r="AX23">
            <v>103</v>
          </cell>
          <cell r="AY23">
            <v>1.0062665489849956</v>
          </cell>
          <cell r="AZ23">
            <v>-103.64545454545454</v>
          </cell>
          <cell r="BA23">
            <v>1.1067961165048543</v>
          </cell>
          <cell r="DR23">
            <v>103</v>
          </cell>
          <cell r="DS23">
            <v>1.1631597528684907</v>
          </cell>
          <cell r="DT23">
            <v>-119.80545454545454</v>
          </cell>
          <cell r="DU23">
            <v>1.1067961165048543</v>
          </cell>
          <cell r="ET23">
            <v>103</v>
          </cell>
          <cell r="EX23">
            <v>72</v>
          </cell>
          <cell r="EZ23">
            <v>1.86</v>
          </cell>
          <cell r="FA23">
            <v>59.64</v>
          </cell>
          <cell r="FL23">
            <v>16.16</v>
          </cell>
          <cell r="FM23">
            <v>31.85</v>
          </cell>
          <cell r="FN23">
            <v>3.6297000000000003E-2</v>
          </cell>
          <cell r="FO23">
            <v>1.1599999999999999</v>
          </cell>
          <cell r="FP23">
            <v>31.85</v>
          </cell>
          <cell r="FQ23">
            <v>7.8799999999999999E-3</v>
          </cell>
          <cell r="FR23">
            <v>0.25</v>
          </cell>
          <cell r="FS23">
            <v>38.39</v>
          </cell>
          <cell r="FT23">
            <v>0.17</v>
          </cell>
          <cell r="FU23">
            <v>6.52</v>
          </cell>
          <cell r="GD23">
            <v>136</v>
          </cell>
          <cell r="GE23">
            <v>17206</v>
          </cell>
          <cell r="GF23">
            <v>17070</v>
          </cell>
          <cell r="GG23">
            <v>1</v>
          </cell>
          <cell r="HU23">
            <v>176</v>
          </cell>
          <cell r="HY23">
            <v>183</v>
          </cell>
          <cell r="IC23">
            <v>198</v>
          </cell>
          <cell r="IG23">
            <v>208</v>
          </cell>
          <cell r="IK23">
            <v>244</v>
          </cell>
          <cell r="IO23">
            <v>215</v>
          </cell>
          <cell r="IS23">
            <v>222</v>
          </cell>
          <cell r="IW23">
            <v>177</v>
          </cell>
        </row>
        <row r="24">
          <cell r="A24" t="str">
            <v/>
          </cell>
          <cell r="B24" t="str">
            <v>10/13786-9</v>
          </cell>
          <cell r="C24" t="str">
            <v>Generoso</v>
          </cell>
          <cell r="F24" t="str">
            <v>energisa_ms</v>
          </cell>
          <cell r="G24" t="str">
            <v>Generoso</v>
          </cell>
          <cell r="H24" t="str">
            <v>Igreja do Evangelho Quadrangular</v>
          </cell>
          <cell r="I24">
            <v>45839</v>
          </cell>
          <cell r="J24" t="str">
            <v>COMERCIAL - TEMPLOS RELIGIOSOS</v>
          </cell>
          <cell r="K24" t="str">
            <v>79333080</v>
          </cell>
          <cell r="L24" t="str">
            <v>MS</v>
          </cell>
          <cell r="M24" t="str">
            <v>CORUMBA</v>
          </cell>
          <cell r="N24" t="str">
            <v>DOM BOSCO</v>
          </cell>
          <cell r="O24" t="str">
            <v>RUA MARECHAL DEODORO, 118 - 03.003.01.491000</v>
          </cell>
          <cell r="P24">
            <v>45856</v>
          </cell>
          <cell r="Q24" t="str">
            <v>B - B3</v>
          </cell>
          <cell r="R24" t="str">
            <v>62955505197521</v>
          </cell>
          <cell r="U24">
            <v>45825</v>
          </cell>
          <cell r="V24">
            <v>45855</v>
          </cell>
          <cell r="W24">
            <v>45884</v>
          </cell>
          <cell r="X24">
            <v>45867</v>
          </cell>
          <cell r="AA24" t="str">
            <v>011.191.683-002</v>
          </cell>
          <cell r="AB24" t="str">
            <v>bifasico</v>
          </cell>
          <cell r="AC24" t="str">
            <v>convencional</v>
          </cell>
          <cell r="AD24">
            <v>51.72</v>
          </cell>
          <cell r="AE24" t="str">
            <v>34191.09123 14624.042934 85972.140009 1 11570000005172</v>
          </cell>
          <cell r="AF24" t="str">
            <v>IGREJA DO EVANGELHO QUADRANGULAR</v>
          </cell>
          <cell r="AL24">
            <v>195</v>
          </cell>
          <cell r="AM24">
            <v>1.163010989010989</v>
          </cell>
          <cell r="AN24">
            <v>226.78714285714284</v>
          </cell>
          <cell r="AO24">
            <v>1.1068205128205129</v>
          </cell>
          <cell r="AX24">
            <v>174</v>
          </cell>
          <cell r="AY24">
            <v>1.0061330049261084</v>
          </cell>
          <cell r="AZ24">
            <v>-175.06714285714284</v>
          </cell>
          <cell r="BA24">
            <v>1.1068390804597701</v>
          </cell>
          <cell r="DR24">
            <v>174</v>
          </cell>
          <cell r="DS24">
            <v>1.1630295566502462</v>
          </cell>
          <cell r="DT24">
            <v>-202.36714285714285</v>
          </cell>
          <cell r="DU24">
            <v>1.1068390804597701</v>
          </cell>
          <cell r="ET24">
            <v>174</v>
          </cell>
          <cell r="EX24">
            <v>120</v>
          </cell>
          <cell r="EZ24">
            <v>1.18</v>
          </cell>
          <cell r="FL24">
            <v>27.3</v>
          </cell>
          <cell r="FM24">
            <v>20.28</v>
          </cell>
          <cell r="FN24">
            <v>3.6297000000000003E-2</v>
          </cell>
          <cell r="FO24">
            <v>0.74</v>
          </cell>
          <cell r="FP24">
            <v>20.28</v>
          </cell>
          <cell r="FQ24">
            <v>7.8799999999999999E-3</v>
          </cell>
          <cell r="FR24">
            <v>0.16</v>
          </cell>
          <cell r="FS24">
            <v>24.42</v>
          </cell>
          <cell r="FT24">
            <v>0.17</v>
          </cell>
          <cell r="FU24">
            <v>4.1500000000000004</v>
          </cell>
          <cell r="GD24">
            <v>195</v>
          </cell>
          <cell r="GE24">
            <v>12675</v>
          </cell>
          <cell r="GF24">
            <v>12480</v>
          </cell>
          <cell r="GG24">
            <v>1</v>
          </cell>
          <cell r="HU24">
            <v>227</v>
          </cell>
          <cell r="HY24">
            <v>294</v>
          </cell>
          <cell r="IC24">
            <v>280</v>
          </cell>
          <cell r="IG24">
            <v>410</v>
          </cell>
          <cell r="IK24">
            <v>271</v>
          </cell>
          <cell r="IO24">
            <v>315</v>
          </cell>
          <cell r="IS24">
            <v>380</v>
          </cell>
          <cell r="IW24">
            <v>282</v>
          </cell>
        </row>
        <row r="25">
          <cell r="A25" t="str">
            <v/>
          </cell>
          <cell r="B25" t="str">
            <v>10/1674177-9</v>
          </cell>
          <cell r="C25" t="str">
            <v>3ª IEQ de Anastácio 59611</v>
          </cell>
          <cell r="F25" t="str">
            <v>energisa_ms</v>
          </cell>
          <cell r="G25" t="str">
            <v>3ª IEQ de Anastácio 59611</v>
          </cell>
          <cell r="H25" t="str">
            <v>Igreja do Evangelho Quadrangular</v>
          </cell>
          <cell r="I25">
            <v>45839</v>
          </cell>
          <cell r="J25" t="str">
            <v>COMERCIAL - COMERCIAL</v>
          </cell>
          <cell r="K25" t="str">
            <v>79210000</v>
          </cell>
          <cell r="L25" t="str">
            <v>MS</v>
          </cell>
          <cell r="M25" t="str">
            <v>ANASTACIO</v>
          </cell>
          <cell r="N25" t="str">
            <v>CENTRO</v>
          </cell>
          <cell r="O25" t="str">
            <v>RUA JOAO LEITE RIBEIRO, 1636 - LT 18 QUADRA 04</v>
          </cell>
          <cell r="P25">
            <v>45848</v>
          </cell>
          <cell r="Q25" t="str">
            <v>B - B3</v>
          </cell>
          <cell r="R25" t="str">
            <v>62955505016160</v>
          </cell>
          <cell r="U25">
            <v>45817</v>
          </cell>
          <cell r="V25">
            <v>45847</v>
          </cell>
          <cell r="W25">
            <v>45877</v>
          </cell>
          <cell r="X25">
            <v>45859</v>
          </cell>
          <cell r="AA25" t="str">
            <v>011.082.456-002</v>
          </cell>
          <cell r="AB25" t="str">
            <v>trifasico</v>
          </cell>
          <cell r="AC25" t="str">
            <v>convencional</v>
          </cell>
          <cell r="AD25">
            <v>154.93</v>
          </cell>
          <cell r="AE25" t="str">
            <v>34191.09115 98483.662932 85972.140009 9 11490000015493</v>
          </cell>
          <cell r="AF25" t="str">
            <v>IGREJA DO EVANGELICO QUADRANGULAR</v>
          </cell>
          <cell r="AL25">
            <v>202</v>
          </cell>
          <cell r="AM25">
            <v>1.1630816831683168</v>
          </cell>
          <cell r="AN25">
            <v>234.9425</v>
          </cell>
          <cell r="AO25">
            <v>1.1068316831683169</v>
          </cell>
          <cell r="AX25">
            <v>122</v>
          </cell>
          <cell r="AY25">
            <v>1.0061680327868854</v>
          </cell>
          <cell r="AZ25">
            <v>-122.75250000000001</v>
          </cell>
          <cell r="BA25">
            <v>1.1068032786885247</v>
          </cell>
          <cell r="DR25">
            <v>122</v>
          </cell>
          <cell r="DS25">
            <v>1.1630532786885246</v>
          </cell>
          <cell r="DT25">
            <v>-141.89250000000001</v>
          </cell>
          <cell r="DU25">
            <v>1.1068032786885247</v>
          </cell>
          <cell r="ET25">
            <v>122</v>
          </cell>
          <cell r="EX25">
            <v>345</v>
          </cell>
          <cell r="EZ25">
            <v>4.5</v>
          </cell>
          <cell r="FA25">
            <v>35.46</v>
          </cell>
          <cell r="FC25">
            <v>7.28</v>
          </cell>
          <cell r="FL25">
            <v>19.14</v>
          </cell>
          <cell r="FM25">
            <v>77.22</v>
          </cell>
          <cell r="FN25">
            <v>3.6297000000000003E-2</v>
          </cell>
          <cell r="FO25">
            <v>2.79</v>
          </cell>
          <cell r="FP25">
            <v>77.22</v>
          </cell>
          <cell r="FQ25">
            <v>7.8799999999999999E-3</v>
          </cell>
          <cell r="FR25">
            <v>0.61</v>
          </cell>
          <cell r="FS25">
            <v>93.05</v>
          </cell>
          <cell r="FT25">
            <v>0.17</v>
          </cell>
          <cell r="FU25">
            <v>15.81</v>
          </cell>
          <cell r="GD25">
            <v>202</v>
          </cell>
          <cell r="GE25">
            <v>28301</v>
          </cell>
          <cell r="GF25">
            <v>28099</v>
          </cell>
          <cell r="GG25">
            <v>1</v>
          </cell>
          <cell r="HU25">
            <v>375</v>
          </cell>
          <cell r="HY25">
            <v>377</v>
          </cell>
          <cell r="IC25">
            <v>540</v>
          </cell>
          <cell r="IG25">
            <v>754</v>
          </cell>
          <cell r="IK25">
            <v>507</v>
          </cell>
          <cell r="IO25">
            <v>484</v>
          </cell>
          <cell r="IS25">
            <v>564</v>
          </cell>
          <cell r="IW25">
            <v>410</v>
          </cell>
        </row>
        <row r="26">
          <cell r="A26" t="str">
            <v/>
          </cell>
          <cell r="B26" t="str">
            <v>10/1288241-1</v>
          </cell>
          <cell r="C26" t="str">
            <v>Planalto 3358</v>
          </cell>
          <cell r="F26" t="str">
            <v>energisa_ms</v>
          </cell>
          <cell r="G26" t="str">
            <v>Planalto 3358</v>
          </cell>
          <cell r="H26" t="str">
            <v>Igreja do Evangelho Quadrangular</v>
          </cell>
          <cell r="I26">
            <v>45839</v>
          </cell>
          <cell r="J26" t="str">
            <v>COMERCIAL - TEMPLOS RELIGIOSOS</v>
          </cell>
          <cell r="K26" t="str">
            <v>79009790</v>
          </cell>
          <cell r="L26" t="str">
            <v>MS</v>
          </cell>
          <cell r="M26" t="str">
            <v>CAMPO GRANDE</v>
          </cell>
          <cell r="N26" t="str">
            <v>VILA PLANALTO</v>
          </cell>
          <cell r="O26" t="str">
            <v>AVENIDA TAMANDARE, 1036 - 02.104.21.198001</v>
          </cell>
          <cell r="P26">
            <v>45842</v>
          </cell>
          <cell r="Q26" t="str">
            <v>B - B3</v>
          </cell>
          <cell r="R26" t="str">
            <v>62955505335851</v>
          </cell>
          <cell r="U26">
            <v>45811</v>
          </cell>
          <cell r="V26">
            <v>45841</v>
          </cell>
          <cell r="W26">
            <v>45873</v>
          </cell>
          <cell r="X26">
            <v>45864</v>
          </cell>
          <cell r="AA26" t="str">
            <v>010.978.245-002</v>
          </cell>
          <cell r="AB26" t="str">
            <v>trifasico</v>
          </cell>
          <cell r="AC26" t="str">
            <v>convencional</v>
          </cell>
          <cell r="AD26">
            <v>116.23</v>
          </cell>
          <cell r="AE26" t="str">
            <v>34191.09545 91804.120276 52186.260007 5 11540000011623</v>
          </cell>
          <cell r="AF26" t="str">
            <v>IGREJA DO EVANGELHO QUADRANGULAR</v>
          </cell>
          <cell r="AL26">
            <v>175</v>
          </cell>
          <cell r="AM26">
            <v>1.1630352941176472</v>
          </cell>
          <cell r="AN26">
            <v>203.53117647058826</v>
          </cell>
          <cell r="AO26">
            <v>1.1068</v>
          </cell>
          <cell r="AX26">
            <v>90</v>
          </cell>
          <cell r="AY26">
            <v>1.0061241830065362</v>
          </cell>
          <cell r="AZ26">
            <v>-90.551176470588246</v>
          </cell>
          <cell r="BA26">
            <v>1.1067777777777779</v>
          </cell>
          <cell r="DR26">
            <v>90</v>
          </cell>
          <cell r="DS26">
            <v>1.163013071895425</v>
          </cell>
          <cell r="DT26">
            <v>-104.67117647058825</v>
          </cell>
          <cell r="DU26">
            <v>1.1067777777777779</v>
          </cell>
          <cell r="ET26">
            <v>90</v>
          </cell>
          <cell r="EX26">
            <v>61</v>
          </cell>
          <cell r="EZ26">
            <v>4.78</v>
          </cell>
          <cell r="FC26">
            <v>3.25</v>
          </cell>
          <cell r="FL26">
            <v>14.12</v>
          </cell>
          <cell r="FM26">
            <v>82.07</v>
          </cell>
          <cell r="FN26">
            <v>3.6297000000000003E-2</v>
          </cell>
          <cell r="FO26">
            <v>2.98</v>
          </cell>
          <cell r="FP26">
            <v>82.07</v>
          </cell>
          <cell r="FQ26">
            <v>7.8799999999999999E-3</v>
          </cell>
          <cell r="FR26">
            <v>0.65</v>
          </cell>
          <cell r="FS26">
            <v>98.86</v>
          </cell>
          <cell r="FT26">
            <v>0.17</v>
          </cell>
          <cell r="FU26">
            <v>16.8</v>
          </cell>
          <cell r="GD26">
            <v>175</v>
          </cell>
          <cell r="GE26">
            <v>23551</v>
          </cell>
          <cell r="GF26">
            <v>23376</v>
          </cell>
          <cell r="GG26">
            <v>1</v>
          </cell>
          <cell r="HU26">
            <v>203</v>
          </cell>
          <cell r="HY26">
            <v>250</v>
          </cell>
          <cell r="IC26">
            <v>252</v>
          </cell>
          <cell r="IG26">
            <v>248</v>
          </cell>
          <cell r="IK26">
            <v>253</v>
          </cell>
          <cell r="IO26">
            <v>205</v>
          </cell>
          <cell r="IS26">
            <v>226</v>
          </cell>
          <cell r="IW26">
            <v>257</v>
          </cell>
        </row>
        <row r="27">
          <cell r="A27" t="str">
            <v/>
          </cell>
          <cell r="B27" t="str">
            <v>10/341308-5</v>
          </cell>
          <cell r="C27" t="str">
            <v>Albuquerque 2391</v>
          </cell>
          <cell r="F27" t="str">
            <v>energisa_ms</v>
          </cell>
          <cell r="G27" t="str">
            <v>Albuquerque 2391</v>
          </cell>
          <cell r="H27" t="str">
            <v>Igreja do Evangelho Quadrangular</v>
          </cell>
          <cell r="I27">
            <v>45839</v>
          </cell>
          <cell r="J27" t="str">
            <v>COMERCIAL - TEMPLOS RELIGIOSOS</v>
          </cell>
          <cell r="K27" t="str">
            <v>79060170</v>
          </cell>
          <cell r="L27" t="str">
            <v>MS</v>
          </cell>
          <cell r="M27" t="str">
            <v>CAMPO GRANDE</v>
          </cell>
          <cell r="N27" t="str">
            <v>VILA ALBUQUERQUE</v>
          </cell>
          <cell r="O27" t="str">
            <v>RUA MAGNUS FONTAINE, 121 - 09.102.08.220000</v>
          </cell>
          <cell r="P27">
            <v>45852</v>
          </cell>
          <cell r="Q27" t="str">
            <v>B - B3</v>
          </cell>
          <cell r="R27" t="str">
            <v>6X.XXX.XXX/XXX1-19</v>
          </cell>
          <cell r="U27">
            <v>45819</v>
          </cell>
          <cell r="V27">
            <v>45849</v>
          </cell>
          <cell r="W27">
            <v>45881</v>
          </cell>
          <cell r="X27">
            <v>45884</v>
          </cell>
          <cell r="AA27" t="str">
            <v>011.121.393-002</v>
          </cell>
          <cell r="AB27" t="str">
            <v>bifasico</v>
          </cell>
          <cell r="AC27" t="str">
            <v>convencional</v>
          </cell>
          <cell r="AD27">
            <v>56.36</v>
          </cell>
          <cell r="AF27" t="str">
            <v>IGREJA DO EVANGELHO QUADRANGULAR</v>
          </cell>
          <cell r="AL27">
            <v>222</v>
          </cell>
          <cell r="AM27">
            <v>1.1628468468468469</v>
          </cell>
          <cell r="AN27">
            <v>258.15200000000004</v>
          </cell>
          <cell r="AO27">
            <v>1.1068468468468469</v>
          </cell>
          <cell r="AX27">
            <v>207</v>
          </cell>
          <cell r="AY27">
            <v>1.0059516908212562</v>
          </cell>
          <cell r="AZ27">
            <v>-208.23200000000003</v>
          </cell>
          <cell r="BA27">
            <v>1.1068115942028987</v>
          </cell>
          <cell r="DR27">
            <v>207</v>
          </cell>
          <cell r="DS27">
            <v>1.1628115942028987</v>
          </cell>
          <cell r="DT27">
            <v>-240.70200000000003</v>
          </cell>
          <cell r="DU27">
            <v>1.1068115942028987</v>
          </cell>
          <cell r="ET27">
            <v>207</v>
          </cell>
          <cell r="EX27">
            <v>168</v>
          </cell>
          <cell r="EZ27">
            <v>0.84</v>
          </cell>
          <cell r="FC27">
            <v>6.4399999999999995</v>
          </cell>
          <cell r="FL27">
            <v>32.47</v>
          </cell>
          <cell r="FM27">
            <v>14.47</v>
          </cell>
          <cell r="FN27">
            <v>3.6297000000000003E-2</v>
          </cell>
          <cell r="FO27">
            <v>0.52</v>
          </cell>
          <cell r="FP27">
            <v>14.47</v>
          </cell>
          <cell r="FQ27">
            <v>7.8799999999999999E-3</v>
          </cell>
          <cell r="FR27">
            <v>0.11</v>
          </cell>
          <cell r="FS27">
            <v>17.45</v>
          </cell>
          <cell r="FT27">
            <v>0.17</v>
          </cell>
          <cell r="FU27">
            <v>2.96</v>
          </cell>
          <cell r="GD27">
            <v>222</v>
          </cell>
          <cell r="GE27">
            <v>94135</v>
          </cell>
          <cell r="GF27">
            <v>93913</v>
          </cell>
          <cell r="GG27">
            <v>1</v>
          </cell>
          <cell r="HU27">
            <v>228</v>
          </cell>
          <cell r="HY27">
            <v>279</v>
          </cell>
          <cell r="IC27">
            <v>325</v>
          </cell>
          <cell r="IG27">
            <v>359</v>
          </cell>
          <cell r="IK27">
            <v>374</v>
          </cell>
          <cell r="IO27">
            <v>278</v>
          </cell>
          <cell r="IS27">
            <v>311</v>
          </cell>
          <cell r="IW27">
            <v>294</v>
          </cell>
        </row>
        <row r="28">
          <cell r="A28" t="str">
            <v/>
          </cell>
          <cell r="B28" t="str">
            <v>10/283183-2</v>
          </cell>
          <cell r="C28" t="str">
            <v>Paranhos 2876</v>
          </cell>
          <cell r="F28" t="str">
            <v>energisa_ms</v>
          </cell>
          <cell r="G28" t="str">
            <v>Paranhos 2876</v>
          </cell>
          <cell r="H28" t="str">
            <v>Igreja do Evangelho Quadrangular</v>
          </cell>
          <cell r="I28">
            <v>45839</v>
          </cell>
          <cell r="J28" t="str">
            <v>COMERCIAL - TEMPLOS RELIGIOSOS</v>
          </cell>
          <cell r="K28" t="str">
            <v>79925000</v>
          </cell>
          <cell r="L28" t="str">
            <v>MS</v>
          </cell>
          <cell r="M28" t="str">
            <v>PARANHOS</v>
          </cell>
          <cell r="N28" t="str">
            <v>CENTRO</v>
          </cell>
          <cell r="O28" t="str">
            <v>AVENIDA ALBERTO RATIER, 1200 - 11.091.05.353000</v>
          </cell>
          <cell r="P28">
            <v>45859</v>
          </cell>
          <cell r="Q28" t="str">
            <v>B - B3</v>
          </cell>
          <cell r="R28" t="str">
            <v>62955505287601</v>
          </cell>
          <cell r="U28">
            <v>45826</v>
          </cell>
          <cell r="V28">
            <v>45856</v>
          </cell>
          <cell r="W28">
            <v>45887</v>
          </cell>
          <cell r="X28">
            <v>45894</v>
          </cell>
          <cell r="AA28" t="str">
            <v>011.215.003-002</v>
          </cell>
          <cell r="AB28" t="str">
            <v>trifasico</v>
          </cell>
          <cell r="AC28" t="str">
            <v>convencional</v>
          </cell>
          <cell r="AD28">
            <v>140.6</v>
          </cell>
          <cell r="AE28" t="str">
            <v>34191.09123 15614.452934 85972.140009 4 11840000014060</v>
          </cell>
          <cell r="AF28" t="str">
            <v>IGREJA DO EVANGELHO QUADRANGULAR</v>
          </cell>
          <cell r="AL28">
            <v>102</v>
          </cell>
          <cell r="AM28">
            <v>1.1629647058823529</v>
          </cell>
          <cell r="AN28">
            <v>118.6224</v>
          </cell>
          <cell r="AO28">
            <v>1.1067647058823529</v>
          </cell>
          <cell r="AX28">
            <v>2</v>
          </cell>
          <cell r="AY28">
            <v>1.0062</v>
          </cell>
          <cell r="AZ28">
            <v>-2.0124</v>
          </cell>
          <cell r="BA28">
            <v>1.105</v>
          </cell>
          <cell r="DR28">
            <v>2</v>
          </cell>
          <cell r="DS28">
            <v>1.1612</v>
          </cell>
          <cell r="DT28">
            <v>-2.3224</v>
          </cell>
          <cell r="DU28">
            <v>1.105</v>
          </cell>
          <cell r="ET28">
            <v>2</v>
          </cell>
          <cell r="EZ28">
            <v>5.62</v>
          </cell>
          <cell r="FA28">
            <v>23.99</v>
          </cell>
          <cell r="FL28">
            <v>0.31</v>
          </cell>
          <cell r="FM28">
            <v>96.54</v>
          </cell>
          <cell r="FN28">
            <v>3.6297000000000003E-2</v>
          </cell>
          <cell r="FO28">
            <v>3.5</v>
          </cell>
          <cell r="FP28">
            <v>96.54</v>
          </cell>
          <cell r="FQ28">
            <v>7.8799999999999999E-3</v>
          </cell>
          <cell r="FR28">
            <v>0.77</v>
          </cell>
          <cell r="FS28">
            <v>116.3</v>
          </cell>
          <cell r="FT28">
            <v>0.17</v>
          </cell>
          <cell r="FU28">
            <v>19.77</v>
          </cell>
          <cell r="GD28">
            <v>102</v>
          </cell>
          <cell r="GE28">
            <v>35005</v>
          </cell>
          <cell r="GF28">
            <v>34903</v>
          </cell>
          <cell r="GG28">
            <v>1</v>
          </cell>
          <cell r="HU28">
            <v>119</v>
          </cell>
          <cell r="HY28">
            <v>155</v>
          </cell>
          <cell r="IC28">
            <v>126</v>
          </cell>
          <cell r="IG28">
            <v>183</v>
          </cell>
          <cell r="IK28">
            <v>181</v>
          </cell>
          <cell r="IO28">
            <v>199</v>
          </cell>
          <cell r="IS28">
            <v>177</v>
          </cell>
          <cell r="IW28">
            <v>156</v>
          </cell>
        </row>
        <row r="29">
          <cell r="A29" t="str">
            <v/>
          </cell>
          <cell r="B29" t="str">
            <v>10/175073-6</v>
          </cell>
          <cell r="C29" t="str">
            <v>Ivinhema 1344</v>
          </cell>
          <cell r="F29" t="str">
            <v>energisa_ms</v>
          </cell>
          <cell r="G29" t="str">
            <v>Ivinhema 1344</v>
          </cell>
          <cell r="H29" t="str">
            <v>Igreja do Evangelho Quadrangular</v>
          </cell>
          <cell r="I29">
            <v>45839</v>
          </cell>
          <cell r="J29" t="str">
            <v>COMERCIAL - TEMPLOS RELIGIOSOS</v>
          </cell>
          <cell r="K29" t="str">
            <v>79740000</v>
          </cell>
          <cell r="L29" t="str">
            <v>MS</v>
          </cell>
          <cell r="M29" t="str">
            <v>IVINHEMA</v>
          </cell>
          <cell r="N29" t="str">
            <v>ITAPOA</v>
          </cell>
          <cell r="O29" t="str">
            <v>RUA MIGUEL MARCHETTI, 149 - 14.039.19.312000</v>
          </cell>
          <cell r="P29">
            <v>45859</v>
          </cell>
          <cell r="Q29" t="str">
            <v>B - B3</v>
          </cell>
          <cell r="R29" t="str">
            <v>62955505134449</v>
          </cell>
          <cell r="U29">
            <v>45826</v>
          </cell>
          <cell r="V29">
            <v>45856</v>
          </cell>
          <cell r="W29">
            <v>45887</v>
          </cell>
          <cell r="X29">
            <v>45880</v>
          </cell>
          <cell r="AA29" t="str">
            <v>011.214.608-002</v>
          </cell>
          <cell r="AB29" t="str">
            <v>bifasico</v>
          </cell>
          <cell r="AC29" t="str">
            <v>convencional</v>
          </cell>
          <cell r="AD29">
            <v>72.97</v>
          </cell>
          <cell r="AE29" t="str">
            <v>34191.09123 15592.252934 85972.140009 8 11700000007297</v>
          </cell>
          <cell r="AF29" t="str">
            <v>IGREJA DO EVANGELHO QUADRANGULAR</v>
          </cell>
          <cell r="AL29">
            <v>78</v>
          </cell>
          <cell r="AM29">
            <v>1.1630170940170939</v>
          </cell>
          <cell r="AN29">
            <v>90.715333333333319</v>
          </cell>
          <cell r="AO29">
            <v>1.1067948717948717</v>
          </cell>
          <cell r="AX29">
            <v>33</v>
          </cell>
          <cell r="AY29">
            <v>1.0062222222222221</v>
          </cell>
          <cell r="AZ29">
            <v>-33.205333333333328</v>
          </cell>
          <cell r="BA29">
            <v>1.1066666666666667</v>
          </cell>
          <cell r="DR29">
            <v>33</v>
          </cell>
          <cell r="DS29">
            <v>1.1628888888888889</v>
          </cell>
          <cell r="DT29">
            <v>-38.37533333333333</v>
          </cell>
          <cell r="DU29">
            <v>1.1066666666666667</v>
          </cell>
          <cell r="ET29">
            <v>33</v>
          </cell>
          <cell r="EZ29">
            <v>2.5299999999999998</v>
          </cell>
          <cell r="FA29">
            <v>12.33</v>
          </cell>
          <cell r="FC29">
            <v>3.1300000000000003</v>
          </cell>
          <cell r="FL29">
            <v>5.17</v>
          </cell>
          <cell r="FM29">
            <v>43.46</v>
          </cell>
          <cell r="FN29">
            <v>3.6297000000000003E-2</v>
          </cell>
          <cell r="FO29">
            <v>1.58</v>
          </cell>
          <cell r="FP29">
            <v>43.46</v>
          </cell>
          <cell r="FQ29">
            <v>7.8799999999999999E-3</v>
          </cell>
          <cell r="FR29">
            <v>0.34</v>
          </cell>
          <cell r="FS29">
            <v>52.34</v>
          </cell>
          <cell r="FT29">
            <v>0.17</v>
          </cell>
          <cell r="FU29">
            <v>8.89</v>
          </cell>
          <cell r="GD29">
            <v>78</v>
          </cell>
          <cell r="GE29">
            <v>44525</v>
          </cell>
          <cell r="GF29">
            <v>44447</v>
          </cell>
          <cell r="GG29">
            <v>1</v>
          </cell>
          <cell r="HU29">
            <v>129</v>
          </cell>
          <cell r="HY29">
            <v>93</v>
          </cell>
          <cell r="IC29">
            <v>84</v>
          </cell>
          <cell r="IG29">
            <v>70</v>
          </cell>
          <cell r="IK29">
            <v>82</v>
          </cell>
          <cell r="IO29">
            <v>57</v>
          </cell>
          <cell r="IS29">
            <v>107</v>
          </cell>
          <cell r="IW29">
            <v>101</v>
          </cell>
        </row>
        <row r="30">
          <cell r="A30" t="str">
            <v/>
          </cell>
          <cell r="B30" t="str">
            <v>10/69319-2</v>
          </cell>
          <cell r="C30" t="str">
            <v>5661</v>
          </cell>
          <cell r="F30" t="str">
            <v>energisa_ms</v>
          </cell>
          <cell r="G30" t="str">
            <v>5661</v>
          </cell>
          <cell r="H30" t="str">
            <v>Igreja do Evangelho Quadrangular</v>
          </cell>
          <cell r="I30">
            <v>45839</v>
          </cell>
          <cell r="J30" t="str">
            <v>COMERCIAL - TEMPLOS RELIGIOSOS</v>
          </cell>
          <cell r="K30" t="str">
            <v>79822200</v>
          </cell>
          <cell r="L30" t="str">
            <v>MS</v>
          </cell>
          <cell r="M30" t="str">
            <v>DOURADOS</v>
          </cell>
          <cell r="N30" t="str">
            <v>PANAMBI VERA</v>
          </cell>
          <cell r="O30" t="str">
            <v>RUA ANTONIO ALVES ROCHA, 635 - 18.010.02.266000</v>
          </cell>
          <cell r="P30">
            <v>45855</v>
          </cell>
          <cell r="Q30" t="str">
            <v>B - B3</v>
          </cell>
          <cell r="R30" t="str">
            <v>62955505182257</v>
          </cell>
          <cell r="U30">
            <v>45824</v>
          </cell>
          <cell r="V30">
            <v>45854</v>
          </cell>
          <cell r="W30">
            <v>45883</v>
          </cell>
          <cell r="X30">
            <v>45866</v>
          </cell>
          <cell r="AA30" t="str">
            <v>011.168.267-002</v>
          </cell>
          <cell r="AB30" t="str">
            <v>trifasico</v>
          </cell>
          <cell r="AC30" t="str">
            <v>convencional</v>
          </cell>
          <cell r="AD30">
            <v>144.82</v>
          </cell>
          <cell r="AE30" t="str">
            <v>34191.09123 11498.292934 85972.140009 2 11560000014482</v>
          </cell>
          <cell r="AF30" t="str">
            <v>IGREJA DO EVANGELHO QUADRANGULAR</v>
          </cell>
          <cell r="AL30">
            <v>136</v>
          </cell>
          <cell r="AM30">
            <v>1.1631823213156232</v>
          </cell>
          <cell r="AN30">
            <v>158.19279569892475</v>
          </cell>
          <cell r="AO30">
            <v>1.1068382352941177</v>
          </cell>
          <cell r="AX30">
            <v>43</v>
          </cell>
          <cell r="AY30">
            <v>1.0063440860215054</v>
          </cell>
          <cell r="AZ30">
            <v>-43.272795698924732</v>
          </cell>
          <cell r="BA30">
            <v>1.1067441860465117</v>
          </cell>
          <cell r="DR30">
            <v>43</v>
          </cell>
          <cell r="DS30">
            <v>1.1630882720680171</v>
          </cell>
          <cell r="DT30">
            <v>-50.012795698924734</v>
          </cell>
          <cell r="DU30">
            <v>1.1067441860465117</v>
          </cell>
          <cell r="ET30">
            <v>43</v>
          </cell>
          <cell r="EX30">
            <v>32</v>
          </cell>
          <cell r="EZ30">
            <v>5.24</v>
          </cell>
          <cell r="FA30">
            <v>27.44</v>
          </cell>
          <cell r="FC30">
            <v>2.46</v>
          </cell>
          <cell r="FL30">
            <v>6.74</v>
          </cell>
          <cell r="FM30">
            <v>89.79</v>
          </cell>
          <cell r="FN30">
            <v>3.6297000000000003E-2</v>
          </cell>
          <cell r="FO30">
            <v>3.26</v>
          </cell>
          <cell r="FP30">
            <v>89.79</v>
          </cell>
          <cell r="FQ30">
            <v>7.8799999999999999E-3</v>
          </cell>
          <cell r="FR30">
            <v>0.71</v>
          </cell>
          <cell r="FS30">
            <v>108.18</v>
          </cell>
          <cell r="FT30">
            <v>0.17</v>
          </cell>
          <cell r="FU30">
            <v>18.39</v>
          </cell>
          <cell r="GD30">
            <v>136</v>
          </cell>
          <cell r="GE30">
            <v>45821</v>
          </cell>
          <cell r="GF30">
            <v>45685</v>
          </cell>
          <cell r="GG30">
            <v>1</v>
          </cell>
          <cell r="HU30">
            <v>202</v>
          </cell>
          <cell r="HY30">
            <v>237</v>
          </cell>
          <cell r="IC30">
            <v>302</v>
          </cell>
          <cell r="IG30">
            <v>477</v>
          </cell>
          <cell r="IK30">
            <v>392</v>
          </cell>
          <cell r="IO30">
            <v>360</v>
          </cell>
          <cell r="IS30">
            <v>461</v>
          </cell>
          <cell r="IW30">
            <v>302</v>
          </cell>
        </row>
        <row r="31">
          <cell r="A31" t="str">
            <v/>
          </cell>
          <cell r="B31" t="str">
            <v>10/63920-3</v>
          </cell>
          <cell r="C31" t="str">
            <v>1355 (Jardim Itália)</v>
          </cell>
          <cell r="F31" t="str">
            <v>energisa_ms</v>
          </cell>
          <cell r="G31" t="str">
            <v>1355 (Jardim Itália)</v>
          </cell>
          <cell r="H31" t="str">
            <v>Igreja do Evangelho Quadrangular</v>
          </cell>
          <cell r="I31">
            <v>45839</v>
          </cell>
          <cell r="J31" t="str">
            <v>COMERCIAL - TEMPLOS RELIGIOSOS</v>
          </cell>
          <cell r="K31" t="str">
            <v>79814040</v>
          </cell>
          <cell r="L31" t="str">
            <v>MS</v>
          </cell>
          <cell r="M31" t="str">
            <v>DOURADOS</v>
          </cell>
          <cell r="N31" t="str">
            <v>JARDIM MATO GROSSO</v>
          </cell>
          <cell r="O31" t="str">
            <v>RUA INOCENCIA DE MATOS OSORIO, 240 - 08.010.19.882000</v>
          </cell>
          <cell r="P31">
            <v>45849</v>
          </cell>
          <cell r="Q31" t="str">
            <v>B - B3</v>
          </cell>
          <cell r="R31" t="str">
            <v>62955505135500</v>
          </cell>
          <cell r="U31">
            <v>45818</v>
          </cell>
          <cell r="V31">
            <v>45848</v>
          </cell>
          <cell r="W31">
            <v>45880</v>
          </cell>
          <cell r="X31">
            <v>45879</v>
          </cell>
          <cell r="AA31" t="str">
            <v>011.101.371-002</v>
          </cell>
          <cell r="AB31" t="str">
            <v>trifasico</v>
          </cell>
          <cell r="AC31" t="str">
            <v>convencional</v>
          </cell>
          <cell r="AD31">
            <v>172.97</v>
          </cell>
          <cell r="AE31" t="str">
            <v>34191.09123 01826.722934 85972.140009 1 11690000017297</v>
          </cell>
          <cell r="AF31" t="str">
            <v>IGREJA DO EVANGELHO QUADRANGULAR</v>
          </cell>
          <cell r="AL31">
            <v>292</v>
          </cell>
          <cell r="AM31">
            <v>1.1630445766898718</v>
          </cell>
          <cell r="AN31">
            <v>339.60901639344257</v>
          </cell>
          <cell r="AO31">
            <v>1.1068150684931506</v>
          </cell>
          <cell r="AX31">
            <v>231</v>
          </cell>
          <cell r="AY31">
            <v>1.0061862181534313</v>
          </cell>
          <cell r="AZ31">
            <v>-232.42901639344262</v>
          </cell>
          <cell r="BA31">
            <v>1.106839826839827</v>
          </cell>
          <cell r="DR31">
            <v>231</v>
          </cell>
          <cell r="DS31">
            <v>1.1630693350365482</v>
          </cell>
          <cell r="DT31">
            <v>-268.66901639344263</v>
          </cell>
          <cell r="DU31">
            <v>1.106839826839827</v>
          </cell>
          <cell r="ET31">
            <v>231</v>
          </cell>
          <cell r="EX31">
            <v>174</v>
          </cell>
          <cell r="EZ31">
            <v>3.43</v>
          </cell>
          <cell r="FA31">
            <v>59.51</v>
          </cell>
          <cell r="FC31">
            <v>6.28</v>
          </cell>
          <cell r="FL31">
            <v>36.24</v>
          </cell>
          <cell r="FM31">
            <v>58.9</v>
          </cell>
          <cell r="FN31">
            <v>3.6297000000000003E-2</v>
          </cell>
          <cell r="FO31">
            <v>2.14</v>
          </cell>
          <cell r="FP31">
            <v>58.9</v>
          </cell>
          <cell r="FQ31">
            <v>7.8799999999999999E-3</v>
          </cell>
          <cell r="FR31">
            <v>0.47</v>
          </cell>
          <cell r="FS31">
            <v>70.94</v>
          </cell>
          <cell r="FT31">
            <v>0.17</v>
          </cell>
          <cell r="FU31">
            <v>12.05</v>
          </cell>
          <cell r="GD31">
            <v>292</v>
          </cell>
          <cell r="GE31">
            <v>7330</v>
          </cell>
          <cell r="GF31">
            <v>7038</v>
          </cell>
          <cell r="GG31">
            <v>1</v>
          </cell>
          <cell r="HU31">
            <v>297</v>
          </cell>
          <cell r="HY31">
            <v>411</v>
          </cell>
          <cell r="IC31">
            <v>396</v>
          </cell>
          <cell r="IG31">
            <v>459</v>
          </cell>
          <cell r="IK31">
            <v>462</v>
          </cell>
          <cell r="IO31">
            <v>387</v>
          </cell>
          <cell r="IS31">
            <v>396</v>
          </cell>
          <cell r="IW31">
            <v>376</v>
          </cell>
        </row>
        <row r="32">
          <cell r="A32" t="str">
            <v/>
          </cell>
          <cell r="B32" t="str">
            <v>10/52987-5</v>
          </cell>
          <cell r="C32" t="str">
            <v>1822</v>
          </cell>
          <cell r="F32" t="str">
            <v>energisa_ms</v>
          </cell>
          <cell r="G32" t="str">
            <v>5661</v>
          </cell>
          <cell r="H32" t="str">
            <v>Igreja do Evangelho Quadrangular</v>
          </cell>
          <cell r="I32">
            <v>45839</v>
          </cell>
          <cell r="J32" t="str">
            <v>COMERCIAL - TEMPLOS RELIGIOSOS</v>
          </cell>
          <cell r="K32" t="str">
            <v>79812170</v>
          </cell>
          <cell r="L32" t="str">
            <v>MS</v>
          </cell>
          <cell r="M32" t="str">
            <v>DOURADOS</v>
          </cell>
          <cell r="N32" t="str">
            <v>JARDIM AGUA BOA</v>
          </cell>
          <cell r="O32" t="str">
            <v>RUA SALVIANO PEDROSO, 1150 - 09.010.29.651000</v>
          </cell>
          <cell r="P32">
            <v>45859</v>
          </cell>
          <cell r="Q32" t="str">
            <v>B - B3</v>
          </cell>
          <cell r="R32" t="str">
            <v>62955505182257</v>
          </cell>
          <cell r="U32">
            <v>45826</v>
          </cell>
          <cell r="V32">
            <v>45856</v>
          </cell>
          <cell r="W32">
            <v>45887</v>
          </cell>
          <cell r="X32">
            <v>45870</v>
          </cell>
          <cell r="AA32" t="str">
            <v>011.213.745-002</v>
          </cell>
          <cell r="AB32" t="str">
            <v>trifasico</v>
          </cell>
          <cell r="AC32" t="str">
            <v>convencional</v>
          </cell>
          <cell r="AD32">
            <v>145.32</v>
          </cell>
          <cell r="AE32" t="str">
            <v>34191.09123 15546.302934 85972.140009 6 11600000014532</v>
          </cell>
          <cell r="AF32" t="str">
            <v>IGREJA DO EVANGELHO QUADRANGULAR</v>
          </cell>
          <cell r="AL32">
            <v>139</v>
          </cell>
          <cell r="AM32">
            <v>1.1630301845480138</v>
          </cell>
          <cell r="AN32">
            <v>161.66119565217392</v>
          </cell>
          <cell r="AO32">
            <v>1.1068345323741007</v>
          </cell>
          <cell r="AX32">
            <v>47</v>
          </cell>
          <cell r="AY32">
            <v>1.0061956521739133</v>
          </cell>
          <cell r="AZ32">
            <v>-47.291195652173919</v>
          </cell>
          <cell r="BA32">
            <v>1.1068085106382979</v>
          </cell>
          <cell r="DR32">
            <v>47</v>
          </cell>
          <cell r="DS32">
            <v>1.163004162812211</v>
          </cell>
          <cell r="DT32">
            <v>-54.661195652173916</v>
          </cell>
          <cell r="DU32">
            <v>1.1068085106382979</v>
          </cell>
          <cell r="ET32">
            <v>47</v>
          </cell>
          <cell r="EX32">
            <v>206</v>
          </cell>
          <cell r="EZ32">
            <v>5.17</v>
          </cell>
          <cell r="FA32">
            <v>27.44</v>
          </cell>
          <cell r="FC32">
            <v>3.5100000000000002</v>
          </cell>
          <cell r="FL32">
            <v>7.37</v>
          </cell>
          <cell r="FM32">
            <v>88.82</v>
          </cell>
          <cell r="FN32">
            <v>3.6297000000000003E-2</v>
          </cell>
          <cell r="FO32">
            <v>3.21</v>
          </cell>
          <cell r="FP32">
            <v>88.82</v>
          </cell>
          <cell r="FQ32">
            <v>7.8799999999999999E-3</v>
          </cell>
          <cell r="FR32">
            <v>0.7</v>
          </cell>
          <cell r="FS32">
            <v>107</v>
          </cell>
          <cell r="FT32">
            <v>0.17</v>
          </cell>
          <cell r="FU32">
            <v>18.18</v>
          </cell>
          <cell r="GD32">
            <v>139</v>
          </cell>
          <cell r="GE32">
            <v>27903</v>
          </cell>
          <cell r="GF32">
            <v>27764</v>
          </cell>
          <cell r="GG32">
            <v>1</v>
          </cell>
          <cell r="HU32">
            <v>185</v>
          </cell>
          <cell r="HY32">
            <v>213</v>
          </cell>
          <cell r="IC32">
            <v>286</v>
          </cell>
          <cell r="IG32">
            <v>433</v>
          </cell>
          <cell r="IK32">
            <v>467</v>
          </cell>
          <cell r="IO32">
            <v>358</v>
          </cell>
          <cell r="IS32">
            <v>314</v>
          </cell>
          <cell r="IW32">
            <v>222</v>
          </cell>
        </row>
        <row r="33">
          <cell r="A33" t="str">
            <v/>
          </cell>
          <cell r="B33" t="str">
            <v>10/24514-2</v>
          </cell>
          <cell r="C33" t="str">
            <v>Cristo Redentor</v>
          </cell>
          <cell r="F33" t="str">
            <v>energisa_ms</v>
          </cell>
          <cell r="G33" t="str">
            <v>Cristo Redentor</v>
          </cell>
          <cell r="H33" t="str">
            <v>Igreja do Evangelho Quadrangular</v>
          </cell>
          <cell r="I33">
            <v>45839</v>
          </cell>
          <cell r="J33" t="str">
            <v>COMERCIAL - TEMPLOS RELIGIOSOS</v>
          </cell>
          <cell r="K33" t="str">
            <v>79311040</v>
          </cell>
          <cell r="L33" t="str">
            <v>MS</v>
          </cell>
          <cell r="M33" t="str">
            <v>CORUMBA</v>
          </cell>
          <cell r="N33" t="str">
            <v>CRISTO REDENTOR</v>
          </cell>
          <cell r="O33" t="str">
            <v>RUA SAO PAULO, 36 - 15.003.03.307000</v>
          </cell>
          <cell r="P33">
            <v>45849</v>
          </cell>
          <cell r="Q33" t="str">
            <v>B - B3</v>
          </cell>
          <cell r="R33" t="str">
            <v>62955505157066</v>
          </cell>
          <cell r="U33">
            <v>45818</v>
          </cell>
          <cell r="V33">
            <v>45848</v>
          </cell>
          <cell r="W33">
            <v>45880</v>
          </cell>
          <cell r="X33">
            <v>45887</v>
          </cell>
          <cell r="AA33" t="str">
            <v>011.101.195-002</v>
          </cell>
          <cell r="AB33" t="str">
            <v>trifasico</v>
          </cell>
          <cell r="AC33" t="str">
            <v>convencional</v>
          </cell>
          <cell r="AD33">
            <v>115.23</v>
          </cell>
          <cell r="AE33" t="str">
            <v>34191.09123 01816.582934 85972.140009 7 11770000011523</v>
          </cell>
          <cell r="AF33" t="str">
            <v>IGREJA DO EVANGELHO QUADRANGULAR</v>
          </cell>
          <cell r="AL33">
            <v>138</v>
          </cell>
          <cell r="AM33">
            <v>1.1630481533426835</v>
          </cell>
          <cell r="AN33">
            <v>160.50064516129032</v>
          </cell>
          <cell r="AO33">
            <v>1.1068115942028987</v>
          </cell>
          <cell r="AX33">
            <v>45</v>
          </cell>
          <cell r="AY33">
            <v>1.0060143369175627</v>
          </cell>
          <cell r="AZ33">
            <v>-45.270645161290318</v>
          </cell>
          <cell r="BA33">
            <v>1.1066666666666667</v>
          </cell>
          <cell r="DR33">
            <v>45</v>
          </cell>
          <cell r="DS33">
            <v>1.1629032258064516</v>
          </cell>
          <cell r="DT33">
            <v>-52.33064516129032</v>
          </cell>
          <cell r="DU33">
            <v>1.1066666666666667</v>
          </cell>
          <cell r="ET33">
            <v>45</v>
          </cell>
          <cell r="EX33">
            <v>542</v>
          </cell>
          <cell r="EZ33">
            <v>5.23</v>
          </cell>
          <cell r="FL33">
            <v>7.06</v>
          </cell>
          <cell r="FM33">
            <v>89.78</v>
          </cell>
          <cell r="FN33">
            <v>3.6297000000000003E-2</v>
          </cell>
          <cell r="FO33">
            <v>3.26</v>
          </cell>
          <cell r="FP33">
            <v>89.78</v>
          </cell>
          <cell r="FQ33">
            <v>7.8799999999999999E-3</v>
          </cell>
          <cell r="FR33">
            <v>0.71</v>
          </cell>
          <cell r="FS33">
            <v>108.17</v>
          </cell>
          <cell r="FT33">
            <v>0.17</v>
          </cell>
          <cell r="FU33">
            <v>18.38</v>
          </cell>
          <cell r="GD33">
            <v>138</v>
          </cell>
          <cell r="GE33">
            <v>4953</v>
          </cell>
          <cell r="GF33">
            <v>4815</v>
          </cell>
          <cell r="GG33">
            <v>1</v>
          </cell>
          <cell r="HU33">
            <v>152</v>
          </cell>
          <cell r="HY33">
            <v>207</v>
          </cell>
          <cell r="IC33">
            <v>168</v>
          </cell>
          <cell r="IG33">
            <v>327</v>
          </cell>
          <cell r="IK33">
            <v>381</v>
          </cell>
          <cell r="IO33">
            <v>304</v>
          </cell>
          <cell r="IS33">
            <v>355</v>
          </cell>
          <cell r="IW33">
            <v>321</v>
          </cell>
        </row>
        <row r="34">
          <cell r="A34" t="str">
            <v/>
          </cell>
          <cell r="B34" t="str">
            <v>10/466560-0</v>
          </cell>
          <cell r="C34" t="str">
            <v>Congregação Sanga Puita</v>
          </cell>
          <cell r="F34" t="str">
            <v>energisa_ms</v>
          </cell>
          <cell r="G34" t="str">
            <v>Jardim Vitória 6276</v>
          </cell>
          <cell r="H34" t="str">
            <v>Igreja do Evangelho Quadrangular</v>
          </cell>
          <cell r="I34">
            <v>45839</v>
          </cell>
          <cell r="J34" t="str">
            <v>COMERCIAL - TEMPLOS RELIGIOSOS</v>
          </cell>
          <cell r="K34" t="str">
            <v>79900000</v>
          </cell>
          <cell r="L34" t="str">
            <v>MS</v>
          </cell>
          <cell r="M34" t="str">
            <v>PONTA PORA</v>
          </cell>
          <cell r="N34" t="str">
            <v>SANGA PUITA</v>
          </cell>
          <cell r="O34" t="str">
            <v>RUA MARCILIANO MACIEL, 246 - 05.341.09.031000</v>
          </cell>
          <cell r="P34">
            <v>45846</v>
          </cell>
          <cell r="Q34" t="str">
            <v>B - B3</v>
          </cell>
          <cell r="R34" t="str">
            <v>62955505015512</v>
          </cell>
          <cell r="U34">
            <v>45813</v>
          </cell>
          <cell r="V34">
            <v>45845</v>
          </cell>
          <cell r="W34">
            <v>45875</v>
          </cell>
          <cell r="X34">
            <v>45855</v>
          </cell>
          <cell r="AA34" t="str">
            <v>011.024.692-002</v>
          </cell>
          <cell r="AB34" t="str">
            <v>bifasico</v>
          </cell>
          <cell r="AC34" t="str">
            <v>convencional</v>
          </cell>
          <cell r="AD34">
            <v>108</v>
          </cell>
          <cell r="AF34" t="str">
            <v>IGREJA DO EVANGELHO QUADRANGULAR</v>
          </cell>
          <cell r="AL34">
            <v>214</v>
          </cell>
          <cell r="AM34">
            <v>1.1627047828477186</v>
          </cell>
          <cell r="AN34">
            <v>248.81882352941179</v>
          </cell>
          <cell r="AO34">
            <v>1.1068224299065421</v>
          </cell>
          <cell r="AX34">
            <v>197</v>
          </cell>
          <cell r="AY34">
            <v>1.0058315915198566</v>
          </cell>
          <cell r="AZ34">
            <v>-198.14882352941174</v>
          </cell>
          <cell r="BA34">
            <v>1.1068020304568527</v>
          </cell>
          <cell r="DR34">
            <v>197</v>
          </cell>
          <cell r="DS34">
            <v>1.1626843833980292</v>
          </cell>
          <cell r="DT34">
            <v>-229.04882352941175</v>
          </cell>
          <cell r="DU34">
            <v>1.1068020304568527</v>
          </cell>
          <cell r="ET34">
            <v>197</v>
          </cell>
          <cell r="EX34">
            <v>11</v>
          </cell>
          <cell r="EZ34">
            <v>0.95</v>
          </cell>
          <cell r="FA34">
            <v>54.76</v>
          </cell>
          <cell r="FC34">
            <v>2.57</v>
          </cell>
          <cell r="FL34">
            <v>30.9</v>
          </cell>
          <cell r="FM34">
            <v>16.420000000000002</v>
          </cell>
          <cell r="FN34">
            <v>3.6297000000000003E-2</v>
          </cell>
          <cell r="FO34">
            <v>0.59</v>
          </cell>
          <cell r="FP34">
            <v>16.420000000000002</v>
          </cell>
          <cell r="FQ34">
            <v>7.8799999999999999E-3</v>
          </cell>
          <cell r="FR34">
            <v>0.13</v>
          </cell>
          <cell r="FS34">
            <v>19.77</v>
          </cell>
          <cell r="FT34">
            <v>0.17</v>
          </cell>
          <cell r="FU34">
            <v>3.36</v>
          </cell>
          <cell r="GD34">
            <v>214</v>
          </cell>
          <cell r="GE34">
            <v>20526</v>
          </cell>
          <cell r="GF34">
            <v>20312</v>
          </cell>
          <cell r="GG34">
            <v>1</v>
          </cell>
          <cell r="HU34">
            <v>172</v>
          </cell>
          <cell r="HY34">
            <v>173</v>
          </cell>
          <cell r="IC34">
            <v>165</v>
          </cell>
          <cell r="IG34">
            <v>164</v>
          </cell>
          <cell r="IK34">
            <v>174</v>
          </cell>
          <cell r="IO34">
            <v>179</v>
          </cell>
          <cell r="IS34">
            <v>168</v>
          </cell>
          <cell r="IW34">
            <v>149</v>
          </cell>
        </row>
        <row r="35">
          <cell r="A35" t="str">
            <v/>
          </cell>
          <cell r="B35" t="str">
            <v>10/127464-6</v>
          </cell>
          <cell r="C35" t="str">
            <v>3311</v>
          </cell>
          <cell r="F35" t="str">
            <v>energisa_ms</v>
          </cell>
          <cell r="G35" t="str">
            <v>3311</v>
          </cell>
          <cell r="H35" t="str">
            <v>Igreja do Evangelho Quadrangular</v>
          </cell>
          <cell r="I35">
            <v>45839</v>
          </cell>
          <cell r="J35" t="str">
            <v>COMERCIAL - TEMPLOS RELIGIOSOS</v>
          </cell>
          <cell r="K35" t="str">
            <v>79400000</v>
          </cell>
          <cell r="L35" t="str">
            <v>MS</v>
          </cell>
          <cell r="M35" t="str">
            <v>COXIM</v>
          </cell>
          <cell r="N35" t="str">
            <v>CENTRO</v>
          </cell>
          <cell r="O35" t="str">
            <v>AVENIDA MATO GROSSO DO SUL, 1466 - 12.029.03.222000</v>
          </cell>
          <cell r="P35">
            <v>45846</v>
          </cell>
          <cell r="Q35" t="str">
            <v>B - B3</v>
          </cell>
          <cell r="R35" t="str">
            <v>62955505331198</v>
          </cell>
          <cell r="U35">
            <v>45813</v>
          </cell>
          <cell r="V35">
            <v>45845</v>
          </cell>
          <cell r="W35">
            <v>45875</v>
          </cell>
          <cell r="X35">
            <v>45875</v>
          </cell>
          <cell r="AA35" t="str">
            <v>011.022.532-002</v>
          </cell>
          <cell r="AB35" t="str">
            <v>trifasico</v>
          </cell>
          <cell r="AC35" t="str">
            <v>convencional</v>
          </cell>
          <cell r="AD35">
            <v>174.15</v>
          </cell>
          <cell r="AE35" t="str">
            <v>34191.09115 90956.612932 85972.140009 7 11650000017415</v>
          </cell>
          <cell r="AF35" t="str">
            <v>IGREJA DO EVANGELHO QUADRANGULAR</v>
          </cell>
          <cell r="AL35">
            <v>345</v>
          </cell>
          <cell r="AM35">
            <v>1.1630405797101451</v>
          </cell>
          <cell r="AN35">
            <v>401.24900000000002</v>
          </cell>
          <cell r="AO35">
            <v>1.106840579710145</v>
          </cell>
          <cell r="AX35">
            <v>295</v>
          </cell>
          <cell r="AY35">
            <v>1.006166101694915</v>
          </cell>
          <cell r="AZ35">
            <v>-296.81899999999996</v>
          </cell>
          <cell r="BA35">
            <v>1.1068474576271186</v>
          </cell>
          <cell r="DR35">
            <v>295</v>
          </cell>
          <cell r="DS35">
            <v>1.1630474576271186</v>
          </cell>
          <cell r="DT35">
            <v>-343.09899999999999</v>
          </cell>
          <cell r="DU35">
            <v>1.1068474576271186</v>
          </cell>
          <cell r="ET35">
            <v>295</v>
          </cell>
          <cell r="EX35">
            <v>361</v>
          </cell>
          <cell r="EZ35">
            <v>2.81</v>
          </cell>
          <cell r="FA35">
            <v>64.760000000000005</v>
          </cell>
          <cell r="FC35">
            <v>4.96</v>
          </cell>
          <cell r="FL35">
            <v>46.28</v>
          </cell>
          <cell r="FM35">
            <v>48.28</v>
          </cell>
          <cell r="FN35">
            <v>3.6297000000000003E-2</v>
          </cell>
          <cell r="FO35">
            <v>1.74</v>
          </cell>
          <cell r="FP35">
            <v>48.28</v>
          </cell>
          <cell r="FQ35">
            <v>7.8799999999999999E-3</v>
          </cell>
          <cell r="FR35">
            <v>0.39</v>
          </cell>
          <cell r="FS35">
            <v>58.15</v>
          </cell>
          <cell r="FT35">
            <v>0.17</v>
          </cell>
          <cell r="FU35">
            <v>9.8800000000000008</v>
          </cell>
          <cell r="GD35">
            <v>345</v>
          </cell>
          <cell r="GE35">
            <v>42473</v>
          </cell>
          <cell r="GF35">
            <v>42128</v>
          </cell>
          <cell r="GG35">
            <v>1</v>
          </cell>
          <cell r="HU35">
            <v>376</v>
          </cell>
          <cell r="HY35">
            <v>594</v>
          </cell>
          <cell r="IC35">
            <v>472</v>
          </cell>
          <cell r="IG35">
            <v>537</v>
          </cell>
          <cell r="IK35">
            <v>531</v>
          </cell>
          <cell r="IO35">
            <v>546</v>
          </cell>
          <cell r="IS35">
            <v>468</v>
          </cell>
          <cell r="IW35">
            <v>584</v>
          </cell>
        </row>
        <row r="36">
          <cell r="A36" t="str">
            <v/>
          </cell>
          <cell r="B36" t="str">
            <v>10/3054052-0</v>
          </cell>
          <cell r="C36" t="str">
            <v>Nova Aliança</v>
          </cell>
          <cell r="F36" t="str">
            <v>energisa_ms</v>
          </cell>
          <cell r="G36" t="str">
            <v>Nova Aliança</v>
          </cell>
          <cell r="H36" t="str">
            <v>Igreja do Evangelho Quadrangular</v>
          </cell>
          <cell r="I36">
            <v>45839</v>
          </cell>
          <cell r="J36" t="str">
            <v>COMERCIAL - TEMPLOS RELIGIOSOS</v>
          </cell>
          <cell r="K36" t="str">
            <v>79370000</v>
          </cell>
          <cell r="L36" t="str">
            <v>MS</v>
          </cell>
          <cell r="M36" t="str">
            <v>LADARIO</v>
          </cell>
          <cell r="N36" t="str">
            <v>NOVA ALIANCA</v>
          </cell>
          <cell r="O36" t="str">
            <v>RUA FREI LIBERATO QUETTERE, S/N - QD 112 LT 34- 02.004.21.308500</v>
          </cell>
          <cell r="P36">
            <v>45841</v>
          </cell>
          <cell r="Q36" t="str">
            <v>B - B3</v>
          </cell>
          <cell r="R36" t="str">
            <v>6X.XXX.XXX/XXX4-87</v>
          </cell>
          <cell r="U36">
            <v>45810</v>
          </cell>
          <cell r="V36">
            <v>45840</v>
          </cell>
          <cell r="W36">
            <v>45870</v>
          </cell>
          <cell r="X36">
            <v>45884</v>
          </cell>
          <cell r="AA36" t="str">
            <v>010.948.332-002</v>
          </cell>
          <cell r="AB36" t="str">
            <v>trifasico</v>
          </cell>
          <cell r="AC36" t="str">
            <v>convencional</v>
          </cell>
          <cell r="AD36">
            <v>143.85</v>
          </cell>
          <cell r="AF36" t="str">
            <v>IGREJA DO EVANGELHO QUADRANGULAR</v>
          </cell>
          <cell r="AI36">
            <v>100</v>
          </cell>
          <cell r="AJ36">
            <v>1.1068</v>
          </cell>
          <cell r="AK36">
            <v>110.68</v>
          </cell>
          <cell r="AL36">
            <v>0</v>
          </cell>
          <cell r="AM36">
            <v>1.1068</v>
          </cell>
          <cell r="AN36">
            <v>0</v>
          </cell>
          <cell r="EZ36">
            <v>5.62</v>
          </cell>
          <cell r="FA36">
            <v>24.67</v>
          </cell>
          <cell r="FC36">
            <v>2.8800000000000003</v>
          </cell>
          <cell r="FM36">
            <v>96.52</v>
          </cell>
          <cell r="FN36">
            <v>3.6297000000000003E-2</v>
          </cell>
          <cell r="FO36">
            <v>3.5</v>
          </cell>
          <cell r="FP36">
            <v>96.52</v>
          </cell>
          <cell r="FQ36">
            <v>7.8799999999999999E-3</v>
          </cell>
          <cell r="FR36">
            <v>0.76</v>
          </cell>
          <cell r="FS36">
            <v>116.3</v>
          </cell>
          <cell r="FT36">
            <v>0.17</v>
          </cell>
          <cell r="FU36">
            <v>19.77</v>
          </cell>
          <cell r="GD36">
            <v>67</v>
          </cell>
          <cell r="GE36">
            <v>9729</v>
          </cell>
          <cell r="GF36">
            <v>9662</v>
          </cell>
          <cell r="GG36">
            <v>1</v>
          </cell>
          <cell r="HU36">
            <v>98</v>
          </cell>
          <cell r="HY36">
            <v>123</v>
          </cell>
          <cell r="IC36">
            <v>90</v>
          </cell>
          <cell r="IG36">
            <v>160</v>
          </cell>
          <cell r="IK36">
            <v>160</v>
          </cell>
          <cell r="IO36">
            <v>84</v>
          </cell>
          <cell r="IS36">
            <v>116</v>
          </cell>
          <cell r="IW36">
            <v>172</v>
          </cell>
        </row>
        <row r="37">
          <cell r="A37" t="str">
            <v/>
          </cell>
          <cell r="B37" t="str">
            <v>10/142353-2</v>
          </cell>
          <cell r="C37" t="str">
            <v>Noroeste 1138</v>
          </cell>
          <cell r="F37" t="str">
            <v>energisa_ms</v>
          </cell>
          <cell r="G37" t="str">
            <v>Noroeste 1138</v>
          </cell>
          <cell r="H37" t="str">
            <v>Igreja do Evangelho Quadrangular</v>
          </cell>
          <cell r="I37">
            <v>45839</v>
          </cell>
          <cell r="J37" t="str">
            <v>COMERCIAL - TEMPLOS RELIGIOSOS</v>
          </cell>
          <cell r="K37" t="str">
            <v>79904668</v>
          </cell>
          <cell r="L37" t="str">
            <v>MS</v>
          </cell>
          <cell r="M37" t="str">
            <v>PONTA PORA</v>
          </cell>
          <cell r="N37" t="str">
            <v>CENTRO</v>
          </cell>
          <cell r="O37" t="str">
            <v>RUA ANTONIO JOAO, 2547 - 08.032.03.477000</v>
          </cell>
          <cell r="P37">
            <v>45856</v>
          </cell>
          <cell r="Q37" t="str">
            <v>B - B3</v>
          </cell>
          <cell r="R37" t="str">
            <v>62955505113875</v>
          </cell>
          <cell r="U37">
            <v>45825</v>
          </cell>
          <cell r="V37">
            <v>45855</v>
          </cell>
          <cell r="W37">
            <v>45884</v>
          </cell>
          <cell r="X37">
            <v>45870</v>
          </cell>
          <cell r="AA37" t="str">
            <v>011.192.624-002</v>
          </cell>
          <cell r="AB37" t="str">
            <v>bifasico</v>
          </cell>
          <cell r="AC37" t="str">
            <v>convencional</v>
          </cell>
          <cell r="AD37">
            <v>107.69</v>
          </cell>
          <cell r="AE37" t="str">
            <v>34191.09123 14674.942934 85972.140009 1 11600000010769</v>
          </cell>
          <cell r="AF37" t="str">
            <v>IGREJA DO EVANGELHO QUADRANGULAR</v>
          </cell>
          <cell r="AL37">
            <v>281</v>
          </cell>
          <cell r="AM37">
            <v>1.1634994068801896</v>
          </cell>
          <cell r="AN37">
            <v>326.94333333333327</v>
          </cell>
          <cell r="AO37">
            <v>1.106832740213523</v>
          </cell>
          <cell r="AX37">
            <v>278</v>
          </cell>
          <cell r="AY37">
            <v>1.006630695443645</v>
          </cell>
          <cell r="AZ37">
            <v>-279.84333333333331</v>
          </cell>
          <cell r="BA37">
            <v>1.1068345323741007</v>
          </cell>
          <cell r="DR37">
            <v>278</v>
          </cell>
          <cell r="DS37">
            <v>1.1635011990407673</v>
          </cell>
          <cell r="DT37">
            <v>-323.45333333333332</v>
          </cell>
          <cell r="DU37">
            <v>1.1068345323741007</v>
          </cell>
          <cell r="ET37">
            <v>278</v>
          </cell>
          <cell r="EX37">
            <v>321</v>
          </cell>
          <cell r="EZ37">
            <v>0.17</v>
          </cell>
          <cell r="FA37">
            <v>57.37</v>
          </cell>
          <cell r="FC37">
            <v>3.2199999999999998</v>
          </cell>
          <cell r="FL37">
            <v>43.61</v>
          </cell>
          <cell r="FM37">
            <v>2.89</v>
          </cell>
          <cell r="FN37">
            <v>3.6297000000000003E-2</v>
          </cell>
          <cell r="FO37">
            <v>0.1</v>
          </cell>
          <cell r="FP37">
            <v>2.89</v>
          </cell>
          <cell r="FQ37">
            <v>7.8799999999999999E-3</v>
          </cell>
          <cell r="FR37">
            <v>0.02</v>
          </cell>
          <cell r="FS37">
            <v>3.49</v>
          </cell>
          <cell r="FT37">
            <v>0.17</v>
          </cell>
          <cell r="FU37">
            <v>0.59</v>
          </cell>
          <cell r="GD37">
            <v>281</v>
          </cell>
          <cell r="GE37">
            <v>14683</v>
          </cell>
          <cell r="GF37">
            <v>14402</v>
          </cell>
          <cell r="GG37">
            <v>1</v>
          </cell>
          <cell r="HU37">
            <v>323</v>
          </cell>
          <cell r="HY37">
            <v>330</v>
          </cell>
          <cell r="IC37">
            <v>421</v>
          </cell>
          <cell r="IG37">
            <v>681</v>
          </cell>
          <cell r="IK37">
            <v>681</v>
          </cell>
          <cell r="IO37">
            <v>681</v>
          </cell>
          <cell r="IS37">
            <v>457</v>
          </cell>
          <cell r="IW37">
            <v>489</v>
          </cell>
        </row>
        <row r="38">
          <cell r="A38" t="str">
            <v/>
          </cell>
          <cell r="B38" t="str">
            <v>10/252817-2</v>
          </cell>
          <cell r="C38" t="str">
            <v>Cong. Caracol</v>
          </cell>
          <cell r="F38" t="str">
            <v>energisa_ms</v>
          </cell>
          <cell r="G38" t="str">
            <v>Cong. Caracol</v>
          </cell>
          <cell r="H38" t="str">
            <v>Igreja do Evangelho Quadrangular</v>
          </cell>
          <cell r="I38">
            <v>45839</v>
          </cell>
          <cell r="J38" t="str">
            <v>RESIDENCIAL - RESIDENCIAL</v>
          </cell>
          <cell r="K38" t="str">
            <v>79270000</v>
          </cell>
          <cell r="L38" t="str">
            <v>MS</v>
          </cell>
          <cell r="M38" t="str">
            <v>CARACOL</v>
          </cell>
          <cell r="N38" t="str">
            <v>CENTRO</v>
          </cell>
          <cell r="O38" t="str">
            <v>RUA JOAO MARTINS LEITE, 200 - 04.071.07.270000</v>
          </cell>
          <cell r="P38">
            <v>45856</v>
          </cell>
          <cell r="Q38" t="str">
            <v>B - B1</v>
          </cell>
          <cell r="R38" t="str">
            <v>62955505274020</v>
          </cell>
          <cell r="U38">
            <v>45825</v>
          </cell>
          <cell r="V38">
            <v>45855</v>
          </cell>
          <cell r="W38">
            <v>45884</v>
          </cell>
          <cell r="X38">
            <v>45894</v>
          </cell>
          <cell r="AA38" t="str">
            <v>011.193.225-002</v>
          </cell>
          <cell r="AB38" t="str">
            <v>trifasico</v>
          </cell>
          <cell r="AC38" t="str">
            <v>convencional</v>
          </cell>
          <cell r="AD38">
            <v>116.3</v>
          </cell>
          <cell r="AE38" t="str">
            <v>34191.09123 14702.662934 85972.140009 2 11840000011630</v>
          </cell>
          <cell r="AF38" t="str">
            <v>IGREJA DO EVANGELHO QUADRANGULAR</v>
          </cell>
          <cell r="AI38">
            <v>100</v>
          </cell>
          <cell r="AJ38">
            <v>1.1068</v>
          </cell>
          <cell r="AK38">
            <v>110.68</v>
          </cell>
          <cell r="AL38">
            <v>0</v>
          </cell>
          <cell r="AM38">
            <v>1.1068</v>
          </cell>
          <cell r="AN38">
            <v>0</v>
          </cell>
          <cell r="EX38">
            <v>337</v>
          </cell>
          <cell r="EZ38">
            <v>5.62</v>
          </cell>
          <cell r="FM38">
            <v>96.52</v>
          </cell>
          <cell r="FN38">
            <v>3.6297000000000003E-2</v>
          </cell>
          <cell r="FO38">
            <v>3.5</v>
          </cell>
          <cell r="FP38">
            <v>96.52</v>
          </cell>
          <cell r="FQ38">
            <v>7.8799999999999999E-3</v>
          </cell>
          <cell r="FR38">
            <v>0.76</v>
          </cell>
          <cell r="FS38">
            <v>116.3</v>
          </cell>
          <cell r="FT38">
            <v>0.17</v>
          </cell>
          <cell r="FU38">
            <v>19.77</v>
          </cell>
          <cell r="GD38">
            <v>89</v>
          </cell>
          <cell r="GE38">
            <v>26106</v>
          </cell>
          <cell r="GF38">
            <v>26017</v>
          </cell>
          <cell r="GG38">
            <v>1</v>
          </cell>
          <cell r="HU38">
            <v>148</v>
          </cell>
          <cell r="HY38">
            <v>208</v>
          </cell>
          <cell r="IC38">
            <v>231</v>
          </cell>
          <cell r="IG38">
            <v>451</v>
          </cell>
          <cell r="IK38">
            <v>338</v>
          </cell>
          <cell r="IO38">
            <v>465</v>
          </cell>
          <cell r="IS38">
            <v>343</v>
          </cell>
          <cell r="IW38">
            <v>227</v>
          </cell>
        </row>
        <row r="39">
          <cell r="A39" t="str">
            <v/>
          </cell>
          <cell r="B39" t="str">
            <v>10/395471-6</v>
          </cell>
          <cell r="C39" t="str">
            <v>Jardim Tarumã 2488</v>
          </cell>
          <cell r="F39" t="str">
            <v>energisa_ms</v>
          </cell>
          <cell r="G39" t="str">
            <v>Jardim Tarumã 2488</v>
          </cell>
          <cell r="H39" t="str">
            <v>Igreja do Evangelho Quadrangular</v>
          </cell>
          <cell r="I39">
            <v>45839</v>
          </cell>
          <cell r="J39" t="str">
            <v>COMERCIAL - TEMPLOS RELIGIOSOS</v>
          </cell>
          <cell r="K39" t="str">
            <v>79097200</v>
          </cell>
          <cell r="L39" t="str">
            <v>MS</v>
          </cell>
          <cell r="M39" t="str">
            <v>CAMPO GRANDE</v>
          </cell>
          <cell r="N39" t="str">
            <v>JARDIM TARUMA</v>
          </cell>
          <cell r="O39" t="str">
            <v>RUA VERDE LOURO, 931 - 11.103.25.135000</v>
          </cell>
          <cell r="P39">
            <v>45856</v>
          </cell>
          <cell r="Q39" t="str">
            <v>B - B3</v>
          </cell>
          <cell r="R39" t="str">
            <v>62955505248886</v>
          </cell>
          <cell r="U39">
            <v>45825</v>
          </cell>
          <cell r="V39">
            <v>45855</v>
          </cell>
          <cell r="W39">
            <v>45884</v>
          </cell>
          <cell r="X39">
            <v>45879</v>
          </cell>
          <cell r="AA39" t="str">
            <v>011.193.985-002</v>
          </cell>
          <cell r="AB39" t="str">
            <v>trifasico</v>
          </cell>
          <cell r="AC39" t="str">
            <v>convencional</v>
          </cell>
          <cell r="AD39">
            <v>116.39</v>
          </cell>
          <cell r="AE39" t="str">
            <v>34191.09552 05411.890279 52186.260007 6 11690000011639</v>
          </cell>
          <cell r="AF39" t="str">
            <v>IGREJA DO EVANGELHO QUADRANGULAR</v>
          </cell>
          <cell r="AL39">
            <v>220</v>
          </cell>
          <cell r="AM39">
            <v>1.1631339712918662</v>
          </cell>
          <cell r="AN39">
            <v>255.88947368421057</v>
          </cell>
          <cell r="AO39">
            <v>1.1068181818181819</v>
          </cell>
          <cell r="AX39">
            <v>144</v>
          </cell>
          <cell r="AY39">
            <v>1.0061769005847954</v>
          </cell>
          <cell r="AZ39">
            <v>-144.88947368421054</v>
          </cell>
          <cell r="BA39">
            <v>1.1067361111111111</v>
          </cell>
          <cell r="DR39">
            <v>144</v>
          </cell>
          <cell r="DS39">
            <v>1.1630519005847955</v>
          </cell>
          <cell r="DT39">
            <v>-167.47947368421055</v>
          </cell>
          <cell r="DU39">
            <v>1.1067361111111111</v>
          </cell>
          <cell r="ET39">
            <v>144</v>
          </cell>
          <cell r="EX39">
            <v>116</v>
          </cell>
          <cell r="EZ39">
            <v>4.28</v>
          </cell>
          <cell r="FC39">
            <v>5.3900000000000006</v>
          </cell>
          <cell r="FL39">
            <v>22.59</v>
          </cell>
          <cell r="FM39">
            <v>73.39</v>
          </cell>
          <cell r="FN39">
            <v>3.6297000000000003E-2</v>
          </cell>
          <cell r="FO39">
            <v>2.66</v>
          </cell>
          <cell r="FP39">
            <v>73.39</v>
          </cell>
          <cell r="FQ39">
            <v>7.8799999999999999E-3</v>
          </cell>
          <cell r="FR39">
            <v>0.57999999999999996</v>
          </cell>
          <cell r="FS39">
            <v>88.41</v>
          </cell>
          <cell r="FT39">
            <v>0.17</v>
          </cell>
          <cell r="FU39">
            <v>15.02</v>
          </cell>
          <cell r="GD39">
            <v>220</v>
          </cell>
          <cell r="GE39">
            <v>34605</v>
          </cell>
          <cell r="GF39">
            <v>34385</v>
          </cell>
          <cell r="GG39">
            <v>1</v>
          </cell>
          <cell r="HU39">
            <v>232</v>
          </cell>
          <cell r="HY39">
            <v>245</v>
          </cell>
          <cell r="IC39">
            <v>306</v>
          </cell>
          <cell r="IG39">
            <v>499</v>
          </cell>
          <cell r="IK39">
            <v>406</v>
          </cell>
          <cell r="IO39">
            <v>452</v>
          </cell>
          <cell r="IS39">
            <v>359</v>
          </cell>
          <cell r="IW39">
            <v>271</v>
          </cell>
        </row>
        <row r="40">
          <cell r="A40" t="str">
            <v/>
          </cell>
          <cell r="B40" t="str">
            <v>10/987178-1</v>
          </cell>
          <cell r="C40" t="str">
            <v>Jardim Vitória 6276</v>
          </cell>
          <cell r="F40" t="str">
            <v>energisa_ms</v>
          </cell>
          <cell r="G40" t="str">
            <v>Jardim Vitória 6276</v>
          </cell>
          <cell r="H40" t="str">
            <v>Igreja do Evangelho Quadrangular</v>
          </cell>
          <cell r="I40">
            <v>45839</v>
          </cell>
          <cell r="J40" t="str">
            <v>COMERCIAL - OUTROS SERVIÇOS E OUTRAS ATIVIDADES</v>
          </cell>
          <cell r="K40" t="str">
            <v>79906766</v>
          </cell>
          <cell r="L40" t="str">
            <v>MS</v>
          </cell>
          <cell r="M40" t="str">
            <v>PONTA PORA</v>
          </cell>
          <cell r="N40" t="str">
            <v>VILA VITORIA</v>
          </cell>
          <cell r="O40" t="str">
            <v>RUA JOAO PONCE DE ARRUDA, 697 - 09.032.06.230000</v>
          </cell>
          <cell r="P40">
            <v>45842</v>
          </cell>
          <cell r="Q40" t="str">
            <v>B - B3</v>
          </cell>
          <cell r="R40" t="str">
            <v>62955505015512</v>
          </cell>
          <cell r="U40">
            <v>45811</v>
          </cell>
          <cell r="V40">
            <v>45841</v>
          </cell>
          <cell r="W40">
            <v>45873</v>
          </cell>
          <cell r="X40">
            <v>45853</v>
          </cell>
          <cell r="AA40" t="str">
            <v>010.977.591-002</v>
          </cell>
          <cell r="AB40" t="str">
            <v>trifasico</v>
          </cell>
          <cell r="AC40" t="str">
            <v>convencional</v>
          </cell>
          <cell r="AD40">
            <v>171.59</v>
          </cell>
          <cell r="AF40" t="str">
            <v>IGREJA DO EVANGELHO QUADRANGULAR</v>
          </cell>
          <cell r="AL40">
            <v>181</v>
          </cell>
          <cell r="AM40">
            <v>1.1630955801104974</v>
          </cell>
          <cell r="AN40">
            <v>210.52030000000002</v>
          </cell>
          <cell r="AO40">
            <v>1.1067955801104974</v>
          </cell>
          <cell r="AX40">
            <v>81</v>
          </cell>
          <cell r="AY40">
            <v>1.1629666666666667</v>
          </cell>
          <cell r="AZ40">
            <v>-94.200299999999999</v>
          </cell>
          <cell r="BA40">
            <v>1.1066666666666667</v>
          </cell>
          <cell r="DR40">
            <v>81</v>
          </cell>
          <cell r="DS40">
            <v>1.1629666666666667</v>
          </cell>
          <cell r="DT40">
            <v>-94.200299999999999</v>
          </cell>
          <cell r="DU40">
            <v>1.1066666666666667</v>
          </cell>
          <cell r="ET40">
            <v>81</v>
          </cell>
          <cell r="EZ40">
            <v>5.63</v>
          </cell>
          <cell r="FA40">
            <v>52.15</v>
          </cell>
          <cell r="FC40">
            <v>3.12</v>
          </cell>
          <cell r="FM40">
            <v>96.54</v>
          </cell>
          <cell r="FN40">
            <v>3.6297000000000003E-2</v>
          </cell>
          <cell r="FO40">
            <v>3.51</v>
          </cell>
          <cell r="FP40">
            <v>96.54</v>
          </cell>
          <cell r="FQ40">
            <v>7.8799999999999999E-3</v>
          </cell>
          <cell r="FR40">
            <v>0.77</v>
          </cell>
          <cell r="FS40">
            <v>116.32</v>
          </cell>
          <cell r="FT40">
            <v>0.17</v>
          </cell>
          <cell r="FU40">
            <v>19.77</v>
          </cell>
          <cell r="GD40">
            <v>181</v>
          </cell>
          <cell r="GE40">
            <v>24402</v>
          </cell>
          <cell r="GF40">
            <v>24221</v>
          </cell>
          <cell r="GG40">
            <v>1</v>
          </cell>
          <cell r="HU40">
            <v>80</v>
          </cell>
          <cell r="HY40">
            <v>121</v>
          </cell>
          <cell r="IC40">
            <v>113</v>
          </cell>
          <cell r="IG40">
            <v>137</v>
          </cell>
          <cell r="IK40">
            <v>110</v>
          </cell>
          <cell r="IO40">
            <v>112</v>
          </cell>
          <cell r="IS40">
            <v>135</v>
          </cell>
          <cell r="IW40">
            <v>120</v>
          </cell>
        </row>
        <row r="41">
          <cell r="A41" t="str">
            <v/>
          </cell>
          <cell r="B41" t="str">
            <v>10/239312-2</v>
          </cell>
          <cell r="C41" t="str">
            <v>Nioaque (165)</v>
          </cell>
          <cell r="F41" t="str">
            <v>energisa_ms</v>
          </cell>
          <cell r="G41" t="str">
            <v>Nioaque (165)</v>
          </cell>
          <cell r="H41" t="str">
            <v>Igreja do Evangelho Quadrangular</v>
          </cell>
          <cell r="I41">
            <v>45839</v>
          </cell>
          <cell r="J41" t="str">
            <v>COMERCIAL - TEMPLOS RELIGIOSOS</v>
          </cell>
          <cell r="K41" t="str">
            <v>79220000</v>
          </cell>
          <cell r="L41" t="str">
            <v>MS</v>
          </cell>
          <cell r="M41" t="str">
            <v>NIOAQUE</v>
          </cell>
          <cell r="N41" t="str">
            <v>CENTRO</v>
          </cell>
          <cell r="O41" t="str">
            <v>RUA TREZE DE MAIO, 692 - 09.062.01.072000</v>
          </cell>
          <cell r="P41">
            <v>45849</v>
          </cell>
          <cell r="Q41" t="str">
            <v>B - B3</v>
          </cell>
          <cell r="R41" t="str">
            <v>62955505016594</v>
          </cell>
          <cell r="U41">
            <v>45818</v>
          </cell>
          <cell r="V41">
            <v>45848</v>
          </cell>
          <cell r="W41">
            <v>45880</v>
          </cell>
          <cell r="X41">
            <v>45881</v>
          </cell>
          <cell r="AA41" t="str">
            <v>011.102.392-002</v>
          </cell>
          <cell r="AB41" t="str">
            <v>bifasico</v>
          </cell>
          <cell r="AC41" t="str">
            <v>convencional</v>
          </cell>
          <cell r="AD41">
            <v>81.400000000000006</v>
          </cell>
          <cell r="AE41" t="str">
            <v>34191.09123 01881.822934 85972.140009 6 11710000008140</v>
          </cell>
          <cell r="AF41" t="str">
            <v>IGREJA DO EVANGELHO QUADRANGULAR</v>
          </cell>
          <cell r="AL41">
            <v>198</v>
          </cell>
          <cell r="AM41">
            <v>1.162818181818182</v>
          </cell>
          <cell r="AN41">
            <v>230.23800000000003</v>
          </cell>
          <cell r="AO41">
            <v>1.1068181818181819</v>
          </cell>
          <cell r="AX41">
            <v>178</v>
          </cell>
          <cell r="AY41">
            <v>1.0059438202247191</v>
          </cell>
          <cell r="AZ41">
            <v>-179.05799999999999</v>
          </cell>
          <cell r="BA41">
            <v>1.1067977528089887</v>
          </cell>
          <cell r="DR41">
            <v>178</v>
          </cell>
          <cell r="DS41">
            <v>1.1627977528089888</v>
          </cell>
          <cell r="DT41">
            <v>-206.97800000000001</v>
          </cell>
          <cell r="DU41">
            <v>1.1067977528089887</v>
          </cell>
          <cell r="ET41">
            <v>178</v>
          </cell>
          <cell r="EX41">
            <v>121</v>
          </cell>
          <cell r="EZ41">
            <v>1.1200000000000001</v>
          </cell>
          <cell r="FA41">
            <v>30.22</v>
          </cell>
          <cell r="FL41">
            <v>27.92</v>
          </cell>
          <cell r="FM41">
            <v>19.3</v>
          </cell>
          <cell r="FN41">
            <v>3.6297000000000003E-2</v>
          </cell>
          <cell r="FO41">
            <v>0.7</v>
          </cell>
          <cell r="FP41">
            <v>19.3</v>
          </cell>
          <cell r="FQ41">
            <v>7.8799999999999999E-3</v>
          </cell>
          <cell r="FR41">
            <v>0.15</v>
          </cell>
          <cell r="FS41">
            <v>23.26</v>
          </cell>
          <cell r="FT41">
            <v>0.17</v>
          </cell>
          <cell r="FU41">
            <v>3.95</v>
          </cell>
          <cell r="GD41">
            <v>198</v>
          </cell>
          <cell r="GE41">
            <v>29120</v>
          </cell>
          <cell r="GF41">
            <v>28922</v>
          </cell>
          <cell r="GG41">
            <v>1</v>
          </cell>
          <cell r="HU41">
            <v>236</v>
          </cell>
          <cell r="HY41">
            <v>285</v>
          </cell>
          <cell r="IC41">
            <v>272</v>
          </cell>
          <cell r="IG41">
            <v>320</v>
          </cell>
          <cell r="IK41">
            <v>305</v>
          </cell>
          <cell r="IO41">
            <v>290</v>
          </cell>
          <cell r="IS41">
            <v>370</v>
          </cell>
          <cell r="IW41">
            <v>272</v>
          </cell>
        </row>
        <row r="42">
          <cell r="A42" t="str">
            <v/>
          </cell>
          <cell r="B42" t="str">
            <v>10/109074-5</v>
          </cell>
          <cell r="C42" t="str">
            <v>59758</v>
          </cell>
          <cell r="F42" t="str">
            <v>energisa_ms</v>
          </cell>
          <cell r="G42" t="str">
            <v>Carlos Camisao (3325)</v>
          </cell>
          <cell r="H42" t="str">
            <v>Igreja do Evangelho Quadrangular</v>
          </cell>
          <cell r="I42">
            <v>45839</v>
          </cell>
          <cell r="J42" t="str">
            <v>COMERCIAL - TEMPLOS RELIGIOSOS</v>
          </cell>
          <cell r="K42" t="str">
            <v>79940000</v>
          </cell>
          <cell r="L42" t="str">
            <v>MS</v>
          </cell>
          <cell r="M42" t="str">
            <v>CAARAPO</v>
          </cell>
          <cell r="N42" t="str">
            <v>CENTRO</v>
          </cell>
          <cell r="O42" t="str">
            <v>RUA QUINZE DE NOVEMBRO, 2180</v>
          </cell>
          <cell r="P42">
            <v>45847</v>
          </cell>
          <cell r="Q42" t="str">
            <v>B - B3</v>
          </cell>
          <cell r="R42" t="str">
            <v>62955505000167</v>
          </cell>
          <cell r="U42">
            <v>45814</v>
          </cell>
          <cell r="V42">
            <v>45846</v>
          </cell>
          <cell r="W42">
            <v>45876</v>
          </cell>
          <cell r="X42">
            <v>45856</v>
          </cell>
          <cell r="AA42" t="str">
            <v>011.052.954-002</v>
          </cell>
          <cell r="AB42" t="str">
            <v>bifasico</v>
          </cell>
          <cell r="AC42" t="str">
            <v>convencional</v>
          </cell>
          <cell r="AD42">
            <v>49.56</v>
          </cell>
          <cell r="AF42" t="str">
            <v>IGREJA DO EVANGELHO QUADRANGULAR</v>
          </cell>
          <cell r="AL42">
            <v>239</v>
          </cell>
          <cell r="AM42">
            <v>1.1626534170153418</v>
          </cell>
          <cell r="AN42">
            <v>277.87416666666667</v>
          </cell>
          <cell r="AO42">
            <v>1.1068200836820083</v>
          </cell>
          <cell r="AX42">
            <v>227</v>
          </cell>
          <cell r="AY42">
            <v>1.0057892804698971</v>
          </cell>
          <cell r="AZ42">
            <v>-228.31416666666667</v>
          </cell>
          <cell r="BA42">
            <v>1.1068281938325992</v>
          </cell>
          <cell r="DR42">
            <v>227</v>
          </cell>
          <cell r="DS42">
            <v>1.1626615271659326</v>
          </cell>
          <cell r="DT42">
            <v>-263.92416666666668</v>
          </cell>
          <cell r="DU42">
            <v>1.1068281938325992</v>
          </cell>
          <cell r="ET42">
            <v>227</v>
          </cell>
          <cell r="EX42">
            <v>107</v>
          </cell>
          <cell r="EZ42">
            <v>0.67</v>
          </cell>
          <cell r="FL42">
            <v>35.61</v>
          </cell>
          <cell r="FM42">
            <v>11.58</v>
          </cell>
          <cell r="FN42">
            <v>3.6297000000000003E-2</v>
          </cell>
          <cell r="FO42">
            <v>0.42</v>
          </cell>
          <cell r="FP42">
            <v>11.58</v>
          </cell>
          <cell r="FQ42">
            <v>7.8799999999999999E-3</v>
          </cell>
          <cell r="FR42">
            <v>0.1</v>
          </cell>
          <cell r="FS42">
            <v>13.95</v>
          </cell>
          <cell r="FT42">
            <v>0.17</v>
          </cell>
          <cell r="FU42">
            <v>2.37</v>
          </cell>
          <cell r="GD42">
            <v>239</v>
          </cell>
          <cell r="GE42">
            <v>22715</v>
          </cell>
          <cell r="GF42">
            <v>22476</v>
          </cell>
          <cell r="GG42">
            <v>1</v>
          </cell>
          <cell r="HU42">
            <v>271</v>
          </cell>
          <cell r="HY42">
            <v>320</v>
          </cell>
          <cell r="IC42">
            <v>351</v>
          </cell>
          <cell r="IG42">
            <v>320</v>
          </cell>
          <cell r="IK42">
            <v>254</v>
          </cell>
          <cell r="IO42">
            <v>220</v>
          </cell>
          <cell r="IS42">
            <v>369</v>
          </cell>
          <cell r="IW42">
            <v>297</v>
          </cell>
        </row>
        <row r="43">
          <cell r="A43" t="str">
            <v/>
          </cell>
          <cell r="B43" t="str">
            <v>10/1081489-5</v>
          </cell>
          <cell r="C43" t="str">
            <v>Cong. Alto Maracajú</v>
          </cell>
          <cell r="F43" t="str">
            <v>energisa_ms</v>
          </cell>
          <cell r="G43" t="str">
            <v>Cong. Alto Maracajú</v>
          </cell>
          <cell r="H43" t="str">
            <v>Igreja do Evangelho Quadrangular</v>
          </cell>
          <cell r="I43">
            <v>45839</v>
          </cell>
          <cell r="J43" t="str">
            <v>COMERCIAL - OUTROS SERVIÇOS E OUTRAS ATIVIDADES</v>
          </cell>
          <cell r="K43" t="str">
            <v>79150000</v>
          </cell>
          <cell r="L43" t="str">
            <v>MS</v>
          </cell>
          <cell r="M43" t="str">
            <v>MARACAJU</v>
          </cell>
          <cell r="N43" t="str">
            <v>ALTO MARACAJU</v>
          </cell>
          <cell r="O43" t="str">
            <v>RUA PRUDENTE DE MORAES, 651 - 08.031.13.593000</v>
          </cell>
          <cell r="P43">
            <v>45845</v>
          </cell>
          <cell r="Q43" t="str">
            <v>B - B3</v>
          </cell>
          <cell r="R43" t="str">
            <v>62955505016918</v>
          </cell>
          <cell r="U43">
            <v>45812</v>
          </cell>
          <cell r="V43">
            <v>45842</v>
          </cell>
          <cell r="W43">
            <v>45874</v>
          </cell>
          <cell r="X43">
            <v>45884</v>
          </cell>
          <cell r="AA43" t="str">
            <v>011.006.612-002</v>
          </cell>
          <cell r="AB43" t="str">
            <v>bifasico</v>
          </cell>
          <cell r="AC43" t="str">
            <v>convencional</v>
          </cell>
          <cell r="AD43">
            <v>105.77</v>
          </cell>
          <cell r="AE43" t="str">
            <v>34191.09115 88385.742932 85972.140009 1 11740000010577</v>
          </cell>
          <cell r="AF43" t="str">
            <v>IGREJA DO EVANGELHO QUADRANGULAR</v>
          </cell>
          <cell r="AL43">
            <v>379</v>
          </cell>
          <cell r="AM43">
            <v>1.1068337730870712</v>
          </cell>
          <cell r="AN43">
            <v>419.49</v>
          </cell>
          <cell r="AX43">
            <v>379</v>
          </cell>
          <cell r="AY43">
            <v>0.94994722955145128</v>
          </cell>
          <cell r="AZ43">
            <v>-360.03000000000003</v>
          </cell>
          <cell r="DR43">
            <v>379</v>
          </cell>
          <cell r="DS43">
            <v>1.1068337730870712</v>
          </cell>
          <cell r="DT43">
            <v>-419.49</v>
          </cell>
          <cell r="ET43">
            <v>379</v>
          </cell>
          <cell r="EX43">
            <v>362</v>
          </cell>
          <cell r="FA43">
            <v>38.64</v>
          </cell>
          <cell r="FC43">
            <v>7.6700000000000008</v>
          </cell>
          <cell r="FL43">
            <v>59.46</v>
          </cell>
          <cell r="FM43">
            <v>0</v>
          </cell>
          <cell r="FN43">
            <v>3.6297000000000003E-2</v>
          </cell>
          <cell r="FO43">
            <v>0</v>
          </cell>
          <cell r="FP43">
            <v>0</v>
          </cell>
          <cell r="FQ43">
            <v>7.8799999999999999E-3</v>
          </cell>
          <cell r="FR43">
            <v>0</v>
          </cell>
          <cell r="FS43">
            <v>0</v>
          </cell>
          <cell r="FT43">
            <v>0.17</v>
          </cell>
          <cell r="FU43">
            <v>0</v>
          </cell>
          <cell r="GD43">
            <v>379</v>
          </cell>
          <cell r="GE43">
            <v>52109</v>
          </cell>
          <cell r="GF43">
            <v>51730</v>
          </cell>
          <cell r="GG43">
            <v>1</v>
          </cell>
          <cell r="HU43">
            <v>427</v>
          </cell>
          <cell r="HY43">
            <v>543</v>
          </cell>
          <cell r="IC43">
            <v>495</v>
          </cell>
          <cell r="IG43">
            <v>651</v>
          </cell>
          <cell r="IK43">
            <v>785</v>
          </cell>
          <cell r="IO43">
            <v>634</v>
          </cell>
          <cell r="IS43">
            <v>683</v>
          </cell>
          <cell r="IW43">
            <v>546</v>
          </cell>
        </row>
        <row r="44">
          <cell r="A44" t="str">
            <v/>
          </cell>
          <cell r="B44" t="str">
            <v>10/501586-2</v>
          </cell>
          <cell r="C44" t="str">
            <v>Santo Antonio 6195</v>
          </cell>
          <cell r="F44" t="str">
            <v>energisa_ms</v>
          </cell>
          <cell r="G44" t="str">
            <v>Santo Antonio 6195</v>
          </cell>
          <cell r="H44" t="str">
            <v>Igreja do Evangelho Quadrangular</v>
          </cell>
          <cell r="I44">
            <v>45839</v>
          </cell>
          <cell r="J44" t="str">
            <v>COMERCIAL - TEMPLOS RELIGIOSOS</v>
          </cell>
          <cell r="K44" t="str">
            <v>79100300</v>
          </cell>
          <cell r="L44" t="str">
            <v>MS</v>
          </cell>
          <cell r="M44" t="str">
            <v>CAMPO GRANDE</v>
          </cell>
          <cell r="N44" t="str">
            <v>SANTO ANTONIO</v>
          </cell>
          <cell r="O44" t="str">
            <v>RUA LEONIDAS DE MATOS, 841 - 05.104.11.174000</v>
          </cell>
          <cell r="P44">
            <v>45847</v>
          </cell>
          <cell r="Q44" t="str">
            <v>B - B3</v>
          </cell>
          <cell r="R44" t="str">
            <v>62955505273058</v>
          </cell>
          <cell r="U44">
            <v>45814</v>
          </cell>
          <cell r="V44">
            <v>45846</v>
          </cell>
          <cell r="W44">
            <v>45876</v>
          </cell>
          <cell r="X44">
            <v>45864</v>
          </cell>
          <cell r="AA44" t="str">
            <v>011.055.306-002</v>
          </cell>
          <cell r="AB44" t="str">
            <v>trifasico</v>
          </cell>
          <cell r="AC44" t="str">
            <v>convencional</v>
          </cell>
          <cell r="AD44">
            <v>118.36</v>
          </cell>
          <cell r="AE44" t="str">
            <v>34191.09545 96442.270276 52186.260007 7 11540000011836</v>
          </cell>
          <cell r="AF44" t="str">
            <v>IGREJA DO EVANGELHO QUADRANGULAR</v>
          </cell>
          <cell r="AL44">
            <v>180</v>
          </cell>
          <cell r="AM44">
            <v>1.1631491228070177</v>
          </cell>
          <cell r="AN44">
            <v>209.36684210526317</v>
          </cell>
          <cell r="AO44">
            <v>1.1068333333333333</v>
          </cell>
          <cell r="AX44">
            <v>85</v>
          </cell>
          <cell r="AY44">
            <v>1.0984334365325079</v>
          </cell>
          <cell r="AZ44">
            <v>-93.366842105263174</v>
          </cell>
          <cell r="BA44">
            <v>1.1067058823529412</v>
          </cell>
          <cell r="DR44">
            <v>85</v>
          </cell>
          <cell r="DS44">
            <v>1.1630216718266255</v>
          </cell>
          <cell r="DT44">
            <v>-98.856842105263169</v>
          </cell>
          <cell r="DU44">
            <v>1.1067058823529412</v>
          </cell>
          <cell r="ET44">
            <v>85</v>
          </cell>
          <cell r="EZ44">
            <v>5.35</v>
          </cell>
          <cell r="FC44">
            <v>2.36</v>
          </cell>
          <cell r="FL44">
            <v>5.49</v>
          </cell>
          <cell r="FM44">
            <v>91.72</v>
          </cell>
          <cell r="FN44">
            <v>3.6297000000000003E-2</v>
          </cell>
          <cell r="FO44">
            <v>3.32</v>
          </cell>
          <cell r="FP44">
            <v>91.72</v>
          </cell>
          <cell r="FQ44">
            <v>7.8799999999999999E-3</v>
          </cell>
          <cell r="FR44">
            <v>0.73</v>
          </cell>
          <cell r="FS44">
            <v>110.51</v>
          </cell>
          <cell r="FT44">
            <v>0.17</v>
          </cell>
          <cell r="FU44">
            <v>18.78</v>
          </cell>
          <cell r="GD44">
            <v>180</v>
          </cell>
          <cell r="GE44">
            <v>1240</v>
          </cell>
          <cell r="GF44">
            <v>1234</v>
          </cell>
          <cell r="GG44">
            <v>30</v>
          </cell>
          <cell r="HU44">
            <v>150</v>
          </cell>
          <cell r="HY44">
            <v>240</v>
          </cell>
          <cell r="IC44">
            <v>240</v>
          </cell>
          <cell r="IG44">
            <v>270</v>
          </cell>
          <cell r="IK44">
            <v>180</v>
          </cell>
          <cell r="IO44">
            <v>150</v>
          </cell>
          <cell r="IS44">
            <v>210</v>
          </cell>
          <cell r="IW44">
            <v>180</v>
          </cell>
        </row>
        <row r="45">
          <cell r="A45" t="str">
            <v/>
          </cell>
          <cell r="B45" t="str">
            <v>10/513413-5</v>
          </cell>
          <cell r="C45" t="str">
            <v>Cong. Guia Lopes</v>
          </cell>
          <cell r="F45" t="str">
            <v>energisa_ms</v>
          </cell>
          <cell r="G45" t="str">
            <v>Cong. Guia Lopes</v>
          </cell>
          <cell r="H45" t="str">
            <v>Igreja do Evangelho Quadrangular</v>
          </cell>
          <cell r="I45">
            <v>45839</v>
          </cell>
          <cell r="J45" t="str">
            <v>COMERCIAL - TEMPLOS RELIGIOSOS</v>
          </cell>
          <cell r="K45" t="str">
            <v>79230000</v>
          </cell>
          <cell r="L45" t="str">
            <v>MS</v>
          </cell>
          <cell r="M45" t="str">
            <v>GUIA LOPES DA LAGUNA</v>
          </cell>
          <cell r="N45" t="str">
            <v>VILA SAO MIGUEL</v>
          </cell>
          <cell r="O45" t="str">
            <v>RUA TREZE DE MAIO, 1200 - 05.048.13.525000</v>
          </cell>
          <cell r="P45">
            <v>45845</v>
          </cell>
          <cell r="Q45" t="str">
            <v>B - B3</v>
          </cell>
          <cell r="R45" t="str">
            <v>62955505321630</v>
          </cell>
          <cell r="U45">
            <v>45812</v>
          </cell>
          <cell r="V45">
            <v>45842</v>
          </cell>
          <cell r="W45">
            <v>45874</v>
          </cell>
          <cell r="X45">
            <v>45854</v>
          </cell>
          <cell r="AA45" t="str">
            <v>011.005.924-002</v>
          </cell>
          <cell r="AB45" t="str">
            <v>trifasico</v>
          </cell>
          <cell r="AC45" t="str">
            <v>convencional</v>
          </cell>
          <cell r="AD45">
            <v>159.49</v>
          </cell>
          <cell r="AF45" t="str">
            <v>IGREJA DO EVANGELHO QUADRANGULAR</v>
          </cell>
          <cell r="AL45">
            <v>205</v>
          </cell>
          <cell r="AM45">
            <v>1.163129268292683</v>
          </cell>
          <cell r="AN45">
            <v>238.44150000000002</v>
          </cell>
          <cell r="AO45">
            <v>1.106829268292683</v>
          </cell>
          <cell r="AX45">
            <v>105</v>
          </cell>
          <cell r="AY45">
            <v>1.1630619047619046</v>
          </cell>
          <cell r="AZ45">
            <v>-122.12149999999998</v>
          </cell>
          <cell r="BA45">
            <v>1.1067619047619046</v>
          </cell>
          <cell r="DR45">
            <v>105</v>
          </cell>
          <cell r="DS45">
            <v>1.1630619047619046</v>
          </cell>
          <cell r="DT45">
            <v>-122.12149999999998</v>
          </cell>
          <cell r="DU45">
            <v>1.1067619047619046</v>
          </cell>
          <cell r="ET45">
            <v>105</v>
          </cell>
          <cell r="EX45">
            <v>482</v>
          </cell>
          <cell r="EZ45">
            <v>5.63</v>
          </cell>
          <cell r="FA45">
            <v>43.17</v>
          </cell>
          <cell r="FM45">
            <v>96.53</v>
          </cell>
          <cell r="FN45">
            <v>3.6297000000000003E-2</v>
          </cell>
          <cell r="FO45">
            <v>3.5</v>
          </cell>
          <cell r="FP45">
            <v>96.53</v>
          </cell>
          <cell r="FQ45">
            <v>7.8799999999999999E-3</v>
          </cell>
          <cell r="FR45">
            <v>0.75</v>
          </cell>
          <cell r="FS45">
            <v>116.32</v>
          </cell>
          <cell r="FT45">
            <v>0.17</v>
          </cell>
          <cell r="FU45">
            <v>19.77</v>
          </cell>
          <cell r="GD45">
            <v>205</v>
          </cell>
          <cell r="GE45">
            <v>49712</v>
          </cell>
          <cell r="GF45">
            <v>49507</v>
          </cell>
          <cell r="GG45">
            <v>1</v>
          </cell>
          <cell r="HU45">
            <v>374</v>
          </cell>
          <cell r="HY45">
            <v>458</v>
          </cell>
          <cell r="IC45">
            <v>585</v>
          </cell>
          <cell r="IG45">
            <v>555</v>
          </cell>
          <cell r="IK45">
            <v>585</v>
          </cell>
          <cell r="IO45">
            <v>551</v>
          </cell>
          <cell r="IS45">
            <v>553</v>
          </cell>
          <cell r="IW45">
            <v>503</v>
          </cell>
        </row>
        <row r="46">
          <cell r="A46" t="str">
            <v/>
          </cell>
          <cell r="B46" t="str">
            <v>10/5202-7</v>
          </cell>
          <cell r="C46" t="str">
            <v>Sede (161)</v>
          </cell>
          <cell r="F46" t="str">
            <v>energisa_ms</v>
          </cell>
          <cell r="G46" t="str">
            <v>Sede (161)</v>
          </cell>
          <cell r="H46" t="str">
            <v>Igreja do Evangelho Quadrangular</v>
          </cell>
          <cell r="I46">
            <v>45839</v>
          </cell>
          <cell r="J46" t="str">
            <v>COMERCIAL - TEMPLOS RELIGIOSOS</v>
          </cell>
          <cell r="K46" t="str">
            <v>79200000</v>
          </cell>
          <cell r="L46" t="str">
            <v>MS</v>
          </cell>
          <cell r="M46" t="str">
            <v>AQUIDAUANA</v>
          </cell>
          <cell r="N46" t="str">
            <v>CENTRO</v>
          </cell>
          <cell r="O46" t="str">
            <v>RUA DUQUE DE CAXIAS, 887 - 09.002.01.190000</v>
          </cell>
          <cell r="P46">
            <v>45848</v>
          </cell>
          <cell r="Q46" t="str">
            <v>B - B3</v>
          </cell>
          <cell r="R46" t="str">
            <v>62955505393207</v>
          </cell>
          <cell r="U46">
            <v>45817</v>
          </cell>
          <cell r="V46">
            <v>45847</v>
          </cell>
          <cell r="W46">
            <v>45877</v>
          </cell>
          <cell r="X46">
            <v>45884</v>
          </cell>
          <cell r="AA46" t="str">
            <v>011.078.549-002</v>
          </cell>
          <cell r="AB46" t="str">
            <v>trifasico</v>
          </cell>
          <cell r="AC46" t="str">
            <v>convencional</v>
          </cell>
          <cell r="AD46">
            <v>225.35</v>
          </cell>
          <cell r="AE46" t="str">
            <v>34191.09115 98321.622932 85972.140009 2 11740000022535</v>
          </cell>
          <cell r="AF46" t="str">
            <v>IGREJA DO EVANGELHO QUADRANGULAR</v>
          </cell>
          <cell r="AL46">
            <v>559.96</v>
          </cell>
          <cell r="AM46">
            <v>1.1630889641313522</v>
          </cell>
          <cell r="AN46">
            <v>651.28329635499199</v>
          </cell>
          <cell r="AO46">
            <v>1.1068290592185155</v>
          </cell>
          <cell r="AX46">
            <v>459</v>
          </cell>
          <cell r="AY46">
            <v>1.1631008635185012</v>
          </cell>
          <cell r="AZ46">
            <v>-533.86329635499203</v>
          </cell>
          <cell r="BA46">
            <v>1.1068409586056644</v>
          </cell>
          <cell r="DR46">
            <v>459</v>
          </cell>
          <cell r="DS46">
            <v>1.1631008635185012</v>
          </cell>
          <cell r="DT46">
            <v>-533.86329635499203</v>
          </cell>
          <cell r="DU46">
            <v>1.1068409586056644</v>
          </cell>
          <cell r="ET46">
            <v>459</v>
          </cell>
          <cell r="EX46">
            <v>1517</v>
          </cell>
          <cell r="EZ46">
            <v>5.68</v>
          </cell>
          <cell r="FA46">
            <v>107.93</v>
          </cell>
          <cell r="FM46">
            <v>97.47</v>
          </cell>
          <cell r="FN46">
            <v>3.6297000000000003E-2</v>
          </cell>
          <cell r="FO46">
            <v>3.54</v>
          </cell>
          <cell r="FP46">
            <v>97.47</v>
          </cell>
          <cell r="FQ46">
            <v>7.8799999999999999E-3</v>
          </cell>
          <cell r="FR46">
            <v>0.76</v>
          </cell>
          <cell r="FS46">
            <v>117.42</v>
          </cell>
          <cell r="FT46">
            <v>0.17</v>
          </cell>
          <cell r="FU46">
            <v>19.96</v>
          </cell>
          <cell r="GD46">
            <v>559.96</v>
          </cell>
          <cell r="GE46">
            <v>6158.47</v>
          </cell>
          <cell r="GF46">
            <v>6144.47</v>
          </cell>
          <cell r="GG46">
            <v>40</v>
          </cell>
          <cell r="HU46">
            <v>1369.62</v>
          </cell>
          <cell r="HY46">
            <v>1738.68</v>
          </cell>
          <cell r="IC46">
            <v>2042.68</v>
          </cell>
          <cell r="IG46">
            <v>2733.12</v>
          </cell>
          <cell r="IK46">
            <v>1810.6</v>
          </cell>
          <cell r="IO46">
            <v>1832.2</v>
          </cell>
          <cell r="IS46">
            <v>2993.72</v>
          </cell>
          <cell r="IW46">
            <v>1746.18</v>
          </cell>
        </row>
        <row r="47">
          <cell r="A47" t="str">
            <v/>
          </cell>
          <cell r="B47" t="str">
            <v>10/532081-7</v>
          </cell>
          <cell r="C47" t="str">
            <v>2ª IEQ de Amambai 1935</v>
          </cell>
          <cell r="F47" t="str">
            <v>energisa_ms</v>
          </cell>
          <cell r="G47" t="str">
            <v>2ª IEQ de Amambai 1935</v>
          </cell>
          <cell r="H47" t="str">
            <v>Igreja do Evangelho Quadrangular</v>
          </cell>
          <cell r="I47">
            <v>45839</v>
          </cell>
          <cell r="J47" t="str">
            <v>COMERCIAL - TEMPLOS RELIGIOSOS</v>
          </cell>
          <cell r="K47" t="str">
            <v>79990000</v>
          </cell>
          <cell r="L47" t="str">
            <v>MS</v>
          </cell>
          <cell r="M47" t="str">
            <v>AMAMBAI</v>
          </cell>
          <cell r="N47" t="str">
            <v>CENTRO</v>
          </cell>
          <cell r="O47" t="str">
            <v>RUA CASSIANO MARCELO, 923 - 06.036.17.123000</v>
          </cell>
          <cell r="P47">
            <v>45848</v>
          </cell>
          <cell r="Q47" t="str">
            <v>B - B3</v>
          </cell>
          <cell r="R47" t="str">
            <v>62955505193534</v>
          </cell>
          <cell r="U47">
            <v>45817</v>
          </cell>
          <cell r="V47">
            <v>45847</v>
          </cell>
          <cell r="W47">
            <v>45877</v>
          </cell>
          <cell r="X47">
            <v>45875</v>
          </cell>
          <cell r="AA47" t="str">
            <v>011.077.148-002</v>
          </cell>
          <cell r="AB47" t="str">
            <v>trifasico</v>
          </cell>
          <cell r="AC47" t="str">
            <v>convencional</v>
          </cell>
          <cell r="AD47">
            <v>152.31</v>
          </cell>
          <cell r="AE47" t="str">
            <v>34191.09115 98410.982932 85972.140009 5 11650000015231</v>
          </cell>
          <cell r="AF47" t="str">
            <v>IGREJA DO EVANGELHO QUADRANGULAR</v>
          </cell>
          <cell r="AL47">
            <v>188</v>
          </cell>
          <cell r="AM47">
            <v>1.1630085106382979</v>
          </cell>
          <cell r="AN47">
            <v>218.6456</v>
          </cell>
          <cell r="AO47">
            <v>1.1068085106382979</v>
          </cell>
          <cell r="AX47">
            <v>88</v>
          </cell>
          <cell r="AY47">
            <v>1.163018181818182</v>
          </cell>
          <cell r="AZ47">
            <v>-102.34560000000002</v>
          </cell>
          <cell r="BA47">
            <v>1.1068181818181819</v>
          </cell>
          <cell r="DR47">
            <v>88</v>
          </cell>
          <cell r="DS47">
            <v>1.163018181818182</v>
          </cell>
          <cell r="DT47">
            <v>-102.34560000000002</v>
          </cell>
          <cell r="DU47">
            <v>1.1068181818181819</v>
          </cell>
          <cell r="ET47">
            <v>88</v>
          </cell>
          <cell r="EX47">
            <v>247</v>
          </cell>
          <cell r="EZ47">
            <v>5.62</v>
          </cell>
          <cell r="FA47">
            <v>36.01</v>
          </cell>
          <cell r="FM47">
            <v>96.53</v>
          </cell>
          <cell r="FN47">
            <v>3.6297000000000003E-2</v>
          </cell>
          <cell r="FO47">
            <v>3.51</v>
          </cell>
          <cell r="FP47">
            <v>96.53</v>
          </cell>
          <cell r="FQ47">
            <v>7.8799999999999999E-3</v>
          </cell>
          <cell r="FR47">
            <v>0.76</v>
          </cell>
          <cell r="FS47">
            <v>116.3</v>
          </cell>
          <cell r="FT47">
            <v>0.17</v>
          </cell>
          <cell r="FU47">
            <v>19.77</v>
          </cell>
          <cell r="GD47">
            <v>188</v>
          </cell>
          <cell r="GE47">
            <v>18433</v>
          </cell>
          <cell r="GF47">
            <v>18245</v>
          </cell>
          <cell r="GG47">
            <v>1</v>
          </cell>
          <cell r="HU47">
            <v>225</v>
          </cell>
          <cell r="HY47">
            <v>224</v>
          </cell>
          <cell r="IC47">
            <v>342</v>
          </cell>
          <cell r="IG47">
            <v>531</v>
          </cell>
          <cell r="IK47">
            <v>556</v>
          </cell>
          <cell r="IO47">
            <v>379</v>
          </cell>
          <cell r="IS47">
            <v>437</v>
          </cell>
          <cell r="IW47">
            <v>296</v>
          </cell>
        </row>
        <row r="48">
          <cell r="A48" t="str">
            <v/>
          </cell>
          <cell r="B48" t="str">
            <v>10/511753-6</v>
          </cell>
          <cell r="C48" t="str">
            <v>Seac</v>
          </cell>
          <cell r="F48" t="str">
            <v>energisa_ms</v>
          </cell>
          <cell r="G48" t="str">
            <v>Seac</v>
          </cell>
          <cell r="H48" t="str">
            <v>Igreja do Evangelho Quadrangular</v>
          </cell>
          <cell r="I48">
            <v>45839</v>
          </cell>
          <cell r="J48" t="str">
            <v>COMERCIAL - TEMPLOS RELIGIOSOS</v>
          </cell>
          <cell r="K48" t="str">
            <v>79370000</v>
          </cell>
          <cell r="L48" t="str">
            <v>MS</v>
          </cell>
          <cell r="M48" t="str">
            <v>LADARIO</v>
          </cell>
          <cell r="N48" t="str">
            <v>CENTRO</v>
          </cell>
          <cell r="O48" t="str">
            <v>RUA PEDRO FELICIDADE, 351 - 04.004.01.200077</v>
          </cell>
          <cell r="P48">
            <v>45845</v>
          </cell>
          <cell r="Q48" t="str">
            <v>B - B3</v>
          </cell>
          <cell r="R48" t="str">
            <v>62955505016080</v>
          </cell>
          <cell r="U48">
            <v>45812</v>
          </cell>
          <cell r="V48">
            <v>45842</v>
          </cell>
          <cell r="W48">
            <v>45874</v>
          </cell>
          <cell r="X48">
            <v>45861</v>
          </cell>
          <cell r="AA48" t="str">
            <v>011.005.916-002</v>
          </cell>
          <cell r="AB48" t="str">
            <v>bifasico</v>
          </cell>
          <cell r="AC48" t="str">
            <v>convencional</v>
          </cell>
          <cell r="AD48">
            <v>82.83</v>
          </cell>
          <cell r="AE48" t="str">
            <v>34191.09115 88325.362932 85972.140009 6 11510000008283</v>
          </cell>
          <cell r="AF48" t="str">
            <v>IGREJA DO EVANGELHO QUADRANGULAR</v>
          </cell>
          <cell r="AL48">
            <v>82</v>
          </cell>
          <cell r="AM48">
            <v>1.163029268292683</v>
          </cell>
          <cell r="AN48">
            <v>95.368400000000008</v>
          </cell>
          <cell r="AO48">
            <v>1.106829268292683</v>
          </cell>
          <cell r="AX48">
            <v>32</v>
          </cell>
          <cell r="AY48">
            <v>1.1627624999999999</v>
          </cell>
          <cell r="AZ48">
            <v>-37.208399999999997</v>
          </cell>
          <cell r="BA48">
            <v>1.1065624999999999</v>
          </cell>
          <cell r="DR48">
            <v>32</v>
          </cell>
          <cell r="DS48">
            <v>1.1627624999999999</v>
          </cell>
          <cell r="DT48">
            <v>-37.208399999999997</v>
          </cell>
          <cell r="DU48">
            <v>1.1065624999999999</v>
          </cell>
          <cell r="ET48">
            <v>32</v>
          </cell>
          <cell r="EX48">
            <v>544</v>
          </cell>
          <cell r="EZ48">
            <v>2.81</v>
          </cell>
          <cell r="FA48">
            <v>24.67</v>
          </cell>
          <cell r="FM48">
            <v>48.27</v>
          </cell>
          <cell r="FN48">
            <v>3.6297000000000003E-2</v>
          </cell>
          <cell r="FO48">
            <v>1.75</v>
          </cell>
          <cell r="FP48">
            <v>48.27</v>
          </cell>
          <cell r="FQ48">
            <v>7.8799999999999999E-3</v>
          </cell>
          <cell r="FR48">
            <v>0.38</v>
          </cell>
          <cell r="FS48">
            <v>58.16</v>
          </cell>
          <cell r="FT48">
            <v>0.17</v>
          </cell>
          <cell r="FU48">
            <v>9.8800000000000008</v>
          </cell>
          <cell r="GD48">
            <v>82</v>
          </cell>
          <cell r="GE48">
            <v>7469</v>
          </cell>
          <cell r="GF48">
            <v>7387</v>
          </cell>
          <cell r="GG48">
            <v>1</v>
          </cell>
          <cell r="HU48">
            <v>247</v>
          </cell>
          <cell r="HY48">
            <v>193</v>
          </cell>
          <cell r="IC48">
            <v>226</v>
          </cell>
          <cell r="IG48">
            <v>317</v>
          </cell>
          <cell r="IK48">
            <v>321</v>
          </cell>
          <cell r="IO48">
            <v>251</v>
          </cell>
          <cell r="IS48">
            <v>253</v>
          </cell>
          <cell r="IW48">
            <v>265</v>
          </cell>
        </row>
        <row r="49">
          <cell r="A49" t="str">
            <v/>
          </cell>
          <cell r="B49" t="str">
            <v>10/510330-4</v>
          </cell>
          <cell r="C49" t="str">
            <v>Morumbi 3671</v>
          </cell>
          <cell r="F49" t="str">
            <v>energisa_ms</v>
          </cell>
          <cell r="G49" t="str">
            <v>Morumbi 3671</v>
          </cell>
          <cell r="H49" t="str">
            <v>Igreja do Evangelho Quadrangular</v>
          </cell>
          <cell r="I49">
            <v>45839</v>
          </cell>
          <cell r="J49" t="str">
            <v>COMERCIAL - TEMPLOS RELIGIOSOS</v>
          </cell>
          <cell r="K49" t="str">
            <v>79904312</v>
          </cell>
          <cell r="L49" t="str">
            <v>MS</v>
          </cell>
          <cell r="M49" t="str">
            <v>PONTA PORA</v>
          </cell>
          <cell r="N49" t="str">
            <v>PORTAL DO MORUMBI</v>
          </cell>
          <cell r="O49" t="str">
            <v>TRAVESSA JOSE MAURO OCAMPOS, 498 - 02.032.10.221000</v>
          </cell>
          <cell r="P49">
            <v>45855</v>
          </cell>
          <cell r="Q49" t="str">
            <v>B - B3</v>
          </cell>
          <cell r="R49" t="str">
            <v>62955505367117</v>
          </cell>
          <cell r="U49">
            <v>45824</v>
          </cell>
          <cell r="V49">
            <v>45854</v>
          </cell>
          <cell r="W49">
            <v>45883</v>
          </cell>
          <cell r="X49">
            <v>45870</v>
          </cell>
          <cell r="AA49" t="str">
            <v>011.170.364-002</v>
          </cell>
          <cell r="AB49" t="str">
            <v>trifasico</v>
          </cell>
          <cell r="AC49" t="str">
            <v>convencional</v>
          </cell>
          <cell r="AD49">
            <v>176.2</v>
          </cell>
          <cell r="AE49" t="str">
            <v>34191.09123 11575.172934 85972.140009 1 11600000017620</v>
          </cell>
          <cell r="AF49" t="str">
            <v>IGREJA DO EVANGELHO QUADRANGULAR</v>
          </cell>
          <cell r="AL49">
            <v>287</v>
          </cell>
          <cell r="AM49">
            <v>1.163129268292683</v>
          </cell>
          <cell r="AN49">
            <v>333.81810000000002</v>
          </cell>
          <cell r="AO49">
            <v>1.106829268292683</v>
          </cell>
          <cell r="AX49">
            <v>187</v>
          </cell>
          <cell r="AY49">
            <v>1.1631449197860961</v>
          </cell>
          <cell r="AZ49">
            <v>-217.50809999999998</v>
          </cell>
          <cell r="BA49">
            <v>1.1068449197860961</v>
          </cell>
          <cell r="DR49">
            <v>187</v>
          </cell>
          <cell r="DS49">
            <v>1.1631449197860961</v>
          </cell>
          <cell r="DT49">
            <v>-217.50809999999998</v>
          </cell>
          <cell r="DU49">
            <v>1.1068449197860961</v>
          </cell>
          <cell r="ET49">
            <v>187</v>
          </cell>
          <cell r="EX49">
            <v>381</v>
          </cell>
          <cell r="EZ49">
            <v>5.63</v>
          </cell>
          <cell r="FA49">
            <v>57.37</v>
          </cell>
          <cell r="FC49">
            <v>2.52</v>
          </cell>
          <cell r="FM49">
            <v>96.54</v>
          </cell>
          <cell r="FN49">
            <v>3.6297000000000003E-2</v>
          </cell>
          <cell r="FO49">
            <v>3.51</v>
          </cell>
          <cell r="FP49">
            <v>96.54</v>
          </cell>
          <cell r="FQ49">
            <v>7.8799999999999999E-3</v>
          </cell>
          <cell r="FR49">
            <v>0.76</v>
          </cell>
          <cell r="FS49">
            <v>116.31</v>
          </cell>
          <cell r="FT49">
            <v>0.17</v>
          </cell>
          <cell r="FU49">
            <v>19.77</v>
          </cell>
          <cell r="GD49">
            <v>287</v>
          </cell>
          <cell r="GE49">
            <v>19997</v>
          </cell>
          <cell r="GF49">
            <v>19710</v>
          </cell>
          <cell r="GG49">
            <v>1</v>
          </cell>
          <cell r="HU49">
            <v>326</v>
          </cell>
          <cell r="HY49">
            <v>426</v>
          </cell>
          <cell r="IC49">
            <v>585</v>
          </cell>
          <cell r="IG49">
            <v>808</v>
          </cell>
          <cell r="IK49">
            <v>700</v>
          </cell>
          <cell r="IO49">
            <v>767</v>
          </cell>
          <cell r="IS49">
            <v>813</v>
          </cell>
          <cell r="IW49">
            <v>597</v>
          </cell>
        </row>
        <row r="50">
          <cell r="A50" t="str">
            <v/>
          </cell>
          <cell r="B50" t="str">
            <v>10/3214521-1</v>
          </cell>
          <cell r="C50" t="str">
            <v>Sidrolandia 170 - Casa Pastoral</v>
          </cell>
          <cell r="F50" t="str">
            <v>energisa_ms</v>
          </cell>
          <cell r="G50" t="str">
            <v>Sidrolandia 170 - Casa Pastoral</v>
          </cell>
          <cell r="H50" t="str">
            <v>Igreja do Evangelho Quadrangular</v>
          </cell>
          <cell r="I50">
            <v>45839</v>
          </cell>
          <cell r="J50" t="str">
            <v>RESIDENCIAL - RESIDENCIAL</v>
          </cell>
          <cell r="K50" t="str">
            <v>79170000</v>
          </cell>
          <cell r="L50" t="str">
            <v>MS</v>
          </cell>
          <cell r="M50" t="str">
            <v>SIDROLANDIA</v>
          </cell>
          <cell r="N50" t="str">
            <v>SAO BENTO</v>
          </cell>
          <cell r="O50" t="str">
            <v>RUA ANTONIO ALVES NANTES 64</v>
          </cell>
          <cell r="P50">
            <v>45852</v>
          </cell>
          <cell r="Q50" t="str">
            <v>B - B1</v>
          </cell>
          <cell r="U50">
            <v>45820</v>
          </cell>
          <cell r="V50">
            <v>45852</v>
          </cell>
          <cell r="W50">
            <v>45882</v>
          </cell>
          <cell r="X50">
            <v>45894</v>
          </cell>
          <cell r="AA50" t="str">
            <v>029.656.203-001</v>
          </cell>
          <cell r="AB50" t="str">
            <v>bifasico</v>
          </cell>
          <cell r="AC50" t="str">
            <v>convencional</v>
          </cell>
          <cell r="AD50">
            <v>203.01</v>
          </cell>
          <cell r="AE50" t="str">
            <v>34191.09123 00823.102934 85972.140009 2 11840000020301</v>
          </cell>
          <cell r="AF50" t="str">
            <v>IGREJA DO EVANGELHO QUADRANGULAR</v>
          </cell>
          <cell r="AL50">
            <v>156</v>
          </cell>
          <cell r="AM50">
            <v>1.1630128205128205</v>
          </cell>
          <cell r="AN50">
            <v>181.43</v>
          </cell>
          <cell r="AO50">
            <v>1.1067948717948717</v>
          </cell>
          <cell r="EZ50">
            <v>8.77</v>
          </cell>
          <cell r="FA50">
            <v>21.58</v>
          </cell>
          <cell r="FM50">
            <v>150.59</v>
          </cell>
          <cell r="FN50">
            <v>3.6297000000000003E-2</v>
          </cell>
          <cell r="FO50">
            <v>5.46</v>
          </cell>
          <cell r="FP50">
            <v>150.59</v>
          </cell>
          <cell r="FQ50">
            <v>7.8799999999999999E-3</v>
          </cell>
          <cell r="FR50">
            <v>1.18</v>
          </cell>
          <cell r="FS50">
            <v>181.43</v>
          </cell>
          <cell r="FT50">
            <v>0.17</v>
          </cell>
          <cell r="FU50">
            <v>30.84</v>
          </cell>
          <cell r="FZ50">
            <v>156</v>
          </cell>
          <cell r="GA50">
            <v>29489</v>
          </cell>
          <cell r="GB50">
            <v>29333</v>
          </cell>
          <cell r="GC50">
            <v>1</v>
          </cell>
          <cell r="HT50">
            <v>140</v>
          </cell>
          <cell r="HX50">
            <v>182</v>
          </cell>
          <cell r="IB50">
            <v>223</v>
          </cell>
          <cell r="IF50">
            <v>262</v>
          </cell>
          <cell r="IJ50">
            <v>284</v>
          </cell>
          <cell r="IN50">
            <v>295</v>
          </cell>
          <cell r="IR50">
            <v>299</v>
          </cell>
          <cell r="IV50">
            <v>208</v>
          </cell>
        </row>
        <row r="51">
          <cell r="A51" t="str">
            <v/>
          </cell>
          <cell r="B51" t="str">
            <v>10/29964-4</v>
          </cell>
          <cell r="C51" t="str">
            <v>Popular Nova 676</v>
          </cell>
          <cell r="F51" t="str">
            <v>energisa_ms</v>
          </cell>
          <cell r="G51" t="str">
            <v>Popular Nova 676</v>
          </cell>
          <cell r="H51" t="str">
            <v>Igreja do Evangelho Quadrangular</v>
          </cell>
          <cell r="I51">
            <v>45839</v>
          </cell>
          <cell r="J51" t="str">
            <v>COMERCIAL - TEMPLOS RELIGIOSOS</v>
          </cell>
          <cell r="K51" t="str">
            <v>79321070</v>
          </cell>
          <cell r="L51" t="str">
            <v>MS</v>
          </cell>
          <cell r="M51" t="str">
            <v>CORUMBA</v>
          </cell>
          <cell r="N51" t="str">
            <v>POPULAR NOVA</v>
          </cell>
          <cell r="O51" t="str">
            <v>RUA PARANA, 2481 - 18.003.13.440000</v>
          </cell>
          <cell r="P51">
            <v>45852</v>
          </cell>
          <cell r="Q51" t="str">
            <v>B - B3</v>
          </cell>
          <cell r="R51" t="str">
            <v>62955505067660</v>
          </cell>
          <cell r="U51">
            <v>45819</v>
          </cell>
          <cell r="V51">
            <v>45849</v>
          </cell>
          <cell r="W51">
            <v>45881</v>
          </cell>
          <cell r="X51">
            <v>45861</v>
          </cell>
          <cell r="AA51" t="str">
            <v>011.119.752-002</v>
          </cell>
          <cell r="AB51" t="str">
            <v>trifasico</v>
          </cell>
          <cell r="AC51" t="str">
            <v>convencional</v>
          </cell>
          <cell r="AD51">
            <v>118.92</v>
          </cell>
          <cell r="AE51" t="str">
            <v>34191.09123 02519.642934 85972.140009 7 11510000011892</v>
          </cell>
          <cell r="AF51" t="str">
            <v>IGREJA DO EVANGELHO QUADRANGULAR</v>
          </cell>
          <cell r="AL51">
            <v>215</v>
          </cell>
          <cell r="AM51">
            <v>1.1631372093023256</v>
          </cell>
          <cell r="AN51">
            <v>250.0745</v>
          </cell>
          <cell r="AO51">
            <v>1.1068372093023255</v>
          </cell>
          <cell r="AX51">
            <v>115</v>
          </cell>
          <cell r="AY51">
            <v>1.1630826086956523</v>
          </cell>
          <cell r="AZ51">
            <v>-133.75450000000001</v>
          </cell>
          <cell r="BA51">
            <v>1.1067826086956523</v>
          </cell>
          <cell r="DR51">
            <v>115</v>
          </cell>
          <cell r="DS51">
            <v>1.1630826086956523</v>
          </cell>
          <cell r="DT51">
            <v>-133.75450000000001</v>
          </cell>
          <cell r="DU51">
            <v>1.1067826086956523</v>
          </cell>
          <cell r="ET51">
            <v>115</v>
          </cell>
          <cell r="EX51">
            <v>894</v>
          </cell>
          <cell r="EZ51">
            <v>5.63</v>
          </cell>
          <cell r="FC51">
            <v>2.6</v>
          </cell>
          <cell r="FM51">
            <v>96.57</v>
          </cell>
          <cell r="FN51">
            <v>3.6297000000000003E-2</v>
          </cell>
          <cell r="FO51">
            <v>3.51</v>
          </cell>
          <cell r="FP51">
            <v>96.57</v>
          </cell>
          <cell r="FQ51">
            <v>7.8799999999999999E-3</v>
          </cell>
          <cell r="FR51">
            <v>0.77</v>
          </cell>
          <cell r="FS51">
            <v>116.32</v>
          </cell>
          <cell r="FT51">
            <v>0.17</v>
          </cell>
          <cell r="FU51">
            <v>19.77</v>
          </cell>
          <cell r="GD51">
            <v>215</v>
          </cell>
          <cell r="GE51">
            <v>41203</v>
          </cell>
          <cell r="GF51">
            <v>40988</v>
          </cell>
          <cell r="GG51">
            <v>1</v>
          </cell>
          <cell r="HU51">
            <v>388</v>
          </cell>
          <cell r="HY51">
            <v>836</v>
          </cell>
          <cell r="IC51">
            <v>691</v>
          </cell>
          <cell r="IG51">
            <v>715</v>
          </cell>
          <cell r="IK51">
            <v>774</v>
          </cell>
          <cell r="IO51">
            <v>785</v>
          </cell>
          <cell r="IS51">
            <v>797</v>
          </cell>
          <cell r="IW51">
            <v>728</v>
          </cell>
        </row>
        <row r="52">
          <cell r="A52" t="str">
            <v/>
          </cell>
          <cell r="B52" t="str">
            <v>10/364440-8</v>
          </cell>
          <cell r="C52" t="str">
            <v>Sede 151</v>
          </cell>
          <cell r="F52" t="str">
            <v>energisa_ms</v>
          </cell>
          <cell r="G52" t="str">
            <v>Sede 151</v>
          </cell>
          <cell r="H52" t="str">
            <v>Igreja do Evangelho Quadrangular</v>
          </cell>
          <cell r="I52">
            <v>45839</v>
          </cell>
          <cell r="J52" t="str">
            <v>COMERCIAL - TEMPLOS RELIGIOSOS</v>
          </cell>
          <cell r="K52" t="str">
            <v>79006001</v>
          </cell>
          <cell r="L52" t="str">
            <v>MS</v>
          </cell>
          <cell r="M52" t="str">
            <v>CAMPO GRANDE</v>
          </cell>
          <cell r="N52" t="str">
            <v>GUANANDI</v>
          </cell>
          <cell r="O52" t="str">
            <v>AVENIDA BANDEIRANTES, 1437 - 04.103.21.157000</v>
          </cell>
          <cell r="P52">
            <v>45847</v>
          </cell>
          <cell r="Q52" t="str">
            <v>B - B3</v>
          </cell>
          <cell r="R52" t="str">
            <v>62955505015199</v>
          </cell>
          <cell r="U52">
            <v>45814</v>
          </cell>
          <cell r="V52">
            <v>45846</v>
          </cell>
          <cell r="W52">
            <v>45876</v>
          </cell>
          <cell r="X52">
            <v>45855</v>
          </cell>
          <cell r="AA52" t="str">
            <v>011.054.548-002</v>
          </cell>
          <cell r="AB52" t="str">
            <v>trifasico</v>
          </cell>
          <cell r="AC52" t="str">
            <v>convencional</v>
          </cell>
          <cell r="AD52">
            <v>116.32</v>
          </cell>
          <cell r="AE52" t="str">
            <v>34191.09545 96412.980276 52186.260007 6 11450000011632</v>
          </cell>
          <cell r="AF52" t="str">
            <v>IGREJA DO EVANGELHO QUADRANGULAR</v>
          </cell>
          <cell r="AL52">
            <v>2665</v>
          </cell>
          <cell r="AM52">
            <v>1.1631480300187618</v>
          </cell>
          <cell r="AN52">
            <v>3099.7895000000003</v>
          </cell>
          <cell r="AO52">
            <v>1.1068480300187618</v>
          </cell>
          <cell r="AX52">
            <v>2565</v>
          </cell>
          <cell r="AY52">
            <v>1.1631460038986354</v>
          </cell>
          <cell r="AZ52">
            <v>-2983.4694999999997</v>
          </cell>
          <cell r="BA52">
            <v>1.1068460038986354</v>
          </cell>
          <cell r="DR52">
            <v>2565</v>
          </cell>
          <cell r="DS52">
            <v>1.1631460038986354</v>
          </cell>
          <cell r="DT52">
            <v>-2983.4694999999997</v>
          </cell>
          <cell r="DU52">
            <v>1.1068460038986354</v>
          </cell>
          <cell r="ET52">
            <v>2565</v>
          </cell>
          <cell r="EX52">
            <v>3882</v>
          </cell>
          <cell r="EZ52">
            <v>5.63</v>
          </cell>
          <cell r="FM52">
            <v>96.56</v>
          </cell>
          <cell r="FN52">
            <v>3.6297000000000003E-2</v>
          </cell>
          <cell r="FO52">
            <v>3.51</v>
          </cell>
          <cell r="FP52">
            <v>96.56</v>
          </cell>
          <cell r="FQ52">
            <v>7.8799999999999999E-3</v>
          </cell>
          <cell r="FR52">
            <v>0.76</v>
          </cell>
          <cell r="FS52">
            <v>116.32</v>
          </cell>
          <cell r="FT52">
            <v>0.17</v>
          </cell>
          <cell r="FU52">
            <v>19.77</v>
          </cell>
          <cell r="GD52">
            <v>2665</v>
          </cell>
          <cell r="GE52">
            <v>21319</v>
          </cell>
          <cell r="GF52">
            <v>18654</v>
          </cell>
          <cell r="GG52">
            <v>1</v>
          </cell>
          <cell r="HU52">
            <v>2580</v>
          </cell>
          <cell r="HY52">
            <v>2659</v>
          </cell>
          <cell r="IC52">
            <v>2722</v>
          </cell>
          <cell r="IG52">
            <v>2706</v>
          </cell>
          <cell r="IK52">
            <v>2675</v>
          </cell>
          <cell r="IO52">
            <v>2647</v>
          </cell>
          <cell r="IS52">
            <v>2665</v>
          </cell>
          <cell r="IW52">
            <v>2665.71</v>
          </cell>
        </row>
        <row r="53">
          <cell r="A53" t="str">
            <v/>
          </cell>
          <cell r="B53" t="str">
            <v>10/384823-1</v>
          </cell>
          <cell r="C53" t="str">
            <v>Santa Emilia 1593</v>
          </cell>
          <cell r="F53" t="str">
            <v>energisa_ms</v>
          </cell>
          <cell r="G53" t="str">
            <v>Carlos Camisao (3325)</v>
          </cell>
          <cell r="H53" t="str">
            <v>Igreja do Evangelho Quadrangular</v>
          </cell>
          <cell r="I53">
            <v>45839</v>
          </cell>
          <cell r="J53" t="str">
            <v>COMERCIAL - TEMPLOS RELIGIOSOS</v>
          </cell>
          <cell r="K53" t="str">
            <v>79093290</v>
          </cell>
          <cell r="L53" t="str">
            <v>MS</v>
          </cell>
          <cell r="M53" t="str">
            <v>CAMPO GRANDE</v>
          </cell>
          <cell r="N53" t="str">
            <v>JARDIM SAO CONRADO</v>
          </cell>
          <cell r="O53" t="str">
            <v>AVENIDA GEN ALBERTO CARLOS MENDONCA LIMA, 2385 - 09.103.27.350000</v>
          </cell>
          <cell r="P53">
            <v>45848</v>
          </cell>
          <cell r="Q53" t="str">
            <v>B - B3</v>
          </cell>
          <cell r="R53" t="str">
            <v>62955505000167</v>
          </cell>
          <cell r="U53">
            <v>45817</v>
          </cell>
          <cell r="V53">
            <v>45847</v>
          </cell>
          <cell r="W53">
            <v>45877</v>
          </cell>
          <cell r="X53">
            <v>45859</v>
          </cell>
          <cell r="AA53" t="str">
            <v>011.078.187-002</v>
          </cell>
          <cell r="AB53" t="str">
            <v>monofasico</v>
          </cell>
          <cell r="AC53" t="str">
            <v>convencional</v>
          </cell>
          <cell r="AD53">
            <v>33.97</v>
          </cell>
          <cell r="AF53" t="str">
            <v>IGREJA DO EVANGELHO QUADRANGULAR</v>
          </cell>
          <cell r="AL53">
            <v>125</v>
          </cell>
          <cell r="AM53">
            <v>1.1633217391304347</v>
          </cell>
          <cell r="AN53">
            <v>145.41521739130434</v>
          </cell>
          <cell r="AO53">
            <v>1.1068</v>
          </cell>
          <cell r="AX53">
            <v>102</v>
          </cell>
          <cell r="AY53">
            <v>1.0926001705029837</v>
          </cell>
          <cell r="AZ53">
            <v>-111.44521739130434</v>
          </cell>
          <cell r="BA53">
            <v>1.1067647058823529</v>
          </cell>
          <cell r="DR53">
            <v>102</v>
          </cell>
          <cell r="DS53">
            <v>1.1632864450127876</v>
          </cell>
          <cell r="DT53">
            <v>-118.65521739130433</v>
          </cell>
          <cell r="DU53">
            <v>1.1067647058823529</v>
          </cell>
          <cell r="ET53">
            <v>102</v>
          </cell>
          <cell r="EZ53">
            <v>1.3</v>
          </cell>
          <cell r="FL53">
            <v>7.21</v>
          </cell>
          <cell r="FM53">
            <v>22.22</v>
          </cell>
          <cell r="FN53">
            <v>3.6297000000000003E-2</v>
          </cell>
          <cell r="FO53">
            <v>0.81</v>
          </cell>
          <cell r="FP53">
            <v>22.22</v>
          </cell>
          <cell r="FQ53">
            <v>7.8799999999999999E-3</v>
          </cell>
          <cell r="FR53">
            <v>0.17</v>
          </cell>
          <cell r="FS53">
            <v>26.76</v>
          </cell>
          <cell r="FT53">
            <v>0.17</v>
          </cell>
          <cell r="FU53">
            <v>4.54</v>
          </cell>
          <cell r="GD53">
            <v>125</v>
          </cell>
          <cell r="GE53">
            <v>47010</v>
          </cell>
          <cell r="GF53">
            <v>46885</v>
          </cell>
          <cell r="GG53">
            <v>1</v>
          </cell>
          <cell r="HU53">
            <v>155</v>
          </cell>
          <cell r="HY53">
            <v>150</v>
          </cell>
          <cell r="IC53">
            <v>131</v>
          </cell>
          <cell r="IG53">
            <v>171</v>
          </cell>
          <cell r="IK53">
            <v>143</v>
          </cell>
          <cell r="IO53">
            <v>85</v>
          </cell>
          <cell r="IS53">
            <v>80</v>
          </cell>
          <cell r="IW53">
            <v>63</v>
          </cell>
        </row>
        <row r="54">
          <cell r="A54" t="str">
            <v/>
          </cell>
          <cell r="B54" t="str">
            <v>10/218777-1</v>
          </cell>
          <cell r="C54" t="str">
            <v>Sidrolandia 170 - Igreja</v>
          </cell>
          <cell r="F54" t="str">
            <v>energisa_ms</v>
          </cell>
          <cell r="G54" t="str">
            <v>Sidrolandia 170 - Casa Pastoral</v>
          </cell>
          <cell r="H54" t="str">
            <v>Igreja do Evangelho Quadrangular</v>
          </cell>
          <cell r="I54">
            <v>45839</v>
          </cell>
          <cell r="J54" t="str">
            <v>RESIDENCIAL - RESIDENCIAL</v>
          </cell>
          <cell r="K54" t="str">
            <v>79170000</v>
          </cell>
          <cell r="L54" t="str">
            <v>MS</v>
          </cell>
          <cell r="M54" t="str">
            <v>SIDROLANDIA</v>
          </cell>
          <cell r="N54" t="str">
            <v>CENTRO</v>
          </cell>
          <cell r="O54" t="str">
            <v>RUA AMAZONAS, 171 - 11.053.01.501000</v>
          </cell>
          <cell r="P54">
            <v>45845</v>
          </cell>
          <cell r="Q54" t="str">
            <v>B - B1</v>
          </cell>
          <cell r="R54" t="str">
            <v>62955505017051</v>
          </cell>
          <cell r="U54">
            <v>45812</v>
          </cell>
          <cell r="V54">
            <v>45842</v>
          </cell>
          <cell r="W54">
            <v>45874</v>
          </cell>
          <cell r="X54">
            <v>45890</v>
          </cell>
          <cell r="AA54" t="str">
            <v>011.004.702-002</v>
          </cell>
          <cell r="AB54" t="str">
            <v>bifasico</v>
          </cell>
          <cell r="AC54" t="str">
            <v>convencional</v>
          </cell>
          <cell r="AD54">
            <v>58.35</v>
          </cell>
          <cell r="AE54" t="str">
            <v>34191.09115 88251.672932 85972.140009 8 11800000005835</v>
          </cell>
          <cell r="AF54" t="str">
            <v>IGREJA DO EVANGELHO QUADRANGULAR</v>
          </cell>
          <cell r="AL54">
            <v>78</v>
          </cell>
          <cell r="AM54">
            <v>1.1630448717948716</v>
          </cell>
          <cell r="AN54">
            <v>90.717499999999987</v>
          </cell>
          <cell r="AO54">
            <v>1.1067948717948717</v>
          </cell>
          <cell r="AX54">
            <v>30</v>
          </cell>
          <cell r="AY54">
            <v>1.0789166666666665</v>
          </cell>
          <cell r="AZ54">
            <v>-32.367499999999993</v>
          </cell>
          <cell r="BA54">
            <v>1.1063333333333332</v>
          </cell>
          <cell r="DR54">
            <v>30</v>
          </cell>
          <cell r="DS54">
            <v>1.1625833333333331</v>
          </cell>
          <cell r="DT54">
            <v>-34.877499999999991</v>
          </cell>
          <cell r="DU54">
            <v>1.1063333333333332</v>
          </cell>
          <cell r="ET54">
            <v>30</v>
          </cell>
          <cell r="EZ54">
            <v>2.7</v>
          </cell>
          <cell r="FL54">
            <v>2.5099999999999998</v>
          </cell>
          <cell r="FM54">
            <v>46.38</v>
          </cell>
          <cell r="FN54">
            <v>3.6297000000000003E-2</v>
          </cell>
          <cell r="FO54">
            <v>1.68</v>
          </cell>
          <cell r="FP54">
            <v>46.38</v>
          </cell>
          <cell r="FQ54">
            <v>7.8799999999999999E-3</v>
          </cell>
          <cell r="FR54">
            <v>0.38</v>
          </cell>
          <cell r="FS54">
            <v>55.84</v>
          </cell>
          <cell r="FT54">
            <v>0.17</v>
          </cell>
          <cell r="FU54">
            <v>9.49</v>
          </cell>
          <cell r="GD54">
            <v>78</v>
          </cell>
          <cell r="GE54">
            <v>41123</v>
          </cell>
          <cell r="GF54">
            <v>41045</v>
          </cell>
          <cell r="GG54">
            <v>1</v>
          </cell>
          <cell r="HU54">
            <v>90</v>
          </cell>
          <cell r="HY54">
            <v>124</v>
          </cell>
          <cell r="IC54">
            <v>171</v>
          </cell>
          <cell r="IG54">
            <v>151</v>
          </cell>
          <cell r="IK54">
            <v>179</v>
          </cell>
          <cell r="IO54">
            <v>148</v>
          </cell>
          <cell r="IS54">
            <v>158</v>
          </cell>
          <cell r="IW54">
            <v>200</v>
          </cell>
        </row>
        <row r="55">
          <cell r="A55" t="str">
            <v/>
          </cell>
          <cell r="B55" t="str">
            <v>10/257864-9</v>
          </cell>
          <cell r="C55" t="str">
            <v>Itaquirai 1821</v>
          </cell>
          <cell r="F55" t="str">
            <v>energisa_ms</v>
          </cell>
          <cell r="G55" t="str">
            <v>Itaquirai 1821</v>
          </cell>
          <cell r="H55" t="str">
            <v>Igreja do Evangelho Quadrangular</v>
          </cell>
          <cell r="I55">
            <v>45839</v>
          </cell>
          <cell r="J55" t="str">
            <v>COMERCIAL - TEMPLOS RELIGIOSOS</v>
          </cell>
          <cell r="K55" t="str">
            <v>79965000</v>
          </cell>
          <cell r="L55" t="str">
            <v>MS</v>
          </cell>
          <cell r="M55" t="str">
            <v>ITAQUIRAI</v>
          </cell>
          <cell r="N55" t="str">
            <v>CENTRO</v>
          </cell>
          <cell r="O55" t="str">
            <v>RUA SEN TEOTONIO VILELA, 427 - 11.074.05.148000</v>
          </cell>
          <cell r="P55">
            <v>45849</v>
          </cell>
          <cell r="Q55" t="str">
            <v>B - B3</v>
          </cell>
          <cell r="R55" t="str">
            <v>62955505182176</v>
          </cell>
          <cell r="U55">
            <v>45818</v>
          </cell>
          <cell r="V55">
            <v>45848</v>
          </cell>
          <cell r="W55">
            <v>45880</v>
          </cell>
          <cell r="X55">
            <v>45884</v>
          </cell>
          <cell r="AA55" t="str">
            <v>011.102.523-002</v>
          </cell>
          <cell r="AB55" t="str">
            <v>bifasico</v>
          </cell>
          <cell r="AC55" t="str">
            <v>convencional</v>
          </cell>
          <cell r="AD55">
            <v>84.5</v>
          </cell>
          <cell r="AE55" t="str">
            <v>34191.09123 01888.282934 85972.140009 3 11740000008450</v>
          </cell>
          <cell r="AF55" t="str">
            <v>IGREJA DO EVANGELHO QUADRANGULAR</v>
          </cell>
          <cell r="AL55">
            <v>67</v>
          </cell>
          <cell r="AM55">
            <v>1.1629164179104479</v>
          </cell>
          <cell r="AN55">
            <v>77.915400000000005</v>
          </cell>
          <cell r="AO55">
            <v>1.1067164179104478</v>
          </cell>
          <cell r="AX55">
            <v>17</v>
          </cell>
          <cell r="AY55">
            <v>1.1626705882352941</v>
          </cell>
          <cell r="AZ55">
            <v>-19.7654</v>
          </cell>
          <cell r="BA55">
            <v>1.1064705882352941</v>
          </cell>
          <cell r="DR55">
            <v>17</v>
          </cell>
          <cell r="DS55">
            <v>1.1626705882352941</v>
          </cell>
          <cell r="DT55">
            <v>-19.7654</v>
          </cell>
          <cell r="DU55">
            <v>1.1064705882352941</v>
          </cell>
          <cell r="ET55">
            <v>17</v>
          </cell>
          <cell r="EX55">
            <v>158</v>
          </cell>
          <cell r="EZ55">
            <v>2.81</v>
          </cell>
          <cell r="FA55">
            <v>12.75</v>
          </cell>
          <cell r="FC55">
            <v>13.6</v>
          </cell>
          <cell r="FM55">
            <v>48.28</v>
          </cell>
          <cell r="FN55">
            <v>3.6297000000000003E-2</v>
          </cell>
          <cell r="FO55">
            <v>1.74</v>
          </cell>
          <cell r="FP55">
            <v>48.28</v>
          </cell>
          <cell r="FQ55">
            <v>7.8799999999999999E-3</v>
          </cell>
          <cell r="FR55">
            <v>0.37</v>
          </cell>
          <cell r="FS55">
            <v>58.15</v>
          </cell>
          <cell r="FT55">
            <v>0.17</v>
          </cell>
          <cell r="FU55">
            <v>9.8800000000000008</v>
          </cell>
          <cell r="GD55">
            <v>67</v>
          </cell>
          <cell r="GE55">
            <v>24317</v>
          </cell>
          <cell r="GF55">
            <v>24250</v>
          </cell>
          <cell r="GG55">
            <v>1</v>
          </cell>
          <cell r="HU55">
            <v>99</v>
          </cell>
          <cell r="HY55">
            <v>221</v>
          </cell>
          <cell r="IC55">
            <v>226</v>
          </cell>
          <cell r="IG55">
            <v>250</v>
          </cell>
          <cell r="IK55">
            <v>277</v>
          </cell>
          <cell r="IO55">
            <v>248</v>
          </cell>
          <cell r="IS55">
            <v>236</v>
          </cell>
          <cell r="IW55">
            <v>177</v>
          </cell>
        </row>
        <row r="56">
          <cell r="A56" t="str">
            <v/>
          </cell>
          <cell r="B56" t="str">
            <v>10/1939035-0</v>
          </cell>
          <cell r="C56" t="str">
            <v>Bataguassu 4194 - Adicionada</v>
          </cell>
          <cell r="F56" t="str">
            <v>energisa_ms</v>
          </cell>
          <cell r="G56" t="str">
            <v>4465</v>
          </cell>
          <cell r="H56" t="str">
            <v>Igreja do Evangelho Quadrangular</v>
          </cell>
          <cell r="I56">
            <v>45839</v>
          </cell>
          <cell r="J56" t="str">
            <v>RESIDENCIAL - RESIDENCIAL</v>
          </cell>
          <cell r="K56" t="str">
            <v>79780000</v>
          </cell>
          <cell r="L56" t="str">
            <v>MS</v>
          </cell>
          <cell r="M56" t="str">
            <v>BATAGUASSU</v>
          </cell>
          <cell r="N56" t="str">
            <v>RESIDENCIAL MODELO II</v>
          </cell>
          <cell r="O56" t="str">
            <v>RUA NOVE, 121 - QD E LT 1B</v>
          </cell>
          <cell r="P56">
            <v>45855</v>
          </cell>
          <cell r="Q56" t="str">
            <v>B - B1</v>
          </cell>
          <cell r="R56" t="str">
            <v>62955505419443</v>
          </cell>
          <cell r="U56">
            <v>45824</v>
          </cell>
          <cell r="V56">
            <v>45854</v>
          </cell>
          <cell r="W56">
            <v>45883</v>
          </cell>
          <cell r="X56">
            <v>45885</v>
          </cell>
          <cell r="AA56" t="str">
            <v>011.173.642-002</v>
          </cell>
          <cell r="AB56" t="str">
            <v>bifasico</v>
          </cell>
          <cell r="AC56" t="str">
            <v>convencional</v>
          </cell>
          <cell r="AD56">
            <v>84.19</v>
          </cell>
          <cell r="AE56" t="str">
            <v>34191.09123 11687.612934 85972.140009 3 11750000008419</v>
          </cell>
          <cell r="AF56" t="str">
            <v>IGREJA DO EVANGELHO QUADRANGULAR</v>
          </cell>
          <cell r="AL56">
            <v>214</v>
          </cell>
          <cell r="AM56">
            <v>1.1630224299065421</v>
          </cell>
          <cell r="AN56">
            <v>248.88680000000002</v>
          </cell>
          <cell r="AO56">
            <v>1.1068224299065421</v>
          </cell>
          <cell r="AX56">
            <v>164</v>
          </cell>
          <cell r="AY56">
            <v>1.163029268292683</v>
          </cell>
          <cell r="AZ56">
            <v>-190.73680000000002</v>
          </cell>
          <cell r="BA56">
            <v>1.106829268292683</v>
          </cell>
          <cell r="DR56">
            <v>164</v>
          </cell>
          <cell r="DS56">
            <v>1.163029268292683</v>
          </cell>
          <cell r="DT56">
            <v>-190.73680000000002</v>
          </cell>
          <cell r="DU56">
            <v>1.106829268292683</v>
          </cell>
          <cell r="ET56">
            <v>164</v>
          </cell>
          <cell r="EX56">
            <v>564</v>
          </cell>
          <cell r="EZ56">
            <v>2.81</v>
          </cell>
          <cell r="FA56">
            <v>24.67</v>
          </cell>
          <cell r="FC56">
            <v>1.3699999999999999</v>
          </cell>
          <cell r="FM56">
            <v>48.29</v>
          </cell>
          <cell r="FN56">
            <v>3.6297000000000003E-2</v>
          </cell>
          <cell r="FO56">
            <v>1.74</v>
          </cell>
          <cell r="FP56">
            <v>48.29</v>
          </cell>
          <cell r="FQ56">
            <v>7.8799999999999999E-3</v>
          </cell>
          <cell r="FR56">
            <v>0.38</v>
          </cell>
          <cell r="FS56">
            <v>58.15</v>
          </cell>
          <cell r="FT56">
            <v>0.17</v>
          </cell>
          <cell r="FU56">
            <v>9.8800000000000008</v>
          </cell>
          <cell r="GD56">
            <v>214</v>
          </cell>
          <cell r="GE56">
            <v>26126</v>
          </cell>
          <cell r="GF56">
            <v>25912</v>
          </cell>
          <cell r="GG56">
            <v>1</v>
          </cell>
          <cell r="HU56">
            <v>253</v>
          </cell>
          <cell r="HY56">
            <v>228</v>
          </cell>
          <cell r="IC56">
            <v>363</v>
          </cell>
          <cell r="IG56">
            <v>545</v>
          </cell>
          <cell r="IK56">
            <v>417</v>
          </cell>
          <cell r="IO56">
            <v>386</v>
          </cell>
          <cell r="IS56">
            <v>451</v>
          </cell>
          <cell r="IW56">
            <v>310</v>
          </cell>
        </row>
        <row r="57">
          <cell r="A57" t="str">
            <v/>
          </cell>
          <cell r="B57" t="str">
            <v>10/2599101-9</v>
          </cell>
          <cell r="C57" t="str">
            <v>Administrativa</v>
          </cell>
          <cell r="F57" t="str">
            <v>energisa_ms</v>
          </cell>
          <cell r="G57" t="str">
            <v>Administrativa</v>
          </cell>
          <cell r="H57" t="str">
            <v>Igreja do Evangelho Quadrangular</v>
          </cell>
          <cell r="I57">
            <v>45839</v>
          </cell>
          <cell r="J57" t="str">
            <v>COMERCIAL - TEMPLOS RELIGIOSOS</v>
          </cell>
          <cell r="K57" t="str">
            <v>79006001</v>
          </cell>
          <cell r="L57" t="str">
            <v>MS</v>
          </cell>
          <cell r="M57" t="str">
            <v>CAMPO GRANDE</v>
          </cell>
          <cell r="N57" t="str">
            <v>GUANANDI</v>
          </cell>
          <cell r="O57" t="str">
            <v>AVENIDA BANDEIRANTES, 0</v>
          </cell>
          <cell r="P57">
            <v>45845</v>
          </cell>
          <cell r="Q57" t="str">
            <v>B - B3</v>
          </cell>
          <cell r="R57" t="str">
            <v>62955505379395</v>
          </cell>
          <cell r="U57">
            <v>45812</v>
          </cell>
          <cell r="V57">
            <v>45842</v>
          </cell>
          <cell r="W57">
            <v>45874</v>
          </cell>
          <cell r="X57">
            <v>45853</v>
          </cell>
          <cell r="AA57" t="str">
            <v>011.013.377-002</v>
          </cell>
          <cell r="AB57" t="str">
            <v>trifasico</v>
          </cell>
          <cell r="AC57" t="str">
            <v>convencional</v>
          </cell>
          <cell r="AD57">
            <v>116.32</v>
          </cell>
          <cell r="AE57" t="str">
            <v>34191.09545 93381.920276 52186.260007 2 11430000011632</v>
          </cell>
          <cell r="AF57" t="str">
            <v>IGREJA DO EVANGELHO QUADRANGULAR</v>
          </cell>
          <cell r="AL57">
            <v>237</v>
          </cell>
          <cell r="AM57">
            <v>1.1631354430379748</v>
          </cell>
          <cell r="AN57">
            <v>275.66310000000004</v>
          </cell>
          <cell r="AO57">
            <v>1.1068354430379748</v>
          </cell>
          <cell r="AX57">
            <v>137</v>
          </cell>
          <cell r="AY57">
            <v>1.1630883211678833</v>
          </cell>
          <cell r="AZ57">
            <v>-159.34310000000002</v>
          </cell>
          <cell r="BA57">
            <v>1.1067883211678833</v>
          </cell>
          <cell r="DR57">
            <v>137</v>
          </cell>
          <cell r="DS57">
            <v>1.1630883211678833</v>
          </cell>
          <cell r="DT57">
            <v>-159.34310000000002</v>
          </cell>
          <cell r="DU57">
            <v>1.1067883211678833</v>
          </cell>
          <cell r="ET57">
            <v>137</v>
          </cell>
          <cell r="EX57">
            <v>1512</v>
          </cell>
          <cell r="EZ57">
            <v>5.63</v>
          </cell>
          <cell r="FM57">
            <v>96.53</v>
          </cell>
          <cell r="FN57">
            <v>3.6297000000000003E-2</v>
          </cell>
          <cell r="FO57">
            <v>3.5</v>
          </cell>
          <cell r="FP57">
            <v>96.53</v>
          </cell>
          <cell r="FQ57">
            <v>7.8799999999999999E-3</v>
          </cell>
          <cell r="FR57">
            <v>0.76</v>
          </cell>
          <cell r="FS57">
            <v>116.32</v>
          </cell>
          <cell r="FT57">
            <v>0.17</v>
          </cell>
          <cell r="FU57">
            <v>19.77</v>
          </cell>
          <cell r="GD57">
            <v>237</v>
          </cell>
          <cell r="GE57">
            <v>11606</v>
          </cell>
          <cell r="GF57">
            <v>11369</v>
          </cell>
          <cell r="GG57">
            <v>1</v>
          </cell>
          <cell r="HU57">
            <v>462</v>
          </cell>
          <cell r="HY57">
            <v>675</v>
          </cell>
          <cell r="IC57">
            <v>927</v>
          </cell>
          <cell r="IG57">
            <v>1430</v>
          </cell>
          <cell r="IK57">
            <v>820</v>
          </cell>
          <cell r="IO57">
            <v>763</v>
          </cell>
          <cell r="IS57">
            <v>1140</v>
          </cell>
          <cell r="IW57">
            <v>1181</v>
          </cell>
        </row>
        <row r="58">
          <cell r="A58" t="str">
            <v/>
          </cell>
          <cell r="B58" t="str">
            <v>10/156956-5</v>
          </cell>
          <cell r="C58" t="str">
            <v>Sede Amambai 153</v>
          </cell>
          <cell r="F58" t="str">
            <v>energisa_ms</v>
          </cell>
          <cell r="G58" t="str">
            <v>Sede Amambai 153</v>
          </cell>
          <cell r="H58" t="str">
            <v>Igreja do Evangelho Quadrangular</v>
          </cell>
          <cell r="I58">
            <v>45839</v>
          </cell>
          <cell r="J58" t="str">
            <v>COMERCIAL - TEMPLOS RELIGIOSOS</v>
          </cell>
          <cell r="K58" t="str">
            <v>79990000</v>
          </cell>
          <cell r="L58" t="str">
            <v>MS</v>
          </cell>
          <cell r="M58" t="str">
            <v>AMAMBAI</v>
          </cell>
          <cell r="N58" t="str">
            <v>CENTRO</v>
          </cell>
          <cell r="O58" t="str">
            <v>RUA GENERAL CAMARA, 561 - 14.036.03.163000</v>
          </cell>
          <cell r="P58">
            <v>45849</v>
          </cell>
          <cell r="Q58" t="str">
            <v>B - B3</v>
          </cell>
          <cell r="R58" t="str">
            <v>62955505015350</v>
          </cell>
          <cell r="U58">
            <v>45818</v>
          </cell>
          <cell r="V58">
            <v>45848</v>
          </cell>
          <cell r="W58">
            <v>45880</v>
          </cell>
          <cell r="X58">
            <v>45864</v>
          </cell>
          <cell r="AA58" t="str">
            <v>011.102.165-002</v>
          </cell>
          <cell r="AB58" t="str">
            <v>trifasico</v>
          </cell>
          <cell r="AC58" t="str">
            <v>convencional</v>
          </cell>
          <cell r="AD58">
            <v>154.93</v>
          </cell>
          <cell r="AE58" t="str">
            <v>34191.09123 01869.542934 85972.140009 1 11540000015493</v>
          </cell>
          <cell r="AF58" t="str">
            <v>IGREJA DO EVANGELHO QUADRANGULAR</v>
          </cell>
          <cell r="AL58">
            <v>154</v>
          </cell>
          <cell r="AM58">
            <v>1.1631181818181817</v>
          </cell>
          <cell r="AN58">
            <v>179.12019999999998</v>
          </cell>
          <cell r="AO58">
            <v>1.1068181818181817</v>
          </cell>
          <cell r="AX58">
            <v>54</v>
          </cell>
          <cell r="AY58">
            <v>1.1629666666666667</v>
          </cell>
          <cell r="AZ58">
            <v>-62.800200000000004</v>
          </cell>
          <cell r="BA58">
            <v>1.1066666666666667</v>
          </cell>
          <cell r="DR58">
            <v>54</v>
          </cell>
          <cell r="DS58">
            <v>1.1629666666666667</v>
          </cell>
          <cell r="DT58">
            <v>-62.800200000000004</v>
          </cell>
          <cell r="DU58">
            <v>1.1066666666666667</v>
          </cell>
          <cell r="ET58">
            <v>54</v>
          </cell>
          <cell r="EX58">
            <v>670</v>
          </cell>
          <cell r="EZ58">
            <v>5.63</v>
          </cell>
          <cell r="FA58">
            <v>36.01</v>
          </cell>
          <cell r="FC58">
            <v>2.5999999999999996</v>
          </cell>
          <cell r="FM58">
            <v>96.52</v>
          </cell>
          <cell r="FN58">
            <v>3.6297000000000003E-2</v>
          </cell>
          <cell r="FO58">
            <v>3.5</v>
          </cell>
          <cell r="FP58">
            <v>96.52</v>
          </cell>
          <cell r="FQ58">
            <v>7.8799999999999999E-3</v>
          </cell>
          <cell r="FR58">
            <v>0.76</v>
          </cell>
          <cell r="FS58">
            <v>116.32</v>
          </cell>
          <cell r="FT58">
            <v>0.17</v>
          </cell>
          <cell r="FU58">
            <v>19.77</v>
          </cell>
          <cell r="GD58">
            <v>154</v>
          </cell>
          <cell r="GE58">
            <v>33675</v>
          </cell>
          <cell r="GF58">
            <v>33521</v>
          </cell>
          <cell r="GG58">
            <v>1</v>
          </cell>
          <cell r="HU58">
            <v>189</v>
          </cell>
          <cell r="HY58">
            <v>276</v>
          </cell>
          <cell r="IC58">
            <v>312</v>
          </cell>
          <cell r="IG58">
            <v>489</v>
          </cell>
          <cell r="IK58">
            <v>490</v>
          </cell>
          <cell r="IO58">
            <v>396</v>
          </cell>
          <cell r="IS58">
            <v>491</v>
          </cell>
          <cell r="IW58">
            <v>345</v>
          </cell>
        </row>
        <row r="59">
          <cell r="A59" t="str">
            <v/>
          </cell>
          <cell r="B59" t="str">
            <v>10/1672452-8</v>
          </cell>
          <cell r="C59" t="str">
            <v>172</v>
          </cell>
          <cell r="F59" t="str">
            <v>energisa_ms</v>
          </cell>
          <cell r="G59" t="str">
            <v>17213</v>
          </cell>
          <cell r="H59" t="str">
            <v>Igreja do Evangelho Quadrangular</v>
          </cell>
          <cell r="I59">
            <v>45839</v>
          </cell>
          <cell r="J59" t="str">
            <v>COMERCIAL - TEMPLOS RELIGIOSOS</v>
          </cell>
          <cell r="K59" t="str">
            <v>79290000</v>
          </cell>
          <cell r="L59" t="str">
            <v>MS</v>
          </cell>
          <cell r="M59" t="str">
            <v>BONITO</v>
          </cell>
          <cell r="N59" t="str">
            <v>CENTRO</v>
          </cell>
          <cell r="O59" t="str">
            <v>RUA N SRA DA PENHA, 540 - 06.061.05.037000</v>
          </cell>
          <cell r="P59">
            <v>45852</v>
          </cell>
          <cell r="Q59" t="str">
            <v>B - B3</v>
          </cell>
          <cell r="R59" t="str">
            <v>62955505017213</v>
          </cell>
          <cell r="U59">
            <v>45819</v>
          </cell>
          <cell r="V59">
            <v>45849</v>
          </cell>
          <cell r="W59">
            <v>45881</v>
          </cell>
          <cell r="X59">
            <v>45885</v>
          </cell>
          <cell r="AA59" t="str">
            <v>011.124.237-002</v>
          </cell>
          <cell r="AB59" t="str">
            <v>trifasico</v>
          </cell>
          <cell r="AC59" t="str">
            <v>convencional</v>
          </cell>
          <cell r="AD59">
            <v>134.19</v>
          </cell>
          <cell r="AE59" t="str">
            <v>34191.09123 02670.102934 85972.140009 7 11750000013419</v>
          </cell>
          <cell r="AF59" t="str">
            <v>IGREJA DO EVANGELHO QUADRANGULAR</v>
          </cell>
          <cell r="AL59">
            <v>164</v>
          </cell>
          <cell r="AM59">
            <v>1.163029268292683</v>
          </cell>
          <cell r="AN59">
            <v>190.73680000000002</v>
          </cell>
          <cell r="AO59">
            <v>1.106829268292683</v>
          </cell>
          <cell r="AX59">
            <v>64</v>
          </cell>
          <cell r="AY59">
            <v>1.16291875</v>
          </cell>
          <cell r="AZ59">
            <v>-74.4268</v>
          </cell>
          <cell r="BA59">
            <v>1.10671875</v>
          </cell>
          <cell r="DR59">
            <v>64</v>
          </cell>
          <cell r="DS59">
            <v>1.16291875</v>
          </cell>
          <cell r="DT59">
            <v>-74.4268</v>
          </cell>
          <cell r="DU59">
            <v>1.10671875</v>
          </cell>
          <cell r="ET59">
            <v>64</v>
          </cell>
          <cell r="EZ59">
            <v>5.62</v>
          </cell>
          <cell r="FA59">
            <v>15.41</v>
          </cell>
          <cell r="FC59">
            <v>2.4699999999999998</v>
          </cell>
          <cell r="FM59">
            <v>96.53</v>
          </cell>
          <cell r="FN59">
            <v>3.6297000000000003E-2</v>
          </cell>
          <cell r="FO59">
            <v>3.51</v>
          </cell>
          <cell r="FP59">
            <v>96.53</v>
          </cell>
          <cell r="FQ59">
            <v>7.8799999999999999E-3</v>
          </cell>
          <cell r="FR59">
            <v>0.77</v>
          </cell>
          <cell r="FS59">
            <v>116.31</v>
          </cell>
          <cell r="FT59">
            <v>0.17</v>
          </cell>
          <cell r="FU59">
            <v>19.77</v>
          </cell>
          <cell r="GD59">
            <v>164</v>
          </cell>
          <cell r="GE59">
            <v>30275</v>
          </cell>
          <cell r="GF59">
            <v>30111</v>
          </cell>
          <cell r="GG59">
            <v>1</v>
          </cell>
          <cell r="HU59">
            <v>283</v>
          </cell>
          <cell r="HY59">
            <v>456</v>
          </cell>
          <cell r="IC59">
            <v>523</v>
          </cell>
          <cell r="IG59">
            <v>476</v>
          </cell>
          <cell r="IK59">
            <v>564</v>
          </cell>
          <cell r="IO59">
            <v>319</v>
          </cell>
          <cell r="IS59">
            <v>377</v>
          </cell>
          <cell r="IW59">
            <v>301</v>
          </cell>
        </row>
        <row r="60">
          <cell r="A60" t="str">
            <v/>
          </cell>
          <cell r="B60" t="str">
            <v>10/1695011-5</v>
          </cell>
          <cell r="C60" t="str">
            <v>Ribas do Rio Pardo 62552</v>
          </cell>
          <cell r="F60" t="str">
            <v>energisa_ms</v>
          </cell>
          <cell r="G60" t="str">
            <v>Ribas do Rio Pardo 62552</v>
          </cell>
          <cell r="H60" t="str">
            <v>Igreja do Evangelho Quadrangular</v>
          </cell>
          <cell r="I60">
            <v>45839</v>
          </cell>
          <cell r="J60" t="str">
            <v>RESIDENCIAL - RESIDENCIAL</v>
          </cell>
          <cell r="K60" t="str">
            <v>79180000</v>
          </cell>
          <cell r="L60" t="str">
            <v>MS</v>
          </cell>
          <cell r="M60" t="str">
            <v>RIBAS DO RIO PARDO</v>
          </cell>
          <cell r="N60" t="str">
            <v>CENTRO</v>
          </cell>
          <cell r="O60" t="str">
            <v>RUA DOMINGOS GONCALVES GOMES, 2099 - 11.023.09.544100</v>
          </cell>
          <cell r="P60">
            <v>45849</v>
          </cell>
          <cell r="Q60" t="str">
            <v>B - B1</v>
          </cell>
          <cell r="R60" t="str">
            <v>62955505461210</v>
          </cell>
          <cell r="U60">
            <v>45818</v>
          </cell>
          <cell r="V60">
            <v>45848</v>
          </cell>
          <cell r="W60">
            <v>45880</v>
          </cell>
          <cell r="X60">
            <v>45860</v>
          </cell>
          <cell r="AA60" t="str">
            <v>011.105.395-002</v>
          </cell>
          <cell r="AB60" t="str">
            <v>trifasico</v>
          </cell>
          <cell r="AC60" t="str">
            <v>convencional</v>
          </cell>
          <cell r="AD60">
            <v>257.66000000000003</v>
          </cell>
          <cell r="AF60" t="str">
            <v>IGREJA DO EVANGELHO QUADRANGULAR</v>
          </cell>
          <cell r="AL60">
            <v>548</v>
          </cell>
          <cell r="AM60">
            <v>1.1630402487920219</v>
          </cell>
          <cell r="AN60">
            <v>637.34605633802801</v>
          </cell>
          <cell r="AO60">
            <v>1.1068430656934305</v>
          </cell>
          <cell r="AX60">
            <v>406</v>
          </cell>
          <cell r="AY60">
            <v>1.1630444737389856</v>
          </cell>
          <cell r="AZ60">
            <v>-472.19605633802814</v>
          </cell>
          <cell r="BA60">
            <v>1.1068472906403941</v>
          </cell>
          <cell r="DR60">
            <v>406</v>
          </cell>
          <cell r="DS60">
            <v>1.1630444737389856</v>
          </cell>
          <cell r="DT60">
            <v>-472.19605633802814</v>
          </cell>
          <cell r="DU60">
            <v>1.1068472906403941</v>
          </cell>
          <cell r="ET60">
            <v>406</v>
          </cell>
          <cell r="EX60">
            <v>0</v>
          </cell>
          <cell r="EZ60">
            <v>7.98</v>
          </cell>
          <cell r="FA60">
            <v>92.51</v>
          </cell>
          <cell r="FM60">
            <v>137.1</v>
          </cell>
          <cell r="FN60">
            <v>3.6297000000000003E-2</v>
          </cell>
          <cell r="FO60">
            <v>4.97</v>
          </cell>
          <cell r="FP60">
            <v>137.1</v>
          </cell>
          <cell r="FQ60">
            <v>7.8799999999999999E-3</v>
          </cell>
          <cell r="FR60">
            <v>1.08</v>
          </cell>
          <cell r="FS60">
            <v>165.15</v>
          </cell>
          <cell r="FT60">
            <v>0.17</v>
          </cell>
          <cell r="FU60">
            <v>28.07</v>
          </cell>
          <cell r="GD60">
            <v>548</v>
          </cell>
          <cell r="GE60">
            <v>80529</v>
          </cell>
          <cell r="GF60">
            <v>79981</v>
          </cell>
          <cell r="GG60">
            <v>1</v>
          </cell>
          <cell r="HU60">
            <v>599</v>
          </cell>
          <cell r="HY60">
            <v>758</v>
          </cell>
          <cell r="IC60">
            <v>885</v>
          </cell>
          <cell r="IG60">
            <v>873</v>
          </cell>
          <cell r="IK60">
            <v>930</v>
          </cell>
          <cell r="IO60">
            <v>833</v>
          </cell>
          <cell r="IS60">
            <v>892</v>
          </cell>
          <cell r="IW60">
            <v>786</v>
          </cell>
        </row>
        <row r="61">
          <cell r="A61" t="str">
            <v/>
          </cell>
          <cell r="B61" t="str">
            <v>10/1698130-0</v>
          </cell>
          <cell r="C61" t="str">
            <v>Ribas do Rio Pardo 62552</v>
          </cell>
          <cell r="F61" t="str">
            <v>energisa_ms</v>
          </cell>
          <cell r="G61" t="str">
            <v>Ribas do Rio Pardo 62552</v>
          </cell>
          <cell r="H61" t="str">
            <v>Igreja do Evangelho Quadrangular</v>
          </cell>
          <cell r="I61">
            <v>45839</v>
          </cell>
          <cell r="J61" t="str">
            <v>COMERCIAL - COMERCIAL</v>
          </cell>
          <cell r="K61" t="str">
            <v>79180000</v>
          </cell>
          <cell r="L61" t="str">
            <v>MS</v>
          </cell>
          <cell r="M61" t="str">
            <v>RIBAS DO RIO PARDO</v>
          </cell>
          <cell r="N61" t="str">
            <v>CENTRO</v>
          </cell>
          <cell r="O61" t="str">
            <v>RUA DOMINGOS GONCALVES GOMES, 2079 - Q 08 L 02 11.023.09.544000</v>
          </cell>
          <cell r="P61">
            <v>45849</v>
          </cell>
          <cell r="Q61" t="str">
            <v>B - B3</v>
          </cell>
          <cell r="R61" t="str">
            <v>62955505461210</v>
          </cell>
          <cell r="U61">
            <v>45818</v>
          </cell>
          <cell r="V61">
            <v>45848</v>
          </cell>
          <cell r="W61">
            <v>45880</v>
          </cell>
          <cell r="X61">
            <v>45860</v>
          </cell>
          <cell r="AA61" t="str">
            <v>011.105.403-002</v>
          </cell>
          <cell r="AB61" t="str">
            <v>trifasico</v>
          </cell>
          <cell r="AC61" t="str">
            <v>convencional</v>
          </cell>
          <cell r="AD61">
            <v>177.99</v>
          </cell>
          <cell r="AF61" t="str">
            <v>IGREJA DO EVANGELHO QUADRANGULAR</v>
          </cell>
          <cell r="AL61">
            <v>154</v>
          </cell>
          <cell r="AM61">
            <v>1.1631181818181817</v>
          </cell>
          <cell r="AN61">
            <v>179.12019999999998</v>
          </cell>
          <cell r="AO61">
            <v>1.1068181818181817</v>
          </cell>
          <cell r="AX61">
            <v>54</v>
          </cell>
          <cell r="AY61">
            <v>1.1629666666666667</v>
          </cell>
          <cell r="AZ61">
            <v>-62.800200000000004</v>
          </cell>
          <cell r="BA61">
            <v>1.1066666666666667</v>
          </cell>
          <cell r="DR61">
            <v>54</v>
          </cell>
          <cell r="DS61">
            <v>1.1629666666666667</v>
          </cell>
          <cell r="DT61">
            <v>-62.800200000000004</v>
          </cell>
          <cell r="DU61">
            <v>1.1066666666666667</v>
          </cell>
          <cell r="ET61">
            <v>54</v>
          </cell>
          <cell r="EX61">
            <v>164</v>
          </cell>
          <cell r="EZ61">
            <v>5.63</v>
          </cell>
          <cell r="FA61">
            <v>61.67</v>
          </cell>
          <cell r="FM61">
            <v>96.52</v>
          </cell>
          <cell r="FN61">
            <v>3.6297000000000003E-2</v>
          </cell>
          <cell r="FO61">
            <v>3.5</v>
          </cell>
          <cell r="FP61">
            <v>96.52</v>
          </cell>
          <cell r="FQ61">
            <v>7.8799999999999999E-3</v>
          </cell>
          <cell r="FR61">
            <v>0.76</v>
          </cell>
          <cell r="FS61">
            <v>116.32</v>
          </cell>
          <cell r="FT61">
            <v>0.17</v>
          </cell>
          <cell r="FU61">
            <v>19.77</v>
          </cell>
          <cell r="GD61">
            <v>154</v>
          </cell>
          <cell r="GE61">
            <v>96368</v>
          </cell>
          <cell r="GF61">
            <v>96214</v>
          </cell>
          <cell r="GG61">
            <v>1</v>
          </cell>
          <cell r="HU61">
            <v>210</v>
          </cell>
          <cell r="HY61">
            <v>245</v>
          </cell>
          <cell r="IC61">
            <v>340</v>
          </cell>
          <cell r="IG61">
            <v>327</v>
          </cell>
          <cell r="IK61">
            <v>371</v>
          </cell>
          <cell r="IO61">
            <v>339</v>
          </cell>
          <cell r="IS61">
            <v>323</v>
          </cell>
          <cell r="IW61">
            <v>283</v>
          </cell>
        </row>
        <row r="62">
          <cell r="A62" t="str">
            <v/>
          </cell>
          <cell r="B62" t="str">
            <v>10/1184751-4</v>
          </cell>
          <cell r="C62" t="str">
            <v>1490</v>
          </cell>
          <cell r="F62" t="str">
            <v>energisa_ms</v>
          </cell>
          <cell r="G62" t="str">
            <v>1490</v>
          </cell>
          <cell r="H62" t="str">
            <v>Igreja do Evangelho Quadrangular</v>
          </cell>
          <cell r="I62">
            <v>45839</v>
          </cell>
          <cell r="J62" t="str">
            <v>COMERCIAL - TEMPLOS RELIGIOSOS</v>
          </cell>
          <cell r="K62" t="str">
            <v>79833090</v>
          </cell>
          <cell r="L62" t="str">
            <v>MS</v>
          </cell>
          <cell r="M62" t="str">
            <v>DOURADOS</v>
          </cell>
          <cell r="N62" t="str">
            <v>JARDIM GUANABARA</v>
          </cell>
          <cell r="O62" t="str">
            <v>RUA DOM PEDRO I, 1135 - 07.010.45.317001</v>
          </cell>
          <cell r="P62">
            <v>45848</v>
          </cell>
          <cell r="Q62" t="str">
            <v>B - B3</v>
          </cell>
          <cell r="R62" t="str">
            <v>62955505149047</v>
          </cell>
          <cell r="U62">
            <v>45817</v>
          </cell>
          <cell r="V62">
            <v>45847</v>
          </cell>
          <cell r="W62">
            <v>45877</v>
          </cell>
          <cell r="X62">
            <v>45859</v>
          </cell>
          <cell r="AA62" t="str">
            <v>011.079.319-002</v>
          </cell>
          <cell r="AB62" t="str">
            <v>trifasico</v>
          </cell>
          <cell r="AC62" t="str">
            <v>convencional</v>
          </cell>
          <cell r="AD62">
            <v>254.91</v>
          </cell>
          <cell r="AF62" t="str">
            <v>IGREJA DO EVANGELHO QUADRANGULAR</v>
          </cell>
          <cell r="AL62">
            <v>292</v>
          </cell>
          <cell r="AM62">
            <v>1.1630650684931505</v>
          </cell>
          <cell r="AN62">
            <v>339.61499999999995</v>
          </cell>
          <cell r="AO62">
            <v>1.1068150684931506</v>
          </cell>
          <cell r="AX62">
            <v>124</v>
          </cell>
          <cell r="AY62">
            <v>1.1630241935483872</v>
          </cell>
          <cell r="AZ62">
            <v>-144.215</v>
          </cell>
          <cell r="BA62">
            <v>1.1067741935483872</v>
          </cell>
          <cell r="DR62">
            <v>124</v>
          </cell>
          <cell r="DS62">
            <v>1.1630241935483872</v>
          </cell>
          <cell r="DT62">
            <v>-144.215</v>
          </cell>
          <cell r="DU62">
            <v>1.1067741935483872</v>
          </cell>
          <cell r="ET62">
            <v>124</v>
          </cell>
          <cell r="EX62">
            <v>0</v>
          </cell>
          <cell r="EZ62">
            <v>9.4499999999999993</v>
          </cell>
          <cell r="FA62">
            <v>59.51</v>
          </cell>
          <cell r="FM62">
            <v>162.21</v>
          </cell>
          <cell r="FN62">
            <v>3.6297000000000003E-2</v>
          </cell>
          <cell r="FO62">
            <v>5.89</v>
          </cell>
          <cell r="FP62">
            <v>162.21</v>
          </cell>
          <cell r="FQ62">
            <v>7.8799999999999999E-3</v>
          </cell>
          <cell r="FR62">
            <v>1.29</v>
          </cell>
          <cell r="FS62">
            <v>195.4</v>
          </cell>
          <cell r="FT62">
            <v>0.17</v>
          </cell>
          <cell r="FU62">
            <v>33.21</v>
          </cell>
          <cell r="GD62">
            <v>292</v>
          </cell>
          <cell r="GE62">
            <v>76143</v>
          </cell>
          <cell r="GF62">
            <v>75851</v>
          </cell>
          <cell r="GG62">
            <v>1</v>
          </cell>
          <cell r="HU62">
            <v>323</v>
          </cell>
          <cell r="HY62">
            <v>293</v>
          </cell>
          <cell r="IC62">
            <v>317</v>
          </cell>
          <cell r="IG62">
            <v>371</v>
          </cell>
          <cell r="IK62">
            <v>322</v>
          </cell>
          <cell r="IO62">
            <v>168</v>
          </cell>
          <cell r="IS62">
            <v>196</v>
          </cell>
          <cell r="IW62">
            <v>171</v>
          </cell>
        </row>
        <row r="63">
          <cell r="A63" t="str">
            <v/>
          </cell>
          <cell r="B63" t="str">
            <v>10/925970-6</v>
          </cell>
          <cell r="C63" t="str">
            <v>577</v>
          </cell>
          <cell r="F63" t="str">
            <v>energisa_ms</v>
          </cell>
          <cell r="G63" t="str">
            <v>577</v>
          </cell>
          <cell r="H63" t="str">
            <v>Igreja do Evangelho Quadrangular</v>
          </cell>
          <cell r="I63">
            <v>45839</v>
          </cell>
          <cell r="J63" t="str">
            <v>COMERCIAL - TEMPLOS RELIGIOSOS</v>
          </cell>
          <cell r="K63" t="str">
            <v>79940000</v>
          </cell>
          <cell r="L63" t="str">
            <v>MS</v>
          </cell>
          <cell r="M63" t="str">
            <v>CAARAPO</v>
          </cell>
          <cell r="N63" t="str">
            <v>CENTRO</v>
          </cell>
          <cell r="O63" t="str">
            <v>RUA DOM PEDRO II, 361 - 12.025.01.066000</v>
          </cell>
          <cell r="P63">
            <v>45860</v>
          </cell>
          <cell r="Q63" t="str">
            <v>B - B3</v>
          </cell>
          <cell r="R63" t="str">
            <v>62955505057789</v>
          </cell>
          <cell r="U63">
            <v>45828</v>
          </cell>
          <cell r="V63">
            <v>45859</v>
          </cell>
          <cell r="W63">
            <v>45888</v>
          </cell>
          <cell r="X63">
            <v>45894</v>
          </cell>
          <cell r="AA63" t="str">
            <v>011.238.342-002</v>
          </cell>
          <cell r="AB63" t="str">
            <v>trifasico</v>
          </cell>
          <cell r="AC63" t="str">
            <v>convencional</v>
          </cell>
          <cell r="AD63">
            <v>108.15</v>
          </cell>
          <cell r="AE63" t="str">
            <v>34191.09123 21412.472934 85972.140009 3 11840000010815</v>
          </cell>
          <cell r="AF63" t="str">
            <v>IGREJA DO EVANGELHO QUADRANGULAR</v>
          </cell>
          <cell r="AL63">
            <v>266</v>
          </cell>
          <cell r="AM63">
            <v>1.163054226475279</v>
          </cell>
          <cell r="AN63">
            <v>309.37242424242419</v>
          </cell>
          <cell r="AO63">
            <v>1.1068421052631578</v>
          </cell>
          <cell r="AX63">
            <v>200</v>
          </cell>
          <cell r="AY63">
            <v>1.0061121212121211</v>
          </cell>
          <cell r="AZ63">
            <v>-201.22242424242424</v>
          </cell>
          <cell r="BA63">
            <v>1.1068</v>
          </cell>
          <cell r="DZ63">
            <v>200</v>
          </cell>
          <cell r="EA63">
            <v>1.1630121212121212</v>
          </cell>
          <cell r="EB63">
            <v>-232.60242424242423</v>
          </cell>
          <cell r="EC63">
            <v>1.1068</v>
          </cell>
          <cell r="ET63">
            <v>200</v>
          </cell>
          <cell r="EV63">
            <v>1258</v>
          </cell>
          <cell r="EW63">
            <v>1258</v>
          </cell>
          <cell r="EX63">
            <v>396</v>
          </cell>
          <cell r="EZ63">
            <v>3.71</v>
          </cell>
          <cell r="FL63">
            <v>31.38</v>
          </cell>
          <cell r="FM63">
            <v>63.71</v>
          </cell>
          <cell r="FN63">
            <v>3.6297000000000003E-2</v>
          </cell>
          <cell r="FO63">
            <v>2.31</v>
          </cell>
          <cell r="FP63">
            <v>63.71</v>
          </cell>
          <cell r="FQ63">
            <v>7.8799999999999999E-3</v>
          </cell>
          <cell r="FR63">
            <v>0.5</v>
          </cell>
          <cell r="FS63">
            <v>76.77</v>
          </cell>
          <cell r="FT63">
            <v>0.17</v>
          </cell>
          <cell r="FU63">
            <v>13.05</v>
          </cell>
          <cell r="GD63">
            <v>266</v>
          </cell>
          <cell r="GE63">
            <v>826</v>
          </cell>
          <cell r="GF63">
            <v>560</v>
          </cell>
          <cell r="GG63">
            <v>1</v>
          </cell>
          <cell r="HP63">
            <v>1258</v>
          </cell>
          <cell r="HQ63">
            <v>3409</v>
          </cell>
          <cell r="HR63">
            <v>2151</v>
          </cell>
          <cell r="HS63">
            <v>1</v>
          </cell>
          <cell r="HU63">
            <v>278</v>
          </cell>
          <cell r="HY63">
            <v>449</v>
          </cell>
          <cell r="IC63">
            <v>631</v>
          </cell>
          <cell r="IG63">
            <v>994</v>
          </cell>
          <cell r="IK63">
            <v>965</v>
          </cell>
          <cell r="IO63">
            <v>790</v>
          </cell>
          <cell r="IS63">
            <v>720</v>
          </cell>
          <cell r="IW63">
            <v>750</v>
          </cell>
        </row>
        <row r="64">
          <cell r="A64" t="str">
            <v/>
          </cell>
          <cell r="B64" t="str">
            <v>10/61344-8</v>
          </cell>
          <cell r="C64" t="str">
            <v>154</v>
          </cell>
          <cell r="F64" t="str">
            <v>energisa_ms</v>
          </cell>
          <cell r="G64" t="str">
            <v>154</v>
          </cell>
          <cell r="H64" t="str">
            <v>Igreja do Evangelho Quadrangular</v>
          </cell>
          <cell r="I64">
            <v>45839</v>
          </cell>
          <cell r="J64" t="str">
            <v>RESIDENCIAL - RESIDENCIAL</v>
          </cell>
          <cell r="K64" t="str">
            <v>79802031</v>
          </cell>
          <cell r="L64" t="str">
            <v>MS</v>
          </cell>
          <cell r="M64" t="str">
            <v>DOURADOS</v>
          </cell>
          <cell r="N64" t="str">
            <v>CENTRO</v>
          </cell>
          <cell r="O64" t="str">
            <v>RUA CUIABA, 3395 - 12.010.03.220000</v>
          </cell>
          <cell r="P64">
            <v>45861</v>
          </cell>
          <cell r="Q64" t="str">
            <v>B - B1</v>
          </cell>
          <cell r="R64" t="str">
            <v>62955505015431</v>
          </cell>
          <cell r="U64">
            <v>45831</v>
          </cell>
          <cell r="V64">
            <v>45860</v>
          </cell>
          <cell r="W64">
            <v>45889</v>
          </cell>
          <cell r="X64">
            <v>45885</v>
          </cell>
          <cell r="AA64" t="str">
            <v>011.256.711-002</v>
          </cell>
          <cell r="AB64" t="str">
            <v>bifasico</v>
          </cell>
          <cell r="AC64" t="str">
            <v>convencional</v>
          </cell>
          <cell r="AD64">
            <v>118.34</v>
          </cell>
          <cell r="AE64" t="str">
            <v>34191.09123 24584.432934 85972.140009 7 11750000011834</v>
          </cell>
          <cell r="AF64" t="str">
            <v>IGREJA DO EVANGELHO QUADRANGULAR</v>
          </cell>
          <cell r="AL64">
            <v>375</v>
          </cell>
          <cell r="AM64">
            <v>1.1068266666666666</v>
          </cell>
          <cell r="AN64">
            <v>415.06</v>
          </cell>
          <cell r="AX64">
            <v>375</v>
          </cell>
          <cell r="AY64">
            <v>0.94994666666666672</v>
          </cell>
          <cell r="AZ64">
            <v>-356.23</v>
          </cell>
          <cell r="DR64">
            <v>375</v>
          </cell>
          <cell r="DS64">
            <v>1.1068266666666666</v>
          </cell>
          <cell r="DT64">
            <v>-415.06</v>
          </cell>
          <cell r="ET64">
            <v>375</v>
          </cell>
          <cell r="EX64">
            <v>1119</v>
          </cell>
          <cell r="FA64">
            <v>59.51</v>
          </cell>
          <cell r="FL64">
            <v>58.83</v>
          </cell>
          <cell r="FM64">
            <v>0</v>
          </cell>
          <cell r="FN64">
            <v>3.6297000000000003E-2</v>
          </cell>
          <cell r="FO64">
            <v>0</v>
          </cell>
          <cell r="FP64">
            <v>0</v>
          </cell>
          <cell r="FQ64">
            <v>7.8799999999999999E-3</v>
          </cell>
          <cell r="FR64">
            <v>0</v>
          </cell>
          <cell r="FS64">
            <v>0</v>
          </cell>
          <cell r="FT64">
            <v>0.17</v>
          </cell>
          <cell r="FU64">
            <v>0</v>
          </cell>
          <cell r="GD64">
            <v>375</v>
          </cell>
          <cell r="GE64">
            <v>30779</v>
          </cell>
          <cell r="GF64">
            <v>30404</v>
          </cell>
          <cell r="GG64">
            <v>1</v>
          </cell>
          <cell r="HU64">
            <v>465</v>
          </cell>
          <cell r="HY64">
            <v>509</v>
          </cell>
          <cell r="IC64">
            <v>716</v>
          </cell>
          <cell r="IG64">
            <v>850</v>
          </cell>
          <cell r="IK64">
            <v>1004</v>
          </cell>
          <cell r="IO64">
            <v>1172</v>
          </cell>
          <cell r="IS64">
            <v>960</v>
          </cell>
          <cell r="IW64">
            <v>959</v>
          </cell>
        </row>
        <row r="65">
          <cell r="A65" t="str">
            <v/>
          </cell>
          <cell r="B65" t="str">
            <v>10/3040565-8</v>
          </cell>
          <cell r="C65" t="str">
            <v>58749 - 2</v>
          </cell>
          <cell r="F65" t="str">
            <v>energisa_ms</v>
          </cell>
          <cell r="G65" t="str">
            <v>154</v>
          </cell>
          <cell r="H65" t="str">
            <v>Igreja do Evangelho Quadrangular</v>
          </cell>
          <cell r="I65">
            <v>45839</v>
          </cell>
          <cell r="J65" t="str">
            <v>RESIDENCIAL - RESIDENCIAL</v>
          </cell>
          <cell r="K65" t="str">
            <v>79831130</v>
          </cell>
          <cell r="L65" t="str">
            <v>MS</v>
          </cell>
          <cell r="M65" t="str">
            <v>DOURADOS</v>
          </cell>
          <cell r="N65" t="str">
            <v>VILA ROSA</v>
          </cell>
          <cell r="O65" t="str">
            <v>RUA ANTONIO AMARO DE MATTOS, 5422 - CX 02 07.010.26.205001</v>
          </cell>
          <cell r="P65">
            <v>45862</v>
          </cell>
          <cell r="Q65" t="str">
            <v>B - B1</v>
          </cell>
          <cell r="R65" t="str">
            <v>6X.XXX.XXX/XXX4-31</v>
          </cell>
          <cell r="U65">
            <v>45832</v>
          </cell>
          <cell r="V65">
            <v>45861</v>
          </cell>
          <cell r="W65">
            <v>45890</v>
          </cell>
          <cell r="X65">
            <v>45873</v>
          </cell>
          <cell r="AA65" t="str">
            <v>011.283.183-002</v>
          </cell>
          <cell r="AB65" t="str">
            <v>bifasico</v>
          </cell>
          <cell r="AC65" t="str">
            <v>convencional</v>
          </cell>
          <cell r="AD65">
            <v>98.57</v>
          </cell>
          <cell r="AF65" t="str">
            <v>IGREJA DO EVANGELHO QUADRANGULAR</v>
          </cell>
          <cell r="AL65">
            <v>286</v>
          </cell>
          <cell r="AM65">
            <v>1.1618181818181819</v>
          </cell>
          <cell r="AN65">
            <v>332.28000000000003</v>
          </cell>
          <cell r="AO65">
            <v>1.1068181818181819</v>
          </cell>
          <cell r="AX65">
            <v>284</v>
          </cell>
          <cell r="AY65">
            <v>1.004964788732394</v>
          </cell>
          <cell r="AZ65">
            <v>-285.40999999999991</v>
          </cell>
          <cell r="BA65">
            <v>1.1068309859154928</v>
          </cell>
          <cell r="DR65">
            <v>284</v>
          </cell>
          <cell r="DS65">
            <v>1.1618309859154927</v>
          </cell>
          <cell r="DT65">
            <v>-329.95999999999992</v>
          </cell>
          <cell r="DU65">
            <v>1.1068309859154928</v>
          </cell>
          <cell r="ET65">
            <v>284</v>
          </cell>
          <cell r="EX65">
            <v>119</v>
          </cell>
          <cell r="EZ65">
            <v>0.11</v>
          </cell>
          <cell r="FA65">
            <v>42.49</v>
          </cell>
          <cell r="FC65">
            <v>9.2099999999999991</v>
          </cell>
          <cell r="FL65">
            <v>44.55</v>
          </cell>
          <cell r="FM65">
            <v>1.92</v>
          </cell>
          <cell r="FN65">
            <v>3.6297000000000003E-2</v>
          </cell>
          <cell r="FO65">
            <v>7.0000000000000007E-2</v>
          </cell>
          <cell r="FP65">
            <v>1.92</v>
          </cell>
          <cell r="FQ65">
            <v>7.8799999999999999E-3</v>
          </cell>
          <cell r="FR65">
            <v>0.02</v>
          </cell>
          <cell r="FS65">
            <v>2.3199999999999998</v>
          </cell>
          <cell r="FT65">
            <v>0.17</v>
          </cell>
          <cell r="FU65">
            <v>0.39</v>
          </cell>
          <cell r="GD65">
            <v>286</v>
          </cell>
          <cell r="GE65">
            <v>9824</v>
          </cell>
          <cell r="GF65">
            <v>9538</v>
          </cell>
          <cell r="GG65">
            <v>1</v>
          </cell>
          <cell r="HU65">
            <v>342</v>
          </cell>
          <cell r="HY65">
            <v>311</v>
          </cell>
          <cell r="IC65">
            <v>352</v>
          </cell>
          <cell r="IG65">
            <v>374</v>
          </cell>
          <cell r="IK65">
            <v>309</v>
          </cell>
          <cell r="IO65">
            <v>193</v>
          </cell>
          <cell r="IS65">
            <v>256</v>
          </cell>
          <cell r="IW65">
            <v>319</v>
          </cell>
        </row>
        <row r="66">
          <cell r="A66" t="str">
            <v/>
          </cell>
          <cell r="B66" t="str">
            <v>10/280638-8</v>
          </cell>
          <cell r="C66" t="str">
            <v>Chapadão do Sul 8432-53</v>
          </cell>
          <cell r="F66" t="str">
            <v>energisa_ms</v>
          </cell>
          <cell r="G66" t="str">
            <v>Chapadão do Sul 8432-53</v>
          </cell>
          <cell r="H66" t="str">
            <v>Igreja do Evangelho Quadrangular</v>
          </cell>
          <cell r="I66">
            <v>45839</v>
          </cell>
          <cell r="J66" t="str">
            <v>COMERCIAL - TEMPLOS RELIGIOSOS</v>
          </cell>
          <cell r="K66" t="str">
            <v>79560000</v>
          </cell>
          <cell r="L66" t="str">
            <v>MS</v>
          </cell>
          <cell r="M66" t="str">
            <v>CHAPADAO DO SUL</v>
          </cell>
          <cell r="N66" t="str">
            <v>CENTRO</v>
          </cell>
          <cell r="O66" t="str">
            <v>RUA CARACOL, 1292 - 13.088.03.243000</v>
          </cell>
          <cell r="P66">
            <v>45860</v>
          </cell>
          <cell r="Q66" t="str">
            <v>B - B3</v>
          </cell>
          <cell r="R66" t="str">
            <v>62955505843253</v>
          </cell>
          <cell r="U66">
            <v>45828</v>
          </cell>
          <cell r="V66">
            <v>45859</v>
          </cell>
          <cell r="W66">
            <v>45888</v>
          </cell>
          <cell r="X66">
            <v>45879</v>
          </cell>
          <cell r="AA66" t="str">
            <v>011.237.130-002</v>
          </cell>
          <cell r="AB66" t="str">
            <v>trifasico</v>
          </cell>
          <cell r="AC66" t="str">
            <v>convencional</v>
          </cell>
          <cell r="AD66">
            <v>143.02000000000001</v>
          </cell>
          <cell r="AE66" t="str">
            <v>34191.09123 21397.952934 85972.140009 8 11690000014302</v>
          </cell>
          <cell r="AF66" t="str">
            <v>IGREJA DO EVANGELHO QUADRANGULAR</v>
          </cell>
          <cell r="AL66">
            <v>185</v>
          </cell>
          <cell r="AM66">
            <v>1.1630758710517746</v>
          </cell>
          <cell r="AN66">
            <v>215.16903614457829</v>
          </cell>
          <cell r="AO66">
            <v>1.1068108108108108</v>
          </cell>
          <cell r="AX66">
            <v>102</v>
          </cell>
          <cell r="AY66">
            <v>1.0061670210252773</v>
          </cell>
          <cell r="AZ66">
            <v>-102.62903614457829</v>
          </cell>
          <cell r="BA66">
            <v>1.1067647058823529</v>
          </cell>
          <cell r="DR66">
            <v>102</v>
          </cell>
          <cell r="DS66">
            <v>1.1630297661233167</v>
          </cell>
          <cell r="DT66">
            <v>-118.62903614457829</v>
          </cell>
          <cell r="DU66">
            <v>1.1067647058823529</v>
          </cell>
          <cell r="ET66">
            <v>102</v>
          </cell>
          <cell r="EX66">
            <v>182</v>
          </cell>
          <cell r="EZ66">
            <v>4.67</v>
          </cell>
          <cell r="FA66">
            <v>24.67</v>
          </cell>
          <cell r="FC66">
            <v>5.8100000000000005</v>
          </cell>
          <cell r="FL66">
            <v>16</v>
          </cell>
          <cell r="FM66">
            <v>80.12</v>
          </cell>
          <cell r="FN66">
            <v>3.6297000000000003E-2</v>
          </cell>
          <cell r="FO66">
            <v>2.91</v>
          </cell>
          <cell r="FP66">
            <v>80.12</v>
          </cell>
          <cell r="FQ66">
            <v>7.8799999999999999E-3</v>
          </cell>
          <cell r="FR66">
            <v>0.63</v>
          </cell>
          <cell r="FS66">
            <v>96.54</v>
          </cell>
          <cell r="FT66">
            <v>0.17</v>
          </cell>
          <cell r="FU66">
            <v>16.41</v>
          </cell>
          <cell r="GD66">
            <v>185</v>
          </cell>
          <cell r="GE66">
            <v>46930</v>
          </cell>
          <cell r="GF66">
            <v>46745</v>
          </cell>
          <cell r="GG66">
            <v>1</v>
          </cell>
          <cell r="HU66">
            <v>229</v>
          </cell>
          <cell r="HY66">
            <v>308</v>
          </cell>
          <cell r="IC66">
            <v>302</v>
          </cell>
          <cell r="IG66">
            <v>337</v>
          </cell>
          <cell r="IK66">
            <v>125</v>
          </cell>
          <cell r="IO66">
            <v>363</v>
          </cell>
          <cell r="IS66">
            <v>305</v>
          </cell>
          <cell r="IW66">
            <v>260</v>
          </cell>
        </row>
        <row r="67">
          <cell r="A67" t="str">
            <v>10/1433087-2</v>
          </cell>
          <cell r="B67" t="str">
            <v>10/1433087-2</v>
          </cell>
          <cell r="F67" t="str">
            <v>energisa_ms</v>
          </cell>
          <cell r="H67" t="str">
            <v>10/1433087-2</v>
          </cell>
          <cell r="I67">
            <v>45839</v>
          </cell>
          <cell r="J67" t="str">
            <v>COMERCIAL - TEMPLOS RELIGIOSOS</v>
          </cell>
          <cell r="K67" t="str">
            <v>79780000</v>
          </cell>
          <cell r="L67" t="str">
            <v>MS</v>
          </cell>
          <cell r="M67" t="str">
            <v>BATAGUASSU</v>
          </cell>
          <cell r="N67" t="str">
            <v>JARDIM SANTA LUZIA</v>
          </cell>
          <cell r="O67" t="str">
            <v>RUA RECANTO, 126 - 01.057.03.577000</v>
          </cell>
          <cell r="P67">
            <v>45856</v>
          </cell>
          <cell r="Q67" t="str">
            <v>B - B3</v>
          </cell>
          <cell r="R67" t="str">
            <v>62955505419443</v>
          </cell>
          <cell r="U67">
            <v>45825</v>
          </cell>
          <cell r="V67">
            <v>45855</v>
          </cell>
          <cell r="W67">
            <v>45884</v>
          </cell>
          <cell r="X67">
            <v>45870</v>
          </cell>
          <cell r="AA67" t="str">
            <v>011.196.322-002</v>
          </cell>
          <cell r="AB67" t="str">
            <v>trifasico</v>
          </cell>
          <cell r="AC67" t="str">
            <v>convencional</v>
          </cell>
          <cell r="AD67">
            <v>125.03</v>
          </cell>
          <cell r="AE67" t="str">
            <v>34191.09123 14786.572934 85972.140009 7 11600000012503</v>
          </cell>
          <cell r="AF67" t="str">
            <v>IGREJA DO EVANGELHO QUADRANGULAR</v>
          </cell>
          <cell r="AI67">
            <v>100</v>
          </cell>
          <cell r="AJ67">
            <v>1.1068</v>
          </cell>
          <cell r="AK67">
            <v>110.68</v>
          </cell>
          <cell r="AL67">
            <v>0</v>
          </cell>
          <cell r="AM67">
            <v>1.1068</v>
          </cell>
          <cell r="AN67">
            <v>0</v>
          </cell>
          <cell r="EX67">
            <v>284</v>
          </cell>
          <cell r="EZ67">
            <v>5.62</v>
          </cell>
          <cell r="FA67">
            <v>6.16</v>
          </cell>
          <cell r="FC67">
            <v>2.57</v>
          </cell>
          <cell r="FM67">
            <v>96.52</v>
          </cell>
          <cell r="FN67">
            <v>3.6297000000000003E-2</v>
          </cell>
          <cell r="FO67">
            <v>3.5</v>
          </cell>
          <cell r="FP67">
            <v>96.52</v>
          </cell>
          <cell r="FQ67">
            <v>7.8799999999999999E-3</v>
          </cell>
          <cell r="FR67">
            <v>0.76</v>
          </cell>
          <cell r="FS67">
            <v>116.3</v>
          </cell>
          <cell r="FT67">
            <v>0.17</v>
          </cell>
          <cell r="FU67">
            <v>19.77</v>
          </cell>
          <cell r="GD67">
            <v>97</v>
          </cell>
          <cell r="GE67">
            <v>19456</v>
          </cell>
          <cell r="GF67">
            <v>19359</v>
          </cell>
          <cell r="GG67">
            <v>1</v>
          </cell>
          <cell r="HU67">
            <v>135</v>
          </cell>
          <cell r="HY67">
            <v>156</v>
          </cell>
          <cell r="IC67">
            <v>289</v>
          </cell>
          <cell r="IG67">
            <v>334</v>
          </cell>
          <cell r="IK67">
            <v>279</v>
          </cell>
          <cell r="IO67">
            <v>226</v>
          </cell>
          <cell r="IS67">
            <v>223</v>
          </cell>
          <cell r="IW67">
            <v>216</v>
          </cell>
        </row>
        <row r="68">
          <cell r="A68" t="str">
            <v/>
          </cell>
          <cell r="B68" t="str">
            <v>10/1266128-6</v>
          </cell>
          <cell r="C68" t="str">
            <v>Novo Amazonas 6194</v>
          </cell>
          <cell r="F68" t="str">
            <v>energisa_ms</v>
          </cell>
          <cell r="G68" t="str">
            <v>Administrativa</v>
          </cell>
          <cell r="H68" t="str">
            <v>Igreja do Evangelho Quadrangular</v>
          </cell>
          <cell r="I68">
            <v>45839</v>
          </cell>
          <cell r="J68" t="str">
            <v>COMERCIAL - TEMPLOS RELIGIOSOS</v>
          </cell>
          <cell r="K68" t="str">
            <v>79034280</v>
          </cell>
          <cell r="L68" t="str">
            <v>MS</v>
          </cell>
          <cell r="M68" t="str">
            <v>CAMPO GRANDE</v>
          </cell>
          <cell r="N68" t="str">
            <v>PARQUE DOS NOVOS ESTADOS</v>
          </cell>
          <cell r="O68" t="str">
            <v>RUA MARACANI, 439 - 15.101.11.267002</v>
          </cell>
          <cell r="P68">
            <v>45861</v>
          </cell>
          <cell r="Q68" t="str">
            <v>B - B3</v>
          </cell>
          <cell r="R68" t="str">
            <v>62955505379395</v>
          </cell>
          <cell r="U68">
            <v>45831</v>
          </cell>
          <cell r="V68">
            <v>45860</v>
          </cell>
          <cell r="W68">
            <v>45889</v>
          </cell>
          <cell r="X68">
            <v>45880</v>
          </cell>
          <cell r="AA68" t="str">
            <v>011.259.725-002</v>
          </cell>
          <cell r="AB68" t="str">
            <v>trifasico</v>
          </cell>
          <cell r="AC68" t="str">
            <v>convencional</v>
          </cell>
          <cell r="AD68">
            <v>114.08</v>
          </cell>
          <cell r="AE68" t="str">
            <v>34191.09552 10247.300279 52186.260007 2 11700000011408</v>
          </cell>
          <cell r="AF68" t="str">
            <v>IGREJA DO EVANGELHO QUADRANGULAR</v>
          </cell>
          <cell r="AL68">
            <v>150</v>
          </cell>
          <cell r="AM68">
            <v>1.1630222222222222</v>
          </cell>
          <cell r="AN68">
            <v>174.45333333333332</v>
          </cell>
          <cell r="AO68">
            <v>1.1068</v>
          </cell>
          <cell r="AX68">
            <v>60</v>
          </cell>
          <cell r="AY68">
            <v>1.0062222222222224</v>
          </cell>
          <cell r="AZ68">
            <v>-60.373333333333335</v>
          </cell>
          <cell r="BA68">
            <v>1.1068333333333333</v>
          </cell>
          <cell r="DR68">
            <v>60</v>
          </cell>
          <cell r="DS68">
            <v>1.1630555555555555</v>
          </cell>
          <cell r="DT68">
            <v>-69.783333333333331</v>
          </cell>
          <cell r="DU68">
            <v>1.1068333333333333</v>
          </cell>
          <cell r="ET68">
            <v>60</v>
          </cell>
          <cell r="EX68">
            <v>484</v>
          </cell>
          <cell r="EZ68">
            <v>5.0599999999999996</v>
          </cell>
          <cell r="FL68">
            <v>9.41</v>
          </cell>
          <cell r="FM68">
            <v>86.88</v>
          </cell>
          <cell r="FN68">
            <v>3.6297000000000003E-2</v>
          </cell>
          <cell r="FO68">
            <v>3.15</v>
          </cell>
          <cell r="FP68">
            <v>86.88</v>
          </cell>
          <cell r="FQ68">
            <v>7.8799999999999999E-3</v>
          </cell>
          <cell r="FR68">
            <v>0.68</v>
          </cell>
          <cell r="FS68">
            <v>104.67</v>
          </cell>
          <cell r="FT68">
            <v>0.17</v>
          </cell>
          <cell r="FU68">
            <v>17.79</v>
          </cell>
          <cell r="GD68">
            <v>150</v>
          </cell>
          <cell r="GE68">
            <v>5838</v>
          </cell>
          <cell r="GF68">
            <v>5823</v>
          </cell>
          <cell r="GG68">
            <v>10</v>
          </cell>
          <cell r="HU68">
            <v>250</v>
          </cell>
          <cell r="HY68">
            <v>290</v>
          </cell>
          <cell r="IC68">
            <v>410</v>
          </cell>
          <cell r="IG68">
            <v>460</v>
          </cell>
          <cell r="IK68">
            <v>510</v>
          </cell>
          <cell r="IO68">
            <v>520</v>
          </cell>
          <cell r="IS68">
            <v>440</v>
          </cell>
          <cell r="IW68">
            <v>370</v>
          </cell>
        </row>
        <row r="69">
          <cell r="A69" t="str">
            <v/>
          </cell>
          <cell r="B69" t="str">
            <v>10/1130988-7</v>
          </cell>
          <cell r="C69" t="str">
            <v>Cong. Porto Murtinho</v>
          </cell>
          <cell r="F69" t="str">
            <v>energisa_ms</v>
          </cell>
          <cell r="G69" t="str">
            <v>408</v>
          </cell>
          <cell r="H69" t="str">
            <v>Igreja do Evangelho Quadrangular</v>
          </cell>
          <cell r="I69">
            <v>45839</v>
          </cell>
          <cell r="J69" t="str">
            <v>COMERCIAL - TEMPLOS RELIGIOSOS</v>
          </cell>
          <cell r="K69" t="str">
            <v>79280000</v>
          </cell>
          <cell r="L69" t="str">
            <v>MS</v>
          </cell>
          <cell r="M69" t="str">
            <v>PORTO MURTINHO</v>
          </cell>
          <cell r="N69" t="str">
            <v>CENTRO</v>
          </cell>
          <cell r="O69" t="str">
            <v>RUA CAPITAO CANTALICE, 0 - Q 86 L 84 13.060.03.238000</v>
          </cell>
          <cell r="P69">
            <v>45866</v>
          </cell>
          <cell r="Q69" t="str">
            <v>B - B3</v>
          </cell>
          <cell r="R69" t="str">
            <v>62955505040894</v>
          </cell>
          <cell r="U69">
            <v>45834</v>
          </cell>
          <cell r="V69">
            <v>45863</v>
          </cell>
          <cell r="W69">
            <v>45894</v>
          </cell>
          <cell r="X69">
            <v>45890</v>
          </cell>
          <cell r="AA69" t="str">
            <v>011.312.516-002</v>
          </cell>
          <cell r="AB69" t="str">
            <v>bifasico</v>
          </cell>
          <cell r="AC69" t="str">
            <v>convencional</v>
          </cell>
          <cell r="AD69">
            <v>56.86</v>
          </cell>
          <cell r="AE69" t="str">
            <v>34191.09123 31219.742934 85972.140009 2 11800000005686</v>
          </cell>
          <cell r="AF69" t="str">
            <v>IGREJA DO EVANGELHO QUADRANGULAR</v>
          </cell>
          <cell r="AL69">
            <v>93</v>
          </cell>
          <cell r="AM69">
            <v>1.1632027649769587</v>
          </cell>
          <cell r="AN69">
            <v>108.17785714285716</v>
          </cell>
          <cell r="AO69">
            <v>1.1067741935483872</v>
          </cell>
          <cell r="AX69">
            <v>51</v>
          </cell>
          <cell r="AY69">
            <v>1.0062324929971991</v>
          </cell>
          <cell r="AZ69">
            <v>-51.31785714285715</v>
          </cell>
          <cell r="BA69">
            <v>1.1066666666666667</v>
          </cell>
          <cell r="DR69">
            <v>51</v>
          </cell>
          <cell r="DS69">
            <v>1.1630952380952382</v>
          </cell>
          <cell r="DT69">
            <v>-59.31785714285715</v>
          </cell>
          <cell r="DU69">
            <v>1.1066666666666667</v>
          </cell>
          <cell r="ET69">
            <v>51</v>
          </cell>
          <cell r="EX69">
            <v>290</v>
          </cell>
          <cell r="EZ69">
            <v>2.37</v>
          </cell>
          <cell r="FL69">
            <v>8</v>
          </cell>
          <cell r="FM69">
            <v>40.56</v>
          </cell>
          <cell r="FN69">
            <v>3.6297000000000003E-2</v>
          </cell>
          <cell r="FO69">
            <v>1.47</v>
          </cell>
          <cell r="FP69">
            <v>40.56</v>
          </cell>
          <cell r="FQ69">
            <v>7.8799999999999999E-3</v>
          </cell>
          <cell r="FR69">
            <v>0.31</v>
          </cell>
          <cell r="FS69">
            <v>48.86</v>
          </cell>
          <cell r="FT69">
            <v>0.17</v>
          </cell>
          <cell r="FU69">
            <v>8.3000000000000007</v>
          </cell>
          <cell r="GD69">
            <v>93</v>
          </cell>
          <cell r="GE69">
            <v>36251</v>
          </cell>
          <cell r="GF69">
            <v>36158</v>
          </cell>
          <cell r="GG69">
            <v>1</v>
          </cell>
          <cell r="HU69">
            <v>89</v>
          </cell>
          <cell r="HY69">
            <v>290</v>
          </cell>
          <cell r="IC69">
            <v>235</v>
          </cell>
          <cell r="IG69">
            <v>331</v>
          </cell>
          <cell r="IK69">
            <v>321</v>
          </cell>
          <cell r="IO69">
            <v>350</v>
          </cell>
          <cell r="IS69">
            <v>299</v>
          </cell>
          <cell r="IW69">
            <v>234</v>
          </cell>
        </row>
        <row r="70">
          <cell r="A70" t="str">
            <v/>
          </cell>
          <cell r="B70" t="str">
            <v>10/931327-1</v>
          </cell>
          <cell r="C70" t="str">
            <v>Vila Martins 4027</v>
          </cell>
          <cell r="F70" t="str">
            <v>energisa_ms</v>
          </cell>
          <cell r="G70" t="str">
            <v>Vila Martins 4027</v>
          </cell>
          <cell r="H70" t="str">
            <v>Igreja do Evangelho Quadrangular</v>
          </cell>
          <cell r="I70">
            <v>45839</v>
          </cell>
          <cell r="J70" t="str">
            <v>COMERCIAL - OUTROS SERVIÇOS E OUTRAS ATIVIDADES</v>
          </cell>
          <cell r="K70" t="str">
            <v>79990000</v>
          </cell>
          <cell r="L70" t="str">
            <v>MS</v>
          </cell>
          <cell r="M70" t="str">
            <v>AMAMBAI</v>
          </cell>
          <cell r="N70" t="str">
            <v>VILA MARTINS</v>
          </cell>
          <cell r="O70" t="str">
            <v>RUA ALCINDO FRANCO MACHADO, 951 - 10.036.25.249000</v>
          </cell>
          <cell r="P70">
            <v>45859</v>
          </cell>
          <cell r="Q70" t="str">
            <v>B - B3</v>
          </cell>
          <cell r="R70" t="str">
            <v>62955505402710</v>
          </cell>
          <cell r="U70">
            <v>45826</v>
          </cell>
          <cell r="V70">
            <v>45856</v>
          </cell>
          <cell r="W70">
            <v>45887</v>
          </cell>
          <cell r="X70">
            <v>45885</v>
          </cell>
          <cell r="AA70" t="str">
            <v>011.215.991-002</v>
          </cell>
          <cell r="AB70" t="str">
            <v>trifasico</v>
          </cell>
          <cell r="AC70" t="str">
            <v>convencional</v>
          </cell>
          <cell r="AD70">
            <v>175.94</v>
          </cell>
          <cell r="AE70" t="str">
            <v>34191.09123 15631.692934 85972.140009 5 11750000017594</v>
          </cell>
          <cell r="AF70" t="str">
            <v>IGREJA DO EVANGELHO QUADRANGULAR</v>
          </cell>
          <cell r="AL70">
            <v>270</v>
          </cell>
          <cell r="AM70">
            <v>1.1631689814814814</v>
          </cell>
          <cell r="AN70">
            <v>314.05562499999996</v>
          </cell>
          <cell r="AO70">
            <v>1.1068148148148147</v>
          </cell>
          <cell r="AX70">
            <v>174</v>
          </cell>
          <cell r="AY70">
            <v>1.1379058908045976</v>
          </cell>
          <cell r="AZ70">
            <v>-197.99562499999999</v>
          </cell>
          <cell r="BA70">
            <v>1.1067816091954021</v>
          </cell>
          <cell r="DR70">
            <v>174</v>
          </cell>
          <cell r="DS70">
            <v>1.1631357758620688</v>
          </cell>
          <cell r="DT70">
            <v>-202.38562499999998</v>
          </cell>
          <cell r="DU70">
            <v>1.1067816091954021</v>
          </cell>
          <cell r="ET70">
            <v>174</v>
          </cell>
          <cell r="EX70">
            <v>337</v>
          </cell>
          <cell r="EZ70">
            <v>5.41</v>
          </cell>
          <cell r="FA70">
            <v>59.88</v>
          </cell>
          <cell r="FL70">
            <v>4.3899999999999997</v>
          </cell>
          <cell r="FM70">
            <v>92.71</v>
          </cell>
          <cell r="FN70">
            <v>3.6297000000000003E-2</v>
          </cell>
          <cell r="FO70">
            <v>3.38</v>
          </cell>
          <cell r="FP70">
            <v>92.71</v>
          </cell>
          <cell r="FQ70">
            <v>7.8799999999999999E-3</v>
          </cell>
          <cell r="FR70">
            <v>0.74</v>
          </cell>
          <cell r="FS70">
            <v>111.67</v>
          </cell>
          <cell r="FT70">
            <v>0.17</v>
          </cell>
          <cell r="FU70">
            <v>18.98</v>
          </cell>
          <cell r="GD70">
            <v>270</v>
          </cell>
          <cell r="GE70">
            <v>6468</v>
          </cell>
          <cell r="GF70">
            <v>6198</v>
          </cell>
          <cell r="GG70">
            <v>1</v>
          </cell>
          <cell r="HU70">
            <v>348</v>
          </cell>
          <cell r="HY70">
            <v>392</v>
          </cell>
          <cell r="IC70">
            <v>345</v>
          </cell>
          <cell r="IG70">
            <v>412</v>
          </cell>
          <cell r="IK70">
            <v>361</v>
          </cell>
          <cell r="IO70">
            <v>370</v>
          </cell>
          <cell r="IS70">
            <v>280</v>
          </cell>
          <cell r="IW70">
            <v>252</v>
          </cell>
        </row>
        <row r="71">
          <cell r="A71" t="str">
            <v/>
          </cell>
          <cell r="B71" t="str">
            <v>10/129490-9</v>
          </cell>
          <cell r="C71" t="str">
            <v>169</v>
          </cell>
          <cell r="F71" t="str">
            <v>energisa_ms</v>
          </cell>
          <cell r="G71" t="str">
            <v>169</v>
          </cell>
          <cell r="H71" t="str">
            <v>Igreja do Evangelho Quadrangular</v>
          </cell>
          <cell r="I71">
            <v>45839</v>
          </cell>
          <cell r="J71" t="str">
            <v>COMERCIAL - TEMPLOS RELIGIOSOS</v>
          </cell>
          <cell r="K71" t="str">
            <v>79130000</v>
          </cell>
          <cell r="L71" t="str">
            <v>MS</v>
          </cell>
          <cell r="M71" t="str">
            <v>RIO BRILHANTE</v>
          </cell>
          <cell r="N71" t="str">
            <v>CENTRO</v>
          </cell>
          <cell r="O71" t="str">
            <v>RUA JUVIANO MEDEIROS, 1239 - 05.030.15.076000</v>
          </cell>
          <cell r="P71">
            <v>45861</v>
          </cell>
          <cell r="Q71" t="str">
            <v>B - B3</v>
          </cell>
          <cell r="R71" t="str">
            <v>62955505405140</v>
          </cell>
          <cell r="U71">
            <v>45831</v>
          </cell>
          <cell r="V71">
            <v>45860</v>
          </cell>
          <cell r="W71">
            <v>45889</v>
          </cell>
          <cell r="X71">
            <v>45877</v>
          </cell>
          <cell r="AA71" t="str">
            <v>011.257.048-002</v>
          </cell>
          <cell r="AB71" t="str">
            <v>bifasico</v>
          </cell>
          <cell r="AC71" t="str">
            <v>convencional</v>
          </cell>
          <cell r="AD71">
            <v>73.61</v>
          </cell>
          <cell r="AE71" t="str">
            <v>34191.09123 24603.322934 85972.140009 1 11670000007361</v>
          </cell>
          <cell r="AF71" t="str">
            <v>IGREJA DO EVANGELHO QUADRANGULAR</v>
          </cell>
          <cell r="AL71">
            <v>218</v>
          </cell>
          <cell r="AM71">
            <v>1.1630848623853209</v>
          </cell>
          <cell r="AN71">
            <v>253.55249999999995</v>
          </cell>
          <cell r="AO71">
            <v>1.106834862385321</v>
          </cell>
          <cell r="AX71">
            <v>202</v>
          </cell>
          <cell r="AY71">
            <v>1.0062004950495049</v>
          </cell>
          <cell r="AZ71">
            <v>-203.2525</v>
          </cell>
          <cell r="BA71">
            <v>1.1068316831683169</v>
          </cell>
          <cell r="DR71">
            <v>202</v>
          </cell>
          <cell r="DS71">
            <v>1.1630816831683168</v>
          </cell>
          <cell r="DT71">
            <v>-234.9425</v>
          </cell>
          <cell r="DU71">
            <v>1.1068316831683169</v>
          </cell>
          <cell r="ET71">
            <v>202</v>
          </cell>
          <cell r="EX71">
            <v>191</v>
          </cell>
          <cell r="EZ71">
            <v>0.9</v>
          </cell>
          <cell r="FA71">
            <v>23.31</v>
          </cell>
          <cell r="FL71">
            <v>31.69</v>
          </cell>
          <cell r="FM71">
            <v>15.44</v>
          </cell>
          <cell r="FN71">
            <v>3.6297000000000003E-2</v>
          </cell>
          <cell r="FO71">
            <v>0.56999999999999995</v>
          </cell>
          <cell r="FP71">
            <v>15.44</v>
          </cell>
          <cell r="FQ71">
            <v>7.8799999999999999E-3</v>
          </cell>
          <cell r="FR71">
            <v>0.13</v>
          </cell>
          <cell r="FS71">
            <v>18.61</v>
          </cell>
          <cell r="FT71">
            <v>0.17</v>
          </cell>
          <cell r="FU71">
            <v>3.16</v>
          </cell>
          <cell r="GD71">
            <v>218</v>
          </cell>
          <cell r="GE71">
            <v>73792</v>
          </cell>
          <cell r="GF71">
            <v>73574</v>
          </cell>
          <cell r="GG71">
            <v>1</v>
          </cell>
          <cell r="HU71">
            <v>268</v>
          </cell>
          <cell r="HY71">
            <v>252</v>
          </cell>
          <cell r="IC71">
            <v>287</v>
          </cell>
          <cell r="IG71">
            <v>315</v>
          </cell>
          <cell r="IK71">
            <v>324</v>
          </cell>
          <cell r="IO71">
            <v>286</v>
          </cell>
          <cell r="IS71">
            <v>301</v>
          </cell>
          <cell r="IW71">
            <v>306</v>
          </cell>
        </row>
        <row r="72">
          <cell r="A72" t="str">
            <v/>
          </cell>
          <cell r="B72" t="str">
            <v>10/452884-0</v>
          </cell>
          <cell r="C72" t="str">
            <v>Carlos Camisao (3325)</v>
          </cell>
          <cell r="F72" t="str">
            <v>energisa_ms</v>
          </cell>
          <cell r="G72" t="str">
            <v>Carlos Camisao (3325)</v>
          </cell>
          <cell r="H72" t="str">
            <v>Igreja do Evangelho Quadrangular</v>
          </cell>
          <cell r="I72">
            <v>45839</v>
          </cell>
          <cell r="J72" t="str">
            <v>COMERCIAL - TEMPLOS RELIGIOSOS</v>
          </cell>
          <cell r="K72" t="str">
            <v>79202000</v>
          </cell>
          <cell r="L72" t="str">
            <v>MS</v>
          </cell>
          <cell r="M72" t="str">
            <v>AQUIDAUANA</v>
          </cell>
          <cell r="N72" t="str">
            <v>CAMISAO</v>
          </cell>
          <cell r="O72" t="str">
            <v>AVENIDA CAMISAO, S/N - 06.201.90.426000</v>
          </cell>
          <cell r="P72">
            <v>45866</v>
          </cell>
          <cell r="Q72" t="str">
            <v>B - B3</v>
          </cell>
          <cell r="R72" t="str">
            <v>62955505000167</v>
          </cell>
          <cell r="U72">
            <v>45834</v>
          </cell>
          <cell r="V72">
            <v>45863</v>
          </cell>
          <cell r="W72">
            <v>45894</v>
          </cell>
          <cell r="X72">
            <v>45875</v>
          </cell>
          <cell r="AA72" t="str">
            <v>011.311.680-002</v>
          </cell>
          <cell r="AB72" t="str">
            <v>bifasico</v>
          </cell>
          <cell r="AC72" t="str">
            <v>convencional</v>
          </cell>
          <cell r="AD72">
            <v>150.04</v>
          </cell>
          <cell r="AE72" t="str">
            <v>34191.09123 31186.082934 85972.140009 6 11650000015004</v>
          </cell>
          <cell r="AF72" t="str">
            <v>IGREJA DO EVANGELHO QUADRANGULAR</v>
          </cell>
          <cell r="AL72">
            <v>143</v>
          </cell>
          <cell r="AM72">
            <v>1.1630622865506586</v>
          </cell>
          <cell r="AN72">
            <v>166.31790697674418</v>
          </cell>
          <cell r="AO72">
            <v>1.1067832167832168</v>
          </cell>
          <cell r="AX72">
            <v>14</v>
          </cell>
          <cell r="AY72">
            <v>1.1627076411960133</v>
          </cell>
          <cell r="AZ72">
            <v>-16.277906976744188</v>
          </cell>
          <cell r="BA72">
            <v>1.1064285714285715</v>
          </cell>
          <cell r="DR72">
            <v>14</v>
          </cell>
          <cell r="DS72">
            <v>1.1627076411960133</v>
          </cell>
          <cell r="DT72">
            <v>-16.277906976744188</v>
          </cell>
          <cell r="DU72">
            <v>1.1064285714285715</v>
          </cell>
          <cell r="ET72">
            <v>14</v>
          </cell>
          <cell r="EX72">
            <v>0</v>
          </cell>
          <cell r="EZ72">
            <v>7.26</v>
          </cell>
          <cell r="FM72">
            <v>124.54</v>
          </cell>
          <cell r="FN72">
            <v>3.6297000000000003E-2</v>
          </cell>
          <cell r="FO72">
            <v>4.5199999999999996</v>
          </cell>
          <cell r="FP72">
            <v>124.54</v>
          </cell>
          <cell r="FQ72">
            <v>7.8799999999999999E-3</v>
          </cell>
          <cell r="FR72">
            <v>0.98</v>
          </cell>
          <cell r="FS72">
            <v>150.04</v>
          </cell>
          <cell r="FT72">
            <v>0.17</v>
          </cell>
          <cell r="FU72">
            <v>25.5</v>
          </cell>
          <cell r="GD72">
            <v>143</v>
          </cell>
          <cell r="GE72">
            <v>20537</v>
          </cell>
          <cell r="GF72">
            <v>20394</v>
          </cell>
          <cell r="GG72">
            <v>1</v>
          </cell>
          <cell r="HU72">
            <v>185</v>
          </cell>
          <cell r="HY72">
            <v>285</v>
          </cell>
          <cell r="IC72">
            <v>302</v>
          </cell>
          <cell r="IG72">
            <v>318</v>
          </cell>
          <cell r="IK72">
            <v>242</v>
          </cell>
          <cell r="IO72">
            <v>200</v>
          </cell>
          <cell r="IS72">
            <v>164</v>
          </cell>
          <cell r="IW72">
            <v>159</v>
          </cell>
        </row>
        <row r="73">
          <cell r="A73" t="str">
            <v/>
          </cell>
          <cell r="B73" t="str">
            <v>10/1117293-9</v>
          </cell>
          <cell r="C73" t="str">
            <v>Nova Andradina 8921</v>
          </cell>
          <cell r="F73" t="str">
            <v>energisa_ms</v>
          </cell>
          <cell r="G73" t="str">
            <v>Nova Andradina 8921</v>
          </cell>
          <cell r="H73" t="str">
            <v>Igreja do Evangelho Quadrangular</v>
          </cell>
          <cell r="I73">
            <v>45839</v>
          </cell>
          <cell r="J73" t="str">
            <v>COMERCIAL - TEMPLOS RELIGIOSOS</v>
          </cell>
          <cell r="K73" t="str">
            <v>79750000</v>
          </cell>
          <cell r="L73" t="str">
            <v>MS</v>
          </cell>
          <cell r="M73" t="str">
            <v>NOVA ANDRADINA</v>
          </cell>
          <cell r="N73" t="str">
            <v>CENTRO</v>
          </cell>
          <cell r="O73" t="str">
            <v>AVENIDA ANTONIO JOAQUIM DE MOURA ANDRADE, 2141 - 10 041 07 522500</v>
          </cell>
          <cell r="P73">
            <v>45863</v>
          </cell>
          <cell r="Q73" t="str">
            <v>B - B3</v>
          </cell>
          <cell r="R73" t="str">
            <v>62955505892114</v>
          </cell>
          <cell r="U73">
            <v>45833</v>
          </cell>
          <cell r="V73">
            <v>45862</v>
          </cell>
          <cell r="W73">
            <v>45891</v>
          </cell>
          <cell r="X73">
            <v>45885</v>
          </cell>
          <cell r="AA73" t="str">
            <v>011.297.048-002</v>
          </cell>
          <cell r="AB73" t="str">
            <v>trifasico</v>
          </cell>
          <cell r="AC73" t="str">
            <v>convencional</v>
          </cell>
          <cell r="AD73">
            <v>139.01</v>
          </cell>
          <cell r="AE73" t="str">
            <v>34191.09123 30542.822934 85972.140009 1 11750000013901</v>
          </cell>
          <cell r="AF73" t="str">
            <v>IGREJA DO EVANGELHO QUADRANGULAR CENTRO</v>
          </cell>
          <cell r="AL73">
            <v>115</v>
          </cell>
          <cell r="AM73">
            <v>1.1629826086956523</v>
          </cell>
          <cell r="AN73">
            <v>133.74300000000002</v>
          </cell>
          <cell r="AO73">
            <v>1.1067826086956523</v>
          </cell>
          <cell r="AX73">
            <v>15</v>
          </cell>
          <cell r="AY73">
            <v>1.1628666666666667</v>
          </cell>
          <cell r="AZ73">
            <v>-17.443000000000001</v>
          </cell>
          <cell r="BA73">
            <v>1.1066666666666667</v>
          </cell>
          <cell r="DR73">
            <v>15</v>
          </cell>
          <cell r="DS73">
            <v>1.1628666666666667</v>
          </cell>
          <cell r="DT73">
            <v>-17.443000000000001</v>
          </cell>
          <cell r="DU73">
            <v>1.1066666666666667</v>
          </cell>
          <cell r="ET73">
            <v>15</v>
          </cell>
          <cell r="EZ73">
            <v>5.62</v>
          </cell>
          <cell r="FA73">
            <v>18.5</v>
          </cell>
          <cell r="FC73">
            <v>4.21</v>
          </cell>
          <cell r="FM73">
            <v>96.54</v>
          </cell>
          <cell r="FN73">
            <v>3.6297000000000003E-2</v>
          </cell>
          <cell r="FO73">
            <v>3.5</v>
          </cell>
          <cell r="FP73">
            <v>96.54</v>
          </cell>
          <cell r="FQ73">
            <v>7.8799999999999999E-3</v>
          </cell>
          <cell r="FR73">
            <v>0.76</v>
          </cell>
          <cell r="FS73">
            <v>116.3</v>
          </cell>
          <cell r="FT73">
            <v>0.17</v>
          </cell>
          <cell r="FU73">
            <v>19.77</v>
          </cell>
          <cell r="GD73">
            <v>115</v>
          </cell>
          <cell r="GE73">
            <v>13695</v>
          </cell>
          <cell r="GF73">
            <v>13580</v>
          </cell>
          <cell r="GG73">
            <v>1</v>
          </cell>
          <cell r="HU73">
            <v>118</v>
          </cell>
          <cell r="HY73">
            <v>153</v>
          </cell>
          <cell r="IC73">
            <v>176</v>
          </cell>
          <cell r="IG73">
            <v>185</v>
          </cell>
          <cell r="IK73">
            <v>171</v>
          </cell>
          <cell r="IO73">
            <v>282</v>
          </cell>
          <cell r="IS73">
            <v>161</v>
          </cell>
          <cell r="IW73">
            <v>179</v>
          </cell>
        </row>
        <row r="74">
          <cell r="A74" t="str">
            <v/>
          </cell>
          <cell r="B74" t="str">
            <v>10/2794432-1</v>
          </cell>
          <cell r="C74" t="str">
            <v>Jardim Canguru 62588</v>
          </cell>
          <cell r="F74" t="str">
            <v>energisa_ms</v>
          </cell>
          <cell r="G74" t="str">
            <v>Sede 151</v>
          </cell>
          <cell r="H74" t="str">
            <v>Igreja do Evangelho Quadrangular</v>
          </cell>
          <cell r="I74">
            <v>45839</v>
          </cell>
          <cell r="J74" t="str">
            <v>COMERCIAL - TEMPLOS RELIGIOSOS</v>
          </cell>
          <cell r="K74" t="str">
            <v>79072262</v>
          </cell>
          <cell r="L74" t="str">
            <v>MS</v>
          </cell>
          <cell r="M74" t="str">
            <v>CAMPO GRANDE</v>
          </cell>
          <cell r="N74" t="str">
            <v>JARDIM CANGURU</v>
          </cell>
          <cell r="O74" t="str">
            <v>RUA BIRI, 503 - 16.103.10.065001</v>
          </cell>
          <cell r="P74">
            <v>45863</v>
          </cell>
          <cell r="Q74" t="str">
            <v>B - B3</v>
          </cell>
          <cell r="R74" t="str">
            <v>62955505015199</v>
          </cell>
          <cell r="U74">
            <v>45833</v>
          </cell>
          <cell r="V74">
            <v>45862</v>
          </cell>
          <cell r="W74">
            <v>45891</v>
          </cell>
          <cell r="X74">
            <v>45873</v>
          </cell>
          <cell r="AA74" t="str">
            <v>011.305.592-002</v>
          </cell>
          <cell r="AB74" t="str">
            <v>trifasico</v>
          </cell>
          <cell r="AC74" t="str">
            <v>convencional</v>
          </cell>
          <cell r="AD74">
            <v>347.76</v>
          </cell>
          <cell r="AE74" t="str">
            <v>34191.09552 13585.910279 52186.260007 1 11630000034776</v>
          </cell>
          <cell r="AF74" t="str">
            <v>IGREJA DO EVANGELHO QUADRANGULAR</v>
          </cell>
          <cell r="AL74">
            <v>299</v>
          </cell>
          <cell r="AM74">
            <v>1.1630769230769231</v>
          </cell>
          <cell r="AN74">
            <v>347.76</v>
          </cell>
          <cell r="AO74">
            <v>1.1068227424749164</v>
          </cell>
          <cell r="EX74">
            <v>0</v>
          </cell>
          <cell r="EZ74">
            <v>16.82</v>
          </cell>
          <cell r="FM74">
            <v>288.63</v>
          </cell>
          <cell r="FN74">
            <v>3.6297000000000003E-2</v>
          </cell>
          <cell r="FO74">
            <v>10.48</v>
          </cell>
          <cell r="FP74">
            <v>288.63</v>
          </cell>
          <cell r="FQ74">
            <v>7.8799999999999999E-3</v>
          </cell>
          <cell r="FR74">
            <v>2.27</v>
          </cell>
          <cell r="FS74">
            <v>347.76</v>
          </cell>
          <cell r="FT74">
            <v>0.17</v>
          </cell>
          <cell r="FU74">
            <v>59.11</v>
          </cell>
          <cell r="GD74">
            <v>299</v>
          </cell>
          <cell r="GE74">
            <v>11643</v>
          </cell>
          <cell r="GF74">
            <v>11344</v>
          </cell>
          <cell r="GG74">
            <v>1</v>
          </cell>
          <cell r="HU74">
            <v>592</v>
          </cell>
          <cell r="HY74">
            <v>484</v>
          </cell>
          <cell r="IC74">
            <v>385</v>
          </cell>
          <cell r="IG74">
            <v>713</v>
          </cell>
          <cell r="IK74">
            <v>479</v>
          </cell>
          <cell r="IO74">
            <v>495</v>
          </cell>
          <cell r="IS74">
            <v>601</v>
          </cell>
          <cell r="IW74">
            <v>533</v>
          </cell>
        </row>
        <row r="75">
          <cell r="A75" t="str">
            <v/>
          </cell>
          <cell r="B75" t="str">
            <v>10/191945-5</v>
          </cell>
          <cell r="C75" t="str">
            <v>Cassilandia 2157-91</v>
          </cell>
          <cell r="F75" t="str">
            <v>energisa_ms</v>
          </cell>
          <cell r="G75" t="str">
            <v>Cassilandia 2157-91</v>
          </cell>
          <cell r="H75" t="str">
            <v>Igreja do Evangelho Quadrangular</v>
          </cell>
          <cell r="I75">
            <v>45839</v>
          </cell>
          <cell r="J75" t="str">
            <v>RESIDENCIAL - RESIDENCIAL</v>
          </cell>
          <cell r="K75" t="str">
            <v>79540000</v>
          </cell>
          <cell r="L75" t="str">
            <v>MS</v>
          </cell>
          <cell r="M75" t="str">
            <v>CASSILANDIA</v>
          </cell>
          <cell r="N75" t="str">
            <v>CENTRO</v>
          </cell>
          <cell r="O75" t="str">
            <v>RUA GOIAS, 1000 - 06.044.03.335000</v>
          </cell>
          <cell r="P75">
            <v>45866</v>
          </cell>
          <cell r="Q75" t="str">
            <v>B - B1</v>
          </cell>
          <cell r="R75" t="str">
            <v>62955505215791</v>
          </cell>
          <cell r="U75">
            <v>45834</v>
          </cell>
          <cell r="V75">
            <v>45863</v>
          </cell>
          <cell r="W75">
            <v>45894</v>
          </cell>
          <cell r="X75">
            <v>45875</v>
          </cell>
          <cell r="AA75" t="str">
            <v>011.311.073-002</v>
          </cell>
          <cell r="AB75" t="str">
            <v>trifasico</v>
          </cell>
          <cell r="AC75" t="str">
            <v>convencional</v>
          </cell>
          <cell r="AD75">
            <v>208.82</v>
          </cell>
          <cell r="AE75" t="str">
            <v>34191.09123 31161.642934 85972.140009 3 11650000020882</v>
          </cell>
          <cell r="AF75" t="str">
            <v>IGREJA DO EVANGELHO QUADRANGULAR</v>
          </cell>
          <cell r="AL75">
            <v>414</v>
          </cell>
          <cell r="AM75">
            <v>1.1631357487922707</v>
          </cell>
          <cell r="AN75">
            <v>481.53820000000007</v>
          </cell>
          <cell r="AO75">
            <v>1.1068357487922706</v>
          </cell>
          <cell r="AX75">
            <v>314</v>
          </cell>
          <cell r="AY75">
            <v>1.1631471337579617</v>
          </cell>
          <cell r="AZ75">
            <v>-365.22820000000002</v>
          </cell>
          <cell r="BA75">
            <v>1.1068471337579617</v>
          </cell>
          <cell r="DR75">
            <v>314</v>
          </cell>
          <cell r="DS75">
            <v>1.1631471337579617</v>
          </cell>
          <cell r="DT75">
            <v>-365.22820000000002</v>
          </cell>
          <cell r="DU75">
            <v>1.1068471337579617</v>
          </cell>
          <cell r="ET75">
            <v>314</v>
          </cell>
          <cell r="EX75">
            <v>348</v>
          </cell>
          <cell r="EZ75">
            <v>5.63</v>
          </cell>
          <cell r="FA75">
            <v>92.51</v>
          </cell>
          <cell r="FM75">
            <v>96.54</v>
          </cell>
          <cell r="FN75">
            <v>3.6297000000000003E-2</v>
          </cell>
          <cell r="FO75">
            <v>3.5</v>
          </cell>
          <cell r="FP75">
            <v>96.54</v>
          </cell>
          <cell r="FQ75">
            <v>7.8799999999999999E-3</v>
          </cell>
          <cell r="FR75">
            <v>0.77</v>
          </cell>
          <cell r="FS75">
            <v>116.31</v>
          </cell>
          <cell r="FT75">
            <v>0.17</v>
          </cell>
          <cell r="FU75">
            <v>19.77</v>
          </cell>
          <cell r="GD75">
            <v>414</v>
          </cell>
          <cell r="GE75">
            <v>74340</v>
          </cell>
          <cell r="GF75">
            <v>73926</v>
          </cell>
          <cell r="GG75">
            <v>1</v>
          </cell>
          <cell r="HU75">
            <v>429</v>
          </cell>
          <cell r="HY75">
            <v>622</v>
          </cell>
          <cell r="IC75">
            <v>769</v>
          </cell>
          <cell r="IG75">
            <v>878</v>
          </cell>
          <cell r="IK75">
            <v>863</v>
          </cell>
          <cell r="IO75">
            <v>876</v>
          </cell>
          <cell r="IS75">
            <v>984</v>
          </cell>
          <cell r="IW75">
            <v>983</v>
          </cell>
        </row>
        <row r="76">
          <cell r="A76" t="str">
            <v/>
          </cell>
          <cell r="B76" t="str">
            <v>10/10232-7</v>
          </cell>
          <cell r="C76" t="str">
            <v>Nova Aquidauana (3932)</v>
          </cell>
          <cell r="F76" t="str">
            <v>energisa_ms</v>
          </cell>
          <cell r="G76" t="str">
            <v>Sede (161)</v>
          </cell>
          <cell r="H76" t="str">
            <v>Igreja do Evangelho Quadrangular</v>
          </cell>
          <cell r="I76">
            <v>45839</v>
          </cell>
          <cell r="J76" t="str">
            <v>COMERCIAL - TEMPLOS RELIGIOSOS</v>
          </cell>
          <cell r="K76" t="str">
            <v>79200000</v>
          </cell>
          <cell r="L76" t="str">
            <v>MS</v>
          </cell>
          <cell r="M76" t="str">
            <v>AQUIDAUANA</v>
          </cell>
          <cell r="N76" t="str">
            <v>NOVA AQUIDAUANA</v>
          </cell>
          <cell r="O76" t="str">
            <v>RUA ONZE, S/N - Q 74 L 22 10.002.13.434000</v>
          </cell>
          <cell r="P76">
            <v>45863</v>
          </cell>
          <cell r="Q76" t="str">
            <v>B - B3</v>
          </cell>
          <cell r="R76" t="str">
            <v>62955505393207</v>
          </cell>
          <cell r="U76">
            <v>45833</v>
          </cell>
          <cell r="V76">
            <v>45862</v>
          </cell>
          <cell r="W76">
            <v>45891</v>
          </cell>
          <cell r="X76">
            <v>45874</v>
          </cell>
          <cell r="AA76" t="str">
            <v>011.293.919-002</v>
          </cell>
          <cell r="AB76" t="str">
            <v>bifasico</v>
          </cell>
          <cell r="AC76" t="str">
            <v>convencional</v>
          </cell>
          <cell r="AD76">
            <v>58.15</v>
          </cell>
          <cell r="AE76" t="str">
            <v>34191.09123 30414.792934 85972.140009 1 11640000005815</v>
          </cell>
          <cell r="AF76" t="str">
            <v>IGREJA DO EVANGELHO QUADRANGULAR</v>
          </cell>
          <cell r="AL76">
            <v>67</v>
          </cell>
          <cell r="AM76">
            <v>1.1629164179104479</v>
          </cell>
          <cell r="AN76">
            <v>77.915400000000005</v>
          </cell>
          <cell r="AO76">
            <v>1.1067164179104478</v>
          </cell>
          <cell r="AX76">
            <v>17</v>
          </cell>
          <cell r="AY76">
            <v>1.1626705882352941</v>
          </cell>
          <cell r="AZ76">
            <v>-19.7654</v>
          </cell>
          <cell r="BA76">
            <v>1.1064705882352941</v>
          </cell>
          <cell r="DR76">
            <v>17</v>
          </cell>
          <cell r="DS76">
            <v>1.1626705882352941</v>
          </cell>
          <cell r="DT76">
            <v>-19.7654</v>
          </cell>
          <cell r="DU76">
            <v>1.1064705882352941</v>
          </cell>
          <cell r="ET76">
            <v>17</v>
          </cell>
          <cell r="EZ76">
            <v>2.81</v>
          </cell>
          <cell r="FM76">
            <v>48.28</v>
          </cell>
          <cell r="FN76">
            <v>3.6297000000000003E-2</v>
          </cell>
          <cell r="FO76">
            <v>1.74</v>
          </cell>
          <cell r="FP76">
            <v>48.28</v>
          </cell>
          <cell r="FQ76">
            <v>7.8799999999999999E-3</v>
          </cell>
          <cell r="FR76">
            <v>0.37</v>
          </cell>
          <cell r="FS76">
            <v>58.15</v>
          </cell>
          <cell r="FT76">
            <v>0.17</v>
          </cell>
          <cell r="FU76">
            <v>9.8800000000000008</v>
          </cell>
          <cell r="GD76">
            <v>67</v>
          </cell>
          <cell r="GE76">
            <v>36083</v>
          </cell>
          <cell r="GF76">
            <v>36016</v>
          </cell>
          <cell r="GG76">
            <v>1</v>
          </cell>
          <cell r="HU76">
            <v>78</v>
          </cell>
          <cell r="HY76">
            <v>146</v>
          </cell>
          <cell r="IC76">
            <v>199</v>
          </cell>
          <cell r="IG76">
            <v>234</v>
          </cell>
          <cell r="IK76">
            <v>203</v>
          </cell>
          <cell r="IO76">
            <v>93</v>
          </cell>
          <cell r="IS76">
            <v>82</v>
          </cell>
          <cell r="IW76">
            <v>113</v>
          </cell>
        </row>
        <row r="77">
          <cell r="A77" t="str">
            <v/>
          </cell>
          <cell r="B77" t="str">
            <v>10/2247256-7</v>
          </cell>
          <cell r="C77" t="str">
            <v>Aero Rancho 62578</v>
          </cell>
          <cell r="F77" t="str">
            <v>energisa_ms</v>
          </cell>
          <cell r="G77" t="str">
            <v>Sede 151</v>
          </cell>
          <cell r="H77" t="str">
            <v>Igreja do Evangelho Quadrangular</v>
          </cell>
          <cell r="I77">
            <v>45839</v>
          </cell>
          <cell r="J77" t="str">
            <v>COMERCIAL - COMERCIAL</v>
          </cell>
          <cell r="K77" t="str">
            <v>79094440</v>
          </cell>
          <cell r="L77" t="str">
            <v>MS</v>
          </cell>
          <cell r="M77" t="str">
            <v>CAMPO GRANDE</v>
          </cell>
          <cell r="N77" t="str">
            <v>JARDIM AERO RANCHO</v>
          </cell>
          <cell r="O77" t="str">
            <v>RUA CHARLOTE, 785</v>
          </cell>
          <cell r="P77">
            <v>45862</v>
          </cell>
          <cell r="Q77" t="str">
            <v>B - B3</v>
          </cell>
          <cell r="R77" t="str">
            <v>62955505015199</v>
          </cell>
          <cell r="U77">
            <v>45832</v>
          </cell>
          <cell r="V77">
            <v>45861</v>
          </cell>
          <cell r="W77">
            <v>45890</v>
          </cell>
          <cell r="X77">
            <v>45875</v>
          </cell>
          <cell r="AA77" t="str">
            <v>011.285.431-002</v>
          </cell>
          <cell r="AB77" t="str">
            <v>trifasico</v>
          </cell>
          <cell r="AC77" t="str">
            <v>convencional</v>
          </cell>
          <cell r="AD77">
            <v>247.88</v>
          </cell>
          <cell r="AE77" t="str">
            <v>34191.09552 10561.040279 52186.260007 3 11650000024788</v>
          </cell>
          <cell r="AF77" t="str">
            <v>IGREJA DO EVANGELHO QUADRANGULAR</v>
          </cell>
          <cell r="AL77">
            <v>253</v>
          </cell>
          <cell r="AM77">
            <v>1.1630698287220025</v>
          </cell>
          <cell r="AN77">
            <v>294.2566666666666</v>
          </cell>
          <cell r="AO77">
            <v>1.1068379446640315</v>
          </cell>
          <cell r="AX77">
            <v>184</v>
          </cell>
          <cell r="AY77">
            <v>1.0062318840579709</v>
          </cell>
          <cell r="AZ77">
            <v>-185.14666666666665</v>
          </cell>
          <cell r="BA77">
            <v>1.1068478260869565</v>
          </cell>
          <cell r="DZ77">
            <v>184</v>
          </cell>
          <cell r="EA77">
            <v>1.1630797101449275</v>
          </cell>
          <cell r="EB77">
            <v>-214.00666666666666</v>
          </cell>
          <cell r="EC77">
            <v>1.1068478260869565</v>
          </cell>
          <cell r="ET77">
            <v>184</v>
          </cell>
          <cell r="EV77">
            <v>411</v>
          </cell>
          <cell r="EW77">
            <v>411</v>
          </cell>
          <cell r="EX77">
            <v>1484</v>
          </cell>
          <cell r="EZ77">
            <v>3.88</v>
          </cell>
          <cell r="FA77">
            <v>138.77000000000001</v>
          </cell>
          <cell r="FL77">
            <v>28.86</v>
          </cell>
          <cell r="FM77">
            <v>66.61</v>
          </cell>
          <cell r="FN77">
            <v>3.6297000000000003E-2</v>
          </cell>
          <cell r="FO77">
            <v>2.42</v>
          </cell>
          <cell r="FP77">
            <v>66.61</v>
          </cell>
          <cell r="FQ77">
            <v>7.8799999999999999E-3</v>
          </cell>
          <cell r="FR77">
            <v>0.52</v>
          </cell>
          <cell r="FS77">
            <v>80.25</v>
          </cell>
          <cell r="FT77">
            <v>0.17</v>
          </cell>
          <cell r="FU77">
            <v>13.64</v>
          </cell>
          <cell r="GD77">
            <v>253</v>
          </cell>
          <cell r="GE77">
            <v>16873</v>
          </cell>
          <cell r="GF77">
            <v>16620</v>
          </cell>
          <cell r="GG77">
            <v>1</v>
          </cell>
          <cell r="HP77">
            <v>411</v>
          </cell>
          <cell r="HQ77">
            <v>10843</v>
          </cell>
          <cell r="HR77">
            <v>10432</v>
          </cell>
          <cell r="HS77">
            <v>1</v>
          </cell>
          <cell r="HU77">
            <v>433</v>
          </cell>
          <cell r="HY77">
            <v>432</v>
          </cell>
          <cell r="IC77">
            <v>620</v>
          </cell>
          <cell r="IG77">
            <v>921</v>
          </cell>
          <cell r="IK77">
            <v>968</v>
          </cell>
          <cell r="IO77">
            <v>593</v>
          </cell>
          <cell r="IS77">
            <v>626</v>
          </cell>
          <cell r="IW77">
            <v>842</v>
          </cell>
        </row>
        <row r="78">
          <cell r="A78" t="str">
            <v/>
          </cell>
          <cell r="B78" t="str">
            <v>10/276283-9</v>
          </cell>
          <cell r="C78" t="str">
            <v>Cel Sapucaia 884</v>
          </cell>
          <cell r="F78" t="str">
            <v>energisa_ms</v>
          </cell>
          <cell r="G78" t="str">
            <v>Cel Sapucaia 884</v>
          </cell>
          <cell r="H78" t="str">
            <v>Igreja do Evangelho Quadrangular</v>
          </cell>
          <cell r="I78">
            <v>45839</v>
          </cell>
          <cell r="J78" t="str">
            <v>COMERCIAL - TEMPLOS RELIGIOSOS</v>
          </cell>
          <cell r="K78" t="str">
            <v>79995000</v>
          </cell>
          <cell r="L78" t="str">
            <v>MS</v>
          </cell>
          <cell r="M78" t="str">
            <v>CORONEL SAPUCAIA</v>
          </cell>
          <cell r="N78" t="str">
            <v>JARDIM MONTIVIDEU</v>
          </cell>
          <cell r="O78" t="str">
            <v>RUA ADOLFO DO AMARAL, 284 - 15.085.81.377000</v>
          </cell>
          <cell r="P78">
            <v>45863</v>
          </cell>
          <cell r="Q78" t="str">
            <v>B - B3</v>
          </cell>
          <cell r="R78" t="str">
            <v>62955505088404</v>
          </cell>
          <cell r="U78">
            <v>45833</v>
          </cell>
          <cell r="V78">
            <v>45862</v>
          </cell>
          <cell r="W78">
            <v>45891</v>
          </cell>
          <cell r="X78">
            <v>45880</v>
          </cell>
          <cell r="AA78" t="str">
            <v>011.295.489-002</v>
          </cell>
          <cell r="AB78" t="str">
            <v>trifasico</v>
          </cell>
          <cell r="AC78" t="str">
            <v>convencional</v>
          </cell>
          <cell r="AD78">
            <v>159.5</v>
          </cell>
          <cell r="AE78" t="str">
            <v>34191.09123 30495.972934 85972.140009 8 11700000015950</v>
          </cell>
          <cell r="AF78" t="str">
            <v>IGREJA DO EVANGELHO QUADRANGULAR</v>
          </cell>
          <cell r="AL78">
            <v>238</v>
          </cell>
          <cell r="AM78">
            <v>1.1631487394957984</v>
          </cell>
          <cell r="AN78">
            <v>276.82940000000002</v>
          </cell>
          <cell r="AO78">
            <v>1.1068487394957984</v>
          </cell>
          <cell r="AX78">
            <v>138</v>
          </cell>
          <cell r="AY78">
            <v>1.1630391304347827</v>
          </cell>
          <cell r="AZ78">
            <v>-160.49940000000001</v>
          </cell>
          <cell r="BA78">
            <v>1.1067391304347827</v>
          </cell>
          <cell r="DR78">
            <v>138</v>
          </cell>
          <cell r="DS78">
            <v>1.1630391304347827</v>
          </cell>
          <cell r="DT78">
            <v>-160.49940000000001</v>
          </cell>
          <cell r="DU78">
            <v>1.1067391304347827</v>
          </cell>
          <cell r="ET78">
            <v>138</v>
          </cell>
          <cell r="EZ78">
            <v>5.63</v>
          </cell>
          <cell r="FA78">
            <v>43.17</v>
          </cell>
          <cell r="FM78">
            <v>96.56</v>
          </cell>
          <cell r="FN78">
            <v>3.6297000000000003E-2</v>
          </cell>
          <cell r="FO78">
            <v>3.49</v>
          </cell>
          <cell r="FP78">
            <v>96.56</v>
          </cell>
          <cell r="FQ78">
            <v>7.8799999999999999E-3</v>
          </cell>
          <cell r="FR78">
            <v>0.76</v>
          </cell>
          <cell r="FS78">
            <v>116.33</v>
          </cell>
          <cell r="FT78">
            <v>0.17</v>
          </cell>
          <cell r="FU78">
            <v>19.77</v>
          </cell>
          <cell r="GD78">
            <v>238</v>
          </cell>
          <cell r="GE78">
            <v>39451</v>
          </cell>
          <cell r="GF78">
            <v>39213</v>
          </cell>
          <cell r="GG78">
            <v>1</v>
          </cell>
          <cell r="HU78">
            <v>226</v>
          </cell>
          <cell r="HY78">
            <v>286</v>
          </cell>
          <cell r="IC78">
            <v>192</v>
          </cell>
          <cell r="IG78">
            <v>522</v>
          </cell>
          <cell r="IK78">
            <v>452</v>
          </cell>
          <cell r="IO78">
            <v>640</v>
          </cell>
          <cell r="IS78">
            <v>365</v>
          </cell>
          <cell r="IW78">
            <v>409</v>
          </cell>
        </row>
        <row r="79">
          <cell r="A79" t="str">
            <v/>
          </cell>
          <cell r="B79" t="str">
            <v>10/3092868-3</v>
          </cell>
          <cell r="C79" t="str">
            <v>4465</v>
          </cell>
          <cell r="F79" t="str">
            <v>energisa_ms</v>
          </cell>
          <cell r="G79" t="str">
            <v>4465</v>
          </cell>
          <cell r="H79" t="str">
            <v>Igreja do Evangelho Quadrangular</v>
          </cell>
          <cell r="I79">
            <v>45839</v>
          </cell>
          <cell r="J79" t="str">
            <v>COMERCIAL - TEMPLOS RELIGIOSOS</v>
          </cell>
          <cell r="K79" t="str">
            <v>79782000</v>
          </cell>
          <cell r="L79" t="str">
            <v>MS</v>
          </cell>
          <cell r="M79" t="str">
            <v>BATAGUASSU</v>
          </cell>
          <cell r="N79" t="str">
            <v>NOVA PORTO XV</v>
          </cell>
          <cell r="O79" t="str">
            <v>RUA ELMODAM OLIVEIRA SOARES, 1909 - QD 19 LT 09 -15.85.330.718200</v>
          </cell>
          <cell r="P79">
            <v>45859</v>
          </cell>
          <cell r="Q79" t="str">
            <v>B - B3</v>
          </cell>
          <cell r="R79" t="str">
            <v>6X.XXX.XXX/XXX4-43</v>
          </cell>
          <cell r="U79">
            <v>45826</v>
          </cell>
          <cell r="V79">
            <v>45856</v>
          </cell>
          <cell r="W79">
            <v>45887</v>
          </cell>
          <cell r="X79">
            <v>45870</v>
          </cell>
          <cell r="Z79" t="str">
            <v>true</v>
          </cell>
          <cell r="AA79" t="str">
            <v>011.219.815-002</v>
          </cell>
          <cell r="AB79" t="str">
            <v>trifasico</v>
          </cell>
          <cell r="AC79" t="str">
            <v>convencional</v>
          </cell>
          <cell r="AD79">
            <v>116.3</v>
          </cell>
          <cell r="AF79" t="str">
            <v>IGREJA DO EVANGELHO QUADRANGULAR</v>
          </cell>
          <cell r="AL79">
            <v>230</v>
          </cell>
          <cell r="AM79">
            <v>1.1630260869565217</v>
          </cell>
          <cell r="AN79">
            <v>267.49599999999998</v>
          </cell>
          <cell r="AO79">
            <v>1.1068260869565216</v>
          </cell>
          <cell r="AX79">
            <v>130</v>
          </cell>
          <cell r="AY79">
            <v>1.1630461538461538</v>
          </cell>
          <cell r="AZ79">
            <v>-151.196</v>
          </cell>
          <cell r="BA79">
            <v>1.1068461538461538</v>
          </cell>
          <cell r="DR79">
            <v>130</v>
          </cell>
          <cell r="DS79">
            <v>1.1630461538461538</v>
          </cell>
          <cell r="DT79">
            <v>-151.196</v>
          </cell>
          <cell r="DU79">
            <v>1.1068461538461538</v>
          </cell>
          <cell r="ET79">
            <v>130</v>
          </cell>
          <cell r="EX79">
            <v>304</v>
          </cell>
          <cell r="EZ79">
            <v>5.62</v>
          </cell>
          <cell r="FM79">
            <v>96.54</v>
          </cell>
          <cell r="FN79">
            <v>3.6297000000000003E-2</v>
          </cell>
          <cell r="FO79">
            <v>3.51</v>
          </cell>
          <cell r="FP79">
            <v>96.54</v>
          </cell>
          <cell r="FQ79">
            <v>7.8799999999999999E-3</v>
          </cell>
          <cell r="FR79">
            <v>0.75</v>
          </cell>
          <cell r="FS79">
            <v>116.3</v>
          </cell>
          <cell r="FT79">
            <v>0.17</v>
          </cell>
          <cell r="FU79">
            <v>19.77</v>
          </cell>
          <cell r="GD79">
            <v>230</v>
          </cell>
          <cell r="GE79">
            <v>39835</v>
          </cell>
          <cell r="GF79">
            <v>39605</v>
          </cell>
          <cell r="GG79">
            <v>1</v>
          </cell>
          <cell r="HU79">
            <v>216</v>
          </cell>
          <cell r="HY79">
            <v>512</v>
          </cell>
          <cell r="IC79">
            <v>432</v>
          </cell>
          <cell r="IG79">
            <v>619</v>
          </cell>
          <cell r="IK79">
            <v>434</v>
          </cell>
          <cell r="IO79">
            <v>415</v>
          </cell>
          <cell r="IS79">
            <v>403</v>
          </cell>
          <cell r="IW79">
            <v>374</v>
          </cell>
        </row>
        <row r="80">
          <cell r="A80" t="str">
            <v/>
          </cell>
          <cell r="B80" t="str">
            <v>10/3005226-0</v>
          </cell>
          <cell r="C80" t="str">
            <v>Casa Pastoral 577</v>
          </cell>
          <cell r="F80" t="str">
            <v>energisa_ms</v>
          </cell>
          <cell r="G80" t="str">
            <v>577</v>
          </cell>
          <cell r="H80" t="str">
            <v>Igreja do Evangelho Quadrangular</v>
          </cell>
          <cell r="I80">
            <v>45839</v>
          </cell>
          <cell r="J80" t="str">
            <v>RESIDENCIAL - RESIDENCIAL</v>
          </cell>
          <cell r="K80" t="str">
            <v>79940000</v>
          </cell>
          <cell r="L80" t="str">
            <v>MS</v>
          </cell>
          <cell r="M80" t="str">
            <v>CAARAPO</v>
          </cell>
          <cell r="N80" t="str">
            <v>CENTRO</v>
          </cell>
          <cell r="O80" t="str">
            <v>RUA DA SAUDADE, 230 - LT 17 QD 02 09.025.07.084077</v>
          </cell>
          <cell r="P80">
            <v>45856</v>
          </cell>
          <cell r="Q80" t="str">
            <v>B - B1</v>
          </cell>
          <cell r="R80" t="str">
            <v>62955505057789</v>
          </cell>
          <cell r="U80">
            <v>45825</v>
          </cell>
          <cell r="V80">
            <v>45855</v>
          </cell>
          <cell r="W80">
            <v>45884</v>
          </cell>
          <cell r="X80">
            <v>45885</v>
          </cell>
          <cell r="AA80" t="str">
            <v>011.198.831-002</v>
          </cell>
          <cell r="AB80" t="str">
            <v>bifasico</v>
          </cell>
          <cell r="AC80" t="str">
            <v>convencional</v>
          </cell>
          <cell r="AD80">
            <v>92.98</v>
          </cell>
          <cell r="AE80" t="str">
            <v>34191.09123 15133.392934 85972.140009 2 11750000009298</v>
          </cell>
          <cell r="AF80" t="str">
            <v>IGREJA DO EVANGELHO QUADRANGULAR</v>
          </cell>
          <cell r="AL80">
            <v>285</v>
          </cell>
          <cell r="AM80">
            <v>1.1618421052631578</v>
          </cell>
          <cell r="AN80">
            <v>331.12499999999994</v>
          </cell>
          <cell r="AO80">
            <v>1.1068421052631578</v>
          </cell>
          <cell r="AX80">
            <v>283</v>
          </cell>
          <cell r="AY80">
            <v>1.0049293286219083</v>
          </cell>
          <cell r="AZ80">
            <v>-284.39500000000004</v>
          </cell>
          <cell r="BA80">
            <v>1.1068197879858659</v>
          </cell>
          <cell r="DR80">
            <v>283</v>
          </cell>
          <cell r="DS80">
            <v>1.1618197879858658</v>
          </cell>
          <cell r="DT80">
            <v>-328.79500000000002</v>
          </cell>
          <cell r="DU80">
            <v>1.1068197879858659</v>
          </cell>
          <cell r="ET80">
            <v>283</v>
          </cell>
          <cell r="EX80">
            <v>1138</v>
          </cell>
          <cell r="EZ80">
            <v>0.11</v>
          </cell>
          <cell r="FA80">
            <v>46.25</v>
          </cell>
          <cell r="FL80">
            <v>44.4</v>
          </cell>
          <cell r="FM80">
            <v>1.91</v>
          </cell>
          <cell r="FN80">
            <v>3.6297000000000003E-2</v>
          </cell>
          <cell r="FO80">
            <v>0.06</v>
          </cell>
          <cell r="FP80">
            <v>1.91</v>
          </cell>
          <cell r="FQ80">
            <v>7.8799999999999999E-3</v>
          </cell>
          <cell r="FR80">
            <v>0.01</v>
          </cell>
          <cell r="FS80">
            <v>2.33</v>
          </cell>
          <cell r="FT80">
            <v>0.17</v>
          </cell>
          <cell r="FU80">
            <v>0.39</v>
          </cell>
          <cell r="GD80">
            <v>285</v>
          </cell>
          <cell r="GE80">
            <v>54084</v>
          </cell>
          <cell r="GF80">
            <v>53799</v>
          </cell>
          <cell r="GG80">
            <v>1</v>
          </cell>
          <cell r="HU80">
            <v>294</v>
          </cell>
          <cell r="HY80">
            <v>256</v>
          </cell>
          <cell r="IC80">
            <v>347</v>
          </cell>
          <cell r="IG80">
            <v>390</v>
          </cell>
          <cell r="IK80">
            <v>323</v>
          </cell>
          <cell r="IO80">
            <v>305</v>
          </cell>
          <cell r="IS80">
            <v>358</v>
          </cell>
          <cell r="IW80">
            <v>286</v>
          </cell>
        </row>
        <row r="81">
          <cell r="A81" t="str">
            <v/>
          </cell>
          <cell r="B81" t="str">
            <v>10/2605731-5</v>
          </cell>
          <cell r="C81" t="str">
            <v>17213</v>
          </cell>
          <cell r="F81" t="str">
            <v>energisa_ms</v>
          </cell>
          <cell r="G81" t="str">
            <v>17213</v>
          </cell>
          <cell r="H81" t="str">
            <v>Igreja do Evangelho Quadrangular</v>
          </cell>
          <cell r="I81">
            <v>45839</v>
          </cell>
          <cell r="J81" t="str">
            <v>RESIDENCIAL - RESIDENCIAL</v>
          </cell>
          <cell r="K81" t="str">
            <v>79290000</v>
          </cell>
          <cell r="L81" t="str">
            <v>MS</v>
          </cell>
          <cell r="M81" t="str">
            <v>BONITO</v>
          </cell>
          <cell r="N81" t="str">
            <v>CENTRO</v>
          </cell>
          <cell r="O81" t="str">
            <v>RUA LUIZ DA COSTA LEITE, 2177 - -16.061.05.129002</v>
          </cell>
          <cell r="P81">
            <v>45866</v>
          </cell>
          <cell r="Q81" t="str">
            <v>B - B1</v>
          </cell>
          <cell r="R81" t="str">
            <v>62955505017213</v>
          </cell>
          <cell r="U81">
            <v>45834</v>
          </cell>
          <cell r="V81">
            <v>45863</v>
          </cell>
          <cell r="W81">
            <v>45894</v>
          </cell>
          <cell r="X81">
            <v>45890</v>
          </cell>
          <cell r="AA81" t="str">
            <v>011.319.756-002</v>
          </cell>
          <cell r="AB81" t="str">
            <v>trifasico</v>
          </cell>
          <cell r="AC81" t="str">
            <v>convencional</v>
          </cell>
          <cell r="AD81">
            <v>177.98</v>
          </cell>
          <cell r="AE81" t="str">
            <v>34191.09123 31407.922934 85972.140009 2 11800000017798</v>
          </cell>
          <cell r="AF81" t="str">
            <v>IGREJA DO EVANGELHO QUADRANGULAR</v>
          </cell>
          <cell r="AL81">
            <v>550</v>
          </cell>
          <cell r="AM81">
            <v>1.1631363636363636</v>
          </cell>
          <cell r="AN81">
            <v>639.72500000000002</v>
          </cell>
          <cell r="AO81">
            <v>1.1068363636363636</v>
          </cell>
          <cell r="AX81">
            <v>450</v>
          </cell>
          <cell r="AY81">
            <v>1.1631444444444445</v>
          </cell>
          <cell r="AZ81">
            <v>-523.41500000000008</v>
          </cell>
          <cell r="BA81">
            <v>1.1068444444444445</v>
          </cell>
          <cell r="DR81">
            <v>450</v>
          </cell>
          <cell r="DS81">
            <v>1.1631444444444445</v>
          </cell>
          <cell r="DT81">
            <v>-523.41500000000008</v>
          </cell>
          <cell r="DU81">
            <v>1.1068444444444445</v>
          </cell>
          <cell r="ET81">
            <v>450</v>
          </cell>
          <cell r="EX81">
            <v>538</v>
          </cell>
          <cell r="EZ81">
            <v>5.63</v>
          </cell>
          <cell r="FA81">
            <v>61.67</v>
          </cell>
          <cell r="FM81">
            <v>96.54</v>
          </cell>
          <cell r="FN81">
            <v>3.6297000000000003E-2</v>
          </cell>
          <cell r="FO81">
            <v>3.51</v>
          </cell>
          <cell r="FP81">
            <v>96.54</v>
          </cell>
          <cell r="FQ81">
            <v>7.8799999999999999E-3</v>
          </cell>
          <cell r="FR81">
            <v>0.76</v>
          </cell>
          <cell r="FS81">
            <v>116.31</v>
          </cell>
          <cell r="FT81">
            <v>0.17</v>
          </cell>
          <cell r="FU81">
            <v>19.77</v>
          </cell>
          <cell r="GD81">
            <v>550</v>
          </cell>
          <cell r="GE81">
            <v>64630</v>
          </cell>
          <cell r="GF81">
            <v>64080</v>
          </cell>
          <cell r="GG81">
            <v>1</v>
          </cell>
          <cell r="HU81">
            <v>517</v>
          </cell>
          <cell r="HY81">
            <v>774</v>
          </cell>
          <cell r="IC81">
            <v>1008</v>
          </cell>
          <cell r="IG81">
            <v>995</v>
          </cell>
          <cell r="IK81">
            <v>1598</v>
          </cell>
          <cell r="IO81">
            <v>1719</v>
          </cell>
          <cell r="IS81">
            <v>1255</v>
          </cell>
          <cell r="IW81">
            <v>1124</v>
          </cell>
        </row>
        <row r="82">
          <cell r="A82" t="str">
            <v/>
          </cell>
          <cell r="B82" t="str">
            <v>10/226667-4</v>
          </cell>
          <cell r="C82" t="str">
            <v>408</v>
          </cell>
          <cell r="F82" t="str">
            <v>energisa_ms</v>
          </cell>
          <cell r="G82" t="str">
            <v>408</v>
          </cell>
          <cell r="H82" t="str">
            <v>Igreja do Evangelho Quadrangular</v>
          </cell>
          <cell r="I82">
            <v>45839</v>
          </cell>
          <cell r="J82" t="str">
            <v>COMERCIAL - TEMPLOS RELIGIOSOS</v>
          </cell>
          <cell r="K82" t="str">
            <v>79260000</v>
          </cell>
          <cell r="L82" t="str">
            <v>MS</v>
          </cell>
          <cell r="M82" t="str">
            <v>BELA VISTA</v>
          </cell>
          <cell r="N82" t="str">
            <v>CENTRO</v>
          </cell>
          <cell r="O82" t="str">
            <v>RUA GENERAL OSORIO, 1200 - 12.056.03.392000</v>
          </cell>
          <cell r="P82">
            <v>45856</v>
          </cell>
          <cell r="Q82" t="str">
            <v>B - B3</v>
          </cell>
          <cell r="R82" t="str">
            <v>62955505040894</v>
          </cell>
          <cell r="U82">
            <v>45825</v>
          </cell>
          <cell r="V82">
            <v>45855</v>
          </cell>
          <cell r="W82">
            <v>45884</v>
          </cell>
          <cell r="X82">
            <v>45885</v>
          </cell>
          <cell r="AA82" t="str">
            <v>011.193.141-002</v>
          </cell>
          <cell r="AB82" t="str">
            <v>bifasico</v>
          </cell>
          <cell r="AC82" t="str">
            <v>convencional</v>
          </cell>
          <cell r="AD82">
            <v>58.15</v>
          </cell>
          <cell r="AE82" t="str">
            <v>34191.09123 14699.122934 85972.140009 3 11750000005815</v>
          </cell>
          <cell r="AF82" t="str">
            <v>IGREJA DO EVANGELHO QUADRANGULAR</v>
          </cell>
          <cell r="AI82">
            <v>50</v>
          </cell>
          <cell r="AJ82">
            <v>1.1068</v>
          </cell>
          <cell r="AK82">
            <v>55.34</v>
          </cell>
          <cell r="AL82">
            <v>0</v>
          </cell>
          <cell r="AM82">
            <v>1.1068</v>
          </cell>
          <cell r="AN82">
            <v>0</v>
          </cell>
          <cell r="EZ82">
            <v>2.81</v>
          </cell>
          <cell r="FM82">
            <v>48.25</v>
          </cell>
          <cell r="FN82">
            <v>3.6297000000000003E-2</v>
          </cell>
          <cell r="FO82">
            <v>1.75</v>
          </cell>
          <cell r="FP82">
            <v>48.25</v>
          </cell>
          <cell r="FQ82">
            <v>7.8799999999999999E-3</v>
          </cell>
          <cell r="FR82">
            <v>0.38</v>
          </cell>
          <cell r="FS82">
            <v>58.15</v>
          </cell>
          <cell r="FT82">
            <v>0.17</v>
          </cell>
          <cell r="FU82">
            <v>9.8800000000000008</v>
          </cell>
          <cell r="GD82">
            <v>48</v>
          </cell>
          <cell r="GE82">
            <v>24442</v>
          </cell>
          <cell r="GF82">
            <v>24394</v>
          </cell>
          <cell r="GG82">
            <v>1</v>
          </cell>
          <cell r="HU82">
            <v>63</v>
          </cell>
          <cell r="HY82">
            <v>77</v>
          </cell>
          <cell r="IC82">
            <v>98</v>
          </cell>
          <cell r="IG82">
            <v>157</v>
          </cell>
          <cell r="IK82">
            <v>149</v>
          </cell>
          <cell r="IO82">
            <v>185</v>
          </cell>
          <cell r="IS82">
            <v>133</v>
          </cell>
          <cell r="IW82">
            <v>169</v>
          </cell>
        </row>
        <row r="83">
          <cell r="A83" t="str">
            <v/>
          </cell>
          <cell r="B83" t="str">
            <v>10/237441-1</v>
          </cell>
          <cell r="C83" t="str">
            <v>2390</v>
          </cell>
          <cell r="F83" t="str">
            <v>energisa_ms</v>
          </cell>
          <cell r="G83" t="str">
            <v>17213</v>
          </cell>
          <cell r="H83" t="str">
            <v>Igreja do Evangelho Quadrangular</v>
          </cell>
          <cell r="I83">
            <v>45839</v>
          </cell>
          <cell r="J83" t="str">
            <v>COMERCIAL - TEMPLOS RELIGIOSOS</v>
          </cell>
          <cell r="K83" t="str">
            <v>79290000</v>
          </cell>
          <cell r="L83" t="str">
            <v>MS</v>
          </cell>
          <cell r="M83" t="str">
            <v>BONITO</v>
          </cell>
          <cell r="N83" t="str">
            <v>MARAMBA</v>
          </cell>
          <cell r="O83" t="str">
            <v>AVENIDA HERON DO COUTO, S/N - 14.061.05.032000</v>
          </cell>
          <cell r="P83">
            <v>45859</v>
          </cell>
          <cell r="Q83" t="str">
            <v>B - B3</v>
          </cell>
          <cell r="R83" t="str">
            <v>62955505017213</v>
          </cell>
          <cell r="U83">
            <v>45826</v>
          </cell>
          <cell r="V83">
            <v>45856</v>
          </cell>
          <cell r="W83">
            <v>45887</v>
          </cell>
          <cell r="X83">
            <v>45880</v>
          </cell>
          <cell r="AA83" t="str">
            <v>011.214.853-002</v>
          </cell>
          <cell r="AB83" t="str">
            <v>trifasico</v>
          </cell>
          <cell r="AC83" t="str">
            <v>convencional</v>
          </cell>
          <cell r="AD83">
            <v>122.46</v>
          </cell>
          <cell r="AE83" t="str">
            <v>34191.09123 15605.792934 85972.140009 7 11700000012246</v>
          </cell>
          <cell r="AF83" t="str">
            <v>IGREJA DO EVANGELHO QUADRANGULAR</v>
          </cell>
          <cell r="AI83">
            <v>100</v>
          </cell>
          <cell r="AJ83">
            <v>1.1068</v>
          </cell>
          <cell r="AK83">
            <v>110.68</v>
          </cell>
          <cell r="AL83">
            <v>0</v>
          </cell>
          <cell r="AM83">
            <v>1.1068</v>
          </cell>
          <cell r="AN83">
            <v>0</v>
          </cell>
          <cell r="EZ83">
            <v>5.62</v>
          </cell>
          <cell r="FA83">
            <v>6.16</v>
          </cell>
          <cell r="FM83">
            <v>96.52</v>
          </cell>
          <cell r="FN83">
            <v>3.6297000000000003E-2</v>
          </cell>
          <cell r="FO83">
            <v>3.5</v>
          </cell>
          <cell r="FP83">
            <v>96.52</v>
          </cell>
          <cell r="FQ83">
            <v>7.8799999999999999E-3</v>
          </cell>
          <cell r="FR83">
            <v>0.76</v>
          </cell>
          <cell r="FS83">
            <v>116.3</v>
          </cell>
          <cell r="FT83">
            <v>0.17</v>
          </cell>
          <cell r="FU83">
            <v>19.77</v>
          </cell>
          <cell r="GD83">
            <v>49</v>
          </cell>
          <cell r="GE83">
            <v>55939</v>
          </cell>
          <cell r="GF83">
            <v>55890</v>
          </cell>
          <cell r="GG83">
            <v>1</v>
          </cell>
          <cell r="HU83">
            <v>76</v>
          </cell>
          <cell r="HY83">
            <v>172</v>
          </cell>
          <cell r="IC83">
            <v>152</v>
          </cell>
          <cell r="IG83">
            <v>317</v>
          </cell>
          <cell r="IK83">
            <v>159</v>
          </cell>
          <cell r="IO83">
            <v>269</v>
          </cell>
          <cell r="IS83">
            <v>383</v>
          </cell>
          <cell r="IW83">
            <v>140</v>
          </cell>
        </row>
        <row r="84">
          <cell r="A84" t="str">
            <v/>
          </cell>
          <cell r="B84" t="str">
            <v>10/113971-6</v>
          </cell>
          <cell r="C84" t="str">
            <v>156</v>
          </cell>
          <cell r="F84" t="str">
            <v>energisa_ms</v>
          </cell>
          <cell r="G84" t="str">
            <v>156</v>
          </cell>
          <cell r="H84" t="str">
            <v>Igreja do Evangelho Quadrangular</v>
          </cell>
          <cell r="I84">
            <v>45839</v>
          </cell>
          <cell r="J84" t="str">
            <v>COMERCIAL - TEMPLOS RELIGIOSOS</v>
          </cell>
          <cell r="K84" t="str">
            <v>79700000</v>
          </cell>
          <cell r="L84" t="str">
            <v>MS</v>
          </cell>
          <cell r="M84" t="str">
            <v>FATIMA DO SUL</v>
          </cell>
          <cell r="N84" t="str">
            <v>JARDIM SAO PAULO</v>
          </cell>
          <cell r="O84" t="str">
            <v>RUA CARLOS CHAGAS, 1092 - 05.026.05.081000</v>
          </cell>
          <cell r="P84">
            <v>45847</v>
          </cell>
          <cell r="Q84" t="str">
            <v>B - B3</v>
          </cell>
          <cell r="R84" t="str">
            <v>62955505015601</v>
          </cell>
          <cell r="U84">
            <v>45814</v>
          </cell>
          <cell r="V84">
            <v>45846</v>
          </cell>
          <cell r="W84">
            <v>45876</v>
          </cell>
          <cell r="X84">
            <v>45856</v>
          </cell>
          <cell r="AA84" t="str">
            <v>011.052.977-002</v>
          </cell>
          <cell r="AB84" t="str">
            <v>trifasico</v>
          </cell>
          <cell r="AC84" t="str">
            <v>convencional</v>
          </cell>
          <cell r="AD84">
            <v>136.11000000000001</v>
          </cell>
          <cell r="AF84" t="str">
            <v>IGREJA DO EVANGELHO QUADRANGULAR</v>
          </cell>
          <cell r="AL84">
            <v>197</v>
          </cell>
          <cell r="AM84">
            <v>1.1631020304568527</v>
          </cell>
          <cell r="AN84">
            <v>229.13109999999998</v>
          </cell>
          <cell r="AO84">
            <v>1.1068020304568527</v>
          </cell>
          <cell r="AX84">
            <v>97</v>
          </cell>
          <cell r="AY84">
            <v>1.1631041237113402</v>
          </cell>
          <cell r="AZ84">
            <v>-112.8211</v>
          </cell>
          <cell r="BA84">
            <v>1.1068041237113402</v>
          </cell>
          <cell r="DZ84">
            <v>97</v>
          </cell>
          <cell r="EA84">
            <v>1.1631041237113402</v>
          </cell>
          <cell r="EB84">
            <v>-112.8211</v>
          </cell>
          <cell r="EC84">
            <v>1.1068041237113402</v>
          </cell>
          <cell r="ET84">
            <v>97</v>
          </cell>
          <cell r="EX84">
            <v>138</v>
          </cell>
          <cell r="EZ84">
            <v>5.63</v>
          </cell>
          <cell r="FA84">
            <v>19.8</v>
          </cell>
          <cell r="FM84">
            <v>96.55</v>
          </cell>
          <cell r="FN84">
            <v>3.6297000000000003E-2</v>
          </cell>
          <cell r="FO84">
            <v>3.51</v>
          </cell>
          <cell r="FP84">
            <v>96.55</v>
          </cell>
          <cell r="FQ84">
            <v>7.8799999999999999E-3</v>
          </cell>
          <cell r="FR84">
            <v>0.77</v>
          </cell>
          <cell r="FS84">
            <v>116.31</v>
          </cell>
          <cell r="FT84">
            <v>0.17</v>
          </cell>
          <cell r="FU84">
            <v>19.77</v>
          </cell>
          <cell r="GD84">
            <v>197</v>
          </cell>
          <cell r="GE84">
            <v>35700</v>
          </cell>
          <cell r="GF84">
            <v>35503</v>
          </cell>
          <cell r="GG84">
            <v>1</v>
          </cell>
          <cell r="HU84">
            <v>202</v>
          </cell>
          <cell r="HY84">
            <v>226</v>
          </cell>
          <cell r="IC84">
            <v>290</v>
          </cell>
          <cell r="IG84">
            <v>394</v>
          </cell>
          <cell r="IK84">
            <v>324</v>
          </cell>
          <cell r="IO84">
            <v>253</v>
          </cell>
          <cell r="IS84">
            <v>278</v>
          </cell>
          <cell r="IW84">
            <v>218</v>
          </cell>
        </row>
        <row r="85">
          <cell r="A85" t="str">
            <v/>
          </cell>
          <cell r="B85" t="str">
            <v>10/1035655-8</v>
          </cell>
          <cell r="C85" t="str">
            <v>58749 - 1</v>
          </cell>
          <cell r="F85" t="str">
            <v>energisa_ms</v>
          </cell>
          <cell r="G85" t="str">
            <v>5661</v>
          </cell>
          <cell r="H85" t="str">
            <v>Igreja do Evangelho Quadrangular</v>
          </cell>
          <cell r="I85">
            <v>45839</v>
          </cell>
          <cell r="J85" t="str">
            <v>COMERCIAL - TEMPLOS RELIGIOSOS</v>
          </cell>
          <cell r="K85" t="str">
            <v>79831130</v>
          </cell>
          <cell r="L85" t="str">
            <v>MS</v>
          </cell>
          <cell r="M85" t="str">
            <v>DOURADOS</v>
          </cell>
          <cell r="N85" t="str">
            <v>VILA ROSA</v>
          </cell>
          <cell r="O85" t="str">
            <v>RUA ANTONIO AMARO DE MATTOS, 5413 - 07.010.34.501000</v>
          </cell>
          <cell r="P85">
            <v>45862</v>
          </cell>
          <cell r="Q85" t="str">
            <v>B - B3</v>
          </cell>
          <cell r="R85" t="str">
            <v>62955505182257</v>
          </cell>
          <cell r="U85">
            <v>45832</v>
          </cell>
          <cell r="V85">
            <v>45861</v>
          </cell>
          <cell r="W85">
            <v>45890</v>
          </cell>
          <cell r="X85">
            <v>45873</v>
          </cell>
          <cell r="AA85" t="str">
            <v>011.280.323-002</v>
          </cell>
          <cell r="AB85" t="str">
            <v>trifasico</v>
          </cell>
          <cell r="AC85" t="str">
            <v>convencional</v>
          </cell>
          <cell r="AD85">
            <v>206.53</v>
          </cell>
          <cell r="AE85" t="str">
            <v>34191.09123 25584.812934 85972.140009 5 11630000020653</v>
          </cell>
          <cell r="AF85" t="str">
            <v>IGREJA DO EVANGELHO QUADRANGULAR</v>
          </cell>
          <cell r="AL85">
            <v>172</v>
          </cell>
          <cell r="AM85">
            <v>1.1630944604128561</v>
          </cell>
          <cell r="AN85">
            <v>200.05224719101125</v>
          </cell>
          <cell r="AO85">
            <v>1.1068023255813955</v>
          </cell>
          <cell r="AX85">
            <v>83</v>
          </cell>
          <cell r="AY85">
            <v>1.0402680384459186</v>
          </cell>
          <cell r="AZ85">
            <v>-86.342247191011239</v>
          </cell>
          <cell r="BA85">
            <v>1.1067469879518073</v>
          </cell>
          <cell r="DZ85">
            <v>83</v>
          </cell>
          <cell r="EA85">
            <v>1.1630391227832679</v>
          </cell>
          <cell r="EB85">
            <v>-96.532247191011237</v>
          </cell>
          <cell r="EC85">
            <v>1.1067469879518073</v>
          </cell>
          <cell r="ET85">
            <v>83</v>
          </cell>
          <cell r="EZ85">
            <v>5.01</v>
          </cell>
          <cell r="FA85">
            <v>39.78</v>
          </cell>
          <cell r="FB85">
            <v>46.17</v>
          </cell>
          <cell r="FC85">
            <v>6.87</v>
          </cell>
          <cell r="FL85">
            <v>10.19</v>
          </cell>
          <cell r="FM85">
            <v>85.94</v>
          </cell>
          <cell r="FN85">
            <v>3.6297000000000003E-2</v>
          </cell>
          <cell r="FO85">
            <v>3.11</v>
          </cell>
          <cell r="FP85">
            <v>85.94</v>
          </cell>
          <cell r="FQ85">
            <v>7.8799999999999999E-3</v>
          </cell>
          <cell r="FR85">
            <v>0.67</v>
          </cell>
          <cell r="FS85">
            <v>103.52</v>
          </cell>
          <cell r="FT85">
            <v>0.17</v>
          </cell>
          <cell r="FU85">
            <v>17.59</v>
          </cell>
          <cell r="GD85">
            <v>172</v>
          </cell>
          <cell r="GE85">
            <v>51657</v>
          </cell>
          <cell r="GF85">
            <v>51485</v>
          </cell>
          <cell r="GG85">
            <v>1</v>
          </cell>
          <cell r="HU85">
            <v>272</v>
          </cell>
          <cell r="HY85">
            <v>259</v>
          </cell>
          <cell r="IC85">
            <v>338</v>
          </cell>
          <cell r="IG85">
            <v>581</v>
          </cell>
          <cell r="IK85">
            <v>433</v>
          </cell>
          <cell r="IO85">
            <v>540</v>
          </cell>
          <cell r="IS85">
            <v>528</v>
          </cell>
          <cell r="IW85">
            <v>671</v>
          </cell>
        </row>
        <row r="86">
          <cell r="A86" t="str">
            <v>10/150263-2</v>
          </cell>
          <cell r="B86" t="str">
            <v>10/150263-2</v>
          </cell>
          <cell r="F86" t="str">
            <v>energisa_ms</v>
          </cell>
          <cell r="H86" t="str">
            <v>10/150263-2</v>
          </cell>
          <cell r="I86">
            <v>45839</v>
          </cell>
          <cell r="J86" t="str">
            <v>COMERCIAL - TEMPLOS RELIGIOSOS</v>
          </cell>
          <cell r="K86" t="str">
            <v>79900558</v>
          </cell>
          <cell r="L86" t="str">
            <v>MS</v>
          </cell>
          <cell r="M86" t="str">
            <v>PONTA PORA</v>
          </cell>
          <cell r="N86" t="str">
            <v>PARQUE DAS AROEIRAS</v>
          </cell>
          <cell r="O86" t="str">
            <v>RUA JAMAICA, 46 - 17.032.04.028077</v>
          </cell>
          <cell r="P86">
            <v>45862</v>
          </cell>
          <cell r="Q86" t="str">
            <v>B - B3</v>
          </cell>
          <cell r="R86" t="str">
            <v>62955505015512</v>
          </cell>
          <cell r="U86">
            <v>45832</v>
          </cell>
          <cell r="V86">
            <v>45861</v>
          </cell>
          <cell r="W86">
            <v>45890</v>
          </cell>
          <cell r="X86">
            <v>45873</v>
          </cell>
          <cell r="AA86" t="str">
            <v>011.278.569-002</v>
          </cell>
          <cell r="AB86" t="str">
            <v>monofasico</v>
          </cell>
          <cell r="AC86" t="str">
            <v>convencional</v>
          </cell>
          <cell r="AD86">
            <v>80.900000000000006</v>
          </cell>
          <cell r="AE86" t="str">
            <v>34191.09123 25523.512934 85972.140009 6 11630000008090</v>
          </cell>
          <cell r="AF86" t="str">
            <v>IGREJA DO EVANGELHO QUADRANGULAR</v>
          </cell>
          <cell r="AL86">
            <v>97</v>
          </cell>
          <cell r="AM86">
            <v>1.1634707903780068</v>
          </cell>
          <cell r="AN86">
            <v>112.85666666666665</v>
          </cell>
          <cell r="AO86">
            <v>1.1068041237113402</v>
          </cell>
          <cell r="AX86">
            <v>76</v>
          </cell>
          <cell r="AY86">
            <v>1.0519298245614035</v>
          </cell>
          <cell r="AZ86">
            <v>-79.946666666666673</v>
          </cell>
          <cell r="BA86">
            <v>1.1067105263157895</v>
          </cell>
          <cell r="DZ86">
            <v>76</v>
          </cell>
          <cell r="EA86">
            <v>1.1633771929824561</v>
          </cell>
          <cell r="EB86">
            <v>-88.416666666666671</v>
          </cell>
          <cell r="EC86">
            <v>1.1067105263157895</v>
          </cell>
          <cell r="ET86">
            <v>76</v>
          </cell>
          <cell r="EZ86">
            <v>1.19</v>
          </cell>
          <cell r="FA86">
            <v>46.94</v>
          </cell>
          <cell r="FC86">
            <v>1.05</v>
          </cell>
          <cell r="FL86">
            <v>8.4700000000000006</v>
          </cell>
          <cell r="FM86">
            <v>20.27</v>
          </cell>
          <cell r="FN86">
            <v>3.6297000000000003E-2</v>
          </cell>
          <cell r="FO86">
            <v>0.73</v>
          </cell>
          <cell r="FP86">
            <v>20.27</v>
          </cell>
          <cell r="FQ86">
            <v>7.8799999999999999E-3</v>
          </cell>
          <cell r="FR86">
            <v>0.15</v>
          </cell>
          <cell r="FS86">
            <v>24.44</v>
          </cell>
          <cell r="FT86">
            <v>0.17</v>
          </cell>
          <cell r="FU86">
            <v>4.1500000000000004</v>
          </cell>
          <cell r="GD86">
            <v>97</v>
          </cell>
          <cell r="GE86">
            <v>7465</v>
          </cell>
          <cell r="GF86">
            <v>7368</v>
          </cell>
          <cell r="GG86">
            <v>1</v>
          </cell>
          <cell r="HU86">
            <v>122</v>
          </cell>
          <cell r="HY86">
            <v>139</v>
          </cell>
          <cell r="IC86">
            <v>156</v>
          </cell>
          <cell r="IG86">
            <v>202</v>
          </cell>
          <cell r="IK86">
            <v>198</v>
          </cell>
          <cell r="IO86">
            <v>187</v>
          </cell>
          <cell r="IS86">
            <v>163</v>
          </cell>
          <cell r="IW86">
            <v>188</v>
          </cell>
        </row>
        <row r="87">
          <cell r="A87" t="str">
            <v/>
          </cell>
          <cell r="B87" t="str">
            <v>10/532723-4</v>
          </cell>
          <cell r="C87" t="str">
            <v>3593</v>
          </cell>
          <cell r="F87" t="str">
            <v>energisa_ms</v>
          </cell>
          <cell r="G87" t="str">
            <v>3593</v>
          </cell>
          <cell r="H87" t="str">
            <v>Igreja do Evangelho Quadrangular</v>
          </cell>
          <cell r="I87">
            <v>45839</v>
          </cell>
          <cell r="J87" t="str">
            <v>COMERCIAL - TEMPLOS RELIGIOSOS</v>
          </cell>
          <cell r="K87" t="str">
            <v>79140000</v>
          </cell>
          <cell r="L87" t="str">
            <v>MS</v>
          </cell>
          <cell r="M87" t="str">
            <v>NOVA ALVORADA DO SUL</v>
          </cell>
          <cell r="N87" t="str">
            <v>CENTRO</v>
          </cell>
          <cell r="O87" t="str">
            <v>RUA DUAIR JOAO DE BARCELOS, 267 - 04.092.01.513000</v>
          </cell>
          <cell r="P87">
            <v>45863</v>
          </cell>
          <cell r="Q87" t="str">
            <v>B - B3</v>
          </cell>
          <cell r="R87" t="str">
            <v>62955505359360</v>
          </cell>
          <cell r="U87">
            <v>45833</v>
          </cell>
          <cell r="V87">
            <v>45862</v>
          </cell>
          <cell r="W87">
            <v>45891</v>
          </cell>
          <cell r="X87">
            <v>45880</v>
          </cell>
          <cell r="AA87" t="str">
            <v>011.296.206-002</v>
          </cell>
          <cell r="AB87" t="str">
            <v>trifasico</v>
          </cell>
          <cell r="AC87" t="str">
            <v>convencional</v>
          </cell>
          <cell r="AD87">
            <v>172.76</v>
          </cell>
          <cell r="AE87" t="str">
            <v>34191.09123 30513.612934 85972.140009 3 11700000017276</v>
          </cell>
          <cell r="AF87" t="str">
            <v>IGREJA DO EVANGELHO QUADRANGULAR</v>
          </cell>
          <cell r="AL87">
            <v>284</v>
          </cell>
          <cell r="AM87">
            <v>1.1632309859154928</v>
          </cell>
          <cell r="AN87">
            <v>330.35759999999993</v>
          </cell>
          <cell r="AO87">
            <v>1.1068309859154928</v>
          </cell>
          <cell r="AX87">
            <v>209</v>
          </cell>
          <cell r="AY87">
            <v>1.0528593301435407</v>
          </cell>
          <cell r="AZ87">
            <v>-220.04760000000002</v>
          </cell>
          <cell r="BA87">
            <v>1.1067942583732058</v>
          </cell>
          <cell r="DZ87">
            <v>209</v>
          </cell>
          <cell r="EA87">
            <v>1.1631942583732058</v>
          </cell>
          <cell r="EB87">
            <v>-243.10760000000002</v>
          </cell>
          <cell r="EC87">
            <v>1.1067942583732058</v>
          </cell>
          <cell r="ET87">
            <v>209</v>
          </cell>
          <cell r="EZ87">
            <v>4.2300000000000004</v>
          </cell>
          <cell r="FA87">
            <v>58.59</v>
          </cell>
          <cell r="FC87">
            <v>3.8599999999999994</v>
          </cell>
          <cell r="FL87">
            <v>23.06</v>
          </cell>
          <cell r="FM87">
            <v>72.42</v>
          </cell>
          <cell r="FN87">
            <v>3.6297000000000003E-2</v>
          </cell>
          <cell r="FO87">
            <v>2.63</v>
          </cell>
          <cell r="FP87">
            <v>72.42</v>
          </cell>
          <cell r="FQ87">
            <v>7.8799999999999999E-3</v>
          </cell>
          <cell r="FR87">
            <v>0.56999999999999995</v>
          </cell>
          <cell r="FS87">
            <v>87.25</v>
          </cell>
          <cell r="FT87">
            <v>0.17</v>
          </cell>
          <cell r="FU87">
            <v>14.83</v>
          </cell>
          <cell r="GD87">
            <v>284</v>
          </cell>
          <cell r="GE87">
            <v>95630</v>
          </cell>
          <cell r="GF87">
            <v>95346</v>
          </cell>
          <cell r="GG87">
            <v>1</v>
          </cell>
          <cell r="HU87">
            <v>295</v>
          </cell>
          <cell r="HY87">
            <v>361</v>
          </cell>
          <cell r="IC87">
            <v>384</v>
          </cell>
          <cell r="IG87">
            <v>488</v>
          </cell>
          <cell r="IK87">
            <v>411</v>
          </cell>
          <cell r="IO87">
            <v>435</v>
          </cell>
          <cell r="IS87">
            <v>472</v>
          </cell>
          <cell r="IW87">
            <v>444</v>
          </cell>
        </row>
        <row r="88">
          <cell r="A88" t="str">
            <v/>
          </cell>
          <cell r="B88" t="str">
            <v>10/18015-8</v>
          </cell>
          <cell r="C88" t="str">
            <v>Joaquim Murtinho</v>
          </cell>
          <cell r="F88" t="str">
            <v>energisa_ms</v>
          </cell>
          <cell r="G88" t="str">
            <v>Seac</v>
          </cell>
          <cell r="H88" t="str">
            <v>Igreja do Evangelho Quadrangular</v>
          </cell>
          <cell r="I88">
            <v>45839</v>
          </cell>
          <cell r="J88" t="str">
            <v>COMERCIAL - TEMPLOS RELIGIOSOS</v>
          </cell>
          <cell r="K88" t="str">
            <v>79303110</v>
          </cell>
          <cell r="L88" t="str">
            <v>MS</v>
          </cell>
          <cell r="M88" t="str">
            <v>CORUMBA</v>
          </cell>
          <cell r="N88" t="str">
            <v>CENTRO</v>
          </cell>
          <cell r="O88" t="str">
            <v>RUA JOAQUIM MURTINHO, 72 - 07.003.05.357000</v>
          </cell>
          <cell r="P88">
            <v>45862</v>
          </cell>
          <cell r="Q88" t="str">
            <v>B - B3</v>
          </cell>
          <cell r="R88" t="str">
            <v>62955505016080</v>
          </cell>
          <cell r="U88">
            <v>45832</v>
          </cell>
          <cell r="V88">
            <v>45861</v>
          </cell>
          <cell r="W88">
            <v>45890</v>
          </cell>
          <cell r="X88">
            <v>45880</v>
          </cell>
          <cell r="AA88" t="str">
            <v>011.278.032-002</v>
          </cell>
          <cell r="AB88" t="str">
            <v>trifasico</v>
          </cell>
          <cell r="AC88" t="str">
            <v>convencional</v>
          </cell>
          <cell r="AD88">
            <v>118.8</v>
          </cell>
          <cell r="AE88" t="str">
            <v>34191.09123 25493.732934 85972.140009 6 11700000011880</v>
          </cell>
          <cell r="AF88" t="str">
            <v>IGREJA DO EVANGELHO QUADRANGULAR</v>
          </cell>
          <cell r="AL88">
            <v>458</v>
          </cell>
          <cell r="AM88">
            <v>1.1631340611353711</v>
          </cell>
          <cell r="AN88">
            <v>532.71539999999993</v>
          </cell>
          <cell r="AO88">
            <v>1.1068340611353711</v>
          </cell>
          <cell r="AX88">
            <v>358</v>
          </cell>
          <cell r="AY88">
            <v>1.1631435754189945</v>
          </cell>
          <cell r="AZ88">
            <v>-416.40540000000004</v>
          </cell>
          <cell r="BA88">
            <v>1.1068435754189945</v>
          </cell>
          <cell r="DZ88">
            <v>358</v>
          </cell>
          <cell r="EA88">
            <v>1.1631435754189945</v>
          </cell>
          <cell r="EB88">
            <v>-416.40540000000004</v>
          </cell>
          <cell r="EC88">
            <v>1.1068435754189945</v>
          </cell>
          <cell r="ET88">
            <v>358</v>
          </cell>
          <cell r="EX88">
            <v>316</v>
          </cell>
          <cell r="EZ88">
            <v>5.63</v>
          </cell>
          <cell r="FC88">
            <v>2.4900000000000002</v>
          </cell>
          <cell r="FM88">
            <v>96.55</v>
          </cell>
          <cell r="FN88">
            <v>3.6297000000000003E-2</v>
          </cell>
          <cell r="FO88">
            <v>3.5</v>
          </cell>
          <cell r="FP88">
            <v>96.55</v>
          </cell>
          <cell r="FQ88">
            <v>7.8799999999999999E-3</v>
          </cell>
          <cell r="FR88">
            <v>0.76</v>
          </cell>
          <cell r="FS88">
            <v>116.31</v>
          </cell>
          <cell r="FT88">
            <v>0.17</v>
          </cell>
          <cell r="FU88">
            <v>19.77</v>
          </cell>
          <cell r="GD88">
            <v>458</v>
          </cell>
          <cell r="GE88">
            <v>91360</v>
          </cell>
          <cell r="GF88">
            <v>90902</v>
          </cell>
          <cell r="GG88">
            <v>1</v>
          </cell>
          <cell r="HU88">
            <v>700</v>
          </cell>
          <cell r="HY88">
            <v>930</v>
          </cell>
          <cell r="IC88">
            <v>921</v>
          </cell>
          <cell r="IG88">
            <v>1130</v>
          </cell>
          <cell r="IK88">
            <v>936</v>
          </cell>
          <cell r="IO88">
            <v>1267</v>
          </cell>
          <cell r="IS88">
            <v>945</v>
          </cell>
          <cell r="IW88">
            <v>1021</v>
          </cell>
        </row>
        <row r="89">
          <cell r="A89" t="str">
            <v/>
          </cell>
          <cell r="B89" t="str">
            <v>10/202838-9</v>
          </cell>
          <cell r="C89" t="str">
            <v>16403</v>
          </cell>
          <cell r="F89" t="str">
            <v>energisa_ms</v>
          </cell>
          <cell r="G89" t="str">
            <v>16403</v>
          </cell>
          <cell r="H89" t="str">
            <v>Igreja do Evangelho Quadrangular</v>
          </cell>
          <cell r="I89">
            <v>45839</v>
          </cell>
          <cell r="J89" t="str">
            <v>COMERCIAL - TEMPLOS RELIGIOSOS</v>
          </cell>
          <cell r="K89" t="str">
            <v>79240000</v>
          </cell>
          <cell r="L89" t="str">
            <v>MS</v>
          </cell>
          <cell r="M89" t="str">
            <v>JARDIM</v>
          </cell>
          <cell r="N89" t="str">
            <v>VILA ANGELICA I</v>
          </cell>
          <cell r="O89" t="str">
            <v>RUA GUANABARA, 146 - 17.047.05.488000 TELEMETRIA</v>
          </cell>
          <cell r="P89">
            <v>45859</v>
          </cell>
          <cell r="Q89" t="str">
            <v>B - B3</v>
          </cell>
          <cell r="R89" t="str">
            <v>62955505016403</v>
          </cell>
          <cell r="U89">
            <v>45826</v>
          </cell>
          <cell r="V89">
            <v>45856</v>
          </cell>
          <cell r="W89">
            <v>45887</v>
          </cell>
          <cell r="X89">
            <v>45890</v>
          </cell>
          <cell r="AA89" t="str">
            <v>011.214.719-002</v>
          </cell>
          <cell r="AB89" t="str">
            <v>trifasico</v>
          </cell>
          <cell r="AC89" t="str">
            <v>convencional</v>
          </cell>
          <cell r="AD89">
            <v>221.17</v>
          </cell>
          <cell r="AE89" t="str">
            <v>34191.09123 15598.862934 85972.140009 1 11800000022117</v>
          </cell>
          <cell r="AF89" t="str">
            <v>IGREJA DO EVANGELHO QUADRANGULAR</v>
          </cell>
          <cell r="AL89">
            <v>440</v>
          </cell>
          <cell r="AM89">
            <v>1.1631409090909091</v>
          </cell>
          <cell r="AN89">
            <v>511.78199999999998</v>
          </cell>
          <cell r="AO89">
            <v>1.106840909090909</v>
          </cell>
          <cell r="AX89">
            <v>340</v>
          </cell>
          <cell r="AY89">
            <v>1.1631235294117648</v>
          </cell>
          <cell r="AZ89">
            <v>-395.46200000000005</v>
          </cell>
          <cell r="BA89">
            <v>1.1068235294117648</v>
          </cell>
          <cell r="DZ89">
            <v>340</v>
          </cell>
          <cell r="EA89">
            <v>1.1631235294117648</v>
          </cell>
          <cell r="EB89">
            <v>-395.46200000000005</v>
          </cell>
          <cell r="EC89">
            <v>1.1068235294117648</v>
          </cell>
          <cell r="ET89">
            <v>340</v>
          </cell>
          <cell r="EX89">
            <v>359</v>
          </cell>
          <cell r="EZ89">
            <v>5.63</v>
          </cell>
          <cell r="FA89">
            <v>104.85</v>
          </cell>
          <cell r="FM89">
            <v>96.53</v>
          </cell>
          <cell r="FN89">
            <v>3.6297000000000003E-2</v>
          </cell>
          <cell r="FO89">
            <v>3.49</v>
          </cell>
          <cell r="FP89">
            <v>96.53</v>
          </cell>
          <cell r="FQ89">
            <v>7.8799999999999999E-3</v>
          </cell>
          <cell r="FR89">
            <v>0.76</v>
          </cell>
          <cell r="FS89">
            <v>116.32</v>
          </cell>
          <cell r="FT89">
            <v>0.17</v>
          </cell>
          <cell r="FU89">
            <v>19.77</v>
          </cell>
          <cell r="GD89">
            <v>440</v>
          </cell>
          <cell r="GE89">
            <v>747</v>
          </cell>
          <cell r="GF89">
            <v>736</v>
          </cell>
          <cell r="GG89">
            <v>40</v>
          </cell>
          <cell r="HU89">
            <v>520</v>
          </cell>
          <cell r="HY89">
            <v>800</v>
          </cell>
          <cell r="IC89">
            <v>800</v>
          </cell>
          <cell r="IG89">
            <v>1120</v>
          </cell>
          <cell r="IK89">
            <v>960</v>
          </cell>
          <cell r="IO89">
            <v>880</v>
          </cell>
          <cell r="IS89">
            <v>760</v>
          </cell>
          <cell r="IW89">
            <v>800</v>
          </cell>
        </row>
        <row r="90">
          <cell r="A90" t="str">
            <v/>
          </cell>
          <cell r="B90" t="str">
            <v>10/135237-6</v>
          </cell>
          <cell r="C90" t="str">
            <v>800</v>
          </cell>
          <cell r="F90" t="str">
            <v>energisa_ms</v>
          </cell>
          <cell r="G90" t="str">
            <v>800</v>
          </cell>
          <cell r="H90" t="str">
            <v>Igreja do Evangelho Quadrangular</v>
          </cell>
          <cell r="I90">
            <v>45839</v>
          </cell>
          <cell r="J90" t="str">
            <v>COMERCIAL - TEMPLOS RELIGIOSOS</v>
          </cell>
          <cell r="K90" t="str">
            <v>79150000</v>
          </cell>
          <cell r="L90" t="str">
            <v>MS</v>
          </cell>
          <cell r="M90" t="str">
            <v>MARACAJU</v>
          </cell>
          <cell r="N90" t="str">
            <v>VILA PRATEADA</v>
          </cell>
          <cell r="O90" t="str">
            <v>RUA ROSALVO FRAGA SANTOS, 60 - 05.031.05.383000</v>
          </cell>
          <cell r="P90">
            <v>45856</v>
          </cell>
          <cell r="Q90" t="str">
            <v>B - B3</v>
          </cell>
          <cell r="R90" t="str">
            <v>62955505080098</v>
          </cell>
          <cell r="U90">
            <v>45825</v>
          </cell>
          <cell r="V90">
            <v>45855</v>
          </cell>
          <cell r="W90">
            <v>45884</v>
          </cell>
          <cell r="X90">
            <v>45881</v>
          </cell>
          <cell r="AA90" t="str">
            <v>011.192.582-002</v>
          </cell>
          <cell r="AB90" t="str">
            <v>trifasico</v>
          </cell>
          <cell r="AC90" t="str">
            <v>convencional</v>
          </cell>
          <cell r="AD90">
            <v>116.3</v>
          </cell>
          <cell r="AE90" t="str">
            <v>34191.09123 14672.542934 85972.140009 1 11710000011630</v>
          </cell>
          <cell r="AF90" t="str">
            <v>IGREJA DO EVANGELHO QUADRANGULAR</v>
          </cell>
          <cell r="AI90">
            <v>100</v>
          </cell>
          <cell r="AJ90">
            <v>1.1068</v>
          </cell>
          <cell r="AK90">
            <v>110.68</v>
          </cell>
          <cell r="AL90">
            <v>0</v>
          </cell>
          <cell r="AM90">
            <v>1.1068</v>
          </cell>
          <cell r="AN90">
            <v>0</v>
          </cell>
          <cell r="EZ90">
            <v>5.62</v>
          </cell>
          <cell r="FM90">
            <v>96.52</v>
          </cell>
          <cell r="FN90">
            <v>3.6297000000000003E-2</v>
          </cell>
          <cell r="FO90">
            <v>3.5</v>
          </cell>
          <cell r="FP90">
            <v>96.52</v>
          </cell>
          <cell r="FQ90">
            <v>7.8799999999999999E-3</v>
          </cell>
          <cell r="FR90">
            <v>0.76</v>
          </cell>
          <cell r="FS90">
            <v>116.3</v>
          </cell>
          <cell r="FT90">
            <v>0.17</v>
          </cell>
          <cell r="FU90">
            <v>19.77</v>
          </cell>
          <cell r="GD90">
            <v>72</v>
          </cell>
          <cell r="GE90">
            <v>36698</v>
          </cell>
          <cell r="GF90">
            <v>36626</v>
          </cell>
          <cell r="GG90">
            <v>1</v>
          </cell>
          <cell r="HU90">
            <v>85</v>
          </cell>
          <cell r="HY90">
            <v>106</v>
          </cell>
          <cell r="IC90">
            <v>157</v>
          </cell>
          <cell r="IG90">
            <v>197</v>
          </cell>
          <cell r="IK90">
            <v>159</v>
          </cell>
          <cell r="IO90">
            <v>21</v>
          </cell>
          <cell r="IS90">
            <v>138</v>
          </cell>
          <cell r="IW90">
            <v>112</v>
          </cell>
        </row>
        <row r="91">
          <cell r="A91" t="str">
            <v/>
          </cell>
          <cell r="B91" t="str">
            <v>10/3123706-8</v>
          </cell>
          <cell r="C91" t="str">
            <v>Navirai 3757</v>
          </cell>
          <cell r="F91" t="str">
            <v>energisa_ms</v>
          </cell>
          <cell r="G91" t="str">
            <v>Navirai 3757</v>
          </cell>
          <cell r="H91" t="str">
            <v>Igreja do Evangelho Quadrangular</v>
          </cell>
          <cell r="I91">
            <v>45839</v>
          </cell>
          <cell r="J91" t="str">
            <v>RESIDENCIAL - RESIDENCIAL</v>
          </cell>
          <cell r="K91" t="str">
            <v>79950000</v>
          </cell>
          <cell r="L91" t="str">
            <v>MS</v>
          </cell>
          <cell r="M91" t="str">
            <v>NAVIRAI</v>
          </cell>
          <cell r="N91" t="str">
            <v>CENTRO</v>
          </cell>
          <cell r="O91" t="str">
            <v>RUA CUIABA, 225 - TRATA-SE RESIDENCIA 18-038-13-89250</v>
          </cell>
          <cell r="P91">
            <v>45863</v>
          </cell>
          <cell r="Q91" t="str">
            <v>B - B1</v>
          </cell>
          <cell r="R91" t="str">
            <v>62955505375721</v>
          </cell>
          <cell r="U91">
            <v>45833</v>
          </cell>
          <cell r="V91">
            <v>45862</v>
          </cell>
          <cell r="W91">
            <v>45891</v>
          </cell>
          <cell r="X91">
            <v>45895</v>
          </cell>
          <cell r="AA91" t="str">
            <v>011.300.290-002</v>
          </cell>
          <cell r="AB91" t="str">
            <v>trifasico</v>
          </cell>
          <cell r="AC91" t="str">
            <v>convencional</v>
          </cell>
          <cell r="AD91">
            <v>165.26</v>
          </cell>
          <cell r="AE91" t="str">
            <v>34191.09123 30887.022934 85972.140009 9 11850000016526</v>
          </cell>
          <cell r="AF91" t="str">
            <v>IGREJA DO EVANGELHO QUADRANGULAR</v>
          </cell>
          <cell r="AL91">
            <v>355</v>
          </cell>
          <cell r="AM91">
            <v>1.1630950704225351</v>
          </cell>
          <cell r="AN91">
            <v>412.89874999999995</v>
          </cell>
          <cell r="AO91">
            <v>1.1068450704225352</v>
          </cell>
          <cell r="AX91">
            <v>307</v>
          </cell>
          <cell r="AY91">
            <v>1.0062174267100976</v>
          </cell>
          <cell r="AZ91">
            <v>-308.90874999999994</v>
          </cell>
          <cell r="BA91">
            <v>1.1068403908794788</v>
          </cell>
          <cell r="DZ91">
            <v>307</v>
          </cell>
          <cell r="EA91">
            <v>1.1630903908794787</v>
          </cell>
          <cell r="EB91">
            <v>-357.06874999999997</v>
          </cell>
          <cell r="EC91">
            <v>1.1068403908794788</v>
          </cell>
          <cell r="ET91">
            <v>307</v>
          </cell>
          <cell r="EX91">
            <v>163</v>
          </cell>
          <cell r="EZ91">
            <v>2.7</v>
          </cell>
          <cell r="FA91">
            <v>54.09</v>
          </cell>
          <cell r="FC91">
            <v>7.1800000000000006</v>
          </cell>
          <cell r="FL91">
            <v>48.16</v>
          </cell>
          <cell r="FM91">
            <v>46.34</v>
          </cell>
          <cell r="FN91">
            <v>3.6297000000000003E-2</v>
          </cell>
          <cell r="FO91">
            <v>1.68</v>
          </cell>
          <cell r="FP91">
            <v>46.34</v>
          </cell>
          <cell r="FQ91">
            <v>7.8799999999999999E-3</v>
          </cell>
          <cell r="FR91">
            <v>0.37</v>
          </cell>
          <cell r="FS91">
            <v>55.83</v>
          </cell>
          <cell r="FT91">
            <v>0.17</v>
          </cell>
          <cell r="FU91">
            <v>9.49</v>
          </cell>
          <cell r="GD91">
            <v>355</v>
          </cell>
          <cell r="GE91">
            <v>38095</v>
          </cell>
          <cell r="GF91">
            <v>37740</v>
          </cell>
          <cell r="GG91">
            <v>1</v>
          </cell>
          <cell r="HU91">
            <v>400</v>
          </cell>
          <cell r="HY91">
            <v>355</v>
          </cell>
          <cell r="IC91">
            <v>320</v>
          </cell>
          <cell r="IG91">
            <v>400</v>
          </cell>
          <cell r="IK91">
            <v>307</v>
          </cell>
          <cell r="IO91">
            <v>316</v>
          </cell>
          <cell r="IS91">
            <v>320</v>
          </cell>
          <cell r="IW91">
            <v>355</v>
          </cell>
        </row>
        <row r="92">
          <cell r="A92" t="str">
            <v/>
          </cell>
          <cell r="B92" t="str">
            <v>10/1548741-6</v>
          </cell>
          <cell r="C92" t="str">
            <v>Parnaíba 0847-51</v>
          </cell>
          <cell r="F92" t="str">
            <v>energisa_ms</v>
          </cell>
          <cell r="G92" t="str">
            <v>Parnaíba 0847-51</v>
          </cell>
          <cell r="H92" t="str">
            <v>Igreja do Evangelho Quadrangular</v>
          </cell>
          <cell r="I92">
            <v>45839</v>
          </cell>
          <cell r="J92" t="str">
            <v>COMERCIAL - OUTROS SERVIÇOS E OUTRAS ATIVIDADES</v>
          </cell>
          <cell r="K92" t="str">
            <v>79500000</v>
          </cell>
          <cell r="L92" t="str">
            <v>MS</v>
          </cell>
          <cell r="M92" t="str">
            <v>PARANAIBA</v>
          </cell>
          <cell r="N92" t="str">
            <v>JARDIM AMERICA</v>
          </cell>
          <cell r="O92" t="str">
            <v>RUA JOSE AGI, 651 - 12.014.07.803500</v>
          </cell>
          <cell r="P92">
            <v>45861</v>
          </cell>
          <cell r="Q92" t="str">
            <v>B - B3</v>
          </cell>
          <cell r="R92" t="str">
            <v>62955505084751</v>
          </cell>
          <cell r="U92">
            <v>45831</v>
          </cell>
          <cell r="V92">
            <v>45860</v>
          </cell>
          <cell r="W92">
            <v>45889</v>
          </cell>
          <cell r="X92">
            <v>45885</v>
          </cell>
          <cell r="AA92" t="str">
            <v>011.260.514-002</v>
          </cell>
          <cell r="AB92" t="str">
            <v>monofasico</v>
          </cell>
          <cell r="AC92" t="str">
            <v>convencional</v>
          </cell>
          <cell r="AD92">
            <v>95.87</v>
          </cell>
          <cell r="AE92" t="str">
            <v>34191.09123 24722.382934 85972.140009 4 11750000009587</v>
          </cell>
          <cell r="AF92" t="str">
            <v>IGREJA DO EVANGELHO QUADRANGULAR</v>
          </cell>
          <cell r="AL92">
            <v>116</v>
          </cell>
          <cell r="AM92">
            <v>1.1631739811912225</v>
          </cell>
          <cell r="AN92">
            <v>134.9281818181818</v>
          </cell>
          <cell r="AO92">
            <v>1.1068103448275861</v>
          </cell>
          <cell r="AX92">
            <v>94</v>
          </cell>
          <cell r="AY92">
            <v>1.0797678916827853</v>
          </cell>
          <cell r="AZ92">
            <v>-101.49818181818182</v>
          </cell>
          <cell r="BA92">
            <v>1.1068085106382979</v>
          </cell>
          <cell r="DZ92">
            <v>94</v>
          </cell>
          <cell r="EA92">
            <v>1.1631721470019343</v>
          </cell>
          <cell r="EB92">
            <v>-109.33818181818182</v>
          </cell>
          <cell r="EC92">
            <v>1.1068085106382979</v>
          </cell>
          <cell r="ET92">
            <v>94</v>
          </cell>
          <cell r="EX92">
            <v>106</v>
          </cell>
          <cell r="EZ92">
            <v>1.24</v>
          </cell>
          <cell r="FA92">
            <v>61.67</v>
          </cell>
          <cell r="FC92">
            <v>0.77</v>
          </cell>
          <cell r="FL92">
            <v>7.84</v>
          </cell>
          <cell r="FM92">
            <v>21.24</v>
          </cell>
          <cell r="FN92">
            <v>3.6297000000000003E-2</v>
          </cell>
          <cell r="FO92">
            <v>0.78</v>
          </cell>
          <cell r="FP92">
            <v>21.24</v>
          </cell>
          <cell r="FQ92">
            <v>7.8799999999999999E-3</v>
          </cell>
          <cell r="FR92">
            <v>0.16</v>
          </cell>
          <cell r="FS92">
            <v>25.59</v>
          </cell>
          <cell r="FT92">
            <v>0.17</v>
          </cell>
          <cell r="FU92">
            <v>4.3499999999999996</v>
          </cell>
          <cell r="GD92">
            <v>116</v>
          </cell>
          <cell r="GE92">
            <v>19637</v>
          </cell>
          <cell r="GF92">
            <v>19521</v>
          </cell>
          <cell r="GG92">
            <v>1</v>
          </cell>
          <cell r="HU92">
            <v>126</v>
          </cell>
          <cell r="HY92">
            <v>153</v>
          </cell>
          <cell r="IC92">
            <v>179</v>
          </cell>
          <cell r="IG92">
            <v>153</v>
          </cell>
          <cell r="IK92">
            <v>172</v>
          </cell>
          <cell r="IO92">
            <v>171</v>
          </cell>
          <cell r="IS92">
            <v>156</v>
          </cell>
          <cell r="IW92">
            <v>146</v>
          </cell>
        </row>
        <row r="93">
          <cell r="A93" t="str">
            <v/>
          </cell>
          <cell r="B93" t="str">
            <v>10/162736-3</v>
          </cell>
          <cell r="C93" t="str">
            <v>885</v>
          </cell>
          <cell r="F93" t="str">
            <v>energisa_ms</v>
          </cell>
          <cell r="G93" t="str">
            <v>885</v>
          </cell>
          <cell r="H93" t="str">
            <v>Igreja do Evangelho Quadrangular</v>
          </cell>
          <cell r="I93">
            <v>45839</v>
          </cell>
          <cell r="J93" t="str">
            <v>COMERCIAL - TEMPLOS RELIGIOSOS</v>
          </cell>
          <cell r="K93" t="str">
            <v>79480000</v>
          </cell>
          <cell r="L93" t="str">
            <v>MS</v>
          </cell>
          <cell r="M93" t="str">
            <v>RIO VERDE DE MATO GROSSO</v>
          </cell>
          <cell r="N93" t="str">
            <v>CENTRO</v>
          </cell>
          <cell r="O93" t="str">
            <v>RUA SANTOS DUMONT, 310 - IGREJA</v>
          </cell>
          <cell r="P93">
            <v>45856</v>
          </cell>
          <cell r="Q93" t="str">
            <v>B - B3</v>
          </cell>
          <cell r="R93" t="str">
            <v>62955505197360</v>
          </cell>
          <cell r="U93">
            <v>45825</v>
          </cell>
          <cell r="V93">
            <v>45855</v>
          </cell>
          <cell r="W93">
            <v>45884</v>
          </cell>
          <cell r="X93">
            <v>45879</v>
          </cell>
          <cell r="AA93" t="str">
            <v>011.192.750-002</v>
          </cell>
          <cell r="AB93" t="str">
            <v>trifasico</v>
          </cell>
          <cell r="AC93" t="str">
            <v>convencional</v>
          </cell>
          <cell r="AD93">
            <v>116.3</v>
          </cell>
          <cell r="AE93" t="str">
            <v>34191.09123 14680.392934 85972.140009 8 11690000011630</v>
          </cell>
          <cell r="AF93" t="str">
            <v>IGREJA DO EVANGELHO QUADRANGULAR</v>
          </cell>
          <cell r="AI93">
            <v>100</v>
          </cell>
          <cell r="AJ93">
            <v>1.1068</v>
          </cell>
          <cell r="AK93">
            <v>110.68</v>
          </cell>
          <cell r="AL93">
            <v>0</v>
          </cell>
          <cell r="AM93">
            <v>1.1068</v>
          </cell>
          <cell r="AN93">
            <v>0</v>
          </cell>
          <cell r="EX93">
            <v>164</v>
          </cell>
          <cell r="EZ93">
            <v>5.62</v>
          </cell>
          <cell r="FM93">
            <v>96.52</v>
          </cell>
          <cell r="FN93">
            <v>3.6297000000000003E-2</v>
          </cell>
          <cell r="FO93">
            <v>3.5</v>
          </cell>
          <cell r="FP93">
            <v>96.52</v>
          </cell>
          <cell r="FQ93">
            <v>7.8799999999999999E-3</v>
          </cell>
          <cell r="FR93">
            <v>0.76</v>
          </cell>
          <cell r="FS93">
            <v>116.3</v>
          </cell>
          <cell r="FT93">
            <v>0.17</v>
          </cell>
          <cell r="FU93">
            <v>19.77</v>
          </cell>
          <cell r="GD93">
            <v>75</v>
          </cell>
          <cell r="GE93">
            <v>33446</v>
          </cell>
          <cell r="GF93">
            <v>33371</v>
          </cell>
          <cell r="GG93">
            <v>1</v>
          </cell>
          <cell r="HU93">
            <v>148</v>
          </cell>
          <cell r="HY93">
            <v>314</v>
          </cell>
          <cell r="IC93">
            <v>343</v>
          </cell>
          <cell r="IG93">
            <v>477</v>
          </cell>
          <cell r="IK93">
            <v>472</v>
          </cell>
          <cell r="IO93">
            <v>332</v>
          </cell>
          <cell r="IS93">
            <v>235</v>
          </cell>
          <cell r="IW93">
            <v>184</v>
          </cell>
        </row>
        <row r="94">
          <cell r="A94" t="str">
            <v>10/1017804-4</v>
          </cell>
          <cell r="B94" t="str">
            <v>10/1017804-4</v>
          </cell>
          <cell r="F94" t="str">
            <v>energisa_ms</v>
          </cell>
          <cell r="H94" t="str">
            <v>IGREJA DO EVANGELHO QUADRANGULAR</v>
          </cell>
          <cell r="I94">
            <v>45839</v>
          </cell>
          <cell r="J94" t="str">
            <v>COMERCIAL - TEMPLOS RELIGIOSOS</v>
          </cell>
          <cell r="K94" t="str">
            <v>79920000</v>
          </cell>
          <cell r="L94" t="str">
            <v>MS</v>
          </cell>
          <cell r="M94" t="str">
            <v>LAGUNA CARAPA</v>
          </cell>
          <cell r="N94" t="str">
            <v>CENTRO</v>
          </cell>
          <cell r="O94" t="str">
            <v>RUA AIMORE DE OLIVEIRA LIMA, 835 - 14.094.85.107001</v>
          </cell>
          <cell r="P94">
            <v>45874</v>
          </cell>
          <cell r="Q94" t="str">
            <v>B - B3</v>
          </cell>
          <cell r="R94" t="str">
            <v>6X.XXX.XXX/XXX9-87</v>
          </cell>
          <cell r="U94">
            <v>45812</v>
          </cell>
          <cell r="V94">
            <v>45842</v>
          </cell>
          <cell r="W94">
            <v>45874</v>
          </cell>
          <cell r="X94">
            <v>45895</v>
          </cell>
          <cell r="AA94" t="str">
            <v>011.366.620-002</v>
          </cell>
          <cell r="AB94" t="str">
            <v>bifasico</v>
          </cell>
          <cell r="AC94" t="str">
            <v>convencional</v>
          </cell>
          <cell r="AD94">
            <v>180.84</v>
          </cell>
          <cell r="AF94" t="str">
            <v>IGREJA DO EVANGELHO QUADRANGULAR</v>
          </cell>
          <cell r="AL94">
            <v>255</v>
          </cell>
          <cell r="AM94">
            <v>1.1630235294117648</v>
          </cell>
          <cell r="AN94">
            <v>296.57100000000003</v>
          </cell>
          <cell r="AO94">
            <v>1.1068235294117648</v>
          </cell>
          <cell r="AX94">
            <v>205</v>
          </cell>
          <cell r="AY94">
            <v>1.163029268292683</v>
          </cell>
          <cell r="AZ94">
            <v>-238.42100000000002</v>
          </cell>
          <cell r="BA94">
            <v>1.106829268292683</v>
          </cell>
          <cell r="DZ94">
            <v>205</v>
          </cell>
          <cell r="EA94">
            <v>1.163029268292683</v>
          </cell>
          <cell r="EB94">
            <v>-238.42100000000002</v>
          </cell>
          <cell r="EC94">
            <v>1.106829268292683</v>
          </cell>
          <cell r="ET94">
            <v>205</v>
          </cell>
          <cell r="EX94">
            <v>350</v>
          </cell>
          <cell r="EZ94">
            <v>2.81</v>
          </cell>
          <cell r="FA94">
            <v>107.93</v>
          </cell>
          <cell r="FC94">
            <v>14.76</v>
          </cell>
          <cell r="FM94">
            <v>48.27</v>
          </cell>
          <cell r="FN94">
            <v>3.6297000000000003E-2</v>
          </cell>
          <cell r="FO94">
            <v>1.75</v>
          </cell>
          <cell r="FP94">
            <v>48.27</v>
          </cell>
          <cell r="FQ94">
            <v>7.8799999999999999E-3</v>
          </cell>
          <cell r="FR94">
            <v>0.38</v>
          </cell>
          <cell r="FS94">
            <v>58.15</v>
          </cell>
          <cell r="FT94">
            <v>0.17</v>
          </cell>
          <cell r="FU94">
            <v>9.8800000000000008</v>
          </cell>
          <cell r="GD94">
            <v>255</v>
          </cell>
          <cell r="GE94">
            <v>40897</v>
          </cell>
          <cell r="GF94">
            <v>40642</v>
          </cell>
          <cell r="GG94">
            <v>1</v>
          </cell>
          <cell r="HU94">
            <v>272</v>
          </cell>
          <cell r="HY94">
            <v>329</v>
          </cell>
          <cell r="IC94">
            <v>421</v>
          </cell>
          <cell r="IG94">
            <v>410</v>
          </cell>
          <cell r="IK94">
            <v>510</v>
          </cell>
          <cell r="IO94">
            <v>379</v>
          </cell>
          <cell r="IS94">
            <v>548</v>
          </cell>
          <cell r="IW94">
            <v>290</v>
          </cell>
        </row>
        <row r="95">
          <cell r="A95" t="str">
            <v>10/3556072-1</v>
          </cell>
          <cell r="B95" t="str">
            <v>10/3556072-1</v>
          </cell>
          <cell r="F95" t="str">
            <v>energisa_ms</v>
          </cell>
          <cell r="H95" t="str">
            <v>IGREJA DO EVANGELHO QUADRANGULAR</v>
          </cell>
          <cell r="I95">
            <v>45839</v>
          </cell>
          <cell r="J95" t="str">
            <v>RESIDENCIAL - RESIDENCIAL</v>
          </cell>
          <cell r="K95" t="str">
            <v>79240000</v>
          </cell>
          <cell r="L95" t="str">
            <v>MS</v>
          </cell>
          <cell r="M95" t="str">
            <v>JARDIM</v>
          </cell>
          <cell r="N95" t="str">
            <v>VILA ANGELICA I</v>
          </cell>
          <cell r="O95" t="str">
            <v>RUA CORUMBA, 39 - 17.047.01.501000</v>
          </cell>
          <cell r="P95">
            <v>45860</v>
          </cell>
          <cell r="Q95" t="str">
            <v>B - B1</v>
          </cell>
          <cell r="R95" t="str">
            <v>62955505016403</v>
          </cell>
          <cell r="U95">
            <v>45828</v>
          </cell>
          <cell r="V95">
            <v>45859</v>
          </cell>
          <cell r="W95">
            <v>45888</v>
          </cell>
          <cell r="X95">
            <v>45890</v>
          </cell>
          <cell r="AA95" t="str">
            <v>011.251.713-002</v>
          </cell>
          <cell r="AB95" t="str">
            <v>bifasico</v>
          </cell>
          <cell r="AC95" t="str">
            <v>convencional</v>
          </cell>
          <cell r="AD95">
            <v>98.86</v>
          </cell>
          <cell r="AE95" t="str">
            <v>34191.09123 21915.642934 85972.140009 7 11800000009886</v>
          </cell>
          <cell r="AF95" t="str">
            <v>IGREJA DO EVANGELHO QUADRANGULAR</v>
          </cell>
          <cell r="AL95">
            <v>226</v>
          </cell>
          <cell r="AM95">
            <v>1.1630494534096825</v>
          </cell>
          <cell r="AN95">
            <v>262.84917647058825</v>
          </cell>
          <cell r="AO95">
            <v>1.1068141592920353</v>
          </cell>
          <cell r="AX95">
            <v>141</v>
          </cell>
          <cell r="AY95">
            <v>1.163043804755945</v>
          </cell>
          <cell r="AZ95">
            <v>-163.98917647058826</v>
          </cell>
          <cell r="BA95">
            <v>1.1068085106382979</v>
          </cell>
          <cell r="DZ95">
            <v>141</v>
          </cell>
          <cell r="EA95">
            <v>1.163043804755945</v>
          </cell>
          <cell r="EB95">
            <v>-163.98917647058826</v>
          </cell>
          <cell r="EC95">
            <v>1.1068085106382979</v>
          </cell>
          <cell r="ET95">
            <v>141</v>
          </cell>
          <cell r="EZ95">
            <v>4.78</v>
          </cell>
          <cell r="FM95">
            <v>82.05</v>
          </cell>
          <cell r="FN95">
            <v>3.6297000000000003E-2</v>
          </cell>
          <cell r="FO95">
            <v>2.97</v>
          </cell>
          <cell r="FP95">
            <v>82.05</v>
          </cell>
          <cell r="FQ95">
            <v>7.8799999999999999E-3</v>
          </cell>
          <cell r="FR95">
            <v>0.65</v>
          </cell>
          <cell r="FS95">
            <v>98.86</v>
          </cell>
          <cell r="FT95">
            <v>0.17</v>
          </cell>
          <cell r="FU95">
            <v>16.8</v>
          </cell>
          <cell r="GD95">
            <v>226</v>
          </cell>
          <cell r="GE95">
            <v>48250</v>
          </cell>
          <cell r="GF95">
            <v>48024</v>
          </cell>
          <cell r="GG95">
            <v>1</v>
          </cell>
          <cell r="HU95">
            <v>304</v>
          </cell>
          <cell r="HY95">
            <v>263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Contatos - Ref.Jun-25"/>
      <sheetName val="Inadimplência"/>
      <sheetName val="Faturamento"/>
    </sheetNames>
    <sheetDataSet>
      <sheetData sheetId="0"/>
      <sheetData sheetId="1"/>
      <sheetData sheetId="2"/>
      <sheetData sheetId="3">
        <row r="1">
          <cell r="B1" t="str">
            <v>Instalação</v>
          </cell>
          <cell r="D1" t="str">
            <v>Referência</v>
          </cell>
          <cell r="H1" t="str">
            <v>Status Faturamento</v>
          </cell>
          <cell r="O1" t="str">
            <v>Status Pagamento</v>
          </cell>
          <cell r="P1" t="str">
            <v>Valor Pago</v>
          </cell>
        </row>
        <row r="2">
          <cell r="B2" t="str">
            <v>10/10232-7</v>
          </cell>
          <cell r="D2">
            <v>45627</v>
          </cell>
          <cell r="H2" t="str">
            <v>Não emitido</v>
          </cell>
          <cell r="O2" t="str">
            <v>Não faturado</v>
          </cell>
          <cell r="P2"/>
        </row>
        <row r="3">
          <cell r="B3" t="str">
            <v>10/1035655-8</v>
          </cell>
          <cell r="D3">
            <v>45627</v>
          </cell>
          <cell r="H3" t="str">
            <v>Não emitido</v>
          </cell>
          <cell r="O3" t="str">
            <v>Não faturado</v>
          </cell>
          <cell r="P3"/>
        </row>
        <row r="4">
          <cell r="B4" t="str">
            <v>10/1117293-9</v>
          </cell>
          <cell r="D4">
            <v>45627</v>
          </cell>
          <cell r="H4" t="str">
            <v>Não emitido</v>
          </cell>
          <cell r="O4" t="str">
            <v>Não faturado</v>
          </cell>
          <cell r="P4"/>
        </row>
        <row r="5">
          <cell r="B5" t="str">
            <v>10/113971-6</v>
          </cell>
          <cell r="D5">
            <v>45627</v>
          </cell>
          <cell r="H5" t="str">
            <v>Não emitido</v>
          </cell>
          <cell r="O5" t="str">
            <v>Não faturado</v>
          </cell>
          <cell r="P5"/>
        </row>
        <row r="6">
          <cell r="B6" t="str">
            <v>10/1184751-4</v>
          </cell>
          <cell r="D6">
            <v>45627</v>
          </cell>
          <cell r="H6" t="str">
            <v>Não emitido</v>
          </cell>
          <cell r="O6" t="str">
            <v>Não faturado</v>
          </cell>
          <cell r="P6"/>
        </row>
        <row r="7">
          <cell r="B7" t="str">
            <v>10/135237-6</v>
          </cell>
          <cell r="D7">
            <v>45627</v>
          </cell>
          <cell r="H7" t="str">
            <v>Não emitido</v>
          </cell>
          <cell r="O7" t="str">
            <v>Não faturado</v>
          </cell>
          <cell r="P7"/>
        </row>
        <row r="8">
          <cell r="B8" t="str">
            <v>10/1548741-6</v>
          </cell>
          <cell r="D8">
            <v>45627</v>
          </cell>
          <cell r="H8" t="str">
            <v>Não emitido</v>
          </cell>
          <cell r="O8" t="str">
            <v>Não faturado</v>
          </cell>
          <cell r="P8"/>
        </row>
        <row r="9">
          <cell r="B9" t="str">
            <v>10/156956-5</v>
          </cell>
          <cell r="D9">
            <v>45627</v>
          </cell>
          <cell r="H9" t="str">
            <v>Não emitido</v>
          </cell>
          <cell r="O9" t="str">
            <v>Não faturado</v>
          </cell>
          <cell r="P9"/>
        </row>
        <row r="10">
          <cell r="B10" t="str">
            <v>10/2794432-1</v>
          </cell>
          <cell r="D10">
            <v>45627</v>
          </cell>
          <cell r="H10" t="str">
            <v>Não emitido</v>
          </cell>
          <cell r="O10" t="str">
            <v>Não faturado</v>
          </cell>
          <cell r="P10"/>
        </row>
        <row r="11">
          <cell r="B11" t="str">
            <v>10/162736-3</v>
          </cell>
          <cell r="D11">
            <v>45627</v>
          </cell>
          <cell r="H11" t="str">
            <v>Não emitido</v>
          </cell>
          <cell r="O11" t="str">
            <v>Não faturado</v>
          </cell>
          <cell r="P11"/>
        </row>
        <row r="12">
          <cell r="B12" t="str">
            <v>10/1672452-8</v>
          </cell>
          <cell r="D12">
            <v>45627</v>
          </cell>
          <cell r="H12" t="str">
            <v>Não emitido</v>
          </cell>
          <cell r="O12" t="str">
            <v>Não faturado</v>
          </cell>
          <cell r="P12"/>
        </row>
        <row r="13">
          <cell r="B13" t="str">
            <v>10/1695011-5</v>
          </cell>
          <cell r="D13">
            <v>45627</v>
          </cell>
          <cell r="H13" t="str">
            <v>Não emitido</v>
          </cell>
          <cell r="O13" t="str">
            <v>Não faturado</v>
          </cell>
          <cell r="P13"/>
        </row>
        <row r="14">
          <cell r="B14" t="str">
            <v>10/1698130-0</v>
          </cell>
          <cell r="D14">
            <v>45627</v>
          </cell>
          <cell r="H14" t="str">
            <v>Não emitido</v>
          </cell>
          <cell r="O14" t="str">
            <v>Não faturado</v>
          </cell>
          <cell r="P14"/>
        </row>
        <row r="15">
          <cell r="B15" t="str">
            <v>10/18015-8</v>
          </cell>
          <cell r="D15">
            <v>45627</v>
          </cell>
          <cell r="H15" t="str">
            <v>Não emitido</v>
          </cell>
          <cell r="O15" t="str">
            <v>Não faturado</v>
          </cell>
          <cell r="P15"/>
        </row>
        <row r="16">
          <cell r="B16" t="str">
            <v>10/191945-5</v>
          </cell>
          <cell r="D16">
            <v>45627</v>
          </cell>
          <cell r="H16" t="str">
            <v>Não emitido</v>
          </cell>
          <cell r="O16" t="str">
            <v>Não faturado</v>
          </cell>
          <cell r="P16"/>
        </row>
        <row r="17">
          <cell r="B17" t="str">
            <v>10/1939035-0</v>
          </cell>
          <cell r="D17">
            <v>45627</v>
          </cell>
          <cell r="H17" t="str">
            <v>Não emitido</v>
          </cell>
          <cell r="O17" t="str">
            <v>Não faturado</v>
          </cell>
          <cell r="P17"/>
        </row>
        <row r="18">
          <cell r="B18" t="str">
            <v>10/202838-9</v>
          </cell>
          <cell r="D18">
            <v>45627</v>
          </cell>
          <cell r="H18" t="str">
            <v>Não emitido</v>
          </cell>
          <cell r="O18" t="str">
            <v>Não faturado</v>
          </cell>
          <cell r="P18"/>
        </row>
        <row r="19">
          <cell r="B19" t="str">
            <v>10/218777-1</v>
          </cell>
          <cell r="D19">
            <v>45627</v>
          </cell>
          <cell r="H19" t="str">
            <v>Não emitido</v>
          </cell>
          <cell r="O19" t="str">
            <v>Não faturado</v>
          </cell>
          <cell r="P19"/>
        </row>
        <row r="20">
          <cell r="B20" t="str">
            <v>10/226667-4</v>
          </cell>
          <cell r="D20">
            <v>45627</v>
          </cell>
          <cell r="H20" t="str">
            <v>Não emitido</v>
          </cell>
          <cell r="O20" t="str">
            <v>Não faturado</v>
          </cell>
          <cell r="P20"/>
        </row>
        <row r="21">
          <cell r="B21" t="str">
            <v>10/237441-1</v>
          </cell>
          <cell r="D21">
            <v>45627</v>
          </cell>
          <cell r="H21" t="str">
            <v>Não emitido</v>
          </cell>
          <cell r="O21" t="str">
            <v>Não faturado</v>
          </cell>
          <cell r="P21"/>
        </row>
        <row r="22">
          <cell r="B22" t="str">
            <v>10/257864-9</v>
          </cell>
          <cell r="D22">
            <v>45627</v>
          </cell>
          <cell r="H22" t="str">
            <v>Não emitido</v>
          </cell>
          <cell r="O22" t="str">
            <v>Não faturado</v>
          </cell>
          <cell r="P22"/>
        </row>
        <row r="23">
          <cell r="B23" t="str">
            <v>10/2599101-9</v>
          </cell>
          <cell r="D23">
            <v>45627</v>
          </cell>
          <cell r="H23" t="str">
            <v>Não emitido</v>
          </cell>
          <cell r="O23" t="str">
            <v>Não faturado</v>
          </cell>
          <cell r="P23"/>
        </row>
        <row r="24">
          <cell r="B24" t="str">
            <v>10/2605731-5</v>
          </cell>
          <cell r="D24">
            <v>45627</v>
          </cell>
          <cell r="H24" t="str">
            <v>Não emitido</v>
          </cell>
          <cell r="O24" t="str">
            <v>Não faturado</v>
          </cell>
          <cell r="P24"/>
        </row>
        <row r="25">
          <cell r="B25" t="str">
            <v>10/276283-9</v>
          </cell>
          <cell r="D25">
            <v>45627</v>
          </cell>
          <cell r="H25" t="str">
            <v>Não emitido</v>
          </cell>
          <cell r="O25" t="str">
            <v>Não faturado</v>
          </cell>
          <cell r="P25"/>
        </row>
        <row r="26">
          <cell r="B26" t="str">
            <v>10/29964-4</v>
          </cell>
          <cell r="D26">
            <v>45627</v>
          </cell>
          <cell r="H26" t="str">
            <v>Não emitido</v>
          </cell>
          <cell r="O26" t="str">
            <v>Não faturado</v>
          </cell>
          <cell r="P26"/>
        </row>
        <row r="27">
          <cell r="B27" t="str">
            <v>10/3005226-0</v>
          </cell>
          <cell r="D27">
            <v>45627</v>
          </cell>
          <cell r="H27" t="str">
            <v>Não emitido</v>
          </cell>
          <cell r="O27" t="str">
            <v>Não faturado</v>
          </cell>
          <cell r="P27"/>
        </row>
        <row r="28">
          <cell r="B28" t="str">
            <v>10/3030784-7</v>
          </cell>
          <cell r="D28">
            <v>45627</v>
          </cell>
          <cell r="H28" t="str">
            <v>Não emitido</v>
          </cell>
          <cell r="O28" t="str">
            <v>Não faturado</v>
          </cell>
          <cell r="P28"/>
        </row>
        <row r="29">
          <cell r="B29" t="str">
            <v>10/3092868-3</v>
          </cell>
          <cell r="D29">
            <v>45627</v>
          </cell>
          <cell r="H29" t="str">
            <v>Não emitido</v>
          </cell>
          <cell r="O29" t="str">
            <v>Não faturado</v>
          </cell>
          <cell r="P29"/>
        </row>
        <row r="30">
          <cell r="B30" t="str">
            <v>10/3214521-1</v>
          </cell>
          <cell r="D30">
            <v>45627</v>
          </cell>
          <cell r="H30" t="str">
            <v>Não emitido</v>
          </cell>
          <cell r="O30" t="str">
            <v>Não faturado</v>
          </cell>
          <cell r="P30"/>
        </row>
        <row r="31">
          <cell r="B31" t="str">
            <v>10/364440-8</v>
          </cell>
          <cell r="D31">
            <v>45627</v>
          </cell>
          <cell r="H31" t="str">
            <v>Não emitido</v>
          </cell>
          <cell r="O31" t="str">
            <v>Não faturado</v>
          </cell>
          <cell r="P31"/>
        </row>
        <row r="32">
          <cell r="B32" t="str">
            <v>10/384823-1</v>
          </cell>
          <cell r="D32">
            <v>45627</v>
          </cell>
          <cell r="H32" t="str">
            <v>Não emitido</v>
          </cell>
          <cell r="O32" t="str">
            <v>Não faturado</v>
          </cell>
          <cell r="P32"/>
        </row>
        <row r="33">
          <cell r="B33" t="str">
            <v>10/452884-0</v>
          </cell>
          <cell r="D33">
            <v>45627</v>
          </cell>
          <cell r="H33" t="str">
            <v>Não emitido</v>
          </cell>
          <cell r="O33" t="str">
            <v>Não faturado</v>
          </cell>
          <cell r="P33"/>
        </row>
        <row r="34">
          <cell r="B34" t="str">
            <v>10/501586-2</v>
          </cell>
          <cell r="D34">
            <v>45627</v>
          </cell>
          <cell r="H34" t="str">
            <v>Não emitido</v>
          </cell>
          <cell r="O34" t="str">
            <v>Não faturado</v>
          </cell>
          <cell r="P34"/>
        </row>
        <row r="35">
          <cell r="B35" t="str">
            <v>10/510330-4</v>
          </cell>
          <cell r="D35">
            <v>45627</v>
          </cell>
          <cell r="H35" t="str">
            <v>Não emitido</v>
          </cell>
          <cell r="O35" t="str">
            <v>Não faturado</v>
          </cell>
          <cell r="P35"/>
        </row>
        <row r="36">
          <cell r="B36" t="str">
            <v>10/511753-6</v>
          </cell>
          <cell r="D36">
            <v>45627</v>
          </cell>
          <cell r="H36" t="str">
            <v>Não emitido</v>
          </cell>
          <cell r="O36" t="str">
            <v>Não faturado</v>
          </cell>
          <cell r="P36"/>
        </row>
        <row r="37">
          <cell r="B37" t="str">
            <v>10/513413-5</v>
          </cell>
          <cell r="D37">
            <v>45627</v>
          </cell>
          <cell r="H37" t="str">
            <v>Não emitido</v>
          </cell>
          <cell r="O37" t="str">
            <v>Não faturado</v>
          </cell>
          <cell r="P37"/>
        </row>
        <row r="38">
          <cell r="B38" t="str">
            <v>10/5202-7</v>
          </cell>
          <cell r="D38">
            <v>45627</v>
          </cell>
          <cell r="H38" t="str">
            <v>Não emitido</v>
          </cell>
          <cell r="O38" t="str">
            <v>Não faturado</v>
          </cell>
          <cell r="P38"/>
        </row>
        <row r="39">
          <cell r="B39" t="str">
            <v>10/532081-7</v>
          </cell>
          <cell r="D39">
            <v>45627</v>
          </cell>
          <cell r="H39" t="str">
            <v>Não emitido</v>
          </cell>
          <cell r="O39" t="str">
            <v>Não faturado</v>
          </cell>
          <cell r="P39"/>
        </row>
        <row r="40">
          <cell r="B40" t="str">
            <v>10/532723-4</v>
          </cell>
          <cell r="D40">
            <v>45627</v>
          </cell>
          <cell r="H40" t="str">
            <v>Não emitido</v>
          </cell>
          <cell r="O40" t="str">
            <v>Não faturado</v>
          </cell>
          <cell r="P40"/>
        </row>
        <row r="41">
          <cell r="B41" t="str">
            <v>10/931327-1</v>
          </cell>
          <cell r="D41">
            <v>45627</v>
          </cell>
          <cell r="H41" t="str">
            <v>Não emitido</v>
          </cell>
          <cell r="O41" t="str">
            <v>Não faturado</v>
          </cell>
          <cell r="P41"/>
        </row>
        <row r="42">
          <cell r="B42" t="str">
            <v>10/987178-1</v>
          </cell>
          <cell r="D42">
            <v>45627</v>
          </cell>
          <cell r="H42" t="str">
            <v>Não emitido</v>
          </cell>
          <cell r="O42" t="str">
            <v>Não faturado</v>
          </cell>
          <cell r="P42"/>
        </row>
        <row r="43">
          <cell r="B43" t="str">
            <v>10/104720-8</v>
          </cell>
          <cell r="D43">
            <v>45627</v>
          </cell>
          <cell r="H43" t="str">
            <v>Não emitido</v>
          </cell>
          <cell r="O43" t="str">
            <v>Não faturado</v>
          </cell>
          <cell r="P43"/>
        </row>
        <row r="44">
          <cell r="B44" t="str">
            <v>10/150263-2</v>
          </cell>
          <cell r="D44">
            <v>45627</v>
          </cell>
          <cell r="H44" t="str">
            <v>Não emitido</v>
          </cell>
          <cell r="O44" t="str">
            <v>Não faturado</v>
          </cell>
          <cell r="P44"/>
        </row>
        <row r="45">
          <cell r="B45" t="str">
            <v>10/10232-7</v>
          </cell>
          <cell r="D45">
            <v>45658</v>
          </cell>
          <cell r="H45" t="str">
            <v>Aprovado</v>
          </cell>
          <cell r="O45" t="str">
            <v>Pago</v>
          </cell>
          <cell r="P45">
            <v>35.96</v>
          </cell>
        </row>
        <row r="46">
          <cell r="B46" t="str">
            <v>10/1035655-8</v>
          </cell>
          <cell r="D46">
            <v>45658</v>
          </cell>
          <cell r="H46" t="str">
            <v>Aprovado</v>
          </cell>
          <cell r="O46" t="str">
            <v>Pago</v>
          </cell>
          <cell r="P46">
            <v>378.4</v>
          </cell>
        </row>
        <row r="47">
          <cell r="B47" t="str">
            <v>10/1117293-9</v>
          </cell>
          <cell r="D47">
            <v>45658</v>
          </cell>
          <cell r="H47" t="str">
            <v>Aprovado</v>
          </cell>
          <cell r="O47" t="str">
            <v>Atrasado</v>
          </cell>
          <cell r="P47">
            <v>0</v>
          </cell>
        </row>
        <row r="48">
          <cell r="B48" t="str">
            <v>10/113971-6</v>
          </cell>
          <cell r="D48">
            <v>45658</v>
          </cell>
          <cell r="H48" t="str">
            <v>Aprovado</v>
          </cell>
          <cell r="O48" t="str">
            <v>Pago</v>
          </cell>
          <cell r="P48">
            <v>102.98</v>
          </cell>
        </row>
        <row r="49">
          <cell r="B49" t="str">
            <v>10/1184751-4</v>
          </cell>
          <cell r="D49">
            <v>45658</v>
          </cell>
          <cell r="H49" t="str">
            <v>Aprovado</v>
          </cell>
          <cell r="O49" t="str">
            <v>Pago</v>
          </cell>
          <cell r="P49">
            <v>56.93</v>
          </cell>
        </row>
        <row r="50">
          <cell r="B50" t="str">
            <v>10/135237-6</v>
          </cell>
          <cell r="D50">
            <v>45658</v>
          </cell>
          <cell r="H50" t="str">
            <v>Não emitido</v>
          </cell>
          <cell r="O50" t="str">
            <v>Não faturado</v>
          </cell>
          <cell r="P50"/>
        </row>
        <row r="51">
          <cell r="B51" t="str">
            <v>10/1548741-6</v>
          </cell>
          <cell r="D51">
            <v>45658</v>
          </cell>
          <cell r="H51" t="str">
            <v>Aprovado</v>
          </cell>
          <cell r="O51" t="str">
            <v>Pago</v>
          </cell>
          <cell r="P51">
            <v>119.45</v>
          </cell>
        </row>
        <row r="52">
          <cell r="B52" t="str">
            <v>10/156956-5</v>
          </cell>
          <cell r="D52">
            <v>45658</v>
          </cell>
          <cell r="H52" t="str">
            <v>Aprovado</v>
          </cell>
          <cell r="O52" t="str">
            <v>Pago</v>
          </cell>
          <cell r="P52">
            <v>247.8</v>
          </cell>
        </row>
        <row r="53">
          <cell r="B53" t="str">
            <v>10/2794432-1</v>
          </cell>
          <cell r="D53">
            <v>45658</v>
          </cell>
          <cell r="H53" t="str">
            <v>Aprovado</v>
          </cell>
          <cell r="O53" t="str">
            <v>Pago</v>
          </cell>
          <cell r="P53">
            <v>120.82</v>
          </cell>
        </row>
        <row r="54">
          <cell r="B54" t="str">
            <v>10/162736-3</v>
          </cell>
          <cell r="D54">
            <v>45658</v>
          </cell>
          <cell r="H54" t="str">
            <v>Aprovado</v>
          </cell>
          <cell r="O54" t="str">
            <v>Atrasado</v>
          </cell>
          <cell r="P54">
            <v>0</v>
          </cell>
        </row>
        <row r="55">
          <cell r="B55" t="str">
            <v>10/1672452-8</v>
          </cell>
          <cell r="D55">
            <v>45658</v>
          </cell>
          <cell r="H55" t="str">
            <v>Aprovado</v>
          </cell>
          <cell r="O55" t="str">
            <v>Pago</v>
          </cell>
          <cell r="P55">
            <v>183.35</v>
          </cell>
        </row>
        <row r="56">
          <cell r="B56" t="str">
            <v>10/1695011-5</v>
          </cell>
          <cell r="D56">
            <v>45658</v>
          </cell>
          <cell r="H56" t="str">
            <v>Aprovado</v>
          </cell>
          <cell r="O56" t="str">
            <v>Pago</v>
          </cell>
          <cell r="P56">
            <v>205.95</v>
          </cell>
        </row>
        <row r="57">
          <cell r="B57" t="str">
            <v>10/1698130-0</v>
          </cell>
          <cell r="D57">
            <v>45658</v>
          </cell>
          <cell r="H57" t="str">
            <v>Aprovado</v>
          </cell>
          <cell r="O57" t="str">
            <v>Pago</v>
          </cell>
          <cell r="P57">
            <v>200.09</v>
          </cell>
        </row>
        <row r="58">
          <cell r="B58" t="str">
            <v>10/18015-8</v>
          </cell>
          <cell r="D58">
            <v>45658</v>
          </cell>
          <cell r="H58" t="str">
            <v>Aprovado</v>
          </cell>
          <cell r="O58" t="str">
            <v>Pago</v>
          </cell>
          <cell r="P58">
            <v>940.03</v>
          </cell>
        </row>
        <row r="59">
          <cell r="B59" t="str">
            <v>10/191945-5</v>
          </cell>
          <cell r="D59">
            <v>45658</v>
          </cell>
          <cell r="H59" t="str">
            <v>Aprovado</v>
          </cell>
          <cell r="O59" t="str">
            <v>Pago</v>
          </cell>
          <cell r="P59">
            <v>584.37</v>
          </cell>
        </row>
        <row r="60">
          <cell r="B60" t="str">
            <v>10/1939035-0</v>
          </cell>
          <cell r="D60">
            <v>45658</v>
          </cell>
          <cell r="H60" t="str">
            <v>Aprovado</v>
          </cell>
          <cell r="O60" t="str">
            <v>Pago</v>
          </cell>
          <cell r="P60">
            <v>281.29000000000002</v>
          </cell>
        </row>
        <row r="61">
          <cell r="B61" t="str">
            <v>10/202838-9</v>
          </cell>
          <cell r="D61">
            <v>45658</v>
          </cell>
          <cell r="H61" t="str">
            <v>Aprovado</v>
          </cell>
          <cell r="O61" t="str">
            <v>Pago</v>
          </cell>
          <cell r="P61">
            <v>308.93</v>
          </cell>
        </row>
        <row r="62">
          <cell r="B62" t="str">
            <v>10/218777-1</v>
          </cell>
          <cell r="D62">
            <v>45658</v>
          </cell>
          <cell r="H62" t="str">
            <v>Aprovado</v>
          </cell>
          <cell r="O62" t="str">
            <v>Pago</v>
          </cell>
          <cell r="P62">
            <v>82.04</v>
          </cell>
        </row>
        <row r="63">
          <cell r="B63" t="str">
            <v>10/226667-4</v>
          </cell>
          <cell r="D63">
            <v>45658</v>
          </cell>
          <cell r="H63" t="str">
            <v>Aprovado</v>
          </cell>
          <cell r="O63" t="str">
            <v>Pago</v>
          </cell>
          <cell r="P63">
            <v>113.02</v>
          </cell>
        </row>
        <row r="64">
          <cell r="B64" t="str">
            <v>10/237441-1</v>
          </cell>
          <cell r="D64">
            <v>45658</v>
          </cell>
          <cell r="H64" t="str">
            <v>Aprovado</v>
          </cell>
          <cell r="O64" t="str">
            <v>Pago</v>
          </cell>
          <cell r="P64">
            <v>141.47999999999999</v>
          </cell>
        </row>
        <row r="65">
          <cell r="B65" t="str">
            <v>10/257864-9</v>
          </cell>
          <cell r="D65">
            <v>45658</v>
          </cell>
          <cell r="H65" t="str">
            <v>Aprovado</v>
          </cell>
          <cell r="O65" t="str">
            <v>Atrasado</v>
          </cell>
          <cell r="P65">
            <v>0</v>
          </cell>
        </row>
        <row r="66">
          <cell r="B66" t="str">
            <v>10/2599101-9</v>
          </cell>
          <cell r="D66">
            <v>45658</v>
          </cell>
          <cell r="H66" t="str">
            <v>Aprovado</v>
          </cell>
          <cell r="O66" t="str">
            <v>Pago</v>
          </cell>
          <cell r="P66">
            <v>412.73</v>
          </cell>
        </row>
        <row r="67">
          <cell r="B67" t="str">
            <v>10/2605731-5</v>
          </cell>
          <cell r="D67">
            <v>45658</v>
          </cell>
          <cell r="H67" t="str">
            <v>Aprovado</v>
          </cell>
          <cell r="O67" t="str">
            <v>Pago</v>
          </cell>
          <cell r="P67">
            <v>1307.25</v>
          </cell>
        </row>
        <row r="68">
          <cell r="B68" t="str">
            <v>10/276283-9</v>
          </cell>
          <cell r="D68">
            <v>45658</v>
          </cell>
          <cell r="H68" t="str">
            <v>Aprovado</v>
          </cell>
          <cell r="O68" t="str">
            <v>Pago</v>
          </cell>
          <cell r="P68">
            <v>460.94</v>
          </cell>
        </row>
        <row r="69">
          <cell r="B69" t="str">
            <v>10/29964-4</v>
          </cell>
          <cell r="D69">
            <v>45658</v>
          </cell>
          <cell r="H69" t="str">
            <v>Aprovado</v>
          </cell>
          <cell r="O69" t="str">
            <v>Pago</v>
          </cell>
          <cell r="P69">
            <v>457.94</v>
          </cell>
        </row>
        <row r="70">
          <cell r="B70" t="str">
            <v>10/3005226-0</v>
          </cell>
          <cell r="D70">
            <v>45658</v>
          </cell>
          <cell r="H70" t="str">
            <v>Não emitido</v>
          </cell>
          <cell r="O70" t="str">
            <v>Não faturado</v>
          </cell>
          <cell r="P70"/>
        </row>
        <row r="71">
          <cell r="B71" t="str">
            <v>10/3030784-7</v>
          </cell>
          <cell r="D71">
            <v>45658</v>
          </cell>
          <cell r="H71" t="str">
            <v>Aprovado</v>
          </cell>
          <cell r="O71" t="str">
            <v>Pago</v>
          </cell>
          <cell r="P71">
            <v>372.55</v>
          </cell>
        </row>
        <row r="72">
          <cell r="B72" t="str">
            <v>10/3092868-3</v>
          </cell>
          <cell r="D72">
            <v>45658</v>
          </cell>
          <cell r="H72" t="str">
            <v>Aprovado</v>
          </cell>
          <cell r="O72" t="str">
            <v>Pago</v>
          </cell>
          <cell r="P72">
            <v>205.95</v>
          </cell>
        </row>
        <row r="73">
          <cell r="B73" t="str">
            <v>10/3214521-1</v>
          </cell>
          <cell r="D73">
            <v>45658</v>
          </cell>
          <cell r="H73" t="str">
            <v>Não emitido</v>
          </cell>
          <cell r="O73" t="str">
            <v>Não faturado</v>
          </cell>
          <cell r="P73"/>
        </row>
        <row r="74">
          <cell r="B74" t="str">
            <v>10/364440-8</v>
          </cell>
          <cell r="D74">
            <v>45658</v>
          </cell>
          <cell r="H74" t="str">
            <v>Aprovado</v>
          </cell>
          <cell r="O74" t="str">
            <v>Pago</v>
          </cell>
          <cell r="P74">
            <v>2066.21</v>
          </cell>
        </row>
        <row r="75">
          <cell r="B75" t="str">
            <v>10/384823-1</v>
          </cell>
          <cell r="D75">
            <v>45658</v>
          </cell>
          <cell r="H75" t="str">
            <v>Aprovado</v>
          </cell>
          <cell r="O75" t="str">
            <v>Pago</v>
          </cell>
          <cell r="P75">
            <v>46.04</v>
          </cell>
        </row>
        <row r="76">
          <cell r="B76" t="str">
            <v>10/452884-0</v>
          </cell>
          <cell r="D76">
            <v>45658</v>
          </cell>
          <cell r="H76" t="str">
            <v>Aprovado</v>
          </cell>
          <cell r="O76" t="str">
            <v>Pago</v>
          </cell>
          <cell r="P76">
            <v>127.09</v>
          </cell>
        </row>
        <row r="77">
          <cell r="B77" t="str">
            <v>10/501586-2</v>
          </cell>
          <cell r="D77">
            <v>45658</v>
          </cell>
          <cell r="H77" t="str">
            <v>Aprovado</v>
          </cell>
          <cell r="O77" t="str">
            <v>Pago</v>
          </cell>
          <cell r="P77">
            <v>41.86</v>
          </cell>
        </row>
        <row r="78">
          <cell r="B78" t="str">
            <v>10/510330-4</v>
          </cell>
          <cell r="D78">
            <v>45658</v>
          </cell>
          <cell r="H78" t="str">
            <v>Aprovado</v>
          </cell>
          <cell r="O78" t="str">
            <v>Pago</v>
          </cell>
          <cell r="P78">
            <v>205.95</v>
          </cell>
        </row>
        <row r="79">
          <cell r="B79" t="str">
            <v>10/511753-6</v>
          </cell>
          <cell r="D79">
            <v>45658</v>
          </cell>
          <cell r="H79" t="str">
            <v>Aprovado</v>
          </cell>
          <cell r="O79" t="str">
            <v>Pago</v>
          </cell>
          <cell r="P79">
            <v>168.27</v>
          </cell>
        </row>
        <row r="80">
          <cell r="B80" t="str">
            <v>10/513413-5</v>
          </cell>
          <cell r="D80">
            <v>45658</v>
          </cell>
          <cell r="H80" t="str">
            <v>Aprovado</v>
          </cell>
          <cell r="O80" t="str">
            <v>Pago</v>
          </cell>
          <cell r="P80">
            <v>205.95</v>
          </cell>
        </row>
        <row r="81">
          <cell r="B81" t="str">
            <v>10/5202-7</v>
          </cell>
          <cell r="D81">
            <v>45658</v>
          </cell>
          <cell r="H81" t="str">
            <v>Aprovado</v>
          </cell>
          <cell r="O81" t="str">
            <v>Pago</v>
          </cell>
          <cell r="P81">
            <v>1032.26</v>
          </cell>
        </row>
        <row r="82">
          <cell r="B82" t="str">
            <v>10/532081-7</v>
          </cell>
          <cell r="D82">
            <v>45658</v>
          </cell>
          <cell r="H82" t="str">
            <v>Aprovado</v>
          </cell>
          <cell r="O82" t="str">
            <v>Atrasado</v>
          </cell>
          <cell r="P82">
            <v>0</v>
          </cell>
        </row>
        <row r="83">
          <cell r="B83" t="str">
            <v>10/532723-4</v>
          </cell>
          <cell r="D83">
            <v>45658</v>
          </cell>
          <cell r="H83" t="str">
            <v>Aprovado</v>
          </cell>
          <cell r="O83" t="str">
            <v>Pago</v>
          </cell>
          <cell r="P83">
            <v>287.42</v>
          </cell>
        </row>
        <row r="84">
          <cell r="B84" t="str">
            <v>10/931327-1</v>
          </cell>
          <cell r="D84">
            <v>45658</v>
          </cell>
          <cell r="H84" t="str">
            <v>Aprovado</v>
          </cell>
          <cell r="O84" t="str">
            <v>Pago</v>
          </cell>
          <cell r="P84">
            <v>226.04</v>
          </cell>
        </row>
        <row r="85">
          <cell r="B85" t="str">
            <v>10/987178-1</v>
          </cell>
          <cell r="D85">
            <v>45658</v>
          </cell>
          <cell r="H85" t="str">
            <v>Aprovado</v>
          </cell>
          <cell r="O85" t="str">
            <v>Pago</v>
          </cell>
          <cell r="P85">
            <v>10.039999999999999</v>
          </cell>
        </row>
        <row r="86">
          <cell r="B86" t="str">
            <v>10/104720-8</v>
          </cell>
          <cell r="D86">
            <v>45658</v>
          </cell>
          <cell r="H86" t="str">
            <v>Não emitido</v>
          </cell>
          <cell r="O86" t="str">
            <v>Não faturado</v>
          </cell>
          <cell r="P86"/>
        </row>
        <row r="87">
          <cell r="B87" t="str">
            <v>10/150263-2</v>
          </cell>
          <cell r="D87">
            <v>45658</v>
          </cell>
          <cell r="H87" t="str">
            <v>Não emitido</v>
          </cell>
          <cell r="O87" t="str">
            <v>Não faturado</v>
          </cell>
          <cell r="P87"/>
        </row>
        <row r="88">
          <cell r="B88" t="str">
            <v>10/10731-8</v>
          </cell>
          <cell r="D88">
            <v>45658</v>
          </cell>
          <cell r="H88" t="str">
            <v>Não emitido</v>
          </cell>
          <cell r="O88" t="str">
            <v>Não faturado</v>
          </cell>
          <cell r="P88"/>
        </row>
        <row r="89">
          <cell r="B89" t="str">
            <v>10/1081489-5</v>
          </cell>
          <cell r="D89">
            <v>45658</v>
          </cell>
          <cell r="H89" t="str">
            <v>Aprovado</v>
          </cell>
          <cell r="O89" t="str">
            <v>Pago</v>
          </cell>
          <cell r="P89">
            <v>342.41</v>
          </cell>
        </row>
        <row r="90">
          <cell r="B90" t="str">
            <v>10/109074-5</v>
          </cell>
          <cell r="D90">
            <v>45658</v>
          </cell>
          <cell r="H90" t="str">
            <v>Aprovado</v>
          </cell>
          <cell r="O90" t="str">
            <v>Pago</v>
          </cell>
          <cell r="P90">
            <v>113.86</v>
          </cell>
        </row>
        <row r="91">
          <cell r="B91" t="str">
            <v>10/1130988-7</v>
          </cell>
          <cell r="D91">
            <v>45658</v>
          </cell>
          <cell r="H91" t="str">
            <v>Aprovado</v>
          </cell>
          <cell r="O91" t="str">
            <v>Pago</v>
          </cell>
          <cell r="P91">
            <v>99.98</v>
          </cell>
        </row>
        <row r="92">
          <cell r="B92" t="str">
            <v>10/1266128-6</v>
          </cell>
          <cell r="D92">
            <v>45658</v>
          </cell>
          <cell r="H92" t="str">
            <v>Aprovado</v>
          </cell>
          <cell r="O92" t="str">
            <v>Pago</v>
          </cell>
          <cell r="P92">
            <v>202.89</v>
          </cell>
        </row>
        <row r="93">
          <cell r="B93" t="str">
            <v>10/127464-6</v>
          </cell>
          <cell r="D93">
            <v>45658</v>
          </cell>
          <cell r="H93" t="str">
            <v>Aprovado</v>
          </cell>
          <cell r="O93" t="str">
            <v>Pago</v>
          </cell>
          <cell r="P93">
            <v>228.56</v>
          </cell>
        </row>
        <row r="94">
          <cell r="B94" t="str">
            <v>10/1288241-1</v>
          </cell>
          <cell r="D94">
            <v>45658</v>
          </cell>
          <cell r="H94" t="str">
            <v>Aprovado</v>
          </cell>
          <cell r="O94" t="str">
            <v>Pago</v>
          </cell>
          <cell r="P94">
            <v>87.9</v>
          </cell>
        </row>
        <row r="95">
          <cell r="B95" t="str">
            <v>10/129490-9</v>
          </cell>
          <cell r="D95">
            <v>45658</v>
          </cell>
          <cell r="H95" t="str">
            <v>Aprovado</v>
          </cell>
          <cell r="O95" t="str">
            <v>Pago</v>
          </cell>
          <cell r="P95">
            <v>101.08</v>
          </cell>
        </row>
        <row r="96">
          <cell r="B96" t="str">
            <v>10/13786-9</v>
          </cell>
          <cell r="D96">
            <v>45658</v>
          </cell>
          <cell r="H96" t="str">
            <v>Aprovado</v>
          </cell>
          <cell r="O96" t="str">
            <v>Pago</v>
          </cell>
          <cell r="P96">
            <v>101.69</v>
          </cell>
        </row>
        <row r="97">
          <cell r="B97" t="str">
            <v>10/142353-2</v>
          </cell>
          <cell r="D97">
            <v>45658</v>
          </cell>
          <cell r="H97" t="str">
            <v>Aprovado</v>
          </cell>
          <cell r="O97" t="str">
            <v>Pago</v>
          </cell>
          <cell r="P97">
            <v>305.83</v>
          </cell>
        </row>
        <row r="98">
          <cell r="B98" t="str">
            <v>10/15297-5</v>
          </cell>
          <cell r="D98">
            <v>45658</v>
          </cell>
          <cell r="H98" t="str">
            <v>Aprovado</v>
          </cell>
          <cell r="O98" t="str">
            <v>Pago</v>
          </cell>
          <cell r="P98">
            <v>306.33</v>
          </cell>
        </row>
        <row r="99">
          <cell r="B99" t="str">
            <v>10/1674177-9</v>
          </cell>
          <cell r="D99">
            <v>45658</v>
          </cell>
          <cell r="H99" t="str">
            <v>Aprovado</v>
          </cell>
          <cell r="O99" t="str">
            <v>Pago</v>
          </cell>
          <cell r="P99">
            <v>102.86</v>
          </cell>
        </row>
        <row r="100">
          <cell r="B100" t="str">
            <v>10/175073-6</v>
          </cell>
          <cell r="D100">
            <v>45658</v>
          </cell>
          <cell r="H100" t="str">
            <v>Aprovado</v>
          </cell>
          <cell r="O100" t="str">
            <v>Atrasado</v>
          </cell>
          <cell r="P100">
            <v>0</v>
          </cell>
        </row>
        <row r="101">
          <cell r="B101" t="str">
            <v>10/2247256-7</v>
          </cell>
          <cell r="D101">
            <v>45658</v>
          </cell>
          <cell r="H101" t="str">
            <v>Aprovado</v>
          </cell>
          <cell r="O101" t="str">
            <v>Atrasado</v>
          </cell>
          <cell r="P101">
            <v>0</v>
          </cell>
        </row>
        <row r="102">
          <cell r="B102" t="str">
            <v>10/239312-2</v>
          </cell>
          <cell r="D102">
            <v>45658</v>
          </cell>
          <cell r="H102" t="str">
            <v>Aprovado</v>
          </cell>
          <cell r="O102" t="str">
            <v>Pago</v>
          </cell>
          <cell r="P102">
            <v>102.69</v>
          </cell>
        </row>
        <row r="103">
          <cell r="B103" t="str">
            <v>10/24514-2</v>
          </cell>
          <cell r="D103">
            <v>45658</v>
          </cell>
          <cell r="H103" t="str">
            <v>Aprovado</v>
          </cell>
          <cell r="O103" t="str">
            <v>Pago</v>
          </cell>
          <cell r="P103">
            <v>102.69</v>
          </cell>
        </row>
        <row r="104">
          <cell r="B104" t="str">
            <v>10/252817-2</v>
          </cell>
          <cell r="D104">
            <v>45658</v>
          </cell>
          <cell r="H104" t="str">
            <v>Aprovado</v>
          </cell>
          <cell r="O104" t="str">
            <v>Pago</v>
          </cell>
          <cell r="P104">
            <v>306.57</v>
          </cell>
        </row>
        <row r="105">
          <cell r="B105" t="str">
            <v>10/280638-8</v>
          </cell>
          <cell r="D105">
            <v>45658</v>
          </cell>
          <cell r="H105" t="str">
            <v>Aprovado</v>
          </cell>
          <cell r="O105" t="str">
            <v>Pago</v>
          </cell>
          <cell r="P105">
            <v>106.57</v>
          </cell>
        </row>
        <row r="106">
          <cell r="B106" t="str">
            <v>10/283183-2</v>
          </cell>
          <cell r="D106">
            <v>45658</v>
          </cell>
          <cell r="H106" t="str">
            <v>Aprovado</v>
          </cell>
          <cell r="O106" t="str">
            <v>Pago</v>
          </cell>
          <cell r="P106">
            <v>85.1</v>
          </cell>
        </row>
        <row r="107">
          <cell r="B107" t="str">
            <v>10/3040565-8</v>
          </cell>
          <cell r="D107">
            <v>45658</v>
          </cell>
          <cell r="H107" t="str">
            <v>Aprovado</v>
          </cell>
          <cell r="O107" t="str">
            <v>Pago</v>
          </cell>
          <cell r="P107">
            <v>100.65</v>
          </cell>
        </row>
        <row r="108">
          <cell r="B108" t="str">
            <v>10/3054052-0</v>
          </cell>
          <cell r="D108">
            <v>45658</v>
          </cell>
          <cell r="H108" t="str">
            <v>Não emitido</v>
          </cell>
          <cell r="O108" t="str">
            <v>Não faturado</v>
          </cell>
          <cell r="P108"/>
        </row>
        <row r="109">
          <cell r="B109" t="str">
            <v>10/3123706-8</v>
          </cell>
          <cell r="D109">
            <v>45658</v>
          </cell>
          <cell r="H109" t="str">
            <v>Aprovado</v>
          </cell>
          <cell r="O109" t="str">
            <v>Pago</v>
          </cell>
          <cell r="P109">
            <v>100.19</v>
          </cell>
        </row>
        <row r="110">
          <cell r="B110" t="str">
            <v>10/3125732-2</v>
          </cell>
          <cell r="D110">
            <v>45658</v>
          </cell>
          <cell r="H110" t="str">
            <v>Aprovado</v>
          </cell>
          <cell r="O110" t="str">
            <v>Pago</v>
          </cell>
          <cell r="P110">
            <v>102.69</v>
          </cell>
        </row>
        <row r="111">
          <cell r="B111" t="str">
            <v>10/31292-6</v>
          </cell>
          <cell r="D111">
            <v>45658</v>
          </cell>
          <cell r="H111" t="str">
            <v>Aprovado</v>
          </cell>
          <cell r="O111" t="str">
            <v>Pago</v>
          </cell>
          <cell r="P111">
            <v>77.02</v>
          </cell>
        </row>
        <row r="112">
          <cell r="B112" t="str">
            <v>10/3139326-7</v>
          </cell>
          <cell r="D112">
            <v>45658</v>
          </cell>
          <cell r="H112" t="str">
            <v>Aprovado</v>
          </cell>
          <cell r="O112" t="str">
            <v>Pago</v>
          </cell>
          <cell r="P112">
            <v>228.56</v>
          </cell>
        </row>
        <row r="113">
          <cell r="B113" t="str">
            <v>10/341308-5</v>
          </cell>
          <cell r="D113">
            <v>45658</v>
          </cell>
          <cell r="H113" t="str">
            <v>Aprovado</v>
          </cell>
          <cell r="O113" t="str">
            <v>Pago</v>
          </cell>
          <cell r="P113">
            <v>102.53</v>
          </cell>
        </row>
        <row r="114">
          <cell r="B114" t="str">
            <v>10/395471-6</v>
          </cell>
          <cell r="D114">
            <v>45658</v>
          </cell>
          <cell r="H114" t="str">
            <v>Aprovado</v>
          </cell>
          <cell r="O114" t="str">
            <v>Atrasado</v>
          </cell>
          <cell r="P114">
            <v>0</v>
          </cell>
        </row>
        <row r="115">
          <cell r="B115" t="str">
            <v>10/399338-3</v>
          </cell>
          <cell r="D115">
            <v>45658</v>
          </cell>
          <cell r="H115" t="str">
            <v>Aprovado</v>
          </cell>
          <cell r="O115" t="str">
            <v>Pago</v>
          </cell>
          <cell r="P115">
            <v>307.25</v>
          </cell>
        </row>
        <row r="116">
          <cell r="B116" t="str">
            <v>10/40190-1</v>
          </cell>
          <cell r="D116">
            <v>45658</v>
          </cell>
          <cell r="H116" t="str">
            <v>Aprovado</v>
          </cell>
          <cell r="O116" t="str">
            <v>Pago</v>
          </cell>
          <cell r="P116">
            <v>228.56</v>
          </cell>
        </row>
        <row r="117">
          <cell r="B117" t="str">
            <v>10/41548-9</v>
          </cell>
          <cell r="D117">
            <v>45658</v>
          </cell>
          <cell r="H117" t="str">
            <v>Aprovado</v>
          </cell>
          <cell r="O117" t="str">
            <v>Pago</v>
          </cell>
          <cell r="P117">
            <v>113.86</v>
          </cell>
        </row>
        <row r="118">
          <cell r="B118" t="str">
            <v>10/435964-2</v>
          </cell>
          <cell r="D118">
            <v>45658</v>
          </cell>
          <cell r="H118" t="str">
            <v>Aprovado</v>
          </cell>
          <cell r="O118" t="str">
            <v>Pago</v>
          </cell>
          <cell r="P118">
            <v>300.47000000000003</v>
          </cell>
        </row>
        <row r="119">
          <cell r="B119" t="str">
            <v>10/466560-0</v>
          </cell>
          <cell r="D119">
            <v>45658</v>
          </cell>
          <cell r="H119" t="str">
            <v>Aprovado</v>
          </cell>
          <cell r="O119" t="str">
            <v>Pago</v>
          </cell>
          <cell r="P119">
            <v>107.99</v>
          </cell>
        </row>
        <row r="120">
          <cell r="B120" t="str">
            <v>10/480529-7</v>
          </cell>
          <cell r="D120">
            <v>45658</v>
          </cell>
          <cell r="H120" t="str">
            <v>Aprovado</v>
          </cell>
          <cell r="O120" t="str">
            <v>Pago</v>
          </cell>
          <cell r="P120">
            <v>102.69</v>
          </cell>
        </row>
        <row r="121">
          <cell r="B121" t="str">
            <v>10/489076-0</v>
          </cell>
          <cell r="D121">
            <v>45658</v>
          </cell>
          <cell r="H121" t="str">
            <v>Aprovado</v>
          </cell>
          <cell r="O121" t="str">
            <v>Atrasado</v>
          </cell>
          <cell r="P121">
            <v>0</v>
          </cell>
        </row>
        <row r="122">
          <cell r="B122" t="str">
            <v>10/504844-2</v>
          </cell>
          <cell r="D122">
            <v>45658</v>
          </cell>
          <cell r="H122" t="str">
            <v>Aprovado</v>
          </cell>
          <cell r="O122" t="str">
            <v>Pago</v>
          </cell>
          <cell r="P122">
            <v>205.09</v>
          </cell>
        </row>
        <row r="123">
          <cell r="B123" t="str">
            <v>10/505854-0</v>
          </cell>
          <cell r="D123">
            <v>45658</v>
          </cell>
          <cell r="H123" t="str">
            <v>Não emitido</v>
          </cell>
          <cell r="O123" t="str">
            <v>Não faturado</v>
          </cell>
          <cell r="P123"/>
        </row>
        <row r="124">
          <cell r="B124" t="str">
            <v>10/512142-1</v>
          </cell>
          <cell r="D124">
            <v>45658</v>
          </cell>
          <cell r="H124" t="str">
            <v>Aprovado</v>
          </cell>
          <cell r="O124" t="str">
            <v>Pago</v>
          </cell>
          <cell r="P124">
            <v>99.98</v>
          </cell>
        </row>
        <row r="125">
          <cell r="B125" t="str">
            <v>10/52987-5</v>
          </cell>
          <cell r="D125">
            <v>45658</v>
          </cell>
          <cell r="H125" t="str">
            <v>Aprovado</v>
          </cell>
          <cell r="O125" t="str">
            <v>Pago</v>
          </cell>
          <cell r="P125">
            <v>101.53</v>
          </cell>
        </row>
        <row r="126">
          <cell r="B126" t="str">
            <v>10/530195-7</v>
          </cell>
          <cell r="D126">
            <v>45658</v>
          </cell>
          <cell r="H126" t="str">
            <v>Aprovado</v>
          </cell>
          <cell r="O126" t="str">
            <v>Atrasado</v>
          </cell>
          <cell r="P126">
            <v>0</v>
          </cell>
        </row>
        <row r="127">
          <cell r="B127" t="str">
            <v>10/61344-8</v>
          </cell>
          <cell r="D127">
            <v>45658</v>
          </cell>
          <cell r="H127" t="str">
            <v>Aprovado</v>
          </cell>
          <cell r="O127" t="str">
            <v>Pago</v>
          </cell>
          <cell r="P127">
            <v>303.95999999999998</v>
          </cell>
        </row>
        <row r="128">
          <cell r="B128" t="str">
            <v>10/63920-3</v>
          </cell>
          <cell r="D128">
            <v>45658</v>
          </cell>
          <cell r="H128" t="str">
            <v>Aprovado</v>
          </cell>
          <cell r="O128" t="str">
            <v>Pago</v>
          </cell>
          <cell r="P128">
            <v>102.69</v>
          </cell>
        </row>
        <row r="129">
          <cell r="B129" t="str">
            <v>10/69319-2</v>
          </cell>
          <cell r="D129">
            <v>45658</v>
          </cell>
          <cell r="H129" t="str">
            <v>Não emitido</v>
          </cell>
          <cell r="O129" t="str">
            <v>Não faturado</v>
          </cell>
          <cell r="P129"/>
        </row>
        <row r="130">
          <cell r="B130" t="str">
            <v>10/72605-9</v>
          </cell>
          <cell r="D130">
            <v>45658</v>
          </cell>
          <cell r="H130" t="str">
            <v>Aprovado</v>
          </cell>
          <cell r="O130" t="str">
            <v>Pago</v>
          </cell>
          <cell r="P130">
            <v>102.53</v>
          </cell>
        </row>
        <row r="131">
          <cell r="B131" t="str">
            <v>10/76927-3</v>
          </cell>
          <cell r="D131">
            <v>45658</v>
          </cell>
          <cell r="H131" t="str">
            <v>Aprovado</v>
          </cell>
          <cell r="O131" t="str">
            <v>Pago</v>
          </cell>
          <cell r="P131">
            <v>206.48</v>
          </cell>
        </row>
        <row r="132">
          <cell r="B132" t="str">
            <v>10/78338-1</v>
          </cell>
          <cell r="D132">
            <v>45658</v>
          </cell>
          <cell r="H132" t="str">
            <v>Aprovado</v>
          </cell>
          <cell r="O132" t="str">
            <v>Pago</v>
          </cell>
          <cell r="P132">
            <v>102.69</v>
          </cell>
        </row>
        <row r="133">
          <cell r="B133" t="str">
            <v>10/81222-2</v>
          </cell>
          <cell r="D133">
            <v>45658</v>
          </cell>
          <cell r="H133" t="str">
            <v>Aprovado</v>
          </cell>
          <cell r="O133" t="str">
            <v>Pago</v>
          </cell>
          <cell r="P133">
            <v>204.14</v>
          </cell>
        </row>
        <row r="134">
          <cell r="B134" t="str">
            <v>10/8777-5</v>
          </cell>
          <cell r="D134">
            <v>45658</v>
          </cell>
          <cell r="H134" t="str">
            <v>Aprovado</v>
          </cell>
          <cell r="O134" t="str">
            <v>Pago</v>
          </cell>
          <cell r="P134">
            <v>369.38</v>
          </cell>
        </row>
        <row r="135">
          <cell r="B135" t="str">
            <v>10/925970-6</v>
          </cell>
          <cell r="D135">
            <v>45658</v>
          </cell>
          <cell r="H135" t="str">
            <v>Não emitido</v>
          </cell>
          <cell r="O135" t="str">
            <v>Não faturado</v>
          </cell>
          <cell r="P135"/>
        </row>
        <row r="136">
          <cell r="B136" t="str">
            <v>10/952579-1</v>
          </cell>
          <cell r="D136">
            <v>45658</v>
          </cell>
          <cell r="H136" t="str">
            <v>Aprovado</v>
          </cell>
          <cell r="O136" t="str">
            <v>Pago</v>
          </cell>
          <cell r="P136">
            <v>38.82</v>
          </cell>
        </row>
        <row r="137">
          <cell r="B137" t="str">
            <v>10/260761-2</v>
          </cell>
          <cell r="D137">
            <v>45658</v>
          </cell>
          <cell r="H137" t="str">
            <v>Aprovado</v>
          </cell>
          <cell r="O137" t="str">
            <v>Pago</v>
          </cell>
          <cell r="P137">
            <v>184.8</v>
          </cell>
        </row>
        <row r="138">
          <cell r="B138" t="str">
            <v>10/908866-7</v>
          </cell>
          <cell r="D138">
            <v>45658</v>
          </cell>
          <cell r="H138" t="str">
            <v>Aprovado</v>
          </cell>
          <cell r="O138" t="str">
            <v>Pago</v>
          </cell>
          <cell r="P138">
            <v>62.06</v>
          </cell>
        </row>
        <row r="139">
          <cell r="B139" t="str">
            <v>10/2344751-9</v>
          </cell>
          <cell r="D139">
            <v>45658</v>
          </cell>
          <cell r="H139" t="str">
            <v>Não emitido</v>
          </cell>
          <cell r="O139" t="str">
            <v>Não faturado</v>
          </cell>
          <cell r="P139"/>
        </row>
        <row r="140">
          <cell r="B140" t="str">
            <v>10/2338577-6</v>
          </cell>
          <cell r="D140">
            <v>45658</v>
          </cell>
          <cell r="H140" t="str">
            <v>Não emitido</v>
          </cell>
          <cell r="O140" t="str">
            <v>Não faturado</v>
          </cell>
          <cell r="P140"/>
        </row>
        <row r="141">
          <cell r="B141" t="str">
            <v>10/3170252-5</v>
          </cell>
          <cell r="D141">
            <v>45658</v>
          </cell>
          <cell r="H141" t="str">
            <v>Aprovado</v>
          </cell>
          <cell r="O141" t="str">
            <v>Atrasado</v>
          </cell>
          <cell r="P141">
            <v>0</v>
          </cell>
        </row>
        <row r="142">
          <cell r="B142" t="str">
            <v>10/10232-7</v>
          </cell>
          <cell r="D142">
            <v>45689</v>
          </cell>
          <cell r="H142" t="str">
            <v>Aprovado</v>
          </cell>
          <cell r="O142" t="str">
            <v>Pago</v>
          </cell>
          <cell r="P142">
            <v>129.32</v>
          </cell>
        </row>
        <row r="143">
          <cell r="B143" t="str">
            <v>10/1035655-8</v>
          </cell>
          <cell r="D143">
            <v>45689</v>
          </cell>
          <cell r="H143" t="str">
            <v>Aprovado</v>
          </cell>
          <cell r="O143" t="str">
            <v>Pago</v>
          </cell>
          <cell r="P143">
            <v>287.5</v>
          </cell>
        </row>
        <row r="144">
          <cell r="B144" t="str">
            <v>10/1117293-9</v>
          </cell>
          <cell r="D144">
            <v>45689</v>
          </cell>
          <cell r="H144" t="str">
            <v>Aprovado</v>
          </cell>
          <cell r="O144" t="str">
            <v>Pago</v>
          </cell>
          <cell r="P144">
            <v>59.91</v>
          </cell>
        </row>
        <row r="145">
          <cell r="B145" t="str">
            <v>10/113971-6</v>
          </cell>
          <cell r="D145">
            <v>45689</v>
          </cell>
          <cell r="H145" t="str">
            <v>Aprovado</v>
          </cell>
          <cell r="O145" t="str">
            <v>Pago</v>
          </cell>
          <cell r="P145">
            <v>115.53</v>
          </cell>
        </row>
        <row r="146">
          <cell r="B146" t="str">
            <v>10/1184751-4</v>
          </cell>
          <cell r="D146">
            <v>45689</v>
          </cell>
          <cell r="H146" t="str">
            <v>Aprovado</v>
          </cell>
          <cell r="O146" t="str">
            <v>Pago</v>
          </cell>
          <cell r="P146">
            <v>185.85</v>
          </cell>
        </row>
        <row r="147">
          <cell r="B147" t="str">
            <v>10/135237-6</v>
          </cell>
          <cell r="D147">
            <v>45689</v>
          </cell>
          <cell r="H147" t="str">
            <v>Não emitido</v>
          </cell>
          <cell r="O147" t="str">
            <v>Não faturado</v>
          </cell>
          <cell r="P147"/>
        </row>
        <row r="148">
          <cell r="B148" t="str">
            <v>10/1548741-6</v>
          </cell>
          <cell r="D148">
            <v>45689</v>
          </cell>
          <cell r="H148" t="str">
            <v>Aprovado</v>
          </cell>
          <cell r="O148" t="str">
            <v>Pago</v>
          </cell>
          <cell r="P148">
            <v>120.92</v>
          </cell>
        </row>
        <row r="149">
          <cell r="B149" t="str">
            <v>10/156956-5</v>
          </cell>
          <cell r="D149">
            <v>45689</v>
          </cell>
          <cell r="H149" t="str">
            <v>Aprovado</v>
          </cell>
          <cell r="O149" t="str">
            <v>Pago</v>
          </cell>
          <cell r="P149">
            <v>331.6</v>
          </cell>
        </row>
        <row r="150">
          <cell r="B150" t="str">
            <v>10/2794432-1</v>
          </cell>
          <cell r="D150">
            <v>45689</v>
          </cell>
          <cell r="H150" t="str">
            <v>Aprovado</v>
          </cell>
          <cell r="O150" t="str">
            <v>Pago</v>
          </cell>
          <cell r="P150">
            <v>105.2</v>
          </cell>
        </row>
        <row r="151">
          <cell r="B151" t="str">
            <v>10/162736-3</v>
          </cell>
          <cell r="D151">
            <v>45689</v>
          </cell>
          <cell r="H151" t="str">
            <v>Aprovado</v>
          </cell>
          <cell r="O151" t="str">
            <v>Pago</v>
          </cell>
          <cell r="P151">
            <v>313.19</v>
          </cell>
        </row>
        <row r="152">
          <cell r="B152" t="str">
            <v>10/1672452-8</v>
          </cell>
          <cell r="D152">
            <v>45689</v>
          </cell>
          <cell r="H152" t="str">
            <v>Aprovado</v>
          </cell>
          <cell r="O152" t="str">
            <v>Pago</v>
          </cell>
          <cell r="P152">
            <v>388.46</v>
          </cell>
        </row>
        <row r="153">
          <cell r="B153" t="str">
            <v>10/1695011-5</v>
          </cell>
          <cell r="D153">
            <v>45689</v>
          </cell>
          <cell r="H153" t="str">
            <v>Aprovado</v>
          </cell>
          <cell r="O153" t="str">
            <v>Pago</v>
          </cell>
          <cell r="P153">
            <v>303.5</v>
          </cell>
        </row>
        <row r="154">
          <cell r="B154" t="str">
            <v>10/1698130-0</v>
          </cell>
          <cell r="D154">
            <v>45689</v>
          </cell>
          <cell r="H154" t="str">
            <v>Aprovado</v>
          </cell>
          <cell r="O154" t="str">
            <v>Pago</v>
          </cell>
          <cell r="P154">
            <v>230.68</v>
          </cell>
        </row>
        <row r="155">
          <cell r="B155" t="str">
            <v>10/18015-8</v>
          </cell>
          <cell r="D155">
            <v>45689</v>
          </cell>
          <cell r="H155" t="str">
            <v>Aprovado</v>
          </cell>
          <cell r="O155" t="str">
            <v>Pago</v>
          </cell>
          <cell r="P155">
            <v>706.85</v>
          </cell>
        </row>
        <row r="156">
          <cell r="B156" t="str">
            <v>10/191945-5</v>
          </cell>
          <cell r="D156">
            <v>45689</v>
          </cell>
          <cell r="H156" t="str">
            <v>Aprovado</v>
          </cell>
          <cell r="O156" t="str">
            <v>Pago</v>
          </cell>
          <cell r="P156">
            <v>528.83000000000004</v>
          </cell>
        </row>
        <row r="157">
          <cell r="B157" t="str">
            <v>10/1939035-0</v>
          </cell>
          <cell r="D157">
            <v>45689</v>
          </cell>
          <cell r="H157" t="str">
            <v>Aprovado</v>
          </cell>
          <cell r="O157" t="str">
            <v>Pago</v>
          </cell>
          <cell r="P157">
            <v>308.20999999999998</v>
          </cell>
        </row>
        <row r="158">
          <cell r="B158" t="str">
            <v>10/202838-9</v>
          </cell>
          <cell r="D158">
            <v>45689</v>
          </cell>
          <cell r="H158" t="str">
            <v>Aprovado</v>
          </cell>
          <cell r="O158" t="str">
            <v>Pago</v>
          </cell>
          <cell r="P158">
            <v>737.41</v>
          </cell>
        </row>
        <row r="159">
          <cell r="B159" t="str">
            <v>10/218777-1</v>
          </cell>
          <cell r="D159">
            <v>45689</v>
          </cell>
          <cell r="H159" t="str">
            <v>Aprovado</v>
          </cell>
          <cell r="O159" t="str">
            <v>Pago</v>
          </cell>
          <cell r="P159">
            <v>107.46</v>
          </cell>
        </row>
        <row r="160">
          <cell r="B160" t="str">
            <v>10/226667-4</v>
          </cell>
          <cell r="D160">
            <v>45689</v>
          </cell>
          <cell r="H160" t="str">
            <v>Aprovado</v>
          </cell>
          <cell r="O160" t="str">
            <v>Pago</v>
          </cell>
          <cell r="P160">
            <v>82.88</v>
          </cell>
        </row>
        <row r="161">
          <cell r="B161" t="str">
            <v>10/237441-1</v>
          </cell>
          <cell r="D161">
            <v>45689</v>
          </cell>
          <cell r="H161" t="str">
            <v>Aprovado</v>
          </cell>
          <cell r="O161" t="str">
            <v>Pago</v>
          </cell>
          <cell r="P161">
            <v>49.39</v>
          </cell>
        </row>
        <row r="162">
          <cell r="B162" t="str">
            <v>10/257864-9</v>
          </cell>
          <cell r="D162">
            <v>45689</v>
          </cell>
          <cell r="H162" t="str">
            <v>Aprovado</v>
          </cell>
          <cell r="O162" t="str">
            <v>Pago</v>
          </cell>
          <cell r="P162">
            <v>191.1</v>
          </cell>
        </row>
        <row r="163">
          <cell r="B163" t="str">
            <v>10/2599101-9</v>
          </cell>
          <cell r="D163">
            <v>45689</v>
          </cell>
          <cell r="H163" t="str">
            <v>Aprovado</v>
          </cell>
          <cell r="O163" t="str">
            <v>Pago</v>
          </cell>
          <cell r="P163">
            <v>618.17999999999995</v>
          </cell>
        </row>
        <row r="164">
          <cell r="B164" t="str">
            <v>10/2605731-5</v>
          </cell>
          <cell r="D164">
            <v>45689</v>
          </cell>
          <cell r="H164" t="str">
            <v>Aprovado</v>
          </cell>
          <cell r="O164" t="str">
            <v>Pago</v>
          </cell>
          <cell r="P164">
            <v>1163.33</v>
          </cell>
        </row>
        <row r="165">
          <cell r="B165" t="str">
            <v>10/276283-9</v>
          </cell>
          <cell r="D165">
            <v>45689</v>
          </cell>
          <cell r="H165" t="str">
            <v>Aprovado</v>
          </cell>
          <cell r="O165" t="str">
            <v>Pago</v>
          </cell>
          <cell r="P165">
            <v>300.45</v>
          </cell>
        </row>
        <row r="166">
          <cell r="B166" t="str">
            <v>10/29964-4</v>
          </cell>
          <cell r="D166">
            <v>45689</v>
          </cell>
          <cell r="H166" t="str">
            <v>Aprovado</v>
          </cell>
          <cell r="O166" t="str">
            <v>Pago</v>
          </cell>
          <cell r="P166">
            <v>575.94000000000005</v>
          </cell>
        </row>
        <row r="167">
          <cell r="B167" t="str">
            <v>10/3005226-0</v>
          </cell>
          <cell r="D167">
            <v>45689</v>
          </cell>
          <cell r="H167" t="str">
            <v>Não emitido</v>
          </cell>
          <cell r="O167" t="str">
            <v>Não faturado</v>
          </cell>
          <cell r="P167"/>
        </row>
        <row r="168">
          <cell r="B168" t="str">
            <v>10/3030784-7</v>
          </cell>
          <cell r="D168">
            <v>45689</v>
          </cell>
          <cell r="H168" t="str">
            <v>Aprovado</v>
          </cell>
          <cell r="O168" t="str">
            <v>Pago</v>
          </cell>
          <cell r="P168">
            <v>465.9</v>
          </cell>
        </row>
        <row r="169">
          <cell r="B169" t="str">
            <v>10/3092868-3</v>
          </cell>
          <cell r="D169">
            <v>45689</v>
          </cell>
          <cell r="H169" t="str">
            <v>Aprovado</v>
          </cell>
          <cell r="O169" t="str">
            <v>Pago</v>
          </cell>
          <cell r="P169">
            <v>285.19</v>
          </cell>
        </row>
        <row r="170">
          <cell r="B170" t="str">
            <v>10/364440-8</v>
          </cell>
          <cell r="D170">
            <v>45689</v>
          </cell>
          <cell r="H170" t="str">
            <v>Aprovado</v>
          </cell>
          <cell r="O170" t="str">
            <v>Pago</v>
          </cell>
          <cell r="P170">
            <v>2081.12</v>
          </cell>
        </row>
        <row r="171">
          <cell r="B171" t="str">
            <v>10/384823-1</v>
          </cell>
          <cell r="D171">
            <v>45689</v>
          </cell>
          <cell r="H171" t="str">
            <v>Aprovado</v>
          </cell>
          <cell r="O171" t="str">
            <v>Pago</v>
          </cell>
          <cell r="P171">
            <v>94.6</v>
          </cell>
        </row>
        <row r="172">
          <cell r="B172" t="str">
            <v>10/452884-0</v>
          </cell>
          <cell r="D172">
            <v>45689</v>
          </cell>
          <cell r="H172" t="str">
            <v>Aprovado</v>
          </cell>
          <cell r="O172" t="str">
            <v>Pago</v>
          </cell>
          <cell r="P172">
            <v>162.27000000000001</v>
          </cell>
        </row>
        <row r="173">
          <cell r="B173" t="str">
            <v>10/501586-2</v>
          </cell>
          <cell r="D173">
            <v>45689</v>
          </cell>
          <cell r="H173" t="str">
            <v>Aprovado</v>
          </cell>
          <cell r="O173" t="str">
            <v>Pago</v>
          </cell>
          <cell r="P173">
            <v>66.98</v>
          </cell>
        </row>
        <row r="174">
          <cell r="B174" t="str">
            <v>10/510330-4</v>
          </cell>
          <cell r="D174">
            <v>45689</v>
          </cell>
          <cell r="H174" t="str">
            <v>Aprovado</v>
          </cell>
          <cell r="O174" t="str">
            <v>Pago</v>
          </cell>
          <cell r="P174">
            <v>472.25</v>
          </cell>
        </row>
        <row r="175">
          <cell r="B175" t="str">
            <v>10/511753-6</v>
          </cell>
          <cell r="D175">
            <v>45689</v>
          </cell>
          <cell r="H175" t="str">
            <v>Aprovado</v>
          </cell>
          <cell r="O175" t="str">
            <v>Pago</v>
          </cell>
          <cell r="P175">
            <v>228.92</v>
          </cell>
        </row>
        <row r="176">
          <cell r="B176" t="str">
            <v>10/513413-5</v>
          </cell>
          <cell r="D176">
            <v>45689</v>
          </cell>
          <cell r="H176" t="str">
            <v>Aprovado</v>
          </cell>
          <cell r="O176" t="str">
            <v>Pago</v>
          </cell>
          <cell r="P176">
            <v>231.9</v>
          </cell>
        </row>
        <row r="177">
          <cell r="B177" t="str">
            <v>10/5202-7</v>
          </cell>
          <cell r="D177">
            <v>45689</v>
          </cell>
          <cell r="H177" t="str">
            <v>Aprovado</v>
          </cell>
          <cell r="O177" t="str">
            <v>Pago</v>
          </cell>
          <cell r="P177">
            <v>1410.48</v>
          </cell>
        </row>
        <row r="178">
          <cell r="B178" t="str">
            <v>10/532081-7</v>
          </cell>
          <cell r="D178">
            <v>45689</v>
          </cell>
          <cell r="H178" t="str">
            <v>Aprovado</v>
          </cell>
          <cell r="O178" t="str">
            <v>Pago</v>
          </cell>
          <cell r="P178">
            <v>385.07</v>
          </cell>
        </row>
        <row r="179">
          <cell r="B179" t="str">
            <v>10/532723-4</v>
          </cell>
          <cell r="D179">
            <v>45689</v>
          </cell>
          <cell r="H179" t="str">
            <v>Aprovado</v>
          </cell>
          <cell r="O179" t="str">
            <v>Pago</v>
          </cell>
          <cell r="P179">
            <v>267.11</v>
          </cell>
        </row>
        <row r="180">
          <cell r="B180" t="str">
            <v>10/931327-1</v>
          </cell>
          <cell r="D180">
            <v>45689</v>
          </cell>
          <cell r="H180" t="str">
            <v>Aprovado</v>
          </cell>
          <cell r="O180" t="str">
            <v>Pago</v>
          </cell>
          <cell r="P180">
            <v>219.17</v>
          </cell>
        </row>
        <row r="181">
          <cell r="B181" t="str">
            <v>10/987178-1</v>
          </cell>
          <cell r="D181">
            <v>45689</v>
          </cell>
          <cell r="H181" t="str">
            <v>Aprovado</v>
          </cell>
          <cell r="O181" t="str">
            <v>Pago</v>
          </cell>
          <cell r="P181">
            <v>7.53</v>
          </cell>
        </row>
        <row r="182">
          <cell r="B182" t="str">
            <v>10/104720-8</v>
          </cell>
          <cell r="D182">
            <v>45689</v>
          </cell>
          <cell r="H182" t="str">
            <v>Não emitido</v>
          </cell>
          <cell r="O182" t="str">
            <v>Não faturado</v>
          </cell>
          <cell r="P182"/>
        </row>
        <row r="183">
          <cell r="B183" t="str">
            <v>10/150263-2</v>
          </cell>
          <cell r="D183">
            <v>45689</v>
          </cell>
          <cell r="H183" t="str">
            <v>Não emitido</v>
          </cell>
          <cell r="O183" t="str">
            <v>Não faturado</v>
          </cell>
          <cell r="P183"/>
        </row>
        <row r="184">
          <cell r="B184" t="str">
            <v>10/1433087-2</v>
          </cell>
          <cell r="D184">
            <v>45689</v>
          </cell>
          <cell r="H184" t="str">
            <v>Aprovado</v>
          </cell>
          <cell r="O184" t="str">
            <v>Pago</v>
          </cell>
          <cell r="P184">
            <v>149.85</v>
          </cell>
        </row>
        <row r="185">
          <cell r="B185" t="str">
            <v>10/3170252-5</v>
          </cell>
          <cell r="D185">
            <v>45689</v>
          </cell>
          <cell r="H185" t="str">
            <v>Aprovado</v>
          </cell>
          <cell r="O185" t="str">
            <v>Atrasado</v>
          </cell>
          <cell r="P185">
            <v>0</v>
          </cell>
        </row>
        <row r="186">
          <cell r="B186" t="str">
            <v>10/2247256-7</v>
          </cell>
          <cell r="D186">
            <v>45689</v>
          </cell>
          <cell r="H186" t="str">
            <v>Aprovado</v>
          </cell>
          <cell r="O186" t="str">
            <v>Atrasado</v>
          </cell>
          <cell r="P186">
            <v>0</v>
          </cell>
        </row>
        <row r="187">
          <cell r="B187" t="str">
            <v>10/925970-6</v>
          </cell>
          <cell r="D187">
            <v>45689</v>
          </cell>
          <cell r="H187" t="str">
            <v>Não emitido</v>
          </cell>
          <cell r="O187" t="str">
            <v>Não faturado</v>
          </cell>
          <cell r="P187"/>
        </row>
        <row r="188">
          <cell r="B188" t="str">
            <v>10/10731-8</v>
          </cell>
          <cell r="D188">
            <v>45689</v>
          </cell>
          <cell r="H188" t="str">
            <v>Não emitido</v>
          </cell>
          <cell r="O188" t="str">
            <v>Não faturado</v>
          </cell>
          <cell r="P188"/>
        </row>
        <row r="189">
          <cell r="B189" t="str">
            <v>10/76927-3</v>
          </cell>
          <cell r="D189">
            <v>45689</v>
          </cell>
          <cell r="H189" t="str">
            <v>Não emitido</v>
          </cell>
          <cell r="O189" t="str">
            <v>Não faturado</v>
          </cell>
          <cell r="P189"/>
        </row>
        <row r="190">
          <cell r="B190" t="str">
            <v>10/142353-2</v>
          </cell>
          <cell r="D190">
            <v>45689</v>
          </cell>
          <cell r="H190" t="str">
            <v>Não emitido</v>
          </cell>
          <cell r="O190" t="str">
            <v>Não faturado</v>
          </cell>
          <cell r="P190"/>
        </row>
        <row r="191">
          <cell r="B191" t="str">
            <v>10/435964-2</v>
          </cell>
          <cell r="D191">
            <v>45689</v>
          </cell>
          <cell r="H191" t="str">
            <v>Aprovado</v>
          </cell>
          <cell r="O191" t="str">
            <v>Pago</v>
          </cell>
          <cell r="P191">
            <v>151.96</v>
          </cell>
        </row>
        <row r="192">
          <cell r="B192" t="str">
            <v>10/1081489-5</v>
          </cell>
          <cell r="D192">
            <v>45689</v>
          </cell>
          <cell r="H192" t="str">
            <v>Não emitido</v>
          </cell>
          <cell r="O192" t="str">
            <v>Não faturado</v>
          </cell>
          <cell r="P192"/>
        </row>
        <row r="193">
          <cell r="B193" t="str">
            <v>10/15297-5</v>
          </cell>
          <cell r="D193">
            <v>45689</v>
          </cell>
          <cell r="H193" t="str">
            <v>Não emitido</v>
          </cell>
          <cell r="O193" t="str">
            <v>Não faturado</v>
          </cell>
          <cell r="P193"/>
        </row>
        <row r="194">
          <cell r="B194" t="str">
            <v>10/8777-5</v>
          </cell>
          <cell r="D194">
            <v>45689</v>
          </cell>
          <cell r="H194" t="str">
            <v>Não emitido</v>
          </cell>
          <cell r="O194" t="str">
            <v>Não faturado</v>
          </cell>
          <cell r="P194"/>
        </row>
        <row r="195">
          <cell r="B195" t="str">
            <v>10/489076-0</v>
          </cell>
          <cell r="D195">
            <v>45689</v>
          </cell>
          <cell r="H195" t="str">
            <v>Não emitido</v>
          </cell>
          <cell r="O195" t="str">
            <v>Não faturado</v>
          </cell>
          <cell r="P195"/>
        </row>
        <row r="196">
          <cell r="B196" t="str">
            <v>10/504844-2</v>
          </cell>
          <cell r="D196">
            <v>45689</v>
          </cell>
          <cell r="H196" t="str">
            <v>Não emitido</v>
          </cell>
          <cell r="O196" t="str">
            <v>Não faturado</v>
          </cell>
          <cell r="P196"/>
        </row>
        <row r="197">
          <cell r="B197" t="str">
            <v>10/280638-8</v>
          </cell>
          <cell r="D197">
            <v>45689</v>
          </cell>
          <cell r="H197" t="str">
            <v>Não emitido</v>
          </cell>
          <cell r="O197" t="str">
            <v>Não faturado</v>
          </cell>
          <cell r="P197"/>
        </row>
        <row r="198">
          <cell r="B198" t="str">
            <v>10/69319-2</v>
          </cell>
          <cell r="D198">
            <v>45689</v>
          </cell>
          <cell r="H198" t="str">
            <v>Não emitido</v>
          </cell>
          <cell r="O198" t="str">
            <v>Não faturado</v>
          </cell>
          <cell r="P198"/>
        </row>
        <row r="199">
          <cell r="B199" t="str">
            <v>10/480529-7</v>
          </cell>
          <cell r="D199">
            <v>45689</v>
          </cell>
          <cell r="H199" t="str">
            <v>Não emitido</v>
          </cell>
          <cell r="O199" t="str">
            <v>Não faturado</v>
          </cell>
          <cell r="P199"/>
        </row>
        <row r="200">
          <cell r="B200" t="str">
            <v>10/3139326-7</v>
          </cell>
          <cell r="D200">
            <v>45689</v>
          </cell>
          <cell r="H200" t="str">
            <v>Não emitido</v>
          </cell>
          <cell r="O200" t="str">
            <v>Não faturado</v>
          </cell>
          <cell r="P200"/>
        </row>
        <row r="201">
          <cell r="B201" t="str">
            <v>10/399338-3</v>
          </cell>
          <cell r="D201">
            <v>45689</v>
          </cell>
          <cell r="H201" t="str">
            <v>Não emitido</v>
          </cell>
          <cell r="O201" t="str">
            <v>Não faturado</v>
          </cell>
          <cell r="P201"/>
        </row>
        <row r="202">
          <cell r="B202" t="str">
            <v>10/61344-8</v>
          </cell>
          <cell r="D202">
            <v>45689</v>
          </cell>
          <cell r="H202" t="str">
            <v>Não emitido</v>
          </cell>
          <cell r="O202" t="str">
            <v>Não faturado</v>
          </cell>
          <cell r="P202"/>
        </row>
        <row r="203">
          <cell r="B203" t="str">
            <v>10/252817-2</v>
          </cell>
          <cell r="D203">
            <v>45689</v>
          </cell>
          <cell r="H203" t="str">
            <v>Não emitido</v>
          </cell>
          <cell r="O203" t="str">
            <v>Não faturado</v>
          </cell>
          <cell r="P203"/>
        </row>
        <row r="204">
          <cell r="B204" t="str">
            <v>10/175073-6</v>
          </cell>
          <cell r="D204">
            <v>45689</v>
          </cell>
          <cell r="H204" t="str">
            <v>Aprovado</v>
          </cell>
          <cell r="O204" t="str">
            <v>Atrasado</v>
          </cell>
          <cell r="P204">
            <v>0</v>
          </cell>
        </row>
        <row r="205">
          <cell r="B205" t="str">
            <v>10/81222-2</v>
          </cell>
          <cell r="D205">
            <v>45689</v>
          </cell>
          <cell r="H205" t="str">
            <v>Não emitido</v>
          </cell>
          <cell r="O205" t="str">
            <v>Não faturado</v>
          </cell>
          <cell r="P205"/>
        </row>
        <row r="206">
          <cell r="B206" t="str">
            <v>10/1674177-9</v>
          </cell>
          <cell r="D206">
            <v>45689</v>
          </cell>
          <cell r="H206" t="str">
            <v>Não emitido</v>
          </cell>
          <cell r="O206" t="str">
            <v>Não faturado</v>
          </cell>
          <cell r="P206"/>
        </row>
        <row r="207">
          <cell r="B207" t="str">
            <v>10/72605-9</v>
          </cell>
          <cell r="D207">
            <v>45689</v>
          </cell>
          <cell r="H207" t="str">
            <v>Não emitido</v>
          </cell>
          <cell r="O207" t="str">
            <v>Não faturado</v>
          </cell>
          <cell r="P207"/>
        </row>
        <row r="208">
          <cell r="B208" t="str">
            <v>10/40190-1</v>
          </cell>
          <cell r="D208">
            <v>45689</v>
          </cell>
          <cell r="H208" t="str">
            <v>Não emitido</v>
          </cell>
          <cell r="O208" t="str">
            <v>Não faturado</v>
          </cell>
          <cell r="P208"/>
        </row>
        <row r="209">
          <cell r="B209" t="str">
            <v>10/1266128-6</v>
          </cell>
          <cell r="D209">
            <v>45689</v>
          </cell>
          <cell r="H209" t="str">
            <v>Não emitido</v>
          </cell>
          <cell r="O209" t="str">
            <v>Não faturado</v>
          </cell>
          <cell r="P209"/>
        </row>
        <row r="210">
          <cell r="B210" t="str">
            <v>10/952579-1</v>
          </cell>
          <cell r="D210">
            <v>45689</v>
          </cell>
          <cell r="H210" t="str">
            <v>Aprovado</v>
          </cell>
          <cell r="O210" t="str">
            <v>Atrasado</v>
          </cell>
          <cell r="P210">
            <v>0</v>
          </cell>
        </row>
        <row r="211">
          <cell r="B211" t="str">
            <v>10/505854-0</v>
          </cell>
          <cell r="D211">
            <v>45689</v>
          </cell>
          <cell r="H211" t="str">
            <v>Não emitido</v>
          </cell>
          <cell r="O211" t="str">
            <v>Não faturado</v>
          </cell>
          <cell r="P211"/>
        </row>
        <row r="212">
          <cell r="B212" t="str">
            <v>10/127464-6</v>
          </cell>
          <cell r="D212">
            <v>45689</v>
          </cell>
          <cell r="H212" t="str">
            <v>Não emitido</v>
          </cell>
          <cell r="O212" t="str">
            <v>Não faturado</v>
          </cell>
          <cell r="P212"/>
        </row>
        <row r="213">
          <cell r="B213" t="str">
            <v>10/24514-2</v>
          </cell>
          <cell r="D213">
            <v>45689</v>
          </cell>
          <cell r="H213" t="str">
            <v>Não emitido</v>
          </cell>
          <cell r="O213" t="str">
            <v>Não faturado</v>
          </cell>
          <cell r="P213"/>
        </row>
        <row r="214">
          <cell r="B214" t="str">
            <v>10/283183-2</v>
          </cell>
          <cell r="D214">
            <v>45689</v>
          </cell>
          <cell r="H214" t="str">
            <v>Não emitido</v>
          </cell>
          <cell r="O214" t="str">
            <v>Não faturado</v>
          </cell>
          <cell r="P214"/>
        </row>
        <row r="215">
          <cell r="B215" t="str">
            <v>10/13786-9</v>
          </cell>
          <cell r="D215">
            <v>45689</v>
          </cell>
          <cell r="H215" t="str">
            <v>Não emitido</v>
          </cell>
          <cell r="O215" t="str">
            <v>Não faturado</v>
          </cell>
          <cell r="P215"/>
        </row>
        <row r="216">
          <cell r="B216" t="str">
            <v>10/63920-3</v>
          </cell>
          <cell r="D216">
            <v>45689</v>
          </cell>
          <cell r="H216" t="str">
            <v>Não emitido</v>
          </cell>
          <cell r="O216" t="str">
            <v>Não faturado</v>
          </cell>
          <cell r="P216"/>
        </row>
        <row r="217">
          <cell r="B217" t="str">
            <v>10/3123706-8</v>
          </cell>
          <cell r="D217">
            <v>45689</v>
          </cell>
          <cell r="H217" t="str">
            <v>Não emitido</v>
          </cell>
          <cell r="O217" t="str">
            <v>Não faturado</v>
          </cell>
          <cell r="P217"/>
        </row>
        <row r="218">
          <cell r="B218" t="str">
            <v>10/129490-9</v>
          </cell>
          <cell r="D218">
            <v>45689</v>
          </cell>
          <cell r="H218" t="str">
            <v>Não emitido</v>
          </cell>
          <cell r="O218" t="str">
            <v>Não faturado</v>
          </cell>
          <cell r="P218"/>
        </row>
        <row r="219">
          <cell r="B219" t="str">
            <v>10/2338577-6</v>
          </cell>
          <cell r="D219">
            <v>45689</v>
          </cell>
          <cell r="H219" t="str">
            <v>Não emitido</v>
          </cell>
          <cell r="O219" t="str">
            <v>Não faturado</v>
          </cell>
          <cell r="P219"/>
        </row>
        <row r="220">
          <cell r="B220" t="str">
            <v>10/41548-9</v>
          </cell>
          <cell r="D220">
            <v>45689</v>
          </cell>
          <cell r="H220" t="str">
            <v>Não emitido</v>
          </cell>
          <cell r="O220" t="str">
            <v>Não faturado</v>
          </cell>
          <cell r="P220"/>
        </row>
        <row r="221">
          <cell r="B221" t="str">
            <v>10/52987-5</v>
          </cell>
          <cell r="D221">
            <v>45689</v>
          </cell>
          <cell r="H221" t="str">
            <v>Não emitido</v>
          </cell>
          <cell r="O221" t="str">
            <v>Não faturado</v>
          </cell>
          <cell r="P221"/>
        </row>
        <row r="222">
          <cell r="B222" t="str">
            <v>10/341308-5</v>
          </cell>
          <cell r="D222">
            <v>45689</v>
          </cell>
          <cell r="H222" t="str">
            <v>Não emitido</v>
          </cell>
          <cell r="O222" t="str">
            <v>Não faturado</v>
          </cell>
          <cell r="P222"/>
        </row>
        <row r="223">
          <cell r="B223" t="str">
            <v>10/512142-1</v>
          </cell>
          <cell r="D223">
            <v>45689</v>
          </cell>
          <cell r="H223" t="str">
            <v>Não emitido</v>
          </cell>
          <cell r="O223" t="str">
            <v>Não faturado</v>
          </cell>
          <cell r="P223"/>
        </row>
        <row r="224">
          <cell r="B224" t="str">
            <v>10/1288241-1</v>
          </cell>
          <cell r="D224">
            <v>45689</v>
          </cell>
          <cell r="H224" t="str">
            <v>Aprovado</v>
          </cell>
          <cell r="O224" t="str">
            <v>Pago</v>
          </cell>
          <cell r="P224">
            <v>22.65</v>
          </cell>
        </row>
        <row r="225">
          <cell r="B225" t="str">
            <v>10/239312-2</v>
          </cell>
          <cell r="D225">
            <v>45689</v>
          </cell>
          <cell r="H225" t="str">
            <v>Não emitido</v>
          </cell>
          <cell r="O225" t="str">
            <v>Não faturado</v>
          </cell>
          <cell r="P225"/>
        </row>
        <row r="226">
          <cell r="B226" t="str">
            <v>10/3054052-0</v>
          </cell>
          <cell r="D226">
            <v>45689</v>
          </cell>
          <cell r="H226" t="str">
            <v>Aprovado</v>
          </cell>
          <cell r="O226" t="str">
            <v>Atrasado</v>
          </cell>
          <cell r="P226">
            <v>0</v>
          </cell>
        </row>
        <row r="227">
          <cell r="B227" t="str">
            <v>10/109074-5</v>
          </cell>
          <cell r="D227">
            <v>45689</v>
          </cell>
          <cell r="H227" t="str">
            <v>Não emitido</v>
          </cell>
          <cell r="O227" t="str">
            <v>Não faturado</v>
          </cell>
          <cell r="P227"/>
        </row>
        <row r="228">
          <cell r="B228" t="str">
            <v>10/1130988-7</v>
          </cell>
          <cell r="D228">
            <v>45689</v>
          </cell>
          <cell r="H228" t="str">
            <v>Não emitido</v>
          </cell>
          <cell r="O228" t="str">
            <v>Não faturado</v>
          </cell>
          <cell r="P228"/>
        </row>
        <row r="229">
          <cell r="B229" t="str">
            <v>10/78338-1</v>
          </cell>
          <cell r="D229">
            <v>45689</v>
          </cell>
          <cell r="H229" t="str">
            <v>Não emitido</v>
          </cell>
          <cell r="O229" t="str">
            <v>Não faturado</v>
          </cell>
          <cell r="P229"/>
        </row>
        <row r="230">
          <cell r="B230" t="str">
            <v>10/530195-7</v>
          </cell>
          <cell r="D230">
            <v>45689</v>
          </cell>
          <cell r="H230" t="str">
            <v>Aprovado</v>
          </cell>
          <cell r="O230" t="str">
            <v>Pago</v>
          </cell>
          <cell r="P230">
            <v>46.03</v>
          </cell>
        </row>
        <row r="231">
          <cell r="B231" t="str">
            <v>10/3040565-8</v>
          </cell>
          <cell r="D231">
            <v>45689</v>
          </cell>
          <cell r="H231" t="str">
            <v>Não emitido</v>
          </cell>
          <cell r="O231" t="str">
            <v>Não faturado</v>
          </cell>
          <cell r="P231"/>
        </row>
        <row r="232">
          <cell r="B232" t="str">
            <v>10/395471-6</v>
          </cell>
          <cell r="D232">
            <v>45689</v>
          </cell>
          <cell r="H232" t="str">
            <v>Não emitido</v>
          </cell>
          <cell r="O232" t="str">
            <v>Não faturado</v>
          </cell>
          <cell r="P232"/>
        </row>
        <row r="233">
          <cell r="B233" t="str">
            <v>10/3125732-2</v>
          </cell>
          <cell r="D233">
            <v>45689</v>
          </cell>
          <cell r="H233" t="str">
            <v>Não emitido</v>
          </cell>
          <cell r="O233" t="str">
            <v>Não faturado</v>
          </cell>
          <cell r="P233"/>
        </row>
        <row r="234">
          <cell r="B234" t="str">
            <v>10/2344751-9</v>
          </cell>
          <cell r="D234">
            <v>45689</v>
          </cell>
          <cell r="H234" t="str">
            <v>Não emitido</v>
          </cell>
          <cell r="O234" t="str">
            <v>Não faturado</v>
          </cell>
          <cell r="P234"/>
        </row>
        <row r="235">
          <cell r="B235" t="str">
            <v>10/31292-6</v>
          </cell>
          <cell r="D235">
            <v>45689</v>
          </cell>
          <cell r="H235" t="str">
            <v>Aprovado</v>
          </cell>
          <cell r="O235" t="str">
            <v>Atrasado</v>
          </cell>
          <cell r="P235">
            <v>0</v>
          </cell>
        </row>
        <row r="236">
          <cell r="B236" t="str">
            <v>10/466560-0</v>
          </cell>
          <cell r="D236">
            <v>45689</v>
          </cell>
          <cell r="H236" t="str">
            <v>Aprovado</v>
          </cell>
          <cell r="O236" t="str">
            <v>Pago</v>
          </cell>
          <cell r="P236">
            <v>28.49</v>
          </cell>
        </row>
        <row r="237">
          <cell r="B237" t="str">
            <v>10/260761-2</v>
          </cell>
          <cell r="D237">
            <v>45689</v>
          </cell>
          <cell r="H237" t="str">
            <v>Aprovado</v>
          </cell>
          <cell r="O237" t="str">
            <v>Atrasado</v>
          </cell>
          <cell r="P237">
            <v>0</v>
          </cell>
        </row>
        <row r="238">
          <cell r="B238" t="str">
            <v>10/908866-7</v>
          </cell>
          <cell r="D238">
            <v>45689</v>
          </cell>
          <cell r="H238" t="str">
            <v>Aprovado</v>
          </cell>
          <cell r="O238" t="str">
            <v>Atrasado</v>
          </cell>
          <cell r="P238">
            <v>0</v>
          </cell>
        </row>
        <row r="239">
          <cell r="B239" t="str">
            <v>10/364440-8</v>
          </cell>
          <cell r="D239">
            <v>45717</v>
          </cell>
          <cell r="H239" t="str">
            <v>Aprovado</v>
          </cell>
          <cell r="O239" t="str">
            <v>Pago</v>
          </cell>
          <cell r="P239">
            <v>2105.15</v>
          </cell>
        </row>
        <row r="240">
          <cell r="B240" t="str">
            <v>10/5202-7</v>
          </cell>
          <cell r="D240">
            <v>45717</v>
          </cell>
          <cell r="H240" t="str">
            <v>Aprovado</v>
          </cell>
          <cell r="O240" t="str">
            <v>Atrasado</v>
          </cell>
          <cell r="P240">
            <v>0</v>
          </cell>
        </row>
        <row r="241">
          <cell r="B241" t="str">
            <v>10/1672452-8</v>
          </cell>
          <cell r="D241">
            <v>45717</v>
          </cell>
          <cell r="H241" t="str">
            <v>Aprovado</v>
          </cell>
          <cell r="O241" t="str">
            <v>Pago</v>
          </cell>
          <cell r="P241">
            <v>314.77999999999997</v>
          </cell>
        </row>
        <row r="242">
          <cell r="B242" t="str">
            <v>10/18015-8</v>
          </cell>
          <cell r="D242">
            <v>45717</v>
          </cell>
          <cell r="H242" t="str">
            <v>Aprovado</v>
          </cell>
          <cell r="O242" t="str">
            <v>Pago</v>
          </cell>
          <cell r="P242">
            <v>341.48</v>
          </cell>
        </row>
        <row r="243">
          <cell r="B243" t="str">
            <v>10/29964-4</v>
          </cell>
          <cell r="D243">
            <v>45717</v>
          </cell>
          <cell r="H243" t="str">
            <v>Aprovado</v>
          </cell>
          <cell r="O243" t="str">
            <v>Pago</v>
          </cell>
          <cell r="P243">
            <v>525.46</v>
          </cell>
        </row>
        <row r="244">
          <cell r="B244" t="str">
            <v>10/191945-5</v>
          </cell>
          <cell r="D244">
            <v>45717</v>
          </cell>
          <cell r="H244" t="str">
            <v>Aprovado</v>
          </cell>
          <cell r="O244" t="str">
            <v>Pago</v>
          </cell>
          <cell r="P244">
            <v>100.46</v>
          </cell>
        </row>
        <row r="245">
          <cell r="B245" t="str">
            <v>10/513413-5</v>
          </cell>
          <cell r="D245">
            <v>45717</v>
          </cell>
          <cell r="H245" t="str">
            <v>Aprovado</v>
          </cell>
          <cell r="O245" t="str">
            <v>Pago</v>
          </cell>
          <cell r="P245">
            <v>211.81</v>
          </cell>
        </row>
        <row r="246">
          <cell r="B246" t="str">
            <v>10/510330-4</v>
          </cell>
          <cell r="D246">
            <v>45717</v>
          </cell>
          <cell r="H246" t="str">
            <v>Aprovado</v>
          </cell>
          <cell r="O246" t="str">
            <v>Pago</v>
          </cell>
          <cell r="P246">
            <v>422.94</v>
          </cell>
        </row>
        <row r="247">
          <cell r="B247" t="str">
            <v>10/3030784-7</v>
          </cell>
          <cell r="D247">
            <v>45717</v>
          </cell>
          <cell r="H247" t="str">
            <v>Aprovado</v>
          </cell>
          <cell r="O247" t="str">
            <v>Pago</v>
          </cell>
          <cell r="P247">
            <v>427.42</v>
          </cell>
        </row>
        <row r="248">
          <cell r="B248" t="str">
            <v>10/3092868-3</v>
          </cell>
          <cell r="D248">
            <v>45717</v>
          </cell>
          <cell r="H248" t="str">
            <v>Aprovado</v>
          </cell>
          <cell r="O248" t="str">
            <v>Pago</v>
          </cell>
          <cell r="P248">
            <v>442.98</v>
          </cell>
        </row>
        <row r="249">
          <cell r="B249" t="str">
            <v>10/276283-9</v>
          </cell>
          <cell r="D249">
            <v>45717</v>
          </cell>
          <cell r="H249" t="str">
            <v>Aprovado</v>
          </cell>
          <cell r="O249" t="str">
            <v>Atrasado</v>
          </cell>
          <cell r="P249">
            <v>0</v>
          </cell>
        </row>
        <row r="250">
          <cell r="B250" t="str">
            <v>10/532723-4</v>
          </cell>
          <cell r="D250">
            <v>45717</v>
          </cell>
          <cell r="H250" t="str">
            <v>Aprovado</v>
          </cell>
          <cell r="O250" t="str">
            <v>Atrasado</v>
          </cell>
          <cell r="P250">
            <v>0</v>
          </cell>
        </row>
        <row r="251">
          <cell r="B251" t="str">
            <v>10/1035655-8</v>
          </cell>
          <cell r="D251">
            <v>45717</v>
          </cell>
          <cell r="H251" t="str">
            <v>Aprovado</v>
          </cell>
          <cell r="O251" t="str">
            <v>Atrasado</v>
          </cell>
          <cell r="P251">
            <v>0</v>
          </cell>
        </row>
        <row r="252">
          <cell r="B252" t="str">
            <v>10/532081-7</v>
          </cell>
          <cell r="D252">
            <v>45717</v>
          </cell>
          <cell r="H252" t="str">
            <v>Aprovado</v>
          </cell>
          <cell r="O252" t="str">
            <v>Pago</v>
          </cell>
          <cell r="P252">
            <v>365.61</v>
          </cell>
        </row>
        <row r="253">
          <cell r="B253" t="str">
            <v>10/156956-5</v>
          </cell>
          <cell r="D253">
            <v>45717</v>
          </cell>
          <cell r="H253" t="str">
            <v>Aprovado</v>
          </cell>
          <cell r="O253" t="str">
            <v>Pago</v>
          </cell>
          <cell r="P253">
            <v>332.11</v>
          </cell>
        </row>
        <row r="254">
          <cell r="B254" t="str">
            <v>10/104720-8</v>
          </cell>
          <cell r="D254">
            <v>45717</v>
          </cell>
          <cell r="H254" t="str">
            <v>Não emitido</v>
          </cell>
          <cell r="O254" t="str">
            <v>Não faturado</v>
          </cell>
          <cell r="P254"/>
        </row>
        <row r="255">
          <cell r="B255" t="str">
            <v>10/511753-6</v>
          </cell>
          <cell r="D255">
            <v>45717</v>
          </cell>
          <cell r="H255" t="str">
            <v>Aprovado</v>
          </cell>
          <cell r="O255" t="str">
            <v>Pago</v>
          </cell>
          <cell r="P255">
            <v>229.38</v>
          </cell>
        </row>
        <row r="256">
          <cell r="B256" t="str">
            <v>10/931327-1</v>
          </cell>
          <cell r="D256">
            <v>45717</v>
          </cell>
          <cell r="H256" t="str">
            <v>Aprovado</v>
          </cell>
          <cell r="O256" t="str">
            <v>Pago</v>
          </cell>
          <cell r="P256">
            <v>266.58999999999997</v>
          </cell>
        </row>
        <row r="257">
          <cell r="B257" t="str">
            <v>10/1698130-0</v>
          </cell>
          <cell r="D257">
            <v>45717</v>
          </cell>
          <cell r="H257" t="str">
            <v>Aprovado</v>
          </cell>
          <cell r="O257" t="str">
            <v>Pago</v>
          </cell>
          <cell r="P257">
            <v>193.43</v>
          </cell>
        </row>
        <row r="258">
          <cell r="B258" t="str">
            <v>10/150263-2</v>
          </cell>
          <cell r="D258">
            <v>45717</v>
          </cell>
          <cell r="H258" t="str">
            <v>Aprovado</v>
          </cell>
          <cell r="O258" t="str">
            <v>Atrasado</v>
          </cell>
          <cell r="P258">
            <v>0</v>
          </cell>
        </row>
        <row r="259">
          <cell r="B259" t="str">
            <v>10/113971-6</v>
          </cell>
          <cell r="D259">
            <v>45717</v>
          </cell>
          <cell r="H259" t="str">
            <v>Aprovado</v>
          </cell>
          <cell r="O259" t="str">
            <v>Pago</v>
          </cell>
          <cell r="P259">
            <v>105.48</v>
          </cell>
        </row>
        <row r="260">
          <cell r="B260" t="str">
            <v>10/1184751-4</v>
          </cell>
          <cell r="D260">
            <v>45717</v>
          </cell>
          <cell r="H260" t="str">
            <v>Aprovado</v>
          </cell>
          <cell r="O260" t="str">
            <v>Pago</v>
          </cell>
          <cell r="P260">
            <v>229.61</v>
          </cell>
        </row>
        <row r="261">
          <cell r="B261" t="str">
            <v>10/237441-1</v>
          </cell>
          <cell r="D261">
            <v>45717</v>
          </cell>
          <cell r="H261" t="str">
            <v>Aprovado</v>
          </cell>
          <cell r="O261" t="str">
            <v>Pago</v>
          </cell>
          <cell r="P261">
            <v>181.45</v>
          </cell>
        </row>
        <row r="262">
          <cell r="B262" t="str">
            <v>10/1695011-5</v>
          </cell>
          <cell r="D262">
            <v>45717</v>
          </cell>
          <cell r="H262" t="str">
            <v>Aprovado</v>
          </cell>
          <cell r="O262" t="str">
            <v>Pago</v>
          </cell>
          <cell r="P262">
            <v>274.64</v>
          </cell>
        </row>
        <row r="263">
          <cell r="B263" t="str">
            <v>10/1433087-2</v>
          </cell>
          <cell r="D263">
            <v>45717</v>
          </cell>
          <cell r="H263" t="str">
            <v>Aprovado</v>
          </cell>
          <cell r="O263" t="str">
            <v>Pago</v>
          </cell>
          <cell r="P263">
            <v>195.9</v>
          </cell>
        </row>
        <row r="264">
          <cell r="B264" t="str">
            <v>10/452884-0</v>
          </cell>
          <cell r="D264">
            <v>45717</v>
          </cell>
          <cell r="H264" t="str">
            <v>Aprovado</v>
          </cell>
          <cell r="O264" t="str">
            <v>Atrasado</v>
          </cell>
          <cell r="P264">
            <v>0</v>
          </cell>
        </row>
        <row r="265">
          <cell r="B265" t="str">
            <v>10/1117293-9</v>
          </cell>
          <cell r="D265">
            <v>45717</v>
          </cell>
          <cell r="H265" t="str">
            <v>Aprovado</v>
          </cell>
          <cell r="O265" t="str">
            <v>Pago</v>
          </cell>
          <cell r="P265">
            <v>71.150000000000006</v>
          </cell>
        </row>
        <row r="266">
          <cell r="B266" t="str">
            <v>10/501586-2</v>
          </cell>
          <cell r="D266">
            <v>45717</v>
          </cell>
          <cell r="H266" t="str">
            <v>Aprovado</v>
          </cell>
          <cell r="O266" t="str">
            <v>Pago</v>
          </cell>
          <cell r="P266">
            <v>142.31</v>
          </cell>
        </row>
        <row r="267">
          <cell r="B267" t="str">
            <v>10/162736-3</v>
          </cell>
          <cell r="D267">
            <v>45717</v>
          </cell>
          <cell r="H267" t="str">
            <v>Aprovado</v>
          </cell>
          <cell r="O267" t="str">
            <v>Atrasado</v>
          </cell>
          <cell r="P267">
            <v>0</v>
          </cell>
        </row>
        <row r="268">
          <cell r="B268" t="str">
            <v>10/226667-4</v>
          </cell>
          <cell r="D268">
            <v>45717</v>
          </cell>
          <cell r="H268" t="str">
            <v>Aprovado</v>
          </cell>
          <cell r="O268" t="str">
            <v>Pago</v>
          </cell>
          <cell r="P268">
            <v>91.04</v>
          </cell>
        </row>
        <row r="269">
          <cell r="B269" t="str">
            <v>10/135237-6</v>
          </cell>
          <cell r="D269">
            <v>45717</v>
          </cell>
          <cell r="H269" t="str">
            <v>Aprovado</v>
          </cell>
          <cell r="O269" t="str">
            <v>Pago</v>
          </cell>
          <cell r="P269">
            <v>81.2</v>
          </cell>
        </row>
        <row r="270">
          <cell r="B270" t="str">
            <v>10/218777-1</v>
          </cell>
          <cell r="D270">
            <v>45717</v>
          </cell>
          <cell r="H270" t="str">
            <v>Aprovado</v>
          </cell>
          <cell r="O270" t="str">
            <v>Pago</v>
          </cell>
          <cell r="P270">
            <v>92.09</v>
          </cell>
        </row>
        <row r="271">
          <cell r="B271" t="str">
            <v>10/1548741-6</v>
          </cell>
          <cell r="D271">
            <v>45717</v>
          </cell>
          <cell r="H271" t="str">
            <v>Aprovado</v>
          </cell>
          <cell r="O271" t="str">
            <v>Pago</v>
          </cell>
          <cell r="P271">
            <v>102.97</v>
          </cell>
        </row>
        <row r="272">
          <cell r="B272" t="str">
            <v>10/987178-1</v>
          </cell>
          <cell r="D272">
            <v>45717</v>
          </cell>
          <cell r="H272" t="str">
            <v>Aprovado</v>
          </cell>
          <cell r="O272" t="str">
            <v>Pago</v>
          </cell>
          <cell r="P272">
            <v>30.97</v>
          </cell>
        </row>
        <row r="273">
          <cell r="B273" t="str">
            <v>10/257864-9</v>
          </cell>
          <cell r="D273">
            <v>45717</v>
          </cell>
          <cell r="H273" t="str">
            <v>Aprovado</v>
          </cell>
          <cell r="O273" t="str">
            <v>Atrasado</v>
          </cell>
          <cell r="P273">
            <v>0</v>
          </cell>
        </row>
        <row r="274">
          <cell r="B274" t="str">
            <v>10/10232-7</v>
          </cell>
          <cell r="D274">
            <v>45717</v>
          </cell>
          <cell r="H274" t="str">
            <v>Aprovado</v>
          </cell>
          <cell r="O274" t="str">
            <v>Atrasado</v>
          </cell>
          <cell r="P274">
            <v>0</v>
          </cell>
        </row>
        <row r="275">
          <cell r="B275" t="str">
            <v>10/384823-1</v>
          </cell>
          <cell r="D275">
            <v>45717</v>
          </cell>
          <cell r="H275" t="str">
            <v>Aprovado</v>
          </cell>
          <cell r="O275" t="str">
            <v>Pago</v>
          </cell>
          <cell r="P275">
            <v>118.04</v>
          </cell>
        </row>
        <row r="276">
          <cell r="B276" t="str">
            <v>10/2599101-9</v>
          </cell>
          <cell r="D276">
            <v>45717</v>
          </cell>
          <cell r="H276" t="str">
            <v>Aprovado</v>
          </cell>
          <cell r="O276" t="str">
            <v>Pago</v>
          </cell>
          <cell r="P276">
            <v>1100.1400000000001</v>
          </cell>
        </row>
        <row r="277">
          <cell r="B277" t="str">
            <v>10/202838-9</v>
          </cell>
          <cell r="D277">
            <v>45717</v>
          </cell>
          <cell r="H277" t="str">
            <v>Aprovado</v>
          </cell>
          <cell r="O277" t="str">
            <v>Pago</v>
          </cell>
          <cell r="P277">
            <v>864.05</v>
          </cell>
        </row>
        <row r="278">
          <cell r="B278" t="str">
            <v>10/1939035-0</v>
          </cell>
          <cell r="D278">
            <v>45717</v>
          </cell>
          <cell r="H278" t="str">
            <v>Aprovado</v>
          </cell>
          <cell r="O278" t="str">
            <v>Pago</v>
          </cell>
          <cell r="P278">
            <v>423.12</v>
          </cell>
        </row>
        <row r="279">
          <cell r="B279" t="str">
            <v>10/2605731-5</v>
          </cell>
          <cell r="D279">
            <v>45717</v>
          </cell>
          <cell r="H279" t="str">
            <v>Aprovado</v>
          </cell>
          <cell r="O279" t="str">
            <v>Pago</v>
          </cell>
          <cell r="P279">
            <v>604.46</v>
          </cell>
        </row>
        <row r="280">
          <cell r="B280" t="str">
            <v>10/2794432-1</v>
          </cell>
          <cell r="D280">
            <v>45717</v>
          </cell>
          <cell r="H280" t="str">
            <v>Aprovado</v>
          </cell>
          <cell r="O280" t="str">
            <v>Pago</v>
          </cell>
          <cell r="P280">
            <v>100.46</v>
          </cell>
        </row>
        <row r="281">
          <cell r="B281" t="str">
            <v>10/3005226-0</v>
          </cell>
          <cell r="D281">
            <v>45717</v>
          </cell>
          <cell r="H281" t="str">
            <v>Aprovado</v>
          </cell>
          <cell r="O281" t="str">
            <v>Atrasado</v>
          </cell>
          <cell r="P281">
            <v>0</v>
          </cell>
        </row>
        <row r="282">
          <cell r="B282" t="str">
            <v>10/3170252-5</v>
          </cell>
          <cell r="D282">
            <v>45717</v>
          </cell>
          <cell r="H282" t="str">
            <v>Não emitido</v>
          </cell>
          <cell r="O282" t="str">
            <v>Não faturado</v>
          </cell>
          <cell r="P282"/>
        </row>
        <row r="283">
          <cell r="B283" t="str">
            <v>10/2247256-7</v>
          </cell>
          <cell r="D283">
            <v>45717</v>
          </cell>
          <cell r="H283" t="str">
            <v>Aprovado</v>
          </cell>
          <cell r="O283" t="str">
            <v>Atrasado</v>
          </cell>
          <cell r="P283">
            <v>0</v>
          </cell>
        </row>
        <row r="284">
          <cell r="B284" t="str">
            <v>10/925970-6</v>
          </cell>
          <cell r="D284">
            <v>45717</v>
          </cell>
          <cell r="H284" t="str">
            <v>Aprovado</v>
          </cell>
          <cell r="O284" t="str">
            <v>Atrasado</v>
          </cell>
          <cell r="P284">
            <v>0</v>
          </cell>
        </row>
        <row r="285">
          <cell r="B285" t="str">
            <v>10/10731-8</v>
          </cell>
          <cell r="D285">
            <v>45717</v>
          </cell>
          <cell r="H285" t="str">
            <v>Não emitido</v>
          </cell>
          <cell r="O285" t="str">
            <v>Não faturado</v>
          </cell>
          <cell r="P285"/>
        </row>
        <row r="286">
          <cell r="B286" t="str">
            <v>10/76927-3</v>
          </cell>
          <cell r="D286">
            <v>45717</v>
          </cell>
          <cell r="H286" t="str">
            <v>Não emitido</v>
          </cell>
          <cell r="O286" t="str">
            <v>Não faturado</v>
          </cell>
          <cell r="P286"/>
        </row>
        <row r="287">
          <cell r="B287" t="str">
            <v>10/142353-2</v>
          </cell>
          <cell r="D287">
            <v>45717</v>
          </cell>
          <cell r="H287" t="str">
            <v>Não emitido</v>
          </cell>
          <cell r="O287" t="str">
            <v>Não faturado</v>
          </cell>
          <cell r="P287"/>
        </row>
        <row r="288">
          <cell r="B288" t="str">
            <v>10/435964-2</v>
          </cell>
          <cell r="D288">
            <v>45717</v>
          </cell>
          <cell r="H288" t="str">
            <v>Não emitido</v>
          </cell>
          <cell r="O288" t="str">
            <v>Não faturado</v>
          </cell>
          <cell r="P288"/>
        </row>
        <row r="289">
          <cell r="B289" t="str">
            <v>10/1081489-5</v>
          </cell>
          <cell r="D289">
            <v>45717</v>
          </cell>
          <cell r="H289" t="str">
            <v>Não emitido</v>
          </cell>
          <cell r="O289" t="str">
            <v>Não faturado</v>
          </cell>
          <cell r="P289"/>
        </row>
        <row r="290">
          <cell r="B290" t="str">
            <v>10/15297-5</v>
          </cell>
          <cell r="D290">
            <v>45717</v>
          </cell>
          <cell r="H290" t="str">
            <v>Não emitido</v>
          </cell>
          <cell r="O290" t="str">
            <v>Não faturado</v>
          </cell>
          <cell r="P290"/>
        </row>
        <row r="291">
          <cell r="B291" t="str">
            <v>10/8777-5</v>
          </cell>
          <cell r="D291">
            <v>45717</v>
          </cell>
          <cell r="H291" t="str">
            <v>Não emitido</v>
          </cell>
          <cell r="O291" t="str">
            <v>Não faturado</v>
          </cell>
          <cell r="P291"/>
        </row>
        <row r="292">
          <cell r="B292" t="str">
            <v>10/489076-0</v>
          </cell>
          <cell r="D292">
            <v>45717</v>
          </cell>
          <cell r="H292" t="str">
            <v>Não emitido</v>
          </cell>
          <cell r="O292" t="str">
            <v>Não faturado</v>
          </cell>
          <cell r="P292"/>
        </row>
        <row r="293">
          <cell r="B293" t="str">
            <v>10/504844-2</v>
          </cell>
          <cell r="D293">
            <v>45717</v>
          </cell>
          <cell r="H293" t="str">
            <v>Não emitido</v>
          </cell>
          <cell r="O293" t="str">
            <v>Não faturado</v>
          </cell>
          <cell r="P293"/>
        </row>
        <row r="294">
          <cell r="B294" t="str">
            <v>10/280638-8</v>
          </cell>
          <cell r="D294">
            <v>45717</v>
          </cell>
          <cell r="H294" t="str">
            <v>Aprovado</v>
          </cell>
          <cell r="O294" t="str">
            <v>Pago</v>
          </cell>
          <cell r="P294">
            <v>200.93</v>
          </cell>
        </row>
        <row r="295">
          <cell r="B295" t="str">
            <v>10/69319-2</v>
          </cell>
          <cell r="D295">
            <v>45717</v>
          </cell>
          <cell r="H295" t="str">
            <v>Não emitido</v>
          </cell>
          <cell r="O295" t="str">
            <v>Não faturado</v>
          </cell>
          <cell r="P295"/>
        </row>
        <row r="296">
          <cell r="B296" t="str">
            <v>10/480529-7</v>
          </cell>
          <cell r="D296">
            <v>45717</v>
          </cell>
          <cell r="H296" t="str">
            <v>Não emitido</v>
          </cell>
          <cell r="O296" t="str">
            <v>Não faturado</v>
          </cell>
          <cell r="P296"/>
        </row>
        <row r="297">
          <cell r="B297" t="str">
            <v>10/3139326-7</v>
          </cell>
          <cell r="D297">
            <v>45717</v>
          </cell>
          <cell r="H297" t="str">
            <v>Não emitido</v>
          </cell>
          <cell r="O297" t="str">
            <v>Não faturado</v>
          </cell>
          <cell r="P297"/>
        </row>
        <row r="298">
          <cell r="B298" t="str">
            <v>10/399338-3</v>
          </cell>
          <cell r="D298">
            <v>45717</v>
          </cell>
          <cell r="H298" t="str">
            <v>Não emitido</v>
          </cell>
          <cell r="O298" t="str">
            <v>Não faturado</v>
          </cell>
          <cell r="P298"/>
        </row>
        <row r="299">
          <cell r="B299" t="str">
            <v>10/61344-8</v>
          </cell>
          <cell r="D299">
            <v>45717</v>
          </cell>
          <cell r="H299" t="str">
            <v>Aprovado</v>
          </cell>
          <cell r="O299" t="str">
            <v>Pago</v>
          </cell>
          <cell r="P299">
            <v>503.99</v>
          </cell>
        </row>
        <row r="300">
          <cell r="B300" t="str">
            <v>10/252817-2</v>
          </cell>
          <cell r="D300">
            <v>45717</v>
          </cell>
          <cell r="H300" t="str">
            <v>Não emitido</v>
          </cell>
          <cell r="O300" t="str">
            <v>Não faturado</v>
          </cell>
          <cell r="P300"/>
        </row>
        <row r="301">
          <cell r="B301" t="str">
            <v>10/175073-6</v>
          </cell>
          <cell r="D301">
            <v>45717</v>
          </cell>
          <cell r="H301" t="str">
            <v>Aprovado</v>
          </cell>
          <cell r="O301" t="str">
            <v>Atrasado</v>
          </cell>
          <cell r="P301">
            <v>0</v>
          </cell>
        </row>
        <row r="302">
          <cell r="B302" t="str">
            <v>10/81222-2</v>
          </cell>
          <cell r="D302">
            <v>45717</v>
          </cell>
          <cell r="H302" t="str">
            <v>Não emitido</v>
          </cell>
          <cell r="O302" t="str">
            <v>Não faturado</v>
          </cell>
          <cell r="P302"/>
        </row>
        <row r="303">
          <cell r="B303" t="str">
            <v>10/1674177-9</v>
          </cell>
          <cell r="D303">
            <v>45717</v>
          </cell>
          <cell r="H303" t="str">
            <v>Não emitido</v>
          </cell>
          <cell r="O303" t="str">
            <v>Não faturado</v>
          </cell>
          <cell r="P303"/>
        </row>
        <row r="304">
          <cell r="B304" t="str">
            <v>10/72605-9</v>
          </cell>
          <cell r="D304">
            <v>45717</v>
          </cell>
          <cell r="H304" t="str">
            <v>Não emitido</v>
          </cell>
          <cell r="O304" t="str">
            <v>Não faturado</v>
          </cell>
          <cell r="P304"/>
        </row>
        <row r="305">
          <cell r="B305" t="str">
            <v>10/40190-1</v>
          </cell>
          <cell r="D305">
            <v>45717</v>
          </cell>
          <cell r="H305" t="str">
            <v>Não emitido</v>
          </cell>
          <cell r="O305" t="str">
            <v>Não faturado</v>
          </cell>
          <cell r="P305"/>
        </row>
        <row r="306">
          <cell r="B306" t="str">
            <v>10/1266128-6</v>
          </cell>
          <cell r="D306">
            <v>45717</v>
          </cell>
          <cell r="H306" t="str">
            <v>Aprovado</v>
          </cell>
          <cell r="O306" t="str">
            <v>Pago</v>
          </cell>
          <cell r="P306">
            <v>263.73</v>
          </cell>
        </row>
        <row r="307">
          <cell r="B307" t="str">
            <v>10/952579-1</v>
          </cell>
          <cell r="D307">
            <v>45717</v>
          </cell>
          <cell r="H307" t="str">
            <v>Aprovado</v>
          </cell>
          <cell r="O307" t="str">
            <v>Pago</v>
          </cell>
          <cell r="P307">
            <v>65.02</v>
          </cell>
        </row>
        <row r="308">
          <cell r="B308" t="str">
            <v>10/505854-0</v>
          </cell>
          <cell r="D308">
            <v>45717</v>
          </cell>
          <cell r="H308" t="str">
            <v>Aprovado</v>
          </cell>
          <cell r="O308" t="str">
            <v>Pago</v>
          </cell>
          <cell r="P308">
            <v>16.8</v>
          </cell>
        </row>
        <row r="309">
          <cell r="B309" t="str">
            <v>10/127464-6</v>
          </cell>
          <cell r="D309">
            <v>45717</v>
          </cell>
          <cell r="H309" t="str">
            <v>Não emitido</v>
          </cell>
          <cell r="O309" t="str">
            <v>Não faturado</v>
          </cell>
          <cell r="P309"/>
        </row>
        <row r="310">
          <cell r="B310" t="str">
            <v>10/24514-2</v>
          </cell>
          <cell r="D310">
            <v>45717</v>
          </cell>
          <cell r="H310" t="str">
            <v>Não emitido</v>
          </cell>
          <cell r="O310" t="str">
            <v>Não faturado</v>
          </cell>
          <cell r="P310"/>
        </row>
        <row r="311">
          <cell r="B311" t="str">
            <v>10/283183-2</v>
          </cell>
          <cell r="D311">
            <v>45717</v>
          </cell>
          <cell r="H311" t="str">
            <v>Aprovado</v>
          </cell>
          <cell r="O311" t="str">
            <v>Pago</v>
          </cell>
          <cell r="P311">
            <v>38.72</v>
          </cell>
        </row>
        <row r="312">
          <cell r="B312" t="str">
            <v>10/13786-9</v>
          </cell>
          <cell r="D312">
            <v>45717</v>
          </cell>
          <cell r="H312" t="str">
            <v>Não emitido</v>
          </cell>
          <cell r="O312" t="str">
            <v>Não faturado</v>
          </cell>
          <cell r="P312"/>
        </row>
        <row r="313">
          <cell r="B313" t="str">
            <v>10/63920-3</v>
          </cell>
          <cell r="D313">
            <v>45717</v>
          </cell>
          <cell r="H313" t="str">
            <v>Não emitido</v>
          </cell>
          <cell r="O313" t="str">
            <v>Não faturado</v>
          </cell>
          <cell r="P313"/>
        </row>
        <row r="314">
          <cell r="B314" t="str">
            <v>10/3123706-8</v>
          </cell>
          <cell r="D314">
            <v>45717</v>
          </cell>
          <cell r="H314" t="str">
            <v>Aprovado</v>
          </cell>
          <cell r="O314" t="str">
            <v>Pago</v>
          </cell>
          <cell r="P314">
            <v>175.34</v>
          </cell>
        </row>
        <row r="315">
          <cell r="B315" t="str">
            <v>10/129490-9</v>
          </cell>
          <cell r="D315">
            <v>45717</v>
          </cell>
          <cell r="H315" t="str">
            <v>Aprovado</v>
          </cell>
          <cell r="O315" t="str">
            <v>Pago</v>
          </cell>
          <cell r="P315">
            <v>175.34</v>
          </cell>
        </row>
        <row r="316">
          <cell r="B316" t="str">
            <v>10/2338577-6</v>
          </cell>
          <cell r="D316">
            <v>45717</v>
          </cell>
          <cell r="H316" t="str">
            <v>Não emitido</v>
          </cell>
          <cell r="O316" t="str">
            <v>Não faturado</v>
          </cell>
          <cell r="P316"/>
        </row>
        <row r="317">
          <cell r="B317" t="str">
            <v>10/41548-9</v>
          </cell>
          <cell r="D317">
            <v>45717</v>
          </cell>
          <cell r="H317" t="str">
            <v>Não emitido</v>
          </cell>
          <cell r="O317" t="str">
            <v>Não faturado</v>
          </cell>
          <cell r="P317"/>
        </row>
        <row r="318">
          <cell r="B318" t="str">
            <v>10/52987-5</v>
          </cell>
          <cell r="D318">
            <v>45717</v>
          </cell>
          <cell r="H318" t="str">
            <v>Não emitido</v>
          </cell>
          <cell r="O318" t="str">
            <v>Não faturado</v>
          </cell>
          <cell r="P318"/>
        </row>
        <row r="319">
          <cell r="B319" t="str">
            <v>10/341308-5</v>
          </cell>
          <cell r="D319">
            <v>45717</v>
          </cell>
          <cell r="H319" t="str">
            <v>Não emitido</v>
          </cell>
          <cell r="O319" t="str">
            <v>Não faturado</v>
          </cell>
          <cell r="P319"/>
        </row>
        <row r="320">
          <cell r="B320" t="str">
            <v>10/512142-1</v>
          </cell>
          <cell r="D320">
            <v>45717</v>
          </cell>
          <cell r="H320" t="str">
            <v>Não emitido</v>
          </cell>
          <cell r="O320" t="str">
            <v>Não faturado</v>
          </cell>
          <cell r="P320"/>
        </row>
        <row r="321">
          <cell r="B321" t="str">
            <v>10/1288241-1</v>
          </cell>
          <cell r="D321">
            <v>45717</v>
          </cell>
          <cell r="H321" t="str">
            <v>Não emitido</v>
          </cell>
          <cell r="O321" t="str">
            <v>Não faturado</v>
          </cell>
          <cell r="P321"/>
        </row>
        <row r="322">
          <cell r="B322" t="str">
            <v>10/239312-2</v>
          </cell>
          <cell r="D322">
            <v>45717</v>
          </cell>
          <cell r="H322" t="str">
            <v>Não emitido</v>
          </cell>
          <cell r="O322" t="str">
            <v>Não faturado</v>
          </cell>
          <cell r="P322"/>
        </row>
        <row r="323">
          <cell r="B323" t="str">
            <v>10/3054052-0</v>
          </cell>
          <cell r="D323">
            <v>45717</v>
          </cell>
          <cell r="H323" t="str">
            <v>Aprovado</v>
          </cell>
          <cell r="O323" t="str">
            <v>Pago</v>
          </cell>
          <cell r="P323">
            <v>51.87</v>
          </cell>
        </row>
        <row r="324">
          <cell r="B324" t="str">
            <v>10/109074-5</v>
          </cell>
          <cell r="D324">
            <v>45717</v>
          </cell>
          <cell r="H324" t="str">
            <v>Não emitido</v>
          </cell>
          <cell r="O324" t="str">
            <v>Não faturado</v>
          </cell>
          <cell r="P324"/>
        </row>
        <row r="325">
          <cell r="B325" t="str">
            <v>10/1130988-7</v>
          </cell>
          <cell r="D325">
            <v>45717</v>
          </cell>
          <cell r="H325" t="str">
            <v>Aprovado</v>
          </cell>
          <cell r="O325" t="str">
            <v>Pago</v>
          </cell>
          <cell r="P325">
            <v>87.67</v>
          </cell>
        </row>
        <row r="326">
          <cell r="B326" t="str">
            <v>10/78338-1</v>
          </cell>
          <cell r="D326">
            <v>45717</v>
          </cell>
          <cell r="H326" t="str">
            <v>Não emitido</v>
          </cell>
          <cell r="O326" t="str">
            <v>Não faturado</v>
          </cell>
          <cell r="P326"/>
        </row>
        <row r="327">
          <cell r="B327" t="str">
            <v>10/530195-7</v>
          </cell>
          <cell r="D327">
            <v>45717</v>
          </cell>
          <cell r="H327" t="str">
            <v>Não emitido</v>
          </cell>
          <cell r="O327" t="str">
            <v>Não faturado</v>
          </cell>
          <cell r="P327"/>
        </row>
        <row r="328">
          <cell r="B328" t="str">
            <v>10/3040565-8</v>
          </cell>
          <cell r="D328">
            <v>45717</v>
          </cell>
          <cell r="H328" t="str">
            <v>Aprovado</v>
          </cell>
          <cell r="O328" t="str">
            <v>Atrasado</v>
          </cell>
          <cell r="P328">
            <v>0</v>
          </cell>
        </row>
        <row r="329">
          <cell r="B329" t="str">
            <v>10/395471-6</v>
          </cell>
          <cell r="D329">
            <v>45717</v>
          </cell>
          <cell r="H329" t="str">
            <v>Não emitido</v>
          </cell>
          <cell r="O329" t="str">
            <v>Não faturado</v>
          </cell>
          <cell r="P329"/>
        </row>
        <row r="330">
          <cell r="B330" t="str">
            <v>10/3125732-2</v>
          </cell>
          <cell r="D330">
            <v>45717</v>
          </cell>
          <cell r="H330" t="str">
            <v>Não emitido</v>
          </cell>
          <cell r="O330" t="str">
            <v>Não faturado</v>
          </cell>
          <cell r="P330"/>
        </row>
        <row r="331">
          <cell r="B331" t="str">
            <v>10/2344751-9</v>
          </cell>
          <cell r="D331">
            <v>45717</v>
          </cell>
          <cell r="H331" t="str">
            <v>Não emitido</v>
          </cell>
          <cell r="O331" t="str">
            <v>Não faturado</v>
          </cell>
          <cell r="P331"/>
        </row>
        <row r="332">
          <cell r="B332" t="str">
            <v>10/31292-6</v>
          </cell>
          <cell r="D332">
            <v>45717</v>
          </cell>
          <cell r="H332" t="str">
            <v>Não emitido</v>
          </cell>
          <cell r="O332" t="str">
            <v>Não faturado</v>
          </cell>
          <cell r="P332"/>
        </row>
        <row r="333">
          <cell r="B333" t="str">
            <v>10/466560-0</v>
          </cell>
          <cell r="D333">
            <v>45717</v>
          </cell>
          <cell r="H333" t="str">
            <v>Não emitido</v>
          </cell>
          <cell r="O333" t="str">
            <v>Não faturado</v>
          </cell>
          <cell r="P333"/>
        </row>
        <row r="334">
          <cell r="B334" t="str">
            <v>10/260761-2</v>
          </cell>
          <cell r="D334">
            <v>45717</v>
          </cell>
          <cell r="H334" t="str">
            <v>Não emitido</v>
          </cell>
          <cell r="O334" t="str">
            <v>Não faturado</v>
          </cell>
          <cell r="P334"/>
        </row>
        <row r="335">
          <cell r="B335" t="str">
            <v>10/908866-7</v>
          </cell>
          <cell r="D335">
            <v>45717</v>
          </cell>
          <cell r="H335" t="str">
            <v>Não emitido</v>
          </cell>
          <cell r="O335" t="str">
            <v>Não faturado</v>
          </cell>
          <cell r="P335"/>
        </row>
        <row r="336">
          <cell r="B336" t="str">
            <v>10/364440-8</v>
          </cell>
          <cell r="D336">
            <v>45748</v>
          </cell>
          <cell r="H336" t="str">
            <v>Aprovado</v>
          </cell>
          <cell r="O336" t="str">
            <v>Atrasado</v>
          </cell>
          <cell r="P336">
            <v>0</v>
          </cell>
        </row>
        <row r="337">
          <cell r="B337" t="str">
            <v>10/5202-7</v>
          </cell>
          <cell r="D337">
            <v>45748</v>
          </cell>
          <cell r="H337" t="str">
            <v>Aprovado</v>
          </cell>
          <cell r="O337" t="str">
            <v>Pago</v>
          </cell>
          <cell r="P337">
            <v>1641.54</v>
          </cell>
        </row>
        <row r="338">
          <cell r="B338" t="str">
            <v>10/1672452-8</v>
          </cell>
          <cell r="D338">
            <v>45748</v>
          </cell>
          <cell r="H338" t="str">
            <v>Aprovado</v>
          </cell>
          <cell r="O338" t="str">
            <v>Pago</v>
          </cell>
          <cell r="P338">
            <v>354.55</v>
          </cell>
        </row>
        <row r="339">
          <cell r="B339" t="str">
            <v>10/18015-8</v>
          </cell>
          <cell r="D339">
            <v>45748</v>
          </cell>
          <cell r="H339" t="str">
            <v>Aprovado</v>
          </cell>
          <cell r="O339" t="str">
            <v>Pago</v>
          </cell>
          <cell r="P339">
            <v>183.38</v>
          </cell>
        </row>
        <row r="340">
          <cell r="B340" t="str">
            <v>10/29964-4</v>
          </cell>
          <cell r="D340">
            <v>45748</v>
          </cell>
          <cell r="H340" t="str">
            <v>Aprovado</v>
          </cell>
          <cell r="O340" t="str">
            <v>Pago</v>
          </cell>
          <cell r="P340">
            <v>504.92</v>
          </cell>
        </row>
        <row r="341">
          <cell r="B341" t="str">
            <v>10/191945-5</v>
          </cell>
          <cell r="D341">
            <v>45748</v>
          </cell>
          <cell r="H341" t="str">
            <v>Aprovado</v>
          </cell>
          <cell r="O341" t="str">
            <v>Pago</v>
          </cell>
          <cell r="P341">
            <v>91.74</v>
          </cell>
        </row>
        <row r="342">
          <cell r="B342" t="str">
            <v>10/513413-5</v>
          </cell>
          <cell r="D342">
            <v>45748</v>
          </cell>
          <cell r="H342" t="str">
            <v>Não emitido</v>
          </cell>
          <cell r="O342" t="str">
            <v>Não faturado</v>
          </cell>
          <cell r="P342"/>
        </row>
        <row r="343">
          <cell r="B343" t="str">
            <v>10/510330-4</v>
          </cell>
          <cell r="D343">
            <v>45748</v>
          </cell>
          <cell r="H343" t="str">
            <v>Aprovado</v>
          </cell>
          <cell r="O343" t="str">
            <v>Pago</v>
          </cell>
          <cell r="P343">
            <v>201.37</v>
          </cell>
        </row>
        <row r="344">
          <cell r="B344" t="str">
            <v>10/3030784-7</v>
          </cell>
          <cell r="D344">
            <v>45748</v>
          </cell>
          <cell r="H344" t="str">
            <v>Aprovado</v>
          </cell>
          <cell r="O344" t="str">
            <v>Pago</v>
          </cell>
          <cell r="P344">
            <v>285.67</v>
          </cell>
        </row>
        <row r="345">
          <cell r="B345" t="str">
            <v>10/3092868-3</v>
          </cell>
          <cell r="D345">
            <v>45748</v>
          </cell>
          <cell r="H345" t="str">
            <v>Aprovado</v>
          </cell>
          <cell r="O345" t="str">
            <v>Pago</v>
          </cell>
          <cell r="P345">
            <v>282.13</v>
          </cell>
        </row>
        <row r="346">
          <cell r="B346" t="str">
            <v>10/276283-9</v>
          </cell>
          <cell r="D346">
            <v>45748</v>
          </cell>
          <cell r="H346" t="str">
            <v>Aprovado</v>
          </cell>
          <cell r="O346" t="str">
            <v>Pago</v>
          </cell>
          <cell r="P346">
            <v>77.41</v>
          </cell>
        </row>
        <row r="347">
          <cell r="B347" t="str">
            <v>10/532723-4</v>
          </cell>
          <cell r="D347">
            <v>45748</v>
          </cell>
          <cell r="H347" t="str">
            <v>Aprovado</v>
          </cell>
          <cell r="O347" t="str">
            <v>Atrasado</v>
          </cell>
          <cell r="P347">
            <v>0</v>
          </cell>
        </row>
        <row r="348">
          <cell r="B348" t="str">
            <v>10/1035655-8</v>
          </cell>
          <cell r="D348">
            <v>45748</v>
          </cell>
          <cell r="H348" t="str">
            <v>Aprovado</v>
          </cell>
          <cell r="O348" t="str">
            <v>Pago</v>
          </cell>
          <cell r="P348">
            <v>200.2</v>
          </cell>
        </row>
        <row r="349">
          <cell r="B349" t="str">
            <v>10/532081-7</v>
          </cell>
          <cell r="D349">
            <v>45748</v>
          </cell>
          <cell r="H349" t="str">
            <v>Aprovado</v>
          </cell>
          <cell r="O349" t="str">
            <v>Atrasado</v>
          </cell>
          <cell r="P349">
            <v>0</v>
          </cell>
        </row>
        <row r="350">
          <cell r="B350" t="str">
            <v>10/156956-5</v>
          </cell>
          <cell r="D350">
            <v>45748</v>
          </cell>
          <cell r="H350" t="str">
            <v>Aprovado</v>
          </cell>
          <cell r="O350" t="str">
            <v>Pago</v>
          </cell>
          <cell r="P350">
            <v>181.03</v>
          </cell>
        </row>
        <row r="351">
          <cell r="B351" t="str">
            <v>10/104720-8</v>
          </cell>
          <cell r="D351">
            <v>45748</v>
          </cell>
          <cell r="H351" t="str">
            <v>Não emitido</v>
          </cell>
          <cell r="O351" t="str">
            <v>Não faturado</v>
          </cell>
          <cell r="P351"/>
        </row>
        <row r="352">
          <cell r="B352" t="str">
            <v>10/511753-6</v>
          </cell>
          <cell r="D352">
            <v>45748</v>
          </cell>
          <cell r="H352" t="str">
            <v>Aprovado</v>
          </cell>
          <cell r="O352" t="str">
            <v>Pago</v>
          </cell>
          <cell r="P352">
            <v>151.04</v>
          </cell>
        </row>
        <row r="353">
          <cell r="B353" t="str">
            <v>10/931327-1</v>
          </cell>
          <cell r="D353">
            <v>45748</v>
          </cell>
          <cell r="H353" t="str">
            <v>Aprovado</v>
          </cell>
          <cell r="O353" t="str">
            <v>Pago</v>
          </cell>
          <cell r="P353">
            <v>209.76</v>
          </cell>
        </row>
        <row r="354">
          <cell r="B354" t="str">
            <v>10/1698130-0</v>
          </cell>
          <cell r="D354">
            <v>45748</v>
          </cell>
          <cell r="H354" t="str">
            <v>Aprovado</v>
          </cell>
          <cell r="O354" t="str">
            <v>Pago</v>
          </cell>
          <cell r="P354">
            <v>156.78</v>
          </cell>
        </row>
        <row r="355">
          <cell r="B355" t="str">
            <v>10/150263-2</v>
          </cell>
          <cell r="D355">
            <v>45748</v>
          </cell>
          <cell r="H355" t="str">
            <v>Aprovado</v>
          </cell>
          <cell r="O355" t="str">
            <v>Atrasado</v>
          </cell>
          <cell r="P355">
            <v>0</v>
          </cell>
        </row>
        <row r="356">
          <cell r="B356" t="str">
            <v>10/113971-6</v>
          </cell>
          <cell r="D356">
            <v>45748</v>
          </cell>
          <cell r="H356" t="str">
            <v>Não emitido</v>
          </cell>
          <cell r="O356" t="str">
            <v>Não faturado</v>
          </cell>
          <cell r="P356"/>
        </row>
        <row r="357">
          <cell r="B357" t="str">
            <v>10/1184751-4</v>
          </cell>
          <cell r="D357">
            <v>45748</v>
          </cell>
          <cell r="H357" t="str">
            <v>Aprovado</v>
          </cell>
          <cell r="O357" t="str">
            <v>Pago</v>
          </cell>
          <cell r="P357">
            <v>185.51</v>
          </cell>
        </row>
        <row r="358">
          <cell r="B358" t="str">
            <v>10/237441-1</v>
          </cell>
          <cell r="D358">
            <v>45748</v>
          </cell>
          <cell r="H358" t="str">
            <v>Aprovado</v>
          </cell>
          <cell r="O358" t="str">
            <v>Pago</v>
          </cell>
          <cell r="P358">
            <v>43.64</v>
          </cell>
        </row>
        <row r="359">
          <cell r="B359" t="str">
            <v>10/1695011-5</v>
          </cell>
          <cell r="D359">
            <v>45748</v>
          </cell>
          <cell r="H359" t="str">
            <v>Aprovado</v>
          </cell>
          <cell r="O359" t="str">
            <v>Pago</v>
          </cell>
          <cell r="P359">
            <v>60.32</v>
          </cell>
        </row>
        <row r="360">
          <cell r="B360" t="str">
            <v>10/1433087-2</v>
          </cell>
          <cell r="D360">
            <v>45748</v>
          </cell>
          <cell r="H360" t="str">
            <v>Aprovado</v>
          </cell>
          <cell r="O360" t="str">
            <v>Pago</v>
          </cell>
          <cell r="P360">
            <v>108.26</v>
          </cell>
        </row>
        <row r="361">
          <cell r="B361" t="str">
            <v>10/452884-0</v>
          </cell>
          <cell r="D361">
            <v>45748</v>
          </cell>
          <cell r="H361" t="str">
            <v>Aprovado</v>
          </cell>
          <cell r="O361" t="str">
            <v>Pago</v>
          </cell>
          <cell r="P361">
            <v>211.63</v>
          </cell>
        </row>
        <row r="362">
          <cell r="B362" t="str">
            <v>10/1117293-9</v>
          </cell>
          <cell r="D362">
            <v>45748</v>
          </cell>
          <cell r="H362" t="str">
            <v>Aprovado</v>
          </cell>
          <cell r="O362" t="str">
            <v>Atrasado</v>
          </cell>
          <cell r="P362">
            <v>0</v>
          </cell>
        </row>
        <row r="363">
          <cell r="B363" t="str">
            <v>10/501586-2</v>
          </cell>
          <cell r="D363">
            <v>45748</v>
          </cell>
          <cell r="H363" t="str">
            <v>Aprovado</v>
          </cell>
          <cell r="O363" t="str">
            <v>Pago</v>
          </cell>
          <cell r="P363">
            <v>117.17</v>
          </cell>
        </row>
        <row r="364">
          <cell r="B364" t="str">
            <v>10/162736-3</v>
          </cell>
          <cell r="D364">
            <v>45748</v>
          </cell>
          <cell r="H364" t="str">
            <v>Aprovado</v>
          </cell>
          <cell r="O364" t="str">
            <v>Atrasado</v>
          </cell>
          <cell r="P364">
            <v>0</v>
          </cell>
        </row>
        <row r="365">
          <cell r="B365" t="str">
            <v>10/226667-4</v>
          </cell>
          <cell r="D365">
            <v>45748</v>
          </cell>
          <cell r="H365" t="str">
            <v>Aprovado</v>
          </cell>
          <cell r="O365" t="str">
            <v>Pago</v>
          </cell>
          <cell r="P365">
            <v>40.57</v>
          </cell>
        </row>
        <row r="366">
          <cell r="B366" t="str">
            <v>10/135237-6</v>
          </cell>
          <cell r="D366">
            <v>45748</v>
          </cell>
          <cell r="H366" t="str">
            <v>Aprovado</v>
          </cell>
          <cell r="O366" t="str">
            <v>Atrasado</v>
          </cell>
          <cell r="P366">
            <v>0</v>
          </cell>
        </row>
        <row r="367">
          <cell r="B367" t="str">
            <v>10/218777-1</v>
          </cell>
          <cell r="D367">
            <v>45748</v>
          </cell>
          <cell r="H367" t="str">
            <v>Aprovado</v>
          </cell>
          <cell r="O367" t="str">
            <v>Pago</v>
          </cell>
          <cell r="P367">
            <v>102.94</v>
          </cell>
        </row>
        <row r="368">
          <cell r="B368" t="str">
            <v>10/1548741-6</v>
          </cell>
          <cell r="D368">
            <v>45748</v>
          </cell>
          <cell r="H368" t="str">
            <v>Aprovado</v>
          </cell>
          <cell r="O368" t="str">
            <v>Pago</v>
          </cell>
          <cell r="P368">
            <v>124.81</v>
          </cell>
        </row>
        <row r="369">
          <cell r="B369" t="str">
            <v>10/987178-1</v>
          </cell>
          <cell r="D369">
            <v>45748</v>
          </cell>
          <cell r="H369" t="str">
            <v>Aprovado</v>
          </cell>
          <cell r="O369" t="str">
            <v>Atrasado</v>
          </cell>
          <cell r="P369">
            <v>0</v>
          </cell>
        </row>
        <row r="370">
          <cell r="B370" t="str">
            <v>10/257864-9</v>
          </cell>
          <cell r="D370">
            <v>45748</v>
          </cell>
          <cell r="H370" t="str">
            <v>Aprovado</v>
          </cell>
          <cell r="O370" t="str">
            <v>Atrasado</v>
          </cell>
          <cell r="P370">
            <v>0</v>
          </cell>
        </row>
        <row r="371">
          <cell r="B371" t="str">
            <v>10/10232-7</v>
          </cell>
          <cell r="D371">
            <v>45748</v>
          </cell>
          <cell r="H371" t="str">
            <v>Aprovado</v>
          </cell>
          <cell r="O371" t="str">
            <v>Pago</v>
          </cell>
          <cell r="P371">
            <v>125.36</v>
          </cell>
        </row>
        <row r="372">
          <cell r="B372" t="str">
            <v>10/384823-1</v>
          </cell>
          <cell r="D372">
            <v>45748</v>
          </cell>
          <cell r="H372" t="str">
            <v>Aprovado</v>
          </cell>
          <cell r="O372" t="str">
            <v>Atrasado</v>
          </cell>
          <cell r="P372">
            <v>0</v>
          </cell>
        </row>
        <row r="373">
          <cell r="B373" t="str">
            <v>10/2599101-9</v>
          </cell>
          <cell r="D373">
            <v>45748</v>
          </cell>
          <cell r="H373" t="str">
            <v>Aprovado</v>
          </cell>
          <cell r="O373" t="str">
            <v>Pago</v>
          </cell>
          <cell r="P373">
            <v>704.99</v>
          </cell>
        </row>
        <row r="374">
          <cell r="B374" t="str">
            <v>10/202838-9</v>
          </cell>
          <cell r="D374">
            <v>45748</v>
          </cell>
          <cell r="H374" t="str">
            <v>Aprovado</v>
          </cell>
          <cell r="O374" t="str">
            <v>Pago</v>
          </cell>
          <cell r="P374">
            <v>437.88</v>
          </cell>
        </row>
        <row r="375">
          <cell r="B375" t="str">
            <v>10/1939035-0</v>
          </cell>
          <cell r="D375">
            <v>45748</v>
          </cell>
          <cell r="H375" t="str">
            <v>Aprovado</v>
          </cell>
          <cell r="O375" t="str">
            <v>Pago</v>
          </cell>
          <cell r="P375">
            <v>267.77</v>
          </cell>
        </row>
        <row r="376">
          <cell r="B376" t="str">
            <v>10/2605731-5</v>
          </cell>
          <cell r="D376">
            <v>45748</v>
          </cell>
          <cell r="H376" t="str">
            <v>Aprovado</v>
          </cell>
          <cell r="O376" t="str">
            <v>Pago</v>
          </cell>
          <cell r="P376">
            <v>551.29999999999995</v>
          </cell>
        </row>
        <row r="377">
          <cell r="B377" t="str">
            <v>10/2794432-1</v>
          </cell>
          <cell r="D377">
            <v>45748</v>
          </cell>
          <cell r="H377" t="str">
            <v>Aprovado</v>
          </cell>
          <cell r="O377" t="str">
            <v>Pago</v>
          </cell>
          <cell r="P377">
            <v>91.72</v>
          </cell>
        </row>
        <row r="378">
          <cell r="B378" t="str">
            <v>10/3005226-0</v>
          </cell>
          <cell r="D378">
            <v>45748</v>
          </cell>
          <cell r="H378" t="str">
            <v>Aprovado</v>
          </cell>
          <cell r="O378" t="str">
            <v>Pago</v>
          </cell>
          <cell r="P378">
            <v>207.56</v>
          </cell>
        </row>
        <row r="379">
          <cell r="B379" t="str">
            <v>10/3170252-5</v>
          </cell>
          <cell r="D379">
            <v>45748</v>
          </cell>
          <cell r="H379" t="str">
            <v>Não emitido</v>
          </cell>
          <cell r="O379" t="str">
            <v>Não faturado</v>
          </cell>
          <cell r="P379"/>
        </row>
        <row r="380">
          <cell r="B380" t="str">
            <v>10/2247256-7</v>
          </cell>
          <cell r="D380">
            <v>45748</v>
          </cell>
          <cell r="H380" t="str">
            <v>Aprovado</v>
          </cell>
          <cell r="O380" t="str">
            <v>Atrasado</v>
          </cell>
          <cell r="P380">
            <v>0</v>
          </cell>
        </row>
        <row r="381">
          <cell r="B381" t="str">
            <v>10/925970-6</v>
          </cell>
          <cell r="D381">
            <v>45748</v>
          </cell>
          <cell r="H381" t="str">
            <v>Aprovado</v>
          </cell>
          <cell r="O381" t="str">
            <v>Pago</v>
          </cell>
          <cell r="P381">
            <v>377.05</v>
          </cell>
        </row>
        <row r="382">
          <cell r="B382" t="str">
            <v>10/10731-8</v>
          </cell>
          <cell r="D382">
            <v>45748</v>
          </cell>
          <cell r="H382" t="str">
            <v>Não emitido</v>
          </cell>
          <cell r="O382" t="str">
            <v>Não faturado</v>
          </cell>
          <cell r="P382"/>
        </row>
        <row r="383">
          <cell r="B383" t="str">
            <v>10/76927-3</v>
          </cell>
          <cell r="D383">
            <v>45748</v>
          </cell>
          <cell r="H383" t="str">
            <v>Aprovado</v>
          </cell>
          <cell r="O383" t="str">
            <v>Atrasado</v>
          </cell>
          <cell r="P383">
            <v>0</v>
          </cell>
        </row>
        <row r="384">
          <cell r="B384" t="str">
            <v>10/142353-2</v>
          </cell>
          <cell r="D384">
            <v>45748</v>
          </cell>
          <cell r="H384" t="str">
            <v>Aprovado</v>
          </cell>
          <cell r="O384" t="str">
            <v>Atrasado</v>
          </cell>
          <cell r="P384">
            <v>0</v>
          </cell>
        </row>
        <row r="385">
          <cell r="B385" t="str">
            <v>10/435964-2</v>
          </cell>
          <cell r="D385">
            <v>45748</v>
          </cell>
          <cell r="H385" t="str">
            <v>Aprovado</v>
          </cell>
          <cell r="O385" t="str">
            <v>Pago</v>
          </cell>
          <cell r="P385">
            <v>175.19</v>
          </cell>
        </row>
        <row r="386">
          <cell r="B386" t="str">
            <v>10/1081489-5</v>
          </cell>
          <cell r="D386">
            <v>45748</v>
          </cell>
          <cell r="H386" t="str">
            <v>Aprovado</v>
          </cell>
          <cell r="O386" t="str">
            <v>Atrasado</v>
          </cell>
          <cell r="P386">
            <v>0</v>
          </cell>
        </row>
        <row r="387">
          <cell r="B387" t="str">
            <v>10/15297-5</v>
          </cell>
          <cell r="D387">
            <v>45748</v>
          </cell>
          <cell r="H387" t="str">
            <v>Aprovado</v>
          </cell>
          <cell r="O387" t="str">
            <v>Pago</v>
          </cell>
          <cell r="P387">
            <v>251.02</v>
          </cell>
        </row>
        <row r="388">
          <cell r="B388" t="str">
            <v>10/8777-5</v>
          </cell>
          <cell r="D388">
            <v>45748</v>
          </cell>
          <cell r="H388" t="str">
            <v>Aprovado</v>
          </cell>
          <cell r="O388" t="str">
            <v>Pago</v>
          </cell>
          <cell r="P388">
            <v>175.09</v>
          </cell>
        </row>
        <row r="389">
          <cell r="B389" t="str">
            <v>10/489076-0</v>
          </cell>
          <cell r="D389">
            <v>45748</v>
          </cell>
          <cell r="H389" t="str">
            <v>Aprovado</v>
          </cell>
          <cell r="O389" t="str">
            <v>Pago</v>
          </cell>
          <cell r="P389">
            <v>263.73</v>
          </cell>
        </row>
        <row r="390">
          <cell r="B390" t="str">
            <v>10/504844-2</v>
          </cell>
          <cell r="D390">
            <v>45748</v>
          </cell>
          <cell r="H390" t="str">
            <v>Aprovado</v>
          </cell>
          <cell r="O390" t="str">
            <v>Pago</v>
          </cell>
          <cell r="P390">
            <v>175.19</v>
          </cell>
        </row>
        <row r="391">
          <cell r="B391" t="str">
            <v>10/280638-8</v>
          </cell>
          <cell r="D391">
            <v>45748</v>
          </cell>
          <cell r="H391" t="str">
            <v>Aprovado</v>
          </cell>
          <cell r="O391" t="str">
            <v>Pago</v>
          </cell>
          <cell r="P391">
            <v>150.24</v>
          </cell>
        </row>
        <row r="392">
          <cell r="B392" t="str">
            <v>10/69319-2</v>
          </cell>
          <cell r="D392">
            <v>45748</v>
          </cell>
          <cell r="H392" t="str">
            <v>Aprovado</v>
          </cell>
          <cell r="O392" t="str">
            <v>Atrasado</v>
          </cell>
          <cell r="P392">
            <v>0</v>
          </cell>
        </row>
        <row r="393">
          <cell r="B393" t="str">
            <v>10/480529-7</v>
          </cell>
          <cell r="D393">
            <v>45748</v>
          </cell>
          <cell r="H393" t="str">
            <v>Aprovado</v>
          </cell>
          <cell r="O393" t="str">
            <v>Pago</v>
          </cell>
          <cell r="P393">
            <v>175.24</v>
          </cell>
        </row>
        <row r="394">
          <cell r="B394" t="str">
            <v>10/3139326-7</v>
          </cell>
          <cell r="D394">
            <v>45748</v>
          </cell>
          <cell r="H394" t="str">
            <v>Aprovado</v>
          </cell>
          <cell r="O394" t="str">
            <v>Atrasado</v>
          </cell>
          <cell r="P394">
            <v>0</v>
          </cell>
        </row>
        <row r="395">
          <cell r="B395" t="str">
            <v>10/399338-3</v>
          </cell>
          <cell r="D395">
            <v>45748</v>
          </cell>
          <cell r="H395" t="str">
            <v>Aprovado</v>
          </cell>
          <cell r="O395" t="str">
            <v>Pago</v>
          </cell>
          <cell r="P395">
            <v>351.11</v>
          </cell>
        </row>
        <row r="396">
          <cell r="B396" t="str">
            <v>10/61344-8</v>
          </cell>
          <cell r="D396">
            <v>45748</v>
          </cell>
          <cell r="H396" t="str">
            <v>Aprovado</v>
          </cell>
          <cell r="O396" t="str">
            <v>Pago</v>
          </cell>
          <cell r="P396">
            <v>376.88</v>
          </cell>
        </row>
        <row r="397">
          <cell r="B397" t="str">
            <v>10/252817-2</v>
          </cell>
          <cell r="D397">
            <v>45748</v>
          </cell>
          <cell r="H397" t="str">
            <v>Aprovado</v>
          </cell>
          <cell r="O397" t="str">
            <v>Pago</v>
          </cell>
          <cell r="P397">
            <v>87.54</v>
          </cell>
        </row>
        <row r="398">
          <cell r="B398" t="str">
            <v>10/175073-6</v>
          </cell>
          <cell r="D398">
            <v>45748</v>
          </cell>
          <cell r="H398" t="str">
            <v>Aprovado</v>
          </cell>
          <cell r="O398" t="str">
            <v>Atrasado</v>
          </cell>
          <cell r="P398">
            <v>0</v>
          </cell>
        </row>
        <row r="399">
          <cell r="B399" t="str">
            <v>10/81222-2</v>
          </cell>
          <cell r="D399">
            <v>45748</v>
          </cell>
          <cell r="H399" t="str">
            <v>Aprovado</v>
          </cell>
          <cell r="O399" t="str">
            <v>Pago</v>
          </cell>
          <cell r="P399">
            <v>235.64</v>
          </cell>
        </row>
        <row r="400">
          <cell r="B400" t="str">
            <v>10/1674177-9</v>
          </cell>
          <cell r="D400">
            <v>45748</v>
          </cell>
          <cell r="H400" t="str">
            <v>Aprovado</v>
          </cell>
          <cell r="O400" t="str">
            <v>Atrasado</v>
          </cell>
          <cell r="P400">
            <v>0</v>
          </cell>
        </row>
        <row r="401">
          <cell r="B401" t="str">
            <v>10/72605-9</v>
          </cell>
          <cell r="D401">
            <v>45748</v>
          </cell>
          <cell r="H401" t="str">
            <v>Aprovado</v>
          </cell>
          <cell r="O401" t="str">
            <v>Pago</v>
          </cell>
          <cell r="P401">
            <v>146.74</v>
          </cell>
        </row>
        <row r="402">
          <cell r="B402" t="str">
            <v>10/40190-1</v>
          </cell>
          <cell r="D402">
            <v>45748</v>
          </cell>
          <cell r="H402" t="str">
            <v>Aprovado</v>
          </cell>
          <cell r="O402" t="str">
            <v>Atrasado</v>
          </cell>
          <cell r="P402">
            <v>0</v>
          </cell>
        </row>
        <row r="403">
          <cell r="B403" t="str">
            <v>10/1266128-6</v>
          </cell>
          <cell r="D403">
            <v>45748</v>
          </cell>
          <cell r="H403" t="str">
            <v>Aprovado</v>
          </cell>
          <cell r="O403" t="str">
            <v>Pago</v>
          </cell>
          <cell r="P403">
            <v>225.98</v>
          </cell>
        </row>
        <row r="404">
          <cell r="B404" t="str">
            <v>10/952579-1</v>
          </cell>
          <cell r="D404">
            <v>45748</v>
          </cell>
          <cell r="H404" t="str">
            <v>Aprovado</v>
          </cell>
          <cell r="O404" t="str">
            <v>Pago</v>
          </cell>
          <cell r="P404">
            <v>70.03</v>
          </cell>
        </row>
        <row r="405">
          <cell r="B405" t="str">
            <v>10/505854-0</v>
          </cell>
          <cell r="D405">
            <v>45748</v>
          </cell>
          <cell r="H405" t="str">
            <v>Não emitido</v>
          </cell>
          <cell r="O405" t="str">
            <v>Não faturado</v>
          </cell>
          <cell r="P405"/>
        </row>
        <row r="406">
          <cell r="B406" t="str">
            <v>10/127464-6</v>
          </cell>
          <cell r="D406">
            <v>45748</v>
          </cell>
          <cell r="H406" t="str">
            <v>Aprovado</v>
          </cell>
          <cell r="O406" t="str">
            <v>Pago</v>
          </cell>
          <cell r="P406">
            <v>324.36</v>
          </cell>
        </row>
        <row r="407">
          <cell r="B407" t="str">
            <v>10/24514-2</v>
          </cell>
          <cell r="D407">
            <v>45748</v>
          </cell>
          <cell r="H407" t="str">
            <v>Aprovado</v>
          </cell>
          <cell r="O407" t="str">
            <v>Pago</v>
          </cell>
          <cell r="P407">
            <v>59.15</v>
          </cell>
        </row>
        <row r="408">
          <cell r="B408" t="str">
            <v>10/283183-2</v>
          </cell>
          <cell r="D408">
            <v>45748</v>
          </cell>
          <cell r="H408" t="str">
            <v>Aprovado</v>
          </cell>
          <cell r="O408" t="str">
            <v>Pago</v>
          </cell>
          <cell r="P408">
            <v>22.61</v>
          </cell>
        </row>
        <row r="409">
          <cell r="B409" t="str">
            <v>10/13786-9</v>
          </cell>
          <cell r="D409">
            <v>45748</v>
          </cell>
          <cell r="H409" t="str">
            <v>Aprovado</v>
          </cell>
          <cell r="O409" t="str">
            <v>Atrasado</v>
          </cell>
          <cell r="P409">
            <v>0</v>
          </cell>
        </row>
        <row r="410">
          <cell r="B410" t="str">
            <v>10/63920-3</v>
          </cell>
          <cell r="D410">
            <v>45748</v>
          </cell>
          <cell r="H410" t="str">
            <v>Aprovado</v>
          </cell>
          <cell r="O410" t="str">
            <v>Pago</v>
          </cell>
          <cell r="P410">
            <v>175.24</v>
          </cell>
        </row>
        <row r="411">
          <cell r="B411" t="str">
            <v>10/3123706-8</v>
          </cell>
          <cell r="D411">
            <v>45748</v>
          </cell>
          <cell r="H411" t="str">
            <v>Aprovado</v>
          </cell>
          <cell r="O411" t="str">
            <v>Atrasado</v>
          </cell>
          <cell r="P411">
            <v>0</v>
          </cell>
        </row>
        <row r="412">
          <cell r="B412" t="str">
            <v>10/129490-9</v>
          </cell>
          <cell r="D412">
            <v>45748</v>
          </cell>
          <cell r="H412" t="str">
            <v>Aprovado</v>
          </cell>
          <cell r="O412" t="str">
            <v>Atrasado</v>
          </cell>
          <cell r="P412">
            <v>0</v>
          </cell>
        </row>
        <row r="413">
          <cell r="B413" t="str">
            <v>10/2338577-6</v>
          </cell>
          <cell r="D413">
            <v>45748</v>
          </cell>
          <cell r="H413" t="str">
            <v>Não emitido</v>
          </cell>
          <cell r="O413" t="str">
            <v>Não faturado</v>
          </cell>
          <cell r="P413"/>
        </row>
        <row r="414">
          <cell r="B414" t="str">
            <v>10/41548-9</v>
          </cell>
          <cell r="D414">
            <v>45748</v>
          </cell>
          <cell r="H414" t="str">
            <v>Aprovado</v>
          </cell>
          <cell r="O414" t="str">
            <v>Atrasado</v>
          </cell>
          <cell r="P414">
            <v>0</v>
          </cell>
        </row>
        <row r="415">
          <cell r="B415" t="str">
            <v>10/52987-5</v>
          </cell>
          <cell r="D415">
            <v>45748</v>
          </cell>
          <cell r="H415" t="str">
            <v>Aprovado</v>
          </cell>
          <cell r="O415" t="str">
            <v>Pago</v>
          </cell>
          <cell r="P415">
            <v>87.54</v>
          </cell>
        </row>
        <row r="416">
          <cell r="B416" t="str">
            <v>10/341308-5</v>
          </cell>
          <cell r="D416">
            <v>45748</v>
          </cell>
          <cell r="H416" t="str">
            <v>Aprovado</v>
          </cell>
          <cell r="O416" t="str">
            <v>Atrasado</v>
          </cell>
          <cell r="P416">
            <v>0</v>
          </cell>
        </row>
        <row r="417">
          <cell r="B417" t="str">
            <v>10/512142-1</v>
          </cell>
          <cell r="D417">
            <v>45748</v>
          </cell>
          <cell r="H417" t="str">
            <v>Não emitido</v>
          </cell>
          <cell r="O417" t="str">
            <v>Não faturado</v>
          </cell>
          <cell r="P417"/>
        </row>
        <row r="418">
          <cell r="B418" t="str">
            <v>10/1288241-1</v>
          </cell>
          <cell r="D418">
            <v>45748</v>
          </cell>
          <cell r="H418" t="str">
            <v>Aprovado</v>
          </cell>
          <cell r="O418" t="str">
            <v>Atrasado</v>
          </cell>
          <cell r="P418">
            <v>0</v>
          </cell>
        </row>
        <row r="419">
          <cell r="B419" t="str">
            <v>10/239312-2</v>
          </cell>
          <cell r="D419">
            <v>45748</v>
          </cell>
          <cell r="H419" t="str">
            <v>Aprovado</v>
          </cell>
          <cell r="O419" t="str">
            <v>Pago</v>
          </cell>
          <cell r="P419">
            <v>175.24</v>
          </cell>
        </row>
        <row r="420">
          <cell r="B420" t="str">
            <v>10/3054052-0</v>
          </cell>
          <cell r="D420">
            <v>45748</v>
          </cell>
          <cell r="H420" t="str">
            <v>Não emitido</v>
          </cell>
          <cell r="O420" t="str">
            <v>Não faturado</v>
          </cell>
          <cell r="P420"/>
        </row>
        <row r="421">
          <cell r="B421" t="str">
            <v>10/109074-5</v>
          </cell>
          <cell r="D421">
            <v>45748</v>
          </cell>
          <cell r="H421" t="str">
            <v>Aprovado</v>
          </cell>
          <cell r="O421" t="str">
            <v>Atrasado</v>
          </cell>
          <cell r="P421">
            <v>0</v>
          </cell>
        </row>
        <row r="422">
          <cell r="B422" t="str">
            <v>10/1130988-7</v>
          </cell>
          <cell r="D422">
            <v>45748</v>
          </cell>
          <cell r="H422" t="str">
            <v>Aprovado</v>
          </cell>
          <cell r="O422" t="str">
            <v>Pago</v>
          </cell>
          <cell r="P422">
            <v>75.040000000000006</v>
          </cell>
        </row>
        <row r="423">
          <cell r="B423" t="str">
            <v>10/78338-1</v>
          </cell>
          <cell r="D423">
            <v>45748</v>
          </cell>
          <cell r="H423" t="str">
            <v>Aprovado</v>
          </cell>
          <cell r="O423" t="str">
            <v>Pago</v>
          </cell>
          <cell r="P423">
            <v>148.94999999999999</v>
          </cell>
        </row>
        <row r="424">
          <cell r="B424" t="str">
            <v>10/530195-7</v>
          </cell>
          <cell r="D424">
            <v>45748</v>
          </cell>
          <cell r="H424" t="str">
            <v>Aprovado</v>
          </cell>
          <cell r="O424" t="str">
            <v>Atrasado</v>
          </cell>
          <cell r="P424">
            <v>0</v>
          </cell>
        </row>
        <row r="425">
          <cell r="B425" t="str">
            <v>10/3040565-8</v>
          </cell>
          <cell r="D425">
            <v>45748</v>
          </cell>
          <cell r="H425" t="str">
            <v>Aprovado</v>
          </cell>
          <cell r="O425" t="str">
            <v>Pago</v>
          </cell>
          <cell r="P425">
            <v>150.11000000000001</v>
          </cell>
        </row>
        <row r="426">
          <cell r="B426" t="str">
            <v>10/395471-6</v>
          </cell>
          <cell r="D426">
            <v>45748</v>
          </cell>
          <cell r="H426" t="str">
            <v>Aprovado</v>
          </cell>
          <cell r="O426" t="str">
            <v>Atrasado</v>
          </cell>
          <cell r="P426">
            <v>0</v>
          </cell>
        </row>
        <row r="427">
          <cell r="B427" t="str">
            <v>10/3125732-2</v>
          </cell>
          <cell r="D427">
            <v>45748</v>
          </cell>
          <cell r="H427" t="str">
            <v>Aprovado</v>
          </cell>
          <cell r="O427" t="str">
            <v>Pago</v>
          </cell>
          <cell r="P427">
            <v>87.62</v>
          </cell>
        </row>
        <row r="428">
          <cell r="B428" t="str">
            <v>10/2344751-9</v>
          </cell>
          <cell r="D428">
            <v>45748</v>
          </cell>
          <cell r="H428" t="str">
            <v>Não emitido</v>
          </cell>
          <cell r="O428" t="str">
            <v>Não faturado</v>
          </cell>
          <cell r="P428"/>
        </row>
        <row r="429">
          <cell r="B429" t="str">
            <v>10/31292-6</v>
          </cell>
          <cell r="D429">
            <v>45748</v>
          </cell>
          <cell r="H429" t="str">
            <v>Aprovado</v>
          </cell>
          <cell r="O429" t="str">
            <v>Pago</v>
          </cell>
          <cell r="P429">
            <v>87.67</v>
          </cell>
        </row>
        <row r="430">
          <cell r="B430" t="str">
            <v>10/466560-0</v>
          </cell>
          <cell r="D430">
            <v>45748</v>
          </cell>
          <cell r="H430" t="str">
            <v>Aprovado</v>
          </cell>
          <cell r="O430" t="str">
            <v>Pago</v>
          </cell>
          <cell r="P430">
            <v>100.08</v>
          </cell>
        </row>
        <row r="431">
          <cell r="B431" t="str">
            <v>10/260761-2</v>
          </cell>
          <cell r="D431">
            <v>45748</v>
          </cell>
          <cell r="H431" t="str">
            <v>Aprovado</v>
          </cell>
          <cell r="O431" t="str">
            <v>Pago</v>
          </cell>
          <cell r="P431">
            <v>272.26</v>
          </cell>
        </row>
        <row r="432">
          <cell r="B432" t="str">
            <v>10/908866-7</v>
          </cell>
          <cell r="D432">
            <v>45748</v>
          </cell>
          <cell r="H432" t="str">
            <v>Aprovado</v>
          </cell>
          <cell r="O432" t="str">
            <v>Pago</v>
          </cell>
          <cell r="P432">
            <v>22.62</v>
          </cell>
        </row>
        <row r="433">
          <cell r="B433" t="str">
            <v>10/364440-8</v>
          </cell>
          <cell r="D433">
            <v>45778</v>
          </cell>
          <cell r="H433" t="str">
            <v>Aprovado</v>
          </cell>
          <cell r="O433" t="str">
            <v>Atrasado</v>
          </cell>
          <cell r="P433">
            <v>0</v>
          </cell>
        </row>
        <row r="434">
          <cell r="B434" t="str">
            <v>10/5202-7</v>
          </cell>
          <cell r="D434">
            <v>45778</v>
          </cell>
          <cell r="H434" t="str">
            <v>Aprovado</v>
          </cell>
          <cell r="O434" t="str">
            <v>Pago</v>
          </cell>
          <cell r="P434">
            <v>1234.4000000000001</v>
          </cell>
        </row>
        <row r="435">
          <cell r="B435" t="str">
            <v>10/1672452-8</v>
          </cell>
          <cell r="D435">
            <v>45778</v>
          </cell>
          <cell r="H435" t="str">
            <v>Aprovado</v>
          </cell>
          <cell r="O435" t="str">
            <v>Pago</v>
          </cell>
          <cell r="P435">
            <v>302.11</v>
          </cell>
        </row>
        <row r="436">
          <cell r="B436" t="str">
            <v>10/18015-8</v>
          </cell>
          <cell r="D436">
            <v>45778</v>
          </cell>
          <cell r="H436" t="str">
            <v>Aprovado</v>
          </cell>
          <cell r="O436" t="str">
            <v>Atrasado</v>
          </cell>
          <cell r="P436">
            <v>0</v>
          </cell>
        </row>
        <row r="437">
          <cell r="B437" t="str">
            <v>10/29964-4</v>
          </cell>
          <cell r="D437">
            <v>45778</v>
          </cell>
          <cell r="H437" t="str">
            <v>Aprovado</v>
          </cell>
          <cell r="O437" t="str">
            <v>Pago</v>
          </cell>
          <cell r="P437">
            <v>629.29</v>
          </cell>
        </row>
        <row r="438">
          <cell r="B438" t="str">
            <v>10/191945-5</v>
          </cell>
          <cell r="D438">
            <v>45778</v>
          </cell>
          <cell r="H438" t="str">
            <v>Aprovado</v>
          </cell>
          <cell r="O438" t="str">
            <v>Pago</v>
          </cell>
          <cell r="P438">
            <v>65.94</v>
          </cell>
        </row>
        <row r="439">
          <cell r="B439" t="str">
            <v>10/513413-5</v>
          </cell>
          <cell r="D439">
            <v>45778</v>
          </cell>
          <cell r="H439" t="str">
            <v>Não emitido</v>
          </cell>
          <cell r="O439" t="str">
            <v>Não faturado</v>
          </cell>
          <cell r="P439"/>
        </row>
        <row r="440">
          <cell r="B440" t="str">
            <v>10/510330-4</v>
          </cell>
          <cell r="D440">
            <v>45778</v>
          </cell>
          <cell r="H440" t="str">
            <v>Aprovado</v>
          </cell>
          <cell r="O440" t="str">
            <v>Pago</v>
          </cell>
          <cell r="P440">
            <v>277.08999999999997</v>
          </cell>
        </row>
        <row r="441">
          <cell r="B441" t="str">
            <v>10/3030784-7</v>
          </cell>
          <cell r="D441">
            <v>45778</v>
          </cell>
          <cell r="H441" t="str">
            <v>Aprovado</v>
          </cell>
          <cell r="O441" t="str">
            <v>Pago</v>
          </cell>
          <cell r="P441">
            <v>250.55</v>
          </cell>
        </row>
        <row r="442">
          <cell r="B442" t="str">
            <v>10/3092868-3</v>
          </cell>
          <cell r="D442">
            <v>45778</v>
          </cell>
          <cell r="H442" t="str">
            <v>Aprovado</v>
          </cell>
          <cell r="O442" t="str">
            <v>Pago</v>
          </cell>
          <cell r="P442">
            <v>350.9</v>
          </cell>
        </row>
        <row r="443">
          <cell r="B443" t="str">
            <v>10/276283-9</v>
          </cell>
          <cell r="D443">
            <v>45778</v>
          </cell>
          <cell r="H443" t="str">
            <v>Aprovado</v>
          </cell>
          <cell r="O443" t="str">
            <v>Pago</v>
          </cell>
          <cell r="P443">
            <v>159.19</v>
          </cell>
        </row>
        <row r="444">
          <cell r="B444" t="str">
            <v>10/532723-4</v>
          </cell>
          <cell r="D444">
            <v>45778</v>
          </cell>
          <cell r="H444" t="str">
            <v>Aprovado</v>
          </cell>
          <cell r="O444" t="str">
            <v>Pago</v>
          </cell>
          <cell r="P444">
            <v>223.37</v>
          </cell>
        </row>
        <row r="445">
          <cell r="B445" t="str">
            <v>10/1035655-8</v>
          </cell>
          <cell r="D445">
            <v>45778</v>
          </cell>
          <cell r="H445" t="str">
            <v>Aprovado</v>
          </cell>
          <cell r="O445" t="str">
            <v>Atrasado</v>
          </cell>
          <cell r="P445">
            <v>0</v>
          </cell>
        </row>
        <row r="446">
          <cell r="B446" t="str">
            <v>10/532081-7</v>
          </cell>
          <cell r="D446">
            <v>45778</v>
          </cell>
          <cell r="H446" t="str">
            <v>Aprovado</v>
          </cell>
          <cell r="O446" t="str">
            <v>Pago</v>
          </cell>
          <cell r="P446">
            <v>92.27</v>
          </cell>
        </row>
        <row r="447">
          <cell r="B447" t="str">
            <v>10/156956-5</v>
          </cell>
          <cell r="D447">
            <v>45778</v>
          </cell>
          <cell r="H447" t="str">
            <v>Aprovado</v>
          </cell>
          <cell r="O447" t="str">
            <v>Atrasado</v>
          </cell>
          <cell r="P447">
            <v>0</v>
          </cell>
        </row>
        <row r="448">
          <cell r="B448" t="str">
            <v>10/104720-8</v>
          </cell>
          <cell r="D448">
            <v>45778</v>
          </cell>
          <cell r="H448" t="str">
            <v>Não emitido</v>
          </cell>
          <cell r="O448" t="str">
            <v>Não faturado</v>
          </cell>
          <cell r="P448"/>
        </row>
        <row r="449">
          <cell r="B449" t="str">
            <v>10/511753-6</v>
          </cell>
          <cell r="D449">
            <v>45778</v>
          </cell>
          <cell r="H449" t="str">
            <v>Aprovado</v>
          </cell>
          <cell r="O449" t="str">
            <v>Atrasado</v>
          </cell>
          <cell r="P449">
            <v>0</v>
          </cell>
        </row>
        <row r="450">
          <cell r="B450" t="str">
            <v>10/931327-1</v>
          </cell>
          <cell r="D450">
            <v>45778</v>
          </cell>
          <cell r="H450" t="str">
            <v>Aprovado</v>
          </cell>
          <cell r="O450" t="str">
            <v>Pago</v>
          </cell>
          <cell r="P450">
            <v>251.25</v>
          </cell>
        </row>
        <row r="451">
          <cell r="B451" t="str">
            <v>10/1698130-0</v>
          </cell>
          <cell r="D451">
            <v>45778</v>
          </cell>
          <cell r="H451" t="str">
            <v>Aprovado</v>
          </cell>
          <cell r="O451" t="str">
            <v>Pago</v>
          </cell>
          <cell r="P451">
            <v>92.43</v>
          </cell>
        </row>
        <row r="452">
          <cell r="B452" t="str">
            <v>10/150263-2</v>
          </cell>
          <cell r="D452">
            <v>45778</v>
          </cell>
          <cell r="H452" t="str">
            <v>Aprovado</v>
          </cell>
          <cell r="O452" t="str">
            <v>Atrasado</v>
          </cell>
          <cell r="P452">
            <v>0</v>
          </cell>
        </row>
        <row r="453">
          <cell r="B453" t="str">
            <v>10/113971-6</v>
          </cell>
          <cell r="D453">
            <v>45778</v>
          </cell>
          <cell r="H453" t="str">
            <v>Não emitido</v>
          </cell>
          <cell r="O453" t="str">
            <v>Não faturado</v>
          </cell>
          <cell r="P453"/>
        </row>
        <row r="454">
          <cell r="B454" t="str">
            <v>10/1184751-4</v>
          </cell>
          <cell r="D454">
            <v>45778</v>
          </cell>
          <cell r="H454" t="str">
            <v>Aprovado</v>
          </cell>
          <cell r="O454" t="str">
            <v>Atrasado</v>
          </cell>
          <cell r="P454">
            <v>0</v>
          </cell>
        </row>
        <row r="455">
          <cell r="B455" t="str">
            <v>10/237441-1</v>
          </cell>
          <cell r="D455">
            <v>45778</v>
          </cell>
          <cell r="H455" t="str">
            <v>Aprovado</v>
          </cell>
          <cell r="O455" t="str">
            <v>Pago</v>
          </cell>
          <cell r="P455">
            <v>61.61</v>
          </cell>
        </row>
        <row r="456">
          <cell r="B456" t="str">
            <v>10/1695011-5</v>
          </cell>
          <cell r="D456">
            <v>45778</v>
          </cell>
          <cell r="H456" t="str">
            <v>Aprovado</v>
          </cell>
          <cell r="O456" t="str">
            <v>Pago</v>
          </cell>
          <cell r="P456">
            <v>55.12</v>
          </cell>
        </row>
        <row r="457">
          <cell r="B457" t="str">
            <v>10/1433087-2</v>
          </cell>
          <cell r="D457">
            <v>45778</v>
          </cell>
          <cell r="H457" t="str">
            <v>Não emitido</v>
          </cell>
          <cell r="O457" t="str">
            <v>Não faturado</v>
          </cell>
          <cell r="P457"/>
        </row>
        <row r="458">
          <cell r="B458" t="str">
            <v>10/452884-0</v>
          </cell>
          <cell r="D458">
            <v>45778</v>
          </cell>
          <cell r="H458" t="str">
            <v>Aprovado</v>
          </cell>
          <cell r="O458" t="str">
            <v>Atrasado</v>
          </cell>
          <cell r="P458">
            <v>0</v>
          </cell>
        </row>
        <row r="459">
          <cell r="B459" t="str">
            <v>10/1117293-9</v>
          </cell>
          <cell r="D459">
            <v>45778</v>
          </cell>
          <cell r="H459" t="str">
            <v>Aprovado</v>
          </cell>
          <cell r="O459" t="str">
            <v>Atrasado</v>
          </cell>
          <cell r="P459">
            <v>0</v>
          </cell>
        </row>
        <row r="460">
          <cell r="B460" t="str">
            <v>10/501586-2</v>
          </cell>
          <cell r="D460">
            <v>45778</v>
          </cell>
          <cell r="H460" t="str">
            <v>Aprovado</v>
          </cell>
          <cell r="O460" t="str">
            <v>Pago</v>
          </cell>
          <cell r="P460">
            <v>120.32</v>
          </cell>
        </row>
        <row r="461">
          <cell r="B461" t="str">
            <v>10/162736-3</v>
          </cell>
          <cell r="D461">
            <v>45778</v>
          </cell>
          <cell r="H461" t="str">
            <v>Aprovado</v>
          </cell>
          <cell r="O461" t="str">
            <v>Atrasado</v>
          </cell>
          <cell r="P461">
            <v>0</v>
          </cell>
        </row>
        <row r="462">
          <cell r="B462" t="str">
            <v>10/226667-4</v>
          </cell>
          <cell r="D462">
            <v>45778</v>
          </cell>
          <cell r="H462" t="str">
            <v>Aprovado</v>
          </cell>
          <cell r="O462" t="str">
            <v>Atrasado</v>
          </cell>
          <cell r="P462">
            <v>0</v>
          </cell>
        </row>
        <row r="463">
          <cell r="B463" t="str">
            <v>10/135237-6</v>
          </cell>
          <cell r="D463">
            <v>45778</v>
          </cell>
          <cell r="H463" t="str">
            <v>Aprovado</v>
          </cell>
          <cell r="O463" t="str">
            <v>Pago</v>
          </cell>
          <cell r="P463">
            <v>5.0999999999999996</v>
          </cell>
        </row>
        <row r="464">
          <cell r="B464" t="str">
            <v>10/218777-1</v>
          </cell>
          <cell r="D464">
            <v>45778</v>
          </cell>
          <cell r="H464" t="str">
            <v>Aprovado</v>
          </cell>
          <cell r="O464" t="str">
            <v>Pago</v>
          </cell>
          <cell r="P464">
            <v>63.21</v>
          </cell>
        </row>
        <row r="465">
          <cell r="B465" t="str">
            <v>10/1548741-6</v>
          </cell>
          <cell r="D465">
            <v>45778</v>
          </cell>
          <cell r="H465" t="str">
            <v>Aprovado</v>
          </cell>
          <cell r="O465" t="str">
            <v>Pago</v>
          </cell>
          <cell r="P465">
            <v>105.37</v>
          </cell>
        </row>
        <row r="466">
          <cell r="B466" t="str">
            <v>10/987178-1</v>
          </cell>
          <cell r="D466">
            <v>45778</v>
          </cell>
          <cell r="H466" t="str">
            <v>Aprovado</v>
          </cell>
          <cell r="O466" t="str">
            <v>Pago</v>
          </cell>
          <cell r="P466">
            <v>17.7</v>
          </cell>
        </row>
        <row r="467">
          <cell r="B467" t="str">
            <v>10/257864-9</v>
          </cell>
          <cell r="D467">
            <v>45778</v>
          </cell>
          <cell r="H467" t="str">
            <v>Aprovado</v>
          </cell>
          <cell r="O467" t="str">
            <v>Atrasado</v>
          </cell>
          <cell r="P467">
            <v>0</v>
          </cell>
        </row>
        <row r="468">
          <cell r="B468" t="str">
            <v>10/10232-7</v>
          </cell>
          <cell r="D468">
            <v>45778</v>
          </cell>
          <cell r="H468" t="str">
            <v>Aprovado</v>
          </cell>
          <cell r="O468" t="str">
            <v>Pago</v>
          </cell>
          <cell r="P468">
            <v>82.18</v>
          </cell>
        </row>
        <row r="469">
          <cell r="B469" t="str">
            <v>10/384823-1</v>
          </cell>
          <cell r="D469">
            <v>45778</v>
          </cell>
          <cell r="H469" t="str">
            <v>Aprovado</v>
          </cell>
          <cell r="O469" t="str">
            <v>Atrasado</v>
          </cell>
          <cell r="P469">
            <v>0</v>
          </cell>
        </row>
        <row r="470">
          <cell r="B470" t="str">
            <v>10/2599101-9</v>
          </cell>
          <cell r="D470">
            <v>45778</v>
          </cell>
          <cell r="H470" t="str">
            <v>Aprovado</v>
          </cell>
          <cell r="O470" t="str">
            <v>Atrasado</v>
          </cell>
          <cell r="P470">
            <v>0</v>
          </cell>
        </row>
        <row r="471">
          <cell r="B471" t="str">
            <v>10/202838-9</v>
          </cell>
          <cell r="D471">
            <v>45778</v>
          </cell>
          <cell r="H471" t="str">
            <v>Aprovado</v>
          </cell>
          <cell r="O471" t="str">
            <v>Pago</v>
          </cell>
          <cell r="P471">
            <v>596.04</v>
          </cell>
        </row>
        <row r="472">
          <cell r="B472" t="str">
            <v>10/1939035-0</v>
          </cell>
          <cell r="D472">
            <v>45778</v>
          </cell>
          <cell r="H472" t="str">
            <v>Aprovado</v>
          </cell>
          <cell r="O472" t="str">
            <v>Pago</v>
          </cell>
          <cell r="P472">
            <v>151.46</v>
          </cell>
        </row>
        <row r="473">
          <cell r="B473" t="str">
            <v>10/2605731-5</v>
          </cell>
          <cell r="D473">
            <v>45778</v>
          </cell>
          <cell r="H473" t="str">
            <v>Aprovado</v>
          </cell>
          <cell r="O473" t="str">
            <v>Pago</v>
          </cell>
          <cell r="P473">
            <v>399.11</v>
          </cell>
        </row>
        <row r="474">
          <cell r="B474" t="str">
            <v>10/2794432-1</v>
          </cell>
          <cell r="D474">
            <v>45778</v>
          </cell>
          <cell r="H474" t="str">
            <v>Aprovado</v>
          </cell>
          <cell r="O474" t="str">
            <v>Atrasado</v>
          </cell>
          <cell r="P474">
            <v>0</v>
          </cell>
        </row>
        <row r="475">
          <cell r="B475" t="str">
            <v>10/3005226-0</v>
          </cell>
          <cell r="D475">
            <v>45778</v>
          </cell>
          <cell r="H475" t="str">
            <v>Aprovado</v>
          </cell>
          <cell r="O475" t="str">
            <v>Atrasado</v>
          </cell>
          <cell r="P475">
            <v>0</v>
          </cell>
        </row>
        <row r="476">
          <cell r="B476" t="str">
            <v>10/3170252-5</v>
          </cell>
          <cell r="D476">
            <v>45778</v>
          </cell>
          <cell r="H476" t="str">
            <v>Não emitido</v>
          </cell>
          <cell r="O476" t="str">
            <v>Não faturado</v>
          </cell>
          <cell r="P476"/>
        </row>
        <row r="477">
          <cell r="B477" t="str">
            <v>10/2247256-7</v>
          </cell>
          <cell r="D477">
            <v>45778</v>
          </cell>
          <cell r="H477" t="str">
            <v>Não emitido</v>
          </cell>
          <cell r="O477" t="str">
            <v>Não faturado</v>
          </cell>
          <cell r="P477"/>
        </row>
        <row r="478">
          <cell r="B478" t="str">
            <v>10/925970-6</v>
          </cell>
          <cell r="D478">
            <v>45778</v>
          </cell>
          <cell r="H478" t="str">
            <v>Não emitido</v>
          </cell>
          <cell r="O478" t="str">
            <v>Não faturado</v>
          </cell>
          <cell r="P478"/>
        </row>
        <row r="479">
          <cell r="B479" t="str">
            <v>10/10731-8</v>
          </cell>
          <cell r="D479">
            <v>45778</v>
          </cell>
          <cell r="H479" t="str">
            <v>Não emitido</v>
          </cell>
          <cell r="O479" t="str">
            <v>Não faturado</v>
          </cell>
          <cell r="P479"/>
        </row>
        <row r="480">
          <cell r="B480" t="str">
            <v>10/76927-3</v>
          </cell>
          <cell r="D480">
            <v>45778</v>
          </cell>
          <cell r="H480" t="str">
            <v>Aprovado</v>
          </cell>
          <cell r="O480" t="str">
            <v>Pago</v>
          </cell>
          <cell r="P480">
            <v>150.15</v>
          </cell>
        </row>
        <row r="481">
          <cell r="B481" t="str">
            <v>10/142353-2</v>
          </cell>
          <cell r="D481">
            <v>45778</v>
          </cell>
          <cell r="H481" t="str">
            <v>Aprovado</v>
          </cell>
          <cell r="O481" t="str">
            <v>Pago</v>
          </cell>
          <cell r="P481">
            <v>238.77</v>
          </cell>
        </row>
        <row r="482">
          <cell r="B482" t="str">
            <v>10/435964-2</v>
          </cell>
          <cell r="D482">
            <v>45778</v>
          </cell>
          <cell r="H482" t="str">
            <v>Aprovado</v>
          </cell>
          <cell r="O482" t="str">
            <v>Pago</v>
          </cell>
          <cell r="P482">
            <v>209.2</v>
          </cell>
        </row>
        <row r="483">
          <cell r="B483" t="str">
            <v>10/1081489-5</v>
          </cell>
          <cell r="D483">
            <v>45778</v>
          </cell>
          <cell r="H483" t="str">
            <v>Aprovado</v>
          </cell>
          <cell r="O483" t="str">
            <v>Pago</v>
          </cell>
          <cell r="P483">
            <v>225.43</v>
          </cell>
        </row>
        <row r="484">
          <cell r="B484" t="str">
            <v>10/15297-5</v>
          </cell>
          <cell r="D484">
            <v>45778</v>
          </cell>
          <cell r="H484" t="str">
            <v>Aprovado</v>
          </cell>
          <cell r="O484" t="str">
            <v>Pago</v>
          </cell>
          <cell r="P484">
            <v>395.57</v>
          </cell>
        </row>
        <row r="485">
          <cell r="B485" t="str">
            <v>10/8777-5</v>
          </cell>
          <cell r="D485">
            <v>45778</v>
          </cell>
          <cell r="H485" t="str">
            <v>Aprovado</v>
          </cell>
          <cell r="O485" t="str">
            <v>Atrasado</v>
          </cell>
          <cell r="P485">
            <v>0</v>
          </cell>
        </row>
        <row r="486">
          <cell r="B486" t="str">
            <v>10/489076-0</v>
          </cell>
          <cell r="D486">
            <v>45778</v>
          </cell>
          <cell r="H486" t="str">
            <v>Aprovado</v>
          </cell>
          <cell r="O486" t="str">
            <v>Pago</v>
          </cell>
          <cell r="P486">
            <v>225.45</v>
          </cell>
        </row>
        <row r="487">
          <cell r="B487" t="str">
            <v>10/504844-2</v>
          </cell>
          <cell r="D487">
            <v>45778</v>
          </cell>
          <cell r="H487" t="str">
            <v>Aprovado</v>
          </cell>
          <cell r="O487" t="str">
            <v>Pago</v>
          </cell>
          <cell r="P487">
            <v>266.3</v>
          </cell>
        </row>
        <row r="488">
          <cell r="B488" t="str">
            <v>10/280638-8</v>
          </cell>
          <cell r="D488">
            <v>45778</v>
          </cell>
          <cell r="H488" t="str">
            <v>Aprovado</v>
          </cell>
          <cell r="O488" t="str">
            <v>Pago</v>
          </cell>
          <cell r="P488">
            <v>116.05</v>
          </cell>
        </row>
        <row r="489">
          <cell r="B489" t="str">
            <v>10/69319-2</v>
          </cell>
          <cell r="D489">
            <v>45778</v>
          </cell>
          <cell r="H489" t="str">
            <v>Aprovado</v>
          </cell>
          <cell r="O489" t="str">
            <v>Pago</v>
          </cell>
          <cell r="P489">
            <v>121.54</v>
          </cell>
        </row>
        <row r="490">
          <cell r="B490" t="str">
            <v>10/480529-7</v>
          </cell>
          <cell r="D490">
            <v>45778</v>
          </cell>
          <cell r="H490" t="str">
            <v>Aprovado</v>
          </cell>
          <cell r="O490" t="str">
            <v>Pago</v>
          </cell>
          <cell r="P490">
            <v>150.46</v>
          </cell>
        </row>
        <row r="491">
          <cell r="B491" t="str">
            <v>10/3139326-7</v>
          </cell>
          <cell r="D491">
            <v>45778</v>
          </cell>
          <cell r="H491" t="str">
            <v>Aprovado</v>
          </cell>
          <cell r="O491" t="str">
            <v>Atrasado</v>
          </cell>
          <cell r="P491">
            <v>0</v>
          </cell>
        </row>
        <row r="492">
          <cell r="B492" t="str">
            <v>10/399338-3</v>
          </cell>
          <cell r="D492">
            <v>45778</v>
          </cell>
          <cell r="H492" t="str">
            <v>Aprovado</v>
          </cell>
          <cell r="O492" t="str">
            <v>Pago</v>
          </cell>
          <cell r="P492">
            <v>286.12</v>
          </cell>
        </row>
        <row r="493">
          <cell r="B493" t="str">
            <v>10/61344-8</v>
          </cell>
          <cell r="D493">
            <v>45778</v>
          </cell>
          <cell r="H493" t="str">
            <v>Aprovado</v>
          </cell>
          <cell r="O493" t="str">
            <v>Pago</v>
          </cell>
          <cell r="P493">
            <v>291.77999999999997</v>
          </cell>
        </row>
        <row r="494">
          <cell r="B494" t="str">
            <v>10/252817-2</v>
          </cell>
          <cell r="D494">
            <v>45778</v>
          </cell>
          <cell r="H494" t="str">
            <v>Aprovado</v>
          </cell>
          <cell r="O494" t="str">
            <v>Pago</v>
          </cell>
          <cell r="P494">
            <v>95.98</v>
          </cell>
        </row>
        <row r="495">
          <cell r="B495" t="str">
            <v>10/175073-6</v>
          </cell>
          <cell r="D495">
            <v>45778</v>
          </cell>
          <cell r="H495" t="str">
            <v>Aprovado</v>
          </cell>
          <cell r="O495" t="str">
            <v>Atrasado</v>
          </cell>
          <cell r="P495">
            <v>0</v>
          </cell>
        </row>
        <row r="496">
          <cell r="B496" t="str">
            <v>10/81222-2</v>
          </cell>
          <cell r="D496">
            <v>45778</v>
          </cell>
          <cell r="H496" t="str">
            <v>Aprovado</v>
          </cell>
          <cell r="O496" t="str">
            <v>Pago</v>
          </cell>
          <cell r="P496">
            <v>219.83</v>
          </cell>
        </row>
        <row r="497">
          <cell r="B497" t="str">
            <v>10/1674177-9</v>
          </cell>
          <cell r="D497">
            <v>45778</v>
          </cell>
          <cell r="H497" t="str">
            <v>Aprovado</v>
          </cell>
          <cell r="O497" t="str">
            <v>Atrasado</v>
          </cell>
          <cell r="P497">
            <v>0</v>
          </cell>
        </row>
        <row r="498">
          <cell r="B498" t="str">
            <v>10/72605-9</v>
          </cell>
          <cell r="D498">
            <v>45778</v>
          </cell>
          <cell r="H498" t="str">
            <v>Aprovado</v>
          </cell>
          <cell r="O498" t="str">
            <v>Pago</v>
          </cell>
          <cell r="P498">
            <v>149.11000000000001</v>
          </cell>
        </row>
        <row r="499">
          <cell r="B499" t="str">
            <v>10/40190-1</v>
          </cell>
          <cell r="D499">
            <v>45778</v>
          </cell>
          <cell r="H499" t="str">
            <v>Aprovado</v>
          </cell>
          <cell r="O499" t="str">
            <v>Atrasado</v>
          </cell>
          <cell r="P499">
            <v>0</v>
          </cell>
        </row>
        <row r="500">
          <cell r="B500" t="str">
            <v>10/1266128-6</v>
          </cell>
          <cell r="D500">
            <v>45778</v>
          </cell>
          <cell r="H500" t="str">
            <v>Aprovado</v>
          </cell>
          <cell r="O500" t="str">
            <v>Pago</v>
          </cell>
          <cell r="P500">
            <v>169.47</v>
          </cell>
        </row>
        <row r="501">
          <cell r="B501" t="str">
            <v>10/952579-1</v>
          </cell>
          <cell r="D501">
            <v>45778</v>
          </cell>
          <cell r="H501" t="str">
            <v>Aprovado</v>
          </cell>
          <cell r="O501" t="str">
            <v>Atrasado</v>
          </cell>
          <cell r="P501">
            <v>0</v>
          </cell>
        </row>
        <row r="502">
          <cell r="B502" t="str">
            <v>10/505854-0</v>
          </cell>
          <cell r="D502">
            <v>45778</v>
          </cell>
          <cell r="H502" t="str">
            <v>Não emitido</v>
          </cell>
          <cell r="O502" t="str">
            <v>Não faturado</v>
          </cell>
          <cell r="P502"/>
        </row>
        <row r="503">
          <cell r="B503" t="str">
            <v>10/127464-6</v>
          </cell>
          <cell r="D503">
            <v>45778</v>
          </cell>
          <cell r="H503" t="str">
            <v>Aprovado</v>
          </cell>
          <cell r="O503" t="str">
            <v>Pago</v>
          </cell>
          <cell r="P503">
            <v>327.44</v>
          </cell>
        </row>
        <row r="504">
          <cell r="B504" t="str">
            <v>10/24514-2</v>
          </cell>
          <cell r="D504">
            <v>45778</v>
          </cell>
          <cell r="H504" t="str">
            <v>Aprovado</v>
          </cell>
          <cell r="O504" t="str">
            <v>Atrasado</v>
          </cell>
          <cell r="P504">
            <v>0</v>
          </cell>
        </row>
        <row r="505">
          <cell r="B505" t="str">
            <v>10/283183-2</v>
          </cell>
          <cell r="D505">
            <v>45778</v>
          </cell>
          <cell r="H505" t="str">
            <v>Aprovado</v>
          </cell>
          <cell r="O505" t="str">
            <v>Pago</v>
          </cell>
          <cell r="P505">
            <v>48.44</v>
          </cell>
        </row>
        <row r="506">
          <cell r="B506" t="str">
            <v>10/13786-9</v>
          </cell>
          <cell r="D506">
            <v>45778</v>
          </cell>
          <cell r="H506" t="str">
            <v>Aprovado</v>
          </cell>
          <cell r="O506" t="str">
            <v>Pago</v>
          </cell>
          <cell r="P506">
            <v>212.72</v>
          </cell>
        </row>
        <row r="507">
          <cell r="B507" t="str">
            <v>10/63920-3</v>
          </cell>
          <cell r="D507">
            <v>45778</v>
          </cell>
          <cell r="H507" t="str">
            <v>Aprovado</v>
          </cell>
          <cell r="O507" t="str">
            <v>Atrasado</v>
          </cell>
          <cell r="P507">
            <v>0</v>
          </cell>
        </row>
        <row r="508">
          <cell r="B508" t="str">
            <v>10/3123706-8</v>
          </cell>
          <cell r="D508">
            <v>45778</v>
          </cell>
          <cell r="H508" t="str">
            <v>Aprovado</v>
          </cell>
          <cell r="O508" t="str">
            <v>Atrasado</v>
          </cell>
          <cell r="P508">
            <v>0</v>
          </cell>
        </row>
        <row r="509">
          <cell r="B509" t="str">
            <v>10/129490-9</v>
          </cell>
          <cell r="D509">
            <v>45778</v>
          </cell>
          <cell r="H509" t="str">
            <v>Aprovado</v>
          </cell>
          <cell r="O509" t="str">
            <v>Pago</v>
          </cell>
          <cell r="P509">
            <v>116.41</v>
          </cell>
        </row>
        <row r="510">
          <cell r="B510" t="str">
            <v>10/2338577-6</v>
          </cell>
          <cell r="D510">
            <v>45778</v>
          </cell>
          <cell r="H510" t="str">
            <v>Não emitido</v>
          </cell>
          <cell r="O510" t="str">
            <v>Não faturado</v>
          </cell>
          <cell r="P510"/>
        </row>
        <row r="511">
          <cell r="B511" t="str">
            <v>10/41548-9</v>
          </cell>
          <cell r="D511">
            <v>45778</v>
          </cell>
          <cell r="H511" t="str">
            <v>Aprovado</v>
          </cell>
          <cell r="O511" t="str">
            <v>Atrasado</v>
          </cell>
          <cell r="P511">
            <v>0</v>
          </cell>
        </row>
        <row r="512">
          <cell r="B512" t="str">
            <v>10/52987-5</v>
          </cell>
          <cell r="D512">
            <v>45778</v>
          </cell>
          <cell r="H512" t="str">
            <v>Aprovado</v>
          </cell>
          <cell r="O512" t="str">
            <v>Pago</v>
          </cell>
          <cell r="P512">
            <v>100.57</v>
          </cell>
        </row>
        <row r="513">
          <cell r="B513" t="str">
            <v>10/341308-5</v>
          </cell>
          <cell r="D513">
            <v>45778</v>
          </cell>
          <cell r="H513" t="str">
            <v>Aprovado</v>
          </cell>
          <cell r="O513" t="str">
            <v>Atrasado</v>
          </cell>
          <cell r="P513">
            <v>0</v>
          </cell>
        </row>
        <row r="514">
          <cell r="B514" t="str">
            <v>10/512142-1</v>
          </cell>
          <cell r="D514">
            <v>45778</v>
          </cell>
          <cell r="H514" t="str">
            <v>Não emitido</v>
          </cell>
          <cell r="O514" t="str">
            <v>Não faturado</v>
          </cell>
          <cell r="P514"/>
        </row>
        <row r="515">
          <cell r="B515" t="str">
            <v>10/1288241-1</v>
          </cell>
          <cell r="D515">
            <v>45778</v>
          </cell>
          <cell r="H515" t="str">
            <v>Aprovado</v>
          </cell>
          <cell r="O515" t="str">
            <v>Atrasado</v>
          </cell>
          <cell r="P515">
            <v>0</v>
          </cell>
        </row>
        <row r="516">
          <cell r="B516" t="str">
            <v>10/239312-2</v>
          </cell>
          <cell r="D516">
            <v>45778</v>
          </cell>
          <cell r="H516" t="str">
            <v>Aprovado</v>
          </cell>
          <cell r="O516" t="str">
            <v>Pago</v>
          </cell>
          <cell r="P516">
            <v>150.46</v>
          </cell>
        </row>
        <row r="517">
          <cell r="B517" t="str">
            <v>10/3054052-0</v>
          </cell>
          <cell r="D517">
            <v>45778</v>
          </cell>
          <cell r="H517" t="str">
            <v>Aprovado</v>
          </cell>
          <cell r="O517" t="str">
            <v>Pago</v>
          </cell>
          <cell r="P517">
            <v>19.579999999999998</v>
          </cell>
        </row>
        <row r="518">
          <cell r="B518" t="str">
            <v>10/109074-5</v>
          </cell>
          <cell r="D518">
            <v>45778</v>
          </cell>
          <cell r="H518" t="str">
            <v>Aprovado</v>
          </cell>
          <cell r="O518" t="str">
            <v>Atrasado</v>
          </cell>
          <cell r="P518">
            <v>0</v>
          </cell>
        </row>
        <row r="519">
          <cell r="B519" t="str">
            <v>10/1130988-7</v>
          </cell>
          <cell r="D519">
            <v>45778</v>
          </cell>
          <cell r="H519" t="str">
            <v>Aprovado</v>
          </cell>
          <cell r="O519" t="str">
            <v>Pago</v>
          </cell>
          <cell r="P519">
            <v>58.36</v>
          </cell>
        </row>
        <row r="520">
          <cell r="B520" t="str">
            <v>10/78338-1</v>
          </cell>
          <cell r="D520">
            <v>45778</v>
          </cell>
          <cell r="H520" t="str">
            <v>Aprovado</v>
          </cell>
          <cell r="O520" t="str">
            <v>Atrasado</v>
          </cell>
          <cell r="P520">
            <v>0</v>
          </cell>
        </row>
        <row r="521">
          <cell r="B521" t="str">
            <v>10/530195-7</v>
          </cell>
          <cell r="D521">
            <v>45778</v>
          </cell>
          <cell r="H521" t="str">
            <v>Aprovado</v>
          </cell>
          <cell r="O521" t="str">
            <v>Atrasado</v>
          </cell>
          <cell r="P521">
            <v>0</v>
          </cell>
        </row>
        <row r="522">
          <cell r="B522" t="str">
            <v>10/3040565-8</v>
          </cell>
          <cell r="D522">
            <v>45778</v>
          </cell>
          <cell r="H522" t="str">
            <v>Aprovado</v>
          </cell>
          <cell r="O522" t="str">
            <v>Atrasado</v>
          </cell>
          <cell r="P522">
            <v>0</v>
          </cell>
        </row>
        <row r="523">
          <cell r="B523" t="str">
            <v>10/395471-6</v>
          </cell>
          <cell r="D523">
            <v>45778</v>
          </cell>
          <cell r="H523" t="str">
            <v>Aprovado</v>
          </cell>
          <cell r="O523" t="str">
            <v>Atrasado</v>
          </cell>
          <cell r="P523">
            <v>0</v>
          </cell>
        </row>
        <row r="524">
          <cell r="B524" t="str">
            <v>10/3125732-2</v>
          </cell>
          <cell r="D524">
            <v>45778</v>
          </cell>
          <cell r="H524" t="str">
            <v>Aprovado</v>
          </cell>
          <cell r="O524" t="str">
            <v>Pago</v>
          </cell>
          <cell r="P524">
            <v>75.22</v>
          </cell>
        </row>
        <row r="525">
          <cell r="B525" t="str">
            <v>10/2344751-9</v>
          </cell>
          <cell r="D525">
            <v>45778</v>
          </cell>
          <cell r="H525" t="str">
            <v>Não emitido</v>
          </cell>
          <cell r="O525" t="str">
            <v>Não faturado</v>
          </cell>
          <cell r="P525"/>
        </row>
        <row r="526">
          <cell r="B526" t="str">
            <v>10/31292-6</v>
          </cell>
          <cell r="D526">
            <v>45778</v>
          </cell>
          <cell r="H526" t="str">
            <v>Não emitido</v>
          </cell>
          <cell r="O526" t="str">
            <v>Não faturado</v>
          </cell>
          <cell r="P526"/>
        </row>
        <row r="527">
          <cell r="B527" t="str">
            <v>10/466560-0</v>
          </cell>
          <cell r="D527">
            <v>45778</v>
          </cell>
          <cell r="H527" t="str">
            <v>Aprovado</v>
          </cell>
          <cell r="O527" t="str">
            <v>Pago</v>
          </cell>
          <cell r="P527">
            <v>83.68</v>
          </cell>
        </row>
        <row r="528">
          <cell r="B528" t="str">
            <v>10/260761-2</v>
          </cell>
          <cell r="D528">
            <v>45778</v>
          </cell>
          <cell r="H528" t="str">
            <v>Aprovado</v>
          </cell>
          <cell r="O528" t="str">
            <v>Atrasado</v>
          </cell>
          <cell r="P528">
            <v>0</v>
          </cell>
        </row>
        <row r="529">
          <cell r="B529" t="str">
            <v>10/908866-7</v>
          </cell>
          <cell r="D529">
            <v>45778</v>
          </cell>
          <cell r="H529" t="str">
            <v>Aprovado</v>
          </cell>
          <cell r="O529" t="str">
            <v>Pago</v>
          </cell>
          <cell r="P529">
            <v>10.26</v>
          </cell>
        </row>
        <row r="530">
          <cell r="B530" t="str">
            <v>10/364440-8</v>
          </cell>
          <cell r="D530">
            <v>45809</v>
          </cell>
          <cell r="H530" t="str">
            <v>Aprovado</v>
          </cell>
          <cell r="O530" t="str">
            <v>Pago</v>
          </cell>
          <cell r="P530">
            <v>2227.79</v>
          </cell>
        </row>
        <row r="531">
          <cell r="B531" t="str">
            <v>10/5202-7</v>
          </cell>
          <cell r="D531">
            <v>45809</v>
          </cell>
          <cell r="H531" t="str">
            <v>Aprovado</v>
          </cell>
          <cell r="O531" t="str">
            <v>Pago</v>
          </cell>
          <cell r="P531">
            <v>676.11</v>
          </cell>
        </row>
        <row r="532">
          <cell r="B532" t="str">
            <v>10/1672452-8</v>
          </cell>
          <cell r="D532">
            <v>45809</v>
          </cell>
          <cell r="H532" t="str">
            <v>Aprovado</v>
          </cell>
          <cell r="O532" t="str">
            <v>Pago</v>
          </cell>
          <cell r="P532">
            <v>159.65</v>
          </cell>
        </row>
        <row r="533">
          <cell r="B533" t="str">
            <v>10/29964-4</v>
          </cell>
          <cell r="D533">
            <v>45809</v>
          </cell>
          <cell r="H533" t="str">
            <v>Aprovado</v>
          </cell>
          <cell r="O533" t="str">
            <v>Pago</v>
          </cell>
          <cell r="P533">
            <v>251.23</v>
          </cell>
        </row>
        <row r="534">
          <cell r="B534" t="str">
            <v>10/191945-5</v>
          </cell>
          <cell r="D534">
            <v>45809</v>
          </cell>
          <cell r="H534" t="str">
            <v>Aprovado</v>
          </cell>
          <cell r="O534" t="str">
            <v>Pago</v>
          </cell>
          <cell r="P534">
            <v>291</v>
          </cell>
        </row>
        <row r="535">
          <cell r="B535" t="str">
            <v>10/510330-4</v>
          </cell>
          <cell r="D535">
            <v>45809</v>
          </cell>
          <cell r="H535" t="str">
            <v>Aprovado</v>
          </cell>
          <cell r="O535" t="str">
            <v>Atrasado</v>
          </cell>
          <cell r="P535">
            <v>0</v>
          </cell>
        </row>
        <row r="536">
          <cell r="B536" t="str">
            <v>10/3030784-7</v>
          </cell>
          <cell r="D536">
            <v>45809</v>
          </cell>
          <cell r="H536" t="str">
            <v>Aprovado</v>
          </cell>
          <cell r="O536" t="str">
            <v>Pago</v>
          </cell>
          <cell r="P536">
            <v>152.16999999999999</v>
          </cell>
        </row>
        <row r="537">
          <cell r="B537" t="str">
            <v>10/3092868-3</v>
          </cell>
          <cell r="D537">
            <v>45809</v>
          </cell>
          <cell r="H537" t="str">
            <v>Aprovado</v>
          </cell>
          <cell r="O537" t="str">
            <v>Pago</v>
          </cell>
          <cell r="P537">
            <v>56.18</v>
          </cell>
        </row>
        <row r="538">
          <cell r="B538" t="str">
            <v>10/276283-9</v>
          </cell>
          <cell r="D538">
            <v>45809</v>
          </cell>
          <cell r="H538" t="str">
            <v>Aprovado</v>
          </cell>
          <cell r="O538" t="str">
            <v>Atrasado</v>
          </cell>
          <cell r="P538">
            <v>0</v>
          </cell>
        </row>
        <row r="539">
          <cell r="B539" t="str">
            <v>10/532723-4</v>
          </cell>
          <cell r="D539">
            <v>45809</v>
          </cell>
          <cell r="H539" t="str">
            <v>Aprovado</v>
          </cell>
          <cell r="O539" t="str">
            <v>Atrasado</v>
          </cell>
          <cell r="P539">
            <v>0</v>
          </cell>
        </row>
        <row r="540">
          <cell r="B540" t="str">
            <v>10/1035655-8</v>
          </cell>
          <cell r="D540">
            <v>45809</v>
          </cell>
          <cell r="H540" t="str">
            <v>Aprovado</v>
          </cell>
          <cell r="O540" t="str">
            <v>Pago</v>
          </cell>
          <cell r="P540">
            <v>156.34</v>
          </cell>
        </row>
        <row r="541">
          <cell r="B541" t="str">
            <v>10/532081-7</v>
          </cell>
          <cell r="D541">
            <v>45809</v>
          </cell>
          <cell r="H541" t="str">
            <v>Aprovado</v>
          </cell>
          <cell r="O541" t="str">
            <v>Pago</v>
          </cell>
          <cell r="P541">
            <v>108.76</v>
          </cell>
        </row>
        <row r="542">
          <cell r="B542" t="str">
            <v>10/156956-5</v>
          </cell>
          <cell r="D542">
            <v>45809</v>
          </cell>
          <cell r="H542" t="str">
            <v>Aprovado</v>
          </cell>
          <cell r="O542" t="str">
            <v>Pago</v>
          </cell>
          <cell r="P542">
            <v>77.55</v>
          </cell>
        </row>
        <row r="543">
          <cell r="B543" t="str">
            <v>10/511753-6</v>
          </cell>
          <cell r="D543">
            <v>45809</v>
          </cell>
          <cell r="H543" t="str">
            <v>Aprovado</v>
          </cell>
          <cell r="O543" t="str">
            <v>Pago</v>
          </cell>
          <cell r="P543">
            <v>172.74</v>
          </cell>
        </row>
        <row r="544">
          <cell r="B544" t="str">
            <v>10/931327-1</v>
          </cell>
          <cell r="D544">
            <v>45809</v>
          </cell>
          <cell r="H544" t="str">
            <v>Aprovado</v>
          </cell>
          <cell r="O544" t="str">
            <v>Pago</v>
          </cell>
          <cell r="P544">
            <v>222.49</v>
          </cell>
        </row>
        <row r="545">
          <cell r="B545" t="str">
            <v>10/1698130-0</v>
          </cell>
          <cell r="D545">
            <v>45809</v>
          </cell>
          <cell r="H545" t="str">
            <v>Aprovado</v>
          </cell>
          <cell r="O545" t="str">
            <v>Pago</v>
          </cell>
          <cell r="P545">
            <v>95.85</v>
          </cell>
        </row>
        <row r="546">
          <cell r="B546" t="str">
            <v>10/150263-2</v>
          </cell>
          <cell r="D546">
            <v>45809</v>
          </cell>
          <cell r="H546" t="str">
            <v>Aprovado</v>
          </cell>
          <cell r="O546" t="str">
            <v>Atrasado</v>
          </cell>
          <cell r="P546">
            <v>0</v>
          </cell>
        </row>
        <row r="547">
          <cell r="B547" t="str">
            <v>10/1184751-4</v>
          </cell>
          <cell r="D547">
            <v>45809</v>
          </cell>
          <cell r="H547" t="str">
            <v>Aprovado</v>
          </cell>
          <cell r="O547" t="str">
            <v>Pago</v>
          </cell>
          <cell r="P547">
            <v>194.07</v>
          </cell>
        </row>
        <row r="548">
          <cell r="B548" t="str">
            <v>10/1695011-5</v>
          </cell>
          <cell r="D548">
            <v>45809</v>
          </cell>
          <cell r="H548" t="str">
            <v>Aprovado</v>
          </cell>
          <cell r="O548" t="str">
            <v>Pago</v>
          </cell>
          <cell r="P548">
            <v>40.090000000000003</v>
          </cell>
        </row>
        <row r="549">
          <cell r="B549" t="str">
            <v>10/1117293-9</v>
          </cell>
          <cell r="D549">
            <v>45809</v>
          </cell>
          <cell r="H549" t="str">
            <v>Aprovado</v>
          </cell>
          <cell r="O549" t="str">
            <v>Atrasado</v>
          </cell>
          <cell r="P549">
            <v>0</v>
          </cell>
        </row>
        <row r="550">
          <cell r="B550" t="str">
            <v>10/501586-2</v>
          </cell>
          <cell r="D550">
            <v>45809</v>
          </cell>
          <cell r="H550" t="str">
            <v>Aprovado</v>
          </cell>
          <cell r="O550" t="str">
            <v>Pago</v>
          </cell>
          <cell r="P550">
            <v>43.54</v>
          </cell>
        </row>
        <row r="551">
          <cell r="B551" t="str">
            <v>10/226667-4</v>
          </cell>
          <cell r="D551">
            <v>45809</v>
          </cell>
          <cell r="H551" t="str">
            <v>Aprovado</v>
          </cell>
          <cell r="O551" t="str">
            <v>Pago</v>
          </cell>
          <cell r="P551">
            <v>11.32</v>
          </cell>
        </row>
        <row r="552">
          <cell r="B552" t="str">
            <v>10/218777-1</v>
          </cell>
          <cell r="D552">
            <v>45809</v>
          </cell>
          <cell r="H552" t="str">
            <v>Aprovado</v>
          </cell>
          <cell r="O552" t="str">
            <v>Pago</v>
          </cell>
          <cell r="P552">
            <v>35.4</v>
          </cell>
        </row>
        <row r="553">
          <cell r="B553" t="str">
            <v>10/1548741-6</v>
          </cell>
          <cell r="D553">
            <v>45809</v>
          </cell>
          <cell r="H553" t="str">
            <v>Aprovado</v>
          </cell>
          <cell r="O553" t="str">
            <v>Pago</v>
          </cell>
          <cell r="P553">
            <v>84.82</v>
          </cell>
        </row>
        <row r="554">
          <cell r="B554" t="str">
            <v>10/257864-9</v>
          </cell>
          <cell r="D554">
            <v>45809</v>
          </cell>
          <cell r="H554" t="str">
            <v>Aprovado</v>
          </cell>
          <cell r="O554" t="str">
            <v>Atrasado</v>
          </cell>
          <cell r="P554">
            <v>0</v>
          </cell>
        </row>
        <row r="555">
          <cell r="B555" t="str">
            <v>10/10232-7</v>
          </cell>
          <cell r="D555">
            <v>45809</v>
          </cell>
          <cell r="H555" t="str">
            <v>Aprovado</v>
          </cell>
          <cell r="O555" t="str">
            <v>Pago</v>
          </cell>
          <cell r="P555">
            <v>24.74</v>
          </cell>
        </row>
        <row r="556">
          <cell r="B556" t="str">
            <v>10/384823-1</v>
          </cell>
          <cell r="D556">
            <v>45809</v>
          </cell>
          <cell r="H556" t="str">
            <v>Aprovado</v>
          </cell>
          <cell r="O556" t="str">
            <v>Pago</v>
          </cell>
          <cell r="P556">
            <v>110.4</v>
          </cell>
        </row>
        <row r="557">
          <cell r="B557" t="str">
            <v>10/2599101-9</v>
          </cell>
          <cell r="D557">
            <v>45809</v>
          </cell>
          <cell r="H557" t="str">
            <v>Aprovado</v>
          </cell>
          <cell r="O557" t="str">
            <v>Pago</v>
          </cell>
          <cell r="P557">
            <v>313.64999999999998</v>
          </cell>
        </row>
        <row r="558">
          <cell r="B558" t="str">
            <v>10/202838-9</v>
          </cell>
          <cell r="D558">
            <v>45809</v>
          </cell>
          <cell r="H558" t="str">
            <v>Aprovado</v>
          </cell>
          <cell r="O558" t="str">
            <v>Pago</v>
          </cell>
          <cell r="P558">
            <v>73.739999999999995</v>
          </cell>
        </row>
        <row r="559">
          <cell r="B559" t="str">
            <v>10/1939035-0</v>
          </cell>
          <cell r="D559">
            <v>45809</v>
          </cell>
          <cell r="H559" t="str">
            <v>Aprovado</v>
          </cell>
          <cell r="O559" t="str">
            <v>Pago</v>
          </cell>
          <cell r="P559">
            <v>180.56</v>
          </cell>
        </row>
        <row r="560">
          <cell r="B560" t="str">
            <v>10/2605731-5</v>
          </cell>
          <cell r="D560">
            <v>45809</v>
          </cell>
          <cell r="H560" t="str">
            <v>Aprovado</v>
          </cell>
          <cell r="O560" t="str">
            <v>Pago</v>
          </cell>
          <cell r="P560">
            <v>368.83</v>
          </cell>
        </row>
        <row r="561">
          <cell r="B561" t="str">
            <v>10/3005226-0</v>
          </cell>
          <cell r="D561">
            <v>45809</v>
          </cell>
          <cell r="H561" t="str">
            <v>Aprovado</v>
          </cell>
          <cell r="O561" t="str">
            <v>Atrasado</v>
          </cell>
          <cell r="P561">
            <v>0</v>
          </cell>
        </row>
        <row r="562">
          <cell r="B562" t="str">
            <v>10/76927-3</v>
          </cell>
          <cell r="D562">
            <v>45809</v>
          </cell>
          <cell r="H562" t="str">
            <v>Aprovado</v>
          </cell>
          <cell r="O562" t="str">
            <v>Pago</v>
          </cell>
          <cell r="P562">
            <v>118.91</v>
          </cell>
        </row>
        <row r="563">
          <cell r="B563" t="str">
            <v>10/142353-2</v>
          </cell>
          <cell r="D563">
            <v>45809</v>
          </cell>
          <cell r="H563" t="str">
            <v>Aprovado</v>
          </cell>
          <cell r="O563" t="str">
            <v>Pago</v>
          </cell>
          <cell r="P563">
            <v>164.56</v>
          </cell>
        </row>
        <row r="564">
          <cell r="B564" t="str">
            <v>10/435964-2</v>
          </cell>
          <cell r="D564">
            <v>45809</v>
          </cell>
          <cell r="H564" t="str">
            <v>Aprovado</v>
          </cell>
          <cell r="O564" t="str">
            <v>Pago</v>
          </cell>
          <cell r="P564">
            <v>58.93</v>
          </cell>
        </row>
        <row r="565">
          <cell r="B565" t="str">
            <v>10/1081489-5</v>
          </cell>
          <cell r="D565">
            <v>45809</v>
          </cell>
          <cell r="H565" t="str">
            <v>Aprovado</v>
          </cell>
          <cell r="O565" t="str">
            <v>Atrasado</v>
          </cell>
          <cell r="P565">
            <v>0</v>
          </cell>
        </row>
        <row r="566">
          <cell r="B566" t="str">
            <v>10/15297-5</v>
          </cell>
          <cell r="D566">
            <v>45809</v>
          </cell>
          <cell r="H566" t="str">
            <v>Aprovado</v>
          </cell>
          <cell r="O566" t="str">
            <v>Pago</v>
          </cell>
          <cell r="P566">
            <v>18.190000000000001</v>
          </cell>
        </row>
        <row r="567">
          <cell r="B567" t="str">
            <v>10/489076-0</v>
          </cell>
          <cell r="D567">
            <v>45809</v>
          </cell>
          <cell r="H567" t="str">
            <v>Aprovado</v>
          </cell>
          <cell r="O567" t="str">
            <v>Pago</v>
          </cell>
          <cell r="P567">
            <v>177.43</v>
          </cell>
        </row>
        <row r="568">
          <cell r="B568" t="str">
            <v>10/69319-2</v>
          </cell>
          <cell r="D568">
            <v>45809</v>
          </cell>
          <cell r="H568" t="str">
            <v>Aprovado</v>
          </cell>
          <cell r="O568" t="str">
            <v>Pago</v>
          </cell>
          <cell r="P568">
            <v>93.23</v>
          </cell>
        </row>
        <row r="569">
          <cell r="B569" t="str">
            <v>10/480529-7</v>
          </cell>
          <cell r="D569">
            <v>45809</v>
          </cell>
          <cell r="H569" t="str">
            <v>Aprovado</v>
          </cell>
          <cell r="O569" t="str">
            <v>Pago</v>
          </cell>
          <cell r="P569">
            <v>119.11</v>
          </cell>
        </row>
        <row r="570">
          <cell r="B570" t="str">
            <v>10/3139326-7</v>
          </cell>
          <cell r="D570">
            <v>45809</v>
          </cell>
          <cell r="H570" t="str">
            <v>Aprovado</v>
          </cell>
          <cell r="O570" t="str">
            <v>Pago</v>
          </cell>
          <cell r="P570">
            <v>177.24</v>
          </cell>
        </row>
        <row r="571">
          <cell r="B571" t="str">
            <v>10/399338-3</v>
          </cell>
          <cell r="D571">
            <v>45809</v>
          </cell>
          <cell r="H571" t="str">
            <v>Aprovado</v>
          </cell>
          <cell r="O571" t="str">
            <v>Pago</v>
          </cell>
          <cell r="P571">
            <v>194.17</v>
          </cell>
        </row>
        <row r="572">
          <cell r="B572" t="str">
            <v>10/252817-2</v>
          </cell>
          <cell r="D572">
            <v>45809</v>
          </cell>
          <cell r="H572" t="str">
            <v>Aprovado</v>
          </cell>
          <cell r="O572" t="str">
            <v>Pago</v>
          </cell>
          <cell r="P572">
            <v>38.68</v>
          </cell>
        </row>
        <row r="573">
          <cell r="B573" t="str">
            <v>10/175073-6</v>
          </cell>
          <cell r="D573">
            <v>45809</v>
          </cell>
          <cell r="H573" t="str">
            <v>Aprovado</v>
          </cell>
          <cell r="O573" t="str">
            <v>Atrasado</v>
          </cell>
          <cell r="P573">
            <v>0</v>
          </cell>
        </row>
        <row r="574">
          <cell r="B574" t="str">
            <v>10/81222-2</v>
          </cell>
          <cell r="D574">
            <v>45809</v>
          </cell>
          <cell r="H574" t="str">
            <v>Aprovado</v>
          </cell>
          <cell r="O574" t="str">
            <v>Pago</v>
          </cell>
          <cell r="P574">
            <v>182.75</v>
          </cell>
        </row>
        <row r="575">
          <cell r="B575" t="str">
            <v>10/1674177-9</v>
          </cell>
          <cell r="D575">
            <v>45809</v>
          </cell>
          <cell r="H575" t="str">
            <v>Aprovado</v>
          </cell>
          <cell r="O575" t="str">
            <v>Pago</v>
          </cell>
          <cell r="P575">
            <v>118.89</v>
          </cell>
        </row>
        <row r="576">
          <cell r="B576" t="str">
            <v>10/72605-9</v>
          </cell>
          <cell r="D576">
            <v>45809</v>
          </cell>
          <cell r="H576" t="str">
            <v>Aprovado</v>
          </cell>
          <cell r="O576" t="str">
            <v>Pago</v>
          </cell>
          <cell r="P576">
            <v>75.459999999999994</v>
          </cell>
        </row>
        <row r="577">
          <cell r="B577" t="str">
            <v>10/40190-1</v>
          </cell>
          <cell r="D577">
            <v>45809</v>
          </cell>
          <cell r="H577" t="str">
            <v>Aprovado</v>
          </cell>
          <cell r="O577" t="str">
            <v>Atrasado</v>
          </cell>
          <cell r="P577">
            <v>0</v>
          </cell>
        </row>
        <row r="578">
          <cell r="B578" t="str">
            <v>10/1266128-6</v>
          </cell>
          <cell r="D578">
            <v>45809</v>
          </cell>
          <cell r="H578" t="str">
            <v>Aprovado</v>
          </cell>
          <cell r="O578" t="str">
            <v>Pago</v>
          </cell>
          <cell r="P578">
            <v>5.34</v>
          </cell>
        </row>
        <row r="579">
          <cell r="B579" t="str">
            <v>10/127464-6</v>
          </cell>
          <cell r="D579">
            <v>45809</v>
          </cell>
          <cell r="H579" t="str">
            <v>Aprovado</v>
          </cell>
          <cell r="O579" t="str">
            <v>Pago</v>
          </cell>
          <cell r="P579">
            <v>237.65</v>
          </cell>
        </row>
        <row r="580">
          <cell r="B580" t="str">
            <v>10/24514-2</v>
          </cell>
          <cell r="D580">
            <v>45809</v>
          </cell>
          <cell r="H580" t="str">
            <v>Aprovado</v>
          </cell>
          <cell r="O580" t="str">
            <v>Atrasado</v>
          </cell>
          <cell r="P580">
            <v>0</v>
          </cell>
        </row>
        <row r="581">
          <cell r="B581" t="str">
            <v>10/283183-2</v>
          </cell>
          <cell r="D581">
            <v>45809</v>
          </cell>
          <cell r="H581" t="str">
            <v>Aprovado</v>
          </cell>
          <cell r="O581" t="str">
            <v>Pago</v>
          </cell>
          <cell r="P581">
            <v>16.72</v>
          </cell>
        </row>
        <row r="582">
          <cell r="B582" t="str">
            <v>10/13786-9</v>
          </cell>
          <cell r="D582">
            <v>45809</v>
          </cell>
          <cell r="H582" t="str">
            <v>Aprovado</v>
          </cell>
          <cell r="O582" t="str">
            <v>Pago</v>
          </cell>
          <cell r="P582">
            <v>53.1</v>
          </cell>
        </row>
        <row r="583">
          <cell r="B583" t="str">
            <v>10/63920-3</v>
          </cell>
          <cell r="D583">
            <v>45809</v>
          </cell>
          <cell r="H583" t="str">
            <v>Aprovado</v>
          </cell>
          <cell r="O583" t="str">
            <v>Pago</v>
          </cell>
          <cell r="P583">
            <v>119.1</v>
          </cell>
        </row>
        <row r="584">
          <cell r="B584" t="str">
            <v>10/41548-9</v>
          </cell>
          <cell r="D584">
            <v>45809</v>
          </cell>
          <cell r="H584" t="str">
            <v>Aprovado</v>
          </cell>
          <cell r="O584" t="str">
            <v>Atrasado</v>
          </cell>
          <cell r="P584">
            <v>0</v>
          </cell>
        </row>
        <row r="585">
          <cell r="B585" t="str">
            <v>10/52987-5</v>
          </cell>
          <cell r="D585">
            <v>45809</v>
          </cell>
          <cell r="H585" t="str">
            <v>Aprovado</v>
          </cell>
          <cell r="O585" t="str">
            <v>Atrasado</v>
          </cell>
          <cell r="P585">
            <v>0</v>
          </cell>
        </row>
        <row r="586">
          <cell r="B586" t="str">
            <v>10/341308-5</v>
          </cell>
          <cell r="D586">
            <v>45809</v>
          </cell>
          <cell r="H586" t="str">
            <v>Aprovado</v>
          </cell>
          <cell r="O586" t="str">
            <v>Pago</v>
          </cell>
          <cell r="P586">
            <v>64.91</v>
          </cell>
        </row>
        <row r="587">
          <cell r="B587" t="str">
            <v>10/1288241-1</v>
          </cell>
          <cell r="D587">
            <v>45809</v>
          </cell>
          <cell r="H587" t="str">
            <v>Aprovado</v>
          </cell>
          <cell r="O587" t="str">
            <v>Atrasado</v>
          </cell>
          <cell r="P587">
            <v>0</v>
          </cell>
        </row>
        <row r="588">
          <cell r="B588" t="str">
            <v>10/239312-2</v>
          </cell>
          <cell r="D588">
            <v>45809</v>
          </cell>
          <cell r="H588" t="str">
            <v>Aprovado</v>
          </cell>
          <cell r="O588" t="str">
            <v>Pago</v>
          </cell>
          <cell r="P588">
            <v>119.09</v>
          </cell>
        </row>
        <row r="589">
          <cell r="B589" t="str">
            <v>10/109074-5</v>
          </cell>
          <cell r="D589">
            <v>45809</v>
          </cell>
          <cell r="H589" t="str">
            <v>Aprovado</v>
          </cell>
          <cell r="O589" t="str">
            <v>Atrasado</v>
          </cell>
          <cell r="P589">
            <v>0</v>
          </cell>
        </row>
        <row r="590">
          <cell r="B590" t="str">
            <v>10/78338-1</v>
          </cell>
          <cell r="D590">
            <v>45809</v>
          </cell>
          <cell r="H590" t="str">
            <v>Aprovado</v>
          </cell>
          <cell r="O590" t="str">
            <v>Pago</v>
          </cell>
          <cell r="P590">
            <v>119.09</v>
          </cell>
        </row>
        <row r="591">
          <cell r="B591" t="str">
            <v>10/530195-7</v>
          </cell>
          <cell r="D591">
            <v>45809</v>
          </cell>
          <cell r="H591" t="str">
            <v>Aprovado</v>
          </cell>
          <cell r="O591" t="str">
            <v>Atrasado</v>
          </cell>
          <cell r="P591">
            <v>0</v>
          </cell>
        </row>
        <row r="592">
          <cell r="B592" t="str">
            <v>10/395471-6</v>
          </cell>
          <cell r="D592">
            <v>45809</v>
          </cell>
          <cell r="H592" t="str">
            <v>Aprovado</v>
          </cell>
          <cell r="O592" t="str">
            <v>Pago</v>
          </cell>
          <cell r="P592">
            <v>120.62</v>
          </cell>
        </row>
        <row r="593">
          <cell r="B593" t="str">
            <v>10/3125732-2</v>
          </cell>
          <cell r="D593">
            <v>45809</v>
          </cell>
          <cell r="H593" t="str">
            <v>Aprovado</v>
          </cell>
          <cell r="O593" t="str">
            <v>Atrasado</v>
          </cell>
          <cell r="P593">
            <v>0</v>
          </cell>
        </row>
        <row r="594">
          <cell r="B594" t="str">
            <v>10/466560-0</v>
          </cell>
          <cell r="D594">
            <v>45809</v>
          </cell>
          <cell r="H594" t="str">
            <v>Aprovado</v>
          </cell>
          <cell r="O594" t="str">
            <v>Pago</v>
          </cell>
          <cell r="P594">
            <v>59.21</v>
          </cell>
        </row>
        <row r="595">
          <cell r="B595" t="str">
            <v>10/18015-8</v>
          </cell>
          <cell r="D595">
            <v>45809</v>
          </cell>
          <cell r="H595" t="str">
            <v>Não emitido</v>
          </cell>
          <cell r="O595" t="str">
            <v>Não faturado</v>
          </cell>
          <cell r="P595"/>
        </row>
        <row r="596">
          <cell r="B596" t="str">
            <v>10/513413-5</v>
          </cell>
          <cell r="D596">
            <v>45809</v>
          </cell>
          <cell r="H596" t="str">
            <v>Não emitido</v>
          </cell>
          <cell r="O596" t="str">
            <v>Não faturado</v>
          </cell>
          <cell r="P596"/>
        </row>
        <row r="597">
          <cell r="B597" t="str">
            <v>10/113971-6</v>
          </cell>
          <cell r="D597">
            <v>45809</v>
          </cell>
          <cell r="H597" t="str">
            <v>Não emitido</v>
          </cell>
          <cell r="O597" t="str">
            <v>Não faturado</v>
          </cell>
          <cell r="P597"/>
        </row>
        <row r="598">
          <cell r="B598" t="str">
            <v>10/237441-1</v>
          </cell>
          <cell r="D598">
            <v>45809</v>
          </cell>
          <cell r="H598" t="str">
            <v>Não emitido</v>
          </cell>
          <cell r="O598" t="str">
            <v>Não faturado</v>
          </cell>
          <cell r="P598"/>
        </row>
        <row r="599">
          <cell r="B599" t="str">
            <v>10/1433087-2</v>
          </cell>
          <cell r="D599">
            <v>45809</v>
          </cell>
          <cell r="H599" t="str">
            <v>Não emitido</v>
          </cell>
          <cell r="O599" t="str">
            <v>Não faturado</v>
          </cell>
          <cell r="P599"/>
        </row>
        <row r="600">
          <cell r="B600" t="str">
            <v>10/452884-0</v>
          </cell>
          <cell r="D600">
            <v>45809</v>
          </cell>
          <cell r="H600" t="str">
            <v>Não emitido</v>
          </cell>
          <cell r="O600" t="str">
            <v>Não faturado</v>
          </cell>
          <cell r="P600"/>
        </row>
        <row r="601">
          <cell r="B601" t="str">
            <v>10/162736-3</v>
          </cell>
          <cell r="D601">
            <v>45809</v>
          </cell>
          <cell r="H601" t="str">
            <v>Não emitido</v>
          </cell>
          <cell r="O601" t="str">
            <v>Não faturado</v>
          </cell>
          <cell r="P601"/>
        </row>
        <row r="602">
          <cell r="B602" t="str">
            <v>10/135237-6</v>
          </cell>
          <cell r="D602">
            <v>45809</v>
          </cell>
          <cell r="H602" t="str">
            <v>Não emitido</v>
          </cell>
          <cell r="O602" t="str">
            <v>Não faturado</v>
          </cell>
          <cell r="P602"/>
        </row>
        <row r="603">
          <cell r="B603" t="str">
            <v>10/987178-1</v>
          </cell>
          <cell r="D603">
            <v>45809</v>
          </cell>
          <cell r="H603" t="str">
            <v>Não emitido</v>
          </cell>
          <cell r="O603" t="str">
            <v>Não faturado</v>
          </cell>
          <cell r="P603"/>
        </row>
        <row r="604">
          <cell r="B604" t="str">
            <v>10/2794432-1</v>
          </cell>
          <cell r="D604">
            <v>45809</v>
          </cell>
          <cell r="H604" t="str">
            <v>Não emitido</v>
          </cell>
          <cell r="O604" t="str">
            <v>Não faturado</v>
          </cell>
          <cell r="P604"/>
        </row>
        <row r="605">
          <cell r="B605" t="str">
            <v>10/8777-5</v>
          </cell>
          <cell r="D605">
            <v>45809</v>
          </cell>
          <cell r="H605" t="str">
            <v>Não emitido</v>
          </cell>
          <cell r="O605" t="str">
            <v>Não faturado</v>
          </cell>
          <cell r="P605"/>
        </row>
        <row r="606">
          <cell r="B606" t="str">
            <v>10/504844-2</v>
          </cell>
          <cell r="D606">
            <v>45809</v>
          </cell>
          <cell r="H606" t="str">
            <v>Não emitido</v>
          </cell>
          <cell r="O606" t="str">
            <v>Não faturado</v>
          </cell>
          <cell r="P606"/>
        </row>
        <row r="607">
          <cell r="B607" t="str">
            <v>10/280638-8</v>
          </cell>
          <cell r="D607">
            <v>45809</v>
          </cell>
          <cell r="H607" t="str">
            <v>Não emitido</v>
          </cell>
          <cell r="O607" t="str">
            <v>Não faturado</v>
          </cell>
          <cell r="P607"/>
        </row>
        <row r="608">
          <cell r="B608" t="str">
            <v>10/61344-8</v>
          </cell>
          <cell r="D608">
            <v>45809</v>
          </cell>
          <cell r="H608" t="str">
            <v>Não emitido</v>
          </cell>
          <cell r="O608" t="str">
            <v>Não faturado</v>
          </cell>
          <cell r="P608"/>
        </row>
        <row r="609">
          <cell r="B609" t="str">
            <v>10/952579-1</v>
          </cell>
          <cell r="D609">
            <v>45809</v>
          </cell>
          <cell r="H609" t="str">
            <v>Não emitido</v>
          </cell>
          <cell r="O609" t="str">
            <v>Não faturado</v>
          </cell>
          <cell r="P609"/>
        </row>
        <row r="610">
          <cell r="B610" t="str">
            <v>10/505854-0</v>
          </cell>
          <cell r="D610">
            <v>45809</v>
          </cell>
          <cell r="H610" t="str">
            <v>Não emitido</v>
          </cell>
          <cell r="O610" t="str">
            <v>Não faturado</v>
          </cell>
          <cell r="P610"/>
        </row>
        <row r="611">
          <cell r="B611" t="str">
            <v>10/3123706-8</v>
          </cell>
          <cell r="D611">
            <v>45809</v>
          </cell>
          <cell r="H611" t="str">
            <v>Não emitido</v>
          </cell>
          <cell r="O611" t="str">
            <v>Não faturado</v>
          </cell>
          <cell r="P611"/>
        </row>
        <row r="612">
          <cell r="B612" t="str">
            <v>10/129490-9</v>
          </cell>
          <cell r="D612">
            <v>45809</v>
          </cell>
          <cell r="H612" t="str">
            <v>Não emitido</v>
          </cell>
          <cell r="O612" t="str">
            <v>Não faturado</v>
          </cell>
          <cell r="P612"/>
        </row>
        <row r="613">
          <cell r="B613" t="str">
            <v>10/3054052-0</v>
          </cell>
          <cell r="D613">
            <v>45809</v>
          </cell>
          <cell r="H613" t="str">
            <v>Não emitido</v>
          </cell>
          <cell r="O613" t="str">
            <v>Não faturado</v>
          </cell>
          <cell r="P613"/>
        </row>
        <row r="614">
          <cell r="B614" t="str">
            <v>10/1130988-7</v>
          </cell>
          <cell r="D614">
            <v>45809</v>
          </cell>
          <cell r="H614" t="str">
            <v>Não emitido</v>
          </cell>
          <cell r="O614" t="str">
            <v>Não faturado</v>
          </cell>
          <cell r="P614"/>
        </row>
        <row r="615">
          <cell r="B615" t="str">
            <v>10/3040565-8</v>
          </cell>
          <cell r="D615">
            <v>45809</v>
          </cell>
          <cell r="H615" t="str">
            <v>Não emitido</v>
          </cell>
          <cell r="O615" t="str">
            <v>Não faturado</v>
          </cell>
          <cell r="P615"/>
        </row>
        <row r="616">
          <cell r="B616" t="str">
            <v>10/260761-2</v>
          </cell>
          <cell r="D616">
            <v>45809</v>
          </cell>
          <cell r="H616" t="str">
            <v>Não emitido</v>
          </cell>
          <cell r="O616" t="str">
            <v>Não faturado</v>
          </cell>
          <cell r="P616"/>
        </row>
        <row r="617">
          <cell r="B617" t="str">
            <v>10/908866-7</v>
          </cell>
          <cell r="D617">
            <v>45809</v>
          </cell>
          <cell r="H617" t="str">
            <v>Não emitido</v>
          </cell>
          <cell r="O617" t="str">
            <v>Não faturado</v>
          </cell>
          <cell r="P617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via Almeida" id="{1542DD0F-F5EC-4587-9EB2-14DCED0309E2}" userId="livia.almeida@hube.energy" providerId="PeoplePicker"/>
  <person displayName="Luisa Torres Rodrigues" id="{A7E6F6F7-3C83-48C2-B669-CD4939CE1024}" userId="S::luisa.torres@hube.energy::3dd24d4d-88bd-4d60-8dab-02f970ba342b" providerId="AD"/>
  <person displayName="Gustavo Lemos" id="{0B4D76B7-720E-4F16-A68B-3A7A9E5FBC21}" userId="S::gustavo.lemos@hube.energy::93de26a4-5658-4dc1-ad55-9ec35c01b0b8" providerId="AD"/>
  <person displayName="Livia Almeida" id="{7C6EAE4E-EBCC-4C2E-9D05-DFC00AE78FD8}" userId="S::livia.almeida@hube.energy::9f70efc8-3302-4413-9921-c2f120679980" providerId="AD"/>
  <person displayName="Izabella Pitta" id="{45B16A55-8634-4B3F-9BC0-4C5BC6552A36}" userId="S::izabella.pitta@hube.energy::85a956b8-6898-4fb8-9f0f-501d4c079254" providerId="AD"/>
  <person displayName="Luisa Torres Rodrigues" id="{CA20CCD3-E901-493B-821F-079771DF8A9A}" userId="S::luisa.torres@grupogera.com::3dd24d4d-88bd-4d60-8dab-02f970ba342b" providerId="AD"/>
  <person displayName="Carlos Innecco" id="{E584E8CC-32B0-489F-81CE-62948701DF57}" userId="S::carlos.innecco@grupogera.com::4315f3eb-a427-4c97-8cf0-fd894028c70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6" dT="2022-05-18T17:40:06.35" personId="{CA20CCD3-E901-493B-821F-079771DF8A9A}" id="{38971D40-7CAC-4709-A4C3-8F403C15D1A6}">
    <text>pode pedir rescisão a partir do 48º mês, com antecedência mínima de 12 meses para a retirada.</text>
  </threadedComment>
  <threadedComment ref="O37" dT="2022-05-18T17:40:06.35" personId="{CA20CCD3-E901-493B-821F-079771DF8A9A}" id="{7A6F9556-5534-4101-8249-DC17ADE397E9}">
    <text>pode pedir rescisão a partir do 48º mês, com antecedência mínima de 12 meses para a retirada.</text>
  </threadedComment>
  <threadedComment ref="O38" dT="2022-05-18T17:40:06.35" personId="{CA20CCD3-E901-493B-821F-079771DF8A9A}" id="{C44726FC-73FD-430F-ADF7-5B80A23F4AC5}">
    <text>pode pedir rescisão a partir do 48º mês, com antecedência mínima de 12 meses para a retirada.</text>
  </threadedComment>
  <threadedComment ref="O39" dT="2022-05-18T17:40:06.35" personId="{CA20CCD3-E901-493B-821F-079771DF8A9A}" id="{BE7E4B5F-63A6-4742-AFFC-A22A755DE6D2}">
    <text>pode pedir rescisão a partir do 48º mês, com antecedência mínima de 12 meses para a retirada.</text>
  </threadedComment>
  <threadedComment ref="O40" dT="2022-05-18T17:40:06.35" personId="{CA20CCD3-E901-493B-821F-079771DF8A9A}" id="{7F4C9243-0A08-449A-AFBF-F638A537D804}">
    <text>pode pedir rescisão a partir do 48º mês, com antecedência mínima de 12 meses para a retirada.</text>
  </threadedComment>
  <threadedComment ref="O41" dT="2022-05-18T17:40:06.35" personId="{CA20CCD3-E901-493B-821F-079771DF8A9A}" id="{55FAAB12-0845-4220-9A09-57BBCCD83F42}">
    <text>pode pedir rescisão a partir do 48º mês, com antecedência mínima de 12 meses para a retirada.</text>
  </threadedComment>
  <threadedComment ref="O42" dT="2022-05-18T17:40:06.35" personId="{CA20CCD3-E901-493B-821F-079771DF8A9A}" id="{BD807B63-4E15-4D82-8AE1-DD8B258E838F}">
    <text>pode pedir rescisão a partir do 48º mês, com antecedência mínima de 12 meses para a retirada.</text>
  </threadedComment>
  <threadedComment ref="O43" dT="2022-05-18T17:40:06.35" personId="{CA20CCD3-E901-493B-821F-079771DF8A9A}" id="{3175972E-3D4D-4C27-8EC5-40A4AB68C105}">
    <text>pode pedir rescisão a partir do 48º mês, com antecedência mínima de 12 meses para a retirada.</text>
  </threadedComment>
  <threadedComment ref="B44" dT="2025-02-13T20:37:52.60" personId="{A7E6F6F7-3C83-48C2-B669-CD4939CE1024}" id="{A9EF34C4-DC52-481D-B89B-57368ACC46D6}">
    <text xml:space="preserve">Unidade não foi enviada no CSV para o portal, mas esta no rateio
</text>
  </threadedComment>
  <threadedComment ref="B45" dT="2025-02-13T20:37:56.54" personId="{A7E6F6F7-3C83-48C2-B669-CD4939CE1024}" id="{EADA9CED-0FAB-4887-905B-95921EB9A69D}">
    <text>Unidade não foi enviada no CSV para o portal, mas esta no rateio</text>
  </threadedComment>
  <threadedComment ref="B47" dT="2025-02-18T19:46:07.10" personId="{A7E6F6F7-3C83-48C2-B669-CD4939CE1024}" id="{C8DCA24F-AB66-414A-BFF8-FBCF8318EB57}">
    <text>Unidade encerrada</text>
  </threadedComment>
  <threadedComment ref="B60" dT="2025-03-27T13:12:08.16" personId="{A7E6F6F7-3C83-48C2-B669-CD4939CE1024}" id="{D976CCA4-0868-45B1-B7D0-3E4396A7732F}">
    <text>UC com Geração local, mas que não supre todo o consumo.</text>
  </threadedComment>
  <threadedComment ref="B67" dT="2025-02-18T19:26:13.06" personId="{A7E6F6F7-3C83-48C2-B669-CD4939CE1024}" id="{2454CF94-18CA-4FAC-92FF-7570754FAC6C}">
    <text>Sem cobrança do custo de disponibilidade</text>
  </threadedComment>
  <threadedComment ref="B82" dT="2025-02-18T19:26:22.30" personId="{A7E6F6F7-3C83-48C2-B669-CD4939CE1024}" id="{47025E1E-BE50-4E92-B0EC-5600F7DB570B}">
    <text>Sem cobrança do custo de disponibilidade</text>
  </threadedComment>
  <threadedComment ref="B88" dT="2025-02-19T14:14:31.76" personId="{A7E6F6F7-3C83-48C2-B669-CD4939CE1024}" id="{94C0C581-881E-4E94-9A8D-0F05F7825D29}">
    <text>Sem compensação</text>
  </threadedComment>
  <threadedComment ref="B94" dT="2025-02-19T14:14:54.58" personId="{A7E6F6F7-3C83-48C2-B669-CD4939CE1024}" id="{B17D49CA-7037-4C2C-906F-C873085E275C}">
    <text>Sem compensação</text>
  </threadedComment>
  <threadedComment ref="B98" dT="2025-02-18T19:56:10.88" personId="{A7E6F6F7-3C83-48C2-B669-CD4939CE1024}" id="{D775A8C3-2C0A-444C-8AC1-9481242B784D}">
    <text>2344751-9 - Dados antigos da UC 10/2934980-0 - Igreja 63105 Mudou de Endereço</text>
  </threadedComment>
  <threadedComment ref="B99" dT="2025-02-18T19:53:14.56" personId="{A7E6F6F7-3C83-48C2-B669-CD4939CE1024}" id="{966E8B56-A186-4AA2-B5F7-FA9A04C353E0}">
    <text>Unidade encerrada</text>
  </threadedComment>
  <threadedComment ref="B100" dT="2025-03-26T18:20:02.33" personId="{A7E6F6F7-3C83-48C2-B669-CD4939CE1024}" id="{8C0FC320-5E88-43C7-A548-E092D622F28C}">
    <text>UC com geração Local, não deve ser faturada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Q8" dT="2022-07-19T19:46:28.75" personId="{E584E8CC-32B0-489F-81CE-62948701DF57}" id="{4DD0A3A1-FF0D-4020-9ADC-9626F7DE04FC}">
    <text>Geração Total * % rateio cada UC</text>
  </threadedComment>
  <threadedComment ref="C9" dT="2025-02-14T20:46:20.56" personId="{A7E6F6F7-3C83-48C2-B669-CD4939CE1024}" id="{64ABBD6D-1955-4227-B559-4D8C946ACFD6}">
    <text>Unidade em GDI e GDII</text>
  </threadedComment>
  <threadedComment ref="C10" dT="2025-02-14T20:48:01.81" personId="{A7E6F6F7-3C83-48C2-B669-CD4939CE1024}" id="{6A9D083B-143A-4E14-B66A-CAC1451935AB}">
    <text xml:space="preserve">Unidade em GDI e GDII
</text>
  </threadedComment>
  <threadedComment ref="C11" dT="2025-02-14T20:48:49.86" personId="{A7E6F6F7-3C83-48C2-B669-CD4939CE1024}" id="{77A51FE2-C812-46AB-9673-A54B306A8B53}">
    <text xml:space="preserve">Unidade em GDI e GDII
</text>
  </threadedComment>
  <threadedComment ref="C14" dT="2025-02-19T14:15:53.12" personId="{A7E6F6F7-3C83-48C2-B669-CD4939CE1024}" id="{0C488010-CF8A-44AE-A756-C71F4F416A0E}">
    <text>Sem consumo</text>
  </threadedComment>
  <threadedComment ref="C32" dT="2025-02-14T20:54:05.47" personId="{A7E6F6F7-3C83-48C2-B669-CD4939CE1024}" id="{4F39BD19-5FFE-4768-A719-EEC01822E4D0}">
    <text>Unidade em GDI e GDII</text>
  </threadedComment>
  <threadedComment ref="C34" dT="2025-02-19T14:16:17.46" personId="{A7E6F6F7-3C83-48C2-B669-CD4939CE1024}" id="{36436174-8F11-4E73-8A4C-E4906B51AC3B}">
    <text>Sem compensação</text>
  </threadedComment>
  <threadedComment ref="C37" dT="2025-02-13T20:50:20.24" personId="{A7E6F6F7-3C83-48C2-B669-CD4939CE1024}" id="{D23D3C84-D860-4428-81BF-61760EC2CAD0}">
    <text>UC está vinculada a essa usina no CVS para o portal, mas não foi enviada para o rateio para a EMS</text>
  </threadedComment>
  <threadedComment ref="C37" dT="2025-02-14T18:07:10.27" personId="{A7E6F6F7-3C83-48C2-B669-CD4939CE1024}" id="{0A64594D-E8B5-4F02-94B6-86F3CAC8FA59}" parentId="{D23D3C84-D860-4428-81BF-61760EC2CAD0}">
    <text>Houve erro e não foi incluída no rateio. Pode ser incluída nos próximos rateios</text>
  </threadedComment>
  <threadedComment ref="C40" dT="2025-02-14T20:55:17.70" personId="{A7E6F6F7-3C83-48C2-B669-CD4939CE1024}" id="{54482CDC-5F56-4D9E-B33A-C88684D914CE}">
    <text xml:space="preserve">Unidade em GDI e GDII
</text>
  </threadedComment>
  <threadedComment ref="C50" dT="2025-02-13T20:37:52.60" personId="{A7E6F6F7-3C83-48C2-B669-CD4939CE1024}" id="{4D7A80E1-3D65-4016-B4C6-096B537AB37D}">
    <text xml:space="preserve">Unidade não foi enviada no CSV para o portal, mas esta no rateio
</text>
  </threadedComment>
  <threadedComment ref="C50" dT="2025-02-14T18:07:58.33" personId="{A7E6F6F7-3C83-48C2-B669-CD4939CE1024}" id="{E25996BB-9615-47E7-B102-BBE505486FEB}" parentId="{4D7A80E1-3D65-4016-B4C6-096B537AB37D}">
    <text>Estava na usina GDI, mas está como inativa e devem ser removidas</text>
  </threadedComment>
  <threadedComment ref="C51" dT="2025-02-13T20:37:56.54" personId="{A7E6F6F7-3C83-48C2-B669-CD4939CE1024}" id="{089DD765-F71C-449C-8AD8-067428E60339}">
    <text>Unidade não foi enviada no CSV para o portal, mas esta no rateio</text>
  </threadedComment>
  <threadedComment ref="C51" dT="2025-02-14T18:08:10.29" personId="{A7E6F6F7-3C83-48C2-B669-CD4939CE1024}" id="{394140BB-B4E2-478E-8786-A715CA446457}" parentId="{089DD765-F71C-449C-8AD8-067428E60339}">
    <text>Também esta inativa (O pastor pediu para retirar do rateio)</text>
  </threadedComment>
  <threadedComment ref="C52" dT="2025-02-18T19:46:07.10" personId="{A7E6F6F7-3C83-48C2-B669-CD4939CE1024}" id="{AFF19821-9B1E-474D-BFAA-8AF2B098D30E}">
    <text>Unidade encerrada</text>
  </threadedComment>
  <threadedComment ref="C65" dT="2025-03-27T13:12:08.16" personId="{A7E6F6F7-3C83-48C2-B669-CD4939CE1024}" id="{0636C68E-5E8B-4AA3-A4A8-B87A2DA2A84C}">
    <text>UC com Geração local, mas que não supre todo o consumo.</text>
  </threadedComment>
  <threadedComment ref="C72" dT="2025-02-18T19:26:13.06" personId="{A7E6F6F7-3C83-48C2-B669-CD4939CE1024}" id="{0B1BC10C-6161-4AB1-8735-AD934A6AC14E}">
    <text>Sem cobrança do custo de disponibilidade</text>
  </threadedComment>
  <threadedComment ref="C87" dT="2025-02-18T19:26:22.30" personId="{A7E6F6F7-3C83-48C2-B669-CD4939CE1024}" id="{43718D2F-3B30-46D3-BC41-99EE5FFBD100}">
    <text>Sem cobrança do custo de disponibilidade</text>
  </threadedComment>
  <threadedComment ref="C93" dT="2025-02-19T14:14:31.76" personId="{A7E6F6F7-3C83-48C2-B669-CD4939CE1024}" id="{6E0BB5F4-00D7-411E-9B59-1D6B0F7CEAEC}">
    <text>Sem compensação</text>
  </threadedComment>
  <threadedComment ref="C103" dT="2025-02-18T19:56:10.88" personId="{A7E6F6F7-3C83-48C2-B669-CD4939CE1024}" id="{704DA44F-2E96-4080-BEE7-39076F0C4060}">
    <text>2344751-9 - Dados antigos da UC 10/2934980-0 - Igreja 63105 Mudou de Endereço</text>
  </threadedComment>
  <threadedComment ref="C104" dT="2025-02-18T19:53:14.56" personId="{A7E6F6F7-3C83-48C2-B669-CD4939CE1024}" id="{7E68D1CE-8508-4AE1-B358-AFF4895711D6}">
    <text>Unidade encerrada</text>
  </threadedComment>
  <threadedComment ref="C105" dT="2025-03-26T18:20:02.33" personId="{A7E6F6F7-3C83-48C2-B669-CD4939CE1024}" id="{8CD50E59-4E98-40D8-8E05-3E033F6B19EB}">
    <text>UC com geração Local, não deve ser faturada</text>
  </threadedComment>
  <threadedComment ref="AF105" dT="2025-05-23T20:33:47.95" personId="{0B4D76B7-720E-4F16-A68B-3A7A9E5FBC21}" id="{819F1A66-04C3-401D-BE3B-0262EF47BEE3}">
    <text xml:space="preserve">A Fatura foi analisada e este é o valor de crédito consumido da nossa Usina. </text>
  </threadedComment>
  <threadedComment ref="C134" dT="2025-02-13T20:50:20.24" personId="{A7E6F6F7-3C83-48C2-B669-CD4939CE1024}" id="{990DDAFE-25F0-4591-B8B4-2F057AC7C702}">
    <text>UC está vinculada a essa usina no CVS para o portal, mas não foi enviada para o rateio para a EMS</text>
  </threadedComment>
  <threadedComment ref="C134" dT="2025-02-14T18:07:10.27" personId="{A7E6F6F7-3C83-48C2-B669-CD4939CE1024}" id="{F665911E-6F4F-413C-AE9E-50A6C31D2CA7}" parentId="{990DDAFE-25F0-4591-B8B4-2F057AC7C702}">
    <text>Houve erro e não foi incluída no rateio. Pode ser incluída nos próximos rateios</text>
  </threadedComment>
  <threadedComment ref="C147" dT="2025-02-13T20:37:52.60" personId="{A7E6F6F7-3C83-48C2-B669-CD4939CE1024}" id="{CB1FDAA4-E112-4ADD-922F-9A906CA5B984}">
    <text xml:space="preserve">Unidade não foi enviada no CSV para o portal, mas esta no rateio
</text>
  </threadedComment>
  <threadedComment ref="C147" dT="2025-02-14T18:07:58.33" personId="{A7E6F6F7-3C83-48C2-B669-CD4939CE1024}" id="{22AC320B-BCDA-40F2-AC96-700A5E21CABE}" parentId="{CB1FDAA4-E112-4ADD-922F-9A906CA5B984}">
    <text>Estava na usina GDI, mas está como inativa e devem ser removidas</text>
  </threadedComment>
  <threadedComment ref="C148" dT="2025-02-13T20:37:56.54" personId="{A7E6F6F7-3C83-48C2-B669-CD4939CE1024}" id="{5D92AEC3-D6AB-4FB0-9BFF-26AAD4A5A186}">
    <text>Unidade não foi enviada no CSV para o portal, mas esta no rateio</text>
  </threadedComment>
  <threadedComment ref="C148" dT="2025-02-14T18:08:10.29" personId="{A7E6F6F7-3C83-48C2-B669-CD4939CE1024}" id="{B599E91D-6AE4-48A2-BF1B-5519D6058888}" parentId="{5D92AEC3-D6AB-4FB0-9BFF-26AAD4A5A186}">
    <text>Também esta inativa</text>
  </threadedComment>
  <threadedComment ref="C189" dT="2025-02-13T20:37:52.60" personId="{A7E6F6F7-3C83-48C2-B669-CD4939CE1024}" id="{E55BD9E3-7CC7-4A6A-962C-8167EA646E02}">
    <text xml:space="preserve">Unidade não foi enviada no CSV para o portal, mas esta no rateio
</text>
  </threadedComment>
  <threadedComment ref="C189" dT="2025-02-14T18:07:58.33" personId="{A7E6F6F7-3C83-48C2-B669-CD4939CE1024}" id="{BDEE6B14-4381-4B92-973E-0651F2A57109}" parentId="{E55BD9E3-7CC7-4A6A-962C-8167EA646E02}">
    <text>Estava na usina GDI, mas está como inativa e devem ser removidas</text>
  </threadedComment>
  <threadedComment ref="C190" dT="2025-02-13T20:37:56.54" personId="{A7E6F6F7-3C83-48C2-B669-CD4939CE1024}" id="{F3E8D52E-F131-424B-B569-4191C28E439E}">
    <text>Unidade não foi enviada no CSV para o portal, mas esta no rateio</text>
  </threadedComment>
  <threadedComment ref="C190" dT="2025-02-14T18:08:10.29" personId="{A7E6F6F7-3C83-48C2-B669-CD4939CE1024}" id="{C274EBB0-15C7-4B0D-AEAF-00DE0475650E}" parentId="{F3E8D52E-F131-424B-B569-4191C28E439E}">
    <text>Também esta inativa</text>
  </threadedComment>
  <threadedComment ref="C191" dT="2025-03-10T17:37:22.70" personId="{0B4D76B7-720E-4F16-A68B-3A7A9E5FBC21}" id="{EB9037A8-CD6E-403E-913E-FA96D9662A22}">
    <text xml:space="preserve">UC com rateio 0 mas teve crédito inj. 
</text>
  </threadedComment>
  <threadedComment ref="C192" dT="2025-03-26T18:20:12.64" personId="{A7E6F6F7-3C83-48C2-B669-CD4939CE1024}" id="{4C97FC8D-E1EB-437C-BF84-588B3A6506AB}">
    <text xml:space="preserve">UC com geração Local, não deve ser faturada
</text>
  </threadedComment>
  <threadedComment ref="AF192" dT="2025-05-23T20:33:47.95" personId="{0B4D76B7-720E-4F16-A68B-3A7A9E5FBC21}" id="{8F8644ED-2724-4B81-9F4A-4665F9CC04C8}">
    <text xml:space="preserve">A Fatura foi analisada e este é o valor de crédito consumido da nossa Usina. </text>
  </threadedComment>
  <threadedComment ref="C193" dT="2025-03-27T13:12:08.16" personId="{A7E6F6F7-3C83-48C2-B669-CD4939CE1024}" id="{CA62FC5B-62C8-408E-B8C3-95521738A5AA}">
    <text>UC com Geração local, mas que não supre todo o consumo.</text>
  </threadedComment>
  <threadedComment ref="AD193" dT="2025-05-23T20:33:47.95" personId="{0B4D76B7-720E-4F16-A68B-3A7A9E5FBC21}" id="{0F467C89-1BEA-42FD-87FD-6B9F0764A5AD}">
    <text xml:space="preserve">A Fatura foi analisada e este é o valor de crédito consumido da nossa Usina. </text>
  </threadedComment>
  <threadedComment ref="AF193" dT="2025-05-23T20:33:47.95" personId="{0B4D76B7-720E-4F16-A68B-3A7A9E5FBC21}" id="{497722C1-048B-4E27-AED1-AA633A1BB157}">
    <text xml:space="preserve">A Fatura foi analisada e este é o valor de crédito consumido da nossa Usina. </text>
  </threadedComment>
  <threadedComment ref="C195" dT="2025-02-18T19:46:07.10" personId="{A7E6F6F7-3C83-48C2-B669-CD4939CE1024}" id="{31462663-F292-4E50-AFDB-987CE0D8DC15}">
    <text>Unidade encerrada</text>
  </threadedComment>
  <threadedComment ref="BA211" dT="2025-09-16T12:59:09.42" personId="{7C6EAE4E-EBCC-4C2E-9D05-DFC00AE78FD8}" id="{44A276FE-BC43-48E1-B811-F1285DAE05CD}">
    <text>Valor real emitido: R$ 27,76. Foi adicionado o dobro do valor pois a UC realizou o pagamento em duplicidade nesta referencia (Uma vez pagamento com desconto[R$ 27,76], uma vez sem[R$ 37,01]). A duplicidade foi inserida a fim de garantir um desconto à UC na ref. Agosto/2025.</text>
  </threadedComment>
  <threadedComment ref="BB211" dT="2025-09-16T12:59:09.42" personId="{7C6EAE4E-EBCC-4C2E-9D05-DFC00AE78FD8}" id="{C45B1CAC-30D2-47E1-83E3-651793F20898}">
    <text>Pago em duplicidade segundo card do ClickUp 10/175073-6.</text>
  </threadedComment>
  <threadedComment ref="C226" dT="2025-02-18T19:53:14.56" personId="{A7E6F6F7-3C83-48C2-B669-CD4939CE1024}" id="{1E05AB64-4881-4574-9325-7A40C62B6B2E}">
    <text>Unidade encerrada</text>
  </threadedComment>
  <threadedComment ref="C241" dT="2025-02-18T19:56:10.88" personId="{A7E6F6F7-3C83-48C2-B669-CD4939CE1024}" id="{9ABFE835-92FA-439C-AC18-187D6ECAA504}">
    <text>2344751-9 - Dados antigos da UC 10/2934980-0 - Igreja 63105 Mudou de Endereço</text>
  </threadedComment>
  <threadedComment ref="C246" dT="2025-04-09T20:38:32.04" personId="{0B4D76B7-720E-4F16-A68B-3A7A9E5FBC21}" id="{8D051A29-4A42-4E16-9523-EA86F7EF2733}">
    <text>UC com créditos de GDII, provavelmente oriundos de GIROSSOL III</text>
  </threadedComment>
  <threadedComment ref="C247" dT="2025-04-09T20:38:32.04" personId="{0B4D76B7-720E-4F16-A68B-3A7A9E5FBC21}" id="{A1301511-F422-4800-B234-F63FDB9DC8A3}">
    <text>UC com créditos de GDII, provavelmente oriundos de GIROSSOL III</text>
  </threadedComment>
  <threadedComment ref="C249" dT="2025-04-09T20:38:32.04" personId="{0B4D76B7-720E-4F16-A68B-3A7A9E5FBC21}" id="{57DBCAC5-4D57-4A21-9EB4-9B579023702E}">
    <text>UC com créditos de GDII, provavelmente oriundos de GIROSSOL III</text>
  </threadedComment>
  <threadedComment ref="C250" dT="2025-04-09T20:38:32.04" personId="{0B4D76B7-720E-4F16-A68B-3A7A9E5FBC21}" id="{B32884AF-FEAD-4786-A2DA-63301E434348}">
    <text>UC com créditos de GDII, provavelmente oriundos de GIROSSOL III</text>
  </threadedComment>
  <threadedComment ref="C253" dT="2025-04-09T20:38:32.04" personId="{0B4D76B7-720E-4F16-A68B-3A7A9E5FBC21}" id="{2AA2E21E-65A1-45CD-B62D-6581A34C0401}">
    <text>UC com créditos de GDII, provavelmente oriundos de GIROSSOL III</text>
  </threadedComment>
  <threadedComment ref="C254" dT="2025-04-09T20:38:32.04" personId="{0B4D76B7-720E-4F16-A68B-3A7A9E5FBC21}" id="{9C348D17-2914-4E40-8819-08B5A51EF19D}">
    <text>UC com créditos de GDII, provavelmente oriundos de GIROSSOL III</text>
  </threadedComment>
  <threadedComment ref="C255" dT="2025-04-09T20:38:32.04" personId="{0B4D76B7-720E-4F16-A68B-3A7A9E5FBC21}" id="{002D89A7-DBBB-4DE8-903F-35B362718B67}">
    <text>UC com créditos de GDII, provavelmente oriundos de GIROSSOL III</text>
  </threadedComment>
  <threadedComment ref="C259" dT="2025-04-09T20:38:32.04" personId="{0B4D76B7-720E-4F16-A68B-3A7A9E5FBC21}" id="{5FA663CE-12BF-4725-B92C-F8926688C331}">
    <text>UC com créditos de GDII, provavelmente oriundos de GIROSSOL III</text>
  </threadedComment>
  <threadedComment ref="C260" dT="2025-04-09T20:38:32.04" personId="{0B4D76B7-720E-4F16-A68B-3A7A9E5FBC21}" id="{3BCC4748-A2A2-4057-B798-C1BB6442AE1A}">
    <text>UC com créditos de GDII, provavelmente oriundos de GIROSSOL III</text>
  </threadedComment>
  <threadedComment ref="C262" dT="2025-04-09T20:38:32.04" personId="{0B4D76B7-720E-4F16-A68B-3A7A9E5FBC21}" id="{38C613FF-6432-4C6D-8C2D-7D3134993B5B}">
    <text>UC com créditos de GDII, provavelmente oriundos de GIROSSOL III</text>
  </threadedComment>
  <threadedComment ref="C263" dT="2025-04-09T20:38:32.04" personId="{0B4D76B7-720E-4F16-A68B-3A7A9E5FBC21}" id="{F367B556-326A-4DA9-A708-D8AB81D8D51D}">
    <text>UC com créditos de GDII, provavelmente oriundos de GIROSSOL III</text>
  </threadedComment>
  <threadedComment ref="C264" dT="2025-04-09T20:38:32.04" personId="{0B4D76B7-720E-4F16-A68B-3A7A9E5FBC21}" id="{9D84BCAB-5C8E-46DB-B860-B25C0F2D9A75}">
    <text>UC com créditos de GDII, provavelmente oriundos de GIROSSOL III</text>
  </threadedComment>
  <threadedComment ref="C267" dT="2025-04-09T20:38:32.04" personId="{0B4D76B7-720E-4F16-A68B-3A7A9E5FBC21}" id="{D6AE7A5D-26C4-44FE-AFBC-D14786CFE75A}">
    <text>UC com créditos de GDII, provavelmente oriundos de GIROSSOL III</text>
  </threadedComment>
  <threadedComment ref="C268" dT="2025-04-09T20:38:32.04" personId="{0B4D76B7-720E-4F16-A68B-3A7A9E5FBC21}" id="{A86E3C79-90A7-4CCF-ACB6-F85D550B6433}">
    <text>UC com créditos de GDII, provavelmente oriundos de GIROSSOL III</text>
  </threadedComment>
  <threadedComment ref="C269" dT="2025-04-09T20:38:32.04" personId="{0B4D76B7-720E-4F16-A68B-3A7A9E5FBC21}" id="{BB86E710-B74A-4725-9A16-E08595015B82}">
    <text>UC com créditos de GDII, provavelmente oriundos de GIROSSOL III</text>
  </threadedComment>
  <threadedComment ref="C274" dT="2025-04-09T20:38:32.04" personId="{0B4D76B7-720E-4F16-A68B-3A7A9E5FBC21}" id="{64C6CAFA-4037-4A2E-92CC-B668BCDA3AB7}">
    <text>UC com créditos de GDII, provavelmente oriundos de GIROSSOL III</text>
  </threadedComment>
  <threadedComment ref="C275" dT="2025-04-09T20:38:32.04" personId="{0B4D76B7-720E-4F16-A68B-3A7A9E5FBC21}" id="{C4555007-CF91-48F8-AB35-70873D0A78E2}">
    <text>UC com créditos de GDII, provavelmente oriundos de GIROSSOL III</text>
  </threadedComment>
  <threadedComment ref="C280" dT="2025-04-09T20:38:32.04" personId="{0B4D76B7-720E-4F16-A68B-3A7A9E5FBC21}" id="{17BE5356-433F-4DD8-9739-655F067A4C06}">
    <text>UC com créditos de GDII, provavelmente oriundos de GIROSSOL III</text>
  </threadedComment>
  <threadedComment ref="C283" dT="2025-04-09T20:38:32.04" personId="{0B4D76B7-720E-4F16-A68B-3A7A9E5FBC21}" id="{22920058-C5EB-469B-8E9F-4407BAE085D6}">
    <text>UC com créditos de GDII, provavelmente oriundos de GIROSSOL III</text>
  </threadedComment>
  <threadedComment ref="C284" dT="2025-04-09T20:38:32.04" personId="{0B4D76B7-720E-4F16-A68B-3A7A9E5FBC21}" id="{D8524323-E044-40B5-971D-7474D60BFE67}">
    <text>UC com créditos de GDII, provavelmente oriundos de GIROSSOL III</text>
  </threadedComment>
  <threadedComment ref="C285" dT="2025-04-09T20:38:32.04" personId="{0B4D76B7-720E-4F16-A68B-3A7A9E5FBC21}" id="{0B9C278C-38F1-45DB-943E-B94F236EC377}">
    <text>UC com créditos de GDII, provavelmente oriundos de GIROSSOL III</text>
  </threadedComment>
  <threadedComment ref="C288" dT="2025-04-09T20:38:32.04" personId="{0B4D76B7-720E-4F16-A68B-3A7A9E5FBC21}" id="{EB93C7D0-B715-4333-8AED-94B867255898}">
    <text>UC com créditos de GDII, provavelmente oriundos de GIROSSOL III</text>
  </threadedComment>
  <threadedComment ref="C289" dT="2025-03-26T18:20:12.64" personId="{A7E6F6F7-3C83-48C2-B669-CD4939CE1024}" id="{2D1DF74A-97FD-4307-8ECC-3E3A04F8C6E0}">
    <text xml:space="preserve">UC com geração Local, não deve ser faturada
</text>
  </threadedComment>
  <threadedComment ref="AF289" dT="2025-05-23T20:33:47.95" personId="{0B4D76B7-720E-4F16-A68B-3A7A9E5FBC21}" id="{870F3AD7-A96D-4B28-B025-9A614CA3FA44}">
    <text xml:space="preserve">A Fatura foi analisada e este é o valor de crédito consumido da nossa Usina. </text>
  </threadedComment>
  <threadedComment ref="C290" dT="2025-03-27T13:12:08.16" personId="{A7E6F6F7-3C83-48C2-B669-CD4939CE1024}" id="{9AE9EC49-0CBA-4F2C-B45E-058F924907E0}">
    <text>UC com Geração local, mas que não supre todo o consumo.</text>
  </threadedComment>
  <threadedComment ref="AD290" dT="2025-05-23T20:33:47.95" personId="{0B4D76B7-720E-4F16-A68B-3A7A9E5FBC21}" id="{08DC1495-2ECD-41AA-B4DB-8DCD9091FFE2}">
    <text xml:space="preserve">A Fatura foi analisada e este é o valor de crédito consumido da nossa Usina. </text>
  </threadedComment>
  <threadedComment ref="AF290" dT="2025-05-23T20:33:47.95" personId="{0B4D76B7-720E-4F16-A68B-3A7A9E5FBC21}" id="{2892A0E5-A942-4464-B17D-8842D9696989}">
    <text xml:space="preserve">A Fatura foi analisada e este é o valor de crédito consumido da nossa Usina. </text>
  </threadedComment>
  <threadedComment ref="C292" dT="2025-02-18T19:46:07.10" personId="{A7E6F6F7-3C83-48C2-B669-CD4939CE1024}" id="{CC434731-B9C6-4E39-BB15-AD2B8BA8A5FF}">
    <text>Unidade encerrada</text>
  </threadedComment>
  <threadedComment ref="BA308" dT="2025-09-16T12:59:09.42" personId="{7C6EAE4E-EBCC-4C2E-9D05-DFC00AE78FD8}" id="{023AE0BD-45BA-4933-A390-629A8999F4B5}">
    <text>Valor real emitido: R$ 16,80. Foi adicionado o dobro do valor pois a UC realizou o pagamento em duplicidade nesta referencia (Uma vez pagamento com desconto [R$ 16,80], uma vez sem [R$ 22,40]). A duplicidade foi inserida a fim de garantir um desconto à UC na ref. Agosto/2025.</text>
  </threadedComment>
  <threadedComment ref="BB308" dT="2025-09-22T12:50:24.83" personId="{7C6EAE4E-EBCC-4C2E-9D05-DFC00AE78FD8}" id="{9398A378-1118-4DD4-9FBD-4BD865009483}">
    <text>Pago em duplicidade segundo card 10/175073-6 do ClickUp.</text>
  </threadedComment>
  <threadedComment ref="C323" dT="2025-04-10T18:52:54.47" personId="{0B4D76B7-720E-4F16-A68B-3A7A9E5FBC21}" id="{E3088E8D-2431-44A7-8BAF-74E886BD350D}">
    <text xml:space="preserve">UC encerrada. 
</text>
  </threadedComment>
  <threadedComment ref="C327" dT="2025-04-09T17:17:00.38" personId="{0B4D76B7-720E-4F16-A68B-3A7A9E5FBC21}" id="{0FDF43A3-1698-40E1-B155-BE4F3494B35F}">
    <text xml:space="preserve">Estava riscado no rateio enviado com o numero: 3507698 escrito a mão. 
</text>
  </threadedComment>
  <threadedComment ref="C327" dT="2025-04-10T18:51:17.92" personId="{0B4D76B7-720E-4F16-A68B-3A7A9E5FBC21}" id="{6354268E-9F95-4857-AF9E-BF613C562D4F}" parentId="{0FDF43A3-1698-40E1-B155-BE4F3494B35F}">
    <text xml:space="preserve">UC 10/512142-1 inda sem fatura de Março na distribuidora. </text>
  </threadedComment>
  <threadedComment ref="C338" dT="2025-02-18T19:56:10.88" personId="{A7E6F6F7-3C83-48C2-B669-CD4939CE1024}" id="{6AE5E6C9-E02B-4E56-99BC-3F2E9B1CEA74}">
    <text>2344751-9 - Dados antigos da UC 10/2934980-0 - Igreja 63105 Mudou de Endereço</text>
  </threadedComment>
  <threadedComment ref="C386" dT="2025-03-26T18:20:12.64" personId="{A7E6F6F7-3C83-48C2-B669-CD4939CE1024}" id="{5712C087-0A4C-4C39-A071-E6AB8A347160}">
    <text xml:space="preserve">UC com geração Local, não deve ser faturada
</text>
  </threadedComment>
  <threadedComment ref="AD386" dT="2025-05-23T20:33:47.95" personId="{0B4D76B7-720E-4F16-A68B-3A7A9E5FBC21}" id="{A068E110-66E9-4BDF-8DA3-5F82BEAB5F15}">
    <text xml:space="preserve">A Fatura foi analisada e este é o valor de crédito consumido da nossa Usina. </text>
  </threadedComment>
  <threadedComment ref="AF386" dT="2025-05-23T20:33:47.95" personId="{0B4D76B7-720E-4F16-A68B-3A7A9E5FBC21}" id="{C4FBC48C-F4DE-4D5A-B654-A153836042EC}">
    <text xml:space="preserve">A Fatura foi analisada e este é o valor de crédito consumido da nossa Usina. </text>
  </threadedComment>
  <threadedComment ref="C387" dT="2025-03-27T13:12:08.16" personId="{A7E6F6F7-3C83-48C2-B669-CD4939CE1024}" id="{FD323E10-6335-4647-B95C-F40F5C37D225}">
    <text>UC com Geração local, mas que não supre todo o consumo.</text>
  </threadedComment>
  <threadedComment ref="AD387" dT="2025-05-23T20:33:47.95" personId="{0B4D76B7-720E-4F16-A68B-3A7A9E5FBC21}" id="{5FEDD8DB-E3AF-4CE8-B59C-D06C6BAD18C5}">
    <text xml:space="preserve">A Fatura foi analisada e este é o valor de crédito consumido da nossa Usina. </text>
  </threadedComment>
  <threadedComment ref="AF387" dT="2025-05-23T20:33:47.95" personId="{0B4D76B7-720E-4F16-A68B-3A7A9E5FBC21}" id="{8A7D204B-B404-4158-8A21-0A301507814D}">
    <text xml:space="preserve">A Fatura foi analisada e este é o valor de crédito consumido da nossa Usina. </text>
  </threadedComment>
  <threadedComment ref="C389" dT="2025-02-18T19:46:07.10" personId="{A7E6F6F7-3C83-48C2-B669-CD4939CE1024}" id="{EB2BB3A8-6B5A-4DE6-8C86-E372EEBF4FB2}">
    <text>Unidade encerrada</text>
  </threadedComment>
  <threadedComment ref="C398" dT="2025-05-09T14:13:56.41" personId="{0B4D76B7-720E-4F16-A68B-3A7A9E5FBC21}" id="{56E339C9-F806-47A4-BC09-0BA535377796}">
    <text xml:space="preserve">Data de emissão maior ou igual a data de emissão da fatura da Usina de Abril. Isso gerou uma diferença entre Gerado e Gerado TUSD
</text>
  </threadedComment>
  <threadedComment ref="C403" dT="2025-05-09T14:13:56.41" personId="{0B4D76B7-720E-4F16-A68B-3A7A9E5FBC21}" id="{30DE11B9-CA28-47CB-AE0D-CFE977963231}">
    <text xml:space="preserve">Data de emissão maior ou igual a data de emissão da fatura da Usina de Abril. Isso gerou uma diferença entre Gerado e Gerado TUSD
</text>
  </threadedComment>
  <threadedComment ref="BA405" dT="2025-09-16T12:59:09.42" personId="{7C6EAE4E-EBCC-4C2E-9D05-DFC00AE78FD8}" id="{77A83695-11DA-4137-8958-C110FB1C0FBA}">
    <text>Valor real emitido: R$ 29,18. Foi adicionado o dobro do valor pois a UC realizou o pagamento em duplicidade nesta referencia (Uma vez pagamento com desconto [R$ 29,81], uma vez sem [R$ 38,90]). A duplicidade foi inserida a fim de garantir um desconto à UC na ref. Agosto/2025.</text>
  </threadedComment>
  <threadedComment ref="BB405" dT="2025-09-16T12:56:58.28" personId="{7C6EAE4E-EBCC-4C2E-9D05-DFC00AE78FD8}" id="{35340716-59A6-4BEC-9BB1-C9DBB4F68CCD}">
    <text>Pago em duplicidade segundo card 10/175073-6 do ClickUp.</text>
  </threadedComment>
  <threadedComment ref="C410" dT="2025-05-09T14:13:56.41" personId="{0B4D76B7-720E-4F16-A68B-3A7A9E5FBC21}" id="{E5FDF02D-98A2-416C-8928-940E9653D71E}">
    <text xml:space="preserve">Data de emissão maior ou igual a data de emissão da fatura da Usina de Abril. Isso gerou uma diferença entre Gerado e Gerado TUSD
</text>
  </threadedComment>
  <threadedComment ref="C418" dT="2025-05-09T14:13:56.41" personId="{0B4D76B7-720E-4F16-A68B-3A7A9E5FBC21}" id="{D18B796B-FCFB-44CE-B043-E7E0F19B2591}">
    <text xml:space="preserve">Data de emissão maior ou igual a data de emissão da fatura da Usina de Abril. Isso gerou uma diferença entre Gerado e Gerado TUSD
</text>
  </threadedComment>
  <threadedComment ref="C419" dT="2025-05-09T14:13:56.41" personId="{0B4D76B7-720E-4F16-A68B-3A7A9E5FBC21}" id="{AC7969DD-EB37-4A67-8A53-061075E7DEBA}">
    <text xml:space="preserve">Data de emissão maior ou igual a data de emissão da fatura da Usina de Abril. Isso gerou uma diferença entre Gerado e Gerado TUSD
</text>
  </threadedComment>
  <threadedComment ref="C420" dT="2025-04-10T18:52:54.47" personId="{0B4D76B7-720E-4F16-A68B-3A7A9E5FBC21}" id="{49A48300-C557-40E8-959B-79D5D5B5BA1E}">
    <text xml:space="preserve">UC encerrada. 
</text>
  </threadedComment>
  <threadedComment ref="C429" dT="2025-05-09T14:13:56.41" personId="{0B4D76B7-720E-4F16-A68B-3A7A9E5FBC21}" id="{78C99880-8FE2-42C6-B020-5ABA8CBAE705}">
    <text xml:space="preserve">Data de emissão maior ou igual a data de emissão da fatura da Usina de Abril. Isso gerou uma diferença entre Gerado e Gerado TUSD
</text>
  </threadedComment>
  <threadedComment ref="C432" dT="2025-05-09T14:13:56.41" personId="{0B4D76B7-720E-4F16-A68B-3A7A9E5FBC21}" id="{FEA6544B-2E59-438B-92C6-BE2E91A95461}">
    <text xml:space="preserve">Data de emissão maior ou igual a data de emissão da fatura da Usina de Abril. Isso gerou uma diferença entre Gerado e Gerado TUSD
</text>
  </threadedComment>
  <threadedComment ref="C435" dT="2025-02-18T19:56:10.88" personId="{A7E6F6F7-3C83-48C2-B669-CD4939CE1024}" id="{1E9C244C-B242-4EEE-83FA-1DDB2347A62C}">
    <text>2344751-9 - Dados antigos da UC 10/2934980-0 - Igreja 63105 Mudou de Endereço</text>
  </threadedComment>
  <threadedComment ref="C435" dT="2025-05-09T14:20:11.30" personId="{0B4D76B7-720E-4F16-A68B-3A7A9E5FBC21}" id="{5EA45CD5-7C1C-4E52-A71D-4DEC0DC3A60B}" parentId="{1E9C244C-B242-4EEE-83FA-1DDB2347A62C}">
    <text>UC inativa na Energisa.</text>
  </threadedComment>
  <threadedComment ref="C455" dT="2025-06-09T13:52:53.03" personId="{0B4D76B7-720E-4F16-A68B-3A7A9E5FBC21}" id="{AE53AA9A-3F14-41FD-B0F3-0FE4E2819BE1}">
    <text>UC Inativa segundo o Thiago Fontes.</text>
  </threadedComment>
  <threadedComment ref="BB465" dT="2025-10-01T18:04:27.00" personId="{45B16A55-8634-4B3F-9BC0-4C5BC6552A36}" id="{57154B80-A612-43FF-B402-341E8B58CED0}">
    <text>Pagamento em duplicidade identificado, referente ao card GEG-8614. Valor pago a mais: R$ 98,64.</text>
  </threadedComment>
  <threadedComment ref="C483" dT="2025-03-26T18:20:12.64" personId="{A7E6F6F7-3C83-48C2-B669-CD4939CE1024}" id="{A5D0427E-1E44-4B44-8C0E-56E9BDAF44C1}">
    <text xml:space="preserve">UC com geração Local, não deve ser faturada
</text>
  </threadedComment>
  <threadedComment ref="AD483" dT="2025-05-23T20:33:47.95" personId="{0B4D76B7-720E-4F16-A68B-3A7A9E5FBC21}" id="{4944645F-4D3C-4FA1-9C46-A1F222D5AB37}">
    <text xml:space="preserve">A Fatura foi analisada e este é o valor de crédito consumido da nossa Usina. </text>
  </threadedComment>
  <threadedComment ref="AF483" dT="2025-05-23T20:33:47.95" personId="{0B4D76B7-720E-4F16-A68B-3A7A9E5FBC21}" id="{A08D3671-EDB9-4D8C-8555-531BDF17157F}">
    <text xml:space="preserve">A Fatura foi analisada e este é o valor de crédito consumido da nossa Usina. </text>
  </threadedComment>
  <threadedComment ref="C484" dT="2025-03-27T13:12:08.16" personId="{A7E6F6F7-3C83-48C2-B669-CD4939CE1024}" id="{703F9CC0-2B02-4798-B725-972A738F8116}">
    <text>UC com Geração local, mas que não supre todo o consumo.</text>
  </threadedComment>
  <threadedComment ref="AD484" dT="2025-05-23T20:33:47.95" personId="{0B4D76B7-720E-4F16-A68B-3A7A9E5FBC21}" id="{81561592-D9D7-4079-A1F5-68241B9853B0}">
    <text xml:space="preserve">A Fatura foi analisada e este é o valor de crédito consumido da nossa Usina. </text>
  </threadedComment>
  <threadedComment ref="AF484" dT="2025-05-23T20:33:47.95" personId="{0B4D76B7-720E-4F16-A68B-3A7A9E5FBC21}" id="{5B37E5B5-9265-4ED1-AE4B-1525BA84A5A8}">
    <text xml:space="preserve">A Fatura foi analisada e este é o valor de crédito consumido da nossa Usina. </text>
  </threadedComment>
  <threadedComment ref="C485" dT="2025-06-07T01:22:24.85" personId="{0B4D76B7-720E-4F16-A68B-3A7A9E5FBC21}" id="{99C9BFF6-6375-4153-B893-886F4D444915}">
    <text>UC possivelmente com geração Local a partir de Maio/2025.</text>
  </threadedComment>
  <threadedComment ref="AD485" dT="2025-05-23T20:33:47.95" personId="{0B4D76B7-720E-4F16-A68B-3A7A9E5FBC21}" id="{F8459F4F-0DC2-40F4-BA5C-2740D4E6D024}">
    <text xml:space="preserve">A Fatura foi analisada e este é o valor de crédito consumido da nossa Usina. </text>
  </threadedComment>
  <threadedComment ref="AF485" dT="2025-05-23T20:33:47.95" personId="{0B4D76B7-720E-4F16-A68B-3A7A9E5FBC21}" id="{8B7F5A5E-DB04-4E9B-8CA6-80C6E3B3D37F}">
    <text xml:space="preserve">A Fatura foi analisada e este é o valor de crédito consumido da nossa Usina. </text>
  </threadedComment>
  <threadedComment ref="C486" dT="2025-02-18T19:46:07.10" personId="{A7E6F6F7-3C83-48C2-B669-CD4939CE1024}" id="{AD92451F-255E-4DC2-9A16-17B52BE3A0E1}">
    <text>Unidade encerrada</text>
  </threadedComment>
  <threadedComment ref="BA502" dT="2025-09-16T12:59:09.42" personId="{7C6EAE4E-EBCC-4C2E-9D05-DFC00AE78FD8}" id="{35B80131-5147-4D0C-8D08-F616968C54FE}">
    <text>Valor real emitido: R$ 38,18. Foi adicionado o dobro do valor pois a UC realizou o pagamento em duplicidade nesta referencia (Uma vez pagamento com desconto [R$ 38,18], uma vez sem [R$ 50,91]). A duplicidade foi inserida a fim de garantir um desconto à UC na ref. Agosto/2025.</text>
  </threadedComment>
  <threadedComment ref="BB502" dT="2025-09-16T12:56:58.28" personId="{7C6EAE4E-EBCC-4C2E-9D05-DFC00AE78FD8}" id="{68468D64-2605-45B3-B68C-1F8B84B392AB}">
    <text>Pago em duplicidade segundo card 10/175073-6 do ClickUp.</text>
  </threadedComment>
  <threadedComment ref="C517" dT="2025-04-10T18:52:54.47" personId="{0B4D76B7-720E-4F16-A68B-3A7A9E5FBC21}" id="{C004F088-9291-4E79-A92E-9843A1F5D6A3}">
    <text xml:space="preserve">UC encerrada. 
</text>
  </threadedComment>
  <threadedComment ref="C521" dT="2025-04-10T18:52:54.47" personId="{0B4D76B7-720E-4F16-A68B-3A7A9E5FBC21}" id="{937F0926-0B4E-42C2-993C-8C35926EBDEE}">
    <text xml:space="preserve">UC encerrada. 
</text>
  </threadedComment>
  <threadedComment ref="C532" dT="2025-02-18T19:56:10.88" personId="{A7E6F6F7-3C83-48C2-B669-CD4939CE1024}" id="{9D1C8DB1-F3EA-4C60-B4FF-465B6BE3A8D2}">
    <text>2344751-9 - Dados antigos da UC 10/2934980-0 - Igreja 63105 Mudou de Endereço</text>
  </threadedComment>
  <threadedComment ref="C532" dT="2025-05-09T14:20:11.30" personId="{0B4D76B7-720E-4F16-A68B-3A7A9E5FBC21}" id="{F4787474-765A-4BDF-8283-15247E02DD33}" parentId="{9D1C8DB1-F3EA-4C60-B4FF-465B6BE3A8D2}">
    <text>UC inativa na Energisa.</text>
  </threadedComment>
  <threadedComment ref="C533" dT="2025-06-09T13:52:53.03" personId="{0B4D76B7-720E-4F16-A68B-3A7A9E5FBC21}" id="{2EEFFDF5-17FF-4CDD-B178-459966E49E0B}">
    <text>UC Inativa segundo o Thiago Fontes.</text>
  </threadedComment>
  <threadedComment ref="C542" dT="2025-08-18T12:09:12.93" personId="{0B4D76B7-720E-4F16-A68B-3A7A9E5FBC21}" id="{2D340AF5-C74E-418E-82B5-23BB10F84435}">
    <text>UC refaturada em Junho devido a um erro na rota de leitura.</text>
  </threadedComment>
  <threadedComment ref="C547" dT="2025-08-18T12:09:12.93" personId="{0B4D76B7-720E-4F16-A68B-3A7A9E5FBC21}" id="{82165A43-05FF-41E8-9FB0-0F7EED91D05A}">
    <text>UC refaturada em Junho devido a um erro na rota de leitura.</text>
  </threadedComment>
  <threadedComment ref="C547" dT="2025-08-18T12:26:13.24" personId="{0B4D76B7-720E-4F16-A68B-3A7A9E5FBC21}" id="{E1EBF058-27A3-480E-9285-9D7A3A9CE08C}" parentId="{82165A43-05FF-41E8-9FB0-0F7EED91D05A}">
    <text xml:space="preserve">A redução dos créditos acumulados de Maio para Junho indicariam um consumo de crédito acumulado, mas analisando a fatura, foi consumido apenas créditos gerados pela usina em Junho. </text>
  </threadedComment>
  <threadedComment ref="C550" dT="2025-08-18T12:09:12.93" personId="{0B4D76B7-720E-4F16-A68B-3A7A9E5FBC21}" id="{B0419884-55EB-4E4A-B7F6-ED37A8023280}">
    <text>UC refaturada em Junho devido a um erro na rota de leitura.</text>
  </threadedComment>
  <threadedComment ref="C552" dT="2025-06-09T13:52:53.03" personId="{0B4D76B7-720E-4F16-A68B-3A7A9E5FBC21}" id="{D3F0FA53-91F0-4C72-B756-C7FED1356A57}">
    <text>UC Inativa segundo o Thiago Fontes.</text>
  </threadedComment>
  <threadedComment ref="C555" dT="2025-08-18T12:09:12.93" personId="{0B4D76B7-720E-4F16-A68B-3A7A9E5FBC21}" id="{82589FAB-51BB-434F-9872-8B6F5ACAB9FB}">
    <text>UC refaturada em Junho devido a um erro na rota de leitura.</text>
  </threadedComment>
  <threadedComment ref="X559" dT="2025-07-03T16:32:29.28" personId="{0B4D76B7-720E-4F16-A68B-3A7A9E5FBC21}" id="{72DF63F5-3CA5-47E4-BE2D-C73D34D2B188}">
    <text xml:space="preserve">UC com sem consumo, nestes casos o portal errou a ajuste da tarifa em função da bandeira aplicada.  </text>
  </threadedComment>
  <threadedComment ref="X567" dT="2025-07-03T16:32:29.28" personId="{0B4D76B7-720E-4F16-A68B-3A7A9E5FBC21}" id="{D6EFB7C7-F06E-4B24-B08F-9EA5616395CA}">
    <text xml:space="preserve">UC com sem consumo, nestes casos o portal errou a ajuste da tarifa em função da bandeira aplicada.  </text>
  </threadedComment>
  <threadedComment ref="C569" dT="2025-08-18T12:09:12.93" personId="{0B4D76B7-720E-4F16-A68B-3A7A9E5FBC21}" id="{110F3414-C1F4-45BA-8EA5-63B41AB5E5EA}">
    <text>UC refaturada em Junho devido a um erro na rota de leitura.</text>
  </threadedComment>
  <threadedComment ref="X570" dT="2025-07-03T16:32:29.28" personId="{0B4D76B7-720E-4F16-A68B-3A7A9E5FBC21}" id="{FEC38A57-CC78-4E0C-BE5E-1AA0D606DB08}">
    <text xml:space="preserve">UC com sem consumo, nestes casos o portal errou a ajuste da tarifa em função da bandeira aplicada.  </text>
  </threadedComment>
  <threadedComment ref="C571" dT="2025-08-18T12:09:12.93" personId="{0B4D76B7-720E-4F16-A68B-3A7A9E5FBC21}" id="{410050C5-25ED-413B-860F-7498A4C9A6FC}">
    <text>UC refaturada em Junho devido a um erro na rota de leitura.</text>
  </threadedComment>
  <threadedComment ref="C577" dT="2025-08-18T12:09:12.93" personId="{0B4D76B7-720E-4F16-A68B-3A7A9E5FBC21}" id="{51FB3CEC-89F5-45D3-B527-8E77EF3C80D8}">
    <text>UC refaturada em Junho devido a um erro na rota de leitura.</text>
  </threadedComment>
  <threadedComment ref="C579" dT="2025-04-09T20:38:32.04" personId="{0B4D76B7-720E-4F16-A68B-3A7A9E5FBC21}" id="{7A48298C-314F-49CB-B0C8-CC1E52BCA0CE}">
    <text xml:space="preserve">Os créditos injetados nesta referência não devem ser da nossa usina. A UC recebeu em Maio a geração da Usina de Abril e Maio Juntas, e em Junho, apenas as Ucs refaturadas receberem energia da fatura da usina de junho. </text>
  </threadedComment>
  <threadedComment ref="C580" dT="2025-03-26T18:20:12.64" personId="{A7E6F6F7-3C83-48C2-B669-CD4939CE1024}" id="{E68652EC-9DE1-4530-BFFF-F94967D82DD2}">
    <text xml:space="preserve">UC com geração Local, não deve ser faturada
</text>
  </threadedComment>
  <threadedComment ref="AD580" dT="2025-05-23T20:33:47.95" personId="{0B4D76B7-720E-4F16-A68B-3A7A9E5FBC21}" id="{4A4C2A4C-32BB-4C4B-B1FE-C072859354AC}">
    <text xml:space="preserve">A Fatura foi analisada e este é o valor de crédito consumido da nossa Usina. </text>
  </threadedComment>
  <threadedComment ref="AF580" dT="2025-05-23T20:33:47.95" personId="{0B4D76B7-720E-4F16-A68B-3A7A9E5FBC21}" id="{B788576E-75FB-4E25-A4F0-FD5962B6885A}">
    <text xml:space="preserve">A Fatura foi analisada e este é o valor de crédito consumido da nossa Usina. </text>
  </threadedComment>
  <threadedComment ref="C581" dT="2025-03-27T13:12:08.16" personId="{A7E6F6F7-3C83-48C2-B669-CD4939CE1024}" id="{D827C8C1-506D-4F45-AF38-8BD759531805}">
    <text>UC com Geração local, mas que não supre todo o consumo.</text>
  </threadedComment>
  <threadedComment ref="AD581" dT="2025-05-23T20:33:47.95" personId="{0B4D76B7-720E-4F16-A68B-3A7A9E5FBC21}" id="{0399FEB7-2770-4D24-9736-9338452EA965}">
    <text xml:space="preserve">A Fatura foi analisada e este é o valor de crédito consumido da nossa Usina. </text>
  </threadedComment>
  <threadedComment ref="AF581" dT="2025-05-23T20:33:47.95" personId="{0B4D76B7-720E-4F16-A68B-3A7A9E5FBC21}" id="{D5C3AB81-AC5B-40D2-BF46-7DF762DEF8A4}">
    <text xml:space="preserve">A Fatura foi analisada e este é o valor de crédito consumido da nossa Usina. </text>
  </threadedComment>
  <threadedComment ref="C582" dT="2025-06-07T01:22:24.85" personId="{0B4D76B7-720E-4F16-A68B-3A7A9E5FBC21}" id="{305CEAE3-3C01-40D0-AC17-84B233484658}">
    <text>UC com geração Local a partir de Maio/2025.</text>
  </threadedComment>
  <threadedComment ref="C582" dT="2025-07-04T15:50:38.81" personId="{0B4D76B7-720E-4F16-A68B-3A7A9E5FBC21}" id="{CC10BB11-9B7C-479B-A6C9-FA1A5724F4C3}" parentId="{305CEAE3-3C01-40D0-AC17-84B233484658}">
    <text>Gerou 214 em Junho?</text>
  </threadedComment>
  <threadedComment ref="AD582" dT="2025-05-23T20:33:47.95" personId="{0B4D76B7-720E-4F16-A68B-3A7A9E5FBC21}" id="{0010EB47-E9ED-4A3A-B531-2519C0484DF8}">
    <text xml:space="preserve">A Fatura foi analisada e este é o valor de crédito consumido da nossa Usina. </text>
  </threadedComment>
  <threadedComment ref="AF582" dT="2025-05-23T20:33:47.95" personId="{0B4D76B7-720E-4F16-A68B-3A7A9E5FBC21}" id="{48F7BFCF-6BC4-47F0-AAC7-821964E98412}">
    <text xml:space="preserve">A Fatura foi analisada e este é o valor de crédito consumido da nossa Usina. </text>
  </threadedComment>
  <threadedComment ref="C583" dT="2025-02-18T19:46:07.10" personId="{A7E6F6F7-3C83-48C2-B669-CD4939CE1024}" id="{91055F99-4A93-4872-BBB8-A32DC2D2143A}">
    <text>Unidade encerrada</text>
  </threadedComment>
  <threadedComment ref="X606" dT="2025-07-03T16:32:29.28" personId="{0B4D76B7-720E-4F16-A68B-3A7A9E5FBC21}" id="{B912CF8F-14AC-43FE-80B8-8B8E8B1529F6}">
    <text xml:space="preserve">UC com sem consumo, nestes casos o portal errou a ajuste da tarifa em função da bandeira aplicada.  </text>
  </threadedComment>
  <threadedComment ref="C614" dT="2025-04-10T18:52:54.47" personId="{0B4D76B7-720E-4F16-A68B-3A7A9E5FBC21}" id="{2ED0BEF2-E2AE-40C3-9E15-4AA75A956E9F}">
    <text xml:space="preserve">UC encerrada. 
</text>
  </threadedComment>
  <threadedComment ref="C618" dT="2025-04-10T18:52:54.47" personId="{0B4D76B7-720E-4F16-A68B-3A7A9E5FBC21}" id="{463A5C99-8501-4FCE-93EB-E9D15815C2D6}">
    <text xml:space="preserve">UC encerrada. 
</text>
  </threadedComment>
  <threadedComment ref="X621" dT="2025-07-03T16:32:29.28" personId="{0B4D76B7-720E-4F16-A68B-3A7A9E5FBC21}" id="{68E9ECAC-1CA4-4255-B99C-E323657F2DE2}">
    <text xml:space="preserve">UC com sem consumo, nestes casos o portal errou a ajuste da tarifa em função da bandeira aplicada.  </text>
  </threadedComment>
  <threadedComment ref="C629" dT="2025-02-18T19:56:10.88" personId="{A7E6F6F7-3C83-48C2-B669-CD4939CE1024}" id="{CFC63533-3A96-423A-82D1-2787BD7B7E66}">
    <text>2344751-9 - Dados antigos da UC 10/2934980-0 - Igreja 63105 Mudou de Endereço</text>
  </threadedComment>
  <threadedComment ref="C629" dT="2025-05-09T14:20:11.30" personId="{0B4D76B7-720E-4F16-A68B-3A7A9E5FBC21}" id="{00AADEEE-A0A0-42E4-849B-FF2248C433E9}" parentId="{CFC63533-3A96-423A-82D1-2787BD7B7E66}">
    <text>UC inativa na Energisa.</text>
  </threadedComment>
  <threadedComment ref="C630" dT="2025-06-09T13:52:53.03" personId="{0B4D76B7-720E-4F16-A68B-3A7A9E5FBC21}" id="{F9F8A8A7-C49C-4B3D-935C-243A6F1504C1}">
    <text>UC Inativa segundo o Thiago Fontes.</text>
  </threadedComment>
  <threadedComment ref="X633" dT="2025-07-03T16:32:29.28" personId="{0B4D76B7-720E-4F16-A68B-3A7A9E5FBC21}" id="{9EF3EF9B-B42F-4D74-B144-B67EF3D9D132}">
    <text xml:space="preserve">UC com sem consumo, nestes casos o portal errou a ajuste da tarifa em função da bandeira aplicada.  </text>
  </threadedComment>
  <threadedComment ref="C636" dT="2025-08-05T20:12:44.05" personId="{0B4D76B7-720E-4F16-A68B-3A7A9E5FBC21}" id="{9B4588D7-E83F-4D55-9F2A-7A5BF29AD836}">
    <text xml:space="preserve">UC teve a fatura de Junho reemitida, não receberá energia nesta referência pois já recebeu injeção dessa energia em Junho. </text>
  </threadedComment>
  <threadedComment ref="C639" dT="2025-08-05T20:12:44.05" personId="{0B4D76B7-720E-4F16-A68B-3A7A9E5FBC21}" id="{419BCB12-860F-4447-89A1-B6C2B64D592D}">
    <text xml:space="preserve">UC teve a fatura de Junho reemitida, não receberá energia nesta referência pois já recebeu injeção dessa energia em Junho. </text>
  </threadedComment>
  <threadedComment ref="C650" dT="2025-08-05T20:12:44.05" personId="{0B4D76B7-720E-4F16-A68B-3A7A9E5FBC21}" id="{CF56036F-23C4-4B8B-9A6A-81E8F84C14AA}">
    <text xml:space="preserve">UC teve a fatura de Junho reemitida, não receberá energia nesta referência pois já recebeu injeção dessa energia em Junho. </text>
  </threadedComment>
  <threadedComment ref="C653" dT="2025-08-05T20:12:44.05" personId="{0B4D76B7-720E-4F16-A68B-3A7A9E5FBC21}" id="{CD594C15-F56F-4C9A-B5ED-F5A1AEE18808}">
    <text xml:space="preserve">UC teve a fatura de Junho reemitida, não receberá energia nesta referência pois já recebeu injeção dessa energia em Junho. </text>
  </threadedComment>
  <threadedComment ref="C657" dT="2025-08-05T20:12:44.05" personId="{0B4D76B7-720E-4F16-A68B-3A7A9E5FBC21}" id="{9FF4E4DA-9450-4B5B-8780-D9F44B87B88F}">
    <text>UC inativa na distribuidora segundo o  Thiago Fontes</text>
  </threadedComment>
  <threadedComment ref="C658" dT="2025-08-05T20:12:44.05" personId="{0B4D76B7-720E-4F16-A68B-3A7A9E5FBC21}" id="{7BB3BD6F-8095-4C5C-AF6B-B369E09FFECD}">
    <text xml:space="preserve">UC teve a fatura de Junho reemitida, não receberá energia nesta referência pois já recebeu injeção dessa energia em Junho. </text>
  </threadedComment>
  <threadedComment ref="C660" dT="2025-08-05T20:12:44.05" personId="{0B4D76B7-720E-4F16-A68B-3A7A9E5FBC21}" id="{DF5561DC-31A3-4FFF-AEF7-1E2E942F2438}">
    <text xml:space="preserve">UC teve a fatura de Junho reemitida, não receberá energia nesta referência pois já recebeu injeção dessa energia em Junho. </text>
  </threadedComment>
  <threadedComment ref="BA661" dT="2025-10-01T16:02:04.71" personId="{45B16A55-8634-4B3F-9BC0-4C5BC6552A36}" id="{69B8976B-7A6D-4FEE-A9BF-93E12DD475C3}">
    <text xml:space="preserve">Valor real emitido: R$ 114,43. Foi adicionado o valor pago com desconto e o valor sem desconto, pois foi pago em duplicidade (Pagamento com desconto[R$ 114,43] e sem[R$ 147,52]). A duplicidade foi inserida a fim de garantir um desconto à UC na ref. Agosto/2025. </text>
  </threadedComment>
  <threadedComment ref="BB661" dT="2025-10-01T17:22:19.09" personId="{45B16A55-8634-4B3F-9BC0-4C5BC6552A36}" id="{B5E38F25-C7D5-4F59-A61A-9746B6E6BC87}">
    <text xml:space="preserve">Pago em duplicidade segundo o card GEG-8605
</text>
  </threadedComment>
  <threadedComment ref="C663" dT="2025-08-05T20:12:44.05" personId="{0B4D76B7-720E-4F16-A68B-3A7A9E5FBC21}" id="{CFF96159-F033-493F-B63B-3849BCDE932A}">
    <text xml:space="preserve">UC teve a fatura de Junho reemitida, não receberá energia nesta referência pois já recebeu injeção dessa energia em Junho. </text>
  </threadedComment>
  <threadedComment ref="C698" dT="2025-08-05T20:12:44.05" personId="{0B4D76B7-720E-4F16-A68B-3A7A9E5FBC21}" id="{5E04973F-D4CA-48B6-8F88-4C80D3805E37}">
    <text>UC inativa na distribuidora segundo o  Thiago Fontes</text>
  </threadedComment>
  <threadedComment ref="C703" dT="2025-08-05T20:12:44.05" personId="{0B4D76B7-720E-4F16-A68B-3A7A9E5FBC21}" id="{901C8C06-97B1-48B3-98A7-E0D2A5B3A720}">
    <text>UC inativa na distribuidora segundo o  Thiago Fontes</text>
  </threadedComment>
  <threadedComment ref="C727" dT="2025-03-27T13:12:08.16" personId="{A7E6F6F7-3C83-48C2-B669-CD4939CE1024}" id="{883EBFA3-08E5-417C-9FF5-840AA4A5553C}">
    <text>UC com Geração local, mas que não supre todo o consumo.</text>
  </threadedComment>
  <threadedComment ref="AD762" dT="2025-09-08T13:20:46.84" personId="{7C6EAE4E-EBCC-4C2E-9D05-DFC00AE78FD8}" id="{6954F3FA-3980-4886-B5A3-809479683DA5}">
    <text>Energia injetada na fatura da UC: 0 KWh. Logo, toda a energia de crédito compensado é da usina Girossol.</text>
  </threadedComment>
  <threadedComment ref="AD767" dT="2025-09-08T13:20:46.84" personId="{7C6EAE4E-EBCC-4C2E-9D05-DFC00AE78FD8}" id="{050D495B-03EF-4AE4-A1C3-6A92299C57F5}">
    <text>Energia injetada na fatura da UC: 0 KWh. Logo, toda a energia de crédito compensado é da usina Girossol.</text>
  </threadedComment>
  <threadedComment ref="C806" dT="2025-08-05T20:12:44.05" personId="{0B4D76B7-720E-4F16-A68B-3A7A9E5FBC21}" id="{16B2E581-40A0-4F42-9E9E-491560B54530}">
    <text>UC inativa na distribuidora segundo o  Thiago Fontes</text>
  </threadedComment>
  <threadedComment ref="C811" dT="2025-08-05T20:12:44.05" personId="{0B4D76B7-720E-4F16-A68B-3A7A9E5FBC21}" id="{A73741C9-A728-408D-8F79-A9B0FB664662}">
    <text>UC inativa na distribuidora segundo o  Thiago Fontes</text>
  </threadedComment>
  <threadedComment ref="C813" dT="2025-03-27T13:12:08.16" personId="{A7E6F6F7-3C83-48C2-B669-CD4939CE1024}" id="{302C7499-06EE-4A1B-9D42-F5C1EABBF2B7}">
    <text>UC com Geração local, mas que não supre todo o consumo.</text>
  </threadedComment>
  <threadedComment ref="AD813" dT="2025-05-23T20:33:47.95" personId="{0B4D76B7-720E-4F16-A68B-3A7A9E5FBC21}" id="{4DA9A3D9-95E2-434D-8BB7-AF5475082210}">
    <text xml:space="preserve">A Fatura foi analisada e este é o valor de crédito consumido da nossa Usina. </text>
  </threadedComment>
  <threadedComment ref="C814" dT="2025-06-07T01:22:24.85" personId="{0B4D76B7-720E-4F16-A68B-3A7A9E5FBC21}" id="{6C7D8892-538B-47BD-A39B-6DC84F071F59}">
    <text>UC com geração Local a partir de Maio/2025.</text>
  </threadedComment>
  <threadedComment ref="AD814" dT="2025-05-23T20:33:47.95" personId="{0B4D76B7-720E-4F16-A68B-3A7A9E5FBC21}" id="{0EA34265-ADFD-48A5-8E49-21D36800F033}">
    <text xml:space="preserve">A Fatura foi analisada e este é o valor de crédito consumido da nossa Usina. </text>
  </threadedComment>
  <threadedComment ref="C896" dT="2025-08-05T20:12:44.05" personId="{0B4D76B7-720E-4F16-A68B-3A7A9E5FBC21}" id="{2E111295-3A80-4CD5-AD15-4864B829E51A}">
    <text>UC inativa na distribuidora segundo o  Thiago Fontes</text>
  </threadedComment>
  <threadedComment ref="C900" dT="2025-08-05T20:12:44.05" personId="{0B4D76B7-720E-4F16-A68B-3A7A9E5FBC21}" id="{39DF04E2-7C63-47BE-BEBE-207879E095F0}">
    <text>UC inativa na distribuidora segundo o  Thiago Fontes</text>
  </threadedComment>
  <threadedComment ref="BA923" dT="2025-11-25T20:50:44.21" personId="{7C6EAE4E-EBCC-4C2E-9D05-DFC00AE78FD8}" id="{9B75B091-DC7C-410B-9E29-4E954C24FF85}">
    <text>Valor real emitido de R$ 189,68. O valor de R$ 147,17 foi inserido a fim de gerar um desconto de mesmo valor na próxima referência, conforme solicitado no chamado GEG-8638, aberto no ClickUp.</text>
  </threadedComment>
  <threadedComment ref="C959" dT="2025-02-18T19:46:07.10" personId="{A7E6F6F7-3C83-48C2-B669-CD4939CE1024}" id="{2D51941C-9CEE-4B4F-8C53-6596CBA77E05}">
    <text>Unidade encerrada</text>
  </threadedComment>
  <threadedComment ref="C961" dT="2025-04-10T18:52:54.47" personId="{0B4D76B7-720E-4F16-A68B-3A7A9E5FBC21}" id="{CA78634B-A558-4692-917B-66701C12A231}">
    <text xml:space="preserve">UC encerrada. 
</text>
  </threadedComment>
  <threadedComment ref="C962" dT="2025-08-05T20:12:44.05" personId="{0B4D76B7-720E-4F16-A68B-3A7A9E5FBC21}" id="{D575842E-CC95-4993-9830-09DBADD106C8}">
    <text>UC inativa na distribuidora segundo o  Thiago Fontes</text>
  </threadedComment>
  <threadedComment ref="C963" dT="2025-02-18T19:56:10.88" personId="{A7E6F6F7-3C83-48C2-B669-CD4939CE1024}" id="{20A54D41-A98F-4CFB-ADE3-B1AA0D522E44}">
    <text>2344751-9 - Dados antigos da UC 10/2934980-0 - Igreja 63105 Mudou de Endereço</text>
  </threadedComment>
  <threadedComment ref="C963" dT="2025-05-09T14:20:11.30" personId="{0B4D76B7-720E-4F16-A68B-3A7A9E5FBC21}" id="{AB367810-F593-4DFE-A132-992120B333F7}" parentId="{20A54D41-A98F-4CFB-ADE3-B1AA0D522E44}">
    <text>UC inativa na Energisa.</text>
  </threadedComment>
  <threadedComment ref="C964" dT="2025-08-05T20:12:44.05" personId="{0B4D76B7-720E-4F16-A68B-3A7A9E5FBC21}" id="{A7A8503F-82E2-4A12-A92B-41ADEB8F1ACC}">
    <text>UC inativa na distribuidora segundo o  Thiago Fontes</text>
  </threadedComment>
  <threadedComment ref="AZ1010" dT="2025-12-04T14:54:00.32" personId="{7C6EAE4E-EBCC-4C2E-9D05-DFC00AE78FD8}" id="{63B8C26E-D3E0-48E9-A5A0-C4ED67CBD291}">
    <text>Valor de boleto anterior não emitido devido ao status "Pendente dado cadastral" na base de cliente. Esta referência contempla o valor de Nov/25 + Diferenças geradas nos meses anteriores.</text>
  </threadedComment>
  <threadedComment ref="AZ1047" dT="2025-12-04T14:17:25.94" personId="{7C6EAE4E-EBCC-4C2E-9D05-DFC00AE78FD8}" id="{BF21418C-CA1C-4B1F-9A1A-867D8BB727F2}">
    <text>Valor de boleto anterior não emitido devido ao status "Pendente dado cadastral" na base de cliente. Esta referência contempla o valor de Nov/25 + Diferenças geradas nos meses anteriores.</text>
  </threadedComment>
  <threadedComment ref="AZ1057" dT="2025-12-04T14:24:24.25" personId="{7C6EAE4E-EBCC-4C2E-9D05-DFC00AE78FD8}" id="{60C9E46D-B12C-46BF-A805-81DA9295A10E}">
    <text>Houve refaturamento da fatura anterior por parte da distribuidora e gerou uma diferença de emissão. Esta diferença está aplicada ao valor de faturamento desta referência.</text>
  </threadedComment>
  <threadedComment ref="AZ1066" dT="2025-12-04T14:26:51.92" personId="{7C6EAE4E-EBCC-4C2E-9D05-DFC00AE78FD8}" id="{FC5D3666-DD2C-4709-BE03-B6E91954CE5F}">
    <text>Houve refaturamento da fatura anterior por parte da distribuidora e gerou uma diferença de emissão. Esta diferença está aplicada ao valor de faturamento desta referência.</text>
  </threadedComment>
  <threadedComment ref="AZ1068" dT="2025-12-04T14:33:23.89" personId="{7C6EAE4E-EBCC-4C2E-9D05-DFC00AE78FD8}" id="{D4408EF3-1C8D-434B-912B-59EF92A2F878}">
    <text>Houve refaturamento da fatura anterior por parte da distribuidora e gerou uma diferença de emissão. Esta diferença está aplicada ao valor de faturamento desta referência.</text>
  </threadedComment>
  <threadedComment ref="AD1094" dT="2025-12-04T14:40:46.58" personId="{7C6EAE4E-EBCC-4C2E-9D05-DFC00AE78FD8}" id="{CACC1D38-4E65-474A-B4D7-B2895F919949}">
    <text>Energia advinda de Pilar.</text>
  </threadedComment>
  <threadedComment ref="AZ1094" dT="2025-12-04T14:47:08.02" personId="{7C6EAE4E-EBCC-4C2E-9D05-DFC00AE78FD8}" id="{B8A802A1-F401-42F8-8FA4-78606FFEC4D8}">
    <text>Não faturada devido ao status "Pendente dado cadastral" na base de clientes. A diferença de emissão será aplicada nesta referência.</text>
  </threadedComment>
  <threadedComment ref="AZ1095" dT="2025-12-04T14:47:55.08" personId="{7C6EAE4E-EBCC-4C2E-9D05-DFC00AE78FD8}" id="{99FD797F-8370-4B9F-9684-B427B2B5D1BF}">
    <text>Valor de boleto anterior não emitido devido ao status "Pendente dado cadastral" na base de cliente. Esta referência contempla o valor de Nov/25 + Diferenças geradas nos meses anteriores.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4" dT="2024-11-06T13:43:02.67" personId="{A7E6F6F7-3C83-48C2-B669-CD4939CE1024}" id="{93973991-9101-452B-B341-14B3C19C8FDC}">
    <text>Cliente novo fica como vacância quando entra ? Analisar</text>
  </threadedComment>
  <threadedComment ref="B50" dT="2024-11-06T13:43:02.67" personId="{A7E6F6F7-3C83-48C2-B669-CD4939CE1024}" id="{7B65B997-98A9-49B2-90A0-CDC4AF62B973}">
    <text>Cliente novo fica como vacância quando entra ? Analisar</text>
  </threadedComment>
  <threadedComment ref="H69" dT="2025-08-06T22:48:49.91" personId="{0B4D76B7-720E-4F16-A68B-3A7A9E5FBC21}" id="{24258FC1-4E79-4BDA-9327-6F07763F3740}">
    <text xml:space="preserve">@Livia Almeida Uma diferença nos boletos emitidos a cobrar na UC 10/3170252-5 causou essas diferenças entre as linhas 69 e 70. Essa UC possui geração própria e não deveria ter sido faturada, mas foi enviado para emissão em Março mas o boleto não pode ser emitido.  </text>
    <mentions>
      <mention mentionpersonId="{1542DD0F-F5EC-4587-9EB2-14DCED0309E2}" mentionId="{9CDE22E4-04AE-4B80-AB80-DB3C479FFFED}" startIndex="0" length="14"/>
    </mentions>
  </threadedComment>
  <threadedComment ref="H69" dT="2025-08-06T22:51:03.58" personId="{0B4D76B7-720E-4F16-A68B-3A7A9E5FBC21}" id="{193EE1C8-F2C9-4B0C-8972-B471C97B448F}" parentId="{24258FC1-4E79-4BDA-9327-6F07763F3740}">
    <text xml:space="preserve">A pequena diferença no mês de julho ocorreu pelo fato de uma das colunas que alimentam o valor dessas linhas possuírem a função ARRED e a outra não. </text>
  </threadedComment>
  <threadedComment ref="I85" dT="2025-08-07T20:24:05.25" personId="{0B4D76B7-720E-4F16-A68B-3A7A9E5FBC21}" id="{31E81506-476A-4F26-B1D5-68E9F235B9E1}">
    <text xml:space="preserve">A fórmula considera apenas o consumo esperado das UCs que consumiram créditos nesta referência. 
</text>
  </threadedComment>
  <threadedComment ref="B86" dT="2024-11-06T13:43:02.67" personId="{A7E6F6F7-3C83-48C2-B669-CD4939CE1024}" id="{E878F331-ACA0-4ED8-B1A4-A4CE83CFB5D5}">
    <text>Cliente novo fica como vacância quando entra ? Analisar</text>
  </threadedComment>
  <threadedComment ref="D111" dT="2025-06-12T14:04:10.80" personId="{7C6EAE4E-EBCC-4C2E-9D05-DFC00AE78FD8}" id="{E0556806-F5F6-43F5-9133-17CA013CB677}">
    <text>Girossol II + Girossol III</text>
  </threadedComment>
  <threadedComment ref="E111" dT="2025-06-12T14:04:10.80" personId="{7C6EAE4E-EBCC-4C2E-9D05-DFC00AE78FD8}" id="{3F879176-59FD-49D4-AF13-2ADA604BB8C9}">
    <text>Girossol II + Girossol III</text>
  </threadedComment>
  <threadedComment ref="F111" dT="2025-06-12T14:04:10.80" personId="{7C6EAE4E-EBCC-4C2E-9D05-DFC00AE78FD8}" id="{D9EB6E06-1E0D-44B9-A067-B61290DD685A}">
    <text>Girossol II + Girossol III</text>
  </threadedComment>
  <threadedComment ref="G111" dT="2025-06-12T14:04:10.80" personId="{7C6EAE4E-EBCC-4C2E-9D05-DFC00AE78FD8}" id="{7782E123-0360-4778-BA91-6CA63065BBDF}">
    <text>Girossol II + Girossol III</text>
  </threadedComment>
  <threadedComment ref="H111" dT="2025-06-12T14:04:10.80" personId="{7C6EAE4E-EBCC-4C2E-9D05-DFC00AE78FD8}" id="{21DBD38B-3EF9-424B-B689-A8ABDF99EA79}">
    <text>Girossol II + Girossol III</text>
  </threadedComment>
  <threadedComment ref="I111" dT="2025-06-12T14:04:10.80" personId="{7C6EAE4E-EBCC-4C2E-9D05-DFC00AE78FD8}" id="{BE15B2AF-61A6-4183-8C74-724222F2EFD8}">
    <text>Girossol II + Girossol III</text>
  </threadedComment>
  <threadedComment ref="J111" dT="2025-06-12T14:04:10.80" personId="{7C6EAE4E-EBCC-4C2E-9D05-DFC00AE78FD8}" id="{9829947D-F3C3-4988-A14B-5878FC378694}">
    <text>Girossol II + Girossol III</text>
  </threadedComment>
  <threadedComment ref="K111" dT="2025-06-12T14:04:10.80" personId="{7C6EAE4E-EBCC-4C2E-9D05-DFC00AE78FD8}" id="{DC5D6D06-1D80-4B72-93B6-EE0B984ACDCD}">
    <text>Girossol II + Girossol III</text>
  </threadedComment>
  <threadedComment ref="L111" dT="2025-06-12T14:04:10.80" personId="{7C6EAE4E-EBCC-4C2E-9D05-DFC00AE78FD8}" id="{8A4256B5-FABF-4DC6-A11A-20D91EEB4B32}">
    <text>Girossol II + Girossol III</text>
  </threadedComment>
  <threadedComment ref="M111" dT="2025-06-12T14:04:10.80" personId="{7C6EAE4E-EBCC-4C2E-9D05-DFC00AE78FD8}" id="{AA2F9CA4-569A-4D29-81C4-B18FF4CBD3EE}">
    <text>Girossol II + Girossol III</text>
  </threadedComment>
  <threadedComment ref="N111" dT="2025-06-12T14:04:10.80" personId="{7C6EAE4E-EBCC-4C2E-9D05-DFC00AE78FD8}" id="{1B2F0ADF-684D-4E40-B88A-3F532519240F}">
    <text>Girossol II + Girossol III</text>
  </threadedComment>
  <threadedComment ref="K112" dT="2025-06-12T13:12:48.19" personId="{7C6EAE4E-EBCC-4C2E-9D05-DFC00AE78FD8}" id="{E3BFA107-0A1D-4409-9D8A-8D301B2678C2}">
    <text>Reajuste com base no reajuste tarifário da distribuidora. Reajuste da B3 em Maio/2025: 0,91%</text>
  </threadedComment>
  <threadedComment ref="N116" dT="2025-06-12T13:55:06.69" personId="{7C6EAE4E-EBCC-4C2E-9D05-DFC00AE78FD8}" id="{3A6C54AE-DC76-4FFD-90A7-8893EC3776BD}">
    <text>O Fio B é reajustado 2x por ano. Uma vez em Janeiro - pela atualização da transição Lei 14.300, e outra vez em Abril pelo reajuste tarifário ANEEL.</text>
  </threadedComment>
  <threadedComment ref="B118" dT="2025-09-17T20:36:51.90" personId="{7C6EAE4E-EBCC-4C2E-9D05-DFC00AE78FD8}" id="{B6D44BA3-36AD-4986-B8CD-CCFB249A2449}">
    <text>Com adicional de bandeira da referência.</text>
  </threadedComment>
  <threadedComment ref="B123" dT="2025-06-23T17:00:15.52" personId="{7C6EAE4E-EBCC-4C2E-9D05-DFC00AE78FD8}" id="{039F1697-AA22-4666-AB67-33B98130D086}">
    <text>Para o mês de Junho/2025 a fórmula será alterada. O desconto dos clientes também será alterado.</text>
  </threadedComment>
  <threadedComment ref="K127" dT="2025-06-12T17:04:12.89" personId="{7C6EAE4E-EBCC-4C2E-9D05-DFC00AE78FD8}" id="{A5B86AA0-C370-42FA-8E24-D0D9ADE95454}">
    <text>Valor não bate com o repasse do relatório AG Energia devido ao reajuste errôneo aplicado por eles de 1,33%.</text>
  </threadedComment>
  <threadedComment ref="M127" dT="2025-06-12T19:18:00.19" personId="{7C6EAE4E-EBCC-4C2E-9D05-DFC00AE78FD8}" id="{B350A34D-D6A2-4E36-AEB1-D5E4C22A3AC3}">
    <text>Valor pago pela Armor Energia devido ao problema de rateio ocorrido nos meses de Jan/2025 e Fev/2025.</text>
  </threadedComment>
  <threadedComment ref="N127" dT="2025-06-12T19:18:00.19" personId="{7C6EAE4E-EBCC-4C2E-9D05-DFC00AE78FD8}" id="{B7E91111-0395-4415-BE4F-7A7F02CD8D45}">
    <text>Valor pago pela Armor Energia devido ao problema de rateio ocorrido nos meses de Jan/2025 e Fev/2025.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5F8E-65DF-4B2B-A8C4-0CE6EEE57677}">
  <sheetPr codeName="Planilha11">
    <tabColor rgb="FF323941"/>
  </sheetPr>
  <dimension ref="B1:BS106"/>
  <sheetViews>
    <sheetView showGridLines="0" zoomScale="70" zoomScaleNormal="70" workbookViewId="0">
      <pane xSplit="8" ySplit="2" topLeftCell="R6" activePane="bottomRight" state="frozen"/>
      <selection pane="topRight" activeCell="R8" sqref="R8"/>
      <selection pane="bottomLeft" activeCell="R8" sqref="R8"/>
      <selection pane="bottomRight"/>
    </sheetView>
  </sheetViews>
  <sheetFormatPr defaultRowHeight="14.4" x14ac:dyDescent="0.3"/>
  <cols>
    <col min="1" max="1" width="3" customWidth="1"/>
    <col min="2" max="2" width="17.44140625" customWidth="1"/>
    <col min="3" max="3" width="9.5546875" customWidth="1"/>
    <col min="4" max="4" width="44" bestFit="1" customWidth="1"/>
    <col min="5" max="5" width="14.44140625" style="31" customWidth="1"/>
    <col min="6" max="7" width="21.33203125" customWidth="1"/>
    <col min="8" max="8" width="14.44140625" bestFit="1" customWidth="1"/>
    <col min="9" max="9" width="16.44140625" bestFit="1" customWidth="1"/>
    <col min="10" max="10" width="17.5546875" customWidth="1"/>
    <col min="11" max="12" width="13.6640625" customWidth="1"/>
    <col min="13" max="13" width="27.44140625" style="1" customWidth="1"/>
    <col min="14" max="14" width="23.44140625" style="1" customWidth="1"/>
    <col min="15" max="15" width="16.33203125" style="1" customWidth="1"/>
    <col min="16" max="17" width="16.33203125" customWidth="1"/>
    <col min="18" max="18" width="20.44140625" customWidth="1"/>
    <col min="19" max="19" width="5.6640625" customWidth="1"/>
    <col min="20" max="21" width="20.44140625" customWidth="1"/>
    <col min="22" max="22" width="5.44140625" customWidth="1"/>
    <col min="32" max="32" width="13" bestFit="1" customWidth="1"/>
    <col min="35" max="35" width="17.33203125" bestFit="1" customWidth="1"/>
  </cols>
  <sheetData>
    <row r="1" spans="2:71" x14ac:dyDescent="0.3">
      <c r="E1"/>
      <c r="Q1" s="2">
        <f>MAX('Detalhe Por UC'!R:R)</f>
        <v>45962</v>
      </c>
      <c r="R1" s="3"/>
      <c r="T1" s="4">
        <f>SUBTOTAL(9,T3:T873)</f>
        <v>36941.46681818182</v>
      </c>
      <c r="U1" s="4">
        <f>SUBTOTAL(9,U3:U873)</f>
        <v>37613.277442279948</v>
      </c>
      <c r="AF1" s="5"/>
    </row>
    <row r="2" spans="2:71" ht="69.599999999999994" x14ac:dyDescent="0.3">
      <c r="B2" s="6" t="s">
        <v>0</v>
      </c>
      <c r="C2" s="6" t="s">
        <v>1</v>
      </c>
      <c r="D2" s="7" t="s">
        <v>2</v>
      </c>
      <c r="E2" s="8" t="s">
        <v>3</v>
      </c>
      <c r="F2" s="9" t="s">
        <v>4</v>
      </c>
      <c r="G2" s="9" t="s">
        <v>5</v>
      </c>
      <c r="H2" s="6" t="s">
        <v>0</v>
      </c>
      <c r="I2" s="6" t="s">
        <v>6</v>
      </c>
      <c r="J2" s="6" t="s">
        <v>7</v>
      </c>
      <c r="K2" s="6" t="s">
        <v>8</v>
      </c>
      <c r="L2" s="6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1" t="s">
        <v>15</v>
      </c>
      <c r="T2" s="10" t="s">
        <v>16</v>
      </c>
      <c r="U2" s="11" t="s">
        <v>17</v>
      </c>
      <c r="V2" s="12"/>
      <c r="W2" s="13">
        <v>45261</v>
      </c>
      <c r="X2" s="13">
        <v>45292</v>
      </c>
      <c r="Y2" s="13">
        <v>45323</v>
      </c>
      <c r="Z2" s="13">
        <v>45352</v>
      </c>
      <c r="AA2" s="13">
        <v>45383</v>
      </c>
      <c r="AB2" s="13">
        <v>45413</v>
      </c>
      <c r="AC2" s="13">
        <v>45444</v>
      </c>
      <c r="AD2" s="13">
        <v>45474</v>
      </c>
      <c r="AE2" s="13">
        <v>45505</v>
      </c>
      <c r="AF2" s="13">
        <v>45536</v>
      </c>
      <c r="AG2" s="13">
        <v>45566</v>
      </c>
      <c r="AH2" s="13">
        <v>45597</v>
      </c>
      <c r="AI2" s="13">
        <v>45627</v>
      </c>
      <c r="AJ2" s="13">
        <v>45658</v>
      </c>
      <c r="AK2" s="13">
        <v>45689</v>
      </c>
      <c r="AL2" s="13">
        <v>45717</v>
      </c>
      <c r="AM2" s="13">
        <v>45748</v>
      </c>
      <c r="AN2" s="13">
        <v>45778</v>
      </c>
      <c r="AO2" s="13">
        <v>45809</v>
      </c>
      <c r="AP2" s="13">
        <v>45839</v>
      </c>
      <c r="AQ2" s="13">
        <v>45870</v>
      </c>
      <c r="AR2" s="13">
        <v>45901</v>
      </c>
      <c r="AS2" s="13">
        <v>45931</v>
      </c>
      <c r="AT2" s="13">
        <v>45962</v>
      </c>
      <c r="AU2" s="13">
        <v>45992</v>
      </c>
      <c r="AV2" s="13">
        <v>46023</v>
      </c>
      <c r="AW2" s="13">
        <v>46054</v>
      </c>
      <c r="AX2" s="13">
        <v>46082</v>
      </c>
      <c r="AY2" s="13">
        <v>46113</v>
      </c>
      <c r="AZ2" s="13">
        <v>46143</v>
      </c>
      <c r="BA2" s="13">
        <v>46174</v>
      </c>
      <c r="BB2" s="13">
        <v>46204</v>
      </c>
      <c r="BC2" s="13">
        <v>46235</v>
      </c>
      <c r="BD2" s="13">
        <v>46266</v>
      </c>
      <c r="BE2" s="13">
        <v>46296</v>
      </c>
      <c r="BF2" s="13">
        <v>46327</v>
      </c>
      <c r="BG2" s="13">
        <v>46357</v>
      </c>
      <c r="BH2" s="13">
        <v>46388</v>
      </c>
      <c r="BI2" s="13">
        <v>46419</v>
      </c>
      <c r="BJ2" s="13">
        <v>46447</v>
      </c>
      <c r="BK2" s="13">
        <v>46478</v>
      </c>
      <c r="BL2" s="13">
        <v>46508</v>
      </c>
      <c r="BM2" s="13">
        <v>46539</v>
      </c>
      <c r="BN2" s="13">
        <v>46569</v>
      </c>
      <c r="BO2" s="13">
        <v>46600</v>
      </c>
      <c r="BP2" s="13">
        <v>46631</v>
      </c>
      <c r="BQ2" s="13">
        <v>46661</v>
      </c>
      <c r="BR2" s="13">
        <v>46692</v>
      </c>
      <c r="BS2" s="13">
        <v>46722</v>
      </c>
    </row>
    <row r="3" spans="2:71" x14ac:dyDescent="0.3">
      <c r="B3" t="s">
        <v>18</v>
      </c>
      <c r="C3" s="14">
        <f>ROW(F3)</f>
        <v>3</v>
      </c>
      <c r="D3" t="s">
        <v>19</v>
      </c>
      <c r="E3" s="15">
        <v>302</v>
      </c>
      <c r="F3" t="s">
        <v>20</v>
      </c>
      <c r="G3" t="s">
        <v>21</v>
      </c>
      <c r="H3" s="16" t="s">
        <v>18</v>
      </c>
      <c r="I3" s="17" t="s">
        <v>22</v>
      </c>
      <c r="J3" s="1" t="s">
        <v>23</v>
      </c>
      <c r="K3" s="18" t="s">
        <v>24</v>
      </c>
      <c r="L3" s="18"/>
      <c r="M3" s="19">
        <v>0.25</v>
      </c>
      <c r="N3"/>
      <c r="O3" s="20"/>
      <c r="P3" s="21"/>
      <c r="Q3" s="22">
        <f>IF(_xlfn.MINIFS('Detalhe Por UC'!R:R,'Detalhe Por UC'!C:C,B3,'Detalhe Por UC'!AD:AD,"&gt;"&amp;0)=0,"",_xlfn.MINIFS('Detalhe Por UC'!R:R,'Detalhe Por UC'!C:C,B3,'Detalhe Por UC'!AD:AD,"&gt;"&amp;0))</f>
        <v>45627</v>
      </c>
      <c r="R3" s="23">
        <f>IF(P3&lt;&gt;"ATIVO",0,
IF(OR(Q3="",Q3=0,O3=0),O3,
O3-ROUND((MAX('Detalhe Por UC'!R:R)
-Q3)/(365/12),0)))</f>
        <v>0</v>
      </c>
      <c r="T3" s="5">
        <v>99.833333333333329</v>
      </c>
      <c r="U3" s="24">
        <f t="shared" ref="U3:U66" si="0">IFERROR((SUMIFS(W3:CN3,$W$2:$CN$2,"&gt;"&amp;$Q$1-365,$W$2:$CN$2,"&lt;="&amp;$Q$1)/COUNTIFS(W3:CN3,"&gt;="&amp;0,$W$2:$CN$2,"&gt;"&amp;$Q$1-365,$W$2:$CN$2,"&lt;="&amp;$Q$1)),"")</f>
        <v>153.83333333333334</v>
      </c>
      <c r="W3" s="25">
        <v>114</v>
      </c>
      <c r="X3" s="25">
        <v>108</v>
      </c>
      <c r="Y3" s="25">
        <v>78</v>
      </c>
      <c r="Z3" s="25">
        <v>109</v>
      </c>
      <c r="AA3" s="25">
        <v>96</v>
      </c>
      <c r="AB3" s="25">
        <v>155</v>
      </c>
      <c r="AC3" s="25">
        <v>119</v>
      </c>
      <c r="AD3" s="26">
        <v>72</v>
      </c>
      <c r="AE3" s="25">
        <v>77</v>
      </c>
      <c r="AF3" s="25">
        <v>88</v>
      </c>
      <c r="AG3" s="25">
        <v>116</v>
      </c>
      <c r="AH3" s="25">
        <v>113</v>
      </c>
      <c r="AI3" s="25">
        <v>82</v>
      </c>
      <c r="AJ3" s="27">
        <f>IF(SUMIFS('Detalhe Por UC'!$AB:$AB,'Detalhe Por UC'!$C:$C,'Infos Clientes'!$B3,'Detalhe Por UC'!$R:$R,'Infos Clientes'!AJ$2)=0,"",
SUMIFS('Detalhe Por UC'!$AB:$AB,'Detalhe Por UC'!$C:$C,'Infos Clientes'!$B3,'Detalhe Por UC'!$R:$R,'Infos Clientes'!AJ$2)
+SUMIFS('Detalhe Por UC'!$AC:$AC,'Detalhe Por UC'!$C:$C,'Infos Clientes'!$B3,'Detalhe Por UC'!$R:$R,'Infos Clientes'!AJ$2))</f>
        <v>93</v>
      </c>
      <c r="AK3" s="27">
        <f>IF(SUMIFS('Detalhe Por UC'!$AB:$AB,'Detalhe Por UC'!$C:$C,'Infos Clientes'!$B3,'Detalhe Por UC'!$R:$R,'Infos Clientes'!AK$2)=0,"",
SUMIFS('Detalhe Por UC'!$AB:$AB,'Detalhe Por UC'!$C:$C,'Infos Clientes'!$B3,'Detalhe Por UC'!$R:$R,'Infos Clientes'!AK$2)
+SUMIFS('Detalhe Por UC'!$AC:$AC,'Detalhe Por UC'!$C:$C,'Infos Clientes'!$B3,'Detalhe Por UC'!$R:$R,'Infos Clientes'!AK$2))</f>
        <v>203</v>
      </c>
      <c r="AL3" s="27">
        <f>IF(SUMIFS('Detalhe Por UC'!$AB:$AB,'Detalhe Por UC'!$C:$C,'Infos Clientes'!$B3,'Detalhe Por UC'!$R:$R,'Infos Clientes'!AL$2)=0,"",
SUMIFS('Detalhe Por UC'!$AB:$AB,'Detalhe Por UC'!$C:$C,'Infos Clientes'!$B3,'Detalhe Por UC'!$R:$R,'Infos Clientes'!AL$2)
+SUMIFS('Detalhe Por UC'!$AC:$AC,'Detalhe Por UC'!$C:$C,'Infos Clientes'!$B3,'Detalhe Por UC'!$R:$R,'Infos Clientes'!AL$2))</f>
        <v>234</v>
      </c>
      <c r="AM3" s="27">
        <f>IF(SUMIFS('Detalhe Por UC'!$AB:$AB,'Detalhe Por UC'!$C:$C,'Infos Clientes'!$B3,'Detalhe Por UC'!$R:$R,'Infos Clientes'!AM$2)=0,"",
SUMIFS('Detalhe Por UC'!$AB:$AB,'Detalhe Por UC'!$C:$C,'Infos Clientes'!$B3,'Detalhe Por UC'!$R:$R,'Infos Clientes'!AM$2)
+SUMIFS('Detalhe Por UC'!$AC:$AC,'Detalhe Por UC'!$C:$C,'Infos Clientes'!$B3,'Detalhe Por UC'!$R:$R,'Infos Clientes'!AM$2))</f>
        <v>199</v>
      </c>
      <c r="AN3" s="27">
        <f>IF(SUMIFS('Detalhe Por UC'!$AB:$AB,'Detalhe Por UC'!$C:$C,'Infos Clientes'!$B3,'Detalhe Por UC'!$R:$R,'Infos Clientes'!AN$2)=0,"",
SUMIFS('Detalhe Por UC'!$AB:$AB,'Detalhe Por UC'!$C:$C,'Infos Clientes'!$B3,'Detalhe Por UC'!$R:$R,'Infos Clientes'!AN$2)
+SUMIFS('Detalhe Por UC'!$AC:$AC,'Detalhe Por UC'!$C:$C,'Infos Clientes'!$B3,'Detalhe Por UC'!$R:$R,'Infos Clientes'!AN$2))</f>
        <v>146</v>
      </c>
      <c r="AO3" s="27">
        <f>IF(SUMIFS('Detalhe Por UC'!$AB:$AB,'Detalhe Por UC'!$C:$C,'Infos Clientes'!$B3,'Detalhe Por UC'!$R:$R,'Infos Clientes'!AO$2)=0,"",
SUMIFS('Detalhe Por UC'!$AB:$AB,'Detalhe Por UC'!$C:$C,'Infos Clientes'!$B3,'Detalhe Por UC'!$R:$R,'Infos Clientes'!AO$2)
+SUMIFS('Detalhe Por UC'!$AC:$AC,'Detalhe Por UC'!$C:$C,'Infos Clientes'!$B3,'Detalhe Por UC'!$R:$R,'Infos Clientes'!AO$2))</f>
        <v>78</v>
      </c>
      <c r="AP3" s="27">
        <f>IF(SUMIFS('Detalhe Por UC'!$AB:$AB,'Detalhe Por UC'!$C:$C,'Infos Clientes'!$B3,'Detalhe Por UC'!$R:$R,'Infos Clientes'!AP$2)=0,"",
SUMIFS('Detalhe Por UC'!$AB:$AB,'Detalhe Por UC'!$C:$C,'Infos Clientes'!$B3,'Detalhe Por UC'!$R:$R,'Infos Clientes'!AP$2)
+SUMIFS('Detalhe Por UC'!$AC:$AC,'Detalhe Por UC'!$C:$C,'Infos Clientes'!$B3,'Detalhe Por UC'!$R:$R,'Infos Clientes'!AP$2))</f>
        <v>67</v>
      </c>
      <c r="AQ3" s="27">
        <f>IF(SUMIFS('Detalhe Por UC'!$AB:$AB,'Detalhe Por UC'!$C:$C,'Infos Clientes'!$B3,'Detalhe Por UC'!$R:$R,'Infos Clientes'!AQ$2)=0,"",
SUMIFS('Detalhe Por UC'!$AB:$AB,'Detalhe Por UC'!$C:$C,'Infos Clientes'!$B3,'Detalhe Por UC'!$R:$R,'Infos Clientes'!AQ$2)
+SUMIFS('Detalhe Por UC'!$AC:$AC,'Detalhe Por UC'!$C:$C,'Infos Clientes'!$B3,'Detalhe Por UC'!$R:$R,'Infos Clientes'!AQ$2))</f>
        <v>81</v>
      </c>
      <c r="AR3" s="27">
        <f>IF(SUMIFS('Detalhe Por UC'!$AB:$AB,'Detalhe Por UC'!$C:$C,'Infos Clientes'!$B3,'Detalhe Por UC'!$R:$R,'Infos Clientes'!AR$2)=0,"",
SUMIFS('Detalhe Por UC'!$AB:$AB,'Detalhe Por UC'!$C:$C,'Infos Clientes'!$B3,'Detalhe Por UC'!$R:$R,'Infos Clientes'!AR$2)
+SUMIFS('Detalhe Por UC'!$AC:$AC,'Detalhe Por UC'!$C:$C,'Infos Clientes'!$B3,'Detalhe Por UC'!$R:$R,'Infos Clientes'!AR$2))</f>
        <v>194</v>
      </c>
      <c r="AS3" s="27">
        <f>IF(SUMIFS('Detalhe Por UC'!$AB:$AB,'Detalhe Por UC'!$C:$C,'Infos Clientes'!$B3,'Detalhe Por UC'!$R:$R,'Infos Clientes'!AS$2)=0,"",
SUMIFS('Detalhe Por UC'!$AB:$AB,'Detalhe Por UC'!$C:$C,'Infos Clientes'!$B3,'Detalhe Por UC'!$R:$R,'Infos Clientes'!AS$2)
+SUMIFS('Detalhe Por UC'!$AC:$AC,'Detalhe Por UC'!$C:$C,'Infos Clientes'!$B3,'Detalhe Por UC'!$R:$R,'Infos Clientes'!AS$2))</f>
        <v>220</v>
      </c>
      <c r="AT3" s="27">
        <f>IF(SUMIFS('Detalhe Por UC'!$AB:$AB,'Detalhe Por UC'!$C:$C,'Infos Clientes'!$B3,'Detalhe Por UC'!$R:$R,'Infos Clientes'!AT$2)=0,"",
SUMIFS('Detalhe Por UC'!$AB:$AB,'Detalhe Por UC'!$C:$C,'Infos Clientes'!$B3,'Detalhe Por UC'!$R:$R,'Infos Clientes'!AT$2)
+SUMIFS('Detalhe Por UC'!$AC:$AC,'Detalhe Por UC'!$C:$C,'Infos Clientes'!$B3,'Detalhe Por UC'!$R:$R,'Infos Clientes'!AT$2))</f>
        <v>249</v>
      </c>
      <c r="AU3" s="27" t="str">
        <f>IF(SUMIFS('Detalhe Por UC'!$AB:$AB,'Detalhe Por UC'!$C:$C,'Infos Clientes'!$B3,'Detalhe Por UC'!$R:$R,'Infos Clientes'!AU$2)=0,"",
SUMIFS('Detalhe Por UC'!$AB:$AB,'Detalhe Por UC'!$C:$C,'Infos Clientes'!$B3,'Detalhe Por UC'!$R:$R,'Infos Clientes'!AU$2)
+SUMIFS('Detalhe Por UC'!$AC:$AC,'Detalhe Por UC'!$C:$C,'Infos Clientes'!$B3,'Detalhe Por UC'!$R:$R,'Infos Clientes'!AU$2))</f>
        <v/>
      </c>
    </row>
    <row r="4" spans="2:71" x14ac:dyDescent="0.3">
      <c r="B4" t="s">
        <v>25</v>
      </c>
      <c r="C4" s="14">
        <f t="shared" ref="C4:C67" si="1">ROW(F4)</f>
        <v>4</v>
      </c>
      <c r="D4" t="s">
        <v>19</v>
      </c>
      <c r="E4" s="15">
        <v>319</v>
      </c>
      <c r="F4" t="s">
        <v>26</v>
      </c>
      <c r="G4" t="s">
        <v>27</v>
      </c>
      <c r="H4" s="16" t="s">
        <v>25</v>
      </c>
      <c r="I4" s="17" t="s">
        <v>22</v>
      </c>
      <c r="J4" s="1" t="s">
        <v>28</v>
      </c>
      <c r="K4" s="18" t="s">
        <v>24</v>
      </c>
      <c r="L4" s="18"/>
      <c r="M4" s="19">
        <v>0.25</v>
      </c>
      <c r="N4"/>
      <c r="O4" s="20"/>
      <c r="P4" s="21"/>
      <c r="Q4" s="22">
        <f>IF(_xlfn.MINIFS('Detalhe Por UC'!R:R,'Detalhe Por UC'!C:C,B4,'Detalhe Por UC'!AD:AD,"&gt;"&amp;0)=0,"",_xlfn.MINIFS('Detalhe Por UC'!R:R,'Detalhe Por UC'!C:C,B4,'Detalhe Por UC'!AD:AD,"&gt;"&amp;0))</f>
        <v>45627</v>
      </c>
      <c r="R4" s="23">
        <f>IF(P4&lt;&gt;"ATIVO",0,
IF(OR(Q4="",Q4=0,O4=0),O4,
O4-ROUND((MAX('Detalhe Por UC'!R:R)
-Q4)/(365/12),0)))</f>
        <v>0</v>
      </c>
      <c r="T4" s="5">
        <v>453.58333333333331</v>
      </c>
      <c r="U4" s="24">
        <f t="shared" si="0"/>
        <v>375.91666666666669</v>
      </c>
      <c r="W4" s="25">
        <v>298</v>
      </c>
      <c r="X4" s="25">
        <v>455</v>
      </c>
      <c r="Y4" s="25">
        <v>591</v>
      </c>
      <c r="Z4" s="25">
        <v>630</v>
      </c>
      <c r="AA4" s="25">
        <v>540</v>
      </c>
      <c r="AB4" s="25">
        <v>369</v>
      </c>
      <c r="AC4" s="25">
        <v>381</v>
      </c>
      <c r="AD4" s="26">
        <v>214</v>
      </c>
      <c r="AE4" s="25">
        <v>273</v>
      </c>
      <c r="AF4" s="25">
        <v>321</v>
      </c>
      <c r="AG4" s="25">
        <v>385</v>
      </c>
      <c r="AH4" s="25">
        <v>671</v>
      </c>
      <c r="AI4" s="25">
        <v>528</v>
      </c>
      <c r="AJ4" s="27">
        <f>IF(SUMIFS('Detalhe Por UC'!$AB:$AB,'Detalhe Por UC'!$C:$C,'Infos Clientes'!$B4,'Detalhe Por UC'!$R:$R,'Infos Clientes'!AJ$2)=0,"",
SUMIFS('Detalhe Por UC'!$AB:$AB,'Detalhe Por UC'!$C:$C,'Infos Clientes'!$B4,'Detalhe Por UC'!$R:$R,'Infos Clientes'!AJ$2)
+SUMIFS('Detalhe Por UC'!$AC:$AC,'Detalhe Por UC'!$C:$C,'Infos Clientes'!$B4,'Detalhe Por UC'!$R:$R,'Infos Clientes'!AJ$2))</f>
        <v>540</v>
      </c>
      <c r="AK4" s="27">
        <f>IF(SUMIFS('Detalhe Por UC'!$AB:$AB,'Detalhe Por UC'!$C:$C,'Infos Clientes'!$B4,'Detalhe Por UC'!$R:$R,'Infos Clientes'!AK$2)=0,"",
SUMIFS('Detalhe Por UC'!$AB:$AB,'Detalhe Por UC'!$C:$C,'Infos Clientes'!$B4,'Detalhe Por UC'!$R:$R,'Infos Clientes'!AK$2)
+SUMIFS('Detalhe Por UC'!$AC:$AC,'Detalhe Por UC'!$C:$C,'Infos Clientes'!$B4,'Detalhe Por UC'!$R:$R,'Infos Clientes'!AK$2))</f>
        <v>433</v>
      </c>
      <c r="AL4" s="27">
        <f>IF(SUMIFS('Detalhe Por UC'!$AB:$AB,'Detalhe Por UC'!$C:$C,'Infos Clientes'!$B4,'Detalhe Por UC'!$R:$R,'Infos Clientes'!AL$2)=0,"",
SUMIFS('Detalhe Por UC'!$AB:$AB,'Detalhe Por UC'!$C:$C,'Infos Clientes'!$B4,'Detalhe Por UC'!$R:$R,'Infos Clientes'!AL$2)
+SUMIFS('Detalhe Por UC'!$AC:$AC,'Detalhe Por UC'!$C:$C,'Infos Clientes'!$B4,'Detalhe Por UC'!$R:$R,'Infos Clientes'!AL$2))</f>
        <v>581</v>
      </c>
      <c r="AM4" s="27">
        <f>IF(SUMIFS('Detalhe Por UC'!$AB:$AB,'Detalhe Por UC'!$C:$C,'Infos Clientes'!$B4,'Detalhe Por UC'!$R:$R,'Infos Clientes'!AM$2)=0,"",
SUMIFS('Detalhe Por UC'!$AB:$AB,'Detalhe Por UC'!$C:$C,'Infos Clientes'!$B4,'Detalhe Por UC'!$R:$R,'Infos Clientes'!AM$2)
+SUMIFS('Detalhe Por UC'!$AC:$AC,'Detalhe Por UC'!$C:$C,'Infos Clientes'!$B4,'Detalhe Por UC'!$R:$R,'Infos Clientes'!AM$2))</f>
        <v>338</v>
      </c>
      <c r="AN4" s="27">
        <f>IF(SUMIFS('Detalhe Por UC'!$AB:$AB,'Detalhe Por UC'!$C:$C,'Infos Clientes'!$B4,'Detalhe Por UC'!$R:$R,'Infos Clientes'!AN$2)=0,"",
SUMIFS('Detalhe Por UC'!$AB:$AB,'Detalhe Por UC'!$C:$C,'Infos Clientes'!$B4,'Detalhe Por UC'!$R:$R,'Infos Clientes'!AN$2)
+SUMIFS('Detalhe Por UC'!$AC:$AC,'Detalhe Por UC'!$C:$C,'Infos Clientes'!$B4,'Detalhe Por UC'!$R:$R,'Infos Clientes'!AN$2))</f>
        <v>259</v>
      </c>
      <c r="AO4" s="27">
        <f>IF(SUMIFS('Detalhe Por UC'!$AB:$AB,'Detalhe Por UC'!$C:$C,'Infos Clientes'!$B4,'Detalhe Por UC'!$R:$R,'Infos Clientes'!AO$2)=0,"",
SUMIFS('Detalhe Por UC'!$AB:$AB,'Detalhe Por UC'!$C:$C,'Infos Clientes'!$B4,'Detalhe Por UC'!$R:$R,'Infos Clientes'!AO$2)
+SUMIFS('Detalhe Por UC'!$AC:$AC,'Detalhe Por UC'!$C:$C,'Infos Clientes'!$B4,'Detalhe Por UC'!$R:$R,'Infos Clientes'!AO$2))</f>
        <v>272</v>
      </c>
      <c r="AP4" s="27">
        <f>IF(SUMIFS('Detalhe Por UC'!$AB:$AB,'Detalhe Por UC'!$C:$C,'Infos Clientes'!$B4,'Detalhe Por UC'!$R:$R,'Infos Clientes'!AP$2)=0,"",
SUMIFS('Detalhe Por UC'!$AB:$AB,'Detalhe Por UC'!$C:$C,'Infos Clientes'!$B4,'Detalhe Por UC'!$R:$R,'Infos Clientes'!AP$2)
+SUMIFS('Detalhe Por UC'!$AC:$AC,'Detalhe Por UC'!$C:$C,'Infos Clientes'!$B4,'Detalhe Por UC'!$R:$R,'Infos Clientes'!AP$2))</f>
        <v>172</v>
      </c>
      <c r="AQ4" s="27">
        <f>IF(SUMIFS('Detalhe Por UC'!$AB:$AB,'Detalhe Por UC'!$C:$C,'Infos Clientes'!$B4,'Detalhe Por UC'!$R:$R,'Infos Clientes'!AQ$2)=0,"",
SUMIFS('Detalhe Por UC'!$AB:$AB,'Detalhe Por UC'!$C:$C,'Infos Clientes'!$B4,'Detalhe Por UC'!$R:$R,'Infos Clientes'!AQ$2)
+SUMIFS('Detalhe Por UC'!$AC:$AC,'Detalhe Por UC'!$C:$C,'Infos Clientes'!$B4,'Detalhe Por UC'!$R:$R,'Infos Clientes'!AQ$2))</f>
        <v>205</v>
      </c>
      <c r="AR4" s="27">
        <f>IF(SUMIFS('Detalhe Por UC'!$AB:$AB,'Detalhe Por UC'!$C:$C,'Infos Clientes'!$B4,'Detalhe Por UC'!$R:$R,'Infos Clientes'!AR$2)=0,"",
SUMIFS('Detalhe Por UC'!$AB:$AB,'Detalhe Por UC'!$C:$C,'Infos Clientes'!$B4,'Detalhe Por UC'!$R:$R,'Infos Clientes'!AR$2)
+SUMIFS('Detalhe Por UC'!$AC:$AC,'Detalhe Por UC'!$C:$C,'Infos Clientes'!$B4,'Detalhe Por UC'!$R:$R,'Infos Clientes'!AR$2))</f>
        <v>386</v>
      </c>
      <c r="AS4" s="27">
        <f>IF(SUMIFS('Detalhe Por UC'!$AB:$AB,'Detalhe Por UC'!$C:$C,'Infos Clientes'!$B4,'Detalhe Por UC'!$R:$R,'Infos Clientes'!AS$2)=0,"",
SUMIFS('Detalhe Por UC'!$AB:$AB,'Detalhe Por UC'!$C:$C,'Infos Clientes'!$B4,'Detalhe Por UC'!$R:$R,'Infos Clientes'!AS$2)
+SUMIFS('Detalhe Por UC'!$AC:$AC,'Detalhe Por UC'!$C:$C,'Infos Clientes'!$B4,'Detalhe Por UC'!$R:$R,'Infos Clientes'!AS$2))</f>
        <v>446</v>
      </c>
      <c r="AT4" s="27">
        <f>IF(SUMIFS('Detalhe Por UC'!$AB:$AB,'Detalhe Por UC'!$C:$C,'Infos Clientes'!$B4,'Detalhe Por UC'!$R:$R,'Infos Clientes'!AT$2)=0,"",
SUMIFS('Detalhe Por UC'!$AB:$AB,'Detalhe Por UC'!$C:$C,'Infos Clientes'!$B4,'Detalhe Por UC'!$R:$R,'Infos Clientes'!AT$2)
+SUMIFS('Detalhe Por UC'!$AC:$AC,'Detalhe Por UC'!$C:$C,'Infos Clientes'!$B4,'Detalhe Por UC'!$R:$R,'Infos Clientes'!AT$2))</f>
        <v>351</v>
      </c>
      <c r="AU4" s="27" t="str">
        <f>IF(SUMIFS('Detalhe Por UC'!$AB:$AB,'Detalhe Por UC'!$C:$C,'Infos Clientes'!$B4,'Detalhe Por UC'!$R:$R,'Infos Clientes'!AU$2)=0,"",
SUMIFS('Detalhe Por UC'!$AB:$AB,'Detalhe Por UC'!$C:$C,'Infos Clientes'!$B4,'Detalhe Por UC'!$R:$R,'Infos Clientes'!AU$2)
+SUMIFS('Detalhe Por UC'!$AC:$AC,'Detalhe Por UC'!$C:$C,'Infos Clientes'!$B4,'Detalhe Por UC'!$R:$R,'Infos Clientes'!AU$2))</f>
        <v/>
      </c>
    </row>
    <row r="5" spans="2:71" x14ac:dyDescent="0.3">
      <c r="B5" t="s">
        <v>29</v>
      </c>
      <c r="C5" s="14">
        <f t="shared" si="1"/>
        <v>5</v>
      </c>
      <c r="D5" t="s">
        <v>19</v>
      </c>
      <c r="E5" s="15">
        <v>362</v>
      </c>
      <c r="F5" t="s">
        <v>30</v>
      </c>
      <c r="G5" t="s">
        <v>31</v>
      </c>
      <c r="H5" s="16" t="s">
        <v>29</v>
      </c>
      <c r="I5" s="17" t="s">
        <v>22</v>
      </c>
      <c r="J5" s="1" t="s">
        <v>28</v>
      </c>
      <c r="K5" s="18" t="s">
        <v>24</v>
      </c>
      <c r="L5" s="18"/>
      <c r="M5" s="19">
        <v>0.25</v>
      </c>
      <c r="N5"/>
      <c r="O5" s="20"/>
      <c r="P5" s="21"/>
      <c r="Q5" s="22">
        <f>IF(_xlfn.MINIFS('Detalhe Por UC'!R:R,'Detalhe Por UC'!C:C,B5,'Detalhe Por UC'!AD:AD,"&gt;"&amp;0)=0,"",_xlfn.MINIFS('Detalhe Por UC'!R:R,'Detalhe Por UC'!C:C,B5,'Detalhe Por UC'!AD:AD,"&gt;"&amp;0))</f>
        <v>45627</v>
      </c>
      <c r="R5" s="23">
        <f>IF(P5&lt;&gt;"ATIVO",0,
IF(OR(Q5="",Q5=0,O5=0),O5,
O5-ROUND((MAX('Detalhe Por UC'!R:R)
-Q5)/(365/12),0)))</f>
        <v>0</v>
      </c>
      <c r="T5" s="5">
        <v>178.41666666666666</v>
      </c>
      <c r="U5" s="24">
        <f t="shared" si="0"/>
        <v>161.33333333333334</v>
      </c>
      <c r="W5" s="25">
        <v>163</v>
      </c>
      <c r="X5" s="25">
        <v>185</v>
      </c>
      <c r="Y5" s="25">
        <v>161</v>
      </c>
      <c r="Z5" s="25">
        <v>221</v>
      </c>
      <c r="AA5" s="25">
        <v>180</v>
      </c>
      <c r="AB5" s="25">
        <v>165</v>
      </c>
      <c r="AC5" s="25">
        <v>160</v>
      </c>
      <c r="AD5" s="26">
        <v>145</v>
      </c>
      <c r="AE5" s="25">
        <v>160</v>
      </c>
      <c r="AF5" s="25">
        <v>152</v>
      </c>
      <c r="AG5" s="25">
        <v>175</v>
      </c>
      <c r="AH5" s="25">
        <v>179</v>
      </c>
      <c r="AI5" s="25">
        <v>161</v>
      </c>
      <c r="AJ5" s="27">
        <f>IF(SUMIFS('Detalhe Por UC'!$AB:$AB,'Detalhe Por UC'!$C:$C,'Infos Clientes'!$B5,'Detalhe Por UC'!$R:$R,'Infos Clientes'!AJ$2)=0,"",
SUMIFS('Detalhe Por UC'!$AB:$AB,'Detalhe Por UC'!$C:$C,'Infos Clientes'!$B5,'Detalhe Por UC'!$R:$R,'Infos Clientes'!AJ$2)
+SUMIFS('Detalhe Por UC'!$AC:$AC,'Detalhe Por UC'!$C:$C,'Infos Clientes'!$B5,'Detalhe Por UC'!$R:$R,'Infos Clientes'!AJ$2))</f>
        <v>282</v>
      </c>
      <c r="AK5" s="27">
        <f>IF(SUMIFS('Detalhe Por UC'!$AB:$AB,'Detalhe Por UC'!$C:$C,'Infos Clientes'!$B5,'Detalhe Por UC'!$R:$R,'Infos Clientes'!AK$2)=0,"",
SUMIFS('Detalhe Por UC'!$AB:$AB,'Detalhe Por UC'!$C:$C,'Infos Clientes'!$B5,'Detalhe Por UC'!$R:$R,'Infos Clientes'!AK$2)
+SUMIFS('Detalhe Por UC'!$AC:$AC,'Detalhe Por UC'!$C:$C,'Infos Clientes'!$B5,'Detalhe Por UC'!$R:$R,'Infos Clientes'!AK$2))</f>
        <v>171</v>
      </c>
      <c r="AL5" s="27">
        <f>IF(SUMIFS('Detalhe Por UC'!$AB:$AB,'Detalhe Por UC'!$C:$C,'Infos Clientes'!$B5,'Detalhe Por UC'!$R:$R,'Infos Clientes'!AL$2)=0,"",
SUMIFS('Detalhe Por UC'!$AB:$AB,'Detalhe Por UC'!$C:$C,'Infos Clientes'!$B5,'Detalhe Por UC'!$R:$R,'Infos Clientes'!AL$2)
+SUMIFS('Detalhe Por UC'!$AC:$AC,'Detalhe Por UC'!$C:$C,'Infos Clientes'!$B5,'Detalhe Por UC'!$R:$R,'Infos Clientes'!AL$2))</f>
        <v>185</v>
      </c>
      <c r="AM5" s="27">
        <f>IF(SUMIFS('Detalhe Por UC'!$AB:$AB,'Detalhe Por UC'!$C:$C,'Infos Clientes'!$B5,'Detalhe Por UC'!$R:$R,'Infos Clientes'!AM$2)=0,"",
SUMIFS('Detalhe Por UC'!$AB:$AB,'Detalhe Por UC'!$C:$C,'Infos Clientes'!$B5,'Detalhe Por UC'!$R:$R,'Infos Clientes'!AM$2)
+SUMIFS('Detalhe Por UC'!$AC:$AC,'Detalhe Por UC'!$C:$C,'Infos Clientes'!$B5,'Detalhe Por UC'!$R:$R,'Infos Clientes'!AM$2))</f>
        <v>176</v>
      </c>
      <c r="AN5" s="27">
        <f>IF(SUMIFS('Detalhe Por UC'!$AB:$AB,'Detalhe Por UC'!$C:$C,'Infos Clientes'!$B5,'Detalhe Por UC'!$R:$R,'Infos Clientes'!AN$2)=0,"",
SUMIFS('Detalhe Por UC'!$AB:$AB,'Detalhe Por UC'!$C:$C,'Infos Clientes'!$B5,'Detalhe Por UC'!$R:$R,'Infos Clientes'!AN$2)
+SUMIFS('Detalhe Por UC'!$AC:$AC,'Detalhe Por UC'!$C:$C,'Infos Clientes'!$B5,'Detalhe Por UC'!$R:$R,'Infos Clientes'!AN$2))</f>
        <v>153</v>
      </c>
      <c r="AO5" s="27">
        <f>IF(SUMIFS('Detalhe Por UC'!$AB:$AB,'Detalhe Por UC'!$C:$C,'Infos Clientes'!$B5,'Detalhe Por UC'!$R:$R,'Infos Clientes'!AO$2)=0,"",
SUMIFS('Detalhe Por UC'!$AB:$AB,'Detalhe Por UC'!$C:$C,'Infos Clientes'!$B5,'Detalhe Por UC'!$R:$R,'Infos Clientes'!AO$2)
+SUMIFS('Detalhe Por UC'!$AC:$AC,'Detalhe Por UC'!$C:$C,'Infos Clientes'!$B5,'Detalhe Por UC'!$R:$R,'Infos Clientes'!AO$2))</f>
        <v>118</v>
      </c>
      <c r="AP5" s="27">
        <f>IF(SUMIFS('Detalhe Por UC'!$AB:$AB,'Detalhe Por UC'!$C:$C,'Infos Clientes'!$B5,'Detalhe Por UC'!$R:$R,'Infos Clientes'!AP$2)=0,"",
SUMIFS('Detalhe Por UC'!$AB:$AB,'Detalhe Por UC'!$C:$C,'Infos Clientes'!$B5,'Detalhe Por UC'!$R:$R,'Infos Clientes'!AP$2)
+SUMIFS('Detalhe Por UC'!$AC:$AC,'Detalhe Por UC'!$C:$C,'Infos Clientes'!$B5,'Detalhe Por UC'!$R:$R,'Infos Clientes'!AP$2))</f>
        <v>115</v>
      </c>
      <c r="AQ5" s="27">
        <f>IF(SUMIFS('Detalhe Por UC'!$AB:$AB,'Detalhe Por UC'!$C:$C,'Infos Clientes'!$B5,'Detalhe Por UC'!$R:$R,'Infos Clientes'!AQ$2)=0,"",
SUMIFS('Detalhe Por UC'!$AB:$AB,'Detalhe Por UC'!$C:$C,'Infos Clientes'!$B5,'Detalhe Por UC'!$R:$R,'Infos Clientes'!AQ$2)
+SUMIFS('Detalhe Por UC'!$AC:$AC,'Detalhe Por UC'!$C:$C,'Infos Clientes'!$B5,'Detalhe Por UC'!$R:$R,'Infos Clientes'!AQ$2))</f>
        <v>121</v>
      </c>
      <c r="AR5" s="27">
        <f>IF(SUMIFS('Detalhe Por UC'!$AB:$AB,'Detalhe Por UC'!$C:$C,'Infos Clientes'!$B5,'Detalhe Por UC'!$R:$R,'Infos Clientes'!AR$2)=0,"",
SUMIFS('Detalhe Por UC'!$AB:$AB,'Detalhe Por UC'!$C:$C,'Infos Clientes'!$B5,'Detalhe Por UC'!$R:$R,'Infos Clientes'!AR$2)
+SUMIFS('Detalhe Por UC'!$AC:$AC,'Detalhe Por UC'!$C:$C,'Infos Clientes'!$B5,'Detalhe Por UC'!$R:$R,'Infos Clientes'!AR$2))</f>
        <v>138</v>
      </c>
      <c r="AS5" s="27">
        <f>IF(SUMIFS('Detalhe Por UC'!$AB:$AB,'Detalhe Por UC'!$C:$C,'Infos Clientes'!$B5,'Detalhe Por UC'!$R:$R,'Infos Clientes'!AS$2)=0,"",
SUMIFS('Detalhe Por UC'!$AB:$AB,'Detalhe Por UC'!$C:$C,'Infos Clientes'!$B5,'Detalhe Por UC'!$R:$R,'Infos Clientes'!AS$2)
+SUMIFS('Detalhe Por UC'!$AC:$AC,'Detalhe Por UC'!$C:$C,'Infos Clientes'!$B5,'Detalhe Por UC'!$R:$R,'Infos Clientes'!AS$2))</f>
        <v>158</v>
      </c>
      <c r="AT5" s="27">
        <f>IF(SUMIFS('Detalhe Por UC'!$AB:$AB,'Detalhe Por UC'!$C:$C,'Infos Clientes'!$B5,'Detalhe Por UC'!$R:$R,'Infos Clientes'!AT$2)=0,"",
SUMIFS('Detalhe Por UC'!$AB:$AB,'Detalhe Por UC'!$C:$C,'Infos Clientes'!$B5,'Detalhe Por UC'!$R:$R,'Infos Clientes'!AT$2)
+SUMIFS('Detalhe Por UC'!$AC:$AC,'Detalhe Por UC'!$C:$C,'Infos Clientes'!$B5,'Detalhe Por UC'!$R:$R,'Infos Clientes'!AT$2))</f>
        <v>158</v>
      </c>
      <c r="AU5" s="27" t="str">
        <f>IF(SUMIFS('Detalhe Por UC'!$AB:$AB,'Detalhe Por UC'!$C:$C,'Infos Clientes'!$B5,'Detalhe Por UC'!$R:$R,'Infos Clientes'!AU$2)=0,"",
SUMIFS('Detalhe Por UC'!$AB:$AB,'Detalhe Por UC'!$C:$C,'Infos Clientes'!$B5,'Detalhe Por UC'!$R:$R,'Infos Clientes'!AU$2)
+SUMIFS('Detalhe Por UC'!$AC:$AC,'Detalhe Por UC'!$C:$C,'Infos Clientes'!$B5,'Detalhe Por UC'!$R:$R,'Infos Clientes'!AU$2))</f>
        <v/>
      </c>
    </row>
    <row r="6" spans="2:71" x14ac:dyDescent="0.3">
      <c r="B6" t="s">
        <v>32</v>
      </c>
      <c r="C6" s="14">
        <f t="shared" si="1"/>
        <v>6</v>
      </c>
      <c r="D6" t="s">
        <v>19</v>
      </c>
      <c r="E6" s="15">
        <v>319</v>
      </c>
      <c r="F6" t="s">
        <v>33</v>
      </c>
      <c r="G6" t="s">
        <v>34</v>
      </c>
      <c r="H6" s="16" t="s">
        <v>32</v>
      </c>
      <c r="I6" s="17" t="s">
        <v>22</v>
      </c>
      <c r="J6" s="1" t="s">
        <v>28</v>
      </c>
      <c r="K6" s="18" t="s">
        <v>24</v>
      </c>
      <c r="L6" s="18"/>
      <c r="M6" s="19">
        <v>0.25</v>
      </c>
      <c r="N6"/>
      <c r="O6" s="20"/>
      <c r="P6" s="21"/>
      <c r="Q6" s="22">
        <f>IF(_xlfn.MINIFS('Detalhe Por UC'!R:R,'Detalhe Por UC'!C:C,B6,'Detalhe Por UC'!AD:AD,"&gt;"&amp;0)=0,"",_xlfn.MINIFS('Detalhe Por UC'!R:R,'Detalhe Por UC'!C:C,B6,'Detalhe Por UC'!AD:AD,"&gt;"&amp;0))</f>
        <v>45627</v>
      </c>
      <c r="R6" s="23">
        <f>IF(P6&lt;&gt;"ATIVO",0,
IF(OR(Q6="",Q6=0,O6=0),O6,
O6-ROUND((MAX('Detalhe Por UC'!R:R)
-Q6)/(365/12),0)))</f>
        <v>0</v>
      </c>
      <c r="T6" s="5">
        <v>236.08333333333334</v>
      </c>
      <c r="U6" s="24">
        <f t="shared" si="0"/>
        <v>256.91666666666669</v>
      </c>
      <c r="W6" s="25">
        <v>199</v>
      </c>
      <c r="X6" s="25">
        <v>189</v>
      </c>
      <c r="Y6" s="25">
        <v>230</v>
      </c>
      <c r="Z6" s="25">
        <v>213</v>
      </c>
      <c r="AA6" s="25">
        <v>329</v>
      </c>
      <c r="AB6" s="25">
        <v>259</v>
      </c>
      <c r="AC6" s="25">
        <v>203</v>
      </c>
      <c r="AD6" s="26">
        <v>211</v>
      </c>
      <c r="AE6" s="25">
        <v>218</v>
      </c>
      <c r="AF6" s="25">
        <v>177</v>
      </c>
      <c r="AG6" s="25">
        <v>244</v>
      </c>
      <c r="AH6" s="25">
        <v>218</v>
      </c>
      <c r="AI6" s="25">
        <v>278</v>
      </c>
      <c r="AJ6" s="27">
        <f>IF(SUMIFS('Detalhe Por UC'!$AB:$AB,'Detalhe Por UC'!$C:$C,'Infos Clientes'!$B6,'Detalhe Por UC'!$R:$R,'Infos Clientes'!AJ$2)=0,"",
SUMIFS('Detalhe Por UC'!$AB:$AB,'Detalhe Por UC'!$C:$C,'Infos Clientes'!$B6,'Detalhe Por UC'!$R:$R,'Infos Clientes'!AJ$2)
+SUMIFS('Detalhe Por UC'!$AC:$AC,'Detalhe Por UC'!$C:$C,'Infos Clientes'!$B6,'Detalhe Por UC'!$R:$R,'Infos Clientes'!AJ$2))</f>
        <v>253</v>
      </c>
      <c r="AK6" s="27">
        <f>IF(SUMIFS('Detalhe Por UC'!$AB:$AB,'Detalhe Por UC'!$C:$C,'Infos Clientes'!$B6,'Detalhe Por UC'!$R:$R,'Infos Clientes'!AK$2)=0,"",
SUMIFS('Detalhe Por UC'!$AB:$AB,'Detalhe Por UC'!$C:$C,'Infos Clientes'!$B6,'Detalhe Por UC'!$R:$R,'Infos Clientes'!AK$2)
+SUMIFS('Detalhe Por UC'!$AC:$AC,'Detalhe Por UC'!$C:$C,'Infos Clientes'!$B6,'Detalhe Por UC'!$R:$R,'Infos Clientes'!AK$2))</f>
        <v>324</v>
      </c>
      <c r="AL6" s="27">
        <f>IF(SUMIFS('Detalhe Por UC'!$AB:$AB,'Detalhe Por UC'!$C:$C,'Infos Clientes'!$B6,'Detalhe Por UC'!$R:$R,'Infos Clientes'!AL$2)=0,"",
SUMIFS('Detalhe Por UC'!$AB:$AB,'Detalhe Por UC'!$C:$C,'Infos Clientes'!$B6,'Detalhe Por UC'!$R:$R,'Infos Clientes'!AL$2)
+SUMIFS('Detalhe Por UC'!$AC:$AC,'Detalhe Por UC'!$C:$C,'Infos Clientes'!$B6,'Detalhe Por UC'!$R:$R,'Infos Clientes'!AL$2))</f>
        <v>394</v>
      </c>
      <c r="AM6" s="27">
        <f>IF(SUMIFS('Detalhe Por UC'!$AB:$AB,'Detalhe Por UC'!$C:$C,'Infos Clientes'!$B6,'Detalhe Por UC'!$R:$R,'Infos Clientes'!AM$2)=0,"",
SUMIFS('Detalhe Por UC'!$AB:$AB,'Detalhe Por UC'!$C:$C,'Infos Clientes'!$B6,'Detalhe Por UC'!$R:$R,'Infos Clientes'!AM$2)
+SUMIFS('Detalhe Por UC'!$AC:$AC,'Detalhe Por UC'!$C:$C,'Infos Clientes'!$B6,'Detalhe Por UC'!$R:$R,'Infos Clientes'!AM$2))</f>
        <v>290</v>
      </c>
      <c r="AN6" s="27">
        <f>IF(SUMIFS('Detalhe Por UC'!$AB:$AB,'Detalhe Por UC'!$C:$C,'Infos Clientes'!$B6,'Detalhe Por UC'!$R:$R,'Infos Clientes'!AN$2)=0,"",
SUMIFS('Detalhe Por UC'!$AB:$AB,'Detalhe Por UC'!$C:$C,'Infos Clientes'!$B6,'Detalhe Por UC'!$R:$R,'Infos Clientes'!AN$2)
+SUMIFS('Detalhe Por UC'!$AC:$AC,'Detalhe Por UC'!$C:$C,'Infos Clientes'!$B6,'Detalhe Por UC'!$R:$R,'Infos Clientes'!AN$2))</f>
        <v>226</v>
      </c>
      <c r="AO6" s="27">
        <f>IF(SUMIFS('Detalhe Por UC'!$AB:$AB,'Detalhe Por UC'!$C:$C,'Infos Clientes'!$B6,'Detalhe Por UC'!$R:$R,'Infos Clientes'!AO$2)=0,"",
SUMIFS('Detalhe Por UC'!$AB:$AB,'Detalhe Por UC'!$C:$C,'Infos Clientes'!$B6,'Detalhe Por UC'!$R:$R,'Infos Clientes'!AO$2)
+SUMIFS('Detalhe Por UC'!$AC:$AC,'Detalhe Por UC'!$C:$C,'Infos Clientes'!$B6,'Detalhe Por UC'!$R:$R,'Infos Clientes'!AO$2))</f>
        <v>202</v>
      </c>
      <c r="AP6" s="27">
        <f>IF(SUMIFS('Detalhe Por UC'!$AB:$AB,'Detalhe Por UC'!$C:$C,'Infos Clientes'!$B6,'Detalhe Por UC'!$R:$R,'Infos Clientes'!AP$2)=0,"",
SUMIFS('Detalhe Por UC'!$AB:$AB,'Detalhe Por UC'!$C:$C,'Infos Clientes'!$B6,'Detalhe Por UC'!$R:$R,'Infos Clientes'!AP$2)
+SUMIFS('Detalhe Por UC'!$AC:$AC,'Detalhe Por UC'!$C:$C,'Infos Clientes'!$B6,'Detalhe Por UC'!$R:$R,'Infos Clientes'!AP$2))</f>
        <v>197</v>
      </c>
      <c r="AQ6" s="27">
        <f>IF(SUMIFS('Detalhe Por UC'!$AB:$AB,'Detalhe Por UC'!$C:$C,'Infos Clientes'!$B6,'Detalhe Por UC'!$R:$R,'Infos Clientes'!AQ$2)=0,"",
SUMIFS('Detalhe Por UC'!$AB:$AB,'Detalhe Por UC'!$C:$C,'Infos Clientes'!$B6,'Detalhe Por UC'!$R:$R,'Infos Clientes'!AQ$2)
+SUMIFS('Detalhe Por UC'!$AC:$AC,'Detalhe Por UC'!$C:$C,'Infos Clientes'!$B6,'Detalhe Por UC'!$R:$R,'Infos Clientes'!AQ$2))</f>
        <v>184</v>
      </c>
      <c r="AR6" s="27">
        <f>IF(SUMIFS('Detalhe Por UC'!$AB:$AB,'Detalhe Por UC'!$C:$C,'Infos Clientes'!$B6,'Detalhe Por UC'!$R:$R,'Infos Clientes'!AR$2)=0,"",
SUMIFS('Detalhe Por UC'!$AB:$AB,'Detalhe Por UC'!$C:$C,'Infos Clientes'!$B6,'Detalhe Por UC'!$R:$R,'Infos Clientes'!AR$2)
+SUMIFS('Detalhe Por UC'!$AC:$AC,'Detalhe Por UC'!$C:$C,'Infos Clientes'!$B6,'Detalhe Por UC'!$R:$R,'Infos Clientes'!AR$2))</f>
        <v>217</v>
      </c>
      <c r="AS6" s="27">
        <f>IF(SUMIFS('Detalhe Por UC'!$AB:$AB,'Detalhe Por UC'!$C:$C,'Infos Clientes'!$B6,'Detalhe Por UC'!$R:$R,'Infos Clientes'!AS$2)=0,"",
SUMIFS('Detalhe Por UC'!$AB:$AB,'Detalhe Por UC'!$C:$C,'Infos Clientes'!$B6,'Detalhe Por UC'!$R:$R,'Infos Clientes'!AS$2)
+SUMIFS('Detalhe Por UC'!$AC:$AC,'Detalhe Por UC'!$C:$C,'Infos Clientes'!$B6,'Detalhe Por UC'!$R:$R,'Infos Clientes'!AS$2))</f>
        <v>269</v>
      </c>
      <c r="AT6" s="27">
        <f>IF(SUMIFS('Detalhe Por UC'!$AB:$AB,'Detalhe Por UC'!$C:$C,'Infos Clientes'!$B6,'Detalhe Por UC'!$R:$R,'Infos Clientes'!AT$2)=0,"",
SUMIFS('Detalhe Por UC'!$AB:$AB,'Detalhe Por UC'!$C:$C,'Infos Clientes'!$B6,'Detalhe Por UC'!$R:$R,'Infos Clientes'!AT$2)
+SUMIFS('Detalhe Por UC'!$AC:$AC,'Detalhe Por UC'!$C:$C,'Infos Clientes'!$B6,'Detalhe Por UC'!$R:$R,'Infos Clientes'!AT$2))</f>
        <v>249</v>
      </c>
      <c r="AU6" s="27" t="str">
        <f>IF(SUMIFS('Detalhe Por UC'!$AB:$AB,'Detalhe Por UC'!$C:$C,'Infos Clientes'!$B6,'Detalhe Por UC'!$R:$R,'Infos Clientes'!AU$2)=0,"",
SUMIFS('Detalhe Por UC'!$AB:$AB,'Detalhe Por UC'!$C:$C,'Infos Clientes'!$B6,'Detalhe Por UC'!$R:$R,'Infos Clientes'!AU$2)
+SUMIFS('Detalhe Por UC'!$AC:$AC,'Detalhe Por UC'!$C:$C,'Infos Clientes'!$B6,'Detalhe Por UC'!$R:$R,'Infos Clientes'!AU$2))</f>
        <v/>
      </c>
    </row>
    <row r="7" spans="2:71" x14ac:dyDescent="0.3">
      <c r="B7" t="s">
        <v>35</v>
      </c>
      <c r="C7" s="14">
        <f t="shared" si="1"/>
        <v>7</v>
      </c>
      <c r="D7" t="s">
        <v>19</v>
      </c>
      <c r="E7" s="15">
        <v>319</v>
      </c>
      <c r="F7" t="s">
        <v>36</v>
      </c>
      <c r="G7" t="s">
        <v>37</v>
      </c>
      <c r="H7" s="16" t="s">
        <v>35</v>
      </c>
      <c r="I7" s="17" t="s">
        <v>22</v>
      </c>
      <c r="J7" s="1" t="s">
        <v>28</v>
      </c>
      <c r="K7" s="18" t="s">
        <v>24</v>
      </c>
      <c r="L7" s="18"/>
      <c r="M7" s="19">
        <v>0.25</v>
      </c>
      <c r="N7"/>
      <c r="O7" s="20"/>
      <c r="P7" s="21"/>
      <c r="Q7" s="22">
        <f>IF(_xlfn.MINIFS('Detalhe Por UC'!R:R,'Detalhe Por UC'!C:C,B7,'Detalhe Por UC'!AD:AD,"&gt;"&amp;0)=0,"",_xlfn.MINIFS('Detalhe Por UC'!R:R,'Detalhe Por UC'!C:C,B7,'Detalhe Por UC'!AD:AD,"&gt;"&amp;0))</f>
        <v>45627</v>
      </c>
      <c r="R7" s="23">
        <f>IF(P7&lt;&gt;"ATIVO",0,
IF(OR(Q7="",Q7=0,O7=0),O7,
O7-ROUND((MAX('Detalhe Por UC'!R:R)
-Q7)/(365/12),0)))</f>
        <v>0</v>
      </c>
      <c r="T7" s="5">
        <v>182.25</v>
      </c>
      <c r="U7" s="24">
        <f t="shared" si="0"/>
        <v>287.5</v>
      </c>
      <c r="W7" s="25">
        <v>216</v>
      </c>
      <c r="X7" s="25">
        <v>195</v>
      </c>
      <c r="Y7" s="25">
        <v>205</v>
      </c>
      <c r="Z7" s="25">
        <v>203</v>
      </c>
      <c r="AA7" s="25">
        <v>233</v>
      </c>
      <c r="AB7" s="25">
        <v>181</v>
      </c>
      <c r="AC7" s="25">
        <v>175</v>
      </c>
      <c r="AD7" s="26">
        <v>188</v>
      </c>
      <c r="AE7" s="25">
        <v>162</v>
      </c>
      <c r="AF7" s="25">
        <v>143</v>
      </c>
      <c r="AG7" s="25">
        <v>162</v>
      </c>
      <c r="AH7" s="25">
        <v>171</v>
      </c>
      <c r="AI7" s="25">
        <v>196</v>
      </c>
      <c r="AJ7" s="27">
        <f>IF(SUMIFS('Detalhe Por UC'!$AB:$AB,'Detalhe Por UC'!$C:$C,'Infos Clientes'!$B7,'Detalhe Por UC'!$R:$R,'Infos Clientes'!AJ$2)=0,"",
SUMIFS('Detalhe Por UC'!$AB:$AB,'Detalhe Por UC'!$C:$C,'Infos Clientes'!$B7,'Detalhe Por UC'!$R:$R,'Infos Clientes'!AJ$2)
+SUMIFS('Detalhe Por UC'!$AC:$AC,'Detalhe Por UC'!$C:$C,'Infos Clientes'!$B7,'Detalhe Por UC'!$R:$R,'Infos Clientes'!AJ$2))</f>
        <v>168</v>
      </c>
      <c r="AK7" s="27">
        <f>IF(SUMIFS('Detalhe Por UC'!$AB:$AB,'Detalhe Por UC'!$C:$C,'Infos Clientes'!$B7,'Detalhe Por UC'!$R:$R,'Infos Clientes'!AK$2)=0,"",
SUMIFS('Detalhe Por UC'!$AB:$AB,'Detalhe Por UC'!$C:$C,'Infos Clientes'!$B7,'Detalhe Por UC'!$R:$R,'Infos Clientes'!AK$2)
+SUMIFS('Detalhe Por UC'!$AC:$AC,'Detalhe Por UC'!$C:$C,'Infos Clientes'!$B7,'Detalhe Por UC'!$R:$R,'Infos Clientes'!AK$2))</f>
        <v>322</v>
      </c>
      <c r="AL7" s="27">
        <f>IF(SUMIFS('Detalhe Por UC'!$AB:$AB,'Detalhe Por UC'!$C:$C,'Infos Clientes'!$B7,'Detalhe Por UC'!$R:$R,'Infos Clientes'!AL$2)=0,"",
SUMIFS('Detalhe Por UC'!$AB:$AB,'Detalhe Por UC'!$C:$C,'Infos Clientes'!$B7,'Detalhe Por UC'!$R:$R,'Infos Clientes'!AL$2)
+SUMIFS('Detalhe Por UC'!$AC:$AC,'Detalhe Por UC'!$C:$C,'Infos Clientes'!$B7,'Detalhe Por UC'!$R:$R,'Infos Clientes'!AL$2))</f>
        <v>371</v>
      </c>
      <c r="AM7" s="27">
        <f>IF(SUMIFS('Detalhe Por UC'!$AB:$AB,'Detalhe Por UC'!$C:$C,'Infos Clientes'!$B7,'Detalhe Por UC'!$R:$R,'Infos Clientes'!AM$2)=0,"",
SUMIFS('Detalhe Por UC'!$AB:$AB,'Detalhe Por UC'!$C:$C,'Infos Clientes'!$B7,'Detalhe Por UC'!$R:$R,'Infos Clientes'!AM$2)
+SUMIFS('Detalhe Por UC'!$AC:$AC,'Detalhe Por UC'!$C:$C,'Infos Clientes'!$B7,'Detalhe Por UC'!$R:$R,'Infos Clientes'!AM$2))</f>
        <v>317</v>
      </c>
      <c r="AN7" s="27">
        <f>IF(SUMIFS('Detalhe Por UC'!$AB:$AB,'Detalhe Por UC'!$C:$C,'Infos Clientes'!$B7,'Detalhe Por UC'!$R:$R,'Infos Clientes'!AN$2)=0,"",
SUMIFS('Detalhe Por UC'!$AB:$AB,'Detalhe Por UC'!$C:$C,'Infos Clientes'!$B7,'Detalhe Por UC'!$R:$R,'Infos Clientes'!AN$2)
+SUMIFS('Detalhe Por UC'!$AC:$AC,'Detalhe Por UC'!$C:$C,'Infos Clientes'!$B7,'Detalhe Por UC'!$R:$R,'Infos Clientes'!AN$2))</f>
        <v>293</v>
      </c>
      <c r="AO7" s="27">
        <f>IF(SUMIFS('Detalhe Por UC'!$AB:$AB,'Detalhe Por UC'!$C:$C,'Infos Clientes'!$B7,'Detalhe Por UC'!$R:$R,'Infos Clientes'!AO$2)=0,"",
SUMIFS('Detalhe Por UC'!$AB:$AB,'Detalhe Por UC'!$C:$C,'Infos Clientes'!$B7,'Detalhe Por UC'!$R:$R,'Infos Clientes'!AO$2)
+SUMIFS('Detalhe Por UC'!$AC:$AC,'Detalhe Por UC'!$C:$C,'Infos Clientes'!$B7,'Detalhe Por UC'!$R:$R,'Infos Clientes'!AO$2))</f>
        <v>323</v>
      </c>
      <c r="AP7" s="27">
        <f>IF(SUMIFS('Detalhe Por UC'!$AB:$AB,'Detalhe Por UC'!$C:$C,'Infos Clientes'!$B7,'Detalhe Por UC'!$R:$R,'Infos Clientes'!AP$2)=0,"",
SUMIFS('Detalhe Por UC'!$AB:$AB,'Detalhe Por UC'!$C:$C,'Infos Clientes'!$B7,'Detalhe Por UC'!$R:$R,'Infos Clientes'!AP$2)
+SUMIFS('Detalhe Por UC'!$AC:$AC,'Detalhe Por UC'!$C:$C,'Infos Clientes'!$B7,'Detalhe Por UC'!$R:$R,'Infos Clientes'!AP$2))</f>
        <v>292</v>
      </c>
      <c r="AQ7" s="27">
        <f>IF(SUMIFS('Detalhe Por UC'!$AB:$AB,'Detalhe Por UC'!$C:$C,'Infos Clientes'!$B7,'Detalhe Por UC'!$R:$R,'Infos Clientes'!AQ$2)=0,"",
SUMIFS('Detalhe Por UC'!$AB:$AB,'Detalhe Por UC'!$C:$C,'Infos Clientes'!$B7,'Detalhe Por UC'!$R:$R,'Infos Clientes'!AQ$2)
+SUMIFS('Detalhe Por UC'!$AC:$AC,'Detalhe Por UC'!$C:$C,'Infos Clientes'!$B7,'Detalhe Por UC'!$R:$R,'Infos Clientes'!AQ$2))</f>
        <v>298</v>
      </c>
      <c r="AR7" s="27">
        <f>IF(SUMIFS('Detalhe Por UC'!$AB:$AB,'Detalhe Por UC'!$C:$C,'Infos Clientes'!$B7,'Detalhe Por UC'!$R:$R,'Infos Clientes'!AR$2)=0,"",
SUMIFS('Detalhe Por UC'!$AB:$AB,'Detalhe Por UC'!$C:$C,'Infos Clientes'!$B7,'Detalhe Por UC'!$R:$R,'Infos Clientes'!AR$2)
+SUMIFS('Detalhe Por UC'!$AC:$AC,'Detalhe Por UC'!$C:$C,'Infos Clientes'!$B7,'Detalhe Por UC'!$R:$R,'Infos Clientes'!AR$2))</f>
        <v>273</v>
      </c>
      <c r="AS7" s="27">
        <f>IF(SUMIFS('Detalhe Por UC'!$AB:$AB,'Detalhe Por UC'!$C:$C,'Infos Clientes'!$B7,'Detalhe Por UC'!$R:$R,'Infos Clientes'!AS$2)=0,"",
SUMIFS('Detalhe Por UC'!$AB:$AB,'Detalhe Por UC'!$C:$C,'Infos Clientes'!$B7,'Detalhe Por UC'!$R:$R,'Infos Clientes'!AS$2)
+SUMIFS('Detalhe Por UC'!$AC:$AC,'Detalhe Por UC'!$C:$C,'Infos Clientes'!$B7,'Detalhe Por UC'!$R:$R,'Infos Clientes'!AS$2))</f>
        <v>308</v>
      </c>
      <c r="AT7" s="27">
        <f>IF(SUMIFS('Detalhe Por UC'!$AB:$AB,'Detalhe Por UC'!$C:$C,'Infos Clientes'!$B7,'Detalhe Por UC'!$R:$R,'Infos Clientes'!AT$2)=0,"",
SUMIFS('Detalhe Por UC'!$AB:$AB,'Detalhe Por UC'!$C:$C,'Infos Clientes'!$B7,'Detalhe Por UC'!$R:$R,'Infos Clientes'!AT$2)
+SUMIFS('Detalhe Por UC'!$AC:$AC,'Detalhe Por UC'!$C:$C,'Infos Clientes'!$B7,'Detalhe Por UC'!$R:$R,'Infos Clientes'!AT$2))</f>
        <v>289</v>
      </c>
      <c r="AU7" s="27" t="str">
        <f>IF(SUMIFS('Detalhe Por UC'!$AB:$AB,'Detalhe Por UC'!$C:$C,'Infos Clientes'!$B7,'Detalhe Por UC'!$R:$R,'Infos Clientes'!AU$2)=0,"",
SUMIFS('Detalhe Por UC'!$AB:$AB,'Detalhe Por UC'!$C:$C,'Infos Clientes'!$B7,'Detalhe Por UC'!$R:$R,'Infos Clientes'!AU$2)
+SUMIFS('Detalhe Por UC'!$AC:$AC,'Detalhe Por UC'!$C:$C,'Infos Clientes'!$B7,'Detalhe Por UC'!$R:$R,'Infos Clientes'!AU$2))</f>
        <v/>
      </c>
    </row>
    <row r="8" spans="2:71" x14ac:dyDescent="0.3">
      <c r="B8" t="s">
        <v>38</v>
      </c>
      <c r="C8" s="14">
        <f t="shared" si="1"/>
        <v>8</v>
      </c>
      <c r="D8" t="s">
        <v>19</v>
      </c>
      <c r="E8" s="15">
        <v>351</v>
      </c>
      <c r="F8" t="s">
        <v>39</v>
      </c>
      <c r="G8" t="s">
        <v>40</v>
      </c>
      <c r="H8" s="16" t="s">
        <v>38</v>
      </c>
      <c r="I8" s="17" t="s">
        <v>22</v>
      </c>
      <c r="J8" s="1" t="s">
        <v>28</v>
      </c>
      <c r="K8" s="18" t="s">
        <v>24</v>
      </c>
      <c r="L8" s="18"/>
      <c r="M8" s="19">
        <v>0.25</v>
      </c>
      <c r="N8"/>
      <c r="O8" s="20"/>
      <c r="P8" s="21"/>
      <c r="Q8" s="22">
        <f>IF(_xlfn.MINIFS('Detalhe Por UC'!R:R,'Detalhe Por UC'!C:C,B8,'Detalhe Por UC'!AD:AD,"&gt;"&amp;0)=0,"",_xlfn.MINIFS('Detalhe Por UC'!R:R,'Detalhe Por UC'!C:C,B8,'Detalhe Por UC'!AD:AD,"&gt;"&amp;0))</f>
        <v>45627</v>
      </c>
      <c r="R8" s="23">
        <f>IF(P8&lt;&gt;"ATIVO",0,
IF(OR(Q8="",Q8=0,O8=0),O8,
O8-ROUND((MAX('Detalhe Por UC'!R:R)
-Q8)/(365/12),0)))</f>
        <v>0</v>
      </c>
      <c r="T8" s="5">
        <v>134.36363636363637</v>
      </c>
      <c r="U8" s="24">
        <f t="shared" si="0"/>
        <v>148.125</v>
      </c>
      <c r="W8" s="25">
        <v>130</v>
      </c>
      <c r="X8" s="25">
        <v>124</v>
      </c>
      <c r="Y8" s="25">
        <v>151</v>
      </c>
      <c r="Z8" s="25">
        <v>183</v>
      </c>
      <c r="AA8" s="25">
        <v>156</v>
      </c>
      <c r="AB8" s="25">
        <v>184</v>
      </c>
      <c r="AC8" s="25">
        <v>100</v>
      </c>
      <c r="AD8" s="26">
        <v>90</v>
      </c>
      <c r="AE8" s="25">
        <v>103</v>
      </c>
      <c r="AF8" s="25">
        <v>113</v>
      </c>
      <c r="AG8" s="25">
        <v>148</v>
      </c>
      <c r="AH8" s="25">
        <v>112</v>
      </c>
      <c r="AI8" s="25">
        <v>138</v>
      </c>
      <c r="AJ8" s="27" t="str">
        <f>IF(SUMIFS('Detalhe Por UC'!$AB:$AB,'Detalhe Por UC'!$C:$C,'Infos Clientes'!$B8,'Detalhe Por UC'!$R:$R,'Infos Clientes'!AJ$2)=0,"",
SUMIFS('Detalhe Por UC'!$AB:$AB,'Detalhe Por UC'!$C:$C,'Infos Clientes'!$B8,'Detalhe Por UC'!$R:$R,'Infos Clientes'!AJ$2)
+SUMIFS('Detalhe Por UC'!$AC:$AC,'Detalhe Por UC'!$C:$C,'Infos Clientes'!$B8,'Detalhe Por UC'!$R:$R,'Infos Clientes'!AJ$2))</f>
        <v/>
      </c>
      <c r="AK8" s="27">
        <f>IF(SUMIFS('Detalhe Por UC'!$AB:$AB,'Detalhe Por UC'!$C:$C,'Infos Clientes'!$B8,'Detalhe Por UC'!$R:$R,'Infos Clientes'!AK$2)=0,"",
SUMIFS('Detalhe Por UC'!$AB:$AB,'Detalhe Por UC'!$C:$C,'Infos Clientes'!$B8,'Detalhe Por UC'!$R:$R,'Infos Clientes'!AK$2)
+SUMIFS('Detalhe Por UC'!$AC:$AC,'Detalhe Por UC'!$C:$C,'Infos Clientes'!$B8,'Detalhe Por UC'!$R:$R,'Infos Clientes'!AK$2))</f>
        <v>159</v>
      </c>
      <c r="AL8" s="27">
        <f>IF(SUMIFS('Detalhe Por UC'!$AB:$AB,'Detalhe Por UC'!$C:$C,'Infos Clientes'!$B8,'Detalhe Por UC'!$R:$R,'Infos Clientes'!AL$2)=0,"",
SUMIFS('Detalhe Por UC'!$AB:$AB,'Detalhe Por UC'!$C:$C,'Infos Clientes'!$B8,'Detalhe Por UC'!$R:$R,'Infos Clientes'!AL$2)
+SUMIFS('Detalhe Por UC'!$AC:$AC,'Detalhe Por UC'!$C:$C,'Infos Clientes'!$B8,'Detalhe Por UC'!$R:$R,'Infos Clientes'!AL$2))</f>
        <v>197</v>
      </c>
      <c r="AM8" s="27">
        <f>IF(SUMIFS('Detalhe Por UC'!$AB:$AB,'Detalhe Por UC'!$C:$C,'Infos Clientes'!$B8,'Detalhe Por UC'!$R:$R,'Infos Clientes'!AM$2)=0,"",
SUMIFS('Detalhe Por UC'!$AB:$AB,'Detalhe Por UC'!$C:$C,'Infos Clientes'!$B8,'Detalhe Por UC'!$R:$R,'Infos Clientes'!AM$2)
+SUMIFS('Detalhe Por UC'!$AC:$AC,'Detalhe Por UC'!$C:$C,'Infos Clientes'!$B8,'Detalhe Por UC'!$R:$R,'Infos Clientes'!AM$2))</f>
        <v>157</v>
      </c>
      <c r="AN8" s="27">
        <f>IF(SUMIFS('Detalhe Por UC'!$AB:$AB,'Detalhe Por UC'!$C:$C,'Infos Clientes'!$B8,'Detalhe Por UC'!$R:$R,'Infos Clientes'!AN$2)=0,"",
SUMIFS('Detalhe Por UC'!$AB:$AB,'Detalhe Por UC'!$C:$C,'Infos Clientes'!$B8,'Detalhe Por UC'!$R:$R,'Infos Clientes'!AN$2)
+SUMIFS('Detalhe Por UC'!$AC:$AC,'Detalhe Por UC'!$C:$C,'Infos Clientes'!$B8,'Detalhe Por UC'!$R:$R,'Infos Clientes'!AN$2))</f>
        <v>106</v>
      </c>
      <c r="AO8" s="27" t="str">
        <f>IF(SUMIFS('Detalhe Por UC'!$AB:$AB,'Detalhe Por UC'!$C:$C,'Infos Clientes'!$B8,'Detalhe Por UC'!$R:$R,'Infos Clientes'!AO$2)=0,"",
SUMIFS('Detalhe Por UC'!$AB:$AB,'Detalhe Por UC'!$C:$C,'Infos Clientes'!$B8,'Detalhe Por UC'!$R:$R,'Infos Clientes'!AO$2)
+SUMIFS('Detalhe Por UC'!$AC:$AC,'Detalhe Por UC'!$C:$C,'Infos Clientes'!$B8,'Detalhe Por UC'!$R:$R,'Infos Clientes'!AO$2))</f>
        <v/>
      </c>
      <c r="AP8" s="27" t="str">
        <f>IF(SUMIFS('Detalhe Por UC'!$AB:$AB,'Detalhe Por UC'!$C:$C,'Infos Clientes'!$B8,'Detalhe Por UC'!$R:$R,'Infos Clientes'!AP$2)=0,"",
SUMIFS('Detalhe Por UC'!$AB:$AB,'Detalhe Por UC'!$C:$C,'Infos Clientes'!$B8,'Detalhe Por UC'!$R:$R,'Infos Clientes'!AP$2)
+SUMIFS('Detalhe Por UC'!$AC:$AC,'Detalhe Por UC'!$C:$C,'Infos Clientes'!$B8,'Detalhe Por UC'!$R:$R,'Infos Clientes'!AP$2))</f>
        <v/>
      </c>
      <c r="AQ8" s="27">
        <f>IF(SUMIFS('Detalhe Por UC'!$AB:$AB,'Detalhe Por UC'!$C:$C,'Infos Clientes'!$B8,'Detalhe Por UC'!$R:$R,'Infos Clientes'!AQ$2)=0,"",
SUMIFS('Detalhe Por UC'!$AB:$AB,'Detalhe Por UC'!$C:$C,'Infos Clientes'!$B8,'Detalhe Por UC'!$R:$R,'Infos Clientes'!AQ$2)
+SUMIFS('Detalhe Por UC'!$AC:$AC,'Detalhe Por UC'!$C:$C,'Infos Clientes'!$B8,'Detalhe Por UC'!$R:$R,'Infos Clientes'!AQ$2))</f>
        <v>100</v>
      </c>
      <c r="AR8" s="27" t="str">
        <f>IF(SUMIFS('Detalhe Por UC'!$AB:$AB,'Detalhe Por UC'!$C:$C,'Infos Clientes'!$B8,'Detalhe Por UC'!$R:$R,'Infos Clientes'!AR$2)=0,"",
SUMIFS('Detalhe Por UC'!$AB:$AB,'Detalhe Por UC'!$C:$C,'Infos Clientes'!$B8,'Detalhe Por UC'!$R:$R,'Infos Clientes'!AR$2)
+SUMIFS('Detalhe Por UC'!$AC:$AC,'Detalhe Por UC'!$C:$C,'Infos Clientes'!$B8,'Detalhe Por UC'!$R:$R,'Infos Clientes'!AR$2))</f>
        <v/>
      </c>
      <c r="AS8" s="27">
        <f>IF(SUMIFS('Detalhe Por UC'!$AB:$AB,'Detalhe Por UC'!$C:$C,'Infos Clientes'!$B8,'Detalhe Por UC'!$R:$R,'Infos Clientes'!AS$2)=0,"",
SUMIFS('Detalhe Por UC'!$AB:$AB,'Detalhe Por UC'!$C:$C,'Infos Clientes'!$B8,'Detalhe Por UC'!$R:$R,'Infos Clientes'!AS$2)
+SUMIFS('Detalhe Por UC'!$AC:$AC,'Detalhe Por UC'!$C:$C,'Infos Clientes'!$B8,'Detalhe Por UC'!$R:$R,'Infos Clientes'!AS$2))</f>
        <v>112</v>
      </c>
      <c r="AT8" s="27">
        <f>IF(SUMIFS('Detalhe Por UC'!$AB:$AB,'Detalhe Por UC'!$C:$C,'Infos Clientes'!$B8,'Detalhe Por UC'!$R:$R,'Infos Clientes'!AT$2)=0,"",
SUMIFS('Detalhe Por UC'!$AB:$AB,'Detalhe Por UC'!$C:$C,'Infos Clientes'!$B8,'Detalhe Por UC'!$R:$R,'Infos Clientes'!AT$2)
+SUMIFS('Detalhe Por UC'!$AC:$AC,'Detalhe Por UC'!$C:$C,'Infos Clientes'!$B8,'Detalhe Por UC'!$R:$R,'Infos Clientes'!AT$2))</f>
        <v>216</v>
      </c>
      <c r="AU8" s="27" t="str">
        <f>IF(SUMIFS('Detalhe Por UC'!$AB:$AB,'Detalhe Por UC'!$C:$C,'Infos Clientes'!$B8,'Detalhe Por UC'!$R:$R,'Infos Clientes'!AU$2)=0,"",
SUMIFS('Detalhe Por UC'!$AB:$AB,'Detalhe Por UC'!$C:$C,'Infos Clientes'!$B8,'Detalhe Por UC'!$R:$R,'Infos Clientes'!AU$2)
+SUMIFS('Detalhe Por UC'!$AC:$AC,'Detalhe Por UC'!$C:$C,'Infos Clientes'!$B8,'Detalhe Por UC'!$R:$R,'Infos Clientes'!AU$2))</f>
        <v/>
      </c>
    </row>
    <row r="9" spans="2:71" x14ac:dyDescent="0.3">
      <c r="B9" t="s">
        <v>41</v>
      </c>
      <c r="C9" s="14">
        <f t="shared" si="1"/>
        <v>9</v>
      </c>
      <c r="D9" t="s">
        <v>19</v>
      </c>
      <c r="E9" s="15">
        <v>349</v>
      </c>
      <c r="F9" t="s">
        <v>42</v>
      </c>
      <c r="G9" t="s">
        <v>43</v>
      </c>
      <c r="H9" s="16" t="s">
        <v>41</v>
      </c>
      <c r="I9" s="17" t="s">
        <v>22</v>
      </c>
      <c r="J9" s="1" t="s">
        <v>44</v>
      </c>
      <c r="K9" s="18" t="s">
        <v>24</v>
      </c>
      <c r="L9" s="18"/>
      <c r="M9" s="19">
        <v>0.25</v>
      </c>
      <c r="N9"/>
      <c r="O9" s="20"/>
      <c r="P9" s="21"/>
      <c r="Q9" s="22">
        <f>IF(_xlfn.MINIFS('Detalhe Por UC'!R:R,'Detalhe Por UC'!C:C,B9,'Detalhe Por UC'!AD:AD,"&gt;"&amp;0)=0,"",_xlfn.MINIFS('Detalhe Por UC'!R:R,'Detalhe Por UC'!C:C,B9,'Detalhe Por UC'!AD:AD,"&gt;"&amp;0))</f>
        <v>45627</v>
      </c>
      <c r="R9" s="23">
        <f>IF(P9&lt;&gt;"ATIVO",0,
IF(OR(Q9="",Q9=0,O9=0),O9,
O9-ROUND((MAX('Detalhe Por UC'!R:R)
-Q9)/(365/12),0)))</f>
        <v>0</v>
      </c>
      <c r="T9" s="5">
        <v>156.25</v>
      </c>
      <c r="U9" s="24">
        <f t="shared" si="0"/>
        <v>152.91666666666666</v>
      </c>
      <c r="W9" s="25">
        <v>179</v>
      </c>
      <c r="X9" s="25">
        <v>221</v>
      </c>
      <c r="Y9" s="25">
        <v>202</v>
      </c>
      <c r="Z9" s="25">
        <v>159</v>
      </c>
      <c r="AA9" s="25">
        <v>173</v>
      </c>
      <c r="AB9" s="25">
        <v>154</v>
      </c>
      <c r="AC9" s="25">
        <v>151</v>
      </c>
      <c r="AD9" s="26">
        <v>144</v>
      </c>
      <c r="AE9" s="25">
        <v>136</v>
      </c>
      <c r="AF9" s="25">
        <v>128</v>
      </c>
      <c r="AG9" s="25">
        <v>155</v>
      </c>
      <c r="AH9" s="25">
        <v>146</v>
      </c>
      <c r="AI9" s="25">
        <v>156</v>
      </c>
      <c r="AJ9" s="27">
        <f>IF(SUMIFS('Detalhe Por UC'!$AB:$AB,'Detalhe Por UC'!$C:$C,'Infos Clientes'!$B9,'Detalhe Por UC'!$R:$R,'Infos Clientes'!AJ$2)=0,"",
SUMIFS('Detalhe Por UC'!$AB:$AB,'Detalhe Por UC'!$C:$C,'Infos Clientes'!$B9,'Detalhe Por UC'!$R:$R,'Infos Clientes'!AJ$2)
+SUMIFS('Detalhe Por UC'!$AC:$AC,'Detalhe Por UC'!$C:$C,'Infos Clientes'!$B9,'Detalhe Por UC'!$R:$R,'Infos Clientes'!AJ$2))</f>
        <v>171</v>
      </c>
      <c r="AK9" s="27">
        <f>IF(SUMIFS('Detalhe Por UC'!$AB:$AB,'Detalhe Por UC'!$C:$C,'Infos Clientes'!$B9,'Detalhe Por UC'!$R:$R,'Infos Clientes'!AK$2)=0,"",
SUMIFS('Detalhe Por UC'!$AB:$AB,'Detalhe Por UC'!$C:$C,'Infos Clientes'!$B9,'Detalhe Por UC'!$R:$R,'Infos Clientes'!AK$2)
+SUMIFS('Detalhe Por UC'!$AC:$AC,'Detalhe Por UC'!$C:$C,'Infos Clientes'!$B9,'Detalhe Por UC'!$R:$R,'Infos Clientes'!AK$2))</f>
        <v>172</v>
      </c>
      <c r="AL9" s="27">
        <f>IF(SUMIFS('Detalhe Por UC'!$AB:$AB,'Detalhe Por UC'!$C:$C,'Infos Clientes'!$B9,'Detalhe Por UC'!$R:$R,'Infos Clientes'!AL$2)=0,"",
SUMIFS('Detalhe Por UC'!$AB:$AB,'Detalhe Por UC'!$C:$C,'Infos Clientes'!$B9,'Detalhe Por UC'!$R:$R,'Infos Clientes'!AL$2)
+SUMIFS('Detalhe Por UC'!$AC:$AC,'Detalhe Por UC'!$C:$C,'Infos Clientes'!$B9,'Detalhe Por UC'!$R:$R,'Infos Clientes'!AL$2))</f>
        <v>153</v>
      </c>
      <c r="AM9" s="27">
        <f>IF(SUMIFS('Detalhe Por UC'!$AB:$AB,'Detalhe Por UC'!$C:$C,'Infos Clientes'!$B9,'Detalhe Por UC'!$R:$R,'Infos Clientes'!AM$2)=0,"",
SUMIFS('Detalhe Por UC'!$AB:$AB,'Detalhe Por UC'!$C:$C,'Infos Clientes'!$B9,'Detalhe Por UC'!$R:$R,'Infos Clientes'!AM$2)
+SUMIFS('Detalhe Por UC'!$AC:$AC,'Detalhe Por UC'!$C:$C,'Infos Clientes'!$B9,'Detalhe Por UC'!$R:$R,'Infos Clientes'!AM$2))</f>
        <v>179</v>
      </c>
      <c r="AN9" s="27">
        <f>IF(SUMIFS('Detalhe Por UC'!$AB:$AB,'Detalhe Por UC'!$C:$C,'Infos Clientes'!$B9,'Detalhe Por UC'!$R:$R,'Infos Clientes'!AN$2)=0,"",
SUMIFS('Detalhe Por UC'!$AB:$AB,'Detalhe Por UC'!$C:$C,'Infos Clientes'!$B9,'Detalhe Por UC'!$R:$R,'Infos Clientes'!AN$2)
+SUMIFS('Detalhe Por UC'!$AC:$AC,'Detalhe Por UC'!$C:$C,'Infos Clientes'!$B9,'Detalhe Por UC'!$R:$R,'Infos Clientes'!AN$2))</f>
        <v>153</v>
      </c>
      <c r="AO9" s="27">
        <f>IF(SUMIFS('Detalhe Por UC'!$AB:$AB,'Detalhe Por UC'!$C:$C,'Infos Clientes'!$B9,'Detalhe Por UC'!$R:$R,'Infos Clientes'!AO$2)=0,"",
SUMIFS('Detalhe Por UC'!$AB:$AB,'Detalhe Por UC'!$C:$C,'Infos Clientes'!$B9,'Detalhe Por UC'!$R:$R,'Infos Clientes'!AO$2)
+SUMIFS('Detalhe Por UC'!$AC:$AC,'Detalhe Por UC'!$C:$C,'Infos Clientes'!$B9,'Detalhe Por UC'!$R:$R,'Infos Clientes'!AO$2))</f>
        <v>126</v>
      </c>
      <c r="AP9" s="27">
        <f>IF(SUMIFS('Detalhe Por UC'!$AB:$AB,'Detalhe Por UC'!$C:$C,'Infos Clientes'!$B9,'Detalhe Por UC'!$R:$R,'Infos Clientes'!AP$2)=0,"",
SUMIFS('Detalhe Por UC'!$AB:$AB,'Detalhe Por UC'!$C:$C,'Infos Clientes'!$B9,'Detalhe Por UC'!$R:$R,'Infos Clientes'!AP$2)
+SUMIFS('Detalhe Por UC'!$AC:$AC,'Detalhe Por UC'!$C:$C,'Infos Clientes'!$B9,'Detalhe Por UC'!$R:$R,'Infos Clientes'!AP$2))</f>
        <v>116</v>
      </c>
      <c r="AQ9" s="27">
        <f>IF(SUMIFS('Detalhe Por UC'!$AB:$AB,'Detalhe Por UC'!$C:$C,'Infos Clientes'!$B9,'Detalhe Por UC'!$R:$R,'Infos Clientes'!AQ$2)=0,"",
SUMIFS('Detalhe Por UC'!$AB:$AB,'Detalhe Por UC'!$C:$C,'Infos Clientes'!$B9,'Detalhe Por UC'!$R:$R,'Infos Clientes'!AQ$2)
+SUMIFS('Detalhe Por UC'!$AC:$AC,'Detalhe Por UC'!$C:$C,'Infos Clientes'!$B9,'Detalhe Por UC'!$R:$R,'Infos Clientes'!AQ$2))</f>
        <v>98</v>
      </c>
      <c r="AR9" s="27">
        <f>IF(SUMIFS('Detalhe Por UC'!$AB:$AB,'Detalhe Por UC'!$C:$C,'Infos Clientes'!$B9,'Detalhe Por UC'!$R:$R,'Infos Clientes'!AR$2)=0,"",
SUMIFS('Detalhe Por UC'!$AB:$AB,'Detalhe Por UC'!$C:$C,'Infos Clientes'!$B9,'Detalhe Por UC'!$R:$R,'Infos Clientes'!AR$2)
+SUMIFS('Detalhe Por UC'!$AC:$AC,'Detalhe Por UC'!$C:$C,'Infos Clientes'!$B9,'Detalhe Por UC'!$R:$R,'Infos Clientes'!AR$2))</f>
        <v>167</v>
      </c>
      <c r="AS9" s="27">
        <f>IF(SUMIFS('Detalhe Por UC'!$AB:$AB,'Detalhe Por UC'!$C:$C,'Infos Clientes'!$B9,'Detalhe Por UC'!$R:$R,'Infos Clientes'!AS$2)=0,"",
SUMIFS('Detalhe Por UC'!$AB:$AB,'Detalhe Por UC'!$C:$C,'Infos Clientes'!$B9,'Detalhe Por UC'!$R:$R,'Infos Clientes'!AS$2)
+SUMIFS('Detalhe Por UC'!$AC:$AC,'Detalhe Por UC'!$C:$C,'Infos Clientes'!$B9,'Detalhe Por UC'!$R:$R,'Infos Clientes'!AS$2))</f>
        <v>183</v>
      </c>
      <c r="AT9" s="27">
        <f>IF(SUMIFS('Detalhe Por UC'!$AB:$AB,'Detalhe Por UC'!$C:$C,'Infos Clientes'!$B9,'Detalhe Por UC'!$R:$R,'Infos Clientes'!AT$2)=0,"",
SUMIFS('Detalhe Por UC'!$AB:$AB,'Detalhe Por UC'!$C:$C,'Infos Clientes'!$B9,'Detalhe Por UC'!$R:$R,'Infos Clientes'!AT$2)
+SUMIFS('Detalhe Por UC'!$AC:$AC,'Detalhe Por UC'!$C:$C,'Infos Clientes'!$B9,'Detalhe Por UC'!$R:$R,'Infos Clientes'!AT$2))</f>
        <v>161</v>
      </c>
      <c r="AU9" s="27" t="str">
        <f>IF(SUMIFS('Detalhe Por UC'!$AB:$AB,'Detalhe Por UC'!$C:$C,'Infos Clientes'!$B9,'Detalhe Por UC'!$R:$R,'Infos Clientes'!AU$2)=0,"",
SUMIFS('Detalhe Por UC'!$AB:$AB,'Detalhe Por UC'!$C:$C,'Infos Clientes'!$B9,'Detalhe Por UC'!$R:$R,'Infos Clientes'!AU$2)
+SUMIFS('Detalhe Por UC'!$AC:$AC,'Detalhe Por UC'!$C:$C,'Infos Clientes'!$B9,'Detalhe Por UC'!$R:$R,'Infos Clientes'!AU$2))</f>
        <v/>
      </c>
    </row>
    <row r="10" spans="2:71" x14ac:dyDescent="0.3">
      <c r="B10" t="s">
        <v>45</v>
      </c>
      <c r="C10" s="14">
        <f t="shared" si="1"/>
        <v>10</v>
      </c>
      <c r="D10" t="s">
        <v>19</v>
      </c>
      <c r="E10" s="15">
        <v>994</v>
      </c>
      <c r="F10" t="s">
        <v>46</v>
      </c>
      <c r="G10" t="s">
        <v>47</v>
      </c>
      <c r="H10" s="16" t="s">
        <v>45</v>
      </c>
      <c r="I10" s="17" t="s">
        <v>22</v>
      </c>
      <c r="J10" s="1" t="s">
        <v>28</v>
      </c>
      <c r="K10" s="18" t="s">
        <v>24</v>
      </c>
      <c r="L10" s="18"/>
      <c r="M10" s="19">
        <v>0.25</v>
      </c>
      <c r="N10"/>
      <c r="O10" s="20"/>
      <c r="P10" s="21"/>
      <c r="Q10" s="22">
        <f>IF(_xlfn.MINIFS('Detalhe Por UC'!R:R,'Detalhe Por UC'!C:C,B10,'Detalhe Por UC'!AD:AD,"&gt;"&amp;0)=0,"",_xlfn.MINIFS('Detalhe Por UC'!R:R,'Detalhe Por UC'!C:C,B10,'Detalhe Por UC'!AD:AD,"&gt;"&amp;0))</f>
        <v>45627</v>
      </c>
      <c r="R10" s="23">
        <f>IF(P10&lt;&gt;"ATIVO",0,
IF(OR(Q10="",Q10=0,O10=0),O10,
O10-ROUND((MAX('Detalhe Por UC'!R:R)
-Q10)/(365/12),0)))</f>
        <v>0</v>
      </c>
      <c r="T10" s="5">
        <v>362.41666666666669</v>
      </c>
      <c r="U10" s="24">
        <f t="shared" si="0"/>
        <v>321.16666666666669</v>
      </c>
      <c r="W10" s="25">
        <v>393</v>
      </c>
      <c r="X10" s="25">
        <v>453</v>
      </c>
      <c r="Y10" s="25">
        <v>419</v>
      </c>
      <c r="Z10" s="25">
        <v>472</v>
      </c>
      <c r="AA10" s="25">
        <v>554</v>
      </c>
      <c r="AB10" s="25">
        <v>456</v>
      </c>
      <c r="AC10" s="25">
        <v>201</v>
      </c>
      <c r="AD10" s="26">
        <v>168</v>
      </c>
      <c r="AE10" s="25">
        <v>172</v>
      </c>
      <c r="AF10" s="25">
        <v>305</v>
      </c>
      <c r="AG10" s="25">
        <v>370</v>
      </c>
      <c r="AH10" s="25">
        <v>345</v>
      </c>
      <c r="AI10" s="25">
        <v>491</v>
      </c>
      <c r="AJ10" s="27">
        <f>IF(SUMIFS('Detalhe Por UC'!$AB:$AB,'Detalhe Por UC'!$C:$C,'Infos Clientes'!$B10,'Detalhe Por UC'!$R:$R,'Infos Clientes'!AJ$2)=0,"",
SUMIFS('Detalhe Por UC'!$AB:$AB,'Detalhe Por UC'!$C:$C,'Infos Clientes'!$B10,'Detalhe Por UC'!$R:$R,'Infos Clientes'!AJ$2)
+SUMIFS('Detalhe Por UC'!$AC:$AC,'Detalhe Por UC'!$C:$C,'Infos Clientes'!$B10,'Detalhe Por UC'!$R:$R,'Infos Clientes'!AJ$2))</f>
        <v>396</v>
      </c>
      <c r="AK10" s="27">
        <f>IF(SUMIFS('Detalhe Por UC'!$AB:$AB,'Detalhe Por UC'!$C:$C,'Infos Clientes'!$B10,'Detalhe Por UC'!$R:$R,'Infos Clientes'!AK$2)=0,"",
SUMIFS('Detalhe Por UC'!$AB:$AB,'Detalhe Por UC'!$C:$C,'Infos Clientes'!$B10,'Detalhe Por UC'!$R:$R,'Infos Clientes'!AK$2)
+SUMIFS('Detalhe Por UC'!$AC:$AC,'Detalhe Por UC'!$C:$C,'Infos Clientes'!$B10,'Detalhe Por UC'!$R:$R,'Infos Clientes'!AK$2))</f>
        <v>490</v>
      </c>
      <c r="AL10" s="27">
        <f>IF(SUMIFS('Detalhe Por UC'!$AB:$AB,'Detalhe Por UC'!$C:$C,'Infos Clientes'!$B10,'Detalhe Por UC'!$R:$R,'Infos Clientes'!AL$2)=0,"",
SUMIFS('Detalhe Por UC'!$AB:$AB,'Detalhe Por UC'!$C:$C,'Infos Clientes'!$B10,'Detalhe Por UC'!$R:$R,'Infos Clientes'!AL$2)
+SUMIFS('Detalhe Por UC'!$AC:$AC,'Detalhe Por UC'!$C:$C,'Infos Clientes'!$B10,'Detalhe Por UC'!$R:$R,'Infos Clientes'!AL$2))</f>
        <v>489</v>
      </c>
      <c r="AM10" s="27">
        <f>IF(SUMIFS('Detalhe Por UC'!$AB:$AB,'Detalhe Por UC'!$C:$C,'Infos Clientes'!$B10,'Detalhe Por UC'!$R:$R,'Infos Clientes'!AM$2)=0,"",
SUMIFS('Detalhe Por UC'!$AB:$AB,'Detalhe Por UC'!$C:$C,'Infos Clientes'!$B10,'Detalhe Por UC'!$R:$R,'Infos Clientes'!AM$2)
+SUMIFS('Detalhe Por UC'!$AC:$AC,'Detalhe Por UC'!$C:$C,'Infos Clientes'!$B10,'Detalhe Por UC'!$R:$R,'Infos Clientes'!AM$2))</f>
        <v>312</v>
      </c>
      <c r="AN10" s="27">
        <f>IF(SUMIFS('Detalhe Por UC'!$AB:$AB,'Detalhe Por UC'!$C:$C,'Infos Clientes'!$B10,'Detalhe Por UC'!$R:$R,'Infos Clientes'!AN$2)=0,"",
SUMIFS('Detalhe Por UC'!$AB:$AB,'Detalhe Por UC'!$C:$C,'Infos Clientes'!$B10,'Detalhe Por UC'!$R:$R,'Infos Clientes'!AN$2)
+SUMIFS('Detalhe Por UC'!$AC:$AC,'Detalhe Por UC'!$C:$C,'Infos Clientes'!$B10,'Detalhe Por UC'!$R:$R,'Infos Clientes'!AN$2))</f>
        <v>276</v>
      </c>
      <c r="AO10" s="27">
        <f>IF(SUMIFS('Detalhe Por UC'!$AB:$AB,'Detalhe Por UC'!$C:$C,'Infos Clientes'!$B10,'Detalhe Por UC'!$R:$R,'Infos Clientes'!AO$2)=0,"",
SUMIFS('Detalhe Por UC'!$AB:$AB,'Detalhe Por UC'!$C:$C,'Infos Clientes'!$B10,'Detalhe Por UC'!$R:$R,'Infos Clientes'!AO$2)
+SUMIFS('Detalhe Por UC'!$AC:$AC,'Detalhe Por UC'!$C:$C,'Infos Clientes'!$B10,'Detalhe Por UC'!$R:$R,'Infos Clientes'!AO$2))</f>
        <v>189</v>
      </c>
      <c r="AP10" s="27">
        <f>IF(SUMIFS('Detalhe Por UC'!$AB:$AB,'Detalhe Por UC'!$C:$C,'Infos Clientes'!$B10,'Detalhe Por UC'!$R:$R,'Infos Clientes'!AP$2)=0,"",
SUMIFS('Detalhe Por UC'!$AB:$AB,'Detalhe Por UC'!$C:$C,'Infos Clientes'!$B10,'Detalhe Por UC'!$R:$R,'Infos Clientes'!AP$2)
+SUMIFS('Detalhe Por UC'!$AC:$AC,'Detalhe Por UC'!$C:$C,'Infos Clientes'!$B10,'Detalhe Por UC'!$R:$R,'Infos Clientes'!AP$2))</f>
        <v>154</v>
      </c>
      <c r="AQ10" s="27">
        <f>IF(SUMIFS('Detalhe Por UC'!$AB:$AB,'Detalhe Por UC'!$C:$C,'Infos Clientes'!$B10,'Detalhe Por UC'!$R:$R,'Infos Clientes'!AQ$2)=0,"",
SUMIFS('Detalhe Por UC'!$AB:$AB,'Detalhe Por UC'!$C:$C,'Infos Clientes'!$B10,'Detalhe Por UC'!$R:$R,'Infos Clientes'!AQ$2)
+SUMIFS('Detalhe Por UC'!$AC:$AC,'Detalhe Por UC'!$C:$C,'Infos Clientes'!$B10,'Detalhe Por UC'!$R:$R,'Infos Clientes'!AQ$2))</f>
        <v>200</v>
      </c>
      <c r="AR10" s="27">
        <f>IF(SUMIFS('Detalhe Por UC'!$AB:$AB,'Detalhe Por UC'!$C:$C,'Infos Clientes'!$B10,'Detalhe Por UC'!$R:$R,'Infos Clientes'!AR$2)=0,"",
SUMIFS('Detalhe Por UC'!$AB:$AB,'Detalhe Por UC'!$C:$C,'Infos Clientes'!$B10,'Detalhe Por UC'!$R:$R,'Infos Clientes'!AR$2)
+SUMIFS('Detalhe Por UC'!$AC:$AC,'Detalhe Por UC'!$C:$C,'Infos Clientes'!$B10,'Detalhe Por UC'!$R:$R,'Infos Clientes'!AR$2))</f>
        <v>215</v>
      </c>
      <c r="AS10" s="27">
        <f>IF(SUMIFS('Detalhe Por UC'!$AB:$AB,'Detalhe Por UC'!$C:$C,'Infos Clientes'!$B10,'Detalhe Por UC'!$R:$R,'Infos Clientes'!AS$2)=0,"",
SUMIFS('Detalhe Por UC'!$AB:$AB,'Detalhe Por UC'!$C:$C,'Infos Clientes'!$B10,'Detalhe Por UC'!$R:$R,'Infos Clientes'!AS$2)
+SUMIFS('Detalhe Por UC'!$AC:$AC,'Detalhe Por UC'!$C:$C,'Infos Clientes'!$B10,'Detalhe Por UC'!$R:$R,'Infos Clientes'!AS$2))</f>
        <v>340</v>
      </c>
      <c r="AT10" s="27">
        <f>IF(SUMIFS('Detalhe Por UC'!$AB:$AB,'Detalhe Por UC'!$C:$C,'Infos Clientes'!$B10,'Detalhe Por UC'!$R:$R,'Infos Clientes'!AT$2)=0,"",
SUMIFS('Detalhe Por UC'!$AB:$AB,'Detalhe Por UC'!$C:$C,'Infos Clientes'!$B10,'Detalhe Por UC'!$R:$R,'Infos Clientes'!AT$2)
+SUMIFS('Detalhe Por UC'!$AC:$AC,'Detalhe Por UC'!$C:$C,'Infos Clientes'!$B10,'Detalhe Por UC'!$R:$R,'Infos Clientes'!AT$2))</f>
        <v>302</v>
      </c>
      <c r="AU10" s="27" t="str">
        <f>IF(SUMIFS('Detalhe Por UC'!$AB:$AB,'Detalhe Por UC'!$C:$C,'Infos Clientes'!$B10,'Detalhe Por UC'!$R:$R,'Infos Clientes'!AU$2)=0,"",
SUMIFS('Detalhe Por UC'!$AB:$AB,'Detalhe Por UC'!$C:$C,'Infos Clientes'!$B10,'Detalhe Por UC'!$R:$R,'Infos Clientes'!AU$2)
+SUMIFS('Detalhe Por UC'!$AC:$AC,'Detalhe Por UC'!$C:$C,'Infos Clientes'!$B10,'Detalhe Por UC'!$R:$R,'Infos Clientes'!AU$2))</f>
        <v/>
      </c>
    </row>
    <row r="11" spans="2:71" x14ac:dyDescent="0.3">
      <c r="B11" t="s">
        <v>48</v>
      </c>
      <c r="C11" s="14">
        <f t="shared" si="1"/>
        <v>11</v>
      </c>
      <c r="D11" t="s">
        <v>19</v>
      </c>
      <c r="E11" s="15">
        <v>306</v>
      </c>
      <c r="F11" t="s">
        <v>49</v>
      </c>
      <c r="G11" t="s">
        <v>50</v>
      </c>
      <c r="H11" s="16" t="s">
        <v>48</v>
      </c>
      <c r="I11" s="17" t="s">
        <v>22</v>
      </c>
      <c r="J11" s="1" t="s">
        <v>28</v>
      </c>
      <c r="K11" s="18" t="s">
        <v>24</v>
      </c>
      <c r="L11" s="18"/>
      <c r="M11" s="19">
        <v>0.25</v>
      </c>
      <c r="N11"/>
      <c r="O11" s="20"/>
      <c r="P11" s="21"/>
      <c r="Q11" s="22">
        <f>IF(_xlfn.MINIFS('Detalhe Por UC'!R:R,'Detalhe Por UC'!C:C,B11,'Detalhe Por UC'!AD:AD,"&gt;"&amp;0)=0,"",_xlfn.MINIFS('Detalhe Por UC'!R:R,'Detalhe Por UC'!C:C,B11,'Detalhe Por UC'!AD:AD,"&gt;"&amp;0))</f>
        <v>45658</v>
      </c>
      <c r="R11" s="23">
        <f>IF(P11&lt;&gt;"ATIVO",0,
IF(OR(Q11="",Q11=0,O11=0),O11,
O11-ROUND((MAX('Detalhe Por UC'!R:R)
-Q11)/(365/12),0)))</f>
        <v>0</v>
      </c>
      <c r="T11" s="5">
        <v>286.5</v>
      </c>
      <c r="U11" s="24">
        <f t="shared" si="0"/>
        <v>494.83333333333331</v>
      </c>
      <c r="W11" s="25">
        <v>0</v>
      </c>
      <c r="X11" s="25">
        <v>0</v>
      </c>
      <c r="Y11" s="25">
        <v>0</v>
      </c>
      <c r="Z11" s="25">
        <v>132</v>
      </c>
      <c r="AA11" s="25">
        <v>131</v>
      </c>
      <c r="AB11" s="25">
        <v>160</v>
      </c>
      <c r="AC11" s="25">
        <v>136</v>
      </c>
      <c r="AD11" s="26">
        <v>88</v>
      </c>
      <c r="AE11" s="25">
        <v>221</v>
      </c>
      <c r="AF11" s="25">
        <v>390</v>
      </c>
      <c r="AG11" s="25">
        <v>551</v>
      </c>
      <c r="AH11" s="25">
        <v>533</v>
      </c>
      <c r="AI11" s="25">
        <v>601</v>
      </c>
      <c r="AJ11" s="27">
        <f>IF(SUMIFS('Detalhe Por UC'!$AB:$AB,'Detalhe Por UC'!$C:$C,'Infos Clientes'!$B11,'Detalhe Por UC'!$R:$R,'Infos Clientes'!AJ$2)=0,"",
SUMIFS('Detalhe Por UC'!$AB:$AB,'Detalhe Por UC'!$C:$C,'Infos Clientes'!$B11,'Detalhe Por UC'!$R:$R,'Infos Clientes'!AJ$2)
+SUMIFS('Detalhe Por UC'!$AC:$AC,'Detalhe Por UC'!$C:$C,'Infos Clientes'!$B11,'Detalhe Por UC'!$R:$R,'Infos Clientes'!AJ$2))</f>
        <v>495</v>
      </c>
      <c r="AK11" s="27">
        <f>IF(SUMIFS('Detalhe Por UC'!$AB:$AB,'Detalhe Por UC'!$C:$C,'Infos Clientes'!$B11,'Detalhe Por UC'!$R:$R,'Infos Clientes'!AK$2)=0,"",
SUMIFS('Detalhe Por UC'!$AB:$AB,'Detalhe Por UC'!$C:$C,'Infos Clientes'!$B11,'Detalhe Por UC'!$R:$R,'Infos Clientes'!AK$2)
+SUMIFS('Detalhe Por UC'!$AC:$AC,'Detalhe Por UC'!$C:$C,'Infos Clientes'!$B11,'Detalhe Por UC'!$R:$R,'Infos Clientes'!AK$2))</f>
        <v>479</v>
      </c>
      <c r="AL11" s="27">
        <f>IF(SUMIFS('Detalhe Por UC'!$AB:$AB,'Detalhe Por UC'!$C:$C,'Infos Clientes'!$B11,'Detalhe Por UC'!$R:$R,'Infos Clientes'!AL$2)=0,"",
SUMIFS('Detalhe Por UC'!$AB:$AB,'Detalhe Por UC'!$C:$C,'Infos Clientes'!$B11,'Detalhe Por UC'!$R:$R,'Infos Clientes'!AL$2)
+SUMIFS('Detalhe Por UC'!$AC:$AC,'Detalhe Por UC'!$C:$C,'Infos Clientes'!$B11,'Detalhe Por UC'!$R:$R,'Infos Clientes'!AL$2))</f>
        <v>713</v>
      </c>
      <c r="AM11" s="27">
        <f>IF(SUMIFS('Detalhe Por UC'!$AB:$AB,'Detalhe Por UC'!$C:$C,'Infos Clientes'!$B11,'Detalhe Por UC'!$R:$R,'Infos Clientes'!AM$2)=0,"",
SUMIFS('Detalhe Por UC'!$AB:$AB,'Detalhe Por UC'!$C:$C,'Infos Clientes'!$B11,'Detalhe Por UC'!$R:$R,'Infos Clientes'!AM$2)
+SUMIFS('Detalhe Por UC'!$AC:$AC,'Detalhe Por UC'!$C:$C,'Infos Clientes'!$B11,'Detalhe Por UC'!$R:$R,'Infos Clientes'!AM$2))</f>
        <v>385</v>
      </c>
      <c r="AN11" s="27">
        <f>IF(SUMIFS('Detalhe Por UC'!$AB:$AB,'Detalhe Por UC'!$C:$C,'Infos Clientes'!$B11,'Detalhe Por UC'!$R:$R,'Infos Clientes'!AN$2)=0,"",
SUMIFS('Detalhe Por UC'!$AB:$AB,'Detalhe Por UC'!$C:$C,'Infos Clientes'!$B11,'Detalhe Por UC'!$R:$R,'Infos Clientes'!AN$2)
+SUMIFS('Detalhe Por UC'!$AC:$AC,'Detalhe Por UC'!$C:$C,'Infos Clientes'!$B11,'Detalhe Por UC'!$R:$R,'Infos Clientes'!AN$2))</f>
        <v>484</v>
      </c>
      <c r="AO11" s="27">
        <f>IF(SUMIFS('Detalhe Por UC'!$AB:$AB,'Detalhe Por UC'!$C:$C,'Infos Clientes'!$B11,'Detalhe Por UC'!$R:$R,'Infos Clientes'!AO$2)=0,"",
SUMIFS('Detalhe Por UC'!$AB:$AB,'Detalhe Por UC'!$C:$C,'Infos Clientes'!$B11,'Detalhe Por UC'!$R:$R,'Infos Clientes'!AO$2)
+SUMIFS('Detalhe Por UC'!$AC:$AC,'Detalhe Por UC'!$C:$C,'Infos Clientes'!$B11,'Detalhe Por UC'!$R:$R,'Infos Clientes'!AO$2))</f>
        <v>592</v>
      </c>
      <c r="AP11" s="27">
        <f>IF(SUMIFS('Detalhe Por UC'!$AB:$AB,'Detalhe Por UC'!$C:$C,'Infos Clientes'!$B11,'Detalhe Por UC'!$R:$R,'Infos Clientes'!AP$2)=0,"",
SUMIFS('Detalhe Por UC'!$AB:$AB,'Detalhe Por UC'!$C:$C,'Infos Clientes'!$B11,'Detalhe Por UC'!$R:$R,'Infos Clientes'!AP$2)
+SUMIFS('Detalhe Por UC'!$AC:$AC,'Detalhe Por UC'!$C:$C,'Infos Clientes'!$B11,'Detalhe Por UC'!$R:$R,'Infos Clientes'!AP$2))</f>
        <v>299</v>
      </c>
      <c r="AQ11" s="27">
        <f>IF(SUMIFS('Detalhe Por UC'!$AB:$AB,'Detalhe Por UC'!$C:$C,'Infos Clientes'!$B11,'Detalhe Por UC'!$R:$R,'Infos Clientes'!AQ$2)=0,"",
SUMIFS('Detalhe Por UC'!$AB:$AB,'Detalhe Por UC'!$C:$C,'Infos Clientes'!$B11,'Detalhe Por UC'!$R:$R,'Infos Clientes'!AQ$2)
+SUMIFS('Detalhe Por UC'!$AC:$AC,'Detalhe Por UC'!$C:$C,'Infos Clientes'!$B11,'Detalhe Por UC'!$R:$R,'Infos Clientes'!AQ$2))</f>
        <v>491</v>
      </c>
      <c r="AR11" s="27">
        <f>IF(SUMIFS('Detalhe Por UC'!$AB:$AB,'Detalhe Por UC'!$C:$C,'Infos Clientes'!$B11,'Detalhe Por UC'!$R:$R,'Infos Clientes'!AR$2)=0,"",
SUMIFS('Detalhe Por UC'!$AB:$AB,'Detalhe Por UC'!$C:$C,'Infos Clientes'!$B11,'Detalhe Por UC'!$R:$R,'Infos Clientes'!AR$2)
+SUMIFS('Detalhe Por UC'!$AC:$AC,'Detalhe Por UC'!$C:$C,'Infos Clientes'!$B11,'Detalhe Por UC'!$R:$R,'Infos Clientes'!AR$2))</f>
        <v>468</v>
      </c>
      <c r="AS11" s="27">
        <f>IF(SUMIFS('Detalhe Por UC'!$AB:$AB,'Detalhe Por UC'!$C:$C,'Infos Clientes'!$B11,'Detalhe Por UC'!$R:$R,'Infos Clientes'!AS$2)=0,"",
SUMIFS('Detalhe Por UC'!$AB:$AB,'Detalhe Por UC'!$C:$C,'Infos Clientes'!$B11,'Detalhe Por UC'!$R:$R,'Infos Clientes'!AS$2)
+SUMIFS('Detalhe Por UC'!$AC:$AC,'Detalhe Por UC'!$C:$C,'Infos Clientes'!$B11,'Detalhe Por UC'!$R:$R,'Infos Clientes'!AS$2))</f>
        <v>444</v>
      </c>
      <c r="AT11" s="27">
        <f>IF(SUMIFS('Detalhe Por UC'!$AB:$AB,'Detalhe Por UC'!$C:$C,'Infos Clientes'!$B11,'Detalhe Por UC'!$R:$R,'Infos Clientes'!AT$2)=0,"",
SUMIFS('Detalhe Por UC'!$AB:$AB,'Detalhe Por UC'!$C:$C,'Infos Clientes'!$B11,'Detalhe Por UC'!$R:$R,'Infos Clientes'!AT$2)
+SUMIFS('Detalhe Por UC'!$AC:$AC,'Detalhe Por UC'!$C:$C,'Infos Clientes'!$B11,'Detalhe Por UC'!$R:$R,'Infos Clientes'!AT$2))</f>
        <v>487</v>
      </c>
      <c r="AU11" s="27" t="str">
        <f>IF(SUMIFS('Detalhe Por UC'!$AB:$AB,'Detalhe Por UC'!$C:$C,'Infos Clientes'!$B11,'Detalhe Por UC'!$R:$R,'Infos Clientes'!AU$2)=0,"",
SUMIFS('Detalhe Por UC'!$AB:$AB,'Detalhe Por UC'!$C:$C,'Infos Clientes'!$B11,'Detalhe Por UC'!$R:$R,'Infos Clientes'!AU$2)
+SUMIFS('Detalhe Por UC'!$AC:$AC,'Detalhe Por UC'!$C:$C,'Infos Clientes'!$B11,'Detalhe Por UC'!$R:$R,'Infos Clientes'!AU$2))</f>
        <v/>
      </c>
    </row>
    <row r="12" spans="2:71" x14ac:dyDescent="0.3">
      <c r="B12" t="s">
        <v>51</v>
      </c>
      <c r="C12" s="14">
        <f t="shared" si="1"/>
        <v>12</v>
      </c>
      <c r="D12" t="s">
        <v>19</v>
      </c>
      <c r="E12" s="15">
        <v>360</v>
      </c>
      <c r="F12" t="s">
        <v>52</v>
      </c>
      <c r="G12" t="s">
        <v>53</v>
      </c>
      <c r="H12" s="16" t="s">
        <v>51</v>
      </c>
      <c r="I12" s="17" t="s">
        <v>22</v>
      </c>
      <c r="J12" s="1" t="s">
        <v>28</v>
      </c>
      <c r="K12" s="18" t="s">
        <v>24</v>
      </c>
      <c r="L12" s="18"/>
      <c r="M12" s="19">
        <v>0.25</v>
      </c>
      <c r="N12"/>
      <c r="O12" s="20"/>
      <c r="P12" s="21"/>
      <c r="Q12" s="22">
        <f>IF(_xlfn.MINIFS('Detalhe Por UC'!R:R,'Detalhe Por UC'!C:C,B12,'Detalhe Por UC'!AD:AD,"&gt;"&amp;0)=0,"",_xlfn.MINIFS('Detalhe Por UC'!R:R,'Detalhe Por UC'!C:C,B12,'Detalhe Por UC'!AD:AD,"&gt;"&amp;0))</f>
        <v>45627</v>
      </c>
      <c r="R12" s="23">
        <f>IF(P12&lt;&gt;"ATIVO",0,
IF(OR(Q12="",Q12=0,O12=0),O12,
O12-ROUND((MAX('Detalhe Por UC'!R:R)
-Q12)/(365/12),0)))</f>
        <v>0</v>
      </c>
      <c r="T12" s="5">
        <v>185.66666666666666</v>
      </c>
      <c r="U12" s="24">
        <f t="shared" si="0"/>
        <v>299.39999999999998</v>
      </c>
      <c r="W12" s="25">
        <v>166</v>
      </c>
      <c r="X12" s="25">
        <v>295</v>
      </c>
      <c r="Y12" s="25">
        <v>180</v>
      </c>
      <c r="Z12" s="25">
        <v>195</v>
      </c>
      <c r="AA12" s="25">
        <v>251</v>
      </c>
      <c r="AB12" s="25">
        <v>157</v>
      </c>
      <c r="AC12" s="25">
        <v>114</v>
      </c>
      <c r="AD12" s="26">
        <v>89</v>
      </c>
      <c r="AE12" s="25">
        <v>97</v>
      </c>
      <c r="AF12" s="25">
        <v>139</v>
      </c>
      <c r="AG12" s="25">
        <v>255</v>
      </c>
      <c r="AH12" s="25">
        <v>184</v>
      </c>
      <c r="AI12" s="25">
        <v>235</v>
      </c>
      <c r="AJ12" s="27">
        <f>IF(SUMIFS('Detalhe Por UC'!$AB:$AB,'Detalhe Por UC'!$C:$C,'Infos Clientes'!$B12,'Detalhe Por UC'!$R:$R,'Infos Clientes'!AJ$2)=0,"",
SUMIFS('Detalhe Por UC'!$AB:$AB,'Detalhe Por UC'!$C:$C,'Infos Clientes'!$B12,'Detalhe Por UC'!$R:$R,'Infos Clientes'!AJ$2)
+SUMIFS('Detalhe Por UC'!$AC:$AC,'Detalhe Por UC'!$C:$C,'Infos Clientes'!$B12,'Detalhe Por UC'!$R:$R,'Infos Clientes'!AJ$2))</f>
        <v>332</v>
      </c>
      <c r="AK12" s="27">
        <f>IF(SUMIFS('Detalhe Por UC'!$AB:$AB,'Detalhe Por UC'!$C:$C,'Infos Clientes'!$B12,'Detalhe Por UC'!$R:$R,'Infos Clientes'!AK$2)=0,"",
SUMIFS('Detalhe Por UC'!$AB:$AB,'Detalhe Por UC'!$C:$C,'Infos Clientes'!$B12,'Detalhe Por UC'!$R:$R,'Infos Clientes'!AK$2)
+SUMIFS('Detalhe Por UC'!$AC:$AC,'Detalhe Por UC'!$C:$C,'Infos Clientes'!$B12,'Detalhe Por UC'!$R:$R,'Infos Clientes'!AK$2))</f>
        <v>472</v>
      </c>
      <c r="AL12" s="27">
        <f>IF(SUMIFS('Detalhe Por UC'!$AB:$AB,'Detalhe Por UC'!$C:$C,'Infos Clientes'!$B12,'Detalhe Por UC'!$R:$R,'Infos Clientes'!AL$2)=0,"",
SUMIFS('Detalhe Por UC'!$AB:$AB,'Detalhe Por UC'!$C:$C,'Infos Clientes'!$B12,'Detalhe Por UC'!$R:$R,'Infos Clientes'!AL$2)
+SUMIFS('Detalhe Por UC'!$AC:$AC,'Detalhe Por UC'!$C:$C,'Infos Clientes'!$B12,'Detalhe Por UC'!$R:$R,'Infos Clientes'!AL$2))</f>
        <v>477</v>
      </c>
      <c r="AM12" s="27">
        <f>IF(SUMIFS('Detalhe Por UC'!$AB:$AB,'Detalhe Por UC'!$C:$C,'Infos Clientes'!$B12,'Detalhe Por UC'!$R:$R,'Infos Clientes'!AM$2)=0,"",
SUMIFS('Detalhe Por UC'!$AB:$AB,'Detalhe Por UC'!$C:$C,'Infos Clientes'!$B12,'Detalhe Por UC'!$R:$R,'Infos Clientes'!AM$2)
+SUMIFS('Detalhe Por UC'!$AC:$AC,'Detalhe Por UC'!$C:$C,'Infos Clientes'!$B12,'Detalhe Por UC'!$R:$R,'Infos Clientes'!AM$2))</f>
        <v>343</v>
      </c>
      <c r="AN12" s="27">
        <f>IF(SUMIFS('Detalhe Por UC'!$AB:$AB,'Detalhe Por UC'!$C:$C,'Infos Clientes'!$B12,'Detalhe Por UC'!$R:$R,'Infos Clientes'!AN$2)=0,"",
SUMIFS('Detalhe Por UC'!$AB:$AB,'Detalhe Por UC'!$C:$C,'Infos Clientes'!$B12,'Detalhe Por UC'!$R:$R,'Infos Clientes'!AN$2)
+SUMIFS('Detalhe Por UC'!$AC:$AC,'Detalhe Por UC'!$C:$C,'Infos Clientes'!$B12,'Detalhe Por UC'!$R:$R,'Infos Clientes'!AN$2))</f>
        <v>314</v>
      </c>
      <c r="AO12" s="27">
        <f>IF(SUMIFS('Detalhe Por UC'!$AB:$AB,'Detalhe Por UC'!$C:$C,'Infos Clientes'!$B12,'Detalhe Por UC'!$R:$R,'Infos Clientes'!AO$2)=0,"",
SUMIFS('Detalhe Por UC'!$AB:$AB,'Detalhe Por UC'!$C:$C,'Infos Clientes'!$B12,'Detalhe Por UC'!$R:$R,'Infos Clientes'!AO$2)
+SUMIFS('Detalhe Por UC'!$AC:$AC,'Detalhe Por UC'!$C:$C,'Infos Clientes'!$B12,'Detalhe Por UC'!$R:$R,'Infos Clientes'!AO$2))</f>
        <v>148</v>
      </c>
      <c r="AP12" s="27" t="str">
        <f>IF(SUMIFS('Detalhe Por UC'!$AB:$AB,'Detalhe Por UC'!$C:$C,'Infos Clientes'!$B12,'Detalhe Por UC'!$R:$R,'Infos Clientes'!AP$2)=0,"",
SUMIFS('Detalhe Por UC'!$AB:$AB,'Detalhe Por UC'!$C:$C,'Infos Clientes'!$B12,'Detalhe Por UC'!$R:$R,'Infos Clientes'!AP$2)
+SUMIFS('Detalhe Por UC'!$AC:$AC,'Detalhe Por UC'!$C:$C,'Infos Clientes'!$B12,'Detalhe Por UC'!$R:$R,'Infos Clientes'!AP$2))</f>
        <v/>
      </c>
      <c r="AQ12" s="27" t="str">
        <f>IF(SUMIFS('Detalhe Por UC'!$AB:$AB,'Detalhe Por UC'!$C:$C,'Infos Clientes'!$B12,'Detalhe Por UC'!$R:$R,'Infos Clientes'!AQ$2)=0,"",
SUMIFS('Detalhe Por UC'!$AB:$AB,'Detalhe Por UC'!$C:$C,'Infos Clientes'!$B12,'Detalhe Por UC'!$R:$R,'Infos Clientes'!AQ$2)
+SUMIFS('Detalhe Por UC'!$AC:$AC,'Detalhe Por UC'!$C:$C,'Infos Clientes'!$B12,'Detalhe Por UC'!$R:$R,'Infos Clientes'!AQ$2))</f>
        <v/>
      </c>
      <c r="AR12" s="27">
        <f>IF(SUMIFS('Detalhe Por UC'!$AB:$AB,'Detalhe Por UC'!$C:$C,'Infos Clientes'!$B12,'Detalhe Por UC'!$R:$R,'Infos Clientes'!AR$2)=0,"",
SUMIFS('Detalhe Por UC'!$AB:$AB,'Detalhe Por UC'!$C:$C,'Infos Clientes'!$B12,'Detalhe Por UC'!$R:$R,'Infos Clientes'!AR$2)
+SUMIFS('Detalhe Por UC'!$AC:$AC,'Detalhe Por UC'!$C:$C,'Infos Clientes'!$B12,'Detalhe Por UC'!$R:$R,'Infos Clientes'!AR$2))</f>
        <v>171</v>
      </c>
      <c r="AS12" s="27">
        <f>IF(SUMIFS('Detalhe Por UC'!$AB:$AB,'Detalhe Por UC'!$C:$C,'Infos Clientes'!$B12,'Detalhe Por UC'!$R:$R,'Infos Clientes'!AS$2)=0,"",
SUMIFS('Detalhe Por UC'!$AB:$AB,'Detalhe Por UC'!$C:$C,'Infos Clientes'!$B12,'Detalhe Por UC'!$R:$R,'Infos Clientes'!AS$2)
+SUMIFS('Detalhe Por UC'!$AC:$AC,'Detalhe Por UC'!$C:$C,'Infos Clientes'!$B12,'Detalhe Por UC'!$R:$R,'Infos Clientes'!AS$2))</f>
        <v>270</v>
      </c>
      <c r="AT12" s="27">
        <f>IF(SUMIFS('Detalhe Por UC'!$AB:$AB,'Detalhe Por UC'!$C:$C,'Infos Clientes'!$B12,'Detalhe Por UC'!$R:$R,'Infos Clientes'!AT$2)=0,"",
SUMIFS('Detalhe Por UC'!$AB:$AB,'Detalhe Por UC'!$C:$C,'Infos Clientes'!$B12,'Detalhe Por UC'!$R:$R,'Infos Clientes'!AT$2)
+SUMIFS('Detalhe Por UC'!$AC:$AC,'Detalhe Por UC'!$C:$C,'Infos Clientes'!$B12,'Detalhe Por UC'!$R:$R,'Infos Clientes'!AT$2))</f>
        <v>232</v>
      </c>
      <c r="AU12" s="27" t="str">
        <f>IF(SUMIFS('Detalhe Por UC'!$AB:$AB,'Detalhe Por UC'!$C:$C,'Infos Clientes'!$B12,'Detalhe Por UC'!$R:$R,'Infos Clientes'!AU$2)=0,"",
SUMIFS('Detalhe Por UC'!$AB:$AB,'Detalhe Por UC'!$C:$C,'Infos Clientes'!$B12,'Detalhe Por UC'!$R:$R,'Infos Clientes'!AU$2)
+SUMIFS('Detalhe Por UC'!$AC:$AC,'Detalhe Por UC'!$C:$C,'Infos Clientes'!$B12,'Detalhe Por UC'!$R:$R,'Infos Clientes'!AU$2))</f>
        <v/>
      </c>
    </row>
    <row r="13" spans="2:71" x14ac:dyDescent="0.3">
      <c r="B13" t="s">
        <v>54</v>
      </c>
      <c r="C13" s="14">
        <f t="shared" si="1"/>
        <v>13</v>
      </c>
      <c r="D13" t="s">
        <v>19</v>
      </c>
      <c r="E13" s="15">
        <v>371</v>
      </c>
      <c r="F13" t="s">
        <v>55</v>
      </c>
      <c r="G13" t="s">
        <v>56</v>
      </c>
      <c r="H13" s="16" t="s">
        <v>54</v>
      </c>
      <c r="I13" s="17" t="s">
        <v>22</v>
      </c>
      <c r="J13" s="1" t="s">
        <v>28</v>
      </c>
      <c r="K13" s="18" t="s">
        <v>24</v>
      </c>
      <c r="L13" s="18"/>
      <c r="M13" s="19">
        <v>0.25</v>
      </c>
      <c r="N13"/>
      <c r="O13" s="20"/>
      <c r="P13" s="21"/>
      <c r="Q13" s="22">
        <f>IF(_xlfn.MINIFS('Detalhe Por UC'!R:R,'Detalhe Por UC'!C:C,B13,'Detalhe Por UC'!AD:AD,"&gt;"&amp;0)=0,"",_xlfn.MINIFS('Detalhe Por UC'!R:R,'Detalhe Por UC'!C:C,B13,'Detalhe Por UC'!AD:AD,"&gt;"&amp;0))</f>
        <v>45627</v>
      </c>
      <c r="R13" s="23">
        <f>IF(P13&lt;&gt;"ATIVO",0,
IF(OR(Q13="",Q13=0,O13=0),O13,
O13-ROUND((MAX('Detalhe Por UC'!R:R)
-Q13)/(365/12),0)))</f>
        <v>0</v>
      </c>
      <c r="T13" s="5">
        <v>418.16666666666669</v>
      </c>
      <c r="U13" s="24">
        <f t="shared" si="0"/>
        <v>379</v>
      </c>
      <c r="W13" s="25">
        <v>1396</v>
      </c>
      <c r="X13" s="25">
        <v>1383</v>
      </c>
      <c r="Y13" s="25">
        <v>864</v>
      </c>
      <c r="Z13" s="25">
        <v>558</v>
      </c>
      <c r="AA13" s="25">
        <v>592</v>
      </c>
      <c r="AB13" s="25">
        <v>554</v>
      </c>
      <c r="AC13" s="25">
        <v>290</v>
      </c>
      <c r="AD13" s="26">
        <v>251</v>
      </c>
      <c r="AE13" s="25">
        <v>291</v>
      </c>
      <c r="AF13" s="25">
        <v>263</v>
      </c>
      <c r="AG13" s="25">
        <v>358</v>
      </c>
      <c r="AH13" s="25">
        <v>301</v>
      </c>
      <c r="AI13" s="25">
        <v>377</v>
      </c>
      <c r="AJ13" s="27">
        <f>IF(SUMIFS('Detalhe Por UC'!$AB:$AB,'Detalhe Por UC'!$C:$C,'Infos Clientes'!$B13,'Detalhe Por UC'!$R:$R,'Infos Clientes'!AJ$2)=0,"",
SUMIFS('Detalhe Por UC'!$AB:$AB,'Detalhe Por UC'!$C:$C,'Infos Clientes'!$B13,'Detalhe Por UC'!$R:$R,'Infos Clientes'!AJ$2)
+SUMIFS('Detalhe Por UC'!$AC:$AC,'Detalhe Por UC'!$C:$C,'Infos Clientes'!$B13,'Detalhe Por UC'!$R:$R,'Infos Clientes'!AJ$2))</f>
        <v>319</v>
      </c>
      <c r="AK13" s="27">
        <f>IF(SUMIFS('Detalhe Por UC'!$AB:$AB,'Detalhe Por UC'!$C:$C,'Infos Clientes'!$B13,'Detalhe Por UC'!$R:$R,'Infos Clientes'!AK$2)=0,"",
SUMIFS('Detalhe Por UC'!$AB:$AB,'Detalhe Por UC'!$C:$C,'Infos Clientes'!$B13,'Detalhe Por UC'!$R:$R,'Infos Clientes'!AK$2)
+SUMIFS('Detalhe Por UC'!$AC:$AC,'Detalhe Por UC'!$C:$C,'Infos Clientes'!$B13,'Detalhe Por UC'!$R:$R,'Infos Clientes'!AK$2))</f>
        <v>564</v>
      </c>
      <c r="AL13" s="27">
        <f>IF(SUMIFS('Detalhe Por UC'!$AB:$AB,'Detalhe Por UC'!$C:$C,'Infos Clientes'!$B13,'Detalhe Por UC'!$R:$R,'Infos Clientes'!AL$2)=0,"",
SUMIFS('Detalhe Por UC'!$AB:$AB,'Detalhe Por UC'!$C:$C,'Infos Clientes'!$B13,'Detalhe Por UC'!$R:$R,'Infos Clientes'!AL$2)
+SUMIFS('Detalhe Por UC'!$AC:$AC,'Detalhe Por UC'!$C:$C,'Infos Clientes'!$B13,'Detalhe Por UC'!$R:$R,'Infos Clientes'!AL$2))</f>
        <v>476</v>
      </c>
      <c r="AM13" s="27">
        <f>IF(SUMIFS('Detalhe Por UC'!$AB:$AB,'Detalhe Por UC'!$C:$C,'Infos Clientes'!$B13,'Detalhe Por UC'!$R:$R,'Infos Clientes'!AM$2)=0,"",
SUMIFS('Detalhe Por UC'!$AB:$AB,'Detalhe Por UC'!$C:$C,'Infos Clientes'!$B13,'Detalhe Por UC'!$R:$R,'Infos Clientes'!AM$2)
+SUMIFS('Detalhe Por UC'!$AC:$AC,'Detalhe Por UC'!$C:$C,'Infos Clientes'!$B13,'Detalhe Por UC'!$R:$R,'Infos Clientes'!AM$2))</f>
        <v>523</v>
      </c>
      <c r="AN13" s="27">
        <f>IF(SUMIFS('Detalhe Por UC'!$AB:$AB,'Detalhe Por UC'!$C:$C,'Infos Clientes'!$B13,'Detalhe Por UC'!$R:$R,'Infos Clientes'!AN$2)=0,"",
SUMIFS('Detalhe Por UC'!$AB:$AB,'Detalhe Por UC'!$C:$C,'Infos Clientes'!$B13,'Detalhe Por UC'!$R:$R,'Infos Clientes'!AN$2)
+SUMIFS('Detalhe Por UC'!$AC:$AC,'Detalhe Por UC'!$C:$C,'Infos Clientes'!$B13,'Detalhe Por UC'!$R:$R,'Infos Clientes'!AN$2))</f>
        <v>456</v>
      </c>
      <c r="AO13" s="27">
        <f>IF(SUMIFS('Detalhe Por UC'!$AB:$AB,'Detalhe Por UC'!$C:$C,'Infos Clientes'!$B13,'Detalhe Por UC'!$R:$R,'Infos Clientes'!AO$2)=0,"",
SUMIFS('Detalhe Por UC'!$AB:$AB,'Detalhe Por UC'!$C:$C,'Infos Clientes'!$B13,'Detalhe Por UC'!$R:$R,'Infos Clientes'!AO$2)
+SUMIFS('Detalhe Por UC'!$AC:$AC,'Detalhe Por UC'!$C:$C,'Infos Clientes'!$B13,'Detalhe Por UC'!$R:$R,'Infos Clientes'!AO$2))</f>
        <v>283</v>
      </c>
      <c r="AP13" s="27">
        <f>IF(SUMIFS('Detalhe Por UC'!$AB:$AB,'Detalhe Por UC'!$C:$C,'Infos Clientes'!$B13,'Detalhe Por UC'!$R:$R,'Infos Clientes'!AP$2)=0,"",
SUMIFS('Detalhe Por UC'!$AB:$AB,'Detalhe Por UC'!$C:$C,'Infos Clientes'!$B13,'Detalhe Por UC'!$R:$R,'Infos Clientes'!AP$2)
+SUMIFS('Detalhe Por UC'!$AC:$AC,'Detalhe Por UC'!$C:$C,'Infos Clientes'!$B13,'Detalhe Por UC'!$R:$R,'Infos Clientes'!AP$2))</f>
        <v>164</v>
      </c>
      <c r="AQ13" s="27">
        <f>IF(SUMIFS('Detalhe Por UC'!$AB:$AB,'Detalhe Por UC'!$C:$C,'Infos Clientes'!$B13,'Detalhe Por UC'!$R:$R,'Infos Clientes'!AQ$2)=0,"",
SUMIFS('Detalhe Por UC'!$AB:$AB,'Detalhe Por UC'!$C:$C,'Infos Clientes'!$B13,'Detalhe Por UC'!$R:$R,'Infos Clientes'!AQ$2)
+SUMIFS('Detalhe Por UC'!$AC:$AC,'Detalhe Por UC'!$C:$C,'Infos Clientes'!$B13,'Detalhe Por UC'!$R:$R,'Infos Clientes'!AQ$2))</f>
        <v>197</v>
      </c>
      <c r="AR13" s="27">
        <f>IF(SUMIFS('Detalhe Por UC'!$AB:$AB,'Detalhe Por UC'!$C:$C,'Infos Clientes'!$B13,'Detalhe Por UC'!$R:$R,'Infos Clientes'!AR$2)=0,"",
SUMIFS('Detalhe Por UC'!$AB:$AB,'Detalhe Por UC'!$C:$C,'Infos Clientes'!$B13,'Detalhe Por UC'!$R:$R,'Infos Clientes'!AR$2)
+SUMIFS('Detalhe Por UC'!$AC:$AC,'Detalhe Por UC'!$C:$C,'Infos Clientes'!$B13,'Detalhe Por UC'!$R:$R,'Infos Clientes'!AR$2))</f>
        <v>242</v>
      </c>
      <c r="AS13" s="27">
        <f>IF(SUMIFS('Detalhe Por UC'!$AB:$AB,'Detalhe Por UC'!$C:$C,'Infos Clientes'!$B13,'Detalhe Por UC'!$R:$R,'Infos Clientes'!AS$2)=0,"",
SUMIFS('Detalhe Por UC'!$AB:$AB,'Detalhe Por UC'!$C:$C,'Infos Clientes'!$B13,'Detalhe Por UC'!$R:$R,'Infos Clientes'!AS$2)
+SUMIFS('Detalhe Por UC'!$AC:$AC,'Detalhe Por UC'!$C:$C,'Infos Clientes'!$B13,'Detalhe Por UC'!$R:$R,'Infos Clientes'!AS$2))</f>
        <v>587</v>
      </c>
      <c r="AT13" s="27">
        <f>IF(SUMIFS('Detalhe Por UC'!$AB:$AB,'Detalhe Por UC'!$C:$C,'Infos Clientes'!$B13,'Detalhe Por UC'!$R:$R,'Infos Clientes'!AT$2)=0,"",
SUMIFS('Detalhe Por UC'!$AB:$AB,'Detalhe Por UC'!$C:$C,'Infos Clientes'!$B13,'Detalhe Por UC'!$R:$R,'Infos Clientes'!AT$2)
+SUMIFS('Detalhe Por UC'!$AC:$AC,'Detalhe Por UC'!$C:$C,'Infos Clientes'!$B13,'Detalhe Por UC'!$R:$R,'Infos Clientes'!AT$2))</f>
        <v>360</v>
      </c>
      <c r="AU13" s="27" t="str">
        <f>IF(SUMIFS('Detalhe Por UC'!$AB:$AB,'Detalhe Por UC'!$C:$C,'Infos Clientes'!$B13,'Detalhe Por UC'!$R:$R,'Infos Clientes'!AU$2)=0,"",
SUMIFS('Detalhe Por UC'!$AB:$AB,'Detalhe Por UC'!$C:$C,'Infos Clientes'!$B13,'Detalhe Por UC'!$R:$R,'Infos Clientes'!AU$2)
+SUMIFS('Detalhe Por UC'!$AC:$AC,'Detalhe Por UC'!$C:$C,'Infos Clientes'!$B13,'Detalhe Por UC'!$R:$R,'Infos Clientes'!AU$2))</f>
        <v/>
      </c>
    </row>
    <row r="14" spans="2:71" x14ac:dyDescent="0.3">
      <c r="B14" t="s">
        <v>57</v>
      </c>
      <c r="C14" s="14">
        <f t="shared" si="1"/>
        <v>14</v>
      </c>
      <c r="D14" t="s">
        <v>19</v>
      </c>
      <c r="E14" s="15">
        <v>306</v>
      </c>
      <c r="F14" t="s">
        <v>58</v>
      </c>
      <c r="G14" t="s">
        <v>59</v>
      </c>
      <c r="H14" s="16" t="s">
        <v>57</v>
      </c>
      <c r="I14" s="17" t="s">
        <v>22</v>
      </c>
      <c r="J14" s="1" t="s">
        <v>28</v>
      </c>
      <c r="K14" s="18" t="s">
        <v>24</v>
      </c>
      <c r="L14" s="18"/>
      <c r="M14" s="19">
        <v>0.25</v>
      </c>
      <c r="N14"/>
      <c r="O14" s="20"/>
      <c r="P14" s="21"/>
      <c r="Q14" s="22">
        <f>IF(_xlfn.MINIFS('Detalhe Por UC'!R:R,'Detalhe Por UC'!C:C,B14,'Detalhe Por UC'!AD:AD,"&gt;"&amp;0)=0,"",_xlfn.MINIFS('Detalhe Por UC'!R:R,'Detalhe Por UC'!C:C,B14,'Detalhe Por UC'!AD:AD,"&gt;"&amp;0))</f>
        <v>45627</v>
      </c>
      <c r="R14" s="23">
        <f>IF(P14&lt;&gt;"ATIVO",0,
IF(OR(Q14="",Q14=0,O14=0),O14,
O14-ROUND((MAX('Detalhe Por UC'!R:R)
-Q14)/(365/12),0)))</f>
        <v>0</v>
      </c>
      <c r="T14" s="5">
        <v>511.41666666666669</v>
      </c>
      <c r="U14" s="24">
        <f t="shared" si="0"/>
        <v>754.16666666666663</v>
      </c>
      <c r="W14" s="25">
        <v>284</v>
      </c>
      <c r="X14" s="25">
        <v>290</v>
      </c>
      <c r="Y14" s="25">
        <v>169</v>
      </c>
      <c r="Z14" s="25">
        <v>340</v>
      </c>
      <c r="AA14" s="25">
        <v>274</v>
      </c>
      <c r="AB14" s="25">
        <v>260</v>
      </c>
      <c r="AC14" s="25">
        <v>283</v>
      </c>
      <c r="AD14" s="26">
        <v>441</v>
      </c>
      <c r="AE14" s="25">
        <v>428</v>
      </c>
      <c r="AF14" s="25">
        <v>565</v>
      </c>
      <c r="AG14" s="25">
        <v>866</v>
      </c>
      <c r="AH14" s="25">
        <v>786</v>
      </c>
      <c r="AI14" s="25">
        <v>892</v>
      </c>
      <c r="AJ14" s="27">
        <f>IF(SUMIFS('Detalhe Por UC'!$AB:$AB,'Detalhe Por UC'!$C:$C,'Infos Clientes'!$B14,'Detalhe Por UC'!$R:$R,'Infos Clientes'!AJ$2)=0,"",
SUMIFS('Detalhe Por UC'!$AB:$AB,'Detalhe Por UC'!$C:$C,'Infos Clientes'!$B14,'Detalhe Por UC'!$R:$R,'Infos Clientes'!AJ$2)
+SUMIFS('Detalhe Por UC'!$AC:$AC,'Detalhe Por UC'!$C:$C,'Infos Clientes'!$B14,'Detalhe Por UC'!$R:$R,'Infos Clientes'!AJ$2))</f>
        <v>833</v>
      </c>
      <c r="AK14" s="27">
        <f>IF(SUMIFS('Detalhe Por UC'!$AB:$AB,'Detalhe Por UC'!$C:$C,'Infos Clientes'!$B14,'Detalhe Por UC'!$R:$R,'Infos Clientes'!AK$2)=0,"",
SUMIFS('Detalhe Por UC'!$AB:$AB,'Detalhe Por UC'!$C:$C,'Infos Clientes'!$B14,'Detalhe Por UC'!$R:$R,'Infos Clientes'!AK$2)
+SUMIFS('Detalhe Por UC'!$AC:$AC,'Detalhe Por UC'!$C:$C,'Infos Clientes'!$B14,'Detalhe Por UC'!$R:$R,'Infos Clientes'!AK$2))</f>
        <v>930</v>
      </c>
      <c r="AL14" s="27">
        <f>IF(SUMIFS('Detalhe Por UC'!$AB:$AB,'Detalhe Por UC'!$C:$C,'Infos Clientes'!$B14,'Detalhe Por UC'!$R:$R,'Infos Clientes'!AL$2)=0,"",
SUMIFS('Detalhe Por UC'!$AB:$AB,'Detalhe Por UC'!$C:$C,'Infos Clientes'!$B14,'Detalhe Por UC'!$R:$R,'Infos Clientes'!AL$2)
+SUMIFS('Detalhe Por UC'!$AC:$AC,'Detalhe Por UC'!$C:$C,'Infos Clientes'!$B14,'Detalhe Por UC'!$R:$R,'Infos Clientes'!AL$2))</f>
        <v>873</v>
      </c>
      <c r="AM14" s="27">
        <f>IF(SUMIFS('Detalhe Por UC'!$AB:$AB,'Detalhe Por UC'!$C:$C,'Infos Clientes'!$B14,'Detalhe Por UC'!$R:$R,'Infos Clientes'!AM$2)=0,"",
SUMIFS('Detalhe Por UC'!$AB:$AB,'Detalhe Por UC'!$C:$C,'Infos Clientes'!$B14,'Detalhe Por UC'!$R:$R,'Infos Clientes'!AM$2)
+SUMIFS('Detalhe Por UC'!$AC:$AC,'Detalhe Por UC'!$C:$C,'Infos Clientes'!$B14,'Detalhe Por UC'!$R:$R,'Infos Clientes'!AM$2))</f>
        <v>885</v>
      </c>
      <c r="AN14" s="27">
        <f>IF(SUMIFS('Detalhe Por UC'!$AB:$AB,'Detalhe Por UC'!$C:$C,'Infos Clientes'!$B14,'Detalhe Por UC'!$R:$R,'Infos Clientes'!AN$2)=0,"",
SUMIFS('Detalhe Por UC'!$AB:$AB,'Detalhe Por UC'!$C:$C,'Infos Clientes'!$B14,'Detalhe Por UC'!$R:$R,'Infos Clientes'!AN$2)
+SUMIFS('Detalhe Por UC'!$AC:$AC,'Detalhe Por UC'!$C:$C,'Infos Clientes'!$B14,'Detalhe Por UC'!$R:$R,'Infos Clientes'!AN$2))</f>
        <v>758</v>
      </c>
      <c r="AO14" s="27">
        <f>IF(SUMIFS('Detalhe Por UC'!$AB:$AB,'Detalhe Por UC'!$C:$C,'Infos Clientes'!$B14,'Detalhe Por UC'!$R:$R,'Infos Clientes'!AO$2)=0,"",
SUMIFS('Detalhe Por UC'!$AB:$AB,'Detalhe Por UC'!$C:$C,'Infos Clientes'!$B14,'Detalhe Por UC'!$R:$R,'Infos Clientes'!AO$2)
+SUMIFS('Detalhe Por UC'!$AC:$AC,'Detalhe Por UC'!$C:$C,'Infos Clientes'!$B14,'Detalhe Por UC'!$R:$R,'Infos Clientes'!AO$2))</f>
        <v>599</v>
      </c>
      <c r="AP14" s="27">
        <f>IF(SUMIFS('Detalhe Por UC'!$AB:$AB,'Detalhe Por UC'!$C:$C,'Infos Clientes'!$B14,'Detalhe Por UC'!$R:$R,'Infos Clientes'!AP$2)=0,"",
SUMIFS('Detalhe Por UC'!$AB:$AB,'Detalhe Por UC'!$C:$C,'Infos Clientes'!$B14,'Detalhe Por UC'!$R:$R,'Infos Clientes'!AP$2)
+SUMIFS('Detalhe Por UC'!$AC:$AC,'Detalhe Por UC'!$C:$C,'Infos Clientes'!$B14,'Detalhe Por UC'!$R:$R,'Infos Clientes'!AP$2))</f>
        <v>548</v>
      </c>
      <c r="AQ14" s="27">
        <f>IF(SUMIFS('Detalhe Por UC'!$AB:$AB,'Detalhe Por UC'!$C:$C,'Infos Clientes'!$B14,'Detalhe Por UC'!$R:$R,'Infos Clientes'!AQ$2)=0,"",
SUMIFS('Detalhe Por UC'!$AB:$AB,'Detalhe Por UC'!$C:$C,'Infos Clientes'!$B14,'Detalhe Por UC'!$R:$R,'Infos Clientes'!AQ$2)
+SUMIFS('Detalhe Por UC'!$AC:$AC,'Detalhe Por UC'!$C:$C,'Infos Clientes'!$B14,'Detalhe Por UC'!$R:$R,'Infos Clientes'!AQ$2))</f>
        <v>538</v>
      </c>
      <c r="AR14" s="27">
        <f>IF(SUMIFS('Detalhe Por UC'!$AB:$AB,'Detalhe Por UC'!$C:$C,'Infos Clientes'!$B14,'Detalhe Por UC'!$R:$R,'Infos Clientes'!AR$2)=0,"",
SUMIFS('Detalhe Por UC'!$AB:$AB,'Detalhe Por UC'!$C:$C,'Infos Clientes'!$B14,'Detalhe Por UC'!$R:$R,'Infos Clientes'!AR$2)
+SUMIFS('Detalhe Por UC'!$AC:$AC,'Detalhe Por UC'!$C:$C,'Infos Clientes'!$B14,'Detalhe Por UC'!$R:$R,'Infos Clientes'!AR$2))</f>
        <v>582</v>
      </c>
      <c r="AS14" s="27">
        <f>IF(SUMIFS('Detalhe Por UC'!$AB:$AB,'Detalhe Por UC'!$C:$C,'Infos Clientes'!$B14,'Detalhe Por UC'!$R:$R,'Infos Clientes'!AS$2)=0,"",
SUMIFS('Detalhe Por UC'!$AB:$AB,'Detalhe Por UC'!$C:$C,'Infos Clientes'!$B14,'Detalhe Por UC'!$R:$R,'Infos Clientes'!AS$2)
+SUMIFS('Detalhe Por UC'!$AC:$AC,'Detalhe Por UC'!$C:$C,'Infos Clientes'!$B14,'Detalhe Por UC'!$R:$R,'Infos Clientes'!AS$2))</f>
        <v>759</v>
      </c>
      <c r="AT14" s="27">
        <f>IF(SUMIFS('Detalhe Por UC'!$AB:$AB,'Detalhe Por UC'!$C:$C,'Infos Clientes'!$B14,'Detalhe Por UC'!$R:$R,'Infos Clientes'!AT$2)=0,"",
SUMIFS('Detalhe Por UC'!$AB:$AB,'Detalhe Por UC'!$C:$C,'Infos Clientes'!$B14,'Detalhe Por UC'!$R:$R,'Infos Clientes'!AT$2)
+SUMIFS('Detalhe Por UC'!$AC:$AC,'Detalhe Por UC'!$C:$C,'Infos Clientes'!$B14,'Detalhe Por UC'!$R:$R,'Infos Clientes'!AT$2))</f>
        <v>853</v>
      </c>
      <c r="AU14" s="27" t="str">
        <f>IF(SUMIFS('Detalhe Por UC'!$AB:$AB,'Detalhe Por UC'!$C:$C,'Infos Clientes'!$B14,'Detalhe Por UC'!$R:$R,'Infos Clientes'!AU$2)=0,"",
SUMIFS('Detalhe Por UC'!$AB:$AB,'Detalhe Por UC'!$C:$C,'Infos Clientes'!$B14,'Detalhe Por UC'!$R:$R,'Infos Clientes'!AU$2)
+SUMIFS('Detalhe Por UC'!$AC:$AC,'Detalhe Por UC'!$C:$C,'Infos Clientes'!$B14,'Detalhe Por UC'!$R:$R,'Infos Clientes'!AU$2))</f>
        <v/>
      </c>
    </row>
    <row r="15" spans="2:71" x14ac:dyDescent="0.3">
      <c r="B15" t="s">
        <v>60</v>
      </c>
      <c r="C15" s="14">
        <f t="shared" si="1"/>
        <v>15</v>
      </c>
      <c r="D15" t="s">
        <v>19</v>
      </c>
      <c r="E15" s="15">
        <v>306</v>
      </c>
      <c r="F15" t="s">
        <v>58</v>
      </c>
      <c r="G15" t="s">
        <v>59</v>
      </c>
      <c r="H15" s="16" t="s">
        <v>60</v>
      </c>
      <c r="I15" s="17" t="s">
        <v>22</v>
      </c>
      <c r="J15" s="1" t="s">
        <v>28</v>
      </c>
      <c r="K15" s="18" t="s">
        <v>24</v>
      </c>
      <c r="L15" s="18"/>
      <c r="M15" s="19">
        <v>0.25</v>
      </c>
      <c r="N15"/>
      <c r="O15" s="20"/>
      <c r="P15" s="21"/>
      <c r="Q15" s="22">
        <f>IF(_xlfn.MINIFS('Detalhe Por UC'!R:R,'Detalhe Por UC'!C:C,B15,'Detalhe Por UC'!AD:AD,"&gt;"&amp;0)=0,"",_xlfn.MINIFS('Detalhe Por UC'!R:R,'Detalhe Por UC'!C:C,B15,'Detalhe Por UC'!AD:AD,"&gt;"&amp;0))</f>
        <v>45627</v>
      </c>
      <c r="R15" s="23">
        <f>IF(P15&lt;&gt;"ATIVO",0,
IF(OR(Q15="",Q15=0,O15=0),O15,
O15-ROUND((MAX('Detalhe Por UC'!R:R)
-Q15)/(365/12),0)))</f>
        <v>0</v>
      </c>
      <c r="T15" s="5">
        <v>279.08333333333331</v>
      </c>
      <c r="U15" s="24">
        <f t="shared" si="0"/>
        <v>275.5</v>
      </c>
      <c r="W15" s="25">
        <v>299</v>
      </c>
      <c r="X15" s="25">
        <v>346</v>
      </c>
      <c r="Y15" s="25">
        <v>345</v>
      </c>
      <c r="Z15" s="25">
        <v>507</v>
      </c>
      <c r="AA15" s="25">
        <v>330</v>
      </c>
      <c r="AB15" s="25">
        <v>338</v>
      </c>
      <c r="AC15" s="25">
        <v>92</v>
      </c>
      <c r="AD15" s="26">
        <v>132</v>
      </c>
      <c r="AE15" s="25">
        <v>128</v>
      </c>
      <c r="AF15" s="25">
        <v>184</v>
      </c>
      <c r="AG15" s="25">
        <v>348</v>
      </c>
      <c r="AH15" s="25">
        <v>283</v>
      </c>
      <c r="AI15" s="25">
        <v>323</v>
      </c>
      <c r="AJ15" s="27">
        <f>IF(SUMIFS('Detalhe Por UC'!$AB:$AB,'Detalhe Por UC'!$C:$C,'Infos Clientes'!$B15,'Detalhe Por UC'!$R:$R,'Infos Clientes'!AJ$2)=0,"",
SUMIFS('Detalhe Por UC'!$AB:$AB,'Detalhe Por UC'!$C:$C,'Infos Clientes'!$B15,'Detalhe Por UC'!$R:$R,'Infos Clientes'!AJ$2)
+SUMIFS('Detalhe Por UC'!$AC:$AC,'Detalhe Por UC'!$C:$C,'Infos Clientes'!$B15,'Detalhe Por UC'!$R:$R,'Infos Clientes'!AJ$2))</f>
        <v>339</v>
      </c>
      <c r="AK15" s="27">
        <f>IF(SUMIFS('Detalhe Por UC'!$AB:$AB,'Detalhe Por UC'!$C:$C,'Infos Clientes'!$B15,'Detalhe Por UC'!$R:$R,'Infos Clientes'!AK$2)=0,"",
SUMIFS('Detalhe Por UC'!$AB:$AB,'Detalhe Por UC'!$C:$C,'Infos Clientes'!$B15,'Detalhe Por UC'!$R:$R,'Infos Clientes'!AK$2)
+SUMIFS('Detalhe Por UC'!$AC:$AC,'Detalhe Por UC'!$C:$C,'Infos Clientes'!$B15,'Detalhe Por UC'!$R:$R,'Infos Clientes'!AK$2))</f>
        <v>371</v>
      </c>
      <c r="AL15" s="27">
        <f>IF(SUMIFS('Detalhe Por UC'!$AB:$AB,'Detalhe Por UC'!$C:$C,'Infos Clientes'!$B15,'Detalhe Por UC'!$R:$R,'Infos Clientes'!AL$2)=0,"",
SUMIFS('Detalhe Por UC'!$AB:$AB,'Detalhe Por UC'!$C:$C,'Infos Clientes'!$B15,'Detalhe Por UC'!$R:$R,'Infos Clientes'!AL$2)
+SUMIFS('Detalhe Por UC'!$AC:$AC,'Detalhe Por UC'!$C:$C,'Infos Clientes'!$B15,'Detalhe Por UC'!$R:$R,'Infos Clientes'!AL$2))</f>
        <v>327</v>
      </c>
      <c r="AM15" s="27">
        <f>IF(SUMIFS('Detalhe Por UC'!$AB:$AB,'Detalhe Por UC'!$C:$C,'Infos Clientes'!$B15,'Detalhe Por UC'!$R:$R,'Infos Clientes'!AM$2)=0,"",
SUMIFS('Detalhe Por UC'!$AB:$AB,'Detalhe Por UC'!$C:$C,'Infos Clientes'!$B15,'Detalhe Por UC'!$R:$R,'Infos Clientes'!AM$2)
+SUMIFS('Detalhe Por UC'!$AC:$AC,'Detalhe Por UC'!$C:$C,'Infos Clientes'!$B15,'Detalhe Por UC'!$R:$R,'Infos Clientes'!AM$2))</f>
        <v>340</v>
      </c>
      <c r="AN15" s="27">
        <f>IF(SUMIFS('Detalhe Por UC'!$AB:$AB,'Detalhe Por UC'!$C:$C,'Infos Clientes'!$B15,'Detalhe Por UC'!$R:$R,'Infos Clientes'!AN$2)=0,"",
SUMIFS('Detalhe Por UC'!$AB:$AB,'Detalhe Por UC'!$C:$C,'Infos Clientes'!$B15,'Detalhe Por UC'!$R:$R,'Infos Clientes'!AN$2)
+SUMIFS('Detalhe Por UC'!$AC:$AC,'Detalhe Por UC'!$C:$C,'Infos Clientes'!$B15,'Detalhe Por UC'!$R:$R,'Infos Clientes'!AN$2))</f>
        <v>245</v>
      </c>
      <c r="AO15" s="27">
        <f>IF(SUMIFS('Detalhe Por UC'!$AB:$AB,'Detalhe Por UC'!$C:$C,'Infos Clientes'!$B15,'Detalhe Por UC'!$R:$R,'Infos Clientes'!AO$2)=0,"",
SUMIFS('Detalhe Por UC'!$AB:$AB,'Detalhe Por UC'!$C:$C,'Infos Clientes'!$B15,'Detalhe Por UC'!$R:$R,'Infos Clientes'!AO$2)
+SUMIFS('Detalhe Por UC'!$AC:$AC,'Detalhe Por UC'!$C:$C,'Infos Clientes'!$B15,'Detalhe Por UC'!$R:$R,'Infos Clientes'!AO$2))</f>
        <v>210</v>
      </c>
      <c r="AP15" s="27">
        <f>IF(SUMIFS('Detalhe Por UC'!$AB:$AB,'Detalhe Por UC'!$C:$C,'Infos Clientes'!$B15,'Detalhe Por UC'!$R:$R,'Infos Clientes'!AP$2)=0,"",
SUMIFS('Detalhe Por UC'!$AB:$AB,'Detalhe Por UC'!$C:$C,'Infos Clientes'!$B15,'Detalhe Por UC'!$R:$R,'Infos Clientes'!AP$2)
+SUMIFS('Detalhe Por UC'!$AC:$AC,'Detalhe Por UC'!$C:$C,'Infos Clientes'!$B15,'Detalhe Por UC'!$R:$R,'Infos Clientes'!AP$2))</f>
        <v>154</v>
      </c>
      <c r="AQ15" s="27">
        <f>IF(SUMIFS('Detalhe Por UC'!$AB:$AB,'Detalhe Por UC'!$C:$C,'Infos Clientes'!$B15,'Detalhe Por UC'!$R:$R,'Infos Clientes'!AQ$2)=0,"",
SUMIFS('Detalhe Por UC'!$AB:$AB,'Detalhe Por UC'!$C:$C,'Infos Clientes'!$B15,'Detalhe Por UC'!$R:$R,'Infos Clientes'!AQ$2)
+SUMIFS('Detalhe Por UC'!$AC:$AC,'Detalhe Por UC'!$C:$C,'Infos Clientes'!$B15,'Detalhe Por UC'!$R:$R,'Infos Clientes'!AQ$2))</f>
        <v>177</v>
      </c>
      <c r="AR15" s="27">
        <f>IF(SUMIFS('Detalhe Por UC'!$AB:$AB,'Detalhe Por UC'!$C:$C,'Infos Clientes'!$B15,'Detalhe Por UC'!$R:$R,'Infos Clientes'!AR$2)=0,"",
SUMIFS('Detalhe Por UC'!$AB:$AB,'Detalhe Por UC'!$C:$C,'Infos Clientes'!$B15,'Detalhe Por UC'!$R:$R,'Infos Clientes'!AR$2)
+SUMIFS('Detalhe Por UC'!$AC:$AC,'Detalhe Por UC'!$C:$C,'Infos Clientes'!$B15,'Detalhe Por UC'!$R:$R,'Infos Clientes'!AR$2))</f>
        <v>202</v>
      </c>
      <c r="AS15" s="27">
        <f>IF(SUMIFS('Detalhe Por UC'!$AB:$AB,'Detalhe Por UC'!$C:$C,'Infos Clientes'!$B15,'Detalhe Por UC'!$R:$R,'Infos Clientes'!AS$2)=0,"",
SUMIFS('Detalhe Por UC'!$AB:$AB,'Detalhe Por UC'!$C:$C,'Infos Clientes'!$B15,'Detalhe Por UC'!$R:$R,'Infos Clientes'!AS$2)
+SUMIFS('Detalhe Por UC'!$AC:$AC,'Detalhe Por UC'!$C:$C,'Infos Clientes'!$B15,'Detalhe Por UC'!$R:$R,'Infos Clientes'!AS$2))</f>
        <v>284</v>
      </c>
      <c r="AT15" s="27">
        <f>IF(SUMIFS('Detalhe Por UC'!$AB:$AB,'Detalhe Por UC'!$C:$C,'Infos Clientes'!$B15,'Detalhe Por UC'!$R:$R,'Infos Clientes'!AT$2)=0,"",
SUMIFS('Detalhe Por UC'!$AB:$AB,'Detalhe Por UC'!$C:$C,'Infos Clientes'!$B15,'Detalhe Por UC'!$R:$R,'Infos Clientes'!AT$2)
+SUMIFS('Detalhe Por UC'!$AC:$AC,'Detalhe Por UC'!$C:$C,'Infos Clientes'!$B15,'Detalhe Por UC'!$R:$R,'Infos Clientes'!AT$2))</f>
        <v>334</v>
      </c>
      <c r="AU15" s="27" t="str">
        <f>IF(SUMIFS('Detalhe Por UC'!$AB:$AB,'Detalhe Por UC'!$C:$C,'Infos Clientes'!$B15,'Detalhe Por UC'!$R:$R,'Infos Clientes'!AU$2)=0,"",
SUMIFS('Detalhe Por UC'!$AB:$AB,'Detalhe Por UC'!$C:$C,'Infos Clientes'!$B15,'Detalhe Por UC'!$R:$R,'Infos Clientes'!AU$2)
+SUMIFS('Detalhe Por UC'!$AC:$AC,'Detalhe Por UC'!$C:$C,'Infos Clientes'!$B15,'Detalhe Por UC'!$R:$R,'Infos Clientes'!AU$2))</f>
        <v/>
      </c>
    </row>
    <row r="16" spans="2:71" x14ac:dyDescent="0.3">
      <c r="B16" t="s">
        <v>61</v>
      </c>
      <c r="C16" s="14">
        <f t="shared" si="1"/>
        <v>16</v>
      </c>
      <c r="D16" t="s">
        <v>19</v>
      </c>
      <c r="E16" s="15">
        <v>357</v>
      </c>
      <c r="F16" t="s">
        <v>62</v>
      </c>
      <c r="G16" t="s">
        <v>63</v>
      </c>
      <c r="H16" s="16" t="s">
        <v>61</v>
      </c>
      <c r="I16" s="17" t="s">
        <v>22</v>
      </c>
      <c r="J16" s="1" t="s">
        <v>28</v>
      </c>
      <c r="K16" s="18" t="s">
        <v>24</v>
      </c>
      <c r="L16" s="18"/>
      <c r="M16" s="19">
        <v>0.25</v>
      </c>
      <c r="N16"/>
      <c r="O16" s="20"/>
      <c r="P16" s="21"/>
      <c r="Q16" s="22">
        <f>IF(_xlfn.MINIFS('Detalhe Por UC'!R:R,'Detalhe Por UC'!C:C,B16,'Detalhe Por UC'!AD:AD,"&gt;"&amp;0)=0,"",_xlfn.MINIFS('Detalhe Por UC'!R:R,'Detalhe Por UC'!C:C,B16,'Detalhe Por UC'!AD:AD,"&gt;"&amp;0))</f>
        <v>45627</v>
      </c>
      <c r="R16" s="23">
        <f>IF(P16&lt;&gt;"ATIVO",0,
IF(OR(Q16="",Q16=0,O16=0),O16,
O16-ROUND((MAX('Detalhe Por UC'!R:R)
-Q16)/(365/12),0)))</f>
        <v>0</v>
      </c>
      <c r="T16" s="5">
        <v>958.25</v>
      </c>
      <c r="U16" s="24">
        <f t="shared" si="0"/>
        <v>955.33333333333337</v>
      </c>
      <c r="W16" s="25">
        <v>894</v>
      </c>
      <c r="X16" s="25">
        <v>836</v>
      </c>
      <c r="Y16" s="25">
        <v>917</v>
      </c>
      <c r="Z16" s="25">
        <v>1094</v>
      </c>
      <c r="AA16" s="25">
        <v>1126</v>
      </c>
      <c r="AB16" s="25">
        <v>902</v>
      </c>
      <c r="AC16" s="25">
        <v>867</v>
      </c>
      <c r="AD16" s="26">
        <v>546</v>
      </c>
      <c r="AE16" s="25">
        <v>852</v>
      </c>
      <c r="AF16" s="25">
        <v>849</v>
      </c>
      <c r="AG16" s="25">
        <v>1113</v>
      </c>
      <c r="AH16" s="25">
        <v>1021</v>
      </c>
      <c r="AI16" s="25">
        <v>945</v>
      </c>
      <c r="AJ16" s="27">
        <f>IF(SUMIFS('Detalhe Por UC'!$AB:$AB,'Detalhe Por UC'!$C:$C,'Infos Clientes'!$B16,'Detalhe Por UC'!$R:$R,'Infos Clientes'!AJ$2)=0,"",
SUMIFS('Detalhe Por UC'!$AB:$AB,'Detalhe Por UC'!$C:$C,'Infos Clientes'!$B16,'Detalhe Por UC'!$R:$R,'Infos Clientes'!AJ$2)
+SUMIFS('Detalhe Por UC'!$AC:$AC,'Detalhe Por UC'!$C:$C,'Infos Clientes'!$B16,'Detalhe Por UC'!$R:$R,'Infos Clientes'!AJ$2))</f>
        <v>1267</v>
      </c>
      <c r="AK16" s="27">
        <f>IF(SUMIFS('Detalhe Por UC'!$AB:$AB,'Detalhe Por UC'!$C:$C,'Infos Clientes'!$B16,'Detalhe Por UC'!$R:$R,'Infos Clientes'!AK$2)=0,"",
SUMIFS('Detalhe Por UC'!$AB:$AB,'Detalhe Por UC'!$C:$C,'Infos Clientes'!$B16,'Detalhe Por UC'!$R:$R,'Infos Clientes'!AK$2)
+SUMIFS('Detalhe Por UC'!$AC:$AC,'Detalhe Por UC'!$C:$C,'Infos Clientes'!$B16,'Detalhe Por UC'!$R:$R,'Infos Clientes'!AK$2))</f>
        <v>936</v>
      </c>
      <c r="AL16" s="27">
        <f>IF(SUMIFS('Detalhe Por UC'!$AB:$AB,'Detalhe Por UC'!$C:$C,'Infos Clientes'!$B16,'Detalhe Por UC'!$R:$R,'Infos Clientes'!AL$2)=0,"",
SUMIFS('Detalhe Por UC'!$AB:$AB,'Detalhe Por UC'!$C:$C,'Infos Clientes'!$B16,'Detalhe Por UC'!$R:$R,'Infos Clientes'!AL$2)
+SUMIFS('Detalhe Por UC'!$AC:$AC,'Detalhe Por UC'!$C:$C,'Infos Clientes'!$B16,'Detalhe Por UC'!$R:$R,'Infos Clientes'!AL$2))</f>
        <v>1130</v>
      </c>
      <c r="AM16" s="27">
        <f>IF(SUMIFS('Detalhe Por UC'!$AB:$AB,'Detalhe Por UC'!$C:$C,'Infos Clientes'!$B16,'Detalhe Por UC'!$R:$R,'Infos Clientes'!AM$2)=0,"",
SUMIFS('Detalhe Por UC'!$AB:$AB,'Detalhe Por UC'!$C:$C,'Infos Clientes'!$B16,'Detalhe Por UC'!$R:$R,'Infos Clientes'!AM$2)
+SUMIFS('Detalhe Por UC'!$AC:$AC,'Detalhe Por UC'!$C:$C,'Infos Clientes'!$B16,'Detalhe Por UC'!$R:$R,'Infos Clientes'!AM$2))</f>
        <v>921</v>
      </c>
      <c r="AN16" s="27">
        <f>IF(SUMIFS('Detalhe Por UC'!$AB:$AB,'Detalhe Por UC'!$C:$C,'Infos Clientes'!$B16,'Detalhe Por UC'!$R:$R,'Infos Clientes'!AN$2)=0,"",
SUMIFS('Detalhe Por UC'!$AB:$AB,'Detalhe Por UC'!$C:$C,'Infos Clientes'!$B16,'Detalhe Por UC'!$R:$R,'Infos Clientes'!AN$2)
+SUMIFS('Detalhe Por UC'!$AC:$AC,'Detalhe Por UC'!$C:$C,'Infos Clientes'!$B16,'Detalhe Por UC'!$R:$R,'Infos Clientes'!AN$2))</f>
        <v>930</v>
      </c>
      <c r="AO16" s="27">
        <f>IF(SUMIFS('Detalhe Por UC'!$AB:$AB,'Detalhe Por UC'!$C:$C,'Infos Clientes'!$B16,'Detalhe Por UC'!$R:$R,'Infos Clientes'!AO$2)=0,"",
SUMIFS('Detalhe Por UC'!$AB:$AB,'Detalhe Por UC'!$C:$C,'Infos Clientes'!$B16,'Detalhe Por UC'!$R:$R,'Infos Clientes'!AO$2)
+SUMIFS('Detalhe Por UC'!$AC:$AC,'Detalhe Por UC'!$C:$C,'Infos Clientes'!$B16,'Detalhe Por UC'!$R:$R,'Infos Clientes'!AO$2))</f>
        <v>700</v>
      </c>
      <c r="AP16" s="27">
        <f>IF(SUMIFS('Detalhe Por UC'!$AB:$AB,'Detalhe Por UC'!$C:$C,'Infos Clientes'!$B16,'Detalhe Por UC'!$R:$R,'Infos Clientes'!AP$2)=0,"",
SUMIFS('Detalhe Por UC'!$AB:$AB,'Detalhe Por UC'!$C:$C,'Infos Clientes'!$B16,'Detalhe Por UC'!$R:$R,'Infos Clientes'!AP$2)
+SUMIFS('Detalhe Por UC'!$AC:$AC,'Detalhe Por UC'!$C:$C,'Infos Clientes'!$B16,'Detalhe Por UC'!$R:$R,'Infos Clientes'!AP$2))</f>
        <v>458</v>
      </c>
      <c r="AQ16" s="27">
        <f>IF(SUMIFS('Detalhe Por UC'!$AB:$AB,'Detalhe Por UC'!$C:$C,'Infos Clientes'!$B16,'Detalhe Por UC'!$R:$R,'Infos Clientes'!AQ$2)=0,"",
SUMIFS('Detalhe Por UC'!$AB:$AB,'Detalhe Por UC'!$C:$C,'Infos Clientes'!$B16,'Detalhe Por UC'!$R:$R,'Infos Clientes'!AQ$2)
+SUMIFS('Detalhe Por UC'!$AC:$AC,'Detalhe Por UC'!$C:$C,'Infos Clientes'!$B16,'Detalhe Por UC'!$R:$R,'Infos Clientes'!AQ$2))</f>
        <v>763</v>
      </c>
      <c r="AR16" s="27">
        <f>IF(SUMIFS('Detalhe Por UC'!$AB:$AB,'Detalhe Por UC'!$C:$C,'Infos Clientes'!$B16,'Detalhe Por UC'!$R:$R,'Infos Clientes'!AR$2)=0,"",
SUMIFS('Detalhe Por UC'!$AB:$AB,'Detalhe Por UC'!$C:$C,'Infos Clientes'!$B16,'Detalhe Por UC'!$R:$R,'Infos Clientes'!AR$2)
+SUMIFS('Detalhe Por UC'!$AC:$AC,'Detalhe Por UC'!$C:$C,'Infos Clientes'!$B16,'Detalhe Por UC'!$R:$R,'Infos Clientes'!AR$2))</f>
        <v>1092</v>
      </c>
      <c r="AS16" s="27">
        <f>IF(SUMIFS('Detalhe Por UC'!$AB:$AB,'Detalhe Por UC'!$C:$C,'Infos Clientes'!$B16,'Detalhe Por UC'!$R:$R,'Infos Clientes'!AS$2)=0,"",
SUMIFS('Detalhe Por UC'!$AB:$AB,'Detalhe Por UC'!$C:$C,'Infos Clientes'!$B16,'Detalhe Por UC'!$R:$R,'Infos Clientes'!AS$2)
+SUMIFS('Detalhe Por UC'!$AC:$AC,'Detalhe Por UC'!$C:$C,'Infos Clientes'!$B16,'Detalhe Por UC'!$R:$R,'Infos Clientes'!AS$2))</f>
        <v>1250</v>
      </c>
      <c r="AT16" s="27">
        <f>IF(SUMIFS('Detalhe Por UC'!$AB:$AB,'Detalhe Por UC'!$C:$C,'Infos Clientes'!$B16,'Detalhe Por UC'!$R:$R,'Infos Clientes'!AT$2)=0,"",
SUMIFS('Detalhe Por UC'!$AB:$AB,'Detalhe Por UC'!$C:$C,'Infos Clientes'!$B16,'Detalhe Por UC'!$R:$R,'Infos Clientes'!AT$2)
+SUMIFS('Detalhe Por UC'!$AC:$AC,'Detalhe Por UC'!$C:$C,'Infos Clientes'!$B16,'Detalhe Por UC'!$R:$R,'Infos Clientes'!AT$2))</f>
        <v>1072</v>
      </c>
      <c r="AU16" s="27" t="str">
        <f>IF(SUMIFS('Detalhe Por UC'!$AB:$AB,'Detalhe Por UC'!$C:$C,'Infos Clientes'!$B16,'Detalhe Por UC'!$R:$R,'Infos Clientes'!AU$2)=0,"",
SUMIFS('Detalhe Por UC'!$AB:$AB,'Detalhe Por UC'!$C:$C,'Infos Clientes'!$B16,'Detalhe Por UC'!$R:$R,'Infos Clientes'!AU$2)
+SUMIFS('Detalhe Por UC'!$AC:$AC,'Detalhe Por UC'!$C:$C,'Infos Clientes'!$B16,'Detalhe Por UC'!$R:$R,'Infos Clientes'!AU$2))</f>
        <v/>
      </c>
    </row>
    <row r="17" spans="2:47" x14ac:dyDescent="0.3">
      <c r="B17" t="s">
        <v>64</v>
      </c>
      <c r="C17" s="14">
        <f t="shared" si="1"/>
        <v>17</v>
      </c>
      <c r="D17" t="s">
        <v>19</v>
      </c>
      <c r="E17" s="15">
        <v>349</v>
      </c>
      <c r="F17" t="s">
        <v>65</v>
      </c>
      <c r="G17" t="s">
        <v>66</v>
      </c>
      <c r="H17" s="16" t="s">
        <v>64</v>
      </c>
      <c r="I17" s="17" t="s">
        <v>22</v>
      </c>
      <c r="J17" s="1" t="s">
        <v>28</v>
      </c>
      <c r="K17" s="18" t="s">
        <v>24</v>
      </c>
      <c r="L17" s="18"/>
      <c r="M17" s="19">
        <v>0.25</v>
      </c>
      <c r="N17"/>
      <c r="O17" s="20"/>
      <c r="P17" s="21"/>
      <c r="Q17" s="22">
        <f>IF(_xlfn.MINIFS('Detalhe Por UC'!R:R,'Detalhe Por UC'!C:C,B17,'Detalhe Por UC'!AD:AD,"&gt;"&amp;0)=0,"",_xlfn.MINIFS('Detalhe Por UC'!R:R,'Detalhe Por UC'!C:C,B17,'Detalhe Por UC'!AD:AD,"&gt;"&amp;0))</f>
        <v>45627</v>
      </c>
      <c r="R17" s="23">
        <f>IF(P17&lt;&gt;"ATIVO",0,
IF(OR(Q17="",Q17=0,O17=0),O17,
O17-ROUND((MAX('Detalhe Por UC'!R:R)
-Q17)/(365/12),0)))</f>
        <v>0</v>
      </c>
      <c r="T17" s="5">
        <v>802.5</v>
      </c>
      <c r="U17" s="24">
        <f t="shared" si="0"/>
        <v>711.75</v>
      </c>
      <c r="W17" s="25">
        <v>909</v>
      </c>
      <c r="X17" s="25">
        <v>994</v>
      </c>
      <c r="Y17" s="25">
        <v>941</v>
      </c>
      <c r="Z17" s="25">
        <v>1194</v>
      </c>
      <c r="AA17" s="25">
        <v>913</v>
      </c>
      <c r="AB17" s="25">
        <v>733</v>
      </c>
      <c r="AC17" s="25">
        <v>510</v>
      </c>
      <c r="AD17" s="26">
        <v>486</v>
      </c>
      <c r="AE17" s="25">
        <v>508</v>
      </c>
      <c r="AF17" s="25">
        <v>612</v>
      </c>
      <c r="AG17" s="25">
        <v>890</v>
      </c>
      <c r="AH17" s="25">
        <v>983</v>
      </c>
      <c r="AI17" s="25">
        <v>984</v>
      </c>
      <c r="AJ17" s="27">
        <f>IF(SUMIFS('Detalhe Por UC'!$AB:$AB,'Detalhe Por UC'!$C:$C,'Infos Clientes'!$B17,'Detalhe Por UC'!$R:$R,'Infos Clientes'!AJ$2)=0,"",
SUMIFS('Detalhe Por UC'!$AB:$AB,'Detalhe Por UC'!$C:$C,'Infos Clientes'!$B17,'Detalhe Por UC'!$R:$R,'Infos Clientes'!AJ$2)
+SUMIFS('Detalhe Por UC'!$AC:$AC,'Detalhe Por UC'!$C:$C,'Infos Clientes'!$B17,'Detalhe Por UC'!$R:$R,'Infos Clientes'!AJ$2))</f>
        <v>876</v>
      </c>
      <c r="AK17" s="27">
        <f>IF(SUMIFS('Detalhe Por UC'!$AB:$AB,'Detalhe Por UC'!$C:$C,'Infos Clientes'!$B17,'Detalhe Por UC'!$R:$R,'Infos Clientes'!AK$2)=0,"",
SUMIFS('Detalhe Por UC'!$AB:$AB,'Detalhe Por UC'!$C:$C,'Infos Clientes'!$B17,'Detalhe Por UC'!$R:$R,'Infos Clientes'!AK$2)
+SUMIFS('Detalhe Por UC'!$AC:$AC,'Detalhe Por UC'!$C:$C,'Infos Clientes'!$B17,'Detalhe Por UC'!$R:$R,'Infos Clientes'!AK$2))</f>
        <v>863</v>
      </c>
      <c r="AL17" s="27">
        <f>IF(SUMIFS('Detalhe Por UC'!$AB:$AB,'Detalhe Por UC'!$C:$C,'Infos Clientes'!$B17,'Detalhe Por UC'!$R:$R,'Infos Clientes'!AL$2)=0,"",
SUMIFS('Detalhe Por UC'!$AB:$AB,'Detalhe Por UC'!$C:$C,'Infos Clientes'!$B17,'Detalhe Por UC'!$R:$R,'Infos Clientes'!AL$2)
+SUMIFS('Detalhe Por UC'!$AC:$AC,'Detalhe Por UC'!$C:$C,'Infos Clientes'!$B17,'Detalhe Por UC'!$R:$R,'Infos Clientes'!AL$2))</f>
        <v>878</v>
      </c>
      <c r="AM17" s="27">
        <f>IF(SUMIFS('Detalhe Por UC'!$AB:$AB,'Detalhe Por UC'!$C:$C,'Infos Clientes'!$B17,'Detalhe Por UC'!$R:$R,'Infos Clientes'!AM$2)=0,"",
SUMIFS('Detalhe Por UC'!$AB:$AB,'Detalhe Por UC'!$C:$C,'Infos Clientes'!$B17,'Detalhe Por UC'!$R:$R,'Infos Clientes'!AM$2)
+SUMIFS('Detalhe Por UC'!$AC:$AC,'Detalhe Por UC'!$C:$C,'Infos Clientes'!$B17,'Detalhe Por UC'!$R:$R,'Infos Clientes'!AM$2))</f>
        <v>769</v>
      </c>
      <c r="AN17" s="27">
        <f>IF(SUMIFS('Detalhe Por UC'!$AB:$AB,'Detalhe Por UC'!$C:$C,'Infos Clientes'!$B17,'Detalhe Por UC'!$R:$R,'Infos Clientes'!AN$2)=0,"",
SUMIFS('Detalhe Por UC'!$AB:$AB,'Detalhe Por UC'!$C:$C,'Infos Clientes'!$B17,'Detalhe Por UC'!$R:$R,'Infos Clientes'!AN$2)
+SUMIFS('Detalhe Por UC'!$AC:$AC,'Detalhe Por UC'!$C:$C,'Infos Clientes'!$B17,'Detalhe Por UC'!$R:$R,'Infos Clientes'!AN$2))</f>
        <v>622</v>
      </c>
      <c r="AO17" s="27">
        <f>IF(SUMIFS('Detalhe Por UC'!$AB:$AB,'Detalhe Por UC'!$C:$C,'Infos Clientes'!$B17,'Detalhe Por UC'!$R:$R,'Infos Clientes'!AO$2)=0,"",
SUMIFS('Detalhe Por UC'!$AB:$AB,'Detalhe Por UC'!$C:$C,'Infos Clientes'!$B17,'Detalhe Por UC'!$R:$R,'Infos Clientes'!AO$2)
+SUMIFS('Detalhe Por UC'!$AC:$AC,'Detalhe Por UC'!$C:$C,'Infos Clientes'!$B17,'Detalhe Por UC'!$R:$R,'Infos Clientes'!AO$2))</f>
        <v>429</v>
      </c>
      <c r="AP17" s="27">
        <f>IF(SUMIFS('Detalhe Por UC'!$AB:$AB,'Detalhe Por UC'!$C:$C,'Infos Clientes'!$B17,'Detalhe Por UC'!$R:$R,'Infos Clientes'!AP$2)=0,"",
SUMIFS('Detalhe Por UC'!$AB:$AB,'Detalhe Por UC'!$C:$C,'Infos Clientes'!$B17,'Detalhe Por UC'!$R:$R,'Infos Clientes'!AP$2)
+SUMIFS('Detalhe Por UC'!$AC:$AC,'Detalhe Por UC'!$C:$C,'Infos Clientes'!$B17,'Detalhe Por UC'!$R:$R,'Infos Clientes'!AP$2))</f>
        <v>414</v>
      </c>
      <c r="AQ17" s="27">
        <f>IF(SUMIFS('Detalhe Por UC'!$AB:$AB,'Detalhe Por UC'!$C:$C,'Infos Clientes'!$B17,'Detalhe Por UC'!$R:$R,'Infos Clientes'!AQ$2)=0,"",
SUMIFS('Detalhe Por UC'!$AB:$AB,'Detalhe Por UC'!$C:$C,'Infos Clientes'!$B17,'Detalhe Por UC'!$R:$R,'Infos Clientes'!AQ$2)
+SUMIFS('Detalhe Por UC'!$AC:$AC,'Detalhe Por UC'!$C:$C,'Infos Clientes'!$B17,'Detalhe Por UC'!$R:$R,'Infos Clientes'!AQ$2))</f>
        <v>446</v>
      </c>
      <c r="AR17" s="27">
        <f>IF(SUMIFS('Detalhe Por UC'!$AB:$AB,'Detalhe Por UC'!$C:$C,'Infos Clientes'!$B17,'Detalhe Por UC'!$R:$R,'Infos Clientes'!AR$2)=0,"",
SUMIFS('Detalhe Por UC'!$AB:$AB,'Detalhe Por UC'!$C:$C,'Infos Clientes'!$B17,'Detalhe Por UC'!$R:$R,'Infos Clientes'!AR$2)
+SUMIFS('Detalhe Por UC'!$AC:$AC,'Detalhe Por UC'!$C:$C,'Infos Clientes'!$B17,'Detalhe Por UC'!$R:$R,'Infos Clientes'!AR$2))</f>
        <v>699</v>
      </c>
      <c r="AS17" s="27">
        <f>IF(SUMIFS('Detalhe Por UC'!$AB:$AB,'Detalhe Por UC'!$C:$C,'Infos Clientes'!$B17,'Detalhe Por UC'!$R:$R,'Infos Clientes'!AS$2)=0,"",
SUMIFS('Detalhe Por UC'!$AB:$AB,'Detalhe Por UC'!$C:$C,'Infos Clientes'!$B17,'Detalhe Por UC'!$R:$R,'Infos Clientes'!AS$2)
+SUMIFS('Detalhe Por UC'!$AC:$AC,'Detalhe Por UC'!$C:$C,'Infos Clientes'!$B17,'Detalhe Por UC'!$R:$R,'Infos Clientes'!AS$2))</f>
        <v>872</v>
      </c>
      <c r="AT17" s="27">
        <f>IF(SUMIFS('Detalhe Por UC'!$AB:$AB,'Detalhe Por UC'!$C:$C,'Infos Clientes'!$B17,'Detalhe Por UC'!$R:$R,'Infos Clientes'!AT$2)=0,"",
SUMIFS('Detalhe Por UC'!$AB:$AB,'Detalhe Por UC'!$C:$C,'Infos Clientes'!$B17,'Detalhe Por UC'!$R:$R,'Infos Clientes'!AT$2)
+SUMIFS('Detalhe Por UC'!$AC:$AC,'Detalhe Por UC'!$C:$C,'Infos Clientes'!$B17,'Detalhe Por UC'!$R:$R,'Infos Clientes'!AT$2))</f>
        <v>689</v>
      </c>
      <c r="AU17" s="27" t="str">
        <f>IF(SUMIFS('Detalhe Por UC'!$AB:$AB,'Detalhe Por UC'!$C:$C,'Infos Clientes'!$B17,'Detalhe Por UC'!$R:$R,'Infos Clientes'!AU$2)=0,"",
SUMIFS('Detalhe Por UC'!$AB:$AB,'Detalhe Por UC'!$C:$C,'Infos Clientes'!$B17,'Detalhe Por UC'!$R:$R,'Infos Clientes'!AU$2)
+SUMIFS('Detalhe Por UC'!$AC:$AC,'Detalhe Por UC'!$C:$C,'Infos Clientes'!$B17,'Detalhe Por UC'!$R:$R,'Infos Clientes'!AU$2))</f>
        <v/>
      </c>
    </row>
    <row r="18" spans="2:47" x14ac:dyDescent="0.3">
      <c r="B18" t="s">
        <v>67</v>
      </c>
      <c r="C18" s="14">
        <f t="shared" si="1"/>
        <v>18</v>
      </c>
      <c r="D18" t="s">
        <v>19</v>
      </c>
      <c r="E18" s="15">
        <v>331</v>
      </c>
      <c r="F18" t="s">
        <v>68</v>
      </c>
      <c r="G18" t="s">
        <v>69</v>
      </c>
      <c r="H18" s="16" t="s">
        <v>67</v>
      </c>
      <c r="I18" s="17" t="s">
        <v>22</v>
      </c>
      <c r="J18" s="1" t="s">
        <v>23</v>
      </c>
      <c r="K18" s="18" t="s">
        <v>24</v>
      </c>
      <c r="L18" s="18"/>
      <c r="M18" s="19">
        <v>0.25</v>
      </c>
      <c r="N18"/>
      <c r="O18" s="20"/>
      <c r="P18" s="21"/>
      <c r="Q18" s="22">
        <f>IF(_xlfn.MINIFS('Detalhe Por UC'!R:R,'Detalhe Por UC'!C:C,B18,'Detalhe Por UC'!AD:AD,"&gt;"&amp;0)=0,"",_xlfn.MINIFS('Detalhe Por UC'!R:R,'Detalhe Por UC'!C:C,B18,'Detalhe Por UC'!AD:AD,"&gt;"&amp;0))</f>
        <v>45627</v>
      </c>
      <c r="R18" s="23">
        <f>IF(P18&lt;&gt;"ATIVO",0,
IF(OR(Q18="",Q18=0,O18=0),O18,
O18-ROUND((MAX('Detalhe Por UC'!R:R)
-Q18)/(365/12),0)))</f>
        <v>0</v>
      </c>
      <c r="T18" s="5">
        <v>372.25</v>
      </c>
      <c r="U18" s="24">
        <f t="shared" si="0"/>
        <v>332.41666666666669</v>
      </c>
      <c r="W18" s="25">
        <v>377</v>
      </c>
      <c r="X18" s="25">
        <v>564</v>
      </c>
      <c r="Y18" s="25">
        <v>426</v>
      </c>
      <c r="Z18" s="25">
        <v>524</v>
      </c>
      <c r="AA18" s="25">
        <v>460</v>
      </c>
      <c r="AB18" s="25">
        <v>436</v>
      </c>
      <c r="AC18" s="25">
        <v>287</v>
      </c>
      <c r="AD18" s="26">
        <v>257</v>
      </c>
      <c r="AE18" s="25">
        <v>228</v>
      </c>
      <c r="AF18" s="25">
        <v>302</v>
      </c>
      <c r="AG18" s="25">
        <v>400</v>
      </c>
      <c r="AH18" s="25">
        <v>310</v>
      </c>
      <c r="AI18" s="25">
        <v>451</v>
      </c>
      <c r="AJ18" s="27">
        <f>IF(SUMIFS('Detalhe Por UC'!$AB:$AB,'Detalhe Por UC'!$C:$C,'Infos Clientes'!$B18,'Detalhe Por UC'!$R:$R,'Infos Clientes'!AJ$2)=0,"",
SUMIFS('Detalhe Por UC'!$AB:$AB,'Detalhe Por UC'!$C:$C,'Infos Clientes'!$B18,'Detalhe Por UC'!$R:$R,'Infos Clientes'!AJ$2)
+SUMIFS('Detalhe Por UC'!$AC:$AC,'Detalhe Por UC'!$C:$C,'Infos Clientes'!$B18,'Detalhe Por UC'!$R:$R,'Infos Clientes'!AJ$2))</f>
        <v>386</v>
      </c>
      <c r="AK18" s="27">
        <f>IF(SUMIFS('Detalhe Por UC'!$AB:$AB,'Detalhe Por UC'!$C:$C,'Infos Clientes'!$B18,'Detalhe Por UC'!$R:$R,'Infos Clientes'!AK$2)=0,"",
SUMIFS('Detalhe Por UC'!$AB:$AB,'Detalhe Por UC'!$C:$C,'Infos Clientes'!$B18,'Detalhe Por UC'!$R:$R,'Infos Clientes'!AK$2)
+SUMIFS('Detalhe Por UC'!$AC:$AC,'Detalhe Por UC'!$C:$C,'Infos Clientes'!$B18,'Detalhe Por UC'!$R:$R,'Infos Clientes'!AK$2))</f>
        <v>417</v>
      </c>
      <c r="AL18" s="27">
        <f>IF(SUMIFS('Detalhe Por UC'!$AB:$AB,'Detalhe Por UC'!$C:$C,'Infos Clientes'!$B18,'Detalhe Por UC'!$R:$R,'Infos Clientes'!AL$2)=0,"",
SUMIFS('Detalhe Por UC'!$AB:$AB,'Detalhe Por UC'!$C:$C,'Infos Clientes'!$B18,'Detalhe Por UC'!$R:$R,'Infos Clientes'!AL$2)
+SUMIFS('Detalhe Por UC'!$AC:$AC,'Detalhe Por UC'!$C:$C,'Infos Clientes'!$B18,'Detalhe Por UC'!$R:$R,'Infos Clientes'!AL$2))</f>
        <v>545</v>
      </c>
      <c r="AM18" s="27">
        <f>IF(SUMIFS('Detalhe Por UC'!$AB:$AB,'Detalhe Por UC'!$C:$C,'Infos Clientes'!$B18,'Detalhe Por UC'!$R:$R,'Infos Clientes'!AM$2)=0,"",
SUMIFS('Detalhe Por UC'!$AB:$AB,'Detalhe Por UC'!$C:$C,'Infos Clientes'!$B18,'Detalhe Por UC'!$R:$R,'Infos Clientes'!AM$2)
+SUMIFS('Detalhe Por UC'!$AC:$AC,'Detalhe Por UC'!$C:$C,'Infos Clientes'!$B18,'Detalhe Por UC'!$R:$R,'Infos Clientes'!AM$2))</f>
        <v>363</v>
      </c>
      <c r="AN18" s="27">
        <f>IF(SUMIFS('Detalhe Por UC'!$AB:$AB,'Detalhe Por UC'!$C:$C,'Infos Clientes'!$B18,'Detalhe Por UC'!$R:$R,'Infos Clientes'!AN$2)=0,"",
SUMIFS('Detalhe Por UC'!$AB:$AB,'Detalhe Por UC'!$C:$C,'Infos Clientes'!$B18,'Detalhe Por UC'!$R:$R,'Infos Clientes'!AN$2)
+SUMIFS('Detalhe Por UC'!$AC:$AC,'Detalhe Por UC'!$C:$C,'Infos Clientes'!$B18,'Detalhe Por UC'!$R:$R,'Infos Clientes'!AN$2))</f>
        <v>228</v>
      </c>
      <c r="AO18" s="27">
        <f>IF(SUMIFS('Detalhe Por UC'!$AB:$AB,'Detalhe Por UC'!$C:$C,'Infos Clientes'!$B18,'Detalhe Por UC'!$R:$R,'Infos Clientes'!AO$2)=0,"",
SUMIFS('Detalhe Por UC'!$AB:$AB,'Detalhe Por UC'!$C:$C,'Infos Clientes'!$B18,'Detalhe Por UC'!$R:$R,'Infos Clientes'!AO$2)
+SUMIFS('Detalhe Por UC'!$AC:$AC,'Detalhe Por UC'!$C:$C,'Infos Clientes'!$B18,'Detalhe Por UC'!$R:$R,'Infos Clientes'!AO$2))</f>
        <v>253</v>
      </c>
      <c r="AP18" s="27">
        <f>IF(SUMIFS('Detalhe Por UC'!$AB:$AB,'Detalhe Por UC'!$C:$C,'Infos Clientes'!$B18,'Detalhe Por UC'!$R:$R,'Infos Clientes'!AP$2)=0,"",
SUMIFS('Detalhe Por UC'!$AB:$AB,'Detalhe Por UC'!$C:$C,'Infos Clientes'!$B18,'Detalhe Por UC'!$R:$R,'Infos Clientes'!AP$2)
+SUMIFS('Detalhe Por UC'!$AC:$AC,'Detalhe Por UC'!$C:$C,'Infos Clientes'!$B18,'Detalhe Por UC'!$R:$R,'Infos Clientes'!AP$2))</f>
        <v>214</v>
      </c>
      <c r="AQ18" s="27">
        <f>IF(SUMIFS('Detalhe Por UC'!$AB:$AB,'Detalhe Por UC'!$C:$C,'Infos Clientes'!$B18,'Detalhe Por UC'!$R:$R,'Infos Clientes'!AQ$2)=0,"",
SUMIFS('Detalhe Por UC'!$AB:$AB,'Detalhe Por UC'!$C:$C,'Infos Clientes'!$B18,'Detalhe Por UC'!$R:$R,'Infos Clientes'!AQ$2)
+SUMIFS('Detalhe Por UC'!$AC:$AC,'Detalhe Por UC'!$C:$C,'Infos Clientes'!$B18,'Detalhe Por UC'!$R:$R,'Infos Clientes'!AQ$2))</f>
        <v>225</v>
      </c>
      <c r="AR18" s="27">
        <f>IF(SUMIFS('Detalhe Por UC'!$AB:$AB,'Detalhe Por UC'!$C:$C,'Infos Clientes'!$B18,'Detalhe Por UC'!$R:$R,'Infos Clientes'!AR$2)=0,"",
SUMIFS('Detalhe Por UC'!$AB:$AB,'Detalhe Por UC'!$C:$C,'Infos Clientes'!$B18,'Detalhe Por UC'!$R:$R,'Infos Clientes'!AR$2)
+SUMIFS('Detalhe Por UC'!$AC:$AC,'Detalhe Por UC'!$C:$C,'Infos Clientes'!$B18,'Detalhe Por UC'!$R:$R,'Infos Clientes'!AR$2))</f>
        <v>287</v>
      </c>
      <c r="AS18" s="27">
        <f>IF(SUMIFS('Detalhe Por UC'!$AB:$AB,'Detalhe Por UC'!$C:$C,'Infos Clientes'!$B18,'Detalhe Por UC'!$R:$R,'Infos Clientes'!AS$2)=0,"",
SUMIFS('Detalhe Por UC'!$AB:$AB,'Detalhe Por UC'!$C:$C,'Infos Clientes'!$B18,'Detalhe Por UC'!$R:$R,'Infos Clientes'!AS$2)
+SUMIFS('Detalhe Por UC'!$AC:$AC,'Detalhe Por UC'!$C:$C,'Infos Clientes'!$B18,'Detalhe Por UC'!$R:$R,'Infos Clientes'!AS$2))</f>
        <v>314</v>
      </c>
      <c r="AT18" s="27">
        <f>IF(SUMIFS('Detalhe Por UC'!$AB:$AB,'Detalhe Por UC'!$C:$C,'Infos Clientes'!$B18,'Detalhe Por UC'!$R:$R,'Infos Clientes'!AT$2)=0,"",
SUMIFS('Detalhe Por UC'!$AB:$AB,'Detalhe Por UC'!$C:$C,'Infos Clientes'!$B18,'Detalhe Por UC'!$R:$R,'Infos Clientes'!AT$2)
+SUMIFS('Detalhe Por UC'!$AC:$AC,'Detalhe Por UC'!$C:$C,'Infos Clientes'!$B18,'Detalhe Por UC'!$R:$R,'Infos Clientes'!AT$2))</f>
        <v>306</v>
      </c>
      <c r="AU18" s="27" t="str">
        <f>IF(SUMIFS('Detalhe Por UC'!$AB:$AB,'Detalhe Por UC'!$C:$C,'Infos Clientes'!$B18,'Detalhe Por UC'!$R:$R,'Infos Clientes'!AU$2)=0,"",
SUMIFS('Detalhe Por UC'!$AB:$AB,'Detalhe Por UC'!$C:$C,'Infos Clientes'!$B18,'Detalhe Por UC'!$R:$R,'Infos Clientes'!AU$2)
+SUMIFS('Detalhe Por UC'!$AC:$AC,'Detalhe Por UC'!$C:$C,'Infos Clientes'!$B18,'Detalhe Por UC'!$R:$R,'Infos Clientes'!AU$2))</f>
        <v/>
      </c>
    </row>
    <row r="19" spans="2:47" x14ac:dyDescent="0.3">
      <c r="B19" t="s">
        <v>70</v>
      </c>
      <c r="C19" s="14">
        <f t="shared" si="1"/>
        <v>19</v>
      </c>
      <c r="D19" t="s">
        <v>19</v>
      </c>
      <c r="E19" s="15">
        <v>371</v>
      </c>
      <c r="F19" t="s">
        <v>71</v>
      </c>
      <c r="G19" t="s">
        <v>72</v>
      </c>
      <c r="H19" s="16" t="s">
        <v>70</v>
      </c>
      <c r="I19" s="17" t="s">
        <v>22</v>
      </c>
      <c r="J19" s="1" t="s">
        <v>28</v>
      </c>
      <c r="K19" s="18" t="s">
        <v>24</v>
      </c>
      <c r="L19" s="18"/>
      <c r="M19" s="19">
        <v>0.25</v>
      </c>
      <c r="N19"/>
      <c r="O19" s="20"/>
      <c r="P19" s="21"/>
      <c r="Q19" s="22">
        <f>IF(_xlfn.MINIFS('Detalhe Por UC'!R:R,'Detalhe Por UC'!C:C,B19,'Detalhe Por UC'!AD:AD,"&gt;"&amp;0)=0,"",_xlfn.MINIFS('Detalhe Por UC'!R:R,'Detalhe Por UC'!C:C,B19,'Detalhe Por UC'!AD:AD,"&gt;"&amp;0))</f>
        <v>45627</v>
      </c>
      <c r="R19" s="23">
        <f>IF(P19&lt;&gt;"ATIVO",0,
IF(OR(Q19="",Q19=0,O19=0),O19,
O19-ROUND((MAX('Detalhe Por UC'!R:R)
-Q19)/(365/12),0)))</f>
        <v>0</v>
      </c>
      <c r="T19" s="5">
        <v>796.66666666666663</v>
      </c>
      <c r="U19" s="24">
        <f t="shared" si="0"/>
        <v>753.33333333333337</v>
      </c>
      <c r="W19" s="25">
        <v>680</v>
      </c>
      <c r="X19" s="25">
        <v>1120</v>
      </c>
      <c r="Y19" s="25">
        <v>880</v>
      </c>
      <c r="Z19" s="25">
        <v>1160</v>
      </c>
      <c r="AA19" s="25">
        <v>960</v>
      </c>
      <c r="AB19" s="25">
        <v>1040</v>
      </c>
      <c r="AC19" s="25">
        <v>520</v>
      </c>
      <c r="AD19" s="26">
        <v>440</v>
      </c>
      <c r="AE19" s="25">
        <v>600</v>
      </c>
      <c r="AF19" s="25">
        <v>640</v>
      </c>
      <c r="AG19" s="25">
        <v>880</v>
      </c>
      <c r="AH19" s="25">
        <v>800</v>
      </c>
      <c r="AI19" s="25">
        <v>760</v>
      </c>
      <c r="AJ19" s="27">
        <f>IF(SUMIFS('Detalhe Por UC'!$AB:$AB,'Detalhe Por UC'!$C:$C,'Infos Clientes'!$B19,'Detalhe Por UC'!$R:$R,'Infos Clientes'!AJ$2)=0,"",
SUMIFS('Detalhe Por UC'!$AB:$AB,'Detalhe Por UC'!$C:$C,'Infos Clientes'!$B19,'Detalhe Por UC'!$R:$R,'Infos Clientes'!AJ$2)
+SUMIFS('Detalhe Por UC'!$AC:$AC,'Detalhe Por UC'!$C:$C,'Infos Clientes'!$B19,'Detalhe Por UC'!$R:$R,'Infos Clientes'!AJ$2))</f>
        <v>880</v>
      </c>
      <c r="AK19" s="27">
        <f>IF(SUMIFS('Detalhe Por UC'!$AB:$AB,'Detalhe Por UC'!$C:$C,'Infos Clientes'!$B19,'Detalhe Por UC'!$R:$R,'Infos Clientes'!AK$2)=0,"",
SUMIFS('Detalhe Por UC'!$AB:$AB,'Detalhe Por UC'!$C:$C,'Infos Clientes'!$B19,'Detalhe Por UC'!$R:$R,'Infos Clientes'!AK$2)
+SUMIFS('Detalhe Por UC'!$AC:$AC,'Detalhe Por UC'!$C:$C,'Infos Clientes'!$B19,'Detalhe Por UC'!$R:$R,'Infos Clientes'!AK$2))</f>
        <v>960</v>
      </c>
      <c r="AL19" s="27">
        <f>IF(SUMIFS('Detalhe Por UC'!$AB:$AB,'Detalhe Por UC'!$C:$C,'Infos Clientes'!$B19,'Detalhe Por UC'!$R:$R,'Infos Clientes'!AL$2)=0,"",
SUMIFS('Detalhe Por UC'!$AB:$AB,'Detalhe Por UC'!$C:$C,'Infos Clientes'!$B19,'Detalhe Por UC'!$R:$R,'Infos Clientes'!AL$2)
+SUMIFS('Detalhe Por UC'!$AC:$AC,'Detalhe Por UC'!$C:$C,'Infos Clientes'!$B19,'Detalhe Por UC'!$R:$R,'Infos Clientes'!AL$2))</f>
        <v>1120</v>
      </c>
      <c r="AM19" s="27">
        <f>IF(SUMIFS('Detalhe Por UC'!$AB:$AB,'Detalhe Por UC'!$C:$C,'Infos Clientes'!$B19,'Detalhe Por UC'!$R:$R,'Infos Clientes'!AM$2)=0,"",
SUMIFS('Detalhe Por UC'!$AB:$AB,'Detalhe Por UC'!$C:$C,'Infos Clientes'!$B19,'Detalhe Por UC'!$R:$R,'Infos Clientes'!AM$2)
+SUMIFS('Detalhe Por UC'!$AC:$AC,'Detalhe Por UC'!$C:$C,'Infos Clientes'!$B19,'Detalhe Por UC'!$R:$R,'Infos Clientes'!AM$2))</f>
        <v>800</v>
      </c>
      <c r="AN19" s="27">
        <f>IF(SUMIFS('Detalhe Por UC'!$AB:$AB,'Detalhe Por UC'!$C:$C,'Infos Clientes'!$B19,'Detalhe Por UC'!$R:$R,'Infos Clientes'!AN$2)=0,"",
SUMIFS('Detalhe Por UC'!$AB:$AB,'Detalhe Por UC'!$C:$C,'Infos Clientes'!$B19,'Detalhe Por UC'!$R:$R,'Infos Clientes'!AN$2)
+SUMIFS('Detalhe Por UC'!$AC:$AC,'Detalhe Por UC'!$C:$C,'Infos Clientes'!$B19,'Detalhe Por UC'!$R:$R,'Infos Clientes'!AN$2))</f>
        <v>800</v>
      </c>
      <c r="AO19" s="27">
        <f>IF(SUMIFS('Detalhe Por UC'!$AB:$AB,'Detalhe Por UC'!$C:$C,'Infos Clientes'!$B19,'Detalhe Por UC'!$R:$R,'Infos Clientes'!AO$2)=0,"",
SUMIFS('Detalhe Por UC'!$AB:$AB,'Detalhe Por UC'!$C:$C,'Infos Clientes'!$B19,'Detalhe Por UC'!$R:$R,'Infos Clientes'!AO$2)
+SUMIFS('Detalhe Por UC'!$AC:$AC,'Detalhe Por UC'!$C:$C,'Infos Clientes'!$B19,'Detalhe Por UC'!$R:$R,'Infos Clientes'!AO$2))</f>
        <v>520</v>
      </c>
      <c r="AP19" s="27">
        <f>IF(SUMIFS('Detalhe Por UC'!$AB:$AB,'Detalhe Por UC'!$C:$C,'Infos Clientes'!$B19,'Detalhe Por UC'!$R:$R,'Infos Clientes'!AP$2)=0,"",
SUMIFS('Detalhe Por UC'!$AB:$AB,'Detalhe Por UC'!$C:$C,'Infos Clientes'!$B19,'Detalhe Por UC'!$R:$R,'Infos Clientes'!AP$2)
+SUMIFS('Detalhe Por UC'!$AC:$AC,'Detalhe Por UC'!$C:$C,'Infos Clientes'!$B19,'Detalhe Por UC'!$R:$R,'Infos Clientes'!AP$2))</f>
        <v>440</v>
      </c>
      <c r="AQ19" s="27">
        <f>IF(SUMIFS('Detalhe Por UC'!$AB:$AB,'Detalhe Por UC'!$C:$C,'Infos Clientes'!$B19,'Detalhe Por UC'!$R:$R,'Infos Clientes'!AQ$2)=0,"",
SUMIFS('Detalhe Por UC'!$AB:$AB,'Detalhe Por UC'!$C:$C,'Infos Clientes'!$B19,'Detalhe Por UC'!$R:$R,'Infos Clientes'!AQ$2)
+SUMIFS('Detalhe Por UC'!$AC:$AC,'Detalhe Por UC'!$C:$C,'Infos Clientes'!$B19,'Detalhe Por UC'!$R:$R,'Infos Clientes'!AQ$2))</f>
        <v>520</v>
      </c>
      <c r="AR19" s="27">
        <f>IF(SUMIFS('Detalhe Por UC'!$AB:$AB,'Detalhe Por UC'!$C:$C,'Infos Clientes'!$B19,'Detalhe Por UC'!$R:$R,'Infos Clientes'!AR$2)=0,"",
SUMIFS('Detalhe Por UC'!$AB:$AB,'Detalhe Por UC'!$C:$C,'Infos Clientes'!$B19,'Detalhe Por UC'!$R:$R,'Infos Clientes'!AR$2)
+SUMIFS('Detalhe Por UC'!$AC:$AC,'Detalhe Por UC'!$C:$C,'Infos Clientes'!$B19,'Detalhe Por UC'!$R:$R,'Infos Clientes'!AR$2))</f>
        <v>640</v>
      </c>
      <c r="AS19" s="27">
        <f>IF(SUMIFS('Detalhe Por UC'!$AB:$AB,'Detalhe Por UC'!$C:$C,'Infos Clientes'!$B19,'Detalhe Por UC'!$R:$R,'Infos Clientes'!AS$2)=0,"",
SUMIFS('Detalhe Por UC'!$AB:$AB,'Detalhe Por UC'!$C:$C,'Infos Clientes'!$B19,'Detalhe Por UC'!$R:$R,'Infos Clientes'!AS$2)
+SUMIFS('Detalhe Por UC'!$AC:$AC,'Detalhe Por UC'!$C:$C,'Infos Clientes'!$B19,'Detalhe Por UC'!$R:$R,'Infos Clientes'!AS$2))</f>
        <v>800</v>
      </c>
      <c r="AT19" s="27">
        <f>IF(SUMIFS('Detalhe Por UC'!$AB:$AB,'Detalhe Por UC'!$C:$C,'Infos Clientes'!$B19,'Detalhe Por UC'!$R:$R,'Infos Clientes'!AT$2)=0,"",
SUMIFS('Detalhe Por UC'!$AB:$AB,'Detalhe Por UC'!$C:$C,'Infos Clientes'!$B19,'Detalhe Por UC'!$R:$R,'Infos Clientes'!AT$2)
+SUMIFS('Detalhe Por UC'!$AC:$AC,'Detalhe Por UC'!$C:$C,'Infos Clientes'!$B19,'Detalhe Por UC'!$R:$R,'Infos Clientes'!AT$2))</f>
        <v>800</v>
      </c>
      <c r="AU19" s="27" t="str">
        <f>IF(SUMIFS('Detalhe Por UC'!$AB:$AB,'Detalhe Por UC'!$C:$C,'Infos Clientes'!$B19,'Detalhe Por UC'!$R:$R,'Infos Clientes'!AU$2)=0,"",
SUMIFS('Detalhe Por UC'!$AB:$AB,'Detalhe Por UC'!$C:$C,'Infos Clientes'!$B19,'Detalhe Por UC'!$R:$R,'Infos Clientes'!AU$2)
+SUMIFS('Detalhe Por UC'!$AC:$AC,'Detalhe Por UC'!$C:$C,'Infos Clientes'!$B19,'Detalhe Por UC'!$R:$R,'Infos Clientes'!AU$2))</f>
        <v/>
      </c>
    </row>
    <row r="20" spans="2:47" x14ac:dyDescent="0.3">
      <c r="B20" t="s">
        <v>73</v>
      </c>
      <c r="C20" s="14">
        <f t="shared" si="1"/>
        <v>20</v>
      </c>
      <c r="D20" t="s">
        <v>19</v>
      </c>
      <c r="E20" s="15">
        <v>306</v>
      </c>
      <c r="F20" t="s">
        <v>74</v>
      </c>
      <c r="G20" t="s">
        <v>75</v>
      </c>
      <c r="H20" s="16" t="s">
        <v>73</v>
      </c>
      <c r="I20" s="17" t="s">
        <v>22</v>
      </c>
      <c r="J20" s="1" t="s">
        <v>23</v>
      </c>
      <c r="K20" s="18" t="s">
        <v>24</v>
      </c>
      <c r="L20" s="18"/>
      <c r="M20" s="19">
        <v>0.25</v>
      </c>
      <c r="N20"/>
      <c r="O20" s="20"/>
      <c r="P20" s="21"/>
      <c r="Q20" s="22">
        <f>IF(_xlfn.MINIFS('Detalhe Por UC'!R:R,'Detalhe Por UC'!C:C,B20,'Detalhe Por UC'!AD:AD,"&gt;"&amp;0)=0,"",_xlfn.MINIFS('Detalhe Por UC'!R:R,'Detalhe Por UC'!C:C,B20,'Detalhe Por UC'!AD:AD,"&gt;"&amp;0))</f>
        <v>45627</v>
      </c>
      <c r="R20" s="23">
        <f>IF(P20&lt;&gt;"ATIVO",0,
IF(OR(Q20="",Q20=0,O20=0),O20,
O20-ROUND((MAX('Detalhe Por UC'!R:R)
-Q20)/(365/12),0)))</f>
        <v>0</v>
      </c>
      <c r="T20" s="5">
        <v>153.91666666666666</v>
      </c>
      <c r="U20" s="24">
        <f t="shared" si="0"/>
        <v>124.91666666666667</v>
      </c>
      <c r="W20" s="25">
        <v>136</v>
      </c>
      <c r="X20" s="25">
        <v>154</v>
      </c>
      <c r="Y20" s="25">
        <v>151</v>
      </c>
      <c r="Z20" s="25">
        <v>173</v>
      </c>
      <c r="AA20" s="25">
        <v>165</v>
      </c>
      <c r="AB20" s="25">
        <v>204</v>
      </c>
      <c r="AC20" s="25">
        <v>90</v>
      </c>
      <c r="AD20" s="26">
        <v>139</v>
      </c>
      <c r="AE20" s="25">
        <v>107</v>
      </c>
      <c r="AF20" s="25">
        <v>89</v>
      </c>
      <c r="AG20" s="25">
        <v>223</v>
      </c>
      <c r="AH20" s="25">
        <v>200</v>
      </c>
      <c r="AI20" s="25">
        <v>158</v>
      </c>
      <c r="AJ20" s="27">
        <f>IF(SUMIFS('Detalhe Por UC'!$AB:$AB,'Detalhe Por UC'!$C:$C,'Infos Clientes'!$B20,'Detalhe Por UC'!$R:$R,'Infos Clientes'!AJ$2)=0,"",
SUMIFS('Detalhe Por UC'!$AB:$AB,'Detalhe Por UC'!$C:$C,'Infos Clientes'!$B20,'Detalhe Por UC'!$R:$R,'Infos Clientes'!AJ$2)
+SUMIFS('Detalhe Por UC'!$AC:$AC,'Detalhe Por UC'!$C:$C,'Infos Clientes'!$B20,'Detalhe Por UC'!$R:$R,'Infos Clientes'!AJ$2))</f>
        <v>148</v>
      </c>
      <c r="AK20" s="27">
        <f>IF(SUMIFS('Detalhe Por UC'!$AB:$AB,'Detalhe Por UC'!$C:$C,'Infos Clientes'!$B20,'Detalhe Por UC'!$R:$R,'Infos Clientes'!AK$2)=0,"",
SUMIFS('Detalhe Por UC'!$AB:$AB,'Detalhe Por UC'!$C:$C,'Infos Clientes'!$B20,'Detalhe Por UC'!$R:$R,'Infos Clientes'!AK$2)
+SUMIFS('Detalhe Por UC'!$AC:$AC,'Detalhe Por UC'!$C:$C,'Infos Clientes'!$B20,'Detalhe Por UC'!$R:$R,'Infos Clientes'!AK$2))</f>
        <v>179</v>
      </c>
      <c r="AL20" s="27">
        <f>IF(SUMIFS('Detalhe Por UC'!$AB:$AB,'Detalhe Por UC'!$C:$C,'Infos Clientes'!$B20,'Detalhe Por UC'!$R:$R,'Infos Clientes'!AL$2)=0,"",
SUMIFS('Detalhe Por UC'!$AB:$AB,'Detalhe Por UC'!$C:$C,'Infos Clientes'!$B20,'Detalhe Por UC'!$R:$R,'Infos Clientes'!AL$2)
+SUMIFS('Detalhe Por UC'!$AC:$AC,'Detalhe Por UC'!$C:$C,'Infos Clientes'!$B20,'Detalhe Por UC'!$R:$R,'Infos Clientes'!AL$2))</f>
        <v>151</v>
      </c>
      <c r="AM20" s="27">
        <f>IF(SUMIFS('Detalhe Por UC'!$AB:$AB,'Detalhe Por UC'!$C:$C,'Infos Clientes'!$B20,'Detalhe Por UC'!$R:$R,'Infos Clientes'!AM$2)=0,"",
SUMIFS('Detalhe Por UC'!$AB:$AB,'Detalhe Por UC'!$C:$C,'Infos Clientes'!$B20,'Detalhe Por UC'!$R:$R,'Infos Clientes'!AM$2)
+SUMIFS('Detalhe Por UC'!$AC:$AC,'Detalhe Por UC'!$C:$C,'Infos Clientes'!$B20,'Detalhe Por UC'!$R:$R,'Infos Clientes'!AM$2))</f>
        <v>171</v>
      </c>
      <c r="AN20" s="27">
        <f>IF(SUMIFS('Detalhe Por UC'!$AB:$AB,'Detalhe Por UC'!$C:$C,'Infos Clientes'!$B20,'Detalhe Por UC'!$R:$R,'Infos Clientes'!AN$2)=0,"",
SUMIFS('Detalhe Por UC'!$AB:$AB,'Detalhe Por UC'!$C:$C,'Infos Clientes'!$B20,'Detalhe Por UC'!$R:$R,'Infos Clientes'!AN$2)
+SUMIFS('Detalhe Por UC'!$AC:$AC,'Detalhe Por UC'!$C:$C,'Infos Clientes'!$B20,'Detalhe Por UC'!$R:$R,'Infos Clientes'!AN$2))</f>
        <v>124</v>
      </c>
      <c r="AO20" s="27">
        <f>IF(SUMIFS('Detalhe Por UC'!$AB:$AB,'Detalhe Por UC'!$C:$C,'Infos Clientes'!$B20,'Detalhe Por UC'!$R:$R,'Infos Clientes'!AO$2)=0,"",
SUMIFS('Detalhe Por UC'!$AB:$AB,'Detalhe Por UC'!$C:$C,'Infos Clientes'!$B20,'Detalhe Por UC'!$R:$R,'Infos Clientes'!AO$2)
+SUMIFS('Detalhe Por UC'!$AC:$AC,'Detalhe Por UC'!$C:$C,'Infos Clientes'!$B20,'Detalhe Por UC'!$R:$R,'Infos Clientes'!AO$2))</f>
        <v>90</v>
      </c>
      <c r="AP20" s="27">
        <f>IF(SUMIFS('Detalhe Por UC'!$AB:$AB,'Detalhe Por UC'!$C:$C,'Infos Clientes'!$B20,'Detalhe Por UC'!$R:$R,'Infos Clientes'!AP$2)=0,"",
SUMIFS('Detalhe Por UC'!$AB:$AB,'Detalhe Por UC'!$C:$C,'Infos Clientes'!$B20,'Detalhe Por UC'!$R:$R,'Infos Clientes'!AP$2)
+SUMIFS('Detalhe Por UC'!$AC:$AC,'Detalhe Por UC'!$C:$C,'Infos Clientes'!$B20,'Detalhe Por UC'!$R:$R,'Infos Clientes'!AP$2))</f>
        <v>78</v>
      </c>
      <c r="AQ20" s="27">
        <f>IF(SUMIFS('Detalhe Por UC'!$AB:$AB,'Detalhe Por UC'!$C:$C,'Infos Clientes'!$B20,'Detalhe Por UC'!$R:$R,'Infos Clientes'!AQ$2)=0,"",
SUMIFS('Detalhe Por UC'!$AB:$AB,'Detalhe Por UC'!$C:$C,'Infos Clientes'!$B20,'Detalhe Por UC'!$R:$R,'Infos Clientes'!AQ$2)
+SUMIFS('Detalhe Por UC'!$AC:$AC,'Detalhe Por UC'!$C:$C,'Infos Clientes'!$B20,'Detalhe Por UC'!$R:$R,'Infos Clientes'!AQ$2))</f>
        <v>91</v>
      </c>
      <c r="AR20" s="27">
        <f>IF(SUMIFS('Detalhe Por UC'!$AB:$AB,'Detalhe Por UC'!$C:$C,'Infos Clientes'!$B20,'Detalhe Por UC'!$R:$R,'Infos Clientes'!AR$2)=0,"",
SUMIFS('Detalhe Por UC'!$AB:$AB,'Detalhe Por UC'!$C:$C,'Infos Clientes'!$B20,'Detalhe Por UC'!$R:$R,'Infos Clientes'!AR$2)
+SUMIFS('Detalhe Por UC'!$AC:$AC,'Detalhe Por UC'!$C:$C,'Infos Clientes'!$B20,'Detalhe Por UC'!$R:$R,'Infos Clientes'!AR$2))</f>
        <v>88</v>
      </c>
      <c r="AS20" s="27">
        <f>IF(SUMIFS('Detalhe Por UC'!$AB:$AB,'Detalhe Por UC'!$C:$C,'Infos Clientes'!$B20,'Detalhe Por UC'!$R:$R,'Infos Clientes'!AS$2)=0,"",
SUMIFS('Detalhe Por UC'!$AB:$AB,'Detalhe Por UC'!$C:$C,'Infos Clientes'!$B20,'Detalhe Por UC'!$R:$R,'Infos Clientes'!AS$2)
+SUMIFS('Detalhe Por UC'!$AC:$AC,'Detalhe Por UC'!$C:$C,'Infos Clientes'!$B20,'Detalhe Por UC'!$R:$R,'Infos Clientes'!AS$2))</f>
        <v>106</v>
      </c>
      <c r="AT20" s="27">
        <f>IF(SUMIFS('Detalhe Por UC'!$AB:$AB,'Detalhe Por UC'!$C:$C,'Infos Clientes'!$B20,'Detalhe Por UC'!$R:$R,'Infos Clientes'!AT$2)=0,"",
SUMIFS('Detalhe Por UC'!$AB:$AB,'Detalhe Por UC'!$C:$C,'Infos Clientes'!$B20,'Detalhe Por UC'!$R:$R,'Infos Clientes'!AT$2)
+SUMIFS('Detalhe Por UC'!$AC:$AC,'Detalhe Por UC'!$C:$C,'Infos Clientes'!$B20,'Detalhe Por UC'!$R:$R,'Infos Clientes'!AT$2))</f>
        <v>115</v>
      </c>
      <c r="AU20" s="27" t="str">
        <f>IF(SUMIFS('Detalhe Por UC'!$AB:$AB,'Detalhe Por UC'!$C:$C,'Infos Clientes'!$B20,'Detalhe Por UC'!$R:$R,'Infos Clientes'!AU$2)=0,"",
SUMIFS('Detalhe Por UC'!$AB:$AB,'Detalhe Por UC'!$C:$C,'Infos Clientes'!$B20,'Detalhe Por UC'!$R:$R,'Infos Clientes'!AU$2)
+SUMIFS('Detalhe Por UC'!$AC:$AC,'Detalhe Por UC'!$C:$C,'Infos Clientes'!$B20,'Detalhe Por UC'!$R:$R,'Infos Clientes'!AU$2))</f>
        <v/>
      </c>
    </row>
    <row r="21" spans="2:47" x14ac:dyDescent="0.3">
      <c r="B21" t="s">
        <v>76</v>
      </c>
      <c r="C21" s="14">
        <f t="shared" si="1"/>
        <v>21</v>
      </c>
      <c r="D21" t="s">
        <v>19</v>
      </c>
      <c r="E21" s="15">
        <v>371</v>
      </c>
      <c r="F21" t="s">
        <v>77</v>
      </c>
      <c r="G21" t="s">
        <v>78</v>
      </c>
      <c r="H21" s="16" t="s">
        <v>76</v>
      </c>
      <c r="I21" s="17" t="s">
        <v>22</v>
      </c>
      <c r="J21" s="1" t="s">
        <v>23</v>
      </c>
      <c r="K21" s="18" t="s">
        <v>24</v>
      </c>
      <c r="L21" s="18"/>
      <c r="M21" s="19">
        <v>0.25</v>
      </c>
      <c r="N21"/>
      <c r="O21" s="20"/>
      <c r="P21" s="21"/>
      <c r="Q21" s="22">
        <f>IF(_xlfn.MINIFS('Detalhe Por UC'!R:R,'Detalhe Por UC'!C:C,B21,'Detalhe Por UC'!AD:AD,"&gt;"&amp;0)=0,"",_xlfn.MINIFS('Detalhe Por UC'!R:R,'Detalhe Por UC'!C:C,B21,'Detalhe Por UC'!AD:AD,"&gt;"&amp;0))</f>
        <v>45627</v>
      </c>
      <c r="R21" s="23">
        <f>IF(P21&lt;&gt;"ATIVO",0,
IF(OR(Q21="",Q21=0,O21=0),O21,
O21-ROUND((MAX('Detalhe Por UC'!R:R)
-Q21)/(365/12),0)))</f>
        <v>0</v>
      </c>
      <c r="T21" s="5">
        <v>157.66666666666666</v>
      </c>
      <c r="U21" s="24">
        <f t="shared" si="0"/>
        <v>115.45454545454545</v>
      </c>
      <c r="W21" s="25">
        <v>157</v>
      </c>
      <c r="X21" s="25">
        <v>192</v>
      </c>
      <c r="Y21" s="25">
        <v>165</v>
      </c>
      <c r="Z21" s="25">
        <v>180</v>
      </c>
      <c r="AA21" s="25">
        <v>210</v>
      </c>
      <c r="AB21" s="25">
        <v>187</v>
      </c>
      <c r="AC21" s="25">
        <v>130</v>
      </c>
      <c r="AD21" s="26">
        <v>99</v>
      </c>
      <c r="AE21" s="25">
        <v>129</v>
      </c>
      <c r="AF21" s="25">
        <v>127</v>
      </c>
      <c r="AG21" s="25">
        <v>178</v>
      </c>
      <c r="AH21" s="25">
        <v>169</v>
      </c>
      <c r="AI21" s="25">
        <v>133</v>
      </c>
      <c r="AJ21" s="27">
        <f>IF(SUMIFS('Detalhe Por UC'!$AB:$AB,'Detalhe Por UC'!$C:$C,'Infos Clientes'!$B21,'Detalhe Por UC'!$R:$R,'Infos Clientes'!AJ$2)=0,"",
SUMIFS('Detalhe Por UC'!$AB:$AB,'Detalhe Por UC'!$C:$C,'Infos Clientes'!$B21,'Detalhe Por UC'!$R:$R,'Infos Clientes'!AJ$2)
+SUMIFS('Detalhe Por UC'!$AC:$AC,'Detalhe Por UC'!$C:$C,'Infos Clientes'!$B21,'Detalhe Por UC'!$R:$R,'Infos Clientes'!AJ$2))</f>
        <v>185</v>
      </c>
      <c r="AK21" s="27">
        <f>IF(SUMIFS('Detalhe Por UC'!$AB:$AB,'Detalhe Por UC'!$C:$C,'Infos Clientes'!$B21,'Detalhe Por UC'!$R:$R,'Infos Clientes'!AK$2)=0,"",
SUMIFS('Detalhe Por UC'!$AB:$AB,'Detalhe Por UC'!$C:$C,'Infos Clientes'!$B21,'Detalhe Por UC'!$R:$R,'Infos Clientes'!AK$2)
+SUMIFS('Detalhe Por UC'!$AC:$AC,'Detalhe Por UC'!$C:$C,'Infos Clientes'!$B21,'Detalhe Por UC'!$R:$R,'Infos Clientes'!AK$2))</f>
        <v>149</v>
      </c>
      <c r="AL21" s="27">
        <f>IF(SUMIFS('Detalhe Por UC'!$AB:$AB,'Detalhe Por UC'!$C:$C,'Infos Clientes'!$B21,'Detalhe Por UC'!$R:$R,'Infos Clientes'!AL$2)=0,"",
SUMIFS('Detalhe Por UC'!$AB:$AB,'Detalhe Por UC'!$C:$C,'Infos Clientes'!$B21,'Detalhe Por UC'!$R:$R,'Infos Clientes'!AL$2)
+SUMIFS('Detalhe Por UC'!$AC:$AC,'Detalhe Por UC'!$C:$C,'Infos Clientes'!$B21,'Detalhe Por UC'!$R:$R,'Infos Clientes'!AL$2))</f>
        <v>157</v>
      </c>
      <c r="AM21" s="27">
        <f>IF(SUMIFS('Detalhe Por UC'!$AB:$AB,'Detalhe Por UC'!$C:$C,'Infos Clientes'!$B21,'Detalhe Por UC'!$R:$R,'Infos Clientes'!AM$2)=0,"",
SUMIFS('Detalhe Por UC'!$AB:$AB,'Detalhe Por UC'!$C:$C,'Infos Clientes'!$B21,'Detalhe Por UC'!$R:$R,'Infos Clientes'!AM$2)
+SUMIFS('Detalhe Por UC'!$AC:$AC,'Detalhe Por UC'!$C:$C,'Infos Clientes'!$B21,'Detalhe Por UC'!$R:$R,'Infos Clientes'!AM$2))</f>
        <v>98</v>
      </c>
      <c r="AN21" s="27">
        <f>IF(SUMIFS('Detalhe Por UC'!$AB:$AB,'Detalhe Por UC'!$C:$C,'Infos Clientes'!$B21,'Detalhe Por UC'!$R:$R,'Infos Clientes'!AN$2)=0,"",
SUMIFS('Detalhe Por UC'!$AB:$AB,'Detalhe Por UC'!$C:$C,'Infos Clientes'!$B21,'Detalhe Por UC'!$R:$R,'Infos Clientes'!AN$2)
+SUMIFS('Detalhe Por UC'!$AC:$AC,'Detalhe Por UC'!$C:$C,'Infos Clientes'!$B21,'Detalhe Por UC'!$R:$R,'Infos Clientes'!AN$2))</f>
        <v>77</v>
      </c>
      <c r="AO21" s="27">
        <f>IF(SUMIFS('Detalhe Por UC'!$AB:$AB,'Detalhe Por UC'!$C:$C,'Infos Clientes'!$B21,'Detalhe Por UC'!$R:$R,'Infos Clientes'!AO$2)=0,"",
SUMIFS('Detalhe Por UC'!$AB:$AB,'Detalhe Por UC'!$C:$C,'Infos Clientes'!$B21,'Detalhe Por UC'!$R:$R,'Infos Clientes'!AO$2)
+SUMIFS('Detalhe Por UC'!$AC:$AC,'Detalhe Por UC'!$C:$C,'Infos Clientes'!$B21,'Detalhe Por UC'!$R:$R,'Infos Clientes'!AO$2))</f>
        <v>63</v>
      </c>
      <c r="AP21" s="27" t="str">
        <f>IF(SUMIFS('Detalhe Por UC'!$AB:$AB,'Detalhe Por UC'!$C:$C,'Infos Clientes'!$B21,'Detalhe Por UC'!$R:$R,'Infos Clientes'!AP$2)=0,"",
SUMIFS('Detalhe Por UC'!$AB:$AB,'Detalhe Por UC'!$C:$C,'Infos Clientes'!$B21,'Detalhe Por UC'!$R:$R,'Infos Clientes'!AP$2)
+SUMIFS('Detalhe Por UC'!$AC:$AC,'Detalhe Por UC'!$C:$C,'Infos Clientes'!$B21,'Detalhe Por UC'!$R:$R,'Infos Clientes'!AP$2))</f>
        <v/>
      </c>
      <c r="AQ21" s="27">
        <f>IF(SUMIFS('Detalhe Por UC'!$AB:$AB,'Detalhe Por UC'!$C:$C,'Infos Clientes'!$B21,'Detalhe Por UC'!$R:$R,'Infos Clientes'!AQ$2)=0,"",
SUMIFS('Detalhe Por UC'!$AB:$AB,'Detalhe Por UC'!$C:$C,'Infos Clientes'!$B21,'Detalhe Por UC'!$R:$R,'Infos Clientes'!AQ$2)
+SUMIFS('Detalhe Por UC'!$AC:$AC,'Detalhe Por UC'!$C:$C,'Infos Clientes'!$B21,'Detalhe Por UC'!$R:$R,'Infos Clientes'!AQ$2))</f>
        <v>62</v>
      </c>
      <c r="AR21" s="27">
        <f>IF(SUMIFS('Detalhe Por UC'!$AB:$AB,'Detalhe Por UC'!$C:$C,'Infos Clientes'!$B21,'Detalhe Por UC'!$R:$R,'Infos Clientes'!AR$2)=0,"",
SUMIFS('Detalhe Por UC'!$AB:$AB,'Detalhe Por UC'!$C:$C,'Infos Clientes'!$B21,'Detalhe Por UC'!$R:$R,'Infos Clientes'!AR$2)
+SUMIFS('Detalhe Por UC'!$AC:$AC,'Detalhe Por UC'!$C:$C,'Infos Clientes'!$B21,'Detalhe Por UC'!$R:$R,'Infos Clientes'!AR$2))</f>
        <v>113</v>
      </c>
      <c r="AS21" s="27">
        <f>IF(SUMIFS('Detalhe Por UC'!$AB:$AB,'Detalhe Por UC'!$C:$C,'Infos Clientes'!$B21,'Detalhe Por UC'!$R:$R,'Infos Clientes'!AS$2)=0,"",
SUMIFS('Detalhe Por UC'!$AB:$AB,'Detalhe Por UC'!$C:$C,'Infos Clientes'!$B21,'Detalhe Por UC'!$R:$R,'Infos Clientes'!AS$2)
+SUMIFS('Detalhe Por UC'!$AC:$AC,'Detalhe Por UC'!$C:$C,'Infos Clientes'!$B21,'Detalhe Por UC'!$R:$R,'Infos Clientes'!AS$2))</f>
        <v>132</v>
      </c>
      <c r="AT21" s="27">
        <f>IF(SUMIFS('Detalhe Por UC'!$AB:$AB,'Detalhe Por UC'!$C:$C,'Infos Clientes'!$B21,'Detalhe Por UC'!$R:$R,'Infos Clientes'!AT$2)=0,"",
SUMIFS('Detalhe Por UC'!$AB:$AB,'Detalhe Por UC'!$C:$C,'Infos Clientes'!$B21,'Detalhe Por UC'!$R:$R,'Infos Clientes'!AT$2)
+SUMIFS('Detalhe Por UC'!$AC:$AC,'Detalhe Por UC'!$C:$C,'Infos Clientes'!$B21,'Detalhe Por UC'!$R:$R,'Infos Clientes'!AT$2))</f>
        <v>101</v>
      </c>
      <c r="AU21" s="27" t="str">
        <f>IF(SUMIFS('Detalhe Por UC'!$AB:$AB,'Detalhe Por UC'!$C:$C,'Infos Clientes'!$B21,'Detalhe Por UC'!$R:$R,'Infos Clientes'!AU$2)=0,"",
SUMIFS('Detalhe Por UC'!$AB:$AB,'Detalhe Por UC'!$C:$C,'Infos Clientes'!$B21,'Detalhe Por UC'!$R:$R,'Infos Clientes'!AU$2)
+SUMIFS('Detalhe Por UC'!$AC:$AC,'Detalhe Por UC'!$C:$C,'Infos Clientes'!$B21,'Detalhe Por UC'!$R:$R,'Infos Clientes'!AU$2))</f>
        <v/>
      </c>
    </row>
    <row r="22" spans="2:47" x14ac:dyDescent="0.3">
      <c r="B22" t="s">
        <v>79</v>
      </c>
      <c r="C22" s="14">
        <f t="shared" si="1"/>
        <v>22</v>
      </c>
      <c r="D22" t="s">
        <v>19</v>
      </c>
      <c r="E22" s="15">
        <v>371</v>
      </c>
      <c r="F22" t="s">
        <v>55</v>
      </c>
      <c r="G22" t="s">
        <v>80</v>
      </c>
      <c r="H22" s="16" t="s">
        <v>79</v>
      </c>
      <c r="I22" s="17" t="s">
        <v>22</v>
      </c>
      <c r="J22" s="1" t="s">
        <v>28</v>
      </c>
      <c r="K22" s="18" t="s">
        <v>24</v>
      </c>
      <c r="L22" s="18"/>
      <c r="M22" s="19">
        <v>0.25</v>
      </c>
      <c r="N22"/>
      <c r="O22" s="20"/>
      <c r="P22" s="21"/>
      <c r="Q22" s="22">
        <f>IF(_xlfn.MINIFS('Detalhe Por UC'!R:R,'Detalhe Por UC'!C:C,B22,'Detalhe Por UC'!AD:AD,"&gt;"&amp;0)=0,"",_xlfn.MINIFS('Detalhe Por UC'!R:R,'Detalhe Por UC'!C:C,B22,'Detalhe Por UC'!AD:AD,"&gt;"&amp;0))</f>
        <v>45627</v>
      </c>
      <c r="R22" s="23">
        <f>IF(P22&lt;&gt;"ATIVO",0,
IF(OR(Q22="",Q22=0,O22=0),O22,
O22-ROUND((MAX('Detalhe Por UC'!R:R)
-Q22)/(365/12),0)))</f>
        <v>0</v>
      </c>
      <c r="T22" s="5">
        <v>166.66666666666666</v>
      </c>
      <c r="U22" s="24">
        <f t="shared" si="0"/>
        <v>200</v>
      </c>
      <c r="W22" s="25">
        <v>124</v>
      </c>
      <c r="X22" s="25">
        <v>131</v>
      </c>
      <c r="Y22" s="25">
        <v>188</v>
      </c>
      <c r="Z22" s="25">
        <v>229</v>
      </c>
      <c r="AA22" s="25">
        <v>91</v>
      </c>
      <c r="AB22" s="25">
        <v>166</v>
      </c>
      <c r="AC22" s="25">
        <v>98</v>
      </c>
      <c r="AD22" s="26">
        <v>76</v>
      </c>
      <c r="AE22" s="25">
        <v>78</v>
      </c>
      <c r="AF22" s="25">
        <v>95</v>
      </c>
      <c r="AG22" s="25">
        <v>187</v>
      </c>
      <c r="AH22" s="25">
        <v>140</v>
      </c>
      <c r="AI22" s="25">
        <v>383</v>
      </c>
      <c r="AJ22" s="27">
        <f>IF(SUMIFS('Detalhe Por UC'!$AB:$AB,'Detalhe Por UC'!$C:$C,'Infos Clientes'!$B22,'Detalhe Por UC'!$R:$R,'Infos Clientes'!AJ$2)=0,"",
SUMIFS('Detalhe Por UC'!$AB:$AB,'Detalhe Por UC'!$C:$C,'Infos Clientes'!$B22,'Detalhe Por UC'!$R:$R,'Infos Clientes'!AJ$2)
+SUMIFS('Detalhe Por UC'!$AC:$AC,'Detalhe Por UC'!$C:$C,'Infos Clientes'!$B22,'Detalhe Por UC'!$R:$R,'Infos Clientes'!AJ$2))</f>
        <v>269</v>
      </c>
      <c r="AK22" s="27">
        <f>IF(SUMIFS('Detalhe Por UC'!$AB:$AB,'Detalhe Por UC'!$C:$C,'Infos Clientes'!$B22,'Detalhe Por UC'!$R:$R,'Infos Clientes'!AK$2)=0,"",
SUMIFS('Detalhe Por UC'!$AB:$AB,'Detalhe Por UC'!$C:$C,'Infos Clientes'!$B22,'Detalhe Por UC'!$R:$R,'Infos Clientes'!AK$2)
+SUMIFS('Detalhe Por UC'!$AC:$AC,'Detalhe Por UC'!$C:$C,'Infos Clientes'!$B22,'Detalhe Por UC'!$R:$R,'Infos Clientes'!AK$2))</f>
        <v>159</v>
      </c>
      <c r="AL22" s="27">
        <f>IF(SUMIFS('Detalhe Por UC'!$AB:$AB,'Detalhe Por UC'!$C:$C,'Infos Clientes'!$B22,'Detalhe Por UC'!$R:$R,'Infos Clientes'!AL$2)=0,"",
SUMIFS('Detalhe Por UC'!$AB:$AB,'Detalhe Por UC'!$C:$C,'Infos Clientes'!$B22,'Detalhe Por UC'!$R:$R,'Infos Clientes'!AL$2)
+SUMIFS('Detalhe Por UC'!$AC:$AC,'Detalhe Por UC'!$C:$C,'Infos Clientes'!$B22,'Detalhe Por UC'!$R:$R,'Infos Clientes'!AL$2))</f>
        <v>317</v>
      </c>
      <c r="AM22" s="27">
        <f>IF(SUMIFS('Detalhe Por UC'!$AB:$AB,'Detalhe Por UC'!$C:$C,'Infos Clientes'!$B22,'Detalhe Por UC'!$R:$R,'Infos Clientes'!AM$2)=0,"",
SUMIFS('Detalhe Por UC'!$AB:$AB,'Detalhe Por UC'!$C:$C,'Infos Clientes'!$B22,'Detalhe Por UC'!$R:$R,'Infos Clientes'!AM$2)
+SUMIFS('Detalhe Por UC'!$AC:$AC,'Detalhe Por UC'!$C:$C,'Infos Clientes'!$B22,'Detalhe Por UC'!$R:$R,'Infos Clientes'!AM$2))</f>
        <v>152</v>
      </c>
      <c r="AN22" s="27">
        <f>IF(SUMIFS('Detalhe Por UC'!$AB:$AB,'Detalhe Por UC'!$C:$C,'Infos Clientes'!$B22,'Detalhe Por UC'!$R:$R,'Infos Clientes'!AN$2)=0,"",
SUMIFS('Detalhe Por UC'!$AB:$AB,'Detalhe Por UC'!$C:$C,'Infos Clientes'!$B22,'Detalhe Por UC'!$R:$R,'Infos Clientes'!AN$2)
+SUMIFS('Detalhe Por UC'!$AC:$AC,'Detalhe Por UC'!$C:$C,'Infos Clientes'!$B22,'Detalhe Por UC'!$R:$R,'Infos Clientes'!AN$2))</f>
        <v>172</v>
      </c>
      <c r="AO22" s="27" t="str">
        <f>IF(SUMIFS('Detalhe Por UC'!$AB:$AB,'Detalhe Por UC'!$C:$C,'Infos Clientes'!$B22,'Detalhe Por UC'!$R:$R,'Infos Clientes'!AO$2)=0,"",
SUMIFS('Detalhe Por UC'!$AB:$AB,'Detalhe Por UC'!$C:$C,'Infos Clientes'!$B22,'Detalhe Por UC'!$R:$R,'Infos Clientes'!AO$2)
+SUMIFS('Detalhe Por UC'!$AC:$AC,'Detalhe Por UC'!$C:$C,'Infos Clientes'!$B22,'Detalhe Por UC'!$R:$R,'Infos Clientes'!AO$2))</f>
        <v/>
      </c>
      <c r="AP22" s="27" t="str">
        <f>IF(SUMIFS('Detalhe Por UC'!$AB:$AB,'Detalhe Por UC'!$C:$C,'Infos Clientes'!$B22,'Detalhe Por UC'!$R:$R,'Infos Clientes'!AP$2)=0,"",
SUMIFS('Detalhe Por UC'!$AB:$AB,'Detalhe Por UC'!$C:$C,'Infos Clientes'!$B22,'Detalhe Por UC'!$R:$R,'Infos Clientes'!AP$2)
+SUMIFS('Detalhe Por UC'!$AC:$AC,'Detalhe Por UC'!$C:$C,'Infos Clientes'!$B22,'Detalhe Por UC'!$R:$R,'Infos Clientes'!AP$2))</f>
        <v/>
      </c>
      <c r="AQ22" s="27">
        <f>IF(SUMIFS('Detalhe Por UC'!$AB:$AB,'Detalhe Por UC'!$C:$C,'Infos Clientes'!$B22,'Detalhe Por UC'!$R:$R,'Infos Clientes'!AQ$2)=0,"",
SUMIFS('Detalhe Por UC'!$AB:$AB,'Detalhe Por UC'!$C:$C,'Infos Clientes'!$B22,'Detalhe Por UC'!$R:$R,'Infos Clientes'!AQ$2)
+SUMIFS('Detalhe Por UC'!$AC:$AC,'Detalhe Por UC'!$C:$C,'Infos Clientes'!$B22,'Detalhe Por UC'!$R:$R,'Infos Clientes'!AQ$2))</f>
        <v>100</v>
      </c>
      <c r="AR22" s="27" t="str">
        <f>IF(SUMIFS('Detalhe Por UC'!$AB:$AB,'Detalhe Por UC'!$C:$C,'Infos Clientes'!$B22,'Detalhe Por UC'!$R:$R,'Infos Clientes'!AR$2)=0,"",
SUMIFS('Detalhe Por UC'!$AB:$AB,'Detalhe Por UC'!$C:$C,'Infos Clientes'!$B22,'Detalhe Por UC'!$R:$R,'Infos Clientes'!AR$2)
+SUMIFS('Detalhe Por UC'!$AC:$AC,'Detalhe Por UC'!$C:$C,'Infos Clientes'!$B22,'Detalhe Por UC'!$R:$R,'Infos Clientes'!AR$2))</f>
        <v/>
      </c>
      <c r="AS22" s="27">
        <f>IF(SUMIFS('Detalhe Por UC'!$AB:$AB,'Detalhe Por UC'!$C:$C,'Infos Clientes'!$B22,'Detalhe Por UC'!$R:$R,'Infos Clientes'!AS$2)=0,"",
SUMIFS('Detalhe Por UC'!$AB:$AB,'Detalhe Por UC'!$C:$C,'Infos Clientes'!$B22,'Detalhe Por UC'!$R:$R,'Infos Clientes'!AS$2)
+SUMIFS('Detalhe Por UC'!$AC:$AC,'Detalhe Por UC'!$C:$C,'Infos Clientes'!$B22,'Detalhe Por UC'!$R:$R,'Infos Clientes'!AS$2))</f>
        <v>139</v>
      </c>
      <c r="AT22" s="27">
        <f>IF(SUMIFS('Detalhe Por UC'!$AB:$AB,'Detalhe Por UC'!$C:$C,'Infos Clientes'!$B22,'Detalhe Por UC'!$R:$R,'Infos Clientes'!AT$2)=0,"",
SUMIFS('Detalhe Por UC'!$AB:$AB,'Detalhe Por UC'!$C:$C,'Infos Clientes'!$B22,'Detalhe Por UC'!$R:$R,'Infos Clientes'!AT$2)
+SUMIFS('Detalhe Por UC'!$AC:$AC,'Detalhe Por UC'!$C:$C,'Infos Clientes'!$B22,'Detalhe Por UC'!$R:$R,'Infos Clientes'!AT$2))</f>
        <v>109</v>
      </c>
      <c r="AU22" s="27" t="str">
        <f>IF(SUMIFS('Detalhe Por UC'!$AB:$AB,'Detalhe Por UC'!$C:$C,'Infos Clientes'!$B22,'Detalhe Por UC'!$R:$R,'Infos Clientes'!AU$2)=0,"",
SUMIFS('Detalhe Por UC'!$AB:$AB,'Detalhe Por UC'!$C:$C,'Infos Clientes'!$B22,'Detalhe Por UC'!$R:$R,'Infos Clientes'!AU$2)
+SUMIFS('Detalhe Por UC'!$AC:$AC,'Detalhe Por UC'!$C:$C,'Infos Clientes'!$B22,'Detalhe Por UC'!$R:$R,'Infos Clientes'!AU$2))</f>
        <v/>
      </c>
    </row>
    <row r="23" spans="2:47" x14ac:dyDescent="0.3">
      <c r="B23" t="s">
        <v>81</v>
      </c>
      <c r="C23" s="14">
        <f t="shared" si="1"/>
        <v>23</v>
      </c>
      <c r="D23" t="s">
        <v>19</v>
      </c>
      <c r="E23" s="15">
        <v>362</v>
      </c>
      <c r="F23" t="s">
        <v>82</v>
      </c>
      <c r="G23" t="s">
        <v>83</v>
      </c>
      <c r="H23" s="16" t="s">
        <v>81</v>
      </c>
      <c r="I23" s="17" t="s">
        <v>22</v>
      </c>
      <c r="J23" s="1" t="s">
        <v>23</v>
      </c>
      <c r="K23" s="18" t="s">
        <v>24</v>
      </c>
      <c r="L23" s="18"/>
      <c r="M23" s="19">
        <v>0.25</v>
      </c>
      <c r="N23"/>
      <c r="O23" s="20"/>
      <c r="P23" s="21"/>
      <c r="Q23" s="22">
        <f>IF(_xlfn.MINIFS('Detalhe Por UC'!R:R,'Detalhe Por UC'!C:C,B23,'Detalhe Por UC'!AD:AD,"&gt;"&amp;0)=0,"",_xlfn.MINIFS('Detalhe Por UC'!R:R,'Detalhe Por UC'!C:C,B23,'Detalhe Por UC'!AD:AD,"&gt;"&amp;0))</f>
        <v>45627</v>
      </c>
      <c r="R23" s="23">
        <f>IF(P23&lt;&gt;"ATIVO",0,
IF(OR(Q23="",Q23=0,O23=0),O23,
O23-ROUND((MAX('Detalhe Por UC'!R:R)
-Q23)/(365/12),0)))</f>
        <v>0</v>
      </c>
      <c r="T23" s="5">
        <v>153.91666666666666</v>
      </c>
      <c r="U23" s="24">
        <f t="shared" si="0"/>
        <v>154.91666666666666</v>
      </c>
      <c r="W23" s="25">
        <v>134</v>
      </c>
      <c r="X23" s="25">
        <v>150</v>
      </c>
      <c r="Y23" s="25">
        <v>148</v>
      </c>
      <c r="Z23" s="25">
        <v>203</v>
      </c>
      <c r="AA23" s="25">
        <v>158</v>
      </c>
      <c r="AB23" s="25">
        <v>144</v>
      </c>
      <c r="AC23" s="25">
        <v>90</v>
      </c>
      <c r="AD23" s="26">
        <v>93</v>
      </c>
      <c r="AE23" s="25">
        <v>110</v>
      </c>
      <c r="AF23" s="25">
        <v>108</v>
      </c>
      <c r="AG23" s="25">
        <v>132</v>
      </c>
      <c r="AH23" s="25">
        <v>177</v>
      </c>
      <c r="AI23" s="25">
        <v>236</v>
      </c>
      <c r="AJ23" s="27">
        <f>IF(SUMIFS('Detalhe Por UC'!$AB:$AB,'Detalhe Por UC'!$C:$C,'Infos Clientes'!$B23,'Detalhe Por UC'!$R:$R,'Infos Clientes'!AJ$2)=0,"",
SUMIFS('Detalhe Por UC'!$AB:$AB,'Detalhe Por UC'!$C:$C,'Infos Clientes'!$B23,'Detalhe Por UC'!$R:$R,'Infos Clientes'!AJ$2)
+SUMIFS('Detalhe Por UC'!$AC:$AC,'Detalhe Por UC'!$C:$C,'Infos Clientes'!$B23,'Detalhe Por UC'!$R:$R,'Infos Clientes'!AJ$2))</f>
        <v>248</v>
      </c>
      <c r="AK23" s="27">
        <f>IF(SUMIFS('Detalhe Por UC'!$AB:$AB,'Detalhe Por UC'!$C:$C,'Infos Clientes'!$B23,'Detalhe Por UC'!$R:$R,'Infos Clientes'!AK$2)=0,"",
SUMIFS('Detalhe Por UC'!$AB:$AB,'Detalhe Por UC'!$C:$C,'Infos Clientes'!$B23,'Detalhe Por UC'!$R:$R,'Infos Clientes'!AK$2)
+SUMIFS('Detalhe Por UC'!$AC:$AC,'Detalhe Por UC'!$C:$C,'Infos Clientes'!$B23,'Detalhe Por UC'!$R:$R,'Infos Clientes'!AK$2))</f>
        <v>277</v>
      </c>
      <c r="AL23" s="27">
        <f>IF(SUMIFS('Detalhe Por UC'!$AB:$AB,'Detalhe Por UC'!$C:$C,'Infos Clientes'!$B23,'Detalhe Por UC'!$R:$R,'Infos Clientes'!AL$2)=0,"",
SUMIFS('Detalhe Por UC'!$AB:$AB,'Detalhe Por UC'!$C:$C,'Infos Clientes'!$B23,'Detalhe Por UC'!$R:$R,'Infos Clientes'!AL$2)
+SUMIFS('Detalhe Por UC'!$AC:$AC,'Detalhe Por UC'!$C:$C,'Infos Clientes'!$B23,'Detalhe Por UC'!$R:$R,'Infos Clientes'!AL$2))</f>
        <v>250</v>
      </c>
      <c r="AM23" s="27">
        <f>IF(SUMIFS('Detalhe Por UC'!$AB:$AB,'Detalhe Por UC'!$C:$C,'Infos Clientes'!$B23,'Detalhe Por UC'!$R:$R,'Infos Clientes'!AM$2)=0,"",
SUMIFS('Detalhe Por UC'!$AB:$AB,'Detalhe Por UC'!$C:$C,'Infos Clientes'!$B23,'Detalhe Por UC'!$R:$R,'Infos Clientes'!AM$2)
+SUMIFS('Detalhe Por UC'!$AC:$AC,'Detalhe Por UC'!$C:$C,'Infos Clientes'!$B23,'Detalhe Por UC'!$R:$R,'Infos Clientes'!AM$2))</f>
        <v>226</v>
      </c>
      <c r="AN23" s="27">
        <f>IF(SUMIFS('Detalhe Por UC'!$AB:$AB,'Detalhe Por UC'!$C:$C,'Infos Clientes'!$B23,'Detalhe Por UC'!$R:$R,'Infos Clientes'!AN$2)=0,"",
SUMIFS('Detalhe Por UC'!$AB:$AB,'Detalhe Por UC'!$C:$C,'Infos Clientes'!$B23,'Detalhe Por UC'!$R:$R,'Infos Clientes'!AN$2)
+SUMIFS('Detalhe Por UC'!$AC:$AC,'Detalhe Por UC'!$C:$C,'Infos Clientes'!$B23,'Detalhe Por UC'!$R:$R,'Infos Clientes'!AN$2))</f>
        <v>221</v>
      </c>
      <c r="AO23" s="27">
        <f>IF(SUMIFS('Detalhe Por UC'!$AB:$AB,'Detalhe Por UC'!$C:$C,'Infos Clientes'!$B23,'Detalhe Por UC'!$R:$R,'Infos Clientes'!AO$2)=0,"",
SUMIFS('Detalhe Por UC'!$AB:$AB,'Detalhe Por UC'!$C:$C,'Infos Clientes'!$B23,'Detalhe Por UC'!$R:$R,'Infos Clientes'!AO$2)
+SUMIFS('Detalhe Por UC'!$AC:$AC,'Detalhe Por UC'!$C:$C,'Infos Clientes'!$B23,'Detalhe Por UC'!$R:$R,'Infos Clientes'!AO$2))</f>
        <v>99</v>
      </c>
      <c r="AP23" s="27">
        <f>IF(SUMIFS('Detalhe Por UC'!$AB:$AB,'Detalhe Por UC'!$C:$C,'Infos Clientes'!$B23,'Detalhe Por UC'!$R:$R,'Infos Clientes'!AP$2)=0,"",
SUMIFS('Detalhe Por UC'!$AB:$AB,'Detalhe Por UC'!$C:$C,'Infos Clientes'!$B23,'Detalhe Por UC'!$R:$R,'Infos Clientes'!AP$2)
+SUMIFS('Detalhe Por UC'!$AC:$AC,'Detalhe Por UC'!$C:$C,'Infos Clientes'!$B23,'Detalhe Por UC'!$R:$R,'Infos Clientes'!AP$2))</f>
        <v>67</v>
      </c>
      <c r="AQ23" s="27">
        <f>IF(SUMIFS('Detalhe Por UC'!$AB:$AB,'Detalhe Por UC'!$C:$C,'Infos Clientes'!$B23,'Detalhe Por UC'!$R:$R,'Infos Clientes'!AQ$2)=0,"",
SUMIFS('Detalhe Por UC'!$AB:$AB,'Detalhe Por UC'!$C:$C,'Infos Clientes'!$B23,'Detalhe Por UC'!$R:$R,'Infos Clientes'!AQ$2)
+SUMIFS('Detalhe Por UC'!$AC:$AC,'Detalhe Por UC'!$C:$C,'Infos Clientes'!$B23,'Detalhe Por UC'!$R:$R,'Infos Clientes'!AQ$2))</f>
        <v>54</v>
      </c>
      <c r="AR23" s="27">
        <f>IF(SUMIFS('Detalhe Por UC'!$AB:$AB,'Detalhe Por UC'!$C:$C,'Infos Clientes'!$B23,'Detalhe Por UC'!$R:$R,'Infos Clientes'!AR$2)=0,"",
SUMIFS('Detalhe Por UC'!$AB:$AB,'Detalhe Por UC'!$C:$C,'Infos Clientes'!$B23,'Detalhe Por UC'!$R:$R,'Infos Clientes'!AR$2)
+SUMIFS('Detalhe Por UC'!$AC:$AC,'Detalhe Por UC'!$C:$C,'Infos Clientes'!$B23,'Detalhe Por UC'!$R:$R,'Infos Clientes'!AR$2))</f>
        <v>57</v>
      </c>
      <c r="AS23" s="27">
        <f>IF(SUMIFS('Detalhe Por UC'!$AB:$AB,'Detalhe Por UC'!$C:$C,'Infos Clientes'!$B23,'Detalhe Por UC'!$R:$R,'Infos Clientes'!AS$2)=0,"",
SUMIFS('Detalhe Por UC'!$AB:$AB,'Detalhe Por UC'!$C:$C,'Infos Clientes'!$B23,'Detalhe Por UC'!$R:$R,'Infos Clientes'!AS$2)
+SUMIFS('Detalhe Por UC'!$AC:$AC,'Detalhe Por UC'!$C:$C,'Infos Clientes'!$B23,'Detalhe Por UC'!$R:$R,'Infos Clientes'!AS$2))</f>
        <v>55</v>
      </c>
      <c r="AT23" s="27">
        <f>IF(SUMIFS('Detalhe Por UC'!$AB:$AB,'Detalhe Por UC'!$C:$C,'Infos Clientes'!$B23,'Detalhe Por UC'!$R:$R,'Infos Clientes'!AT$2)=0,"",
SUMIFS('Detalhe Por UC'!$AB:$AB,'Detalhe Por UC'!$C:$C,'Infos Clientes'!$B23,'Detalhe Por UC'!$R:$R,'Infos Clientes'!AT$2)
+SUMIFS('Detalhe Por UC'!$AC:$AC,'Detalhe Por UC'!$C:$C,'Infos Clientes'!$B23,'Detalhe Por UC'!$R:$R,'Infos Clientes'!AT$2))</f>
        <v>69</v>
      </c>
      <c r="AU23" s="27" t="str">
        <f>IF(SUMIFS('Detalhe Por UC'!$AB:$AB,'Detalhe Por UC'!$C:$C,'Infos Clientes'!$B23,'Detalhe Por UC'!$R:$R,'Infos Clientes'!AU$2)=0,"",
SUMIFS('Detalhe Por UC'!$AB:$AB,'Detalhe Por UC'!$C:$C,'Infos Clientes'!$B23,'Detalhe Por UC'!$R:$R,'Infos Clientes'!AU$2)
+SUMIFS('Detalhe Por UC'!$AC:$AC,'Detalhe Por UC'!$C:$C,'Infos Clientes'!$B23,'Detalhe Por UC'!$R:$R,'Infos Clientes'!AU$2))</f>
        <v/>
      </c>
    </row>
    <row r="24" spans="2:47" x14ac:dyDescent="0.3">
      <c r="B24" t="s">
        <v>84</v>
      </c>
      <c r="C24" s="14">
        <f t="shared" si="1"/>
        <v>24</v>
      </c>
      <c r="D24" t="s">
        <v>19</v>
      </c>
      <c r="E24" s="15">
        <v>302</v>
      </c>
      <c r="F24" t="s">
        <v>85</v>
      </c>
      <c r="G24" t="s">
        <v>86</v>
      </c>
      <c r="H24" s="16" t="s">
        <v>84</v>
      </c>
      <c r="I24" s="17" t="s">
        <v>22</v>
      </c>
      <c r="J24" s="1" t="s">
        <v>28</v>
      </c>
      <c r="K24" s="18" t="s">
        <v>24</v>
      </c>
      <c r="L24" s="18"/>
      <c r="M24" s="19">
        <v>0.25</v>
      </c>
      <c r="N24"/>
      <c r="O24" s="20"/>
      <c r="P24" s="21"/>
      <c r="Q24" s="22">
        <f>IF(_xlfn.MINIFS('Detalhe Por UC'!R:R,'Detalhe Por UC'!C:C,B24,'Detalhe Por UC'!AD:AD,"&gt;"&amp;0)=0,"",_xlfn.MINIFS('Detalhe Por UC'!R:R,'Detalhe Por UC'!C:C,B24,'Detalhe Por UC'!AD:AD,"&gt;"&amp;0))</f>
        <v>45627</v>
      </c>
      <c r="R24" s="23">
        <f>IF(P24&lt;&gt;"ATIVO",0,
IF(OR(Q24="",Q24=0,O24=0),O24,
O24-ROUND((MAX('Detalhe Por UC'!R:R)
-Q24)/(365/12),0)))</f>
        <v>0</v>
      </c>
      <c r="T24" s="5">
        <v>818</v>
      </c>
      <c r="U24" s="24">
        <f t="shared" si="0"/>
        <v>874.91666666666663</v>
      </c>
      <c r="W24" s="25">
        <v>949</v>
      </c>
      <c r="X24" s="25">
        <v>637</v>
      </c>
      <c r="Y24" s="25">
        <v>1164</v>
      </c>
      <c r="Z24" s="25">
        <v>1091</v>
      </c>
      <c r="AA24" s="25">
        <v>506</v>
      </c>
      <c r="AB24" s="25">
        <v>491</v>
      </c>
      <c r="AC24" s="25">
        <v>531</v>
      </c>
      <c r="AD24" s="26">
        <v>664</v>
      </c>
      <c r="AE24" s="25">
        <v>539</v>
      </c>
      <c r="AF24" s="25">
        <v>686</v>
      </c>
      <c r="AG24" s="25">
        <v>1060</v>
      </c>
      <c r="AH24" s="25">
        <v>1181</v>
      </c>
      <c r="AI24" s="25">
        <v>1140</v>
      </c>
      <c r="AJ24" s="27">
        <f>IF(SUMIFS('Detalhe Por UC'!$AB:$AB,'Detalhe Por UC'!$C:$C,'Infos Clientes'!$B24,'Detalhe Por UC'!$R:$R,'Infos Clientes'!AJ$2)=0,"",
SUMIFS('Detalhe Por UC'!$AB:$AB,'Detalhe Por UC'!$C:$C,'Infos Clientes'!$B24,'Detalhe Por UC'!$R:$R,'Infos Clientes'!AJ$2)
+SUMIFS('Detalhe Por UC'!$AC:$AC,'Detalhe Por UC'!$C:$C,'Infos Clientes'!$B24,'Detalhe Por UC'!$R:$R,'Infos Clientes'!AJ$2))</f>
        <v>763</v>
      </c>
      <c r="AK24" s="27">
        <f>IF(SUMIFS('Detalhe Por UC'!$AB:$AB,'Detalhe Por UC'!$C:$C,'Infos Clientes'!$B24,'Detalhe Por UC'!$R:$R,'Infos Clientes'!AK$2)=0,"",
SUMIFS('Detalhe Por UC'!$AB:$AB,'Detalhe Por UC'!$C:$C,'Infos Clientes'!$B24,'Detalhe Por UC'!$R:$R,'Infos Clientes'!AK$2)
+SUMIFS('Detalhe Por UC'!$AC:$AC,'Detalhe Por UC'!$C:$C,'Infos Clientes'!$B24,'Detalhe Por UC'!$R:$R,'Infos Clientes'!AK$2))</f>
        <v>820</v>
      </c>
      <c r="AL24" s="27">
        <f>IF(SUMIFS('Detalhe Por UC'!$AB:$AB,'Detalhe Por UC'!$C:$C,'Infos Clientes'!$B24,'Detalhe Por UC'!$R:$R,'Infos Clientes'!AL$2)=0,"",
SUMIFS('Detalhe Por UC'!$AB:$AB,'Detalhe Por UC'!$C:$C,'Infos Clientes'!$B24,'Detalhe Por UC'!$R:$R,'Infos Clientes'!AL$2)
+SUMIFS('Detalhe Por UC'!$AC:$AC,'Detalhe Por UC'!$C:$C,'Infos Clientes'!$B24,'Detalhe Por UC'!$R:$R,'Infos Clientes'!AL$2))</f>
        <v>1430</v>
      </c>
      <c r="AM24" s="27">
        <f>IF(SUMIFS('Detalhe Por UC'!$AB:$AB,'Detalhe Por UC'!$C:$C,'Infos Clientes'!$B24,'Detalhe Por UC'!$R:$R,'Infos Clientes'!AM$2)=0,"",
SUMIFS('Detalhe Por UC'!$AB:$AB,'Detalhe Por UC'!$C:$C,'Infos Clientes'!$B24,'Detalhe Por UC'!$R:$R,'Infos Clientes'!AM$2)
+SUMIFS('Detalhe Por UC'!$AC:$AC,'Detalhe Por UC'!$C:$C,'Infos Clientes'!$B24,'Detalhe Por UC'!$R:$R,'Infos Clientes'!AM$2))</f>
        <v>927</v>
      </c>
      <c r="AN24" s="27">
        <f>IF(SUMIFS('Detalhe Por UC'!$AB:$AB,'Detalhe Por UC'!$C:$C,'Infos Clientes'!$B24,'Detalhe Por UC'!$R:$R,'Infos Clientes'!AN$2)=0,"",
SUMIFS('Detalhe Por UC'!$AB:$AB,'Detalhe Por UC'!$C:$C,'Infos Clientes'!$B24,'Detalhe Por UC'!$R:$R,'Infos Clientes'!AN$2)
+SUMIFS('Detalhe Por UC'!$AC:$AC,'Detalhe Por UC'!$C:$C,'Infos Clientes'!$B24,'Detalhe Por UC'!$R:$R,'Infos Clientes'!AN$2))</f>
        <v>675</v>
      </c>
      <c r="AO24" s="27">
        <f>IF(SUMIFS('Detalhe Por UC'!$AB:$AB,'Detalhe Por UC'!$C:$C,'Infos Clientes'!$B24,'Detalhe Por UC'!$R:$R,'Infos Clientes'!AO$2)=0,"",
SUMIFS('Detalhe Por UC'!$AB:$AB,'Detalhe Por UC'!$C:$C,'Infos Clientes'!$B24,'Detalhe Por UC'!$R:$R,'Infos Clientes'!AO$2)
+SUMIFS('Detalhe Por UC'!$AC:$AC,'Detalhe Por UC'!$C:$C,'Infos Clientes'!$B24,'Detalhe Por UC'!$R:$R,'Infos Clientes'!AO$2))</f>
        <v>462</v>
      </c>
      <c r="AP24" s="27">
        <f>IF(SUMIFS('Detalhe Por UC'!$AB:$AB,'Detalhe Por UC'!$C:$C,'Infos Clientes'!$B24,'Detalhe Por UC'!$R:$R,'Infos Clientes'!AP$2)=0,"",
SUMIFS('Detalhe Por UC'!$AB:$AB,'Detalhe Por UC'!$C:$C,'Infos Clientes'!$B24,'Detalhe Por UC'!$R:$R,'Infos Clientes'!AP$2)
+SUMIFS('Detalhe Por UC'!$AC:$AC,'Detalhe Por UC'!$C:$C,'Infos Clientes'!$B24,'Detalhe Por UC'!$R:$R,'Infos Clientes'!AP$2))</f>
        <v>237</v>
      </c>
      <c r="AQ24" s="27">
        <f>IF(SUMIFS('Detalhe Por UC'!$AB:$AB,'Detalhe Por UC'!$C:$C,'Infos Clientes'!$B24,'Detalhe Por UC'!$R:$R,'Infos Clientes'!AQ$2)=0,"",
SUMIFS('Detalhe Por UC'!$AB:$AB,'Detalhe Por UC'!$C:$C,'Infos Clientes'!$B24,'Detalhe Por UC'!$R:$R,'Infos Clientes'!AQ$2)
+SUMIFS('Detalhe Por UC'!$AC:$AC,'Detalhe Por UC'!$C:$C,'Infos Clientes'!$B24,'Detalhe Por UC'!$R:$R,'Infos Clientes'!AQ$2))</f>
        <v>328</v>
      </c>
      <c r="AR24" s="27">
        <f>IF(SUMIFS('Detalhe Por UC'!$AB:$AB,'Detalhe Por UC'!$C:$C,'Infos Clientes'!$B24,'Detalhe Por UC'!$R:$R,'Infos Clientes'!AR$2)=0,"",
SUMIFS('Detalhe Por UC'!$AB:$AB,'Detalhe Por UC'!$C:$C,'Infos Clientes'!$B24,'Detalhe Por UC'!$R:$R,'Infos Clientes'!AR$2)
+SUMIFS('Detalhe Por UC'!$AC:$AC,'Detalhe Por UC'!$C:$C,'Infos Clientes'!$B24,'Detalhe Por UC'!$R:$R,'Infos Clientes'!AR$2))</f>
        <v>1009</v>
      </c>
      <c r="AS24" s="27">
        <f>IF(SUMIFS('Detalhe Por UC'!$AB:$AB,'Detalhe Por UC'!$C:$C,'Infos Clientes'!$B24,'Detalhe Por UC'!$R:$R,'Infos Clientes'!AS$2)=0,"",
SUMIFS('Detalhe Por UC'!$AB:$AB,'Detalhe Por UC'!$C:$C,'Infos Clientes'!$B24,'Detalhe Por UC'!$R:$R,'Infos Clientes'!AS$2)
+SUMIFS('Detalhe Por UC'!$AC:$AC,'Detalhe Por UC'!$C:$C,'Infos Clientes'!$B24,'Detalhe Por UC'!$R:$R,'Infos Clientes'!AS$2))</f>
        <v>1271</v>
      </c>
      <c r="AT24" s="27">
        <f>IF(SUMIFS('Detalhe Por UC'!$AB:$AB,'Detalhe Por UC'!$C:$C,'Infos Clientes'!$B24,'Detalhe Por UC'!$R:$R,'Infos Clientes'!AT$2)=0,"",
SUMIFS('Detalhe Por UC'!$AB:$AB,'Detalhe Por UC'!$C:$C,'Infos Clientes'!$B24,'Detalhe Por UC'!$R:$R,'Infos Clientes'!AT$2)
+SUMIFS('Detalhe Por UC'!$AC:$AC,'Detalhe Por UC'!$C:$C,'Infos Clientes'!$B24,'Detalhe Por UC'!$R:$R,'Infos Clientes'!AT$2))</f>
        <v>1437</v>
      </c>
      <c r="AU24" s="27" t="str">
        <f>IF(SUMIFS('Detalhe Por UC'!$AB:$AB,'Detalhe Por UC'!$C:$C,'Infos Clientes'!$B24,'Detalhe Por UC'!$R:$R,'Infos Clientes'!AU$2)=0,"",
SUMIFS('Detalhe Por UC'!$AB:$AB,'Detalhe Por UC'!$C:$C,'Infos Clientes'!$B24,'Detalhe Por UC'!$R:$R,'Infos Clientes'!AU$2)
+SUMIFS('Detalhe Por UC'!$AC:$AC,'Detalhe Por UC'!$C:$C,'Infos Clientes'!$B24,'Detalhe Por UC'!$R:$R,'Infos Clientes'!AU$2))</f>
        <v/>
      </c>
    </row>
    <row r="25" spans="2:47" x14ac:dyDescent="0.3">
      <c r="B25" t="s">
        <v>87</v>
      </c>
      <c r="C25" s="14">
        <f t="shared" si="1"/>
        <v>25</v>
      </c>
      <c r="D25" t="s">
        <v>19</v>
      </c>
      <c r="E25" s="15">
        <v>371</v>
      </c>
      <c r="F25" t="s">
        <v>55</v>
      </c>
      <c r="G25" t="s">
        <v>56</v>
      </c>
      <c r="H25" s="16" t="s">
        <v>87</v>
      </c>
      <c r="I25" s="17" t="s">
        <v>22</v>
      </c>
      <c r="J25" s="1" t="s">
        <v>28</v>
      </c>
      <c r="K25" s="18" t="s">
        <v>24</v>
      </c>
      <c r="L25" s="18"/>
      <c r="M25" s="19">
        <v>0.25</v>
      </c>
      <c r="N25"/>
      <c r="O25" s="20"/>
      <c r="P25" s="21"/>
      <c r="Q25" s="22">
        <f>IF(_xlfn.MINIFS('Detalhe Por UC'!R:R,'Detalhe Por UC'!C:C,B25,'Detalhe Por UC'!AD:AD,"&gt;"&amp;0)=0,"",_xlfn.MINIFS('Detalhe Por UC'!R:R,'Detalhe Por UC'!C:C,B25,'Detalhe Por UC'!AD:AD,"&gt;"&amp;0))</f>
        <v>45627</v>
      </c>
      <c r="R25" s="23">
        <f>IF(P25&lt;&gt;"ATIVO",0,
IF(OR(Q25="",Q25=0,O25=0),O25,
O25-ROUND((MAX('Detalhe Por UC'!R:R)
-Q25)/(365/12),0)))</f>
        <v>0</v>
      </c>
      <c r="T25" s="5">
        <v>1056.1666666666667</v>
      </c>
      <c r="U25" s="24">
        <f t="shared" si="0"/>
        <v>1050.3333333333333</v>
      </c>
      <c r="W25" s="25">
        <v>1214</v>
      </c>
      <c r="X25" s="25">
        <v>1035</v>
      </c>
      <c r="Y25" s="25">
        <v>1260</v>
      </c>
      <c r="Z25" s="25">
        <v>1433</v>
      </c>
      <c r="AA25" s="25">
        <v>1188</v>
      </c>
      <c r="AB25" s="25">
        <v>910</v>
      </c>
      <c r="AC25" s="25">
        <v>641</v>
      </c>
      <c r="AD25" s="26">
        <v>457</v>
      </c>
      <c r="AE25" s="25">
        <v>630</v>
      </c>
      <c r="AF25" s="25">
        <v>851</v>
      </c>
      <c r="AG25" s="25">
        <v>1206</v>
      </c>
      <c r="AH25" s="25">
        <v>1124</v>
      </c>
      <c r="AI25" s="25">
        <v>1255</v>
      </c>
      <c r="AJ25" s="27">
        <f>IF(SUMIFS('Detalhe Por UC'!$AB:$AB,'Detalhe Por UC'!$C:$C,'Infos Clientes'!$B25,'Detalhe Por UC'!$R:$R,'Infos Clientes'!AJ$2)=0,"",
SUMIFS('Detalhe Por UC'!$AB:$AB,'Detalhe Por UC'!$C:$C,'Infos Clientes'!$B25,'Detalhe Por UC'!$R:$R,'Infos Clientes'!AJ$2)
+SUMIFS('Detalhe Por UC'!$AC:$AC,'Detalhe Por UC'!$C:$C,'Infos Clientes'!$B25,'Detalhe Por UC'!$R:$R,'Infos Clientes'!AJ$2))</f>
        <v>1719</v>
      </c>
      <c r="AK25" s="27">
        <f>IF(SUMIFS('Detalhe Por UC'!$AB:$AB,'Detalhe Por UC'!$C:$C,'Infos Clientes'!$B25,'Detalhe Por UC'!$R:$R,'Infos Clientes'!AK$2)=0,"",
SUMIFS('Detalhe Por UC'!$AB:$AB,'Detalhe Por UC'!$C:$C,'Infos Clientes'!$B25,'Detalhe Por UC'!$R:$R,'Infos Clientes'!AK$2)
+SUMIFS('Detalhe Por UC'!$AC:$AC,'Detalhe Por UC'!$C:$C,'Infos Clientes'!$B25,'Detalhe Por UC'!$R:$R,'Infos Clientes'!AK$2))</f>
        <v>1598</v>
      </c>
      <c r="AL25" s="27">
        <f>IF(SUMIFS('Detalhe Por UC'!$AB:$AB,'Detalhe Por UC'!$C:$C,'Infos Clientes'!$B25,'Detalhe Por UC'!$R:$R,'Infos Clientes'!AL$2)=0,"",
SUMIFS('Detalhe Por UC'!$AB:$AB,'Detalhe Por UC'!$C:$C,'Infos Clientes'!$B25,'Detalhe Por UC'!$R:$R,'Infos Clientes'!AL$2)
+SUMIFS('Detalhe Por UC'!$AC:$AC,'Detalhe Por UC'!$C:$C,'Infos Clientes'!$B25,'Detalhe Por UC'!$R:$R,'Infos Clientes'!AL$2))</f>
        <v>995</v>
      </c>
      <c r="AM25" s="27">
        <f>IF(SUMIFS('Detalhe Por UC'!$AB:$AB,'Detalhe Por UC'!$C:$C,'Infos Clientes'!$B25,'Detalhe Por UC'!$R:$R,'Infos Clientes'!AM$2)=0,"",
SUMIFS('Detalhe Por UC'!$AB:$AB,'Detalhe Por UC'!$C:$C,'Infos Clientes'!$B25,'Detalhe Por UC'!$R:$R,'Infos Clientes'!AM$2)
+SUMIFS('Detalhe Por UC'!$AC:$AC,'Detalhe Por UC'!$C:$C,'Infos Clientes'!$B25,'Detalhe Por UC'!$R:$R,'Infos Clientes'!AM$2))</f>
        <v>1008</v>
      </c>
      <c r="AN25" s="27">
        <f>IF(SUMIFS('Detalhe Por UC'!$AB:$AB,'Detalhe Por UC'!$C:$C,'Infos Clientes'!$B25,'Detalhe Por UC'!$R:$R,'Infos Clientes'!AN$2)=0,"",
SUMIFS('Detalhe Por UC'!$AB:$AB,'Detalhe Por UC'!$C:$C,'Infos Clientes'!$B25,'Detalhe Por UC'!$R:$R,'Infos Clientes'!AN$2)
+SUMIFS('Detalhe Por UC'!$AC:$AC,'Detalhe Por UC'!$C:$C,'Infos Clientes'!$B25,'Detalhe Por UC'!$R:$R,'Infos Clientes'!AN$2))</f>
        <v>774</v>
      </c>
      <c r="AO25" s="27">
        <f>IF(SUMIFS('Detalhe Por UC'!$AB:$AB,'Detalhe Por UC'!$C:$C,'Infos Clientes'!$B25,'Detalhe Por UC'!$R:$R,'Infos Clientes'!AO$2)=0,"",
SUMIFS('Detalhe Por UC'!$AB:$AB,'Detalhe Por UC'!$C:$C,'Infos Clientes'!$B25,'Detalhe Por UC'!$R:$R,'Infos Clientes'!AO$2)
+SUMIFS('Detalhe Por UC'!$AC:$AC,'Detalhe Por UC'!$C:$C,'Infos Clientes'!$B25,'Detalhe Por UC'!$R:$R,'Infos Clientes'!AO$2))</f>
        <v>517</v>
      </c>
      <c r="AP25" s="27">
        <f>IF(SUMIFS('Detalhe Por UC'!$AB:$AB,'Detalhe Por UC'!$C:$C,'Infos Clientes'!$B25,'Detalhe Por UC'!$R:$R,'Infos Clientes'!AP$2)=0,"",
SUMIFS('Detalhe Por UC'!$AB:$AB,'Detalhe Por UC'!$C:$C,'Infos Clientes'!$B25,'Detalhe Por UC'!$R:$R,'Infos Clientes'!AP$2)
+SUMIFS('Detalhe Por UC'!$AC:$AC,'Detalhe Por UC'!$C:$C,'Infos Clientes'!$B25,'Detalhe Por UC'!$R:$R,'Infos Clientes'!AP$2))</f>
        <v>550</v>
      </c>
      <c r="AQ25" s="27">
        <f>IF(SUMIFS('Detalhe Por UC'!$AB:$AB,'Detalhe Por UC'!$C:$C,'Infos Clientes'!$B25,'Detalhe Por UC'!$R:$R,'Infos Clientes'!AQ$2)=0,"",
SUMIFS('Detalhe Por UC'!$AB:$AB,'Detalhe Por UC'!$C:$C,'Infos Clientes'!$B25,'Detalhe Por UC'!$R:$R,'Infos Clientes'!AQ$2)
+SUMIFS('Detalhe Por UC'!$AC:$AC,'Detalhe Por UC'!$C:$C,'Infos Clientes'!$B25,'Detalhe Por UC'!$R:$R,'Infos Clientes'!AQ$2))</f>
        <v>676</v>
      </c>
      <c r="AR25" s="27">
        <f>IF(SUMIFS('Detalhe Por UC'!$AB:$AB,'Detalhe Por UC'!$C:$C,'Infos Clientes'!$B25,'Detalhe Por UC'!$R:$R,'Infos Clientes'!AR$2)=0,"",
SUMIFS('Detalhe Por UC'!$AB:$AB,'Detalhe Por UC'!$C:$C,'Infos Clientes'!$B25,'Detalhe Por UC'!$R:$R,'Infos Clientes'!AR$2)
+SUMIFS('Detalhe Por UC'!$AC:$AC,'Detalhe Por UC'!$C:$C,'Infos Clientes'!$B25,'Detalhe Por UC'!$R:$R,'Infos Clientes'!AR$2))</f>
        <v>1105</v>
      </c>
      <c r="AS25" s="27">
        <f>IF(SUMIFS('Detalhe Por UC'!$AB:$AB,'Detalhe Por UC'!$C:$C,'Infos Clientes'!$B25,'Detalhe Por UC'!$R:$R,'Infos Clientes'!AS$2)=0,"",
SUMIFS('Detalhe Por UC'!$AB:$AB,'Detalhe Por UC'!$C:$C,'Infos Clientes'!$B25,'Detalhe Por UC'!$R:$R,'Infos Clientes'!AS$2)
+SUMIFS('Detalhe Por UC'!$AC:$AC,'Detalhe Por UC'!$C:$C,'Infos Clientes'!$B25,'Detalhe Por UC'!$R:$R,'Infos Clientes'!AS$2))</f>
        <v>1316</v>
      </c>
      <c r="AT25" s="27">
        <f>IF(SUMIFS('Detalhe Por UC'!$AB:$AB,'Detalhe Por UC'!$C:$C,'Infos Clientes'!$B25,'Detalhe Por UC'!$R:$R,'Infos Clientes'!AT$2)=0,"",
SUMIFS('Detalhe Por UC'!$AB:$AB,'Detalhe Por UC'!$C:$C,'Infos Clientes'!$B25,'Detalhe Por UC'!$R:$R,'Infos Clientes'!AT$2)
+SUMIFS('Detalhe Por UC'!$AC:$AC,'Detalhe Por UC'!$C:$C,'Infos Clientes'!$B25,'Detalhe Por UC'!$R:$R,'Infos Clientes'!AT$2))</f>
        <v>1091</v>
      </c>
      <c r="AU25" s="27" t="str">
        <f>IF(SUMIFS('Detalhe Por UC'!$AB:$AB,'Detalhe Por UC'!$C:$C,'Infos Clientes'!$B25,'Detalhe Por UC'!$R:$R,'Infos Clientes'!AU$2)=0,"",
SUMIFS('Detalhe Por UC'!$AB:$AB,'Detalhe Por UC'!$C:$C,'Infos Clientes'!$B25,'Detalhe Por UC'!$R:$R,'Infos Clientes'!AU$2)
+SUMIFS('Detalhe Por UC'!$AC:$AC,'Detalhe Por UC'!$C:$C,'Infos Clientes'!$B25,'Detalhe Por UC'!$R:$R,'Infos Clientes'!AU$2))</f>
        <v/>
      </c>
    </row>
    <row r="26" spans="2:47" x14ac:dyDescent="0.3">
      <c r="B26" t="s">
        <v>88</v>
      </c>
      <c r="C26" s="14">
        <f t="shared" si="1"/>
        <v>26</v>
      </c>
      <c r="D26" t="s">
        <v>19</v>
      </c>
      <c r="E26" s="15">
        <v>994</v>
      </c>
      <c r="F26" t="s">
        <v>89</v>
      </c>
      <c r="G26" t="s">
        <v>90</v>
      </c>
      <c r="H26" s="16" t="s">
        <v>88</v>
      </c>
      <c r="I26" s="17" t="s">
        <v>22</v>
      </c>
      <c r="J26" s="1" t="s">
        <v>28</v>
      </c>
      <c r="K26" s="18" t="s">
        <v>24</v>
      </c>
      <c r="L26" s="18"/>
      <c r="M26" s="19">
        <v>0.25</v>
      </c>
      <c r="N26"/>
      <c r="O26" s="20"/>
      <c r="P26" s="21"/>
      <c r="Q26" s="22">
        <f>IF(_xlfn.MINIFS('Detalhe Por UC'!R:R,'Detalhe Por UC'!C:C,B26,'Detalhe Por UC'!AD:AD,"&gt;"&amp;0)=0,"",_xlfn.MINIFS('Detalhe Por UC'!R:R,'Detalhe Por UC'!C:C,B26,'Detalhe Por UC'!AD:AD,"&gt;"&amp;0))</f>
        <v>45627</v>
      </c>
      <c r="R26" s="23">
        <f>IF(P26&lt;&gt;"ATIVO",0,
IF(OR(Q26="",Q26=0,O26=0),O26,
O26-ROUND((MAX('Detalhe Por UC'!R:R)
-Q26)/(365/12),0)))</f>
        <v>0</v>
      </c>
      <c r="T26" s="5">
        <v>335.75</v>
      </c>
      <c r="U26" s="24">
        <f t="shared" si="0"/>
        <v>370</v>
      </c>
      <c r="W26" s="25">
        <v>453</v>
      </c>
      <c r="X26" s="25">
        <v>596</v>
      </c>
      <c r="Y26" s="25">
        <v>381</v>
      </c>
      <c r="Z26" s="25">
        <v>348</v>
      </c>
      <c r="AA26" s="25">
        <v>360</v>
      </c>
      <c r="AB26" s="25">
        <v>342</v>
      </c>
      <c r="AC26" s="25">
        <v>303</v>
      </c>
      <c r="AD26" s="26">
        <v>194</v>
      </c>
      <c r="AE26" s="25">
        <v>156</v>
      </c>
      <c r="AF26" s="25">
        <v>244</v>
      </c>
      <c r="AG26" s="25">
        <v>287</v>
      </c>
      <c r="AH26" s="25">
        <v>409</v>
      </c>
      <c r="AI26" s="25">
        <v>365</v>
      </c>
      <c r="AJ26" s="27">
        <f>IF(SUMIFS('Detalhe Por UC'!$AB:$AB,'Detalhe Por UC'!$C:$C,'Infos Clientes'!$B26,'Detalhe Por UC'!$R:$R,'Infos Clientes'!AJ$2)=0,"",
SUMIFS('Detalhe Por UC'!$AB:$AB,'Detalhe Por UC'!$C:$C,'Infos Clientes'!$B26,'Detalhe Por UC'!$R:$R,'Infos Clientes'!AJ$2)
+SUMIFS('Detalhe Por UC'!$AC:$AC,'Detalhe Por UC'!$C:$C,'Infos Clientes'!$B26,'Detalhe Por UC'!$R:$R,'Infos Clientes'!AJ$2))</f>
        <v>640</v>
      </c>
      <c r="AK26" s="27">
        <f>IF(SUMIFS('Detalhe Por UC'!$AB:$AB,'Detalhe Por UC'!$C:$C,'Infos Clientes'!$B26,'Detalhe Por UC'!$R:$R,'Infos Clientes'!AK$2)=0,"",
SUMIFS('Detalhe Por UC'!$AB:$AB,'Detalhe Por UC'!$C:$C,'Infos Clientes'!$B26,'Detalhe Por UC'!$R:$R,'Infos Clientes'!AK$2)
+SUMIFS('Detalhe Por UC'!$AC:$AC,'Detalhe Por UC'!$C:$C,'Infos Clientes'!$B26,'Detalhe Por UC'!$R:$R,'Infos Clientes'!AK$2))</f>
        <v>452</v>
      </c>
      <c r="AL26" s="27">
        <f>IF(SUMIFS('Detalhe Por UC'!$AB:$AB,'Detalhe Por UC'!$C:$C,'Infos Clientes'!$B26,'Detalhe Por UC'!$R:$R,'Infos Clientes'!AL$2)=0,"",
SUMIFS('Detalhe Por UC'!$AB:$AB,'Detalhe Por UC'!$C:$C,'Infos Clientes'!$B26,'Detalhe Por UC'!$R:$R,'Infos Clientes'!AL$2)
+SUMIFS('Detalhe Por UC'!$AC:$AC,'Detalhe Por UC'!$C:$C,'Infos Clientes'!$B26,'Detalhe Por UC'!$R:$R,'Infos Clientes'!AL$2))</f>
        <v>522</v>
      </c>
      <c r="AM26" s="27">
        <f>IF(SUMIFS('Detalhe Por UC'!$AB:$AB,'Detalhe Por UC'!$C:$C,'Infos Clientes'!$B26,'Detalhe Por UC'!$R:$R,'Infos Clientes'!AM$2)=0,"",
SUMIFS('Detalhe Por UC'!$AB:$AB,'Detalhe Por UC'!$C:$C,'Infos Clientes'!$B26,'Detalhe Por UC'!$R:$R,'Infos Clientes'!AM$2)
+SUMIFS('Detalhe Por UC'!$AC:$AC,'Detalhe Por UC'!$C:$C,'Infos Clientes'!$B26,'Detalhe Por UC'!$R:$R,'Infos Clientes'!AM$2))</f>
        <v>192</v>
      </c>
      <c r="AN26" s="27">
        <f>IF(SUMIFS('Detalhe Por UC'!$AB:$AB,'Detalhe Por UC'!$C:$C,'Infos Clientes'!$B26,'Detalhe Por UC'!$R:$R,'Infos Clientes'!AN$2)=0,"",
SUMIFS('Detalhe Por UC'!$AB:$AB,'Detalhe Por UC'!$C:$C,'Infos Clientes'!$B26,'Detalhe Por UC'!$R:$R,'Infos Clientes'!AN$2)
+SUMIFS('Detalhe Por UC'!$AC:$AC,'Detalhe Por UC'!$C:$C,'Infos Clientes'!$B26,'Detalhe Por UC'!$R:$R,'Infos Clientes'!AN$2))</f>
        <v>286</v>
      </c>
      <c r="AO26" s="27">
        <f>IF(SUMIFS('Detalhe Por UC'!$AB:$AB,'Detalhe Por UC'!$C:$C,'Infos Clientes'!$B26,'Detalhe Por UC'!$R:$R,'Infos Clientes'!AO$2)=0,"",
SUMIFS('Detalhe Por UC'!$AB:$AB,'Detalhe Por UC'!$C:$C,'Infos Clientes'!$B26,'Detalhe Por UC'!$R:$R,'Infos Clientes'!AO$2)
+SUMIFS('Detalhe Por UC'!$AC:$AC,'Detalhe Por UC'!$C:$C,'Infos Clientes'!$B26,'Detalhe Por UC'!$R:$R,'Infos Clientes'!AO$2))</f>
        <v>226</v>
      </c>
      <c r="AP26" s="27">
        <f>IF(SUMIFS('Detalhe Por UC'!$AB:$AB,'Detalhe Por UC'!$C:$C,'Infos Clientes'!$B26,'Detalhe Por UC'!$R:$R,'Infos Clientes'!AP$2)=0,"",
SUMIFS('Detalhe Por UC'!$AB:$AB,'Detalhe Por UC'!$C:$C,'Infos Clientes'!$B26,'Detalhe Por UC'!$R:$R,'Infos Clientes'!AP$2)
+SUMIFS('Detalhe Por UC'!$AC:$AC,'Detalhe Por UC'!$C:$C,'Infos Clientes'!$B26,'Detalhe Por UC'!$R:$R,'Infos Clientes'!AP$2))</f>
        <v>238</v>
      </c>
      <c r="AQ26" s="27">
        <f>IF(SUMIFS('Detalhe Por UC'!$AB:$AB,'Detalhe Por UC'!$C:$C,'Infos Clientes'!$B26,'Detalhe Por UC'!$R:$R,'Infos Clientes'!AQ$2)=0,"",
SUMIFS('Detalhe Por UC'!$AB:$AB,'Detalhe Por UC'!$C:$C,'Infos Clientes'!$B26,'Detalhe Por UC'!$R:$R,'Infos Clientes'!AQ$2)
+SUMIFS('Detalhe Por UC'!$AC:$AC,'Detalhe Por UC'!$C:$C,'Infos Clientes'!$B26,'Detalhe Por UC'!$R:$R,'Infos Clientes'!AQ$2))</f>
        <v>248</v>
      </c>
      <c r="AR26" s="27">
        <f>IF(SUMIFS('Detalhe Por UC'!$AB:$AB,'Detalhe Por UC'!$C:$C,'Infos Clientes'!$B26,'Detalhe Por UC'!$R:$R,'Infos Clientes'!AR$2)=0,"",
SUMIFS('Detalhe Por UC'!$AB:$AB,'Detalhe Por UC'!$C:$C,'Infos Clientes'!$B26,'Detalhe Por UC'!$R:$R,'Infos Clientes'!AR$2)
+SUMIFS('Detalhe Por UC'!$AC:$AC,'Detalhe Por UC'!$C:$C,'Infos Clientes'!$B26,'Detalhe Por UC'!$R:$R,'Infos Clientes'!AR$2))</f>
        <v>403</v>
      </c>
      <c r="AS26" s="27">
        <f>IF(SUMIFS('Detalhe Por UC'!$AB:$AB,'Detalhe Por UC'!$C:$C,'Infos Clientes'!$B26,'Detalhe Por UC'!$R:$R,'Infos Clientes'!AS$2)=0,"",
SUMIFS('Detalhe Por UC'!$AB:$AB,'Detalhe Por UC'!$C:$C,'Infos Clientes'!$B26,'Detalhe Por UC'!$R:$R,'Infos Clientes'!AS$2)
+SUMIFS('Detalhe Por UC'!$AC:$AC,'Detalhe Por UC'!$C:$C,'Infos Clientes'!$B26,'Detalhe Por UC'!$R:$R,'Infos Clientes'!AS$2))</f>
        <v>366</v>
      </c>
      <c r="AT26" s="27">
        <f>IF(SUMIFS('Detalhe Por UC'!$AB:$AB,'Detalhe Por UC'!$C:$C,'Infos Clientes'!$B26,'Detalhe Por UC'!$R:$R,'Infos Clientes'!AT$2)=0,"",
SUMIFS('Detalhe Por UC'!$AB:$AB,'Detalhe Por UC'!$C:$C,'Infos Clientes'!$B26,'Detalhe Por UC'!$R:$R,'Infos Clientes'!AT$2)
+SUMIFS('Detalhe Por UC'!$AC:$AC,'Detalhe Por UC'!$C:$C,'Infos Clientes'!$B26,'Detalhe Por UC'!$R:$R,'Infos Clientes'!AT$2))</f>
        <v>502</v>
      </c>
      <c r="AU26" s="27" t="str">
        <f>IF(SUMIFS('Detalhe Por UC'!$AB:$AB,'Detalhe Por UC'!$C:$C,'Infos Clientes'!$B26,'Detalhe Por UC'!$R:$R,'Infos Clientes'!AU$2)=0,"",
SUMIFS('Detalhe Por UC'!$AB:$AB,'Detalhe Por UC'!$C:$C,'Infos Clientes'!$B26,'Detalhe Por UC'!$R:$R,'Infos Clientes'!AU$2)
+SUMIFS('Detalhe Por UC'!$AC:$AC,'Detalhe Por UC'!$C:$C,'Infos Clientes'!$B26,'Detalhe Por UC'!$R:$R,'Infos Clientes'!AU$2))</f>
        <v/>
      </c>
    </row>
    <row r="27" spans="2:47" x14ac:dyDescent="0.3">
      <c r="B27" t="s">
        <v>91</v>
      </c>
      <c r="C27" s="14">
        <f t="shared" si="1"/>
        <v>27</v>
      </c>
      <c r="D27" t="s">
        <v>19</v>
      </c>
      <c r="E27" s="15">
        <v>357</v>
      </c>
      <c r="F27" t="s">
        <v>92</v>
      </c>
      <c r="G27" t="s">
        <v>93</v>
      </c>
      <c r="H27" s="16" t="s">
        <v>91</v>
      </c>
      <c r="I27" s="17" t="s">
        <v>22</v>
      </c>
      <c r="J27" s="1" t="s">
        <v>28</v>
      </c>
      <c r="K27" s="18" t="s">
        <v>24</v>
      </c>
      <c r="L27" s="18"/>
      <c r="M27" s="19">
        <v>0.25</v>
      </c>
      <c r="N27"/>
      <c r="O27" s="20"/>
      <c r="P27" s="21"/>
      <c r="Q27" s="22">
        <f>IF(_xlfn.MINIFS('Detalhe Por UC'!R:R,'Detalhe Por UC'!C:C,B27,'Detalhe Por UC'!AD:AD,"&gt;"&amp;0)=0,"",_xlfn.MINIFS('Detalhe Por UC'!R:R,'Detalhe Por UC'!C:C,B27,'Detalhe Por UC'!AD:AD,"&gt;"&amp;0))</f>
        <v>45627</v>
      </c>
      <c r="R27" s="23">
        <f>IF(P27&lt;&gt;"ATIVO",0,
IF(OR(Q27="",Q27=0,O27=0),O27,
O27-ROUND((MAX('Detalhe Por UC'!R:R)
-Q27)/(365/12),0)))</f>
        <v>0</v>
      </c>
      <c r="T27" s="5">
        <v>708</v>
      </c>
      <c r="U27" s="24">
        <f t="shared" si="0"/>
        <v>625.33333333333337</v>
      </c>
      <c r="W27" s="25">
        <v>788</v>
      </c>
      <c r="X27" s="25">
        <v>819</v>
      </c>
      <c r="Y27" s="25">
        <v>811</v>
      </c>
      <c r="Z27" s="25">
        <v>1015</v>
      </c>
      <c r="AA27" s="25">
        <v>1014</v>
      </c>
      <c r="AB27" s="25">
        <v>828</v>
      </c>
      <c r="AC27" s="25">
        <v>346</v>
      </c>
      <c r="AD27" s="26">
        <v>469</v>
      </c>
      <c r="AE27" s="25">
        <v>516</v>
      </c>
      <c r="AF27" s="25">
        <v>429</v>
      </c>
      <c r="AG27" s="25">
        <v>758</v>
      </c>
      <c r="AH27" s="25">
        <v>728</v>
      </c>
      <c r="AI27" s="25">
        <v>797</v>
      </c>
      <c r="AJ27" s="27">
        <f>IF(SUMIFS('Detalhe Por UC'!$AB:$AB,'Detalhe Por UC'!$C:$C,'Infos Clientes'!$B27,'Detalhe Por UC'!$R:$R,'Infos Clientes'!AJ$2)=0,"",
SUMIFS('Detalhe Por UC'!$AB:$AB,'Detalhe Por UC'!$C:$C,'Infos Clientes'!$B27,'Detalhe Por UC'!$R:$R,'Infos Clientes'!AJ$2)
+SUMIFS('Detalhe Por UC'!$AC:$AC,'Detalhe Por UC'!$C:$C,'Infos Clientes'!$B27,'Detalhe Por UC'!$R:$R,'Infos Clientes'!AJ$2))</f>
        <v>785</v>
      </c>
      <c r="AK27" s="27">
        <f>IF(SUMIFS('Detalhe Por UC'!$AB:$AB,'Detalhe Por UC'!$C:$C,'Infos Clientes'!$B27,'Detalhe Por UC'!$R:$R,'Infos Clientes'!AK$2)=0,"",
SUMIFS('Detalhe Por UC'!$AB:$AB,'Detalhe Por UC'!$C:$C,'Infos Clientes'!$B27,'Detalhe Por UC'!$R:$R,'Infos Clientes'!AK$2)
+SUMIFS('Detalhe Por UC'!$AC:$AC,'Detalhe Por UC'!$C:$C,'Infos Clientes'!$B27,'Detalhe Por UC'!$R:$R,'Infos Clientes'!AK$2))</f>
        <v>774</v>
      </c>
      <c r="AL27" s="27">
        <f>IF(SUMIFS('Detalhe Por UC'!$AB:$AB,'Detalhe Por UC'!$C:$C,'Infos Clientes'!$B27,'Detalhe Por UC'!$R:$R,'Infos Clientes'!AL$2)=0,"",
SUMIFS('Detalhe Por UC'!$AB:$AB,'Detalhe Por UC'!$C:$C,'Infos Clientes'!$B27,'Detalhe Por UC'!$R:$R,'Infos Clientes'!AL$2)
+SUMIFS('Detalhe Por UC'!$AC:$AC,'Detalhe Por UC'!$C:$C,'Infos Clientes'!$B27,'Detalhe Por UC'!$R:$R,'Infos Clientes'!AL$2))</f>
        <v>715</v>
      </c>
      <c r="AM27" s="27">
        <f>IF(SUMIFS('Detalhe Por UC'!$AB:$AB,'Detalhe Por UC'!$C:$C,'Infos Clientes'!$B27,'Detalhe Por UC'!$R:$R,'Infos Clientes'!AM$2)=0,"",
SUMIFS('Detalhe Por UC'!$AB:$AB,'Detalhe Por UC'!$C:$C,'Infos Clientes'!$B27,'Detalhe Por UC'!$R:$R,'Infos Clientes'!AM$2)
+SUMIFS('Detalhe Por UC'!$AC:$AC,'Detalhe Por UC'!$C:$C,'Infos Clientes'!$B27,'Detalhe Por UC'!$R:$R,'Infos Clientes'!AM$2))</f>
        <v>691</v>
      </c>
      <c r="AN27" s="27">
        <f>IF(SUMIFS('Detalhe Por UC'!$AB:$AB,'Detalhe Por UC'!$C:$C,'Infos Clientes'!$B27,'Detalhe Por UC'!$R:$R,'Infos Clientes'!AN$2)=0,"",
SUMIFS('Detalhe Por UC'!$AB:$AB,'Detalhe Por UC'!$C:$C,'Infos Clientes'!$B27,'Detalhe Por UC'!$R:$R,'Infos Clientes'!AN$2)
+SUMIFS('Detalhe Por UC'!$AC:$AC,'Detalhe Por UC'!$C:$C,'Infos Clientes'!$B27,'Detalhe Por UC'!$R:$R,'Infos Clientes'!AN$2))</f>
        <v>836</v>
      </c>
      <c r="AO27" s="27">
        <f>IF(SUMIFS('Detalhe Por UC'!$AB:$AB,'Detalhe Por UC'!$C:$C,'Infos Clientes'!$B27,'Detalhe Por UC'!$R:$R,'Infos Clientes'!AO$2)=0,"",
SUMIFS('Detalhe Por UC'!$AB:$AB,'Detalhe Por UC'!$C:$C,'Infos Clientes'!$B27,'Detalhe Por UC'!$R:$R,'Infos Clientes'!AO$2)
+SUMIFS('Detalhe Por UC'!$AC:$AC,'Detalhe Por UC'!$C:$C,'Infos Clientes'!$B27,'Detalhe Por UC'!$R:$R,'Infos Clientes'!AO$2))</f>
        <v>388</v>
      </c>
      <c r="AP27" s="27">
        <f>IF(SUMIFS('Detalhe Por UC'!$AB:$AB,'Detalhe Por UC'!$C:$C,'Infos Clientes'!$B27,'Detalhe Por UC'!$R:$R,'Infos Clientes'!AP$2)=0,"",
SUMIFS('Detalhe Por UC'!$AB:$AB,'Detalhe Por UC'!$C:$C,'Infos Clientes'!$B27,'Detalhe Por UC'!$R:$R,'Infos Clientes'!AP$2)
+SUMIFS('Detalhe Por UC'!$AC:$AC,'Detalhe Por UC'!$C:$C,'Infos Clientes'!$B27,'Detalhe Por UC'!$R:$R,'Infos Clientes'!AP$2))</f>
        <v>215</v>
      </c>
      <c r="AQ27" s="27">
        <f>IF(SUMIFS('Detalhe Por UC'!$AB:$AB,'Detalhe Por UC'!$C:$C,'Infos Clientes'!$B27,'Detalhe Por UC'!$R:$R,'Infos Clientes'!AQ$2)=0,"",
SUMIFS('Detalhe Por UC'!$AB:$AB,'Detalhe Por UC'!$C:$C,'Infos Clientes'!$B27,'Detalhe Por UC'!$R:$R,'Infos Clientes'!AQ$2)
+SUMIFS('Detalhe Por UC'!$AC:$AC,'Detalhe Por UC'!$C:$C,'Infos Clientes'!$B27,'Detalhe Por UC'!$R:$R,'Infos Clientes'!AQ$2))</f>
        <v>470</v>
      </c>
      <c r="AR27" s="27">
        <f>IF(SUMIFS('Detalhe Por UC'!$AB:$AB,'Detalhe Por UC'!$C:$C,'Infos Clientes'!$B27,'Detalhe Por UC'!$R:$R,'Infos Clientes'!AR$2)=0,"",
SUMIFS('Detalhe Por UC'!$AB:$AB,'Detalhe Por UC'!$C:$C,'Infos Clientes'!$B27,'Detalhe Por UC'!$R:$R,'Infos Clientes'!AR$2)
+SUMIFS('Detalhe Por UC'!$AC:$AC,'Detalhe Por UC'!$C:$C,'Infos Clientes'!$B27,'Detalhe Por UC'!$R:$R,'Infos Clientes'!AR$2))</f>
        <v>384</v>
      </c>
      <c r="AS27" s="27">
        <f>IF(SUMIFS('Detalhe Por UC'!$AB:$AB,'Detalhe Por UC'!$C:$C,'Infos Clientes'!$B27,'Detalhe Por UC'!$R:$R,'Infos Clientes'!AS$2)=0,"",
SUMIFS('Detalhe Por UC'!$AB:$AB,'Detalhe Por UC'!$C:$C,'Infos Clientes'!$B27,'Detalhe Por UC'!$R:$R,'Infos Clientes'!AS$2)
+SUMIFS('Detalhe Por UC'!$AC:$AC,'Detalhe Por UC'!$C:$C,'Infos Clientes'!$B27,'Detalhe Por UC'!$R:$R,'Infos Clientes'!AS$2))</f>
        <v>797</v>
      </c>
      <c r="AT27" s="27">
        <f>IF(SUMIFS('Detalhe Por UC'!$AB:$AB,'Detalhe Por UC'!$C:$C,'Infos Clientes'!$B27,'Detalhe Por UC'!$R:$R,'Infos Clientes'!AT$2)=0,"",
SUMIFS('Detalhe Por UC'!$AB:$AB,'Detalhe Por UC'!$C:$C,'Infos Clientes'!$B27,'Detalhe Por UC'!$R:$R,'Infos Clientes'!AT$2)
+SUMIFS('Detalhe Por UC'!$AC:$AC,'Detalhe Por UC'!$C:$C,'Infos Clientes'!$B27,'Detalhe Por UC'!$R:$R,'Infos Clientes'!AT$2))</f>
        <v>652</v>
      </c>
      <c r="AU27" s="27" t="str">
        <f>IF(SUMIFS('Detalhe Por UC'!$AB:$AB,'Detalhe Por UC'!$C:$C,'Infos Clientes'!$B27,'Detalhe Por UC'!$R:$R,'Infos Clientes'!AU$2)=0,"",
SUMIFS('Detalhe Por UC'!$AB:$AB,'Detalhe Por UC'!$C:$C,'Infos Clientes'!$B27,'Detalhe Por UC'!$R:$R,'Infos Clientes'!AU$2)
+SUMIFS('Detalhe Por UC'!$AC:$AC,'Detalhe Por UC'!$C:$C,'Infos Clientes'!$B27,'Detalhe Por UC'!$R:$R,'Infos Clientes'!AU$2))</f>
        <v/>
      </c>
    </row>
    <row r="28" spans="2:47" x14ac:dyDescent="0.3">
      <c r="B28" t="s">
        <v>94</v>
      </c>
      <c r="C28" s="14">
        <f t="shared" si="1"/>
        <v>28</v>
      </c>
      <c r="D28" t="s">
        <v>19</v>
      </c>
      <c r="E28" s="15">
        <v>319</v>
      </c>
      <c r="F28" t="s">
        <v>95</v>
      </c>
      <c r="G28" t="s">
        <v>96</v>
      </c>
      <c r="H28" s="16" t="s">
        <v>94</v>
      </c>
      <c r="I28" s="17" t="s">
        <v>22</v>
      </c>
      <c r="J28" s="1" t="s">
        <v>23</v>
      </c>
      <c r="K28" s="18" t="s">
        <v>24</v>
      </c>
      <c r="L28" s="18"/>
      <c r="M28" s="19">
        <v>0.25</v>
      </c>
      <c r="N28"/>
      <c r="O28" s="20"/>
      <c r="P28" s="21"/>
      <c r="Q28" s="22">
        <f>IF(_xlfn.MINIFS('Detalhe Por UC'!R:R,'Detalhe Por UC'!C:C,B28,'Detalhe Por UC'!AD:AD,"&gt;"&amp;0)=0,"",_xlfn.MINIFS('Detalhe Por UC'!R:R,'Detalhe Por UC'!C:C,B28,'Detalhe Por UC'!AD:AD,"&gt;"&amp;0))</f>
        <v>45689</v>
      </c>
      <c r="R28" s="23">
        <f>IF(P28&lt;&gt;"ATIVO",0,
IF(OR(Q28="",Q28=0,O28=0),O28,
O28-ROUND((MAX('Detalhe Por UC'!R:R)
-Q28)/(365/12),0)))</f>
        <v>0</v>
      </c>
      <c r="T28" s="5">
        <v>55.25</v>
      </c>
      <c r="U28" s="24">
        <f t="shared" si="0"/>
        <v>306.83333333333331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6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358</v>
      </c>
      <c r="AJ28" s="27">
        <f>IF(SUMIFS('Detalhe Por UC'!$AB:$AB,'Detalhe Por UC'!$C:$C,'Infos Clientes'!$B28,'Detalhe Por UC'!$R:$R,'Infos Clientes'!AJ$2)=0,"",
SUMIFS('Detalhe Por UC'!$AB:$AB,'Detalhe Por UC'!$C:$C,'Infos Clientes'!$B28,'Detalhe Por UC'!$R:$R,'Infos Clientes'!AJ$2)
+SUMIFS('Detalhe Por UC'!$AC:$AC,'Detalhe Por UC'!$C:$C,'Infos Clientes'!$B28,'Detalhe Por UC'!$R:$R,'Infos Clientes'!AJ$2))</f>
        <v>305</v>
      </c>
      <c r="AK28" s="27">
        <f>IF(SUMIFS('Detalhe Por UC'!$AB:$AB,'Detalhe Por UC'!$C:$C,'Infos Clientes'!$B28,'Detalhe Por UC'!$R:$R,'Infos Clientes'!AK$2)=0,"",
SUMIFS('Detalhe Por UC'!$AB:$AB,'Detalhe Por UC'!$C:$C,'Infos Clientes'!$B28,'Detalhe Por UC'!$R:$R,'Infos Clientes'!AK$2)
+SUMIFS('Detalhe Por UC'!$AC:$AC,'Detalhe Por UC'!$C:$C,'Infos Clientes'!$B28,'Detalhe Por UC'!$R:$R,'Infos Clientes'!AK$2))</f>
        <v>323</v>
      </c>
      <c r="AL28" s="27">
        <f>IF(SUMIFS('Detalhe Por UC'!$AB:$AB,'Detalhe Por UC'!$C:$C,'Infos Clientes'!$B28,'Detalhe Por UC'!$R:$R,'Infos Clientes'!AL$2)=0,"",
SUMIFS('Detalhe Por UC'!$AB:$AB,'Detalhe Por UC'!$C:$C,'Infos Clientes'!$B28,'Detalhe Por UC'!$R:$R,'Infos Clientes'!AL$2)
+SUMIFS('Detalhe Por UC'!$AC:$AC,'Detalhe Por UC'!$C:$C,'Infos Clientes'!$B28,'Detalhe Por UC'!$R:$R,'Infos Clientes'!AL$2))</f>
        <v>390</v>
      </c>
      <c r="AM28" s="27">
        <f>IF(SUMIFS('Detalhe Por UC'!$AB:$AB,'Detalhe Por UC'!$C:$C,'Infos Clientes'!$B28,'Detalhe Por UC'!$R:$R,'Infos Clientes'!AM$2)=0,"",
SUMIFS('Detalhe Por UC'!$AB:$AB,'Detalhe Por UC'!$C:$C,'Infos Clientes'!$B28,'Detalhe Por UC'!$R:$R,'Infos Clientes'!AM$2)
+SUMIFS('Detalhe Por UC'!$AC:$AC,'Detalhe Por UC'!$C:$C,'Infos Clientes'!$B28,'Detalhe Por UC'!$R:$R,'Infos Clientes'!AM$2))</f>
        <v>347</v>
      </c>
      <c r="AN28" s="27">
        <f>IF(SUMIFS('Detalhe Por UC'!$AB:$AB,'Detalhe Por UC'!$C:$C,'Infos Clientes'!$B28,'Detalhe Por UC'!$R:$R,'Infos Clientes'!AN$2)=0,"",
SUMIFS('Detalhe Por UC'!$AB:$AB,'Detalhe Por UC'!$C:$C,'Infos Clientes'!$B28,'Detalhe Por UC'!$R:$R,'Infos Clientes'!AN$2)
+SUMIFS('Detalhe Por UC'!$AC:$AC,'Detalhe Por UC'!$C:$C,'Infos Clientes'!$B28,'Detalhe Por UC'!$R:$R,'Infos Clientes'!AN$2))</f>
        <v>256</v>
      </c>
      <c r="AO28" s="27">
        <f>IF(SUMIFS('Detalhe Por UC'!$AB:$AB,'Detalhe Por UC'!$C:$C,'Infos Clientes'!$B28,'Detalhe Por UC'!$R:$R,'Infos Clientes'!AO$2)=0,"",
SUMIFS('Detalhe Por UC'!$AB:$AB,'Detalhe Por UC'!$C:$C,'Infos Clientes'!$B28,'Detalhe Por UC'!$R:$R,'Infos Clientes'!AO$2)
+SUMIFS('Detalhe Por UC'!$AC:$AC,'Detalhe Por UC'!$C:$C,'Infos Clientes'!$B28,'Detalhe Por UC'!$R:$R,'Infos Clientes'!AO$2))</f>
        <v>294</v>
      </c>
      <c r="AP28" s="27">
        <f>IF(SUMIFS('Detalhe Por UC'!$AB:$AB,'Detalhe Por UC'!$C:$C,'Infos Clientes'!$B28,'Detalhe Por UC'!$R:$R,'Infos Clientes'!AP$2)=0,"",
SUMIFS('Detalhe Por UC'!$AB:$AB,'Detalhe Por UC'!$C:$C,'Infos Clientes'!$B28,'Detalhe Por UC'!$R:$R,'Infos Clientes'!AP$2)
+SUMIFS('Detalhe Por UC'!$AC:$AC,'Detalhe Por UC'!$C:$C,'Infos Clientes'!$B28,'Detalhe Por UC'!$R:$R,'Infos Clientes'!AP$2))</f>
        <v>285</v>
      </c>
      <c r="AQ28" s="27">
        <f>IF(SUMIFS('Detalhe Por UC'!$AB:$AB,'Detalhe Por UC'!$C:$C,'Infos Clientes'!$B28,'Detalhe Por UC'!$R:$R,'Infos Clientes'!AQ$2)=0,"",
SUMIFS('Detalhe Por UC'!$AB:$AB,'Detalhe Por UC'!$C:$C,'Infos Clientes'!$B28,'Detalhe Por UC'!$R:$R,'Infos Clientes'!AQ$2)
+SUMIFS('Detalhe Por UC'!$AC:$AC,'Detalhe Por UC'!$C:$C,'Infos Clientes'!$B28,'Detalhe Por UC'!$R:$R,'Infos Clientes'!AQ$2))</f>
        <v>238</v>
      </c>
      <c r="AR28" s="27">
        <f>IF(SUMIFS('Detalhe Por UC'!$AB:$AB,'Detalhe Por UC'!$C:$C,'Infos Clientes'!$B28,'Detalhe Por UC'!$R:$R,'Infos Clientes'!AR$2)=0,"",
SUMIFS('Detalhe Por UC'!$AB:$AB,'Detalhe Por UC'!$C:$C,'Infos Clientes'!$B28,'Detalhe Por UC'!$R:$R,'Infos Clientes'!AR$2)
+SUMIFS('Detalhe Por UC'!$AC:$AC,'Detalhe Por UC'!$C:$C,'Infos Clientes'!$B28,'Detalhe Por UC'!$R:$R,'Infos Clientes'!AR$2))</f>
        <v>262</v>
      </c>
      <c r="AS28" s="27">
        <f>IF(SUMIFS('Detalhe Por UC'!$AB:$AB,'Detalhe Por UC'!$C:$C,'Infos Clientes'!$B28,'Detalhe Por UC'!$R:$R,'Infos Clientes'!AS$2)=0,"",
SUMIFS('Detalhe Por UC'!$AB:$AB,'Detalhe Por UC'!$C:$C,'Infos Clientes'!$B28,'Detalhe Por UC'!$R:$R,'Infos Clientes'!AS$2)
+SUMIFS('Detalhe Por UC'!$AC:$AC,'Detalhe Por UC'!$C:$C,'Infos Clientes'!$B28,'Detalhe Por UC'!$R:$R,'Infos Clientes'!AS$2))</f>
        <v>317</v>
      </c>
      <c r="AT28" s="27">
        <f>IF(SUMIFS('Detalhe Por UC'!$AB:$AB,'Detalhe Por UC'!$C:$C,'Infos Clientes'!$B28,'Detalhe Por UC'!$R:$R,'Infos Clientes'!AT$2)=0,"",
SUMIFS('Detalhe Por UC'!$AB:$AB,'Detalhe Por UC'!$C:$C,'Infos Clientes'!$B28,'Detalhe Por UC'!$R:$R,'Infos Clientes'!AT$2)
+SUMIFS('Detalhe Por UC'!$AC:$AC,'Detalhe Por UC'!$C:$C,'Infos Clientes'!$B28,'Detalhe Por UC'!$R:$R,'Infos Clientes'!AT$2))</f>
        <v>307</v>
      </c>
      <c r="AU28" s="27" t="str">
        <f>IF(SUMIFS('Detalhe Por UC'!$AB:$AB,'Detalhe Por UC'!$C:$C,'Infos Clientes'!$B28,'Detalhe Por UC'!$R:$R,'Infos Clientes'!AU$2)=0,"",
SUMIFS('Detalhe Por UC'!$AB:$AB,'Detalhe Por UC'!$C:$C,'Infos Clientes'!$B28,'Detalhe Por UC'!$R:$R,'Infos Clientes'!AU$2)
+SUMIFS('Detalhe Por UC'!$AC:$AC,'Detalhe Por UC'!$C:$C,'Infos Clientes'!$B28,'Detalhe Por UC'!$R:$R,'Infos Clientes'!AU$2))</f>
        <v/>
      </c>
    </row>
    <row r="29" spans="2:47" x14ac:dyDescent="0.3">
      <c r="B29" t="s">
        <v>97</v>
      </c>
      <c r="C29" s="14">
        <f t="shared" si="1"/>
        <v>29</v>
      </c>
      <c r="D29" t="s">
        <v>19</v>
      </c>
      <c r="E29" s="15">
        <v>357</v>
      </c>
      <c r="F29" t="s">
        <v>62</v>
      </c>
      <c r="G29" t="s">
        <v>98</v>
      </c>
      <c r="H29" s="16" t="s">
        <v>97</v>
      </c>
      <c r="I29" s="17" t="s">
        <v>22</v>
      </c>
      <c r="J29" s="1" t="s">
        <v>28</v>
      </c>
      <c r="K29" s="18" t="s">
        <v>24</v>
      </c>
      <c r="L29" s="18"/>
      <c r="M29" s="19">
        <v>0.25</v>
      </c>
      <c r="N29"/>
      <c r="O29" s="20"/>
      <c r="P29" s="21"/>
      <c r="Q29" s="22">
        <f>IF(_xlfn.MINIFS('Detalhe Por UC'!R:R,'Detalhe Por UC'!C:C,B29,'Detalhe Por UC'!AD:AD,"&gt;"&amp;0)=0,"",_xlfn.MINIFS('Detalhe Por UC'!R:R,'Detalhe Por UC'!C:C,B29,'Detalhe Por UC'!AD:AD,"&gt;"&amp;0))</f>
        <v>45627</v>
      </c>
      <c r="R29" s="23">
        <f>IF(P29&lt;&gt;"ATIVO",0,
IF(OR(Q29="",Q29=0,O29=0),O29,
O29-ROUND((MAX('Detalhe Por UC'!R:R)
-Q29)/(365/12),0)))</f>
        <v>0</v>
      </c>
      <c r="T29" s="5">
        <v>468.66666666666669</v>
      </c>
      <c r="U29" s="24">
        <f t="shared" si="0"/>
        <v>461.33333333333331</v>
      </c>
      <c r="W29" s="25">
        <v>506</v>
      </c>
      <c r="X29" s="25">
        <v>529</v>
      </c>
      <c r="Y29" s="25">
        <v>524</v>
      </c>
      <c r="Z29" s="25">
        <v>550</v>
      </c>
      <c r="AA29" s="25">
        <v>628</v>
      </c>
      <c r="AB29" s="25">
        <v>455</v>
      </c>
      <c r="AC29" s="25">
        <v>327</v>
      </c>
      <c r="AD29" s="26">
        <v>326</v>
      </c>
      <c r="AE29" s="25">
        <v>354</v>
      </c>
      <c r="AF29" s="25">
        <v>302</v>
      </c>
      <c r="AG29" s="25">
        <v>450</v>
      </c>
      <c r="AH29" s="25">
        <v>537</v>
      </c>
      <c r="AI29" s="25">
        <v>626</v>
      </c>
      <c r="AJ29" s="27">
        <f>IF(SUMIFS('Detalhe Por UC'!$AB:$AB,'Detalhe Por UC'!$C:$C,'Infos Clientes'!$B29,'Detalhe Por UC'!$R:$R,'Infos Clientes'!AJ$2)=0,"",
SUMIFS('Detalhe Por UC'!$AB:$AB,'Detalhe Por UC'!$C:$C,'Infos Clientes'!$B29,'Detalhe Por UC'!$R:$R,'Infos Clientes'!AJ$2)
+SUMIFS('Detalhe Por UC'!$AC:$AC,'Detalhe Por UC'!$C:$C,'Infos Clientes'!$B29,'Detalhe Por UC'!$R:$R,'Infos Clientes'!AJ$2))</f>
        <v>545</v>
      </c>
      <c r="AK29" s="27">
        <f>IF(SUMIFS('Detalhe Por UC'!$AB:$AB,'Detalhe Por UC'!$C:$C,'Infos Clientes'!$B29,'Detalhe Por UC'!$R:$R,'Infos Clientes'!AK$2)=0,"",
SUMIFS('Detalhe Por UC'!$AB:$AB,'Detalhe Por UC'!$C:$C,'Infos Clientes'!$B29,'Detalhe Por UC'!$R:$R,'Infos Clientes'!AK$2)
+SUMIFS('Detalhe Por UC'!$AC:$AC,'Detalhe Por UC'!$C:$C,'Infos Clientes'!$B29,'Detalhe Por UC'!$R:$R,'Infos Clientes'!AK$2))</f>
        <v>649</v>
      </c>
      <c r="AL29" s="27">
        <f>IF(SUMIFS('Detalhe Por UC'!$AB:$AB,'Detalhe Por UC'!$C:$C,'Infos Clientes'!$B29,'Detalhe Por UC'!$R:$R,'Infos Clientes'!AL$2)=0,"",
SUMIFS('Detalhe Por UC'!$AB:$AB,'Detalhe Por UC'!$C:$C,'Infos Clientes'!$B29,'Detalhe Por UC'!$R:$R,'Infos Clientes'!AL$2)
+SUMIFS('Detalhe Por UC'!$AC:$AC,'Detalhe Por UC'!$C:$C,'Infos Clientes'!$B29,'Detalhe Por UC'!$R:$R,'Infos Clientes'!AL$2))</f>
        <v>600</v>
      </c>
      <c r="AM29" s="27">
        <f>IF(SUMIFS('Detalhe Por UC'!$AB:$AB,'Detalhe Por UC'!$C:$C,'Infos Clientes'!$B29,'Detalhe Por UC'!$R:$R,'Infos Clientes'!AM$2)=0,"",
SUMIFS('Detalhe Por UC'!$AB:$AB,'Detalhe Por UC'!$C:$C,'Infos Clientes'!$B29,'Detalhe Por UC'!$R:$R,'Infos Clientes'!AM$2)
+SUMIFS('Detalhe Por UC'!$AC:$AC,'Detalhe Por UC'!$C:$C,'Infos Clientes'!$B29,'Detalhe Por UC'!$R:$R,'Infos Clientes'!AM$2))</f>
        <v>438</v>
      </c>
      <c r="AN29" s="27">
        <f>IF(SUMIFS('Detalhe Por UC'!$AB:$AB,'Detalhe Por UC'!$C:$C,'Infos Clientes'!$B29,'Detalhe Por UC'!$R:$R,'Infos Clientes'!AN$2)=0,"",
SUMIFS('Detalhe Por UC'!$AB:$AB,'Detalhe Por UC'!$C:$C,'Infos Clientes'!$B29,'Detalhe Por UC'!$R:$R,'Infos Clientes'!AN$2)
+SUMIFS('Detalhe Por UC'!$AC:$AC,'Detalhe Por UC'!$C:$C,'Infos Clientes'!$B29,'Detalhe Por UC'!$R:$R,'Infos Clientes'!AN$2))</f>
        <v>398</v>
      </c>
      <c r="AO29" s="27">
        <f>IF(SUMIFS('Detalhe Por UC'!$AB:$AB,'Detalhe Por UC'!$C:$C,'Infos Clientes'!$B29,'Detalhe Por UC'!$R:$R,'Infos Clientes'!AO$2)=0,"",
SUMIFS('Detalhe Por UC'!$AB:$AB,'Detalhe Por UC'!$C:$C,'Infos Clientes'!$B29,'Detalhe Por UC'!$R:$R,'Infos Clientes'!AO$2)
+SUMIFS('Detalhe Por UC'!$AC:$AC,'Detalhe Por UC'!$C:$C,'Infos Clientes'!$B29,'Detalhe Por UC'!$R:$R,'Infos Clientes'!AO$2))</f>
        <v>356</v>
      </c>
      <c r="AP29" s="27">
        <f>IF(SUMIFS('Detalhe Por UC'!$AB:$AB,'Detalhe Por UC'!$C:$C,'Infos Clientes'!$B29,'Detalhe Por UC'!$R:$R,'Infos Clientes'!AP$2)=0,"",
SUMIFS('Detalhe Por UC'!$AB:$AB,'Detalhe Por UC'!$C:$C,'Infos Clientes'!$B29,'Detalhe Por UC'!$R:$R,'Infos Clientes'!AP$2)
+SUMIFS('Detalhe Por UC'!$AC:$AC,'Detalhe Por UC'!$C:$C,'Infos Clientes'!$B29,'Detalhe Por UC'!$R:$R,'Infos Clientes'!AP$2))</f>
        <v>317</v>
      </c>
      <c r="AQ29" s="27">
        <f>IF(SUMIFS('Detalhe Por UC'!$AB:$AB,'Detalhe Por UC'!$C:$C,'Infos Clientes'!$B29,'Detalhe Por UC'!$R:$R,'Infos Clientes'!AQ$2)=0,"",
SUMIFS('Detalhe Por UC'!$AB:$AB,'Detalhe Por UC'!$C:$C,'Infos Clientes'!$B29,'Detalhe Por UC'!$R:$R,'Infos Clientes'!AQ$2)
+SUMIFS('Detalhe Por UC'!$AC:$AC,'Detalhe Por UC'!$C:$C,'Infos Clientes'!$B29,'Detalhe Por UC'!$R:$R,'Infos Clientes'!AQ$2))</f>
        <v>241</v>
      </c>
      <c r="AR29" s="27">
        <f>IF(SUMIFS('Detalhe Por UC'!$AB:$AB,'Detalhe Por UC'!$C:$C,'Infos Clientes'!$B29,'Detalhe Por UC'!$R:$R,'Infos Clientes'!AR$2)=0,"",
SUMIFS('Detalhe Por UC'!$AB:$AB,'Detalhe Por UC'!$C:$C,'Infos Clientes'!$B29,'Detalhe Por UC'!$R:$R,'Infos Clientes'!AR$2)
+SUMIFS('Detalhe Por UC'!$AC:$AC,'Detalhe Por UC'!$C:$C,'Infos Clientes'!$B29,'Detalhe Por UC'!$R:$R,'Infos Clientes'!AR$2))</f>
        <v>364</v>
      </c>
      <c r="AS29" s="27">
        <f>IF(SUMIFS('Detalhe Por UC'!$AB:$AB,'Detalhe Por UC'!$C:$C,'Infos Clientes'!$B29,'Detalhe Por UC'!$R:$R,'Infos Clientes'!AS$2)=0,"",
SUMIFS('Detalhe Por UC'!$AB:$AB,'Detalhe Por UC'!$C:$C,'Infos Clientes'!$B29,'Detalhe Por UC'!$R:$R,'Infos Clientes'!AS$2)
+SUMIFS('Detalhe Por UC'!$AC:$AC,'Detalhe Por UC'!$C:$C,'Infos Clientes'!$B29,'Detalhe Por UC'!$R:$R,'Infos Clientes'!AS$2))</f>
        <v>501</v>
      </c>
      <c r="AT29" s="27">
        <f>IF(SUMIFS('Detalhe Por UC'!$AB:$AB,'Detalhe Por UC'!$C:$C,'Infos Clientes'!$B29,'Detalhe Por UC'!$R:$R,'Infos Clientes'!AT$2)=0,"",
SUMIFS('Detalhe Por UC'!$AB:$AB,'Detalhe Por UC'!$C:$C,'Infos Clientes'!$B29,'Detalhe Por UC'!$R:$R,'Infos Clientes'!AT$2)
+SUMIFS('Detalhe Por UC'!$AC:$AC,'Detalhe Por UC'!$C:$C,'Infos Clientes'!$B29,'Detalhe Por UC'!$R:$R,'Infos Clientes'!AT$2))</f>
        <v>501</v>
      </c>
      <c r="AU29" s="27" t="str">
        <f>IF(SUMIFS('Detalhe Por UC'!$AB:$AB,'Detalhe Por UC'!$C:$C,'Infos Clientes'!$B29,'Detalhe Por UC'!$R:$R,'Infos Clientes'!AU$2)=0,"",
SUMIFS('Detalhe Por UC'!$AB:$AB,'Detalhe Por UC'!$C:$C,'Infos Clientes'!$B29,'Detalhe Por UC'!$R:$R,'Infos Clientes'!AU$2)
+SUMIFS('Detalhe Por UC'!$AC:$AC,'Detalhe Por UC'!$C:$C,'Infos Clientes'!$B29,'Detalhe Por UC'!$R:$R,'Infos Clientes'!AU$2))</f>
        <v/>
      </c>
    </row>
    <row r="30" spans="2:47" x14ac:dyDescent="0.3">
      <c r="B30" t="s">
        <v>99</v>
      </c>
      <c r="C30" s="14">
        <f t="shared" si="1"/>
        <v>30</v>
      </c>
      <c r="D30" t="s">
        <v>19</v>
      </c>
      <c r="E30" s="15">
        <v>331</v>
      </c>
      <c r="F30" t="s">
        <v>68</v>
      </c>
      <c r="G30" t="s">
        <v>100</v>
      </c>
      <c r="H30" s="16" t="s">
        <v>99</v>
      </c>
      <c r="I30" s="17" t="s">
        <v>22</v>
      </c>
      <c r="J30" s="1" t="s">
        <v>28</v>
      </c>
      <c r="K30" s="18" t="s">
        <v>24</v>
      </c>
      <c r="L30" s="18"/>
      <c r="M30" s="19">
        <v>0.25</v>
      </c>
      <c r="N30"/>
      <c r="O30" s="20"/>
      <c r="P30" s="21"/>
      <c r="Q30" s="22">
        <f>IF(_xlfn.MINIFS('Detalhe Por UC'!R:R,'Detalhe Por UC'!C:C,B30,'Detalhe Por UC'!AD:AD,"&gt;"&amp;0)=0,"",_xlfn.MINIFS('Detalhe Por UC'!R:R,'Detalhe Por UC'!C:C,B30,'Detalhe Por UC'!AD:AD,"&gt;"&amp;0))</f>
        <v>45627</v>
      </c>
      <c r="R30" s="23">
        <f>IF(P30&lt;&gt;"ATIVO",0,
IF(OR(Q30="",Q30=0,O30=0),O30,
O30-ROUND((MAX('Detalhe Por UC'!R:R)
-Q30)/(365/12),0)))</f>
        <v>0</v>
      </c>
      <c r="T30" s="5">
        <v>433.16666666666669</v>
      </c>
      <c r="U30" s="24">
        <f t="shared" si="0"/>
        <v>384.16666666666669</v>
      </c>
      <c r="W30" s="25">
        <v>463</v>
      </c>
      <c r="X30" s="25">
        <v>626</v>
      </c>
      <c r="Y30" s="25">
        <v>517</v>
      </c>
      <c r="Z30" s="25">
        <v>623</v>
      </c>
      <c r="AA30" s="25">
        <v>571</v>
      </c>
      <c r="AB30" s="25">
        <v>643</v>
      </c>
      <c r="AC30" s="25">
        <v>358</v>
      </c>
      <c r="AD30" s="26">
        <v>288</v>
      </c>
      <c r="AE30" s="25">
        <v>243</v>
      </c>
      <c r="AF30" s="25">
        <v>313</v>
      </c>
      <c r="AG30" s="25">
        <v>450</v>
      </c>
      <c r="AH30" s="25">
        <v>374</v>
      </c>
      <c r="AI30" s="25">
        <v>403</v>
      </c>
      <c r="AJ30" s="27">
        <f>IF(SUMIFS('Detalhe Por UC'!$AB:$AB,'Detalhe Por UC'!$C:$C,'Infos Clientes'!$B30,'Detalhe Por UC'!$R:$R,'Infos Clientes'!AJ$2)=0,"",
SUMIFS('Detalhe Por UC'!$AB:$AB,'Detalhe Por UC'!$C:$C,'Infos Clientes'!$B30,'Detalhe Por UC'!$R:$R,'Infos Clientes'!AJ$2)
+SUMIFS('Detalhe Por UC'!$AC:$AC,'Detalhe Por UC'!$C:$C,'Infos Clientes'!$B30,'Detalhe Por UC'!$R:$R,'Infos Clientes'!AJ$2))</f>
        <v>415</v>
      </c>
      <c r="AK30" s="27">
        <f>IF(SUMIFS('Detalhe Por UC'!$AB:$AB,'Detalhe Por UC'!$C:$C,'Infos Clientes'!$B30,'Detalhe Por UC'!$R:$R,'Infos Clientes'!AK$2)=0,"",
SUMIFS('Detalhe Por UC'!$AB:$AB,'Detalhe Por UC'!$C:$C,'Infos Clientes'!$B30,'Detalhe Por UC'!$R:$R,'Infos Clientes'!AK$2)
+SUMIFS('Detalhe Por UC'!$AC:$AC,'Detalhe Por UC'!$C:$C,'Infos Clientes'!$B30,'Detalhe Por UC'!$R:$R,'Infos Clientes'!AK$2))</f>
        <v>434</v>
      </c>
      <c r="AL30" s="27">
        <f>IF(SUMIFS('Detalhe Por UC'!$AB:$AB,'Detalhe Por UC'!$C:$C,'Infos Clientes'!$B30,'Detalhe Por UC'!$R:$R,'Infos Clientes'!AL$2)=0,"",
SUMIFS('Detalhe Por UC'!$AB:$AB,'Detalhe Por UC'!$C:$C,'Infos Clientes'!$B30,'Detalhe Por UC'!$R:$R,'Infos Clientes'!AL$2)
+SUMIFS('Detalhe Por UC'!$AC:$AC,'Detalhe Por UC'!$C:$C,'Infos Clientes'!$B30,'Detalhe Por UC'!$R:$R,'Infos Clientes'!AL$2))</f>
        <v>619</v>
      </c>
      <c r="AM30" s="27">
        <f>IF(SUMIFS('Detalhe Por UC'!$AB:$AB,'Detalhe Por UC'!$C:$C,'Infos Clientes'!$B30,'Detalhe Por UC'!$R:$R,'Infos Clientes'!AM$2)=0,"",
SUMIFS('Detalhe Por UC'!$AB:$AB,'Detalhe Por UC'!$C:$C,'Infos Clientes'!$B30,'Detalhe Por UC'!$R:$R,'Infos Clientes'!AM$2)
+SUMIFS('Detalhe Por UC'!$AC:$AC,'Detalhe Por UC'!$C:$C,'Infos Clientes'!$B30,'Detalhe Por UC'!$R:$R,'Infos Clientes'!AM$2))</f>
        <v>432</v>
      </c>
      <c r="AN30" s="27">
        <f>IF(SUMIFS('Detalhe Por UC'!$AB:$AB,'Detalhe Por UC'!$C:$C,'Infos Clientes'!$B30,'Detalhe Por UC'!$R:$R,'Infos Clientes'!AN$2)=0,"",
SUMIFS('Detalhe Por UC'!$AB:$AB,'Detalhe Por UC'!$C:$C,'Infos Clientes'!$B30,'Detalhe Por UC'!$R:$R,'Infos Clientes'!AN$2)
+SUMIFS('Detalhe Por UC'!$AC:$AC,'Detalhe Por UC'!$C:$C,'Infos Clientes'!$B30,'Detalhe Por UC'!$R:$R,'Infos Clientes'!AN$2))</f>
        <v>512</v>
      </c>
      <c r="AO30" s="27">
        <f>IF(SUMIFS('Detalhe Por UC'!$AB:$AB,'Detalhe Por UC'!$C:$C,'Infos Clientes'!$B30,'Detalhe Por UC'!$R:$R,'Infos Clientes'!AO$2)=0,"",
SUMIFS('Detalhe Por UC'!$AB:$AB,'Detalhe Por UC'!$C:$C,'Infos Clientes'!$B30,'Detalhe Por UC'!$R:$R,'Infos Clientes'!AO$2)
+SUMIFS('Detalhe Por UC'!$AC:$AC,'Detalhe Por UC'!$C:$C,'Infos Clientes'!$B30,'Detalhe Por UC'!$R:$R,'Infos Clientes'!AO$2))</f>
        <v>216</v>
      </c>
      <c r="AP30" s="27">
        <f>IF(SUMIFS('Detalhe Por UC'!$AB:$AB,'Detalhe Por UC'!$C:$C,'Infos Clientes'!$B30,'Detalhe Por UC'!$R:$R,'Infos Clientes'!AP$2)=0,"",
SUMIFS('Detalhe Por UC'!$AB:$AB,'Detalhe Por UC'!$C:$C,'Infos Clientes'!$B30,'Detalhe Por UC'!$R:$R,'Infos Clientes'!AP$2)
+SUMIFS('Detalhe Por UC'!$AC:$AC,'Detalhe Por UC'!$C:$C,'Infos Clientes'!$B30,'Detalhe Por UC'!$R:$R,'Infos Clientes'!AP$2))</f>
        <v>230</v>
      </c>
      <c r="AQ30" s="27">
        <f>IF(SUMIFS('Detalhe Por UC'!$AB:$AB,'Detalhe Por UC'!$C:$C,'Infos Clientes'!$B30,'Detalhe Por UC'!$R:$R,'Infos Clientes'!AQ$2)=0,"",
SUMIFS('Detalhe Por UC'!$AB:$AB,'Detalhe Por UC'!$C:$C,'Infos Clientes'!$B30,'Detalhe Por UC'!$R:$R,'Infos Clientes'!AQ$2)
+SUMIFS('Detalhe Por UC'!$AC:$AC,'Detalhe Por UC'!$C:$C,'Infos Clientes'!$B30,'Detalhe Por UC'!$R:$R,'Infos Clientes'!AQ$2))</f>
        <v>227</v>
      </c>
      <c r="AR30" s="27">
        <f>IF(SUMIFS('Detalhe Por UC'!$AB:$AB,'Detalhe Por UC'!$C:$C,'Infos Clientes'!$B30,'Detalhe Por UC'!$R:$R,'Infos Clientes'!AR$2)=0,"",
SUMIFS('Detalhe Por UC'!$AB:$AB,'Detalhe Por UC'!$C:$C,'Infos Clientes'!$B30,'Detalhe Por UC'!$R:$R,'Infos Clientes'!AR$2)
+SUMIFS('Detalhe Por UC'!$AC:$AC,'Detalhe Por UC'!$C:$C,'Infos Clientes'!$B30,'Detalhe Por UC'!$R:$R,'Infos Clientes'!AR$2))</f>
        <v>340</v>
      </c>
      <c r="AS30" s="27">
        <f>IF(SUMIFS('Detalhe Por UC'!$AB:$AB,'Detalhe Por UC'!$C:$C,'Infos Clientes'!$B30,'Detalhe Por UC'!$R:$R,'Infos Clientes'!AS$2)=0,"",
SUMIFS('Detalhe Por UC'!$AB:$AB,'Detalhe Por UC'!$C:$C,'Infos Clientes'!$B30,'Detalhe Por UC'!$R:$R,'Infos Clientes'!AS$2)
+SUMIFS('Detalhe Por UC'!$AC:$AC,'Detalhe Por UC'!$C:$C,'Infos Clientes'!$B30,'Detalhe Por UC'!$R:$R,'Infos Clientes'!AS$2))</f>
        <v>412</v>
      </c>
      <c r="AT30" s="27">
        <f>IF(SUMIFS('Detalhe Por UC'!$AB:$AB,'Detalhe Por UC'!$C:$C,'Infos Clientes'!$B30,'Detalhe Por UC'!$R:$R,'Infos Clientes'!AT$2)=0,"",
SUMIFS('Detalhe Por UC'!$AB:$AB,'Detalhe Por UC'!$C:$C,'Infos Clientes'!$B30,'Detalhe Por UC'!$R:$R,'Infos Clientes'!AT$2)
+SUMIFS('Detalhe Por UC'!$AC:$AC,'Detalhe Por UC'!$C:$C,'Infos Clientes'!$B30,'Detalhe Por UC'!$R:$R,'Infos Clientes'!AT$2))</f>
        <v>370</v>
      </c>
      <c r="AU30" s="27" t="str">
        <f>IF(SUMIFS('Detalhe Por UC'!$AB:$AB,'Detalhe Por UC'!$C:$C,'Infos Clientes'!$B30,'Detalhe Por UC'!$R:$R,'Infos Clientes'!AU$2)=0,"",
SUMIFS('Detalhe Por UC'!$AB:$AB,'Detalhe Por UC'!$C:$C,'Infos Clientes'!$B30,'Detalhe Por UC'!$R:$R,'Infos Clientes'!AU$2)
+SUMIFS('Detalhe Por UC'!$AC:$AC,'Detalhe Por UC'!$C:$C,'Infos Clientes'!$B30,'Detalhe Por UC'!$R:$R,'Infos Clientes'!AU$2))</f>
        <v/>
      </c>
    </row>
    <row r="31" spans="2:47" x14ac:dyDescent="0.3">
      <c r="B31" t="s">
        <v>101</v>
      </c>
      <c r="C31" s="14">
        <f t="shared" si="1"/>
        <v>31</v>
      </c>
      <c r="D31" t="s">
        <v>19</v>
      </c>
      <c r="E31" s="15">
        <v>306</v>
      </c>
      <c r="F31" t="s">
        <v>74</v>
      </c>
      <c r="G31" t="s">
        <v>75</v>
      </c>
      <c r="H31" s="16" t="s">
        <v>101</v>
      </c>
      <c r="I31" s="17" t="s">
        <v>22</v>
      </c>
      <c r="J31" s="1" t="s">
        <v>23</v>
      </c>
      <c r="K31" s="18" t="s">
        <v>24</v>
      </c>
      <c r="L31" s="18"/>
      <c r="M31" s="19">
        <v>0.25</v>
      </c>
      <c r="N31"/>
      <c r="O31" s="20"/>
      <c r="P31" s="21"/>
      <c r="Q31" s="22" t="str">
        <f>IF(_xlfn.MINIFS('Detalhe Por UC'!R:R,'Detalhe Por UC'!C:C,B31,'Detalhe Por UC'!AD:AD,"&gt;"&amp;0)=0,"",_xlfn.MINIFS('Detalhe Por UC'!R:R,'Detalhe Por UC'!C:C,B31,'Detalhe Por UC'!AD:AD,"&gt;"&amp;0))</f>
        <v/>
      </c>
      <c r="R31" s="23">
        <f>IF(P31&lt;&gt;"ATIVO",0,
IF(OR(Q31="",Q31=0,O31=0),O31,
O31-ROUND((MAX('Detalhe Por UC'!R:R)
-Q31)/(365/12),0)))</f>
        <v>0</v>
      </c>
      <c r="T31" s="5">
        <v>49.5</v>
      </c>
      <c r="U31" s="24">
        <f t="shared" si="0"/>
        <v>297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6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299</v>
      </c>
      <c r="AJ31" s="27">
        <f>IF(SUMIFS('Detalhe Por UC'!$AB:$AB,'Detalhe Por UC'!$C:$C,'Infos Clientes'!$B31,'Detalhe Por UC'!$R:$R,'Infos Clientes'!AJ$2)=0,"",
SUMIFS('Detalhe Por UC'!$AB:$AB,'Detalhe Por UC'!$C:$C,'Infos Clientes'!$B31,'Detalhe Por UC'!$R:$R,'Infos Clientes'!AJ$2)
+SUMIFS('Detalhe Por UC'!$AC:$AC,'Detalhe Por UC'!$C:$C,'Infos Clientes'!$B31,'Detalhe Por UC'!$R:$R,'Infos Clientes'!AJ$2))</f>
        <v>295</v>
      </c>
      <c r="AK31" s="27" t="str">
        <f>IF(SUMIFS('Detalhe Por UC'!$AB:$AB,'Detalhe Por UC'!$C:$C,'Infos Clientes'!$B31,'Detalhe Por UC'!$R:$R,'Infos Clientes'!AK$2)=0,"",
SUMIFS('Detalhe Por UC'!$AB:$AB,'Detalhe Por UC'!$C:$C,'Infos Clientes'!$B31,'Detalhe Por UC'!$R:$R,'Infos Clientes'!AK$2)
+SUMIFS('Detalhe Por UC'!$AC:$AC,'Detalhe Por UC'!$C:$C,'Infos Clientes'!$B31,'Detalhe Por UC'!$R:$R,'Infos Clientes'!AK$2))</f>
        <v/>
      </c>
      <c r="AL31" s="27" t="str">
        <f>IF(SUMIFS('Detalhe Por UC'!$AB:$AB,'Detalhe Por UC'!$C:$C,'Infos Clientes'!$B31,'Detalhe Por UC'!$R:$R,'Infos Clientes'!AL$2)=0,"",
SUMIFS('Detalhe Por UC'!$AB:$AB,'Detalhe Por UC'!$C:$C,'Infos Clientes'!$B31,'Detalhe Por UC'!$R:$R,'Infos Clientes'!AL$2)
+SUMIFS('Detalhe Por UC'!$AC:$AC,'Detalhe Por UC'!$C:$C,'Infos Clientes'!$B31,'Detalhe Por UC'!$R:$R,'Infos Clientes'!AL$2))</f>
        <v/>
      </c>
      <c r="AM31" s="27" t="str">
        <f>IF(SUMIFS('Detalhe Por UC'!$AB:$AB,'Detalhe Por UC'!$C:$C,'Infos Clientes'!$B31,'Detalhe Por UC'!$R:$R,'Infos Clientes'!AM$2)=0,"",
SUMIFS('Detalhe Por UC'!$AB:$AB,'Detalhe Por UC'!$C:$C,'Infos Clientes'!$B31,'Detalhe Por UC'!$R:$R,'Infos Clientes'!AM$2)
+SUMIFS('Detalhe Por UC'!$AC:$AC,'Detalhe Por UC'!$C:$C,'Infos Clientes'!$B31,'Detalhe Por UC'!$R:$R,'Infos Clientes'!AM$2))</f>
        <v/>
      </c>
      <c r="AN31" s="27" t="str">
        <f>IF(SUMIFS('Detalhe Por UC'!$AB:$AB,'Detalhe Por UC'!$C:$C,'Infos Clientes'!$B31,'Detalhe Por UC'!$R:$R,'Infos Clientes'!AN$2)=0,"",
SUMIFS('Detalhe Por UC'!$AB:$AB,'Detalhe Por UC'!$C:$C,'Infos Clientes'!$B31,'Detalhe Por UC'!$R:$R,'Infos Clientes'!AN$2)
+SUMIFS('Detalhe Por UC'!$AC:$AC,'Detalhe Por UC'!$C:$C,'Infos Clientes'!$B31,'Detalhe Por UC'!$R:$R,'Infos Clientes'!AN$2))</f>
        <v/>
      </c>
      <c r="AO31" s="27" t="str">
        <f>IF(SUMIFS('Detalhe Por UC'!$AB:$AB,'Detalhe Por UC'!$C:$C,'Infos Clientes'!$B31,'Detalhe Por UC'!$R:$R,'Infos Clientes'!AO$2)=0,"",
SUMIFS('Detalhe Por UC'!$AB:$AB,'Detalhe Por UC'!$C:$C,'Infos Clientes'!$B31,'Detalhe Por UC'!$R:$R,'Infos Clientes'!AO$2)
+SUMIFS('Detalhe Por UC'!$AC:$AC,'Detalhe Por UC'!$C:$C,'Infos Clientes'!$B31,'Detalhe Por UC'!$R:$R,'Infos Clientes'!AO$2))</f>
        <v/>
      </c>
      <c r="AP31" s="27" t="str">
        <f>IF(SUMIFS('Detalhe Por UC'!$AB:$AB,'Detalhe Por UC'!$C:$C,'Infos Clientes'!$B31,'Detalhe Por UC'!$R:$R,'Infos Clientes'!AP$2)=0,"",
SUMIFS('Detalhe Por UC'!$AB:$AB,'Detalhe Por UC'!$C:$C,'Infos Clientes'!$B31,'Detalhe Por UC'!$R:$R,'Infos Clientes'!AP$2)
+SUMIFS('Detalhe Por UC'!$AC:$AC,'Detalhe Por UC'!$C:$C,'Infos Clientes'!$B31,'Detalhe Por UC'!$R:$R,'Infos Clientes'!AP$2))</f>
        <v/>
      </c>
      <c r="AQ31" s="27" t="str">
        <f>IF(SUMIFS('Detalhe Por UC'!$AB:$AB,'Detalhe Por UC'!$C:$C,'Infos Clientes'!$B31,'Detalhe Por UC'!$R:$R,'Infos Clientes'!AQ$2)=0,"",
SUMIFS('Detalhe Por UC'!$AB:$AB,'Detalhe Por UC'!$C:$C,'Infos Clientes'!$B31,'Detalhe Por UC'!$R:$R,'Infos Clientes'!AQ$2)
+SUMIFS('Detalhe Por UC'!$AC:$AC,'Detalhe Por UC'!$C:$C,'Infos Clientes'!$B31,'Detalhe Por UC'!$R:$R,'Infos Clientes'!AQ$2))</f>
        <v/>
      </c>
      <c r="AR31" s="27" t="str">
        <f>IF(SUMIFS('Detalhe Por UC'!$AB:$AB,'Detalhe Por UC'!$C:$C,'Infos Clientes'!$B31,'Detalhe Por UC'!$R:$R,'Infos Clientes'!AR$2)=0,"",
SUMIFS('Detalhe Por UC'!$AB:$AB,'Detalhe Por UC'!$C:$C,'Infos Clientes'!$B31,'Detalhe Por UC'!$R:$R,'Infos Clientes'!AR$2)
+SUMIFS('Detalhe Por UC'!$AC:$AC,'Detalhe Por UC'!$C:$C,'Infos Clientes'!$B31,'Detalhe Por UC'!$R:$R,'Infos Clientes'!AR$2))</f>
        <v/>
      </c>
      <c r="AS31" s="27" t="str">
        <f>IF(SUMIFS('Detalhe Por UC'!$AB:$AB,'Detalhe Por UC'!$C:$C,'Infos Clientes'!$B31,'Detalhe Por UC'!$R:$R,'Infos Clientes'!AS$2)=0,"",
SUMIFS('Detalhe Por UC'!$AB:$AB,'Detalhe Por UC'!$C:$C,'Infos Clientes'!$B31,'Detalhe Por UC'!$R:$R,'Infos Clientes'!AS$2)
+SUMIFS('Detalhe Por UC'!$AC:$AC,'Detalhe Por UC'!$C:$C,'Infos Clientes'!$B31,'Detalhe Por UC'!$R:$R,'Infos Clientes'!AS$2))</f>
        <v/>
      </c>
      <c r="AT31" s="27" t="str">
        <f>IF(SUMIFS('Detalhe Por UC'!$AB:$AB,'Detalhe Por UC'!$C:$C,'Infos Clientes'!$B31,'Detalhe Por UC'!$R:$R,'Infos Clientes'!AT$2)=0,"",
SUMIFS('Detalhe Por UC'!$AB:$AB,'Detalhe Por UC'!$C:$C,'Infos Clientes'!$B31,'Detalhe Por UC'!$R:$R,'Infos Clientes'!AT$2)
+SUMIFS('Detalhe Por UC'!$AC:$AC,'Detalhe Por UC'!$C:$C,'Infos Clientes'!$B31,'Detalhe Por UC'!$R:$R,'Infos Clientes'!AT$2))</f>
        <v/>
      </c>
      <c r="AU31" s="27" t="str">
        <f>IF(SUMIFS('Detalhe Por UC'!$AB:$AB,'Detalhe Por UC'!$C:$C,'Infos Clientes'!$B31,'Detalhe Por UC'!$R:$R,'Infos Clientes'!AU$2)=0,"",
SUMIFS('Detalhe Por UC'!$AB:$AB,'Detalhe Por UC'!$C:$C,'Infos Clientes'!$B31,'Detalhe Por UC'!$R:$R,'Infos Clientes'!AU$2)
+SUMIFS('Detalhe Por UC'!$AC:$AC,'Detalhe Por UC'!$C:$C,'Infos Clientes'!$B31,'Detalhe Por UC'!$R:$R,'Infos Clientes'!AU$2))</f>
        <v/>
      </c>
    </row>
    <row r="32" spans="2:47" x14ac:dyDescent="0.3">
      <c r="B32" t="s">
        <v>102</v>
      </c>
      <c r="C32" s="14">
        <f t="shared" si="1"/>
        <v>32</v>
      </c>
      <c r="D32" t="s">
        <v>19</v>
      </c>
      <c r="E32" s="15">
        <v>306</v>
      </c>
      <c r="F32" t="s">
        <v>49</v>
      </c>
      <c r="G32" t="s">
        <v>86</v>
      </c>
      <c r="H32" s="16" t="s">
        <v>102</v>
      </c>
      <c r="I32" s="17" t="s">
        <v>22</v>
      </c>
      <c r="J32" s="1" t="s">
        <v>28</v>
      </c>
      <c r="K32" s="18" t="s">
        <v>24</v>
      </c>
      <c r="L32" s="18"/>
      <c r="M32" s="19">
        <v>0.25</v>
      </c>
      <c r="N32"/>
      <c r="O32" s="20"/>
      <c r="P32" s="21"/>
      <c r="Q32" s="22">
        <f>IF(_xlfn.MINIFS('Detalhe Por UC'!R:R,'Detalhe Por UC'!C:C,B32,'Detalhe Por UC'!AD:AD,"&gt;"&amp;0)=0,"",_xlfn.MINIFS('Detalhe Por UC'!R:R,'Detalhe Por UC'!C:C,B32,'Detalhe Por UC'!AD:AD,"&gt;"&amp;0))</f>
        <v>45627</v>
      </c>
      <c r="R32" s="23">
        <f>IF(P32&lt;&gt;"ATIVO",0,
IF(OR(Q32="",Q32=0,O32=0),O32,
O32-ROUND((MAX('Detalhe Por UC'!R:R)
-Q32)/(365/12),0)))</f>
        <v>0</v>
      </c>
      <c r="T32" s="5">
        <v>2675.750833333333</v>
      </c>
      <c r="U32" s="24">
        <f t="shared" si="0"/>
        <v>2664.8333333333335</v>
      </c>
      <c r="W32" s="25">
        <v>2880</v>
      </c>
      <c r="X32" s="25">
        <v>2311.5500000000002</v>
      </c>
      <c r="Y32" s="25">
        <v>2310.8200000000002</v>
      </c>
      <c r="Z32" s="25">
        <v>2509</v>
      </c>
      <c r="AA32" s="25">
        <v>3473.32</v>
      </c>
      <c r="AB32" s="25">
        <v>3616.96</v>
      </c>
      <c r="AC32" s="25">
        <v>1558.36</v>
      </c>
      <c r="AD32" s="26">
        <v>2665.71</v>
      </c>
      <c r="AE32" s="25">
        <v>2665.71</v>
      </c>
      <c r="AF32" s="25">
        <v>2665.71</v>
      </c>
      <c r="AG32" s="25">
        <v>2665.71</v>
      </c>
      <c r="AH32" s="25">
        <v>2665.71</v>
      </c>
      <c r="AI32" s="25">
        <v>2665</v>
      </c>
      <c r="AJ32" s="27">
        <f>IF(SUMIFS('Detalhe Por UC'!$AB:$AB,'Detalhe Por UC'!$C:$C,'Infos Clientes'!$B32,'Detalhe Por UC'!$R:$R,'Infos Clientes'!AJ$2)=0,"",
SUMIFS('Detalhe Por UC'!$AB:$AB,'Detalhe Por UC'!$C:$C,'Infos Clientes'!$B32,'Detalhe Por UC'!$R:$R,'Infos Clientes'!AJ$2)
+SUMIFS('Detalhe Por UC'!$AC:$AC,'Detalhe Por UC'!$C:$C,'Infos Clientes'!$B32,'Detalhe Por UC'!$R:$R,'Infos Clientes'!AJ$2))</f>
        <v>2647</v>
      </c>
      <c r="AK32" s="27">
        <f>IF(SUMIFS('Detalhe Por UC'!$AB:$AB,'Detalhe Por UC'!$C:$C,'Infos Clientes'!$B32,'Detalhe Por UC'!$R:$R,'Infos Clientes'!AK$2)=0,"",
SUMIFS('Detalhe Por UC'!$AB:$AB,'Detalhe Por UC'!$C:$C,'Infos Clientes'!$B32,'Detalhe Por UC'!$R:$R,'Infos Clientes'!AK$2)
+SUMIFS('Detalhe Por UC'!$AC:$AC,'Detalhe Por UC'!$C:$C,'Infos Clientes'!$B32,'Detalhe Por UC'!$R:$R,'Infos Clientes'!AK$2))</f>
        <v>2675</v>
      </c>
      <c r="AL32" s="27">
        <f>IF(SUMIFS('Detalhe Por UC'!$AB:$AB,'Detalhe Por UC'!$C:$C,'Infos Clientes'!$B32,'Detalhe Por UC'!$R:$R,'Infos Clientes'!AL$2)=0,"",
SUMIFS('Detalhe Por UC'!$AB:$AB,'Detalhe Por UC'!$C:$C,'Infos Clientes'!$B32,'Detalhe Por UC'!$R:$R,'Infos Clientes'!AL$2)
+SUMIFS('Detalhe Por UC'!$AC:$AC,'Detalhe Por UC'!$C:$C,'Infos Clientes'!$B32,'Detalhe Por UC'!$R:$R,'Infos Clientes'!AL$2))</f>
        <v>2706</v>
      </c>
      <c r="AM32" s="27">
        <f>IF(SUMIFS('Detalhe Por UC'!$AB:$AB,'Detalhe Por UC'!$C:$C,'Infos Clientes'!$B32,'Detalhe Por UC'!$R:$R,'Infos Clientes'!AM$2)=0,"",
SUMIFS('Detalhe Por UC'!$AB:$AB,'Detalhe Por UC'!$C:$C,'Infos Clientes'!$B32,'Detalhe Por UC'!$R:$R,'Infos Clientes'!AM$2)
+SUMIFS('Detalhe Por UC'!$AC:$AC,'Detalhe Por UC'!$C:$C,'Infos Clientes'!$B32,'Detalhe Por UC'!$R:$R,'Infos Clientes'!AM$2))</f>
        <v>2722</v>
      </c>
      <c r="AN32" s="27">
        <f>IF(SUMIFS('Detalhe Por UC'!$AB:$AB,'Detalhe Por UC'!$C:$C,'Infos Clientes'!$B32,'Detalhe Por UC'!$R:$R,'Infos Clientes'!AN$2)=0,"",
SUMIFS('Detalhe Por UC'!$AB:$AB,'Detalhe Por UC'!$C:$C,'Infos Clientes'!$B32,'Detalhe Por UC'!$R:$R,'Infos Clientes'!AN$2)
+SUMIFS('Detalhe Por UC'!$AC:$AC,'Detalhe Por UC'!$C:$C,'Infos Clientes'!$B32,'Detalhe Por UC'!$R:$R,'Infos Clientes'!AN$2))</f>
        <v>2659</v>
      </c>
      <c r="AO32" s="27">
        <f>IF(SUMIFS('Detalhe Por UC'!$AB:$AB,'Detalhe Por UC'!$C:$C,'Infos Clientes'!$B32,'Detalhe Por UC'!$R:$R,'Infos Clientes'!AO$2)=0,"",
SUMIFS('Detalhe Por UC'!$AB:$AB,'Detalhe Por UC'!$C:$C,'Infos Clientes'!$B32,'Detalhe Por UC'!$R:$R,'Infos Clientes'!AO$2)
+SUMIFS('Detalhe Por UC'!$AC:$AC,'Detalhe Por UC'!$C:$C,'Infos Clientes'!$B32,'Detalhe Por UC'!$R:$R,'Infos Clientes'!AO$2))</f>
        <v>2580</v>
      </c>
      <c r="AP32" s="27">
        <f>IF(SUMIFS('Detalhe Por UC'!$AB:$AB,'Detalhe Por UC'!$C:$C,'Infos Clientes'!$B32,'Detalhe Por UC'!$R:$R,'Infos Clientes'!AP$2)=0,"",
SUMIFS('Detalhe Por UC'!$AB:$AB,'Detalhe Por UC'!$C:$C,'Infos Clientes'!$B32,'Detalhe Por UC'!$R:$R,'Infos Clientes'!AP$2)
+SUMIFS('Detalhe Por UC'!$AC:$AC,'Detalhe Por UC'!$C:$C,'Infos Clientes'!$B32,'Detalhe Por UC'!$R:$R,'Infos Clientes'!AP$2))</f>
        <v>2665</v>
      </c>
      <c r="AQ32" s="27">
        <f>IF(SUMIFS('Detalhe Por UC'!$AB:$AB,'Detalhe Por UC'!$C:$C,'Infos Clientes'!$B32,'Detalhe Por UC'!$R:$R,'Infos Clientes'!AQ$2)=0,"",
SUMIFS('Detalhe Por UC'!$AB:$AB,'Detalhe Por UC'!$C:$C,'Infos Clientes'!$B32,'Detalhe Por UC'!$R:$R,'Infos Clientes'!AQ$2)
+SUMIFS('Detalhe Por UC'!$AC:$AC,'Detalhe Por UC'!$C:$C,'Infos Clientes'!$B32,'Detalhe Por UC'!$R:$R,'Infos Clientes'!AQ$2))</f>
        <v>2665</v>
      </c>
      <c r="AR32" s="27">
        <f>IF(SUMIFS('Detalhe Por UC'!$AB:$AB,'Detalhe Por UC'!$C:$C,'Infos Clientes'!$B32,'Detalhe Por UC'!$R:$R,'Infos Clientes'!AR$2)=0,"",
SUMIFS('Detalhe Por UC'!$AB:$AB,'Detalhe Por UC'!$C:$C,'Infos Clientes'!$B32,'Detalhe Por UC'!$R:$R,'Infos Clientes'!AR$2)
+SUMIFS('Detalhe Por UC'!$AC:$AC,'Detalhe Por UC'!$C:$C,'Infos Clientes'!$B32,'Detalhe Por UC'!$R:$R,'Infos Clientes'!AR$2))</f>
        <v>2665</v>
      </c>
      <c r="AS32" s="27">
        <f>IF(SUMIFS('Detalhe Por UC'!$AB:$AB,'Detalhe Por UC'!$C:$C,'Infos Clientes'!$B32,'Detalhe Por UC'!$R:$R,'Infos Clientes'!AS$2)=0,"",
SUMIFS('Detalhe Por UC'!$AB:$AB,'Detalhe Por UC'!$C:$C,'Infos Clientes'!$B32,'Detalhe Por UC'!$R:$R,'Infos Clientes'!AS$2)
+SUMIFS('Detalhe Por UC'!$AC:$AC,'Detalhe Por UC'!$C:$C,'Infos Clientes'!$B32,'Detalhe Por UC'!$R:$R,'Infos Clientes'!AS$2))</f>
        <v>2665</v>
      </c>
      <c r="AT32" s="27">
        <f>IF(SUMIFS('Detalhe Por UC'!$AB:$AB,'Detalhe Por UC'!$C:$C,'Infos Clientes'!$B32,'Detalhe Por UC'!$R:$R,'Infos Clientes'!AT$2)=0,"",
SUMIFS('Detalhe Por UC'!$AB:$AB,'Detalhe Por UC'!$C:$C,'Infos Clientes'!$B32,'Detalhe Por UC'!$R:$R,'Infos Clientes'!AT$2)
+SUMIFS('Detalhe Por UC'!$AC:$AC,'Detalhe Por UC'!$C:$C,'Infos Clientes'!$B32,'Detalhe Por UC'!$R:$R,'Infos Clientes'!AT$2))</f>
        <v>2664</v>
      </c>
      <c r="AU32" s="27" t="str">
        <f>IF(SUMIFS('Detalhe Por UC'!$AB:$AB,'Detalhe Por UC'!$C:$C,'Infos Clientes'!$B32,'Detalhe Por UC'!$R:$R,'Infos Clientes'!AU$2)=0,"",
SUMIFS('Detalhe Por UC'!$AB:$AB,'Detalhe Por UC'!$C:$C,'Infos Clientes'!$B32,'Detalhe Por UC'!$R:$R,'Infos Clientes'!AU$2)
+SUMIFS('Detalhe Por UC'!$AC:$AC,'Detalhe Por UC'!$C:$C,'Infos Clientes'!$B32,'Detalhe Por UC'!$R:$R,'Infos Clientes'!AU$2))</f>
        <v/>
      </c>
    </row>
    <row r="33" spans="2:47" x14ac:dyDescent="0.3">
      <c r="B33" t="s">
        <v>103</v>
      </c>
      <c r="C33" s="14">
        <f t="shared" si="1"/>
        <v>33</v>
      </c>
      <c r="D33" t="s">
        <v>19</v>
      </c>
      <c r="E33" s="15">
        <v>306</v>
      </c>
      <c r="F33" t="s">
        <v>104</v>
      </c>
      <c r="G33" t="s">
        <v>105</v>
      </c>
      <c r="H33" s="16" t="s">
        <v>103</v>
      </c>
      <c r="I33" s="17" t="s">
        <v>22</v>
      </c>
      <c r="J33" s="1" t="s">
        <v>44</v>
      </c>
      <c r="K33" s="18" t="s">
        <v>24</v>
      </c>
      <c r="L33" s="18"/>
      <c r="M33" s="19">
        <v>0.25</v>
      </c>
      <c r="N33"/>
      <c r="O33" s="20"/>
      <c r="P33" s="21"/>
      <c r="Q33" s="22">
        <f>IF(_xlfn.MINIFS('Detalhe Por UC'!R:R,'Detalhe Por UC'!C:C,B33,'Detalhe Por UC'!AD:AD,"&gt;"&amp;0)=0,"",_xlfn.MINIFS('Detalhe Por UC'!R:R,'Detalhe Por UC'!C:C,B33,'Detalhe Por UC'!AD:AD,"&gt;"&amp;0))</f>
        <v>45627</v>
      </c>
      <c r="R33" s="23">
        <f>IF(P33&lt;&gt;"ATIVO",0,
IF(OR(Q33="",Q33=0,O33=0),O33,
O33-ROUND((MAX('Detalhe Por UC'!R:R)
-Q33)/(365/12),0)))</f>
        <v>0</v>
      </c>
      <c r="T33" s="5">
        <v>144</v>
      </c>
      <c r="U33" s="24">
        <f t="shared" si="0"/>
        <v>133.33333333333334</v>
      </c>
      <c r="W33" s="25">
        <v>201</v>
      </c>
      <c r="X33" s="25">
        <v>191</v>
      </c>
      <c r="Y33" s="25">
        <v>190</v>
      </c>
      <c r="Z33" s="25">
        <v>217</v>
      </c>
      <c r="AA33" s="25">
        <v>228</v>
      </c>
      <c r="AB33" s="25">
        <v>200</v>
      </c>
      <c r="AC33" s="25">
        <v>166</v>
      </c>
      <c r="AD33" s="26">
        <v>152</v>
      </c>
      <c r="AE33" s="25">
        <v>158</v>
      </c>
      <c r="AF33" s="25">
        <v>109</v>
      </c>
      <c r="AG33" s="25">
        <v>80</v>
      </c>
      <c r="AH33" s="25">
        <v>63</v>
      </c>
      <c r="AI33" s="25">
        <v>80</v>
      </c>
      <c r="AJ33" s="27">
        <f>IF(SUMIFS('Detalhe Por UC'!$AB:$AB,'Detalhe Por UC'!$C:$C,'Infos Clientes'!$B33,'Detalhe Por UC'!$R:$R,'Infos Clientes'!AJ$2)=0,"",
SUMIFS('Detalhe Por UC'!$AB:$AB,'Detalhe Por UC'!$C:$C,'Infos Clientes'!$B33,'Detalhe Por UC'!$R:$R,'Infos Clientes'!AJ$2)
+SUMIFS('Detalhe Por UC'!$AC:$AC,'Detalhe Por UC'!$C:$C,'Infos Clientes'!$B33,'Detalhe Por UC'!$R:$R,'Infos Clientes'!AJ$2))</f>
        <v>85</v>
      </c>
      <c r="AK33" s="27">
        <f>IF(SUMIFS('Detalhe Por UC'!$AB:$AB,'Detalhe Por UC'!$C:$C,'Infos Clientes'!$B33,'Detalhe Por UC'!$R:$R,'Infos Clientes'!AK$2)=0,"",
SUMIFS('Detalhe Por UC'!$AB:$AB,'Detalhe Por UC'!$C:$C,'Infos Clientes'!$B33,'Detalhe Por UC'!$R:$R,'Infos Clientes'!AK$2)
+SUMIFS('Detalhe Por UC'!$AC:$AC,'Detalhe Por UC'!$C:$C,'Infos Clientes'!$B33,'Detalhe Por UC'!$R:$R,'Infos Clientes'!AK$2))</f>
        <v>143</v>
      </c>
      <c r="AL33" s="27">
        <f>IF(SUMIFS('Detalhe Por UC'!$AB:$AB,'Detalhe Por UC'!$C:$C,'Infos Clientes'!$B33,'Detalhe Por UC'!$R:$R,'Infos Clientes'!AL$2)=0,"",
SUMIFS('Detalhe Por UC'!$AB:$AB,'Detalhe Por UC'!$C:$C,'Infos Clientes'!$B33,'Detalhe Por UC'!$R:$R,'Infos Clientes'!AL$2)
+SUMIFS('Detalhe Por UC'!$AC:$AC,'Detalhe Por UC'!$C:$C,'Infos Clientes'!$B33,'Detalhe Por UC'!$R:$R,'Infos Clientes'!AL$2))</f>
        <v>171</v>
      </c>
      <c r="AM33" s="27">
        <f>IF(SUMIFS('Detalhe Por UC'!$AB:$AB,'Detalhe Por UC'!$C:$C,'Infos Clientes'!$B33,'Detalhe Por UC'!$R:$R,'Infos Clientes'!AM$2)=0,"",
SUMIFS('Detalhe Por UC'!$AB:$AB,'Detalhe Por UC'!$C:$C,'Infos Clientes'!$B33,'Detalhe Por UC'!$R:$R,'Infos Clientes'!AM$2)
+SUMIFS('Detalhe Por UC'!$AC:$AC,'Detalhe Por UC'!$C:$C,'Infos Clientes'!$B33,'Detalhe Por UC'!$R:$R,'Infos Clientes'!AM$2))</f>
        <v>131</v>
      </c>
      <c r="AN33" s="27">
        <f>IF(SUMIFS('Detalhe Por UC'!$AB:$AB,'Detalhe Por UC'!$C:$C,'Infos Clientes'!$B33,'Detalhe Por UC'!$R:$R,'Infos Clientes'!AN$2)=0,"",
SUMIFS('Detalhe Por UC'!$AB:$AB,'Detalhe Por UC'!$C:$C,'Infos Clientes'!$B33,'Detalhe Por UC'!$R:$R,'Infos Clientes'!AN$2)
+SUMIFS('Detalhe Por UC'!$AC:$AC,'Detalhe Por UC'!$C:$C,'Infos Clientes'!$B33,'Detalhe Por UC'!$R:$R,'Infos Clientes'!AN$2))</f>
        <v>150</v>
      </c>
      <c r="AO33" s="27">
        <f>IF(SUMIFS('Detalhe Por UC'!$AB:$AB,'Detalhe Por UC'!$C:$C,'Infos Clientes'!$B33,'Detalhe Por UC'!$R:$R,'Infos Clientes'!AO$2)=0,"",
SUMIFS('Detalhe Por UC'!$AB:$AB,'Detalhe Por UC'!$C:$C,'Infos Clientes'!$B33,'Detalhe Por UC'!$R:$R,'Infos Clientes'!AO$2)
+SUMIFS('Detalhe Por UC'!$AC:$AC,'Detalhe Por UC'!$C:$C,'Infos Clientes'!$B33,'Detalhe Por UC'!$R:$R,'Infos Clientes'!AO$2))</f>
        <v>155</v>
      </c>
      <c r="AP33" s="27">
        <f>IF(SUMIFS('Detalhe Por UC'!$AB:$AB,'Detalhe Por UC'!$C:$C,'Infos Clientes'!$B33,'Detalhe Por UC'!$R:$R,'Infos Clientes'!AP$2)=0,"",
SUMIFS('Detalhe Por UC'!$AB:$AB,'Detalhe Por UC'!$C:$C,'Infos Clientes'!$B33,'Detalhe Por UC'!$R:$R,'Infos Clientes'!AP$2)
+SUMIFS('Detalhe Por UC'!$AC:$AC,'Detalhe Por UC'!$C:$C,'Infos Clientes'!$B33,'Detalhe Por UC'!$R:$R,'Infos Clientes'!AP$2))</f>
        <v>125</v>
      </c>
      <c r="AQ33" s="27">
        <f>IF(SUMIFS('Detalhe Por UC'!$AB:$AB,'Detalhe Por UC'!$C:$C,'Infos Clientes'!$B33,'Detalhe Por UC'!$R:$R,'Infos Clientes'!AQ$2)=0,"",
SUMIFS('Detalhe Por UC'!$AB:$AB,'Detalhe Por UC'!$C:$C,'Infos Clientes'!$B33,'Detalhe Por UC'!$R:$R,'Infos Clientes'!AQ$2)
+SUMIFS('Detalhe Por UC'!$AC:$AC,'Detalhe Por UC'!$C:$C,'Infos Clientes'!$B33,'Detalhe Por UC'!$R:$R,'Infos Clientes'!AQ$2))</f>
        <v>136</v>
      </c>
      <c r="AR33" s="27">
        <f>IF(SUMIFS('Detalhe Por UC'!$AB:$AB,'Detalhe Por UC'!$C:$C,'Infos Clientes'!$B33,'Detalhe Por UC'!$R:$R,'Infos Clientes'!AR$2)=0,"",
SUMIFS('Detalhe Por UC'!$AB:$AB,'Detalhe Por UC'!$C:$C,'Infos Clientes'!$B33,'Detalhe Por UC'!$R:$R,'Infos Clientes'!AR$2)
+SUMIFS('Detalhe Por UC'!$AC:$AC,'Detalhe Por UC'!$C:$C,'Infos Clientes'!$B33,'Detalhe Por UC'!$R:$R,'Infos Clientes'!AR$2))</f>
        <v>139</v>
      </c>
      <c r="AS33" s="27">
        <f>IF(SUMIFS('Detalhe Por UC'!$AB:$AB,'Detalhe Por UC'!$C:$C,'Infos Clientes'!$B33,'Detalhe Por UC'!$R:$R,'Infos Clientes'!AS$2)=0,"",
SUMIFS('Detalhe Por UC'!$AB:$AB,'Detalhe Por UC'!$C:$C,'Infos Clientes'!$B33,'Detalhe Por UC'!$R:$R,'Infos Clientes'!AS$2)
+SUMIFS('Detalhe Por UC'!$AC:$AC,'Detalhe Por UC'!$C:$C,'Infos Clientes'!$B33,'Detalhe Por UC'!$R:$R,'Infos Clientes'!AS$2))</f>
        <v>135</v>
      </c>
      <c r="AT33" s="27">
        <f>IF(SUMIFS('Detalhe Por UC'!$AB:$AB,'Detalhe Por UC'!$C:$C,'Infos Clientes'!$B33,'Detalhe Por UC'!$R:$R,'Infos Clientes'!AT$2)=0,"",
SUMIFS('Detalhe Por UC'!$AB:$AB,'Detalhe Por UC'!$C:$C,'Infos Clientes'!$B33,'Detalhe Por UC'!$R:$R,'Infos Clientes'!AT$2)
+SUMIFS('Detalhe Por UC'!$AC:$AC,'Detalhe Por UC'!$C:$C,'Infos Clientes'!$B33,'Detalhe Por UC'!$R:$R,'Infos Clientes'!AT$2))</f>
        <v>150</v>
      </c>
      <c r="AU33" s="27" t="str">
        <f>IF(SUMIFS('Detalhe Por UC'!$AB:$AB,'Detalhe Por UC'!$C:$C,'Infos Clientes'!$B33,'Detalhe Por UC'!$R:$R,'Infos Clientes'!AU$2)=0,"",
SUMIFS('Detalhe Por UC'!$AB:$AB,'Detalhe Por UC'!$C:$C,'Infos Clientes'!$B33,'Detalhe Por UC'!$R:$R,'Infos Clientes'!AU$2)
+SUMIFS('Detalhe Por UC'!$AC:$AC,'Detalhe Por UC'!$C:$C,'Infos Clientes'!$B33,'Detalhe Por UC'!$R:$R,'Infos Clientes'!AU$2))</f>
        <v/>
      </c>
    </row>
    <row r="34" spans="2:47" x14ac:dyDescent="0.3">
      <c r="B34" t="s">
        <v>106</v>
      </c>
      <c r="C34" s="14">
        <f t="shared" si="1"/>
        <v>34</v>
      </c>
      <c r="D34" t="s">
        <v>19</v>
      </c>
      <c r="E34" s="15">
        <v>302</v>
      </c>
      <c r="F34" t="s">
        <v>104</v>
      </c>
      <c r="G34" t="s">
        <v>107</v>
      </c>
      <c r="H34" s="16" t="s">
        <v>106</v>
      </c>
      <c r="I34" s="17" t="s">
        <v>22</v>
      </c>
      <c r="J34" s="1" t="s">
        <v>23</v>
      </c>
      <c r="K34" s="18" t="s">
        <v>24</v>
      </c>
      <c r="L34" s="18"/>
      <c r="M34" s="19">
        <v>0.25</v>
      </c>
      <c r="N34"/>
      <c r="O34" s="20"/>
      <c r="P34" s="21"/>
      <c r="Q34" s="22">
        <f>IF(_xlfn.MINIFS('Detalhe Por UC'!R:R,'Detalhe Por UC'!C:C,B34,'Detalhe Por UC'!AD:AD,"&gt;"&amp;0)=0,"",_xlfn.MINIFS('Detalhe Por UC'!R:R,'Detalhe Por UC'!C:C,B34,'Detalhe Por UC'!AD:AD,"&gt;"&amp;0))</f>
        <v>45627</v>
      </c>
      <c r="R34" s="23">
        <f>IF(P34&lt;&gt;"ATIVO",0,
IF(OR(Q34="",Q34=0,O34=0),O34,
O34-ROUND((MAX('Detalhe Por UC'!R:R)
-Q34)/(365/12),0)))</f>
        <v>0</v>
      </c>
      <c r="T34" s="5">
        <v>147.33333333333334</v>
      </c>
      <c r="U34" s="24">
        <f t="shared" si="0"/>
        <v>186.08333333333334</v>
      </c>
      <c r="W34" s="25">
        <v>253</v>
      </c>
      <c r="X34" s="25">
        <v>283</v>
      </c>
      <c r="Y34" s="25">
        <v>310</v>
      </c>
      <c r="Z34" s="25">
        <v>227</v>
      </c>
      <c r="AA34" s="25">
        <v>142</v>
      </c>
      <c r="AB34" s="25">
        <v>125</v>
      </c>
      <c r="AC34" s="25">
        <v>79</v>
      </c>
      <c r="AD34" s="26">
        <v>48</v>
      </c>
      <c r="AE34" s="25">
        <v>57</v>
      </c>
      <c r="AF34" s="25">
        <v>102</v>
      </c>
      <c r="AG34" s="25">
        <v>155</v>
      </c>
      <c r="AH34" s="25">
        <v>159</v>
      </c>
      <c r="AI34" s="25">
        <v>164</v>
      </c>
      <c r="AJ34" s="27">
        <f>IF(SUMIFS('Detalhe Por UC'!$AB:$AB,'Detalhe Por UC'!$C:$C,'Infos Clientes'!$B34,'Detalhe Por UC'!$R:$R,'Infos Clientes'!AJ$2)=0,"",
SUMIFS('Detalhe Por UC'!$AB:$AB,'Detalhe Por UC'!$C:$C,'Infos Clientes'!$B34,'Detalhe Por UC'!$R:$R,'Infos Clientes'!AJ$2)
+SUMIFS('Detalhe Por UC'!$AC:$AC,'Detalhe Por UC'!$C:$C,'Infos Clientes'!$B34,'Detalhe Por UC'!$R:$R,'Infos Clientes'!AJ$2))</f>
        <v>200</v>
      </c>
      <c r="AK34" s="27">
        <f>IF(SUMIFS('Detalhe Por UC'!$AB:$AB,'Detalhe Por UC'!$C:$C,'Infos Clientes'!$B34,'Detalhe Por UC'!$R:$R,'Infos Clientes'!AK$2)=0,"",
SUMIFS('Detalhe Por UC'!$AB:$AB,'Detalhe Por UC'!$C:$C,'Infos Clientes'!$B34,'Detalhe Por UC'!$R:$R,'Infos Clientes'!AK$2)
+SUMIFS('Detalhe Por UC'!$AC:$AC,'Detalhe Por UC'!$C:$C,'Infos Clientes'!$B34,'Detalhe Por UC'!$R:$R,'Infos Clientes'!AK$2))</f>
        <v>242</v>
      </c>
      <c r="AL34" s="27">
        <f>IF(SUMIFS('Detalhe Por UC'!$AB:$AB,'Detalhe Por UC'!$C:$C,'Infos Clientes'!$B34,'Detalhe Por UC'!$R:$R,'Infos Clientes'!AL$2)=0,"",
SUMIFS('Detalhe Por UC'!$AB:$AB,'Detalhe Por UC'!$C:$C,'Infos Clientes'!$B34,'Detalhe Por UC'!$R:$R,'Infos Clientes'!AL$2)
+SUMIFS('Detalhe Por UC'!$AC:$AC,'Detalhe Por UC'!$C:$C,'Infos Clientes'!$B34,'Detalhe Por UC'!$R:$R,'Infos Clientes'!AL$2))</f>
        <v>318</v>
      </c>
      <c r="AM34" s="27">
        <f>IF(SUMIFS('Detalhe Por UC'!$AB:$AB,'Detalhe Por UC'!$C:$C,'Infos Clientes'!$B34,'Detalhe Por UC'!$R:$R,'Infos Clientes'!AM$2)=0,"",
SUMIFS('Detalhe Por UC'!$AB:$AB,'Detalhe Por UC'!$C:$C,'Infos Clientes'!$B34,'Detalhe Por UC'!$R:$R,'Infos Clientes'!AM$2)
+SUMIFS('Detalhe Por UC'!$AC:$AC,'Detalhe Por UC'!$C:$C,'Infos Clientes'!$B34,'Detalhe Por UC'!$R:$R,'Infos Clientes'!AM$2))</f>
        <v>302</v>
      </c>
      <c r="AN34" s="27">
        <f>IF(SUMIFS('Detalhe Por UC'!$AB:$AB,'Detalhe Por UC'!$C:$C,'Infos Clientes'!$B34,'Detalhe Por UC'!$R:$R,'Infos Clientes'!AN$2)=0,"",
SUMIFS('Detalhe Por UC'!$AB:$AB,'Detalhe Por UC'!$C:$C,'Infos Clientes'!$B34,'Detalhe Por UC'!$R:$R,'Infos Clientes'!AN$2)
+SUMIFS('Detalhe Por UC'!$AC:$AC,'Detalhe Por UC'!$C:$C,'Infos Clientes'!$B34,'Detalhe Por UC'!$R:$R,'Infos Clientes'!AN$2))</f>
        <v>285</v>
      </c>
      <c r="AO34" s="27">
        <f>IF(SUMIFS('Detalhe Por UC'!$AB:$AB,'Detalhe Por UC'!$C:$C,'Infos Clientes'!$B34,'Detalhe Por UC'!$R:$R,'Infos Clientes'!AO$2)=0,"",
SUMIFS('Detalhe Por UC'!$AB:$AB,'Detalhe Por UC'!$C:$C,'Infos Clientes'!$B34,'Detalhe Por UC'!$R:$R,'Infos Clientes'!AO$2)
+SUMIFS('Detalhe Por UC'!$AC:$AC,'Detalhe Por UC'!$C:$C,'Infos Clientes'!$B34,'Detalhe Por UC'!$R:$R,'Infos Clientes'!AO$2))</f>
        <v>185</v>
      </c>
      <c r="AP34" s="27">
        <f>IF(SUMIFS('Detalhe Por UC'!$AB:$AB,'Detalhe Por UC'!$C:$C,'Infos Clientes'!$B34,'Detalhe Por UC'!$R:$R,'Infos Clientes'!AP$2)=0,"",
SUMIFS('Detalhe Por UC'!$AB:$AB,'Detalhe Por UC'!$C:$C,'Infos Clientes'!$B34,'Detalhe Por UC'!$R:$R,'Infos Clientes'!AP$2)
+SUMIFS('Detalhe Por UC'!$AC:$AC,'Detalhe Por UC'!$C:$C,'Infos Clientes'!$B34,'Detalhe Por UC'!$R:$R,'Infos Clientes'!AP$2))</f>
        <v>143</v>
      </c>
      <c r="AQ34" s="27">
        <f>IF(SUMIFS('Detalhe Por UC'!$AB:$AB,'Detalhe Por UC'!$C:$C,'Infos Clientes'!$B34,'Detalhe Por UC'!$R:$R,'Infos Clientes'!AQ$2)=0,"",
SUMIFS('Detalhe Por UC'!$AB:$AB,'Detalhe Por UC'!$C:$C,'Infos Clientes'!$B34,'Detalhe Por UC'!$R:$R,'Infos Clientes'!AQ$2)
+SUMIFS('Detalhe Por UC'!$AC:$AC,'Detalhe Por UC'!$C:$C,'Infos Clientes'!$B34,'Detalhe Por UC'!$R:$R,'Infos Clientes'!AQ$2))</f>
        <v>86</v>
      </c>
      <c r="AR34" s="27">
        <f>IF(SUMIFS('Detalhe Por UC'!$AB:$AB,'Detalhe Por UC'!$C:$C,'Infos Clientes'!$B34,'Detalhe Por UC'!$R:$R,'Infos Clientes'!AR$2)=0,"",
SUMIFS('Detalhe Por UC'!$AB:$AB,'Detalhe Por UC'!$C:$C,'Infos Clientes'!$B34,'Detalhe Por UC'!$R:$R,'Infos Clientes'!AR$2)
+SUMIFS('Detalhe Por UC'!$AC:$AC,'Detalhe Por UC'!$C:$C,'Infos Clientes'!$B34,'Detalhe Por UC'!$R:$R,'Infos Clientes'!AR$2))</f>
        <v>109</v>
      </c>
      <c r="AS34" s="27">
        <f>IF(SUMIFS('Detalhe Por UC'!$AB:$AB,'Detalhe Por UC'!$C:$C,'Infos Clientes'!$B34,'Detalhe Por UC'!$R:$R,'Infos Clientes'!AS$2)=0,"",
SUMIFS('Detalhe Por UC'!$AB:$AB,'Detalhe Por UC'!$C:$C,'Infos Clientes'!$B34,'Detalhe Por UC'!$R:$R,'Infos Clientes'!AS$2)
+SUMIFS('Detalhe Por UC'!$AC:$AC,'Detalhe Por UC'!$C:$C,'Infos Clientes'!$B34,'Detalhe Por UC'!$R:$R,'Infos Clientes'!AS$2))</f>
        <v>105</v>
      </c>
      <c r="AT34" s="27">
        <f>IF(SUMIFS('Detalhe Por UC'!$AB:$AB,'Detalhe Por UC'!$C:$C,'Infos Clientes'!$B34,'Detalhe Por UC'!$R:$R,'Infos Clientes'!AT$2)=0,"",
SUMIFS('Detalhe Por UC'!$AB:$AB,'Detalhe Por UC'!$C:$C,'Infos Clientes'!$B34,'Detalhe Por UC'!$R:$R,'Infos Clientes'!AT$2)
+SUMIFS('Detalhe Por UC'!$AC:$AC,'Detalhe Por UC'!$C:$C,'Infos Clientes'!$B34,'Detalhe Por UC'!$R:$R,'Infos Clientes'!AT$2))</f>
        <v>94</v>
      </c>
      <c r="AU34" s="27" t="str">
        <f>IF(SUMIFS('Detalhe Por UC'!$AB:$AB,'Detalhe Por UC'!$C:$C,'Infos Clientes'!$B34,'Detalhe Por UC'!$R:$R,'Infos Clientes'!AU$2)=0,"",
SUMIFS('Detalhe Por UC'!$AB:$AB,'Detalhe Por UC'!$C:$C,'Infos Clientes'!$B34,'Detalhe Por UC'!$R:$R,'Infos Clientes'!AU$2)
+SUMIFS('Detalhe Por UC'!$AC:$AC,'Detalhe Por UC'!$C:$C,'Infos Clientes'!$B34,'Detalhe Por UC'!$R:$R,'Infos Clientes'!AU$2))</f>
        <v/>
      </c>
    </row>
    <row r="35" spans="2:47" x14ac:dyDescent="0.3">
      <c r="B35" t="s">
        <v>108</v>
      </c>
      <c r="C35" s="14">
        <f t="shared" si="1"/>
        <v>35</v>
      </c>
      <c r="D35" t="s">
        <v>19</v>
      </c>
      <c r="E35" s="15">
        <v>306</v>
      </c>
      <c r="F35" t="s">
        <v>109</v>
      </c>
      <c r="G35" t="s">
        <v>110</v>
      </c>
      <c r="H35" s="16" t="s">
        <v>108</v>
      </c>
      <c r="I35" s="17" t="s">
        <v>22</v>
      </c>
      <c r="J35" s="1" t="s">
        <v>28</v>
      </c>
      <c r="K35" s="18" t="s">
        <v>24</v>
      </c>
      <c r="L35" s="18"/>
      <c r="M35" s="19">
        <v>0.25</v>
      </c>
      <c r="N35"/>
      <c r="O35" s="20"/>
      <c r="P35" s="21"/>
      <c r="Q35" s="22">
        <f>IF(_xlfn.MINIFS('Detalhe Por UC'!R:R,'Detalhe Por UC'!C:C,B35,'Detalhe Por UC'!AD:AD,"&gt;"&amp;0)=0,"",_xlfn.MINIFS('Detalhe Por UC'!R:R,'Detalhe Por UC'!C:C,B35,'Detalhe Por UC'!AD:AD,"&gt;"&amp;0))</f>
        <v>45627</v>
      </c>
      <c r="R35" s="23">
        <f>IF(P35&lt;&gt;"ATIVO",0,
IF(OR(Q35="",Q35=0,O35=0),O35,
O35-ROUND((MAX('Detalhe Por UC'!R:R)
-Q35)/(365/12),0)))</f>
        <v>0</v>
      </c>
      <c r="T35" s="5">
        <v>187.5</v>
      </c>
      <c r="U35" s="24">
        <f t="shared" si="0"/>
        <v>185</v>
      </c>
      <c r="W35" s="25">
        <v>210</v>
      </c>
      <c r="X35" s="25">
        <v>240</v>
      </c>
      <c r="Y35" s="25">
        <v>300</v>
      </c>
      <c r="Z35" s="25">
        <v>180</v>
      </c>
      <c r="AA35" s="25">
        <v>240</v>
      </c>
      <c r="AB35" s="25">
        <v>180</v>
      </c>
      <c r="AC35" s="25">
        <v>180</v>
      </c>
      <c r="AD35" s="26">
        <v>150</v>
      </c>
      <c r="AE35" s="25">
        <v>150</v>
      </c>
      <c r="AF35" s="25">
        <v>150</v>
      </c>
      <c r="AG35" s="25">
        <v>180</v>
      </c>
      <c r="AH35" s="25">
        <v>180</v>
      </c>
      <c r="AI35" s="25">
        <v>210</v>
      </c>
      <c r="AJ35" s="27">
        <f>IF(SUMIFS('Detalhe Por UC'!$AB:$AB,'Detalhe Por UC'!$C:$C,'Infos Clientes'!$B35,'Detalhe Por UC'!$R:$R,'Infos Clientes'!AJ$2)=0,"",
SUMIFS('Detalhe Por UC'!$AB:$AB,'Detalhe Por UC'!$C:$C,'Infos Clientes'!$B35,'Detalhe Por UC'!$R:$R,'Infos Clientes'!AJ$2)
+SUMIFS('Detalhe Por UC'!$AC:$AC,'Detalhe Por UC'!$C:$C,'Infos Clientes'!$B35,'Detalhe Por UC'!$R:$R,'Infos Clientes'!AJ$2))</f>
        <v>150</v>
      </c>
      <c r="AK35" s="27">
        <f>IF(SUMIFS('Detalhe Por UC'!$AB:$AB,'Detalhe Por UC'!$C:$C,'Infos Clientes'!$B35,'Detalhe Por UC'!$R:$R,'Infos Clientes'!AK$2)=0,"",
SUMIFS('Detalhe Por UC'!$AB:$AB,'Detalhe Por UC'!$C:$C,'Infos Clientes'!$B35,'Detalhe Por UC'!$R:$R,'Infos Clientes'!AK$2)
+SUMIFS('Detalhe Por UC'!$AC:$AC,'Detalhe Por UC'!$C:$C,'Infos Clientes'!$B35,'Detalhe Por UC'!$R:$R,'Infos Clientes'!AK$2))</f>
        <v>180</v>
      </c>
      <c r="AL35" s="27">
        <f>IF(SUMIFS('Detalhe Por UC'!$AB:$AB,'Detalhe Por UC'!$C:$C,'Infos Clientes'!$B35,'Detalhe Por UC'!$R:$R,'Infos Clientes'!AL$2)=0,"",
SUMIFS('Detalhe Por UC'!$AB:$AB,'Detalhe Por UC'!$C:$C,'Infos Clientes'!$B35,'Detalhe Por UC'!$R:$R,'Infos Clientes'!AL$2)
+SUMIFS('Detalhe Por UC'!$AC:$AC,'Detalhe Por UC'!$C:$C,'Infos Clientes'!$B35,'Detalhe Por UC'!$R:$R,'Infos Clientes'!AL$2))</f>
        <v>270</v>
      </c>
      <c r="AM35" s="27">
        <f>IF(SUMIFS('Detalhe Por UC'!$AB:$AB,'Detalhe Por UC'!$C:$C,'Infos Clientes'!$B35,'Detalhe Por UC'!$R:$R,'Infos Clientes'!AM$2)=0,"",
SUMIFS('Detalhe Por UC'!$AB:$AB,'Detalhe Por UC'!$C:$C,'Infos Clientes'!$B35,'Detalhe Por UC'!$R:$R,'Infos Clientes'!AM$2)
+SUMIFS('Detalhe Por UC'!$AC:$AC,'Detalhe Por UC'!$C:$C,'Infos Clientes'!$B35,'Detalhe Por UC'!$R:$R,'Infos Clientes'!AM$2))</f>
        <v>240</v>
      </c>
      <c r="AN35" s="27">
        <f>IF(SUMIFS('Detalhe Por UC'!$AB:$AB,'Detalhe Por UC'!$C:$C,'Infos Clientes'!$B35,'Detalhe Por UC'!$R:$R,'Infos Clientes'!AN$2)=0,"",
SUMIFS('Detalhe Por UC'!$AB:$AB,'Detalhe Por UC'!$C:$C,'Infos Clientes'!$B35,'Detalhe Por UC'!$R:$R,'Infos Clientes'!AN$2)
+SUMIFS('Detalhe Por UC'!$AC:$AC,'Detalhe Por UC'!$C:$C,'Infos Clientes'!$B35,'Detalhe Por UC'!$R:$R,'Infos Clientes'!AN$2))</f>
        <v>240</v>
      </c>
      <c r="AO35" s="27">
        <f>IF(SUMIFS('Detalhe Por UC'!$AB:$AB,'Detalhe Por UC'!$C:$C,'Infos Clientes'!$B35,'Detalhe Por UC'!$R:$R,'Infos Clientes'!AO$2)=0,"",
SUMIFS('Detalhe Por UC'!$AB:$AB,'Detalhe Por UC'!$C:$C,'Infos Clientes'!$B35,'Detalhe Por UC'!$R:$R,'Infos Clientes'!AO$2)
+SUMIFS('Detalhe Por UC'!$AC:$AC,'Detalhe Por UC'!$C:$C,'Infos Clientes'!$B35,'Detalhe Por UC'!$R:$R,'Infos Clientes'!AO$2))</f>
        <v>150</v>
      </c>
      <c r="AP35" s="27">
        <f>IF(SUMIFS('Detalhe Por UC'!$AB:$AB,'Detalhe Por UC'!$C:$C,'Infos Clientes'!$B35,'Detalhe Por UC'!$R:$R,'Infos Clientes'!AP$2)=0,"",
SUMIFS('Detalhe Por UC'!$AB:$AB,'Detalhe Por UC'!$C:$C,'Infos Clientes'!$B35,'Detalhe Por UC'!$R:$R,'Infos Clientes'!AP$2)
+SUMIFS('Detalhe Por UC'!$AC:$AC,'Detalhe Por UC'!$C:$C,'Infos Clientes'!$B35,'Detalhe Por UC'!$R:$R,'Infos Clientes'!AP$2))</f>
        <v>180</v>
      </c>
      <c r="AQ35" s="27">
        <f>IF(SUMIFS('Detalhe Por UC'!$AB:$AB,'Detalhe Por UC'!$C:$C,'Infos Clientes'!$B35,'Detalhe Por UC'!$R:$R,'Infos Clientes'!AQ$2)=0,"",
SUMIFS('Detalhe Por UC'!$AB:$AB,'Detalhe Por UC'!$C:$C,'Infos Clientes'!$B35,'Detalhe Por UC'!$R:$R,'Infos Clientes'!AQ$2)
+SUMIFS('Detalhe Por UC'!$AC:$AC,'Detalhe Por UC'!$C:$C,'Infos Clientes'!$B35,'Detalhe Por UC'!$R:$R,'Infos Clientes'!AQ$2))</f>
        <v>180</v>
      </c>
      <c r="AR35" s="27">
        <f>IF(SUMIFS('Detalhe Por UC'!$AB:$AB,'Detalhe Por UC'!$C:$C,'Infos Clientes'!$B35,'Detalhe Por UC'!$R:$R,'Infos Clientes'!AR$2)=0,"",
SUMIFS('Detalhe Por UC'!$AB:$AB,'Detalhe Por UC'!$C:$C,'Infos Clientes'!$B35,'Detalhe Por UC'!$R:$R,'Infos Clientes'!AR$2)
+SUMIFS('Detalhe Por UC'!$AC:$AC,'Detalhe Por UC'!$C:$C,'Infos Clientes'!$B35,'Detalhe Por UC'!$R:$R,'Infos Clientes'!AR$2))</f>
        <v>120</v>
      </c>
      <c r="AS35" s="27">
        <f>IF(SUMIFS('Detalhe Por UC'!$AB:$AB,'Detalhe Por UC'!$C:$C,'Infos Clientes'!$B35,'Detalhe Por UC'!$R:$R,'Infos Clientes'!AS$2)=0,"",
SUMIFS('Detalhe Por UC'!$AB:$AB,'Detalhe Por UC'!$C:$C,'Infos Clientes'!$B35,'Detalhe Por UC'!$R:$R,'Infos Clientes'!AS$2)
+SUMIFS('Detalhe Por UC'!$AC:$AC,'Detalhe Por UC'!$C:$C,'Infos Clientes'!$B35,'Detalhe Por UC'!$R:$R,'Infos Clientes'!AS$2))</f>
        <v>150</v>
      </c>
      <c r="AT35" s="27">
        <f>IF(SUMIFS('Detalhe Por UC'!$AB:$AB,'Detalhe Por UC'!$C:$C,'Infos Clientes'!$B35,'Detalhe Por UC'!$R:$R,'Infos Clientes'!AT$2)=0,"",
SUMIFS('Detalhe Por UC'!$AB:$AB,'Detalhe Por UC'!$C:$C,'Infos Clientes'!$B35,'Detalhe Por UC'!$R:$R,'Infos Clientes'!AT$2)
+SUMIFS('Detalhe Por UC'!$AC:$AC,'Detalhe Por UC'!$C:$C,'Infos Clientes'!$B35,'Detalhe Por UC'!$R:$R,'Infos Clientes'!AT$2))</f>
        <v>150</v>
      </c>
      <c r="AU35" s="27" t="str">
        <f>IF(SUMIFS('Detalhe Por UC'!$AB:$AB,'Detalhe Por UC'!$C:$C,'Infos Clientes'!$B35,'Detalhe Por UC'!$R:$R,'Infos Clientes'!AU$2)=0,"",
SUMIFS('Detalhe Por UC'!$AB:$AB,'Detalhe Por UC'!$C:$C,'Infos Clientes'!$B35,'Detalhe Por UC'!$R:$R,'Infos Clientes'!AU$2)
+SUMIFS('Detalhe Por UC'!$AC:$AC,'Detalhe Por UC'!$C:$C,'Infos Clientes'!$B35,'Detalhe Por UC'!$R:$R,'Infos Clientes'!AU$2))</f>
        <v/>
      </c>
    </row>
    <row r="36" spans="2:47" x14ac:dyDescent="0.3">
      <c r="B36" t="s">
        <v>111</v>
      </c>
      <c r="C36" s="14">
        <f t="shared" si="1"/>
        <v>36</v>
      </c>
      <c r="D36" t="s">
        <v>19</v>
      </c>
      <c r="E36" s="15">
        <v>358</v>
      </c>
      <c r="F36" t="s">
        <v>112</v>
      </c>
      <c r="G36" t="s">
        <v>113</v>
      </c>
      <c r="H36" s="16" t="s">
        <v>111</v>
      </c>
      <c r="I36" s="17" t="s">
        <v>22</v>
      </c>
      <c r="J36" s="1" t="s">
        <v>28</v>
      </c>
      <c r="K36" s="18" t="s">
        <v>24</v>
      </c>
      <c r="L36" s="18"/>
      <c r="M36" s="19">
        <v>0.25</v>
      </c>
      <c r="N36"/>
      <c r="O36" s="20"/>
      <c r="P36" s="21"/>
      <c r="Q36" s="22">
        <f>IF(_xlfn.MINIFS('Detalhe Por UC'!R:R,'Detalhe Por UC'!C:C,B36,'Detalhe Por UC'!AD:AD,"&gt;"&amp;0)=0,"",_xlfn.MINIFS('Detalhe Por UC'!R:R,'Detalhe Por UC'!C:C,B36,'Detalhe Por UC'!AD:AD,"&gt;"&amp;0))</f>
        <v>45627</v>
      </c>
      <c r="R36" s="23">
        <f>IF(P36&lt;&gt;"ATIVO",0,
IF(OR(Q36="",Q36=0,O36=0),O36,
O36-ROUND((MAX('Detalhe Por UC'!R:R)
-Q36)/(365/12),0)))</f>
        <v>0</v>
      </c>
      <c r="T36" s="5">
        <v>586</v>
      </c>
      <c r="U36" s="24">
        <f t="shared" si="0"/>
        <v>529.33333333333337</v>
      </c>
      <c r="W36" s="25">
        <v>740</v>
      </c>
      <c r="X36" s="25">
        <v>947</v>
      </c>
      <c r="Y36" s="25">
        <v>680</v>
      </c>
      <c r="Z36" s="25">
        <v>637</v>
      </c>
      <c r="AA36" s="25">
        <v>653</v>
      </c>
      <c r="AB36" s="25">
        <v>533</v>
      </c>
      <c r="AC36" s="25">
        <v>552</v>
      </c>
      <c r="AD36" s="26">
        <v>261</v>
      </c>
      <c r="AE36" s="25">
        <v>425</v>
      </c>
      <c r="AF36" s="25">
        <v>478</v>
      </c>
      <c r="AG36" s="25">
        <v>636</v>
      </c>
      <c r="AH36" s="25">
        <v>597</v>
      </c>
      <c r="AI36" s="25">
        <v>813</v>
      </c>
      <c r="AJ36" s="27">
        <f>IF(SUMIFS('Detalhe Por UC'!$AB:$AB,'Detalhe Por UC'!$C:$C,'Infos Clientes'!$B36,'Detalhe Por UC'!$R:$R,'Infos Clientes'!AJ$2)=0,"",
SUMIFS('Detalhe Por UC'!$AB:$AB,'Detalhe Por UC'!$C:$C,'Infos Clientes'!$B36,'Detalhe Por UC'!$R:$R,'Infos Clientes'!AJ$2)
+SUMIFS('Detalhe Por UC'!$AC:$AC,'Detalhe Por UC'!$C:$C,'Infos Clientes'!$B36,'Detalhe Por UC'!$R:$R,'Infos Clientes'!AJ$2))</f>
        <v>767</v>
      </c>
      <c r="AK36" s="27">
        <f>IF(SUMIFS('Detalhe Por UC'!$AB:$AB,'Detalhe Por UC'!$C:$C,'Infos Clientes'!$B36,'Detalhe Por UC'!$R:$R,'Infos Clientes'!AK$2)=0,"",
SUMIFS('Detalhe Por UC'!$AB:$AB,'Detalhe Por UC'!$C:$C,'Infos Clientes'!$B36,'Detalhe Por UC'!$R:$R,'Infos Clientes'!AK$2)
+SUMIFS('Detalhe Por UC'!$AC:$AC,'Detalhe Por UC'!$C:$C,'Infos Clientes'!$B36,'Detalhe Por UC'!$R:$R,'Infos Clientes'!AK$2))</f>
        <v>700</v>
      </c>
      <c r="AL36" s="27">
        <f>IF(SUMIFS('Detalhe Por UC'!$AB:$AB,'Detalhe Por UC'!$C:$C,'Infos Clientes'!$B36,'Detalhe Por UC'!$R:$R,'Infos Clientes'!AL$2)=0,"",
SUMIFS('Detalhe Por UC'!$AB:$AB,'Detalhe Por UC'!$C:$C,'Infos Clientes'!$B36,'Detalhe Por UC'!$R:$R,'Infos Clientes'!AL$2)
+SUMIFS('Detalhe Por UC'!$AC:$AC,'Detalhe Por UC'!$C:$C,'Infos Clientes'!$B36,'Detalhe Por UC'!$R:$R,'Infos Clientes'!AL$2))</f>
        <v>808</v>
      </c>
      <c r="AM36" s="27">
        <f>IF(SUMIFS('Detalhe Por UC'!$AB:$AB,'Detalhe Por UC'!$C:$C,'Infos Clientes'!$B36,'Detalhe Por UC'!$R:$R,'Infos Clientes'!AM$2)=0,"",
SUMIFS('Detalhe Por UC'!$AB:$AB,'Detalhe Por UC'!$C:$C,'Infos Clientes'!$B36,'Detalhe Por UC'!$R:$R,'Infos Clientes'!AM$2)
+SUMIFS('Detalhe Por UC'!$AC:$AC,'Detalhe Por UC'!$C:$C,'Infos Clientes'!$B36,'Detalhe Por UC'!$R:$R,'Infos Clientes'!AM$2))</f>
        <v>585</v>
      </c>
      <c r="AN36" s="27">
        <f>IF(SUMIFS('Detalhe Por UC'!$AB:$AB,'Detalhe Por UC'!$C:$C,'Infos Clientes'!$B36,'Detalhe Por UC'!$R:$R,'Infos Clientes'!AN$2)=0,"",
SUMIFS('Detalhe Por UC'!$AB:$AB,'Detalhe Por UC'!$C:$C,'Infos Clientes'!$B36,'Detalhe Por UC'!$R:$R,'Infos Clientes'!AN$2)
+SUMIFS('Detalhe Por UC'!$AC:$AC,'Detalhe Por UC'!$C:$C,'Infos Clientes'!$B36,'Detalhe Por UC'!$R:$R,'Infos Clientes'!AN$2))</f>
        <v>426</v>
      </c>
      <c r="AO36" s="27">
        <f>IF(SUMIFS('Detalhe Por UC'!$AB:$AB,'Detalhe Por UC'!$C:$C,'Infos Clientes'!$B36,'Detalhe Por UC'!$R:$R,'Infos Clientes'!AO$2)=0,"",
SUMIFS('Detalhe Por UC'!$AB:$AB,'Detalhe Por UC'!$C:$C,'Infos Clientes'!$B36,'Detalhe Por UC'!$R:$R,'Infos Clientes'!AO$2)
+SUMIFS('Detalhe Por UC'!$AC:$AC,'Detalhe Por UC'!$C:$C,'Infos Clientes'!$B36,'Detalhe Por UC'!$R:$R,'Infos Clientes'!AO$2))</f>
        <v>326</v>
      </c>
      <c r="AP36" s="27">
        <f>IF(SUMIFS('Detalhe Por UC'!$AB:$AB,'Detalhe Por UC'!$C:$C,'Infos Clientes'!$B36,'Detalhe Por UC'!$R:$R,'Infos Clientes'!AP$2)=0,"",
SUMIFS('Detalhe Por UC'!$AB:$AB,'Detalhe Por UC'!$C:$C,'Infos Clientes'!$B36,'Detalhe Por UC'!$R:$R,'Infos Clientes'!AP$2)
+SUMIFS('Detalhe Por UC'!$AC:$AC,'Detalhe Por UC'!$C:$C,'Infos Clientes'!$B36,'Detalhe Por UC'!$R:$R,'Infos Clientes'!AP$2))</f>
        <v>287</v>
      </c>
      <c r="AQ36" s="27">
        <f>IF(SUMIFS('Detalhe Por UC'!$AB:$AB,'Detalhe Por UC'!$C:$C,'Infos Clientes'!$B36,'Detalhe Por UC'!$R:$R,'Infos Clientes'!AQ$2)=0,"",
SUMIFS('Detalhe Por UC'!$AB:$AB,'Detalhe Por UC'!$C:$C,'Infos Clientes'!$B36,'Detalhe Por UC'!$R:$R,'Infos Clientes'!AQ$2)
+SUMIFS('Detalhe Por UC'!$AC:$AC,'Detalhe Por UC'!$C:$C,'Infos Clientes'!$B36,'Detalhe Por UC'!$R:$R,'Infos Clientes'!AQ$2))</f>
        <v>275</v>
      </c>
      <c r="AR36" s="27">
        <f>IF(SUMIFS('Detalhe Por UC'!$AB:$AB,'Detalhe Por UC'!$C:$C,'Infos Clientes'!$B36,'Detalhe Por UC'!$R:$R,'Infos Clientes'!AR$2)=0,"",
SUMIFS('Detalhe Por UC'!$AB:$AB,'Detalhe Por UC'!$C:$C,'Infos Clientes'!$B36,'Detalhe Por UC'!$R:$R,'Infos Clientes'!AR$2)
+SUMIFS('Detalhe Por UC'!$AC:$AC,'Detalhe Por UC'!$C:$C,'Infos Clientes'!$B36,'Detalhe Por UC'!$R:$R,'Infos Clientes'!AR$2))</f>
        <v>377</v>
      </c>
      <c r="AS36" s="27">
        <f>IF(SUMIFS('Detalhe Por UC'!$AB:$AB,'Detalhe Por UC'!$C:$C,'Infos Clientes'!$B36,'Detalhe Por UC'!$R:$R,'Infos Clientes'!AS$2)=0,"",
SUMIFS('Detalhe Por UC'!$AB:$AB,'Detalhe Por UC'!$C:$C,'Infos Clientes'!$B36,'Detalhe Por UC'!$R:$R,'Infos Clientes'!AS$2)
+SUMIFS('Detalhe Por UC'!$AC:$AC,'Detalhe Por UC'!$C:$C,'Infos Clientes'!$B36,'Detalhe Por UC'!$R:$R,'Infos Clientes'!AS$2))</f>
        <v>492</v>
      </c>
      <c r="AT36" s="27">
        <f>IF(SUMIFS('Detalhe Por UC'!$AB:$AB,'Detalhe Por UC'!$C:$C,'Infos Clientes'!$B36,'Detalhe Por UC'!$R:$R,'Infos Clientes'!AT$2)=0,"",
SUMIFS('Detalhe Por UC'!$AB:$AB,'Detalhe Por UC'!$C:$C,'Infos Clientes'!$B36,'Detalhe Por UC'!$R:$R,'Infos Clientes'!AT$2)
+SUMIFS('Detalhe Por UC'!$AC:$AC,'Detalhe Por UC'!$C:$C,'Infos Clientes'!$B36,'Detalhe Por UC'!$R:$R,'Infos Clientes'!AT$2))</f>
        <v>496</v>
      </c>
      <c r="AU36" s="27" t="str">
        <f>IF(SUMIFS('Detalhe Por UC'!$AB:$AB,'Detalhe Por UC'!$C:$C,'Infos Clientes'!$B36,'Detalhe Por UC'!$R:$R,'Infos Clientes'!AU$2)=0,"",
SUMIFS('Detalhe Por UC'!$AB:$AB,'Detalhe Por UC'!$C:$C,'Infos Clientes'!$B36,'Detalhe Por UC'!$R:$R,'Infos Clientes'!AU$2)
+SUMIFS('Detalhe Por UC'!$AC:$AC,'Detalhe Por UC'!$C:$C,'Infos Clientes'!$B36,'Detalhe Por UC'!$R:$R,'Infos Clientes'!AU$2))</f>
        <v/>
      </c>
    </row>
    <row r="37" spans="2:47" x14ac:dyDescent="0.3">
      <c r="B37" t="s">
        <v>114</v>
      </c>
      <c r="C37" s="14">
        <f t="shared" si="1"/>
        <v>37</v>
      </c>
      <c r="D37" t="s">
        <v>19</v>
      </c>
      <c r="E37" s="15">
        <v>357</v>
      </c>
      <c r="F37" t="s">
        <v>62</v>
      </c>
      <c r="G37" t="s">
        <v>115</v>
      </c>
      <c r="H37" s="16" t="s">
        <v>114</v>
      </c>
      <c r="I37" s="17" t="s">
        <v>22</v>
      </c>
      <c r="J37" s="1" t="s">
        <v>23</v>
      </c>
      <c r="K37" s="18" t="s">
        <v>24</v>
      </c>
      <c r="L37" s="18"/>
      <c r="M37" s="19">
        <v>0.25</v>
      </c>
      <c r="N37"/>
      <c r="O37" s="20"/>
      <c r="P37" s="21"/>
      <c r="Q37" s="22">
        <f>IF(_xlfn.MINIFS('Detalhe Por UC'!R:R,'Detalhe Por UC'!C:C,B37,'Detalhe Por UC'!AD:AD,"&gt;"&amp;0)=0,"",_xlfn.MINIFS('Detalhe Por UC'!R:R,'Detalhe Por UC'!C:C,B37,'Detalhe Por UC'!AD:AD,"&gt;"&amp;0))</f>
        <v>45627</v>
      </c>
      <c r="R37" s="23">
        <f>IF(P37&lt;&gt;"ATIVO",0,
IF(OR(Q37="",Q37=0,O37=0),O37,
O37-ROUND((MAX('Detalhe Por UC'!R:R)
-Q37)/(365/12),0)))</f>
        <v>0</v>
      </c>
      <c r="T37" s="5">
        <v>215.58333333333334</v>
      </c>
      <c r="U37" s="24">
        <f t="shared" si="0"/>
        <v>239</v>
      </c>
      <c r="W37" s="25">
        <v>333</v>
      </c>
      <c r="X37" s="25">
        <v>272</v>
      </c>
      <c r="Y37" s="25">
        <v>246</v>
      </c>
      <c r="Z37" s="25">
        <v>258</v>
      </c>
      <c r="AA37" s="25">
        <v>329</v>
      </c>
      <c r="AB37" s="25">
        <v>265</v>
      </c>
      <c r="AC37" s="25">
        <v>124</v>
      </c>
      <c r="AD37" s="26">
        <v>129</v>
      </c>
      <c r="AE37" s="25">
        <v>127</v>
      </c>
      <c r="AF37" s="25">
        <v>107</v>
      </c>
      <c r="AG37" s="25">
        <v>233</v>
      </c>
      <c r="AH37" s="25">
        <v>265</v>
      </c>
      <c r="AI37" s="25">
        <v>253</v>
      </c>
      <c r="AJ37" s="27">
        <f>IF(SUMIFS('Detalhe Por UC'!$AB:$AB,'Detalhe Por UC'!$C:$C,'Infos Clientes'!$B37,'Detalhe Por UC'!$R:$R,'Infos Clientes'!AJ$2)=0,"",
SUMIFS('Detalhe Por UC'!$AB:$AB,'Detalhe Por UC'!$C:$C,'Infos Clientes'!$B37,'Detalhe Por UC'!$R:$R,'Infos Clientes'!AJ$2)
+SUMIFS('Detalhe Por UC'!$AC:$AC,'Detalhe Por UC'!$C:$C,'Infos Clientes'!$B37,'Detalhe Por UC'!$R:$R,'Infos Clientes'!AJ$2))</f>
        <v>251</v>
      </c>
      <c r="AK37" s="27">
        <f>IF(SUMIFS('Detalhe Por UC'!$AB:$AB,'Detalhe Por UC'!$C:$C,'Infos Clientes'!$B37,'Detalhe Por UC'!$R:$R,'Infos Clientes'!AK$2)=0,"",
SUMIFS('Detalhe Por UC'!$AB:$AB,'Detalhe Por UC'!$C:$C,'Infos Clientes'!$B37,'Detalhe Por UC'!$R:$R,'Infos Clientes'!AK$2)
+SUMIFS('Detalhe Por UC'!$AC:$AC,'Detalhe Por UC'!$C:$C,'Infos Clientes'!$B37,'Detalhe Por UC'!$R:$R,'Infos Clientes'!AK$2))</f>
        <v>321</v>
      </c>
      <c r="AL37" s="27">
        <f>IF(SUMIFS('Detalhe Por UC'!$AB:$AB,'Detalhe Por UC'!$C:$C,'Infos Clientes'!$B37,'Detalhe Por UC'!$R:$R,'Infos Clientes'!AL$2)=0,"",
SUMIFS('Detalhe Por UC'!$AB:$AB,'Detalhe Por UC'!$C:$C,'Infos Clientes'!$B37,'Detalhe Por UC'!$R:$R,'Infos Clientes'!AL$2)
+SUMIFS('Detalhe Por UC'!$AC:$AC,'Detalhe Por UC'!$C:$C,'Infos Clientes'!$B37,'Detalhe Por UC'!$R:$R,'Infos Clientes'!AL$2))</f>
        <v>317</v>
      </c>
      <c r="AM37" s="27">
        <f>IF(SUMIFS('Detalhe Por UC'!$AB:$AB,'Detalhe Por UC'!$C:$C,'Infos Clientes'!$B37,'Detalhe Por UC'!$R:$R,'Infos Clientes'!AM$2)=0,"",
SUMIFS('Detalhe Por UC'!$AB:$AB,'Detalhe Por UC'!$C:$C,'Infos Clientes'!$B37,'Detalhe Por UC'!$R:$R,'Infos Clientes'!AM$2)
+SUMIFS('Detalhe Por UC'!$AC:$AC,'Detalhe Por UC'!$C:$C,'Infos Clientes'!$B37,'Detalhe Por UC'!$R:$R,'Infos Clientes'!AM$2))</f>
        <v>226</v>
      </c>
      <c r="AN37" s="27">
        <f>IF(SUMIFS('Detalhe Por UC'!$AB:$AB,'Detalhe Por UC'!$C:$C,'Infos Clientes'!$B37,'Detalhe Por UC'!$R:$R,'Infos Clientes'!AN$2)=0,"",
SUMIFS('Detalhe Por UC'!$AB:$AB,'Detalhe Por UC'!$C:$C,'Infos Clientes'!$B37,'Detalhe Por UC'!$R:$R,'Infos Clientes'!AN$2)
+SUMIFS('Detalhe Por UC'!$AC:$AC,'Detalhe Por UC'!$C:$C,'Infos Clientes'!$B37,'Detalhe Por UC'!$R:$R,'Infos Clientes'!AN$2))</f>
        <v>193</v>
      </c>
      <c r="AO37" s="27">
        <f>IF(SUMIFS('Detalhe Por UC'!$AB:$AB,'Detalhe Por UC'!$C:$C,'Infos Clientes'!$B37,'Detalhe Por UC'!$R:$R,'Infos Clientes'!AO$2)=0,"",
SUMIFS('Detalhe Por UC'!$AB:$AB,'Detalhe Por UC'!$C:$C,'Infos Clientes'!$B37,'Detalhe Por UC'!$R:$R,'Infos Clientes'!AO$2)
+SUMIFS('Detalhe Por UC'!$AC:$AC,'Detalhe Por UC'!$C:$C,'Infos Clientes'!$B37,'Detalhe Por UC'!$R:$R,'Infos Clientes'!AO$2))</f>
        <v>247</v>
      </c>
      <c r="AP37" s="27">
        <f>IF(SUMIFS('Detalhe Por UC'!$AB:$AB,'Detalhe Por UC'!$C:$C,'Infos Clientes'!$B37,'Detalhe Por UC'!$R:$R,'Infos Clientes'!AP$2)=0,"",
SUMIFS('Detalhe Por UC'!$AB:$AB,'Detalhe Por UC'!$C:$C,'Infos Clientes'!$B37,'Detalhe Por UC'!$R:$R,'Infos Clientes'!AP$2)
+SUMIFS('Detalhe Por UC'!$AC:$AC,'Detalhe Por UC'!$C:$C,'Infos Clientes'!$B37,'Detalhe Por UC'!$R:$R,'Infos Clientes'!AP$2))</f>
        <v>82</v>
      </c>
      <c r="AQ37" s="27">
        <f>IF(SUMIFS('Detalhe Por UC'!$AB:$AB,'Detalhe Por UC'!$C:$C,'Infos Clientes'!$B37,'Detalhe Por UC'!$R:$R,'Infos Clientes'!AQ$2)=0,"",
SUMIFS('Detalhe Por UC'!$AB:$AB,'Detalhe Por UC'!$C:$C,'Infos Clientes'!$B37,'Detalhe Por UC'!$R:$R,'Infos Clientes'!AQ$2)
+SUMIFS('Detalhe Por UC'!$AC:$AC,'Detalhe Por UC'!$C:$C,'Infos Clientes'!$B37,'Detalhe Por UC'!$R:$R,'Infos Clientes'!AQ$2))</f>
        <v>148</v>
      </c>
      <c r="AR37" s="27">
        <f>IF(SUMIFS('Detalhe Por UC'!$AB:$AB,'Detalhe Por UC'!$C:$C,'Infos Clientes'!$B37,'Detalhe Por UC'!$R:$R,'Infos Clientes'!AR$2)=0,"",
SUMIFS('Detalhe Por UC'!$AB:$AB,'Detalhe Por UC'!$C:$C,'Infos Clientes'!$B37,'Detalhe Por UC'!$R:$R,'Infos Clientes'!AR$2)
+SUMIFS('Detalhe Por UC'!$AC:$AC,'Detalhe Por UC'!$C:$C,'Infos Clientes'!$B37,'Detalhe Por UC'!$R:$R,'Infos Clientes'!AR$2))</f>
        <v>129</v>
      </c>
      <c r="AS37" s="27">
        <f>IF(SUMIFS('Detalhe Por UC'!$AB:$AB,'Detalhe Por UC'!$C:$C,'Infos Clientes'!$B37,'Detalhe Por UC'!$R:$R,'Infos Clientes'!AS$2)=0,"",
SUMIFS('Detalhe Por UC'!$AB:$AB,'Detalhe Por UC'!$C:$C,'Infos Clientes'!$B37,'Detalhe Por UC'!$R:$R,'Infos Clientes'!AS$2)
+SUMIFS('Detalhe Por UC'!$AC:$AC,'Detalhe Por UC'!$C:$C,'Infos Clientes'!$B37,'Detalhe Por UC'!$R:$R,'Infos Clientes'!AS$2))</f>
        <v>312</v>
      </c>
      <c r="AT37" s="27">
        <f>IF(SUMIFS('Detalhe Por UC'!$AB:$AB,'Detalhe Por UC'!$C:$C,'Infos Clientes'!$B37,'Detalhe Por UC'!$R:$R,'Infos Clientes'!AT$2)=0,"",
SUMIFS('Detalhe Por UC'!$AB:$AB,'Detalhe Por UC'!$C:$C,'Infos Clientes'!$B37,'Detalhe Por UC'!$R:$R,'Infos Clientes'!AT$2)
+SUMIFS('Detalhe Por UC'!$AC:$AC,'Detalhe Por UC'!$C:$C,'Infos Clientes'!$B37,'Detalhe Por UC'!$R:$R,'Infos Clientes'!AT$2))</f>
        <v>389</v>
      </c>
      <c r="AU37" s="27" t="str">
        <f>IF(SUMIFS('Detalhe Por UC'!$AB:$AB,'Detalhe Por UC'!$C:$C,'Infos Clientes'!$B37,'Detalhe Por UC'!$R:$R,'Infos Clientes'!AU$2)=0,"",
SUMIFS('Detalhe Por UC'!$AB:$AB,'Detalhe Por UC'!$C:$C,'Infos Clientes'!$B37,'Detalhe Por UC'!$R:$R,'Infos Clientes'!AU$2)
+SUMIFS('Detalhe Por UC'!$AC:$AC,'Detalhe Por UC'!$C:$C,'Infos Clientes'!$B37,'Detalhe Por UC'!$R:$R,'Infos Clientes'!AU$2))</f>
        <v/>
      </c>
    </row>
    <row r="38" spans="2:47" x14ac:dyDescent="0.3">
      <c r="B38" t="s">
        <v>116</v>
      </c>
      <c r="C38" s="14">
        <f t="shared" si="1"/>
        <v>38</v>
      </c>
      <c r="D38" t="s">
        <v>19</v>
      </c>
      <c r="E38" s="15">
        <v>371</v>
      </c>
      <c r="F38" t="s">
        <v>117</v>
      </c>
      <c r="G38" t="s">
        <v>118</v>
      </c>
      <c r="H38" s="16" t="s">
        <v>116</v>
      </c>
      <c r="I38" s="17" t="s">
        <v>22</v>
      </c>
      <c r="J38" s="1" t="s">
        <v>28</v>
      </c>
      <c r="K38" s="18" t="s">
        <v>24</v>
      </c>
      <c r="L38" s="18"/>
      <c r="M38" s="19">
        <v>0.25</v>
      </c>
      <c r="N38"/>
      <c r="O38" s="20"/>
      <c r="P38" s="21"/>
      <c r="Q38" s="22">
        <f>IF(_xlfn.MINIFS('Detalhe Por UC'!R:R,'Detalhe Por UC'!C:C,B38,'Detalhe Por UC'!AD:AD,"&gt;"&amp;0)=0,"",_xlfn.MINIFS('Detalhe Por UC'!R:R,'Detalhe Por UC'!C:C,B38,'Detalhe Por UC'!AD:AD,"&gt;"&amp;0))</f>
        <v>45627</v>
      </c>
      <c r="R38" s="23">
        <f>IF(P38&lt;&gt;"ATIVO",0,
IF(OR(Q38="",Q38=0,O38=0),O38,
O38-ROUND((MAX('Detalhe Por UC'!R:R)
-Q38)/(365/12),0)))</f>
        <v>0</v>
      </c>
      <c r="T38" s="5">
        <v>513.41666666666663</v>
      </c>
      <c r="U38" s="24">
        <f t="shared" si="0"/>
        <v>449.16666666666669</v>
      </c>
      <c r="W38" s="25">
        <v>890</v>
      </c>
      <c r="X38" s="25">
        <v>449</v>
      </c>
      <c r="Y38" s="25">
        <v>610</v>
      </c>
      <c r="Z38" s="25">
        <v>658</v>
      </c>
      <c r="AA38" s="25">
        <v>734</v>
      </c>
      <c r="AB38" s="25">
        <v>715</v>
      </c>
      <c r="AC38" s="25">
        <v>313</v>
      </c>
      <c r="AD38" s="26">
        <v>372</v>
      </c>
      <c r="AE38" s="25">
        <v>297</v>
      </c>
      <c r="AF38" s="25">
        <v>319</v>
      </c>
      <c r="AG38" s="25">
        <v>536</v>
      </c>
      <c r="AH38" s="25">
        <v>503</v>
      </c>
      <c r="AI38" s="25">
        <v>553</v>
      </c>
      <c r="AJ38" s="27">
        <f>IF(SUMIFS('Detalhe Por UC'!$AB:$AB,'Detalhe Por UC'!$C:$C,'Infos Clientes'!$B38,'Detalhe Por UC'!$R:$R,'Infos Clientes'!AJ$2)=0,"",
SUMIFS('Detalhe Por UC'!$AB:$AB,'Detalhe Por UC'!$C:$C,'Infos Clientes'!$B38,'Detalhe Por UC'!$R:$R,'Infos Clientes'!AJ$2)
+SUMIFS('Detalhe Por UC'!$AC:$AC,'Detalhe Por UC'!$C:$C,'Infos Clientes'!$B38,'Detalhe Por UC'!$R:$R,'Infos Clientes'!AJ$2))</f>
        <v>551</v>
      </c>
      <c r="AK38" s="27">
        <f>IF(SUMIFS('Detalhe Por UC'!$AB:$AB,'Detalhe Por UC'!$C:$C,'Infos Clientes'!$B38,'Detalhe Por UC'!$R:$R,'Infos Clientes'!AK$2)=0,"",
SUMIFS('Detalhe Por UC'!$AB:$AB,'Detalhe Por UC'!$C:$C,'Infos Clientes'!$B38,'Detalhe Por UC'!$R:$R,'Infos Clientes'!AK$2)
+SUMIFS('Detalhe Por UC'!$AC:$AC,'Detalhe Por UC'!$C:$C,'Infos Clientes'!$B38,'Detalhe Por UC'!$R:$R,'Infos Clientes'!AK$2))</f>
        <v>585</v>
      </c>
      <c r="AL38" s="27">
        <f>IF(SUMIFS('Detalhe Por UC'!$AB:$AB,'Detalhe Por UC'!$C:$C,'Infos Clientes'!$B38,'Detalhe Por UC'!$R:$R,'Infos Clientes'!AL$2)=0,"",
SUMIFS('Detalhe Por UC'!$AB:$AB,'Detalhe Por UC'!$C:$C,'Infos Clientes'!$B38,'Detalhe Por UC'!$R:$R,'Infos Clientes'!AL$2)
+SUMIFS('Detalhe Por UC'!$AC:$AC,'Detalhe Por UC'!$C:$C,'Infos Clientes'!$B38,'Detalhe Por UC'!$R:$R,'Infos Clientes'!AL$2))</f>
        <v>555</v>
      </c>
      <c r="AM38" s="27">
        <f>IF(SUMIFS('Detalhe Por UC'!$AB:$AB,'Detalhe Por UC'!$C:$C,'Infos Clientes'!$B38,'Detalhe Por UC'!$R:$R,'Infos Clientes'!AM$2)=0,"",
SUMIFS('Detalhe Por UC'!$AB:$AB,'Detalhe Por UC'!$C:$C,'Infos Clientes'!$B38,'Detalhe Por UC'!$R:$R,'Infos Clientes'!AM$2)
+SUMIFS('Detalhe Por UC'!$AC:$AC,'Detalhe Por UC'!$C:$C,'Infos Clientes'!$B38,'Detalhe Por UC'!$R:$R,'Infos Clientes'!AM$2))</f>
        <v>585</v>
      </c>
      <c r="AN38" s="27">
        <f>IF(SUMIFS('Detalhe Por UC'!$AB:$AB,'Detalhe Por UC'!$C:$C,'Infos Clientes'!$B38,'Detalhe Por UC'!$R:$R,'Infos Clientes'!AN$2)=0,"",
SUMIFS('Detalhe Por UC'!$AB:$AB,'Detalhe Por UC'!$C:$C,'Infos Clientes'!$B38,'Detalhe Por UC'!$R:$R,'Infos Clientes'!AN$2)
+SUMIFS('Detalhe Por UC'!$AC:$AC,'Detalhe Por UC'!$C:$C,'Infos Clientes'!$B38,'Detalhe Por UC'!$R:$R,'Infos Clientes'!AN$2))</f>
        <v>458</v>
      </c>
      <c r="AO38" s="27">
        <f>IF(SUMIFS('Detalhe Por UC'!$AB:$AB,'Detalhe Por UC'!$C:$C,'Infos Clientes'!$B38,'Detalhe Por UC'!$R:$R,'Infos Clientes'!AO$2)=0,"",
SUMIFS('Detalhe Por UC'!$AB:$AB,'Detalhe Por UC'!$C:$C,'Infos Clientes'!$B38,'Detalhe Por UC'!$R:$R,'Infos Clientes'!AO$2)
+SUMIFS('Detalhe Por UC'!$AC:$AC,'Detalhe Por UC'!$C:$C,'Infos Clientes'!$B38,'Detalhe Por UC'!$R:$R,'Infos Clientes'!AO$2))</f>
        <v>374</v>
      </c>
      <c r="AP38" s="27">
        <f>IF(SUMIFS('Detalhe Por UC'!$AB:$AB,'Detalhe Por UC'!$C:$C,'Infos Clientes'!$B38,'Detalhe Por UC'!$R:$R,'Infos Clientes'!AP$2)=0,"",
SUMIFS('Detalhe Por UC'!$AB:$AB,'Detalhe Por UC'!$C:$C,'Infos Clientes'!$B38,'Detalhe Por UC'!$R:$R,'Infos Clientes'!AP$2)
+SUMIFS('Detalhe Por UC'!$AC:$AC,'Detalhe Por UC'!$C:$C,'Infos Clientes'!$B38,'Detalhe Por UC'!$R:$R,'Infos Clientes'!AP$2))</f>
        <v>205</v>
      </c>
      <c r="AQ38" s="27">
        <f>IF(SUMIFS('Detalhe Por UC'!$AB:$AB,'Detalhe Por UC'!$C:$C,'Infos Clientes'!$B38,'Detalhe Por UC'!$R:$R,'Infos Clientes'!AQ$2)=0,"",
SUMIFS('Detalhe Por UC'!$AB:$AB,'Detalhe Por UC'!$C:$C,'Infos Clientes'!$B38,'Detalhe Por UC'!$R:$R,'Infos Clientes'!AQ$2)
+SUMIFS('Detalhe Por UC'!$AC:$AC,'Detalhe Por UC'!$C:$C,'Infos Clientes'!$B38,'Detalhe Por UC'!$R:$R,'Infos Clientes'!AQ$2))</f>
        <v>224</v>
      </c>
      <c r="AR38" s="27">
        <f>IF(SUMIFS('Detalhe Por UC'!$AB:$AB,'Detalhe Por UC'!$C:$C,'Infos Clientes'!$B38,'Detalhe Por UC'!$R:$R,'Infos Clientes'!AR$2)=0,"",
SUMIFS('Detalhe Por UC'!$AB:$AB,'Detalhe Por UC'!$C:$C,'Infos Clientes'!$B38,'Detalhe Por UC'!$R:$R,'Infos Clientes'!AR$2)
+SUMIFS('Detalhe Por UC'!$AC:$AC,'Detalhe Por UC'!$C:$C,'Infos Clientes'!$B38,'Detalhe Por UC'!$R:$R,'Infos Clientes'!AR$2))</f>
        <v>226</v>
      </c>
      <c r="AS38" s="27">
        <f>IF(SUMIFS('Detalhe Por UC'!$AB:$AB,'Detalhe Por UC'!$C:$C,'Infos Clientes'!$B38,'Detalhe Por UC'!$R:$R,'Infos Clientes'!AS$2)=0,"",
SUMIFS('Detalhe Por UC'!$AB:$AB,'Detalhe Por UC'!$C:$C,'Infos Clientes'!$B38,'Detalhe Por UC'!$R:$R,'Infos Clientes'!AS$2)
+SUMIFS('Detalhe Por UC'!$AC:$AC,'Detalhe Por UC'!$C:$C,'Infos Clientes'!$B38,'Detalhe Por UC'!$R:$R,'Infos Clientes'!AS$2))</f>
        <v>645</v>
      </c>
      <c r="AT38" s="27">
        <f>IF(SUMIFS('Detalhe Por UC'!$AB:$AB,'Detalhe Por UC'!$C:$C,'Infos Clientes'!$B38,'Detalhe Por UC'!$R:$R,'Infos Clientes'!AT$2)=0,"",
SUMIFS('Detalhe Por UC'!$AB:$AB,'Detalhe Por UC'!$C:$C,'Infos Clientes'!$B38,'Detalhe Por UC'!$R:$R,'Infos Clientes'!AT$2)
+SUMIFS('Detalhe Por UC'!$AC:$AC,'Detalhe Por UC'!$C:$C,'Infos Clientes'!$B38,'Detalhe Por UC'!$R:$R,'Infos Clientes'!AT$2))</f>
        <v>429</v>
      </c>
      <c r="AU38" s="27" t="str">
        <f>IF(SUMIFS('Detalhe Por UC'!$AB:$AB,'Detalhe Por UC'!$C:$C,'Infos Clientes'!$B38,'Detalhe Por UC'!$R:$R,'Infos Clientes'!AU$2)=0,"",
SUMIFS('Detalhe Por UC'!$AB:$AB,'Detalhe Por UC'!$C:$C,'Infos Clientes'!$B38,'Detalhe Por UC'!$R:$R,'Infos Clientes'!AU$2)
+SUMIFS('Detalhe Por UC'!$AC:$AC,'Detalhe Por UC'!$C:$C,'Infos Clientes'!$B38,'Detalhe Por UC'!$R:$R,'Infos Clientes'!AU$2))</f>
        <v/>
      </c>
    </row>
    <row r="39" spans="2:47" x14ac:dyDescent="0.3">
      <c r="B39" t="s">
        <v>119</v>
      </c>
      <c r="C39" s="14">
        <f t="shared" si="1"/>
        <v>39</v>
      </c>
      <c r="D39" t="s">
        <v>19</v>
      </c>
      <c r="E39" s="15">
        <v>302</v>
      </c>
      <c r="F39" t="s">
        <v>20</v>
      </c>
      <c r="G39" t="s">
        <v>107</v>
      </c>
      <c r="H39" s="16" t="s">
        <v>119</v>
      </c>
      <c r="I39" s="17" t="s">
        <v>22</v>
      </c>
      <c r="J39" s="1" t="s">
        <v>28</v>
      </c>
      <c r="K39" s="18" t="s">
        <v>24</v>
      </c>
      <c r="L39" s="18"/>
      <c r="M39" s="19">
        <v>0.25</v>
      </c>
      <c r="N39"/>
      <c r="O39" s="20"/>
      <c r="P39" s="21"/>
      <c r="Q39" s="22">
        <f>IF(_xlfn.MINIFS('Detalhe Por UC'!R:R,'Detalhe Por UC'!C:C,B39,'Detalhe Por UC'!AD:AD,"&gt;"&amp;0)=0,"",_xlfn.MINIFS('Detalhe Por UC'!R:R,'Detalhe Por UC'!C:C,B39,'Detalhe Por UC'!AD:AD,"&gt;"&amp;0))</f>
        <v>45627</v>
      </c>
      <c r="R39" s="23">
        <f>IF(P39&lt;&gt;"ATIVO",0,
IF(OR(Q39="",Q39=0,O39=0),O39,
O39-ROUND((MAX('Detalhe Por UC'!R:R)
-Q39)/(365/12),0)))</f>
        <v>0</v>
      </c>
      <c r="T39" s="5">
        <v>1810.6008333333332</v>
      </c>
      <c r="U39" s="24">
        <f t="shared" si="0"/>
        <v>1737.5558333333331</v>
      </c>
      <c r="W39" s="25">
        <v>3160</v>
      </c>
      <c r="X39" s="25">
        <v>1957.07</v>
      </c>
      <c r="Y39" s="25">
        <v>1942.54</v>
      </c>
      <c r="Z39" s="25">
        <v>1897.87</v>
      </c>
      <c r="AA39" s="25">
        <v>2765.38</v>
      </c>
      <c r="AB39" s="25">
        <v>2021.44</v>
      </c>
      <c r="AC39" s="25">
        <v>1097.17</v>
      </c>
      <c r="AD39" s="26">
        <v>996.67</v>
      </c>
      <c r="AE39" s="25">
        <v>1221.3699999999999</v>
      </c>
      <c r="AF39" s="25">
        <v>1244.98</v>
      </c>
      <c r="AG39" s="25">
        <v>1967.69</v>
      </c>
      <c r="AH39" s="25">
        <v>1746.18</v>
      </c>
      <c r="AI39" s="25">
        <v>2993.72</v>
      </c>
      <c r="AJ39" s="27">
        <f>IF(SUMIFS('Detalhe Por UC'!$AB:$AB,'Detalhe Por UC'!$C:$C,'Infos Clientes'!$B39,'Detalhe Por UC'!$R:$R,'Infos Clientes'!AJ$2)=0,"",
SUMIFS('Detalhe Por UC'!$AB:$AB,'Detalhe Por UC'!$C:$C,'Infos Clientes'!$B39,'Detalhe Por UC'!$R:$R,'Infos Clientes'!AJ$2)
+SUMIFS('Detalhe Por UC'!$AC:$AC,'Detalhe Por UC'!$C:$C,'Infos Clientes'!$B39,'Detalhe Por UC'!$R:$R,'Infos Clientes'!AJ$2))</f>
        <v>1832.2</v>
      </c>
      <c r="AK39" s="27">
        <f>IF(SUMIFS('Detalhe Por UC'!$AB:$AB,'Detalhe Por UC'!$C:$C,'Infos Clientes'!$B39,'Detalhe Por UC'!$R:$R,'Infos Clientes'!AK$2)=0,"",
SUMIFS('Detalhe Por UC'!$AB:$AB,'Detalhe Por UC'!$C:$C,'Infos Clientes'!$B39,'Detalhe Por UC'!$R:$R,'Infos Clientes'!AK$2)
+SUMIFS('Detalhe Por UC'!$AC:$AC,'Detalhe Por UC'!$C:$C,'Infos Clientes'!$B39,'Detalhe Por UC'!$R:$R,'Infos Clientes'!AK$2))</f>
        <v>1810.6</v>
      </c>
      <c r="AL39" s="27">
        <f>IF(SUMIFS('Detalhe Por UC'!$AB:$AB,'Detalhe Por UC'!$C:$C,'Infos Clientes'!$B39,'Detalhe Por UC'!$R:$R,'Infos Clientes'!AL$2)=0,"",
SUMIFS('Detalhe Por UC'!$AB:$AB,'Detalhe Por UC'!$C:$C,'Infos Clientes'!$B39,'Detalhe Por UC'!$R:$R,'Infos Clientes'!AL$2)
+SUMIFS('Detalhe Por UC'!$AC:$AC,'Detalhe Por UC'!$C:$C,'Infos Clientes'!$B39,'Detalhe Por UC'!$R:$R,'Infos Clientes'!AL$2))</f>
        <v>2733.12</v>
      </c>
      <c r="AM39" s="27">
        <f>IF(SUMIFS('Detalhe Por UC'!$AB:$AB,'Detalhe Por UC'!$C:$C,'Infos Clientes'!$B39,'Detalhe Por UC'!$R:$R,'Infos Clientes'!AM$2)=0,"",
SUMIFS('Detalhe Por UC'!$AB:$AB,'Detalhe Por UC'!$C:$C,'Infos Clientes'!$B39,'Detalhe Por UC'!$R:$R,'Infos Clientes'!AM$2)
+SUMIFS('Detalhe Por UC'!$AC:$AC,'Detalhe Por UC'!$C:$C,'Infos Clientes'!$B39,'Detalhe Por UC'!$R:$R,'Infos Clientes'!AM$2))</f>
        <v>2042.68</v>
      </c>
      <c r="AN39" s="27">
        <f>IF(SUMIFS('Detalhe Por UC'!$AB:$AB,'Detalhe Por UC'!$C:$C,'Infos Clientes'!$B39,'Detalhe Por UC'!$R:$R,'Infos Clientes'!AN$2)=0,"",
SUMIFS('Detalhe Por UC'!$AB:$AB,'Detalhe Por UC'!$C:$C,'Infos Clientes'!$B39,'Detalhe Por UC'!$R:$R,'Infos Clientes'!AN$2)
+SUMIFS('Detalhe Por UC'!$AC:$AC,'Detalhe Por UC'!$C:$C,'Infos Clientes'!$B39,'Detalhe Por UC'!$R:$R,'Infos Clientes'!AN$2))</f>
        <v>1738.68</v>
      </c>
      <c r="AO39" s="27">
        <f>IF(SUMIFS('Detalhe Por UC'!$AB:$AB,'Detalhe Por UC'!$C:$C,'Infos Clientes'!$B39,'Detalhe Por UC'!$R:$R,'Infos Clientes'!AO$2)=0,"",
SUMIFS('Detalhe Por UC'!$AB:$AB,'Detalhe Por UC'!$C:$C,'Infos Clientes'!$B39,'Detalhe Por UC'!$R:$R,'Infos Clientes'!AO$2)
+SUMIFS('Detalhe Por UC'!$AC:$AC,'Detalhe Por UC'!$C:$C,'Infos Clientes'!$B39,'Detalhe Por UC'!$R:$R,'Infos Clientes'!AO$2))</f>
        <v>1369.62</v>
      </c>
      <c r="AP39" s="27">
        <f>IF(SUMIFS('Detalhe Por UC'!$AB:$AB,'Detalhe Por UC'!$C:$C,'Infos Clientes'!$B39,'Detalhe Por UC'!$R:$R,'Infos Clientes'!AP$2)=0,"",
SUMIFS('Detalhe Por UC'!$AB:$AB,'Detalhe Por UC'!$C:$C,'Infos Clientes'!$B39,'Detalhe Por UC'!$R:$R,'Infos Clientes'!AP$2)
+SUMIFS('Detalhe Por UC'!$AC:$AC,'Detalhe Por UC'!$C:$C,'Infos Clientes'!$B39,'Detalhe Por UC'!$R:$R,'Infos Clientes'!AP$2))</f>
        <v>559.96</v>
      </c>
      <c r="AQ39" s="27">
        <f>IF(SUMIFS('Detalhe Por UC'!$AB:$AB,'Detalhe Por UC'!$C:$C,'Infos Clientes'!$B39,'Detalhe Por UC'!$R:$R,'Infos Clientes'!AQ$2)=0,"",
SUMIFS('Detalhe Por UC'!$AB:$AB,'Detalhe Por UC'!$C:$C,'Infos Clientes'!$B39,'Detalhe Por UC'!$R:$R,'Infos Clientes'!AQ$2)
+SUMIFS('Detalhe Por UC'!$AC:$AC,'Detalhe Por UC'!$C:$C,'Infos Clientes'!$B39,'Detalhe Por UC'!$R:$R,'Infos Clientes'!AQ$2))</f>
        <v>717.47</v>
      </c>
      <c r="AR39" s="27">
        <f>IF(SUMIFS('Detalhe Por UC'!$AB:$AB,'Detalhe Por UC'!$C:$C,'Infos Clientes'!$B39,'Detalhe Por UC'!$R:$R,'Infos Clientes'!AR$2)=0,"",
SUMIFS('Detalhe Por UC'!$AB:$AB,'Detalhe Por UC'!$C:$C,'Infos Clientes'!$B39,'Detalhe Por UC'!$R:$R,'Infos Clientes'!AR$2)
+SUMIFS('Detalhe Por UC'!$AC:$AC,'Detalhe Por UC'!$C:$C,'Infos Clientes'!$B39,'Detalhe Por UC'!$R:$R,'Infos Clientes'!AR$2))</f>
        <v>865.19</v>
      </c>
      <c r="AS39" s="27">
        <f>IF(SUMIFS('Detalhe Por UC'!$AB:$AB,'Detalhe Por UC'!$C:$C,'Infos Clientes'!$B39,'Detalhe Por UC'!$R:$R,'Infos Clientes'!AS$2)=0,"",
SUMIFS('Detalhe Por UC'!$AB:$AB,'Detalhe Por UC'!$C:$C,'Infos Clientes'!$B39,'Detalhe Por UC'!$R:$R,'Infos Clientes'!AS$2)
+SUMIFS('Detalhe Por UC'!$AC:$AC,'Detalhe Por UC'!$C:$C,'Infos Clientes'!$B39,'Detalhe Por UC'!$R:$R,'Infos Clientes'!AS$2))</f>
        <v>2001.82</v>
      </c>
      <c r="AT39" s="27">
        <f>IF(SUMIFS('Detalhe Por UC'!$AB:$AB,'Detalhe Por UC'!$C:$C,'Infos Clientes'!$B39,'Detalhe Por UC'!$R:$R,'Infos Clientes'!AT$2)=0,"",
SUMIFS('Detalhe Por UC'!$AB:$AB,'Detalhe Por UC'!$C:$C,'Infos Clientes'!$B39,'Detalhe Por UC'!$R:$R,'Infos Clientes'!AT$2)
+SUMIFS('Detalhe Por UC'!$AC:$AC,'Detalhe Por UC'!$C:$C,'Infos Clientes'!$B39,'Detalhe Por UC'!$R:$R,'Infos Clientes'!AT$2))</f>
        <v>2185.61</v>
      </c>
      <c r="AU39" s="27" t="str">
        <f>IF(SUMIFS('Detalhe Por UC'!$AB:$AB,'Detalhe Por UC'!$C:$C,'Infos Clientes'!$B39,'Detalhe Por UC'!$R:$R,'Infos Clientes'!AU$2)=0,"",
SUMIFS('Detalhe Por UC'!$AB:$AB,'Detalhe Por UC'!$C:$C,'Infos Clientes'!$B39,'Detalhe Por UC'!$R:$R,'Infos Clientes'!AU$2)
+SUMIFS('Detalhe Por UC'!$AC:$AC,'Detalhe Por UC'!$C:$C,'Infos Clientes'!$B39,'Detalhe Por UC'!$R:$R,'Infos Clientes'!AU$2))</f>
        <v/>
      </c>
    </row>
    <row r="40" spans="2:47" x14ac:dyDescent="0.3">
      <c r="B40" t="s">
        <v>120</v>
      </c>
      <c r="C40" s="14">
        <f t="shared" si="1"/>
        <v>40</v>
      </c>
      <c r="D40" t="s">
        <v>19</v>
      </c>
      <c r="E40" s="15">
        <v>994</v>
      </c>
      <c r="F40" t="s">
        <v>121</v>
      </c>
      <c r="G40" t="s">
        <v>122</v>
      </c>
      <c r="H40" s="16" t="s">
        <v>120</v>
      </c>
      <c r="I40" s="17" t="s">
        <v>22</v>
      </c>
      <c r="J40" s="1" t="s">
        <v>28</v>
      </c>
      <c r="K40" s="18" t="s">
        <v>24</v>
      </c>
      <c r="L40" s="18"/>
      <c r="M40" s="19">
        <v>0.25</v>
      </c>
      <c r="N40"/>
      <c r="O40" s="20"/>
      <c r="P40" s="21"/>
      <c r="Q40" s="22">
        <f>IF(_xlfn.MINIFS('Detalhe Por UC'!R:R,'Detalhe Por UC'!C:C,B40,'Detalhe Por UC'!AD:AD,"&gt;"&amp;0)=0,"",_xlfn.MINIFS('Detalhe Por UC'!R:R,'Detalhe Por UC'!C:C,B40,'Detalhe Por UC'!AD:AD,"&gt;"&amp;0))</f>
        <v>45627</v>
      </c>
      <c r="R40" s="23">
        <f>IF(P40&lt;&gt;"ATIVO",0,
IF(OR(Q40="",Q40=0,O40=0),O40,
O40-ROUND((MAX('Detalhe Por UC'!R:R)
-Q40)/(365/12),0)))</f>
        <v>0</v>
      </c>
      <c r="T40" s="5">
        <v>350.91666666666669</v>
      </c>
      <c r="U40" s="24">
        <f t="shared" si="0"/>
        <v>318.58333333333331</v>
      </c>
      <c r="W40" s="25">
        <v>317</v>
      </c>
      <c r="X40" s="25">
        <v>411</v>
      </c>
      <c r="Y40" s="25">
        <v>432</v>
      </c>
      <c r="Z40" s="25">
        <v>437</v>
      </c>
      <c r="AA40" s="25">
        <v>512</v>
      </c>
      <c r="AB40" s="25">
        <v>417</v>
      </c>
      <c r="AC40" s="25">
        <v>248</v>
      </c>
      <c r="AD40" s="26">
        <v>253</v>
      </c>
      <c r="AE40" s="25">
        <v>252</v>
      </c>
      <c r="AF40" s="25">
        <v>248</v>
      </c>
      <c r="AG40" s="25">
        <v>300</v>
      </c>
      <c r="AH40" s="25">
        <v>296</v>
      </c>
      <c r="AI40" s="25">
        <v>437</v>
      </c>
      <c r="AJ40" s="27">
        <f>IF(SUMIFS('Detalhe Por UC'!$AB:$AB,'Detalhe Por UC'!$C:$C,'Infos Clientes'!$B40,'Detalhe Por UC'!$R:$R,'Infos Clientes'!AJ$2)=0,"",
SUMIFS('Detalhe Por UC'!$AB:$AB,'Detalhe Por UC'!$C:$C,'Infos Clientes'!$B40,'Detalhe Por UC'!$R:$R,'Infos Clientes'!AJ$2)
+SUMIFS('Detalhe Por UC'!$AC:$AC,'Detalhe Por UC'!$C:$C,'Infos Clientes'!$B40,'Detalhe Por UC'!$R:$R,'Infos Clientes'!AJ$2))</f>
        <v>379</v>
      </c>
      <c r="AK40" s="27">
        <f>IF(SUMIFS('Detalhe Por UC'!$AB:$AB,'Detalhe Por UC'!$C:$C,'Infos Clientes'!$B40,'Detalhe Por UC'!$R:$R,'Infos Clientes'!AK$2)=0,"",
SUMIFS('Detalhe Por UC'!$AB:$AB,'Detalhe Por UC'!$C:$C,'Infos Clientes'!$B40,'Detalhe Por UC'!$R:$R,'Infos Clientes'!AK$2)
+SUMIFS('Detalhe Por UC'!$AC:$AC,'Detalhe Por UC'!$C:$C,'Infos Clientes'!$B40,'Detalhe Por UC'!$R:$R,'Infos Clientes'!AK$2))</f>
        <v>556</v>
      </c>
      <c r="AL40" s="27">
        <f>IF(SUMIFS('Detalhe Por UC'!$AB:$AB,'Detalhe Por UC'!$C:$C,'Infos Clientes'!$B40,'Detalhe Por UC'!$R:$R,'Infos Clientes'!AL$2)=0,"",
SUMIFS('Detalhe Por UC'!$AB:$AB,'Detalhe Por UC'!$C:$C,'Infos Clientes'!$B40,'Detalhe Por UC'!$R:$R,'Infos Clientes'!AL$2)
+SUMIFS('Detalhe Por UC'!$AC:$AC,'Detalhe Por UC'!$C:$C,'Infos Clientes'!$B40,'Detalhe Por UC'!$R:$R,'Infos Clientes'!AL$2))</f>
        <v>531</v>
      </c>
      <c r="AM40" s="27">
        <f>IF(SUMIFS('Detalhe Por UC'!$AB:$AB,'Detalhe Por UC'!$C:$C,'Infos Clientes'!$B40,'Detalhe Por UC'!$R:$R,'Infos Clientes'!AM$2)=0,"",
SUMIFS('Detalhe Por UC'!$AB:$AB,'Detalhe Por UC'!$C:$C,'Infos Clientes'!$B40,'Detalhe Por UC'!$R:$R,'Infos Clientes'!AM$2)
+SUMIFS('Detalhe Por UC'!$AC:$AC,'Detalhe Por UC'!$C:$C,'Infos Clientes'!$B40,'Detalhe Por UC'!$R:$R,'Infos Clientes'!AM$2))</f>
        <v>342</v>
      </c>
      <c r="AN40" s="27">
        <f>IF(SUMIFS('Detalhe Por UC'!$AB:$AB,'Detalhe Por UC'!$C:$C,'Infos Clientes'!$B40,'Detalhe Por UC'!$R:$R,'Infos Clientes'!AN$2)=0,"",
SUMIFS('Detalhe Por UC'!$AB:$AB,'Detalhe Por UC'!$C:$C,'Infos Clientes'!$B40,'Detalhe Por UC'!$R:$R,'Infos Clientes'!AN$2)
+SUMIFS('Detalhe Por UC'!$AC:$AC,'Detalhe Por UC'!$C:$C,'Infos Clientes'!$B40,'Detalhe Por UC'!$R:$R,'Infos Clientes'!AN$2))</f>
        <v>224</v>
      </c>
      <c r="AO40" s="27">
        <f>IF(SUMIFS('Detalhe Por UC'!$AB:$AB,'Detalhe Por UC'!$C:$C,'Infos Clientes'!$B40,'Detalhe Por UC'!$R:$R,'Infos Clientes'!AO$2)=0,"",
SUMIFS('Detalhe Por UC'!$AB:$AB,'Detalhe Por UC'!$C:$C,'Infos Clientes'!$B40,'Detalhe Por UC'!$R:$R,'Infos Clientes'!AO$2)
+SUMIFS('Detalhe Por UC'!$AC:$AC,'Detalhe Por UC'!$C:$C,'Infos Clientes'!$B40,'Detalhe Por UC'!$R:$R,'Infos Clientes'!AO$2))</f>
        <v>225</v>
      </c>
      <c r="AP40" s="27">
        <f>IF(SUMIFS('Detalhe Por UC'!$AB:$AB,'Detalhe Por UC'!$C:$C,'Infos Clientes'!$B40,'Detalhe Por UC'!$R:$R,'Infos Clientes'!AP$2)=0,"",
SUMIFS('Detalhe Por UC'!$AB:$AB,'Detalhe Por UC'!$C:$C,'Infos Clientes'!$B40,'Detalhe Por UC'!$R:$R,'Infos Clientes'!AP$2)
+SUMIFS('Detalhe Por UC'!$AC:$AC,'Detalhe Por UC'!$C:$C,'Infos Clientes'!$B40,'Detalhe Por UC'!$R:$R,'Infos Clientes'!AP$2))</f>
        <v>188</v>
      </c>
      <c r="AQ40" s="27">
        <f>IF(SUMIFS('Detalhe Por UC'!$AB:$AB,'Detalhe Por UC'!$C:$C,'Infos Clientes'!$B40,'Detalhe Por UC'!$R:$R,'Infos Clientes'!AQ$2)=0,"",
SUMIFS('Detalhe Por UC'!$AB:$AB,'Detalhe Por UC'!$C:$C,'Infos Clientes'!$B40,'Detalhe Por UC'!$R:$R,'Infos Clientes'!AQ$2)
+SUMIFS('Detalhe Por UC'!$AC:$AC,'Detalhe Por UC'!$C:$C,'Infos Clientes'!$B40,'Detalhe Por UC'!$R:$R,'Infos Clientes'!AQ$2))</f>
        <v>170</v>
      </c>
      <c r="AR40" s="27">
        <f>IF(SUMIFS('Detalhe Por UC'!$AB:$AB,'Detalhe Por UC'!$C:$C,'Infos Clientes'!$B40,'Detalhe Por UC'!$R:$R,'Infos Clientes'!AR$2)=0,"",
SUMIFS('Detalhe Por UC'!$AB:$AB,'Detalhe Por UC'!$C:$C,'Infos Clientes'!$B40,'Detalhe Por UC'!$R:$R,'Infos Clientes'!AR$2)
+SUMIFS('Detalhe Por UC'!$AC:$AC,'Detalhe Por UC'!$C:$C,'Infos Clientes'!$B40,'Detalhe Por UC'!$R:$R,'Infos Clientes'!AR$2))</f>
        <v>236</v>
      </c>
      <c r="AS40" s="27">
        <f>IF(SUMIFS('Detalhe Por UC'!$AB:$AB,'Detalhe Por UC'!$C:$C,'Infos Clientes'!$B40,'Detalhe Por UC'!$R:$R,'Infos Clientes'!AS$2)=0,"",
SUMIFS('Detalhe Por UC'!$AB:$AB,'Detalhe Por UC'!$C:$C,'Infos Clientes'!$B40,'Detalhe Por UC'!$R:$R,'Infos Clientes'!AS$2)
+SUMIFS('Detalhe Por UC'!$AC:$AC,'Detalhe Por UC'!$C:$C,'Infos Clientes'!$B40,'Detalhe Por UC'!$R:$R,'Infos Clientes'!AS$2))</f>
        <v>253</v>
      </c>
      <c r="AT40" s="27">
        <f>IF(SUMIFS('Detalhe Por UC'!$AB:$AB,'Detalhe Por UC'!$C:$C,'Infos Clientes'!$B40,'Detalhe Por UC'!$R:$R,'Infos Clientes'!AT$2)=0,"",
SUMIFS('Detalhe Por UC'!$AB:$AB,'Detalhe Por UC'!$C:$C,'Infos Clientes'!$B40,'Detalhe Por UC'!$R:$R,'Infos Clientes'!AT$2)
+SUMIFS('Detalhe Por UC'!$AC:$AC,'Detalhe Por UC'!$C:$C,'Infos Clientes'!$B40,'Detalhe Por UC'!$R:$R,'Infos Clientes'!AT$2))</f>
        <v>282</v>
      </c>
      <c r="AU40" s="27" t="str">
        <f>IF(SUMIFS('Detalhe Por UC'!$AB:$AB,'Detalhe Por UC'!$C:$C,'Infos Clientes'!$B40,'Detalhe Por UC'!$R:$R,'Infos Clientes'!AU$2)=0,"",
SUMIFS('Detalhe Por UC'!$AB:$AB,'Detalhe Por UC'!$C:$C,'Infos Clientes'!$B40,'Detalhe Por UC'!$R:$R,'Infos Clientes'!AU$2)
+SUMIFS('Detalhe Por UC'!$AC:$AC,'Detalhe Por UC'!$C:$C,'Infos Clientes'!$B40,'Detalhe Por UC'!$R:$R,'Infos Clientes'!AU$2))</f>
        <v/>
      </c>
    </row>
    <row r="41" spans="2:47" x14ac:dyDescent="0.3">
      <c r="B41" t="s">
        <v>123</v>
      </c>
      <c r="C41" s="14">
        <f t="shared" si="1"/>
        <v>41</v>
      </c>
      <c r="D41" t="s">
        <v>19</v>
      </c>
      <c r="E41" s="15">
        <v>351</v>
      </c>
      <c r="F41" t="s">
        <v>124</v>
      </c>
      <c r="G41" t="s">
        <v>125</v>
      </c>
      <c r="H41" s="16" t="s">
        <v>123</v>
      </c>
      <c r="I41" s="17" t="s">
        <v>22</v>
      </c>
      <c r="J41" s="1" t="s">
        <v>28</v>
      </c>
      <c r="K41" s="18" t="s">
        <v>24</v>
      </c>
      <c r="L41" s="18"/>
      <c r="M41" s="19">
        <v>0.25</v>
      </c>
      <c r="N41"/>
      <c r="O41" s="20"/>
      <c r="P41" s="21"/>
      <c r="Q41" s="22">
        <f>IF(_xlfn.MINIFS('Detalhe Por UC'!R:R,'Detalhe Por UC'!C:C,B41,'Detalhe Por UC'!AD:AD,"&gt;"&amp;0)=0,"",_xlfn.MINIFS('Detalhe Por UC'!R:R,'Detalhe Por UC'!C:C,B41,'Detalhe Por UC'!AD:AD,"&gt;"&amp;0))</f>
        <v>45627</v>
      </c>
      <c r="R41" s="23">
        <f>IF(P41&lt;&gt;"ATIVO",0,
IF(OR(Q41="",Q41=0,O41=0),O41,
O41-ROUND((MAX('Detalhe Por UC'!R:R)
-Q41)/(365/12),0)))</f>
        <v>0</v>
      </c>
      <c r="T41" s="5">
        <v>409.33333333333331</v>
      </c>
      <c r="U41" s="24">
        <f t="shared" si="0"/>
        <v>384.33333333333331</v>
      </c>
      <c r="W41" s="25">
        <v>337</v>
      </c>
      <c r="X41" s="25">
        <v>410</v>
      </c>
      <c r="Y41" s="25">
        <v>397</v>
      </c>
      <c r="Z41" s="25">
        <v>484</v>
      </c>
      <c r="AA41" s="25">
        <v>452</v>
      </c>
      <c r="AB41" s="25">
        <v>412</v>
      </c>
      <c r="AC41" s="25">
        <v>322</v>
      </c>
      <c r="AD41" s="26">
        <v>272</v>
      </c>
      <c r="AE41" s="25">
        <v>365</v>
      </c>
      <c r="AF41" s="25">
        <v>387</v>
      </c>
      <c r="AG41" s="25">
        <v>470</v>
      </c>
      <c r="AH41" s="25">
        <v>444</v>
      </c>
      <c r="AI41" s="25">
        <v>472</v>
      </c>
      <c r="AJ41" s="27">
        <f>IF(SUMIFS('Detalhe Por UC'!$AB:$AB,'Detalhe Por UC'!$C:$C,'Infos Clientes'!$B41,'Detalhe Por UC'!$R:$R,'Infos Clientes'!AJ$2)=0,"",
SUMIFS('Detalhe Por UC'!$AB:$AB,'Detalhe Por UC'!$C:$C,'Infos Clientes'!$B41,'Detalhe Por UC'!$R:$R,'Infos Clientes'!AJ$2)
+SUMIFS('Detalhe Por UC'!$AC:$AC,'Detalhe Por UC'!$C:$C,'Infos Clientes'!$B41,'Detalhe Por UC'!$R:$R,'Infos Clientes'!AJ$2))</f>
        <v>435</v>
      </c>
      <c r="AK41" s="27">
        <f>IF(SUMIFS('Detalhe Por UC'!$AB:$AB,'Detalhe Por UC'!$C:$C,'Infos Clientes'!$B41,'Detalhe Por UC'!$R:$R,'Infos Clientes'!AK$2)=0,"",
SUMIFS('Detalhe Por UC'!$AB:$AB,'Detalhe Por UC'!$C:$C,'Infos Clientes'!$B41,'Detalhe Por UC'!$R:$R,'Infos Clientes'!AK$2)
+SUMIFS('Detalhe Por UC'!$AC:$AC,'Detalhe Por UC'!$C:$C,'Infos Clientes'!$B41,'Detalhe Por UC'!$R:$R,'Infos Clientes'!AK$2))</f>
        <v>411</v>
      </c>
      <c r="AL41" s="27">
        <f>IF(SUMIFS('Detalhe Por UC'!$AB:$AB,'Detalhe Por UC'!$C:$C,'Infos Clientes'!$B41,'Detalhe Por UC'!$R:$R,'Infos Clientes'!AL$2)=0,"",
SUMIFS('Detalhe Por UC'!$AB:$AB,'Detalhe Por UC'!$C:$C,'Infos Clientes'!$B41,'Detalhe Por UC'!$R:$R,'Infos Clientes'!AL$2)
+SUMIFS('Detalhe Por UC'!$AC:$AC,'Detalhe Por UC'!$C:$C,'Infos Clientes'!$B41,'Detalhe Por UC'!$R:$R,'Infos Clientes'!AL$2))</f>
        <v>488</v>
      </c>
      <c r="AM41" s="27">
        <f>IF(SUMIFS('Detalhe Por UC'!$AB:$AB,'Detalhe Por UC'!$C:$C,'Infos Clientes'!$B41,'Detalhe Por UC'!$R:$R,'Infos Clientes'!AM$2)=0,"",
SUMIFS('Detalhe Por UC'!$AB:$AB,'Detalhe Por UC'!$C:$C,'Infos Clientes'!$B41,'Detalhe Por UC'!$R:$R,'Infos Clientes'!AM$2)
+SUMIFS('Detalhe Por UC'!$AC:$AC,'Detalhe Por UC'!$C:$C,'Infos Clientes'!$B41,'Detalhe Por UC'!$R:$R,'Infos Clientes'!AM$2))</f>
        <v>384</v>
      </c>
      <c r="AN41" s="27">
        <f>IF(SUMIFS('Detalhe Por UC'!$AB:$AB,'Detalhe Por UC'!$C:$C,'Infos Clientes'!$B41,'Detalhe Por UC'!$R:$R,'Infos Clientes'!AN$2)=0,"",
SUMIFS('Detalhe Por UC'!$AB:$AB,'Detalhe Por UC'!$C:$C,'Infos Clientes'!$B41,'Detalhe Por UC'!$R:$R,'Infos Clientes'!AN$2)
+SUMIFS('Detalhe Por UC'!$AC:$AC,'Detalhe Por UC'!$C:$C,'Infos Clientes'!$B41,'Detalhe Por UC'!$R:$R,'Infos Clientes'!AN$2))</f>
        <v>361</v>
      </c>
      <c r="AO41" s="27">
        <f>IF(SUMIFS('Detalhe Por UC'!$AB:$AB,'Detalhe Por UC'!$C:$C,'Infos Clientes'!$B41,'Detalhe Por UC'!$R:$R,'Infos Clientes'!AO$2)=0,"",
SUMIFS('Detalhe Por UC'!$AB:$AB,'Detalhe Por UC'!$C:$C,'Infos Clientes'!$B41,'Detalhe Por UC'!$R:$R,'Infos Clientes'!AO$2)
+SUMIFS('Detalhe Por UC'!$AC:$AC,'Detalhe Por UC'!$C:$C,'Infos Clientes'!$B41,'Detalhe Por UC'!$R:$R,'Infos Clientes'!AO$2))</f>
        <v>295</v>
      </c>
      <c r="AP41" s="27">
        <f>IF(SUMIFS('Detalhe Por UC'!$AB:$AB,'Detalhe Por UC'!$C:$C,'Infos Clientes'!$B41,'Detalhe Por UC'!$R:$R,'Infos Clientes'!AP$2)=0,"",
SUMIFS('Detalhe Por UC'!$AB:$AB,'Detalhe Por UC'!$C:$C,'Infos Clientes'!$B41,'Detalhe Por UC'!$R:$R,'Infos Clientes'!AP$2)
+SUMIFS('Detalhe Por UC'!$AC:$AC,'Detalhe Por UC'!$C:$C,'Infos Clientes'!$B41,'Detalhe Por UC'!$R:$R,'Infos Clientes'!AP$2))</f>
        <v>284</v>
      </c>
      <c r="AQ41" s="27">
        <f>IF(SUMIFS('Detalhe Por UC'!$AB:$AB,'Detalhe Por UC'!$C:$C,'Infos Clientes'!$B41,'Detalhe Por UC'!$R:$R,'Infos Clientes'!AQ$2)=0,"",
SUMIFS('Detalhe Por UC'!$AB:$AB,'Detalhe Por UC'!$C:$C,'Infos Clientes'!$B41,'Detalhe Por UC'!$R:$R,'Infos Clientes'!AQ$2)
+SUMIFS('Detalhe Por UC'!$AC:$AC,'Detalhe Por UC'!$C:$C,'Infos Clientes'!$B41,'Detalhe Por UC'!$R:$R,'Infos Clientes'!AQ$2))</f>
        <v>309</v>
      </c>
      <c r="AR41" s="27">
        <f>IF(SUMIFS('Detalhe Por UC'!$AB:$AB,'Detalhe Por UC'!$C:$C,'Infos Clientes'!$B41,'Detalhe Por UC'!$R:$R,'Infos Clientes'!AR$2)=0,"",
SUMIFS('Detalhe Por UC'!$AB:$AB,'Detalhe Por UC'!$C:$C,'Infos Clientes'!$B41,'Detalhe Por UC'!$R:$R,'Infos Clientes'!AR$2)
+SUMIFS('Detalhe Por UC'!$AC:$AC,'Detalhe Por UC'!$C:$C,'Infos Clientes'!$B41,'Detalhe Por UC'!$R:$R,'Infos Clientes'!AR$2))</f>
        <v>389</v>
      </c>
      <c r="AS41" s="27">
        <f>IF(SUMIFS('Detalhe Por UC'!$AB:$AB,'Detalhe Por UC'!$C:$C,'Infos Clientes'!$B41,'Detalhe Por UC'!$R:$R,'Infos Clientes'!AS$2)=0,"",
SUMIFS('Detalhe Por UC'!$AB:$AB,'Detalhe Por UC'!$C:$C,'Infos Clientes'!$B41,'Detalhe Por UC'!$R:$R,'Infos Clientes'!AS$2)
+SUMIFS('Detalhe Por UC'!$AC:$AC,'Detalhe Por UC'!$C:$C,'Infos Clientes'!$B41,'Detalhe Por UC'!$R:$R,'Infos Clientes'!AS$2))</f>
        <v>411</v>
      </c>
      <c r="AT41" s="27">
        <f>IF(SUMIFS('Detalhe Por UC'!$AB:$AB,'Detalhe Por UC'!$C:$C,'Infos Clientes'!$B41,'Detalhe Por UC'!$R:$R,'Infos Clientes'!AT$2)=0,"",
SUMIFS('Detalhe Por UC'!$AB:$AB,'Detalhe Por UC'!$C:$C,'Infos Clientes'!$B41,'Detalhe Por UC'!$R:$R,'Infos Clientes'!AT$2)
+SUMIFS('Detalhe Por UC'!$AC:$AC,'Detalhe Por UC'!$C:$C,'Infos Clientes'!$B41,'Detalhe Por UC'!$R:$R,'Infos Clientes'!AT$2))</f>
        <v>373</v>
      </c>
      <c r="AU41" s="27" t="str">
        <f>IF(SUMIFS('Detalhe Por UC'!$AB:$AB,'Detalhe Por UC'!$C:$C,'Infos Clientes'!$B41,'Detalhe Por UC'!$R:$R,'Infos Clientes'!AU$2)=0,"",
SUMIFS('Detalhe Por UC'!$AB:$AB,'Detalhe Por UC'!$C:$C,'Infos Clientes'!$B41,'Detalhe Por UC'!$R:$R,'Infos Clientes'!AU$2)
+SUMIFS('Detalhe Por UC'!$AC:$AC,'Detalhe Por UC'!$C:$C,'Infos Clientes'!$B41,'Detalhe Por UC'!$R:$R,'Infos Clientes'!AU$2))</f>
        <v/>
      </c>
    </row>
    <row r="42" spans="2:47" x14ac:dyDescent="0.3">
      <c r="B42" t="s">
        <v>126</v>
      </c>
      <c r="C42" s="14">
        <f t="shared" si="1"/>
        <v>42</v>
      </c>
      <c r="D42" t="s">
        <v>19</v>
      </c>
      <c r="E42" s="15">
        <v>994</v>
      </c>
      <c r="F42" t="s">
        <v>127</v>
      </c>
      <c r="G42" t="s">
        <v>128</v>
      </c>
      <c r="H42" s="16" t="s">
        <v>126</v>
      </c>
      <c r="I42" s="17" t="s">
        <v>22</v>
      </c>
      <c r="J42" s="1" t="s">
        <v>28</v>
      </c>
      <c r="K42" s="18" t="s">
        <v>24</v>
      </c>
      <c r="L42" s="18"/>
      <c r="M42" s="19">
        <v>0.25</v>
      </c>
      <c r="N42"/>
      <c r="O42" s="20"/>
      <c r="P42" s="21"/>
      <c r="Q42" s="22">
        <f>IF(_xlfn.MINIFS('Detalhe Por UC'!R:R,'Detalhe Por UC'!C:C,B42,'Detalhe Por UC'!AD:AD,"&gt;"&amp;0)=0,"",_xlfn.MINIFS('Detalhe Por UC'!R:R,'Detalhe Por UC'!C:C,B42,'Detalhe Por UC'!AD:AD,"&gt;"&amp;0))</f>
        <v>45627</v>
      </c>
      <c r="R42" s="23">
        <f>IF(P42&lt;&gt;"ATIVO",0,
IF(OR(Q42="",Q42=0,O42=0),O42,
O42-ROUND((MAX('Detalhe Por UC'!R:R)
-Q42)/(365/12),0)))</f>
        <v>0</v>
      </c>
      <c r="T42" s="5">
        <v>274.25</v>
      </c>
      <c r="U42" s="24">
        <f t="shared" si="0"/>
        <v>322.5</v>
      </c>
      <c r="W42" s="25">
        <v>243</v>
      </c>
      <c r="X42" s="25">
        <v>305</v>
      </c>
      <c r="Y42" s="25">
        <v>277</v>
      </c>
      <c r="Z42" s="25">
        <v>325</v>
      </c>
      <c r="AA42" s="25">
        <v>311</v>
      </c>
      <c r="AB42" s="25">
        <v>300</v>
      </c>
      <c r="AC42" s="25">
        <v>245</v>
      </c>
      <c r="AD42" s="26">
        <v>234</v>
      </c>
      <c r="AE42" s="25">
        <v>202</v>
      </c>
      <c r="AF42" s="25">
        <v>227</v>
      </c>
      <c r="AG42" s="25">
        <v>268</v>
      </c>
      <c r="AH42" s="25">
        <v>252</v>
      </c>
      <c r="AI42" s="25">
        <v>280</v>
      </c>
      <c r="AJ42" s="27">
        <f>IF(SUMIFS('Detalhe Por UC'!$AB:$AB,'Detalhe Por UC'!$C:$C,'Infos Clientes'!$B42,'Detalhe Por UC'!$R:$R,'Infos Clientes'!AJ$2)=0,"",
SUMIFS('Detalhe Por UC'!$AB:$AB,'Detalhe Por UC'!$C:$C,'Infos Clientes'!$B42,'Detalhe Por UC'!$R:$R,'Infos Clientes'!AJ$2)
+SUMIFS('Detalhe Por UC'!$AC:$AC,'Detalhe Por UC'!$C:$C,'Infos Clientes'!$B42,'Detalhe Por UC'!$R:$R,'Infos Clientes'!AJ$2))</f>
        <v>370</v>
      </c>
      <c r="AK42" s="27">
        <f>IF(SUMIFS('Detalhe Por UC'!$AB:$AB,'Detalhe Por UC'!$C:$C,'Infos Clientes'!$B42,'Detalhe Por UC'!$R:$R,'Infos Clientes'!AK$2)=0,"",
SUMIFS('Detalhe Por UC'!$AB:$AB,'Detalhe Por UC'!$C:$C,'Infos Clientes'!$B42,'Detalhe Por UC'!$R:$R,'Infos Clientes'!AK$2)
+SUMIFS('Detalhe Por UC'!$AC:$AC,'Detalhe Por UC'!$C:$C,'Infos Clientes'!$B42,'Detalhe Por UC'!$R:$R,'Infos Clientes'!AK$2))</f>
        <v>361</v>
      </c>
      <c r="AL42" s="27">
        <f>IF(SUMIFS('Detalhe Por UC'!$AB:$AB,'Detalhe Por UC'!$C:$C,'Infos Clientes'!$B42,'Detalhe Por UC'!$R:$R,'Infos Clientes'!AL$2)=0,"",
SUMIFS('Detalhe Por UC'!$AB:$AB,'Detalhe Por UC'!$C:$C,'Infos Clientes'!$B42,'Detalhe Por UC'!$R:$R,'Infos Clientes'!AL$2)
+SUMIFS('Detalhe Por UC'!$AC:$AC,'Detalhe Por UC'!$C:$C,'Infos Clientes'!$B42,'Detalhe Por UC'!$R:$R,'Infos Clientes'!AL$2))</f>
        <v>412</v>
      </c>
      <c r="AM42" s="27">
        <f>IF(SUMIFS('Detalhe Por UC'!$AB:$AB,'Detalhe Por UC'!$C:$C,'Infos Clientes'!$B42,'Detalhe Por UC'!$R:$R,'Infos Clientes'!AM$2)=0,"",
SUMIFS('Detalhe Por UC'!$AB:$AB,'Detalhe Por UC'!$C:$C,'Infos Clientes'!$B42,'Detalhe Por UC'!$R:$R,'Infos Clientes'!AM$2)
+SUMIFS('Detalhe Por UC'!$AC:$AC,'Detalhe Por UC'!$C:$C,'Infos Clientes'!$B42,'Detalhe Por UC'!$R:$R,'Infos Clientes'!AM$2))</f>
        <v>345</v>
      </c>
      <c r="AN42" s="27">
        <f>IF(SUMIFS('Detalhe Por UC'!$AB:$AB,'Detalhe Por UC'!$C:$C,'Infos Clientes'!$B42,'Detalhe Por UC'!$R:$R,'Infos Clientes'!AN$2)=0,"",
SUMIFS('Detalhe Por UC'!$AB:$AB,'Detalhe Por UC'!$C:$C,'Infos Clientes'!$B42,'Detalhe Por UC'!$R:$R,'Infos Clientes'!AN$2)
+SUMIFS('Detalhe Por UC'!$AC:$AC,'Detalhe Por UC'!$C:$C,'Infos Clientes'!$B42,'Detalhe Por UC'!$R:$R,'Infos Clientes'!AN$2))</f>
        <v>392</v>
      </c>
      <c r="AO42" s="27">
        <f>IF(SUMIFS('Detalhe Por UC'!$AB:$AB,'Detalhe Por UC'!$C:$C,'Infos Clientes'!$B42,'Detalhe Por UC'!$R:$R,'Infos Clientes'!AO$2)=0,"",
SUMIFS('Detalhe Por UC'!$AB:$AB,'Detalhe Por UC'!$C:$C,'Infos Clientes'!$B42,'Detalhe Por UC'!$R:$R,'Infos Clientes'!AO$2)
+SUMIFS('Detalhe Por UC'!$AC:$AC,'Detalhe Por UC'!$C:$C,'Infos Clientes'!$B42,'Detalhe Por UC'!$R:$R,'Infos Clientes'!AO$2))</f>
        <v>348</v>
      </c>
      <c r="AP42" s="27">
        <f>IF(SUMIFS('Detalhe Por UC'!$AB:$AB,'Detalhe Por UC'!$C:$C,'Infos Clientes'!$B42,'Detalhe Por UC'!$R:$R,'Infos Clientes'!AP$2)=0,"",
SUMIFS('Detalhe Por UC'!$AB:$AB,'Detalhe Por UC'!$C:$C,'Infos Clientes'!$B42,'Detalhe Por UC'!$R:$R,'Infos Clientes'!AP$2)
+SUMIFS('Detalhe Por UC'!$AC:$AC,'Detalhe Por UC'!$C:$C,'Infos Clientes'!$B42,'Detalhe Por UC'!$R:$R,'Infos Clientes'!AP$2))</f>
        <v>270</v>
      </c>
      <c r="AQ42" s="27">
        <f>IF(SUMIFS('Detalhe Por UC'!$AB:$AB,'Detalhe Por UC'!$C:$C,'Infos Clientes'!$B42,'Detalhe Por UC'!$R:$R,'Infos Clientes'!AQ$2)=0,"",
SUMIFS('Detalhe Por UC'!$AB:$AB,'Detalhe Por UC'!$C:$C,'Infos Clientes'!$B42,'Detalhe Por UC'!$R:$R,'Infos Clientes'!AQ$2)
+SUMIFS('Detalhe Por UC'!$AC:$AC,'Detalhe Por UC'!$C:$C,'Infos Clientes'!$B42,'Detalhe Por UC'!$R:$R,'Infos Clientes'!AQ$2))</f>
        <v>288</v>
      </c>
      <c r="AR42" s="27">
        <f>IF(SUMIFS('Detalhe Por UC'!$AB:$AB,'Detalhe Por UC'!$C:$C,'Infos Clientes'!$B42,'Detalhe Por UC'!$R:$R,'Infos Clientes'!AR$2)=0,"",
SUMIFS('Detalhe Por UC'!$AB:$AB,'Detalhe Por UC'!$C:$C,'Infos Clientes'!$B42,'Detalhe Por UC'!$R:$R,'Infos Clientes'!AR$2)
+SUMIFS('Detalhe Por UC'!$AC:$AC,'Detalhe Por UC'!$C:$C,'Infos Clientes'!$B42,'Detalhe Por UC'!$R:$R,'Infos Clientes'!AR$2))</f>
        <v>261</v>
      </c>
      <c r="AS42" s="27">
        <f>IF(SUMIFS('Detalhe Por UC'!$AB:$AB,'Detalhe Por UC'!$C:$C,'Infos Clientes'!$B42,'Detalhe Por UC'!$R:$R,'Infos Clientes'!AS$2)=0,"",
SUMIFS('Detalhe Por UC'!$AB:$AB,'Detalhe Por UC'!$C:$C,'Infos Clientes'!$B42,'Detalhe Por UC'!$R:$R,'Infos Clientes'!AS$2)
+SUMIFS('Detalhe Por UC'!$AC:$AC,'Detalhe Por UC'!$C:$C,'Infos Clientes'!$B42,'Detalhe Por UC'!$R:$R,'Infos Clientes'!AS$2))</f>
        <v>249</v>
      </c>
      <c r="AT42" s="27">
        <f>IF(SUMIFS('Detalhe Por UC'!$AB:$AB,'Detalhe Por UC'!$C:$C,'Infos Clientes'!$B42,'Detalhe Por UC'!$R:$R,'Infos Clientes'!AT$2)=0,"",
SUMIFS('Detalhe Por UC'!$AB:$AB,'Detalhe Por UC'!$C:$C,'Infos Clientes'!$B42,'Detalhe Por UC'!$R:$R,'Infos Clientes'!AT$2)
+SUMIFS('Detalhe Por UC'!$AC:$AC,'Detalhe Por UC'!$C:$C,'Infos Clientes'!$B42,'Detalhe Por UC'!$R:$R,'Infos Clientes'!AT$2))</f>
        <v>294</v>
      </c>
      <c r="AU42" s="27" t="str">
        <f>IF(SUMIFS('Detalhe Por UC'!$AB:$AB,'Detalhe Por UC'!$C:$C,'Infos Clientes'!$B42,'Detalhe Por UC'!$R:$R,'Infos Clientes'!AU$2)=0,"",
SUMIFS('Detalhe Por UC'!$AB:$AB,'Detalhe Por UC'!$C:$C,'Infos Clientes'!$B42,'Detalhe Por UC'!$R:$R,'Infos Clientes'!AU$2)
+SUMIFS('Detalhe Por UC'!$AC:$AC,'Detalhe Por UC'!$C:$C,'Infos Clientes'!$B42,'Detalhe Por UC'!$R:$R,'Infos Clientes'!AU$2))</f>
        <v/>
      </c>
    </row>
    <row r="43" spans="2:47" x14ac:dyDescent="0.3">
      <c r="B43" t="s">
        <v>129</v>
      </c>
      <c r="C43" s="14">
        <f t="shared" si="1"/>
        <v>43</v>
      </c>
      <c r="D43" t="s">
        <v>19</v>
      </c>
      <c r="E43" s="15">
        <v>358</v>
      </c>
      <c r="F43" t="s">
        <v>130</v>
      </c>
      <c r="G43" t="s">
        <v>131</v>
      </c>
      <c r="H43" s="16" t="s">
        <v>129</v>
      </c>
      <c r="I43" s="17" t="s">
        <v>22</v>
      </c>
      <c r="J43" s="1" t="s">
        <v>28</v>
      </c>
      <c r="K43" s="18" t="s">
        <v>24</v>
      </c>
      <c r="L43" s="18"/>
      <c r="M43" s="19">
        <v>0.25</v>
      </c>
      <c r="N43"/>
      <c r="O43" s="20"/>
      <c r="P43" s="21"/>
      <c r="Q43" s="22">
        <f>IF(_xlfn.MINIFS('Detalhe Por UC'!R:R,'Detalhe Por UC'!C:C,B43,'Detalhe Por UC'!AD:AD,"&gt;"&amp;0)=0,"",_xlfn.MINIFS('Detalhe Por UC'!R:R,'Detalhe Por UC'!C:C,B43,'Detalhe Por UC'!AD:AD,"&gt;"&amp;0))</f>
        <v>45627</v>
      </c>
      <c r="R43" s="23">
        <f>IF(P43&lt;&gt;"ATIVO",0,
IF(OR(Q43="",Q43=0,O43=0),O43,
O43-ROUND((MAX('Detalhe Por UC'!R:R)
-Q43)/(365/12),0)))</f>
        <v>0</v>
      </c>
      <c r="T43" s="5">
        <v>123.5</v>
      </c>
      <c r="U43" s="24">
        <f t="shared" si="0"/>
        <v>147.09090909090909</v>
      </c>
      <c r="W43" s="25">
        <v>148</v>
      </c>
      <c r="X43" s="25">
        <v>145</v>
      </c>
      <c r="Y43" s="25">
        <v>151</v>
      </c>
      <c r="Z43" s="25">
        <v>176</v>
      </c>
      <c r="AA43" s="25">
        <v>185</v>
      </c>
      <c r="AB43" s="25">
        <v>144</v>
      </c>
      <c r="AC43" s="25">
        <v>88</v>
      </c>
      <c r="AD43" s="26">
        <v>83</v>
      </c>
      <c r="AE43" s="25">
        <v>116</v>
      </c>
      <c r="AF43" s="25">
        <v>75</v>
      </c>
      <c r="AG43" s="25">
        <v>97</v>
      </c>
      <c r="AH43" s="25">
        <v>120</v>
      </c>
      <c r="AI43" s="25">
        <v>135</v>
      </c>
      <c r="AJ43" s="27">
        <f>IF(SUMIFS('Detalhe Por UC'!$AB:$AB,'Detalhe Por UC'!$C:$C,'Infos Clientes'!$B43,'Detalhe Por UC'!$R:$R,'Infos Clientes'!AJ$2)=0,"",
SUMIFS('Detalhe Por UC'!$AB:$AB,'Detalhe Por UC'!$C:$C,'Infos Clientes'!$B43,'Detalhe Por UC'!$R:$R,'Infos Clientes'!AJ$2)
+SUMIFS('Detalhe Por UC'!$AC:$AC,'Detalhe Por UC'!$C:$C,'Infos Clientes'!$B43,'Detalhe Por UC'!$R:$R,'Infos Clientes'!AJ$2))</f>
        <v>112</v>
      </c>
      <c r="AK43" s="27">
        <f>IF(SUMIFS('Detalhe Por UC'!$AB:$AB,'Detalhe Por UC'!$C:$C,'Infos Clientes'!$B43,'Detalhe Por UC'!$R:$R,'Infos Clientes'!AK$2)=0,"",
SUMIFS('Detalhe Por UC'!$AB:$AB,'Detalhe Por UC'!$C:$C,'Infos Clientes'!$B43,'Detalhe Por UC'!$R:$R,'Infos Clientes'!AK$2)
+SUMIFS('Detalhe Por UC'!$AC:$AC,'Detalhe Por UC'!$C:$C,'Infos Clientes'!$B43,'Detalhe Por UC'!$R:$R,'Infos Clientes'!AK$2))</f>
        <v>110</v>
      </c>
      <c r="AL43" s="27">
        <f>IF(SUMIFS('Detalhe Por UC'!$AB:$AB,'Detalhe Por UC'!$C:$C,'Infos Clientes'!$B43,'Detalhe Por UC'!$R:$R,'Infos Clientes'!AL$2)=0,"",
SUMIFS('Detalhe Por UC'!$AB:$AB,'Detalhe Por UC'!$C:$C,'Infos Clientes'!$B43,'Detalhe Por UC'!$R:$R,'Infos Clientes'!AL$2)
+SUMIFS('Detalhe Por UC'!$AC:$AC,'Detalhe Por UC'!$C:$C,'Infos Clientes'!$B43,'Detalhe Por UC'!$R:$R,'Infos Clientes'!AL$2))</f>
        <v>137</v>
      </c>
      <c r="AM43" s="27">
        <f>IF(SUMIFS('Detalhe Por UC'!$AB:$AB,'Detalhe Por UC'!$C:$C,'Infos Clientes'!$B43,'Detalhe Por UC'!$R:$R,'Infos Clientes'!AM$2)=0,"",
SUMIFS('Detalhe Por UC'!$AB:$AB,'Detalhe Por UC'!$C:$C,'Infos Clientes'!$B43,'Detalhe Por UC'!$R:$R,'Infos Clientes'!AM$2)
+SUMIFS('Detalhe Por UC'!$AC:$AC,'Detalhe Por UC'!$C:$C,'Infos Clientes'!$B43,'Detalhe Por UC'!$R:$R,'Infos Clientes'!AM$2))</f>
        <v>113</v>
      </c>
      <c r="AN43" s="27">
        <f>IF(SUMIFS('Detalhe Por UC'!$AB:$AB,'Detalhe Por UC'!$C:$C,'Infos Clientes'!$B43,'Detalhe Por UC'!$R:$R,'Infos Clientes'!AN$2)=0,"",
SUMIFS('Detalhe Por UC'!$AB:$AB,'Detalhe Por UC'!$C:$C,'Infos Clientes'!$B43,'Detalhe Por UC'!$R:$R,'Infos Clientes'!AN$2)
+SUMIFS('Detalhe Por UC'!$AC:$AC,'Detalhe Por UC'!$C:$C,'Infos Clientes'!$B43,'Detalhe Por UC'!$R:$R,'Infos Clientes'!AN$2))</f>
        <v>121</v>
      </c>
      <c r="AO43" s="27" t="str">
        <f>IF(SUMIFS('Detalhe Por UC'!$AB:$AB,'Detalhe Por UC'!$C:$C,'Infos Clientes'!$B43,'Detalhe Por UC'!$R:$R,'Infos Clientes'!AO$2)=0,"",
SUMIFS('Detalhe Por UC'!$AB:$AB,'Detalhe Por UC'!$C:$C,'Infos Clientes'!$B43,'Detalhe Por UC'!$R:$R,'Infos Clientes'!AO$2)
+SUMIFS('Detalhe Por UC'!$AC:$AC,'Detalhe Por UC'!$C:$C,'Infos Clientes'!$B43,'Detalhe Por UC'!$R:$R,'Infos Clientes'!AO$2))</f>
        <v/>
      </c>
      <c r="AP43" s="27">
        <f>IF(SUMIFS('Detalhe Por UC'!$AB:$AB,'Detalhe Por UC'!$C:$C,'Infos Clientes'!$B43,'Detalhe Por UC'!$R:$R,'Infos Clientes'!AP$2)=0,"",
SUMIFS('Detalhe Por UC'!$AB:$AB,'Detalhe Por UC'!$C:$C,'Infos Clientes'!$B43,'Detalhe Por UC'!$R:$R,'Infos Clientes'!AP$2)
+SUMIFS('Detalhe Por UC'!$AC:$AC,'Detalhe Por UC'!$C:$C,'Infos Clientes'!$B43,'Detalhe Por UC'!$R:$R,'Infos Clientes'!AP$2))</f>
        <v>181</v>
      </c>
      <c r="AQ43" s="27">
        <f>IF(SUMIFS('Detalhe Por UC'!$AB:$AB,'Detalhe Por UC'!$C:$C,'Infos Clientes'!$B43,'Detalhe Por UC'!$R:$R,'Infos Clientes'!AQ$2)=0,"",
SUMIFS('Detalhe Por UC'!$AB:$AB,'Detalhe Por UC'!$C:$C,'Infos Clientes'!$B43,'Detalhe Por UC'!$R:$R,'Infos Clientes'!AQ$2)
+SUMIFS('Detalhe Por UC'!$AC:$AC,'Detalhe Por UC'!$C:$C,'Infos Clientes'!$B43,'Detalhe Por UC'!$R:$R,'Infos Clientes'!AQ$2))</f>
        <v>212</v>
      </c>
      <c r="AR43" s="27">
        <f>IF(SUMIFS('Detalhe Por UC'!$AB:$AB,'Detalhe Por UC'!$C:$C,'Infos Clientes'!$B43,'Detalhe Por UC'!$R:$R,'Infos Clientes'!AR$2)=0,"",
SUMIFS('Detalhe Por UC'!$AB:$AB,'Detalhe Por UC'!$C:$C,'Infos Clientes'!$B43,'Detalhe Por UC'!$R:$R,'Infos Clientes'!AR$2)
+SUMIFS('Detalhe Por UC'!$AC:$AC,'Detalhe Por UC'!$C:$C,'Infos Clientes'!$B43,'Detalhe Por UC'!$R:$R,'Infos Clientes'!AR$2))</f>
        <v>147</v>
      </c>
      <c r="AS43" s="27">
        <f>IF(SUMIFS('Detalhe Por UC'!$AB:$AB,'Detalhe Por UC'!$C:$C,'Infos Clientes'!$B43,'Detalhe Por UC'!$R:$R,'Infos Clientes'!AS$2)=0,"",
SUMIFS('Detalhe Por UC'!$AB:$AB,'Detalhe Por UC'!$C:$C,'Infos Clientes'!$B43,'Detalhe Por UC'!$R:$R,'Infos Clientes'!AS$2)
+SUMIFS('Detalhe Por UC'!$AC:$AC,'Detalhe Por UC'!$C:$C,'Infos Clientes'!$B43,'Detalhe Por UC'!$R:$R,'Infos Clientes'!AS$2))</f>
        <v>140</v>
      </c>
      <c r="AT43" s="27">
        <f>IF(SUMIFS('Detalhe Por UC'!$AB:$AB,'Detalhe Por UC'!$C:$C,'Infos Clientes'!$B43,'Detalhe Por UC'!$R:$R,'Infos Clientes'!AT$2)=0,"",
SUMIFS('Detalhe Por UC'!$AB:$AB,'Detalhe Por UC'!$C:$C,'Infos Clientes'!$B43,'Detalhe Por UC'!$R:$R,'Infos Clientes'!AT$2)
+SUMIFS('Detalhe Por UC'!$AC:$AC,'Detalhe Por UC'!$C:$C,'Infos Clientes'!$B43,'Detalhe Por UC'!$R:$R,'Infos Clientes'!AT$2))</f>
        <v>210</v>
      </c>
      <c r="AU43" s="27" t="str">
        <f>IF(SUMIFS('Detalhe Por UC'!$AB:$AB,'Detalhe Por UC'!$C:$C,'Infos Clientes'!$B43,'Detalhe Por UC'!$R:$R,'Infos Clientes'!AU$2)=0,"",
SUMIFS('Detalhe Por UC'!$AB:$AB,'Detalhe Por UC'!$C:$C,'Infos Clientes'!$B43,'Detalhe Por UC'!$R:$R,'Infos Clientes'!AU$2)
+SUMIFS('Detalhe Por UC'!$AC:$AC,'Detalhe Por UC'!$C:$C,'Infos Clientes'!$B43,'Detalhe Por UC'!$R:$R,'Infos Clientes'!AU$2))</f>
        <v/>
      </c>
    </row>
    <row r="44" spans="2:47" x14ac:dyDescent="0.3">
      <c r="B44" s="28" t="s">
        <v>132</v>
      </c>
      <c r="C44" s="14">
        <f t="shared" si="1"/>
        <v>44</v>
      </c>
      <c r="D44" t="s">
        <v>19</v>
      </c>
      <c r="E44" s="15">
        <v>0</v>
      </c>
      <c r="F44" t="s">
        <v>133</v>
      </c>
      <c r="H44" t="s">
        <v>132</v>
      </c>
      <c r="K44" s="18" t="s">
        <v>24</v>
      </c>
      <c r="Q44" s="22" t="str">
        <f>IF(_xlfn.MINIFS('Detalhe Por UC'!R:R,'Detalhe Por UC'!C:C,B44,'Detalhe Por UC'!AD:AD,"&gt;"&amp;0)=0,"",_xlfn.MINIFS('Detalhe Por UC'!R:R,'Detalhe Por UC'!C:C,B44,'Detalhe Por UC'!AD:AD,"&gt;"&amp;0))</f>
        <v/>
      </c>
      <c r="R44" s="23">
        <f>IF(P44&lt;&gt;"ATIVO",0,
IF(OR(Q44="",Q44=0,O44=0),O44,
O44-ROUND((MAX('Detalhe Por UC'!R:R)
-Q44)/(365/12),0)))</f>
        <v>0</v>
      </c>
      <c r="T44" s="29"/>
      <c r="U44" s="24">
        <f t="shared" si="0"/>
        <v>136</v>
      </c>
      <c r="AI44" s="25">
        <v>136</v>
      </c>
      <c r="AJ44" s="27" t="str">
        <f>IF(SUMIFS('Detalhe Por UC'!$AB:$AB,'Detalhe Por UC'!$C:$C,'Infos Clientes'!$B44,'Detalhe Por UC'!$R:$R,'Infos Clientes'!AJ$2)=0,"",
SUMIFS('Detalhe Por UC'!$AB:$AB,'Detalhe Por UC'!$C:$C,'Infos Clientes'!$B44,'Detalhe Por UC'!$R:$R,'Infos Clientes'!AJ$2)
+SUMIFS('Detalhe Por UC'!$AC:$AC,'Detalhe Por UC'!$C:$C,'Infos Clientes'!$B44,'Detalhe Por UC'!$R:$R,'Infos Clientes'!AJ$2))</f>
        <v/>
      </c>
      <c r="AK44" s="27" t="str">
        <f>IF(SUMIFS('Detalhe Por UC'!$AB:$AB,'Detalhe Por UC'!$C:$C,'Infos Clientes'!$B44,'Detalhe Por UC'!$R:$R,'Infos Clientes'!AK$2)=0,"",
SUMIFS('Detalhe Por UC'!$AB:$AB,'Detalhe Por UC'!$C:$C,'Infos Clientes'!$B44,'Detalhe Por UC'!$R:$R,'Infos Clientes'!AK$2)
+SUMIFS('Detalhe Por UC'!$AC:$AC,'Detalhe Por UC'!$C:$C,'Infos Clientes'!$B44,'Detalhe Por UC'!$R:$R,'Infos Clientes'!AK$2))</f>
        <v/>
      </c>
      <c r="AL44" s="27" t="str">
        <f>IF(SUMIFS('Detalhe Por UC'!$AB:$AB,'Detalhe Por UC'!$C:$C,'Infos Clientes'!$B44,'Detalhe Por UC'!$R:$R,'Infos Clientes'!AL$2)=0,"",
SUMIFS('Detalhe Por UC'!$AB:$AB,'Detalhe Por UC'!$C:$C,'Infos Clientes'!$B44,'Detalhe Por UC'!$R:$R,'Infos Clientes'!AL$2)
+SUMIFS('Detalhe Por UC'!$AC:$AC,'Detalhe Por UC'!$C:$C,'Infos Clientes'!$B44,'Detalhe Por UC'!$R:$R,'Infos Clientes'!AL$2))</f>
        <v/>
      </c>
      <c r="AM44" s="27" t="str">
        <f>IF(SUMIFS('Detalhe Por UC'!$AB:$AB,'Detalhe Por UC'!$C:$C,'Infos Clientes'!$B44,'Detalhe Por UC'!$R:$R,'Infos Clientes'!AM$2)=0,"",
SUMIFS('Detalhe Por UC'!$AB:$AB,'Detalhe Por UC'!$C:$C,'Infos Clientes'!$B44,'Detalhe Por UC'!$R:$R,'Infos Clientes'!AM$2)
+SUMIFS('Detalhe Por UC'!$AC:$AC,'Detalhe Por UC'!$C:$C,'Infos Clientes'!$B44,'Detalhe Por UC'!$R:$R,'Infos Clientes'!AM$2))</f>
        <v/>
      </c>
      <c r="AN44" s="27" t="str">
        <f>IF(SUMIFS('Detalhe Por UC'!$AB:$AB,'Detalhe Por UC'!$C:$C,'Infos Clientes'!$B44,'Detalhe Por UC'!$R:$R,'Infos Clientes'!AN$2)=0,"",
SUMIFS('Detalhe Por UC'!$AB:$AB,'Detalhe Por UC'!$C:$C,'Infos Clientes'!$B44,'Detalhe Por UC'!$R:$R,'Infos Clientes'!AN$2)
+SUMIFS('Detalhe Por UC'!$AC:$AC,'Detalhe Por UC'!$C:$C,'Infos Clientes'!$B44,'Detalhe Por UC'!$R:$R,'Infos Clientes'!AN$2))</f>
        <v/>
      </c>
      <c r="AO44" s="27" t="str">
        <f>IF(SUMIFS('Detalhe Por UC'!$AB:$AB,'Detalhe Por UC'!$C:$C,'Infos Clientes'!$B44,'Detalhe Por UC'!$R:$R,'Infos Clientes'!AO$2)=0,"",
SUMIFS('Detalhe Por UC'!$AB:$AB,'Detalhe Por UC'!$C:$C,'Infos Clientes'!$B44,'Detalhe Por UC'!$R:$R,'Infos Clientes'!AO$2)
+SUMIFS('Detalhe Por UC'!$AC:$AC,'Detalhe Por UC'!$C:$C,'Infos Clientes'!$B44,'Detalhe Por UC'!$R:$R,'Infos Clientes'!AO$2))</f>
        <v/>
      </c>
      <c r="AP44" s="27" t="str">
        <f>IF(SUMIFS('Detalhe Por UC'!$AB:$AB,'Detalhe Por UC'!$C:$C,'Infos Clientes'!$B44,'Detalhe Por UC'!$R:$R,'Infos Clientes'!AP$2)=0,"",
SUMIFS('Detalhe Por UC'!$AB:$AB,'Detalhe Por UC'!$C:$C,'Infos Clientes'!$B44,'Detalhe Por UC'!$R:$R,'Infos Clientes'!AP$2)
+SUMIFS('Detalhe Por UC'!$AC:$AC,'Detalhe Por UC'!$C:$C,'Infos Clientes'!$B44,'Detalhe Por UC'!$R:$R,'Infos Clientes'!AP$2))</f>
        <v/>
      </c>
      <c r="AQ44" s="27" t="str">
        <f>IF(SUMIFS('Detalhe Por UC'!$AB:$AB,'Detalhe Por UC'!$C:$C,'Infos Clientes'!$B44,'Detalhe Por UC'!$R:$R,'Infos Clientes'!AQ$2)=0,"",
SUMIFS('Detalhe Por UC'!$AB:$AB,'Detalhe Por UC'!$C:$C,'Infos Clientes'!$B44,'Detalhe Por UC'!$R:$R,'Infos Clientes'!AQ$2)
+SUMIFS('Detalhe Por UC'!$AC:$AC,'Detalhe Por UC'!$C:$C,'Infos Clientes'!$B44,'Detalhe Por UC'!$R:$R,'Infos Clientes'!AQ$2))</f>
        <v/>
      </c>
      <c r="AR44" s="27" t="str">
        <f>IF(SUMIFS('Detalhe Por UC'!$AB:$AB,'Detalhe Por UC'!$C:$C,'Infos Clientes'!$B44,'Detalhe Por UC'!$R:$R,'Infos Clientes'!AR$2)=0,"",
SUMIFS('Detalhe Por UC'!$AB:$AB,'Detalhe Por UC'!$C:$C,'Infos Clientes'!$B44,'Detalhe Por UC'!$R:$R,'Infos Clientes'!AR$2)
+SUMIFS('Detalhe Por UC'!$AC:$AC,'Detalhe Por UC'!$C:$C,'Infos Clientes'!$B44,'Detalhe Por UC'!$R:$R,'Infos Clientes'!AR$2))</f>
        <v/>
      </c>
      <c r="AS44" s="27" t="str">
        <f>IF(SUMIFS('Detalhe Por UC'!$AB:$AB,'Detalhe Por UC'!$C:$C,'Infos Clientes'!$B44,'Detalhe Por UC'!$R:$R,'Infos Clientes'!AS$2)=0,"",
SUMIFS('Detalhe Por UC'!$AB:$AB,'Detalhe Por UC'!$C:$C,'Infos Clientes'!$B44,'Detalhe Por UC'!$R:$R,'Infos Clientes'!AS$2)
+SUMIFS('Detalhe Por UC'!$AC:$AC,'Detalhe Por UC'!$C:$C,'Infos Clientes'!$B44,'Detalhe Por UC'!$R:$R,'Infos Clientes'!AS$2))</f>
        <v/>
      </c>
      <c r="AT44" s="27" t="str">
        <f>IF(SUMIFS('Detalhe Por UC'!$AB:$AB,'Detalhe Por UC'!$C:$C,'Infos Clientes'!$B44,'Detalhe Por UC'!$R:$R,'Infos Clientes'!AT$2)=0,"",
SUMIFS('Detalhe Por UC'!$AB:$AB,'Detalhe Por UC'!$C:$C,'Infos Clientes'!$B44,'Detalhe Por UC'!$R:$R,'Infos Clientes'!AT$2)
+SUMIFS('Detalhe Por UC'!$AC:$AC,'Detalhe Por UC'!$C:$C,'Infos Clientes'!$B44,'Detalhe Por UC'!$R:$R,'Infos Clientes'!AT$2))</f>
        <v/>
      </c>
      <c r="AU44" s="27" t="str">
        <f>IF(SUMIFS('Detalhe Por UC'!$AB:$AB,'Detalhe Por UC'!$C:$C,'Infos Clientes'!$B44,'Detalhe Por UC'!$R:$R,'Infos Clientes'!AU$2)=0,"",
SUMIFS('Detalhe Por UC'!$AB:$AB,'Detalhe Por UC'!$C:$C,'Infos Clientes'!$B44,'Detalhe Por UC'!$R:$R,'Infos Clientes'!AU$2)
+SUMIFS('Detalhe Por UC'!$AC:$AC,'Detalhe Por UC'!$C:$C,'Infos Clientes'!$B44,'Detalhe Por UC'!$R:$R,'Infos Clientes'!AU$2))</f>
        <v/>
      </c>
    </row>
    <row r="45" spans="2:47" x14ac:dyDescent="0.3">
      <c r="B45" s="28" t="s">
        <v>134</v>
      </c>
      <c r="C45" s="14">
        <f t="shared" si="1"/>
        <v>45</v>
      </c>
      <c r="D45" t="s">
        <v>19</v>
      </c>
      <c r="E45" s="15">
        <v>0</v>
      </c>
      <c r="F45" t="s">
        <v>133</v>
      </c>
      <c r="H45" t="s">
        <v>134</v>
      </c>
      <c r="I45" s="17" t="s">
        <v>22</v>
      </c>
      <c r="J45" s="1" t="s">
        <v>44</v>
      </c>
      <c r="K45" s="18" t="s">
        <v>24</v>
      </c>
      <c r="M45" s="19">
        <v>0.25</v>
      </c>
      <c r="Q45" s="22">
        <f>IF(_xlfn.MINIFS('Detalhe Por UC'!R:R,'Detalhe Por UC'!C:C,B45,'Detalhe Por UC'!AD:AD,"&gt;"&amp;0)=0,"",_xlfn.MINIFS('Detalhe Por UC'!R:R,'Detalhe Por UC'!C:C,B45,'Detalhe Por UC'!AD:AD,"&gt;"&amp;0))</f>
        <v>45658</v>
      </c>
      <c r="R45" s="23">
        <f>IF(P45&lt;&gt;"ATIVO",0,
IF(OR(Q45="",Q45=0,O45=0),O45,
O45-ROUND((MAX('Detalhe Por UC'!R:R)
-Q45)/(365/12),0)))</f>
        <v>0</v>
      </c>
      <c r="T45" s="29"/>
      <c r="U45" s="24">
        <f t="shared" si="0"/>
        <v>139.72727272727272</v>
      </c>
      <c r="AI45" s="25">
        <v>137</v>
      </c>
      <c r="AJ45" s="27">
        <f>IF(SUMIFS('Detalhe Por UC'!$AB:$AB,'Detalhe Por UC'!$C:$C,'Infos Clientes'!$B45,'Detalhe Por UC'!$R:$R,'Infos Clientes'!AJ$2)=0,"",
SUMIFS('Detalhe Por UC'!$AB:$AB,'Detalhe Por UC'!$C:$C,'Infos Clientes'!$B45,'Detalhe Por UC'!$R:$R,'Infos Clientes'!AJ$2)
+SUMIFS('Detalhe Por UC'!$AC:$AC,'Detalhe Por UC'!$C:$C,'Infos Clientes'!$B45,'Detalhe Por UC'!$R:$R,'Infos Clientes'!AJ$2))</f>
        <v>187</v>
      </c>
      <c r="AK45" s="27" t="str">
        <f>IF(SUMIFS('Detalhe Por UC'!$AB:$AB,'Detalhe Por UC'!$C:$C,'Infos Clientes'!$B45,'Detalhe Por UC'!$R:$R,'Infos Clientes'!AK$2)=0,"",
SUMIFS('Detalhe Por UC'!$AB:$AB,'Detalhe Por UC'!$C:$C,'Infos Clientes'!$B45,'Detalhe Por UC'!$R:$R,'Infos Clientes'!AK$2)
+SUMIFS('Detalhe Por UC'!$AC:$AC,'Detalhe Por UC'!$C:$C,'Infos Clientes'!$B45,'Detalhe Por UC'!$R:$R,'Infos Clientes'!AK$2))</f>
        <v/>
      </c>
      <c r="AL45" s="27">
        <f>IF(SUMIFS('Detalhe Por UC'!$AB:$AB,'Detalhe Por UC'!$C:$C,'Infos Clientes'!$B45,'Detalhe Por UC'!$R:$R,'Infos Clientes'!AL$2)=0,"",
SUMIFS('Detalhe Por UC'!$AB:$AB,'Detalhe Por UC'!$C:$C,'Infos Clientes'!$B45,'Detalhe Por UC'!$R:$R,'Infos Clientes'!AL$2)
+SUMIFS('Detalhe Por UC'!$AC:$AC,'Detalhe Por UC'!$C:$C,'Infos Clientes'!$B45,'Detalhe Por UC'!$R:$R,'Infos Clientes'!AL$2))</f>
        <v>202</v>
      </c>
      <c r="AM45" s="27">
        <f>IF(SUMIFS('Detalhe Por UC'!$AB:$AB,'Detalhe Por UC'!$C:$C,'Infos Clientes'!$B45,'Detalhe Por UC'!$R:$R,'Infos Clientes'!AM$2)=0,"",
SUMIFS('Detalhe Por UC'!$AB:$AB,'Detalhe Por UC'!$C:$C,'Infos Clientes'!$B45,'Detalhe Por UC'!$R:$R,'Infos Clientes'!AM$2)
+SUMIFS('Detalhe Por UC'!$AC:$AC,'Detalhe Por UC'!$C:$C,'Infos Clientes'!$B45,'Detalhe Por UC'!$R:$R,'Infos Clientes'!AM$2))</f>
        <v>156</v>
      </c>
      <c r="AN45" s="27">
        <f>IF(SUMIFS('Detalhe Por UC'!$AB:$AB,'Detalhe Por UC'!$C:$C,'Infos Clientes'!$B45,'Detalhe Por UC'!$R:$R,'Infos Clientes'!AN$2)=0,"",
SUMIFS('Detalhe Por UC'!$AB:$AB,'Detalhe Por UC'!$C:$C,'Infos Clientes'!$B45,'Detalhe Por UC'!$R:$R,'Infos Clientes'!AN$2)
+SUMIFS('Detalhe Por UC'!$AC:$AC,'Detalhe Por UC'!$C:$C,'Infos Clientes'!$B45,'Detalhe Por UC'!$R:$R,'Infos Clientes'!AN$2))</f>
        <v>139</v>
      </c>
      <c r="AO45" s="27">
        <f>IF(SUMIFS('Detalhe Por UC'!$AB:$AB,'Detalhe Por UC'!$C:$C,'Infos Clientes'!$B45,'Detalhe Por UC'!$R:$R,'Infos Clientes'!AO$2)=0,"",
SUMIFS('Detalhe Por UC'!$AB:$AB,'Detalhe Por UC'!$C:$C,'Infos Clientes'!$B45,'Detalhe Por UC'!$R:$R,'Infos Clientes'!AO$2)
+SUMIFS('Detalhe Por UC'!$AC:$AC,'Detalhe Por UC'!$C:$C,'Infos Clientes'!$B45,'Detalhe Por UC'!$R:$R,'Infos Clientes'!AO$2))</f>
        <v>122</v>
      </c>
      <c r="AP45" s="27">
        <f>IF(SUMIFS('Detalhe Por UC'!$AB:$AB,'Detalhe Por UC'!$C:$C,'Infos Clientes'!$B45,'Detalhe Por UC'!$R:$R,'Infos Clientes'!AP$2)=0,"",
SUMIFS('Detalhe Por UC'!$AB:$AB,'Detalhe Por UC'!$C:$C,'Infos Clientes'!$B45,'Detalhe Por UC'!$R:$R,'Infos Clientes'!AP$2)
+SUMIFS('Detalhe Por UC'!$AC:$AC,'Detalhe Por UC'!$C:$C,'Infos Clientes'!$B45,'Detalhe Por UC'!$R:$R,'Infos Clientes'!AP$2))</f>
        <v>97</v>
      </c>
      <c r="AQ45" s="27">
        <f>IF(SUMIFS('Detalhe Por UC'!$AB:$AB,'Detalhe Por UC'!$C:$C,'Infos Clientes'!$B45,'Detalhe Por UC'!$R:$R,'Infos Clientes'!AQ$2)=0,"",
SUMIFS('Detalhe Por UC'!$AB:$AB,'Detalhe Por UC'!$C:$C,'Infos Clientes'!$B45,'Detalhe Por UC'!$R:$R,'Infos Clientes'!AQ$2)
+SUMIFS('Detalhe Por UC'!$AC:$AC,'Detalhe Por UC'!$C:$C,'Infos Clientes'!$B45,'Detalhe Por UC'!$R:$R,'Infos Clientes'!AQ$2))</f>
        <v>100</v>
      </c>
      <c r="AR45" s="27">
        <f>IF(SUMIFS('Detalhe Por UC'!$AB:$AB,'Detalhe Por UC'!$C:$C,'Infos Clientes'!$B45,'Detalhe Por UC'!$R:$R,'Infos Clientes'!AR$2)=0,"",
SUMIFS('Detalhe Por UC'!$AB:$AB,'Detalhe Por UC'!$C:$C,'Infos Clientes'!$B45,'Detalhe Por UC'!$R:$R,'Infos Clientes'!AR$2)
+SUMIFS('Detalhe Por UC'!$AC:$AC,'Detalhe Por UC'!$C:$C,'Infos Clientes'!$B45,'Detalhe Por UC'!$R:$R,'Infos Clientes'!AR$2))</f>
        <v>123</v>
      </c>
      <c r="AS45" s="27">
        <f>IF(SUMIFS('Detalhe Por UC'!$AB:$AB,'Detalhe Por UC'!$C:$C,'Infos Clientes'!$B45,'Detalhe Por UC'!$R:$R,'Infos Clientes'!AS$2)=0,"",
SUMIFS('Detalhe Por UC'!$AB:$AB,'Detalhe Por UC'!$C:$C,'Infos Clientes'!$B45,'Detalhe Por UC'!$R:$R,'Infos Clientes'!AS$2)
+SUMIFS('Detalhe Por UC'!$AC:$AC,'Detalhe Por UC'!$C:$C,'Infos Clientes'!$B45,'Detalhe Por UC'!$R:$R,'Infos Clientes'!AS$2))</f>
        <v>120</v>
      </c>
      <c r="AT45" s="27">
        <f>IF(SUMIFS('Detalhe Por UC'!$AB:$AB,'Detalhe Por UC'!$C:$C,'Infos Clientes'!$B45,'Detalhe Por UC'!$R:$R,'Infos Clientes'!AT$2)=0,"",
SUMIFS('Detalhe Por UC'!$AB:$AB,'Detalhe Por UC'!$C:$C,'Infos Clientes'!$B45,'Detalhe Por UC'!$R:$R,'Infos Clientes'!AT$2)
+SUMIFS('Detalhe Por UC'!$AC:$AC,'Detalhe Por UC'!$C:$C,'Infos Clientes'!$B45,'Detalhe Por UC'!$R:$R,'Infos Clientes'!AT$2))</f>
        <v>154</v>
      </c>
      <c r="AU45" s="27" t="str">
        <f>IF(SUMIFS('Detalhe Por UC'!$AB:$AB,'Detalhe Por UC'!$C:$C,'Infos Clientes'!$B45,'Detalhe Por UC'!$R:$R,'Infos Clientes'!AU$2)=0,"",
SUMIFS('Detalhe Por UC'!$AB:$AB,'Detalhe Por UC'!$C:$C,'Infos Clientes'!$B45,'Detalhe Por UC'!$R:$R,'Infos Clientes'!AU$2)
+SUMIFS('Detalhe Por UC'!$AC:$AC,'Detalhe Por UC'!$C:$C,'Infos Clientes'!$B45,'Detalhe Por UC'!$R:$R,'Infos Clientes'!AU$2))</f>
        <v/>
      </c>
    </row>
    <row r="46" spans="2:47" x14ac:dyDescent="0.3">
      <c r="B46" s="30" t="s">
        <v>135</v>
      </c>
      <c r="C46" s="14">
        <v>49</v>
      </c>
      <c r="D46" t="s">
        <v>19</v>
      </c>
      <c r="E46" s="15">
        <v>0</v>
      </c>
      <c r="F46" t="s">
        <v>68</v>
      </c>
      <c r="H46" s="30" t="s">
        <v>135</v>
      </c>
      <c r="I46" s="17" t="s">
        <v>22</v>
      </c>
      <c r="J46" s="1" t="s">
        <v>28</v>
      </c>
      <c r="K46" s="18" t="s">
        <v>24</v>
      </c>
      <c r="M46" s="19">
        <v>0.25</v>
      </c>
      <c r="Q46" s="22">
        <f>IF(_xlfn.MINIFS('Detalhe Por UC'!R:R,'Detalhe Por UC'!C:C,B46,'Detalhe Por UC'!AD:AD,"&gt;"&amp;0)=0,"",_xlfn.MINIFS('Detalhe Por UC'!R:R,'Detalhe Por UC'!C:C,B46,'Detalhe Por UC'!AD:AD,"&gt;"&amp;0))</f>
        <v>45689</v>
      </c>
      <c r="R46" s="23">
        <f>IF(P46&lt;&gt;"ATIVO",0,
IF(OR(Q46="",Q46=0,O46=0),O46,
O46-ROUND((MAX('Detalhe Por UC'!R:R)
-Q46)/(365/12),0)))</f>
        <v>0</v>
      </c>
      <c r="T46" s="29"/>
      <c r="U46" s="24">
        <f t="shared" si="0"/>
        <v>213.22222222222223</v>
      </c>
      <c r="AI46" s="25"/>
      <c r="AJ46" s="27" t="str">
        <f>IF(SUMIFS('Detalhe Por UC'!$AB:$AB,'Detalhe Por UC'!$C:$C,'Infos Clientes'!$B46,'Detalhe Por UC'!$R:$R,'Infos Clientes'!AJ$2)=0,"",
SUMIFS('Detalhe Por UC'!$AB:$AB,'Detalhe Por UC'!$C:$C,'Infos Clientes'!$B46,'Detalhe Por UC'!$R:$R,'Infos Clientes'!AJ$2)
+SUMIFS('Detalhe Por UC'!$AC:$AC,'Detalhe Por UC'!$C:$C,'Infos Clientes'!$B46,'Detalhe Por UC'!$R:$R,'Infos Clientes'!AJ$2))</f>
        <v/>
      </c>
      <c r="AK46" s="27">
        <f>IF(SUMIFS('Detalhe Por UC'!$AB:$AB,'Detalhe Por UC'!$C:$C,'Infos Clientes'!$B46,'Detalhe Por UC'!$R:$R,'Infos Clientes'!AK$2)=0,"",
SUMIFS('Detalhe Por UC'!$AB:$AB,'Detalhe Por UC'!$C:$C,'Infos Clientes'!$B46,'Detalhe Por UC'!$R:$R,'Infos Clientes'!AK$2)
+SUMIFS('Detalhe Por UC'!$AC:$AC,'Detalhe Por UC'!$C:$C,'Infos Clientes'!$B46,'Detalhe Por UC'!$R:$R,'Infos Clientes'!AK$2))</f>
        <v>279</v>
      </c>
      <c r="AL46" s="27">
        <f>IF(SUMIFS('Detalhe Por UC'!$AB:$AB,'Detalhe Por UC'!$C:$C,'Infos Clientes'!$B46,'Detalhe Por UC'!$R:$R,'Infos Clientes'!AL$2)=0,"",
SUMIFS('Detalhe Por UC'!$AB:$AB,'Detalhe Por UC'!$C:$C,'Infos Clientes'!$B46,'Detalhe Por UC'!$R:$R,'Infos Clientes'!AL$2)
+SUMIFS('Detalhe Por UC'!$AC:$AC,'Detalhe Por UC'!$C:$C,'Infos Clientes'!$B46,'Detalhe Por UC'!$R:$R,'Infos Clientes'!AL$2))</f>
        <v>334</v>
      </c>
      <c r="AM46" s="27">
        <f>IF(SUMIFS('Detalhe Por UC'!$AB:$AB,'Detalhe Por UC'!$C:$C,'Infos Clientes'!$B46,'Detalhe Por UC'!$R:$R,'Infos Clientes'!AM$2)=0,"",
SUMIFS('Detalhe Por UC'!$AB:$AB,'Detalhe Por UC'!$C:$C,'Infos Clientes'!$B46,'Detalhe Por UC'!$R:$R,'Infos Clientes'!AM$2)
+SUMIFS('Detalhe Por UC'!$AC:$AC,'Detalhe Por UC'!$C:$C,'Infos Clientes'!$B46,'Detalhe Por UC'!$R:$R,'Infos Clientes'!AM$2))</f>
        <v>289</v>
      </c>
      <c r="AN46" s="27">
        <f>IF(SUMIFS('Detalhe Por UC'!$AB:$AB,'Detalhe Por UC'!$C:$C,'Infos Clientes'!$B46,'Detalhe Por UC'!$R:$R,'Infos Clientes'!AN$2)=0,"",
SUMIFS('Detalhe Por UC'!$AB:$AB,'Detalhe Por UC'!$C:$C,'Infos Clientes'!$B46,'Detalhe Por UC'!$R:$R,'Infos Clientes'!AN$2)
+SUMIFS('Detalhe Por UC'!$AC:$AC,'Detalhe Por UC'!$C:$C,'Infos Clientes'!$B46,'Detalhe Por UC'!$R:$R,'Infos Clientes'!AN$2))</f>
        <v>156</v>
      </c>
      <c r="AO46" s="27">
        <f>IF(SUMIFS('Detalhe Por UC'!$AB:$AB,'Detalhe Por UC'!$C:$C,'Infos Clientes'!$B46,'Detalhe Por UC'!$R:$R,'Infos Clientes'!AO$2)=0,"",
SUMIFS('Detalhe Por UC'!$AB:$AB,'Detalhe Por UC'!$C:$C,'Infos Clientes'!$B46,'Detalhe Por UC'!$R:$R,'Infos Clientes'!AO$2)
+SUMIFS('Detalhe Por UC'!$AC:$AC,'Detalhe Por UC'!$C:$C,'Infos Clientes'!$B46,'Detalhe Por UC'!$R:$R,'Infos Clientes'!AO$2))</f>
        <v>135</v>
      </c>
      <c r="AP46" s="27" t="str">
        <f>IF(SUMIFS('Detalhe Por UC'!$AB:$AB,'Detalhe Por UC'!$C:$C,'Infos Clientes'!$B46,'Detalhe Por UC'!$R:$R,'Infos Clientes'!AP$2)=0,"",
SUMIFS('Detalhe Por UC'!$AB:$AB,'Detalhe Por UC'!$C:$C,'Infos Clientes'!$B46,'Detalhe Por UC'!$R:$R,'Infos Clientes'!AP$2)
+SUMIFS('Detalhe Por UC'!$AC:$AC,'Detalhe Por UC'!$C:$C,'Infos Clientes'!$B46,'Detalhe Por UC'!$R:$R,'Infos Clientes'!AP$2))</f>
        <v/>
      </c>
      <c r="AQ46" s="27">
        <f>IF(SUMIFS('Detalhe Por UC'!$AB:$AB,'Detalhe Por UC'!$C:$C,'Infos Clientes'!$B46,'Detalhe Por UC'!$R:$R,'Infos Clientes'!AQ$2)=0,"",
SUMIFS('Detalhe Por UC'!$AB:$AB,'Detalhe Por UC'!$C:$C,'Infos Clientes'!$B46,'Detalhe Por UC'!$R:$R,'Infos Clientes'!AQ$2)
+SUMIFS('Detalhe Por UC'!$AC:$AC,'Detalhe Por UC'!$C:$C,'Infos Clientes'!$B46,'Detalhe Por UC'!$R:$R,'Infos Clientes'!AQ$2))</f>
        <v>106</v>
      </c>
      <c r="AR46" s="27">
        <f>IF(SUMIFS('Detalhe Por UC'!$AB:$AB,'Detalhe Por UC'!$C:$C,'Infos Clientes'!$B46,'Detalhe Por UC'!$R:$R,'Infos Clientes'!AR$2)=0,"",
SUMIFS('Detalhe Por UC'!$AB:$AB,'Detalhe Por UC'!$C:$C,'Infos Clientes'!$B46,'Detalhe Por UC'!$R:$R,'Infos Clientes'!AR$2)
+SUMIFS('Detalhe Por UC'!$AC:$AC,'Detalhe Por UC'!$C:$C,'Infos Clientes'!$B46,'Detalhe Por UC'!$R:$R,'Infos Clientes'!AR$2))</f>
        <v>178</v>
      </c>
      <c r="AS46" s="27">
        <f>IF(SUMIFS('Detalhe Por UC'!$AB:$AB,'Detalhe Por UC'!$C:$C,'Infos Clientes'!$B46,'Detalhe Por UC'!$R:$R,'Infos Clientes'!AS$2)=0,"",
SUMIFS('Detalhe Por UC'!$AB:$AB,'Detalhe Por UC'!$C:$C,'Infos Clientes'!$B46,'Detalhe Por UC'!$R:$R,'Infos Clientes'!AS$2)
+SUMIFS('Detalhe Por UC'!$AC:$AC,'Detalhe Por UC'!$C:$C,'Infos Clientes'!$B46,'Detalhe Por UC'!$R:$R,'Infos Clientes'!AS$2))</f>
        <v>208</v>
      </c>
      <c r="AT46" s="27">
        <f>IF(SUMIFS('Detalhe Por UC'!$AB:$AB,'Detalhe Por UC'!$C:$C,'Infos Clientes'!$B46,'Detalhe Por UC'!$R:$R,'Infos Clientes'!AT$2)=0,"",
SUMIFS('Detalhe Por UC'!$AB:$AB,'Detalhe Por UC'!$C:$C,'Infos Clientes'!$B46,'Detalhe Por UC'!$R:$R,'Infos Clientes'!AT$2)
+SUMIFS('Detalhe Por UC'!$AC:$AC,'Detalhe Por UC'!$C:$C,'Infos Clientes'!$B46,'Detalhe Por UC'!$R:$R,'Infos Clientes'!AT$2))</f>
        <v>234</v>
      </c>
      <c r="AU46" s="27" t="str">
        <f>IF(SUMIFS('Detalhe Por UC'!$AB:$AB,'Detalhe Por UC'!$C:$C,'Infos Clientes'!$B46,'Detalhe Por UC'!$R:$R,'Infos Clientes'!AU$2)=0,"",
SUMIFS('Detalhe Por UC'!$AB:$AB,'Detalhe Por UC'!$C:$C,'Infos Clientes'!$B46,'Detalhe Por UC'!$R:$R,'Infos Clientes'!AU$2)
+SUMIFS('Detalhe Por UC'!$AC:$AC,'Detalhe Por UC'!$C:$C,'Infos Clientes'!$B46,'Detalhe Por UC'!$R:$R,'Infos Clientes'!AU$2))</f>
        <v/>
      </c>
    </row>
    <row r="47" spans="2:47" x14ac:dyDescent="0.3">
      <c r="B47" s="28" t="s">
        <v>136</v>
      </c>
      <c r="C47" s="14">
        <f t="shared" si="1"/>
        <v>47</v>
      </c>
      <c r="D47" t="s">
        <v>19</v>
      </c>
      <c r="E47" s="15">
        <v>302</v>
      </c>
      <c r="F47" t="s">
        <v>20</v>
      </c>
      <c r="G47" t="s">
        <v>137</v>
      </c>
      <c r="H47" t="str">
        <f>B47</f>
        <v>10/10731-8</v>
      </c>
      <c r="I47" s="31" t="s">
        <v>22</v>
      </c>
      <c r="J47" s="31"/>
      <c r="K47" s="18" t="s">
        <v>138</v>
      </c>
      <c r="M47" s="32">
        <v>0.25</v>
      </c>
      <c r="Q47" s="22" t="str">
        <f>IF(_xlfn.MINIFS('Detalhe Por UC'!R:R,'Detalhe Por UC'!C:C,B47,'Detalhe Por UC'!AD:AD,"&gt;"&amp;0)=0,"",_xlfn.MINIFS('Detalhe Por UC'!R:R,'Detalhe Por UC'!C:C,B47,'Detalhe Por UC'!AD:AD,"&gt;"&amp;0))</f>
        <v/>
      </c>
      <c r="R47" s="23">
        <f>IF(P47&lt;&gt;"ATIVO",0,
IF(OR(Q47="",Q47=0,O47=0),O47,
O47-ROUND((MAX('Detalhe Por UC'!R:R)
-Q47)/(365/12),0)))</f>
        <v>0</v>
      </c>
      <c r="T47" s="29"/>
      <c r="U47" s="24" t="str">
        <f t="shared" si="0"/>
        <v/>
      </c>
      <c r="AI47" s="25"/>
      <c r="AJ47" s="27" t="str">
        <f>IF(SUMIFS('Detalhe Por UC'!$AB:$AB,'Detalhe Por UC'!$C:$C,'Infos Clientes'!$B47,'Detalhe Por UC'!$R:$R,'Infos Clientes'!AJ$2)=0,"",
SUMIFS('Detalhe Por UC'!$AB:$AB,'Detalhe Por UC'!$C:$C,'Infos Clientes'!$B47,'Detalhe Por UC'!$R:$R,'Infos Clientes'!AJ$2)
+SUMIFS('Detalhe Por UC'!$AC:$AC,'Detalhe Por UC'!$C:$C,'Infos Clientes'!$B47,'Detalhe Por UC'!$R:$R,'Infos Clientes'!AJ$2))</f>
        <v/>
      </c>
      <c r="AK47" s="27" t="str">
        <f>IF(SUMIFS('Detalhe Por UC'!$AB:$AB,'Detalhe Por UC'!$C:$C,'Infos Clientes'!$B47,'Detalhe Por UC'!$R:$R,'Infos Clientes'!AK$2)=0,"",
SUMIFS('Detalhe Por UC'!$AB:$AB,'Detalhe Por UC'!$C:$C,'Infos Clientes'!$B47,'Detalhe Por UC'!$R:$R,'Infos Clientes'!AK$2)
+SUMIFS('Detalhe Por UC'!$AC:$AC,'Detalhe Por UC'!$C:$C,'Infos Clientes'!$B47,'Detalhe Por UC'!$R:$R,'Infos Clientes'!AK$2))</f>
        <v/>
      </c>
      <c r="AL47" s="27" t="str">
        <f>IF(SUMIFS('Detalhe Por UC'!$AB:$AB,'Detalhe Por UC'!$C:$C,'Infos Clientes'!$B47,'Detalhe Por UC'!$R:$R,'Infos Clientes'!AL$2)=0,"",
SUMIFS('Detalhe Por UC'!$AB:$AB,'Detalhe Por UC'!$C:$C,'Infos Clientes'!$B47,'Detalhe Por UC'!$R:$R,'Infos Clientes'!AL$2)
+SUMIFS('Detalhe Por UC'!$AC:$AC,'Detalhe Por UC'!$C:$C,'Infos Clientes'!$B47,'Detalhe Por UC'!$R:$R,'Infos Clientes'!AL$2))</f>
        <v/>
      </c>
      <c r="AM47" s="27" t="str">
        <f>IF(SUMIFS('Detalhe Por UC'!$AB:$AB,'Detalhe Por UC'!$C:$C,'Infos Clientes'!$B47,'Detalhe Por UC'!$R:$R,'Infos Clientes'!AM$2)=0,"",
SUMIFS('Detalhe Por UC'!$AB:$AB,'Detalhe Por UC'!$C:$C,'Infos Clientes'!$B47,'Detalhe Por UC'!$R:$R,'Infos Clientes'!AM$2)
+SUMIFS('Detalhe Por UC'!$AC:$AC,'Detalhe Por UC'!$C:$C,'Infos Clientes'!$B47,'Detalhe Por UC'!$R:$R,'Infos Clientes'!AM$2))</f>
        <v/>
      </c>
      <c r="AN47" s="27" t="str">
        <f>IF(SUMIFS('Detalhe Por UC'!$AB:$AB,'Detalhe Por UC'!$C:$C,'Infos Clientes'!$B47,'Detalhe Por UC'!$R:$R,'Infos Clientes'!AN$2)=0,"",
SUMIFS('Detalhe Por UC'!$AB:$AB,'Detalhe Por UC'!$C:$C,'Infos Clientes'!$B47,'Detalhe Por UC'!$R:$R,'Infos Clientes'!AN$2)
+SUMIFS('Detalhe Por UC'!$AC:$AC,'Detalhe Por UC'!$C:$C,'Infos Clientes'!$B47,'Detalhe Por UC'!$R:$R,'Infos Clientes'!AN$2))</f>
        <v/>
      </c>
      <c r="AO47" s="27" t="str">
        <f>IF(SUMIFS('Detalhe Por UC'!$AB:$AB,'Detalhe Por UC'!$C:$C,'Infos Clientes'!$B47,'Detalhe Por UC'!$R:$R,'Infos Clientes'!AO$2)=0,"",
SUMIFS('Detalhe Por UC'!$AB:$AB,'Detalhe Por UC'!$C:$C,'Infos Clientes'!$B47,'Detalhe Por UC'!$R:$R,'Infos Clientes'!AO$2)
+SUMIFS('Detalhe Por UC'!$AC:$AC,'Detalhe Por UC'!$C:$C,'Infos Clientes'!$B47,'Detalhe Por UC'!$R:$R,'Infos Clientes'!AO$2))</f>
        <v/>
      </c>
      <c r="AP47" s="27" t="str">
        <f>IF(SUMIFS('Detalhe Por UC'!$AB:$AB,'Detalhe Por UC'!$C:$C,'Infos Clientes'!$B47,'Detalhe Por UC'!$R:$R,'Infos Clientes'!AP$2)=0,"",
SUMIFS('Detalhe Por UC'!$AB:$AB,'Detalhe Por UC'!$C:$C,'Infos Clientes'!$B47,'Detalhe Por UC'!$R:$R,'Infos Clientes'!AP$2)
+SUMIFS('Detalhe Por UC'!$AC:$AC,'Detalhe Por UC'!$C:$C,'Infos Clientes'!$B47,'Detalhe Por UC'!$R:$R,'Infos Clientes'!AP$2))</f>
        <v/>
      </c>
      <c r="AQ47" s="27" t="str">
        <f>IF(SUMIFS('Detalhe Por UC'!$AB:$AB,'Detalhe Por UC'!$C:$C,'Infos Clientes'!$B47,'Detalhe Por UC'!$R:$R,'Infos Clientes'!AQ$2)=0,"",
SUMIFS('Detalhe Por UC'!$AB:$AB,'Detalhe Por UC'!$C:$C,'Infos Clientes'!$B47,'Detalhe Por UC'!$R:$R,'Infos Clientes'!AQ$2)
+SUMIFS('Detalhe Por UC'!$AC:$AC,'Detalhe Por UC'!$C:$C,'Infos Clientes'!$B47,'Detalhe Por UC'!$R:$R,'Infos Clientes'!AQ$2))</f>
        <v/>
      </c>
      <c r="AR47" s="27" t="str">
        <f>IF(SUMIFS('Detalhe Por UC'!$AB:$AB,'Detalhe Por UC'!$C:$C,'Infos Clientes'!$B47,'Detalhe Por UC'!$R:$R,'Infos Clientes'!AR$2)=0,"",
SUMIFS('Detalhe Por UC'!$AB:$AB,'Detalhe Por UC'!$C:$C,'Infos Clientes'!$B47,'Detalhe Por UC'!$R:$R,'Infos Clientes'!AR$2)
+SUMIFS('Detalhe Por UC'!$AC:$AC,'Detalhe Por UC'!$C:$C,'Infos Clientes'!$B47,'Detalhe Por UC'!$R:$R,'Infos Clientes'!AR$2))</f>
        <v/>
      </c>
      <c r="AS47" s="27" t="str">
        <f>IF(SUMIFS('Detalhe Por UC'!$AB:$AB,'Detalhe Por UC'!$C:$C,'Infos Clientes'!$B47,'Detalhe Por UC'!$R:$R,'Infos Clientes'!AS$2)=0,"",
SUMIFS('Detalhe Por UC'!$AB:$AB,'Detalhe Por UC'!$C:$C,'Infos Clientes'!$B47,'Detalhe Por UC'!$R:$R,'Infos Clientes'!AS$2)
+SUMIFS('Detalhe Por UC'!$AC:$AC,'Detalhe Por UC'!$C:$C,'Infos Clientes'!$B47,'Detalhe Por UC'!$R:$R,'Infos Clientes'!AS$2))</f>
        <v/>
      </c>
      <c r="AT47" s="27" t="str">
        <f>IF(SUMIFS('Detalhe Por UC'!$AB:$AB,'Detalhe Por UC'!$C:$C,'Infos Clientes'!$B47,'Detalhe Por UC'!$R:$R,'Infos Clientes'!AT$2)=0,"",
SUMIFS('Detalhe Por UC'!$AB:$AB,'Detalhe Por UC'!$C:$C,'Infos Clientes'!$B47,'Detalhe Por UC'!$R:$R,'Infos Clientes'!AT$2)
+SUMIFS('Detalhe Por UC'!$AC:$AC,'Detalhe Por UC'!$C:$C,'Infos Clientes'!$B47,'Detalhe Por UC'!$R:$R,'Infos Clientes'!AT$2))</f>
        <v/>
      </c>
      <c r="AU47" s="27" t="str">
        <f>IF(SUMIFS('Detalhe Por UC'!$AB:$AB,'Detalhe Por UC'!$C:$C,'Infos Clientes'!$B47,'Detalhe Por UC'!$R:$R,'Infos Clientes'!AU$2)=0,"",
SUMIFS('Detalhe Por UC'!$AB:$AB,'Detalhe Por UC'!$C:$C,'Infos Clientes'!$B47,'Detalhe Por UC'!$R:$R,'Infos Clientes'!AU$2)
+SUMIFS('Detalhe Por UC'!$AC:$AC,'Detalhe Por UC'!$C:$C,'Infos Clientes'!$B47,'Detalhe Por UC'!$R:$R,'Infos Clientes'!AU$2))</f>
        <v/>
      </c>
    </row>
    <row r="48" spans="2:47" x14ac:dyDescent="0.3">
      <c r="B48" t="s">
        <v>139</v>
      </c>
      <c r="C48" s="14">
        <f t="shared" si="1"/>
        <v>48</v>
      </c>
      <c r="D48" t="s">
        <v>19</v>
      </c>
      <c r="E48" s="15">
        <v>351</v>
      </c>
      <c r="F48" t="s">
        <v>140</v>
      </c>
      <c r="G48" t="s">
        <v>141</v>
      </c>
      <c r="H48" t="str">
        <f t="shared" ref="H48:H100" si="2">B48</f>
        <v>10/1081489-5</v>
      </c>
      <c r="I48" s="31" t="s">
        <v>22</v>
      </c>
      <c r="J48" s="31" t="s">
        <v>23</v>
      </c>
      <c r="K48" s="18" t="s">
        <v>138</v>
      </c>
      <c r="M48" s="32">
        <v>0.25</v>
      </c>
      <c r="Q48" s="22">
        <f>IF(_xlfn.MINIFS('Detalhe Por UC'!R:R,'Detalhe Por UC'!C:C,B48,'Detalhe Por UC'!AD:AD,"&gt;"&amp;0)=0,"",_xlfn.MINIFS('Detalhe Por UC'!R:R,'Detalhe Por UC'!C:C,B48,'Detalhe Por UC'!AD:AD,"&gt;"&amp;0))</f>
        <v>45658</v>
      </c>
      <c r="R48" s="23">
        <f>IF(P48&lt;&gt;"ATIVO",0,
IF(OR(Q48="",Q48=0,O48=0),O48,
O48-ROUND((MAX('Detalhe Por UC'!R:R)
-Q48)/(365/12),0)))</f>
        <v>0</v>
      </c>
      <c r="T48" s="29">
        <v>547.4545454545455</v>
      </c>
      <c r="U48" s="24">
        <f t="shared" si="0"/>
        <v>533.66666666666663</v>
      </c>
      <c r="X48">
        <v>549</v>
      </c>
      <c r="Y48">
        <v>629</v>
      </c>
      <c r="Z48">
        <v>609</v>
      </c>
      <c r="AA48">
        <v>672</v>
      </c>
      <c r="AB48">
        <v>0</v>
      </c>
      <c r="AC48">
        <v>449</v>
      </c>
      <c r="AD48">
        <v>456</v>
      </c>
      <c r="AE48">
        <v>400</v>
      </c>
      <c r="AF48">
        <v>403</v>
      </c>
      <c r="AG48">
        <v>541</v>
      </c>
      <c r="AH48">
        <v>546</v>
      </c>
      <c r="AI48" s="25">
        <v>683</v>
      </c>
      <c r="AJ48" s="27">
        <f>IF(SUMIFS('Detalhe Por UC'!$AB:$AB,'Detalhe Por UC'!$C:$C,'Infos Clientes'!$B48,'Detalhe Por UC'!$R:$R,'Infos Clientes'!AJ$2)=0,"",
SUMIFS('Detalhe Por UC'!$AB:$AB,'Detalhe Por UC'!$C:$C,'Infos Clientes'!$B48,'Detalhe Por UC'!$R:$R,'Infos Clientes'!AJ$2)
+SUMIFS('Detalhe Por UC'!$AC:$AC,'Detalhe Por UC'!$C:$C,'Infos Clientes'!$B48,'Detalhe Por UC'!$R:$R,'Infos Clientes'!AJ$2))</f>
        <v>634</v>
      </c>
      <c r="AK48" s="27">
        <f>IF(SUMIFS('Detalhe Por UC'!$AB:$AB,'Detalhe Por UC'!$C:$C,'Infos Clientes'!$B48,'Detalhe Por UC'!$R:$R,'Infos Clientes'!AK$2)=0,"",
SUMIFS('Detalhe Por UC'!$AB:$AB,'Detalhe Por UC'!$C:$C,'Infos Clientes'!$B48,'Detalhe Por UC'!$R:$R,'Infos Clientes'!AK$2)
+SUMIFS('Detalhe Por UC'!$AC:$AC,'Detalhe Por UC'!$C:$C,'Infos Clientes'!$B48,'Detalhe Por UC'!$R:$R,'Infos Clientes'!AK$2))</f>
        <v>785</v>
      </c>
      <c r="AL48" s="27">
        <f>IF(SUMIFS('Detalhe Por UC'!$AB:$AB,'Detalhe Por UC'!$C:$C,'Infos Clientes'!$B48,'Detalhe Por UC'!$R:$R,'Infos Clientes'!AL$2)=0,"",
SUMIFS('Detalhe Por UC'!$AB:$AB,'Detalhe Por UC'!$C:$C,'Infos Clientes'!$B48,'Detalhe Por UC'!$R:$R,'Infos Clientes'!AL$2)
+SUMIFS('Detalhe Por UC'!$AC:$AC,'Detalhe Por UC'!$C:$C,'Infos Clientes'!$B48,'Detalhe Por UC'!$R:$R,'Infos Clientes'!AL$2))</f>
        <v>651</v>
      </c>
      <c r="AM48" s="27">
        <f>IF(SUMIFS('Detalhe Por UC'!$AB:$AB,'Detalhe Por UC'!$C:$C,'Infos Clientes'!$B48,'Detalhe Por UC'!$R:$R,'Infos Clientes'!AM$2)=0,"",
SUMIFS('Detalhe Por UC'!$AB:$AB,'Detalhe Por UC'!$C:$C,'Infos Clientes'!$B48,'Detalhe Por UC'!$R:$R,'Infos Clientes'!AM$2)
+SUMIFS('Detalhe Por UC'!$AC:$AC,'Detalhe Por UC'!$C:$C,'Infos Clientes'!$B48,'Detalhe Por UC'!$R:$R,'Infos Clientes'!AM$2))</f>
        <v>495</v>
      </c>
      <c r="AN48" s="27">
        <f>IF(SUMIFS('Detalhe Por UC'!$AB:$AB,'Detalhe Por UC'!$C:$C,'Infos Clientes'!$B48,'Detalhe Por UC'!$R:$R,'Infos Clientes'!AN$2)=0,"",
SUMIFS('Detalhe Por UC'!$AB:$AB,'Detalhe Por UC'!$C:$C,'Infos Clientes'!$B48,'Detalhe Por UC'!$R:$R,'Infos Clientes'!AN$2)
+SUMIFS('Detalhe Por UC'!$AC:$AC,'Detalhe Por UC'!$C:$C,'Infos Clientes'!$B48,'Detalhe Por UC'!$R:$R,'Infos Clientes'!AN$2))</f>
        <v>543</v>
      </c>
      <c r="AO48" s="27">
        <f>IF(SUMIFS('Detalhe Por UC'!$AB:$AB,'Detalhe Por UC'!$C:$C,'Infos Clientes'!$B48,'Detalhe Por UC'!$R:$R,'Infos Clientes'!AO$2)=0,"",
SUMIFS('Detalhe Por UC'!$AB:$AB,'Detalhe Por UC'!$C:$C,'Infos Clientes'!$B48,'Detalhe Por UC'!$R:$R,'Infos Clientes'!AO$2)
+SUMIFS('Detalhe Por UC'!$AC:$AC,'Detalhe Por UC'!$C:$C,'Infos Clientes'!$B48,'Detalhe Por UC'!$R:$R,'Infos Clientes'!AO$2))</f>
        <v>427</v>
      </c>
      <c r="AP48" s="27">
        <f>IF(SUMIFS('Detalhe Por UC'!$AB:$AB,'Detalhe Por UC'!$C:$C,'Infos Clientes'!$B48,'Detalhe Por UC'!$R:$R,'Infos Clientes'!AP$2)=0,"",
SUMIFS('Detalhe Por UC'!$AB:$AB,'Detalhe Por UC'!$C:$C,'Infos Clientes'!$B48,'Detalhe Por UC'!$R:$R,'Infos Clientes'!AP$2)
+SUMIFS('Detalhe Por UC'!$AC:$AC,'Detalhe Por UC'!$C:$C,'Infos Clientes'!$B48,'Detalhe Por UC'!$R:$R,'Infos Clientes'!AP$2))</f>
        <v>379</v>
      </c>
      <c r="AQ48" s="27">
        <f>IF(SUMIFS('Detalhe Por UC'!$AB:$AB,'Detalhe Por UC'!$C:$C,'Infos Clientes'!$B48,'Detalhe Por UC'!$R:$R,'Infos Clientes'!AQ$2)=0,"",
SUMIFS('Detalhe Por UC'!$AB:$AB,'Detalhe Por UC'!$C:$C,'Infos Clientes'!$B48,'Detalhe Por UC'!$R:$R,'Infos Clientes'!AQ$2)
+SUMIFS('Detalhe Por UC'!$AC:$AC,'Detalhe Por UC'!$C:$C,'Infos Clientes'!$B48,'Detalhe Por UC'!$R:$R,'Infos Clientes'!AQ$2))</f>
        <v>412</v>
      </c>
      <c r="AR48" s="27">
        <f>IF(SUMIFS('Detalhe Por UC'!$AB:$AB,'Detalhe Por UC'!$C:$C,'Infos Clientes'!$B48,'Detalhe Por UC'!$R:$R,'Infos Clientes'!AR$2)=0,"",
SUMIFS('Detalhe Por UC'!$AB:$AB,'Detalhe Por UC'!$C:$C,'Infos Clientes'!$B48,'Detalhe Por UC'!$R:$R,'Infos Clientes'!AR$2)
+SUMIFS('Detalhe Por UC'!$AC:$AC,'Detalhe Por UC'!$C:$C,'Infos Clientes'!$B48,'Detalhe Por UC'!$R:$R,'Infos Clientes'!AR$2))</f>
        <v>386</v>
      </c>
      <c r="AS48" s="27">
        <f>IF(SUMIFS('Detalhe Por UC'!$AB:$AB,'Detalhe Por UC'!$C:$C,'Infos Clientes'!$B48,'Detalhe Por UC'!$R:$R,'Infos Clientes'!AS$2)=0,"",
SUMIFS('Detalhe Por UC'!$AB:$AB,'Detalhe Por UC'!$C:$C,'Infos Clientes'!$B48,'Detalhe Por UC'!$R:$R,'Infos Clientes'!AS$2)
+SUMIFS('Detalhe Por UC'!$AC:$AC,'Detalhe Por UC'!$C:$C,'Infos Clientes'!$B48,'Detalhe Por UC'!$R:$R,'Infos Clientes'!AS$2))</f>
        <v>523</v>
      </c>
      <c r="AT48" s="27">
        <f>IF(SUMIFS('Detalhe Por UC'!$AB:$AB,'Detalhe Por UC'!$C:$C,'Infos Clientes'!$B48,'Detalhe Por UC'!$R:$R,'Infos Clientes'!AT$2)=0,"",
SUMIFS('Detalhe Por UC'!$AB:$AB,'Detalhe Por UC'!$C:$C,'Infos Clientes'!$B48,'Detalhe Por UC'!$R:$R,'Infos Clientes'!AT$2)
+SUMIFS('Detalhe Por UC'!$AC:$AC,'Detalhe Por UC'!$C:$C,'Infos Clientes'!$B48,'Detalhe Por UC'!$R:$R,'Infos Clientes'!AT$2))</f>
        <v>486</v>
      </c>
      <c r="AU48" s="27" t="str">
        <f>IF(SUMIFS('Detalhe Por UC'!$AB:$AB,'Detalhe Por UC'!$C:$C,'Infos Clientes'!$B48,'Detalhe Por UC'!$R:$R,'Infos Clientes'!AU$2)=0,"",
SUMIFS('Detalhe Por UC'!$AB:$AB,'Detalhe Por UC'!$C:$C,'Infos Clientes'!$B48,'Detalhe Por UC'!$R:$R,'Infos Clientes'!AU$2)
+SUMIFS('Detalhe Por UC'!$AC:$AC,'Detalhe Por UC'!$C:$C,'Infos Clientes'!$B48,'Detalhe Por UC'!$R:$R,'Infos Clientes'!AU$2))</f>
        <v/>
      </c>
    </row>
    <row r="49" spans="2:47" x14ac:dyDescent="0.3">
      <c r="B49" t="s">
        <v>142</v>
      </c>
      <c r="C49" s="14">
        <f t="shared" si="1"/>
        <v>49</v>
      </c>
      <c r="D49" t="s">
        <v>19</v>
      </c>
      <c r="E49" s="15">
        <v>319</v>
      </c>
      <c r="F49" t="s">
        <v>104</v>
      </c>
      <c r="G49" t="s">
        <v>143</v>
      </c>
      <c r="H49" t="str">
        <f t="shared" si="2"/>
        <v>10/109074-5</v>
      </c>
      <c r="I49" s="31" t="s">
        <v>22</v>
      </c>
      <c r="J49" s="31" t="s">
        <v>23</v>
      </c>
      <c r="K49" s="18" t="s">
        <v>138</v>
      </c>
      <c r="M49" s="32">
        <v>0.25</v>
      </c>
      <c r="Q49" s="22">
        <f>IF(_xlfn.MINIFS('Detalhe Por UC'!R:R,'Detalhe Por UC'!C:C,B49,'Detalhe Por UC'!AD:AD,"&gt;"&amp;0)=0,"",_xlfn.MINIFS('Detalhe Por UC'!R:R,'Detalhe Por UC'!C:C,B49,'Detalhe Por UC'!AD:AD,"&gt;"&amp;0))</f>
        <v>45658</v>
      </c>
      <c r="R49" s="23">
        <f>IF(P49&lt;&gt;"ATIVO",0,
IF(OR(Q49="",Q49=0,O49=0),O49,
O49-ROUND((MAX('Detalhe Por UC'!R:R)
-Q49)/(365/12),0)))</f>
        <v>0</v>
      </c>
      <c r="T49" s="29">
        <v>244.81818181818181</v>
      </c>
      <c r="U49" s="24">
        <f t="shared" si="0"/>
        <v>309.33333333333331</v>
      </c>
      <c r="X49">
        <v>129</v>
      </c>
      <c r="Y49">
        <v>126</v>
      </c>
      <c r="Z49">
        <v>133</v>
      </c>
      <c r="AA49">
        <v>121</v>
      </c>
      <c r="AB49">
        <v>0</v>
      </c>
      <c r="AC49">
        <v>246</v>
      </c>
      <c r="AD49">
        <v>291</v>
      </c>
      <c r="AE49">
        <v>302</v>
      </c>
      <c r="AF49">
        <v>309</v>
      </c>
      <c r="AG49">
        <v>279</v>
      </c>
      <c r="AH49">
        <v>297</v>
      </c>
      <c r="AI49" s="25">
        <v>369</v>
      </c>
      <c r="AJ49" s="27">
        <f>IF(SUMIFS('Detalhe Por UC'!$AB:$AB,'Detalhe Por UC'!$C:$C,'Infos Clientes'!$B49,'Detalhe Por UC'!$R:$R,'Infos Clientes'!AJ$2)=0,"",
SUMIFS('Detalhe Por UC'!$AB:$AB,'Detalhe Por UC'!$C:$C,'Infos Clientes'!$B49,'Detalhe Por UC'!$R:$R,'Infos Clientes'!AJ$2)
+SUMIFS('Detalhe Por UC'!$AC:$AC,'Detalhe Por UC'!$C:$C,'Infos Clientes'!$B49,'Detalhe Por UC'!$R:$R,'Infos Clientes'!AJ$2))</f>
        <v>220</v>
      </c>
      <c r="AK49" s="27">
        <f>IF(SUMIFS('Detalhe Por UC'!$AB:$AB,'Detalhe Por UC'!$C:$C,'Infos Clientes'!$B49,'Detalhe Por UC'!$R:$R,'Infos Clientes'!AK$2)=0,"",
SUMIFS('Detalhe Por UC'!$AB:$AB,'Detalhe Por UC'!$C:$C,'Infos Clientes'!$B49,'Detalhe Por UC'!$R:$R,'Infos Clientes'!AK$2)
+SUMIFS('Detalhe Por UC'!$AC:$AC,'Detalhe Por UC'!$C:$C,'Infos Clientes'!$B49,'Detalhe Por UC'!$R:$R,'Infos Clientes'!AK$2))</f>
        <v>254</v>
      </c>
      <c r="AL49" s="27">
        <f>IF(SUMIFS('Detalhe Por UC'!$AB:$AB,'Detalhe Por UC'!$C:$C,'Infos Clientes'!$B49,'Detalhe Por UC'!$R:$R,'Infos Clientes'!AL$2)=0,"",
SUMIFS('Detalhe Por UC'!$AB:$AB,'Detalhe Por UC'!$C:$C,'Infos Clientes'!$B49,'Detalhe Por UC'!$R:$R,'Infos Clientes'!AL$2)
+SUMIFS('Detalhe Por UC'!$AC:$AC,'Detalhe Por UC'!$C:$C,'Infos Clientes'!$B49,'Detalhe Por UC'!$R:$R,'Infos Clientes'!AL$2))</f>
        <v>320</v>
      </c>
      <c r="AM49" s="27">
        <f>IF(SUMIFS('Detalhe Por UC'!$AB:$AB,'Detalhe Por UC'!$C:$C,'Infos Clientes'!$B49,'Detalhe Por UC'!$R:$R,'Infos Clientes'!AM$2)=0,"",
SUMIFS('Detalhe Por UC'!$AB:$AB,'Detalhe Por UC'!$C:$C,'Infos Clientes'!$B49,'Detalhe Por UC'!$R:$R,'Infos Clientes'!AM$2)
+SUMIFS('Detalhe Por UC'!$AC:$AC,'Detalhe Por UC'!$C:$C,'Infos Clientes'!$B49,'Detalhe Por UC'!$R:$R,'Infos Clientes'!AM$2))</f>
        <v>351</v>
      </c>
      <c r="AN49" s="27">
        <f>IF(SUMIFS('Detalhe Por UC'!$AB:$AB,'Detalhe Por UC'!$C:$C,'Infos Clientes'!$B49,'Detalhe Por UC'!$R:$R,'Infos Clientes'!AN$2)=0,"",
SUMIFS('Detalhe Por UC'!$AB:$AB,'Detalhe Por UC'!$C:$C,'Infos Clientes'!$B49,'Detalhe Por UC'!$R:$R,'Infos Clientes'!AN$2)
+SUMIFS('Detalhe Por UC'!$AC:$AC,'Detalhe Por UC'!$C:$C,'Infos Clientes'!$B49,'Detalhe Por UC'!$R:$R,'Infos Clientes'!AN$2))</f>
        <v>320</v>
      </c>
      <c r="AO49" s="27">
        <f>IF(SUMIFS('Detalhe Por UC'!$AB:$AB,'Detalhe Por UC'!$C:$C,'Infos Clientes'!$B49,'Detalhe Por UC'!$R:$R,'Infos Clientes'!AO$2)=0,"",
SUMIFS('Detalhe Por UC'!$AB:$AB,'Detalhe Por UC'!$C:$C,'Infos Clientes'!$B49,'Detalhe Por UC'!$R:$R,'Infos Clientes'!AO$2)
+SUMIFS('Detalhe Por UC'!$AC:$AC,'Detalhe Por UC'!$C:$C,'Infos Clientes'!$B49,'Detalhe Por UC'!$R:$R,'Infos Clientes'!AO$2))</f>
        <v>271</v>
      </c>
      <c r="AP49" s="27">
        <f>IF(SUMIFS('Detalhe Por UC'!$AB:$AB,'Detalhe Por UC'!$C:$C,'Infos Clientes'!$B49,'Detalhe Por UC'!$R:$R,'Infos Clientes'!AP$2)=0,"",
SUMIFS('Detalhe Por UC'!$AB:$AB,'Detalhe Por UC'!$C:$C,'Infos Clientes'!$B49,'Detalhe Por UC'!$R:$R,'Infos Clientes'!AP$2)
+SUMIFS('Detalhe Por UC'!$AC:$AC,'Detalhe Por UC'!$C:$C,'Infos Clientes'!$B49,'Detalhe Por UC'!$R:$R,'Infos Clientes'!AP$2))</f>
        <v>239</v>
      </c>
      <c r="AQ49" s="27">
        <f>IF(SUMIFS('Detalhe Por UC'!$AB:$AB,'Detalhe Por UC'!$C:$C,'Infos Clientes'!$B49,'Detalhe Por UC'!$R:$R,'Infos Clientes'!AQ$2)=0,"",
SUMIFS('Detalhe Por UC'!$AB:$AB,'Detalhe Por UC'!$C:$C,'Infos Clientes'!$B49,'Detalhe Por UC'!$R:$R,'Infos Clientes'!AQ$2)
+SUMIFS('Detalhe Por UC'!$AC:$AC,'Detalhe Por UC'!$C:$C,'Infos Clientes'!$B49,'Detalhe Por UC'!$R:$R,'Infos Clientes'!AQ$2))</f>
        <v>292</v>
      </c>
      <c r="AR49" s="27">
        <f>IF(SUMIFS('Detalhe Por UC'!$AB:$AB,'Detalhe Por UC'!$C:$C,'Infos Clientes'!$B49,'Detalhe Por UC'!$R:$R,'Infos Clientes'!AR$2)=0,"",
SUMIFS('Detalhe Por UC'!$AB:$AB,'Detalhe Por UC'!$C:$C,'Infos Clientes'!$B49,'Detalhe Por UC'!$R:$R,'Infos Clientes'!AR$2)
+SUMIFS('Detalhe Por UC'!$AC:$AC,'Detalhe Por UC'!$C:$C,'Infos Clientes'!$B49,'Detalhe Por UC'!$R:$R,'Infos Clientes'!AR$2))</f>
        <v>383</v>
      </c>
      <c r="AS49" s="27">
        <f>IF(SUMIFS('Detalhe Por UC'!$AB:$AB,'Detalhe Por UC'!$C:$C,'Infos Clientes'!$B49,'Detalhe Por UC'!$R:$R,'Infos Clientes'!AS$2)=0,"",
SUMIFS('Detalhe Por UC'!$AB:$AB,'Detalhe Por UC'!$C:$C,'Infos Clientes'!$B49,'Detalhe Por UC'!$R:$R,'Infos Clientes'!AS$2)
+SUMIFS('Detalhe Por UC'!$AC:$AC,'Detalhe Por UC'!$C:$C,'Infos Clientes'!$B49,'Detalhe Por UC'!$R:$R,'Infos Clientes'!AS$2))</f>
        <v>350</v>
      </c>
      <c r="AT49" s="27">
        <f>IF(SUMIFS('Detalhe Por UC'!$AB:$AB,'Detalhe Por UC'!$C:$C,'Infos Clientes'!$B49,'Detalhe Por UC'!$R:$R,'Infos Clientes'!AT$2)=0,"",
SUMIFS('Detalhe Por UC'!$AB:$AB,'Detalhe Por UC'!$C:$C,'Infos Clientes'!$B49,'Detalhe Por UC'!$R:$R,'Infos Clientes'!AT$2)
+SUMIFS('Detalhe Por UC'!$AC:$AC,'Detalhe Por UC'!$C:$C,'Infos Clientes'!$B49,'Detalhe Por UC'!$R:$R,'Infos Clientes'!AT$2))</f>
        <v>343</v>
      </c>
      <c r="AU49" s="27" t="str">
        <f>IF(SUMIFS('Detalhe Por UC'!$AB:$AB,'Detalhe Por UC'!$C:$C,'Infos Clientes'!$B49,'Detalhe Por UC'!$R:$R,'Infos Clientes'!AU$2)=0,"",
SUMIFS('Detalhe Por UC'!$AB:$AB,'Detalhe Por UC'!$C:$C,'Infos Clientes'!$B49,'Detalhe Por UC'!$R:$R,'Infos Clientes'!AU$2)
+SUMIFS('Detalhe Por UC'!$AC:$AC,'Detalhe Por UC'!$C:$C,'Infos Clientes'!$B49,'Detalhe Por UC'!$R:$R,'Infos Clientes'!AU$2))</f>
        <v/>
      </c>
    </row>
    <row r="50" spans="2:47" x14ac:dyDescent="0.3">
      <c r="B50" t="s">
        <v>144</v>
      </c>
      <c r="C50" s="14">
        <f t="shared" si="1"/>
        <v>50</v>
      </c>
      <c r="D50" t="s">
        <v>19</v>
      </c>
      <c r="E50" s="15">
        <v>371</v>
      </c>
      <c r="F50" t="s">
        <v>77</v>
      </c>
      <c r="G50" t="s">
        <v>145</v>
      </c>
      <c r="H50" t="str">
        <f t="shared" si="2"/>
        <v>10/1130988-7</v>
      </c>
      <c r="I50" s="31" t="s">
        <v>22</v>
      </c>
      <c r="J50" s="31" t="s">
        <v>23</v>
      </c>
      <c r="K50" s="18" t="s">
        <v>138</v>
      </c>
      <c r="M50" s="32">
        <v>0.25</v>
      </c>
      <c r="Q50" s="22">
        <f>IF(_xlfn.MINIFS('Detalhe Por UC'!R:R,'Detalhe Por UC'!C:C,B50,'Detalhe Por UC'!AD:AD,"&gt;"&amp;0)=0,"",_xlfn.MINIFS('Detalhe Por UC'!R:R,'Detalhe Por UC'!C:C,B50,'Detalhe Por UC'!AD:AD,"&gt;"&amp;0))</f>
        <v>45658</v>
      </c>
      <c r="R50" s="23">
        <f>IF(P50&lt;&gt;"ATIVO",0,
IF(OR(Q50="",Q50=0,O50=0),O50,
O50-ROUND((MAX('Detalhe Por UC'!R:R)
-Q50)/(365/12),0)))</f>
        <v>0</v>
      </c>
      <c r="T50" s="29">
        <v>238.54545454545453</v>
      </c>
      <c r="U50" s="24">
        <f t="shared" si="0"/>
        <v>238.33333333333334</v>
      </c>
      <c r="X50">
        <v>305</v>
      </c>
      <c r="Y50">
        <v>296</v>
      </c>
      <c r="Z50">
        <v>297</v>
      </c>
      <c r="AA50">
        <v>302</v>
      </c>
      <c r="AB50">
        <v>0</v>
      </c>
      <c r="AC50">
        <v>243</v>
      </c>
      <c r="AD50">
        <v>134</v>
      </c>
      <c r="AE50">
        <v>140</v>
      </c>
      <c r="AF50">
        <v>142</v>
      </c>
      <c r="AG50">
        <v>187</v>
      </c>
      <c r="AH50">
        <v>234</v>
      </c>
      <c r="AI50" s="25">
        <v>299</v>
      </c>
      <c r="AJ50" s="27">
        <f>IF(SUMIFS('Detalhe Por UC'!$AB:$AB,'Detalhe Por UC'!$C:$C,'Infos Clientes'!$B50,'Detalhe Por UC'!$R:$R,'Infos Clientes'!AJ$2)=0,"",
SUMIFS('Detalhe Por UC'!$AB:$AB,'Detalhe Por UC'!$C:$C,'Infos Clientes'!$B50,'Detalhe Por UC'!$R:$R,'Infos Clientes'!AJ$2)
+SUMIFS('Detalhe Por UC'!$AC:$AC,'Detalhe Por UC'!$C:$C,'Infos Clientes'!$B50,'Detalhe Por UC'!$R:$R,'Infos Clientes'!AJ$2))</f>
        <v>350</v>
      </c>
      <c r="AK50" s="27">
        <f>IF(SUMIFS('Detalhe Por UC'!$AB:$AB,'Detalhe Por UC'!$C:$C,'Infos Clientes'!$B50,'Detalhe Por UC'!$R:$R,'Infos Clientes'!AK$2)=0,"",
SUMIFS('Detalhe Por UC'!$AB:$AB,'Detalhe Por UC'!$C:$C,'Infos Clientes'!$B50,'Detalhe Por UC'!$R:$R,'Infos Clientes'!AK$2)
+SUMIFS('Detalhe Por UC'!$AC:$AC,'Detalhe Por UC'!$C:$C,'Infos Clientes'!$B50,'Detalhe Por UC'!$R:$R,'Infos Clientes'!AK$2))</f>
        <v>321</v>
      </c>
      <c r="AL50" s="27">
        <f>IF(SUMIFS('Detalhe Por UC'!$AB:$AB,'Detalhe Por UC'!$C:$C,'Infos Clientes'!$B50,'Detalhe Por UC'!$R:$R,'Infos Clientes'!AL$2)=0,"",
SUMIFS('Detalhe Por UC'!$AB:$AB,'Detalhe Por UC'!$C:$C,'Infos Clientes'!$B50,'Detalhe Por UC'!$R:$R,'Infos Clientes'!AL$2)
+SUMIFS('Detalhe Por UC'!$AC:$AC,'Detalhe Por UC'!$C:$C,'Infos Clientes'!$B50,'Detalhe Por UC'!$R:$R,'Infos Clientes'!AL$2))</f>
        <v>331</v>
      </c>
      <c r="AM50" s="27">
        <f>IF(SUMIFS('Detalhe Por UC'!$AB:$AB,'Detalhe Por UC'!$C:$C,'Infos Clientes'!$B50,'Detalhe Por UC'!$R:$R,'Infos Clientes'!AM$2)=0,"",
SUMIFS('Detalhe Por UC'!$AB:$AB,'Detalhe Por UC'!$C:$C,'Infos Clientes'!$B50,'Detalhe Por UC'!$R:$R,'Infos Clientes'!AM$2)
+SUMIFS('Detalhe Por UC'!$AC:$AC,'Detalhe Por UC'!$C:$C,'Infos Clientes'!$B50,'Detalhe Por UC'!$R:$R,'Infos Clientes'!AM$2))</f>
        <v>235</v>
      </c>
      <c r="AN50" s="27">
        <f>IF(SUMIFS('Detalhe Por UC'!$AB:$AB,'Detalhe Por UC'!$C:$C,'Infos Clientes'!$B50,'Detalhe Por UC'!$R:$R,'Infos Clientes'!AN$2)=0,"",
SUMIFS('Detalhe Por UC'!$AB:$AB,'Detalhe Por UC'!$C:$C,'Infos Clientes'!$B50,'Detalhe Por UC'!$R:$R,'Infos Clientes'!AN$2)
+SUMIFS('Detalhe Por UC'!$AC:$AC,'Detalhe Por UC'!$C:$C,'Infos Clientes'!$B50,'Detalhe Por UC'!$R:$R,'Infos Clientes'!AN$2))</f>
        <v>290</v>
      </c>
      <c r="AO50" s="27">
        <f>IF(SUMIFS('Detalhe Por UC'!$AB:$AB,'Detalhe Por UC'!$C:$C,'Infos Clientes'!$B50,'Detalhe Por UC'!$R:$R,'Infos Clientes'!AO$2)=0,"",
SUMIFS('Detalhe Por UC'!$AB:$AB,'Detalhe Por UC'!$C:$C,'Infos Clientes'!$B50,'Detalhe Por UC'!$R:$R,'Infos Clientes'!AO$2)
+SUMIFS('Detalhe Por UC'!$AC:$AC,'Detalhe Por UC'!$C:$C,'Infos Clientes'!$B50,'Detalhe Por UC'!$R:$R,'Infos Clientes'!AO$2))</f>
        <v>89</v>
      </c>
      <c r="AP50" s="27">
        <f>IF(SUMIFS('Detalhe Por UC'!$AB:$AB,'Detalhe Por UC'!$C:$C,'Infos Clientes'!$B50,'Detalhe Por UC'!$R:$R,'Infos Clientes'!AP$2)=0,"",
SUMIFS('Detalhe Por UC'!$AB:$AB,'Detalhe Por UC'!$C:$C,'Infos Clientes'!$B50,'Detalhe Por UC'!$R:$R,'Infos Clientes'!AP$2)
+SUMIFS('Detalhe Por UC'!$AC:$AC,'Detalhe Por UC'!$C:$C,'Infos Clientes'!$B50,'Detalhe Por UC'!$R:$R,'Infos Clientes'!AP$2))</f>
        <v>93</v>
      </c>
      <c r="AQ50" s="27">
        <f>IF(SUMIFS('Detalhe Por UC'!$AB:$AB,'Detalhe Por UC'!$C:$C,'Infos Clientes'!$B50,'Detalhe Por UC'!$R:$R,'Infos Clientes'!AQ$2)=0,"",
SUMIFS('Detalhe Por UC'!$AB:$AB,'Detalhe Por UC'!$C:$C,'Infos Clientes'!$B50,'Detalhe Por UC'!$R:$R,'Infos Clientes'!AQ$2)
+SUMIFS('Detalhe Por UC'!$AC:$AC,'Detalhe Por UC'!$C:$C,'Infos Clientes'!$B50,'Detalhe Por UC'!$R:$R,'Infos Clientes'!AQ$2))</f>
        <v>150</v>
      </c>
      <c r="AR50" s="27">
        <f>IF(SUMIFS('Detalhe Por UC'!$AB:$AB,'Detalhe Por UC'!$C:$C,'Infos Clientes'!$B50,'Detalhe Por UC'!$R:$R,'Infos Clientes'!AR$2)=0,"",
SUMIFS('Detalhe Por UC'!$AB:$AB,'Detalhe Por UC'!$C:$C,'Infos Clientes'!$B50,'Detalhe Por UC'!$R:$R,'Infos Clientes'!AR$2)
+SUMIFS('Detalhe Por UC'!$AC:$AC,'Detalhe Por UC'!$C:$C,'Infos Clientes'!$B50,'Detalhe Por UC'!$R:$R,'Infos Clientes'!AR$2))</f>
        <v>225</v>
      </c>
      <c r="AS50" s="27">
        <f>IF(SUMIFS('Detalhe Por UC'!$AB:$AB,'Detalhe Por UC'!$C:$C,'Infos Clientes'!$B50,'Detalhe Por UC'!$R:$R,'Infos Clientes'!AS$2)=0,"",
SUMIFS('Detalhe Por UC'!$AB:$AB,'Detalhe Por UC'!$C:$C,'Infos Clientes'!$B50,'Detalhe Por UC'!$R:$R,'Infos Clientes'!AS$2)
+SUMIFS('Detalhe Por UC'!$AC:$AC,'Detalhe Por UC'!$C:$C,'Infos Clientes'!$B50,'Detalhe Por UC'!$R:$R,'Infos Clientes'!AS$2))</f>
        <v>273</v>
      </c>
      <c r="AT50" s="27">
        <f>IF(SUMIFS('Detalhe Por UC'!$AB:$AB,'Detalhe Por UC'!$C:$C,'Infos Clientes'!$B50,'Detalhe Por UC'!$R:$R,'Infos Clientes'!AT$2)=0,"",
SUMIFS('Detalhe Por UC'!$AB:$AB,'Detalhe Por UC'!$C:$C,'Infos Clientes'!$B50,'Detalhe Por UC'!$R:$R,'Infos Clientes'!AT$2)
+SUMIFS('Detalhe Por UC'!$AC:$AC,'Detalhe Por UC'!$C:$C,'Infos Clientes'!$B50,'Detalhe Por UC'!$R:$R,'Infos Clientes'!AT$2))</f>
        <v>204</v>
      </c>
      <c r="AU50" s="27" t="str">
        <f>IF(SUMIFS('Detalhe Por UC'!$AB:$AB,'Detalhe Por UC'!$C:$C,'Infos Clientes'!$B50,'Detalhe Por UC'!$R:$R,'Infos Clientes'!AU$2)=0,"",
SUMIFS('Detalhe Por UC'!$AB:$AB,'Detalhe Por UC'!$C:$C,'Infos Clientes'!$B50,'Detalhe Por UC'!$R:$R,'Infos Clientes'!AU$2)
+SUMIFS('Detalhe Por UC'!$AC:$AC,'Detalhe Por UC'!$C:$C,'Infos Clientes'!$B50,'Detalhe Por UC'!$R:$R,'Infos Clientes'!AU$2))</f>
        <v/>
      </c>
    </row>
    <row r="51" spans="2:47" x14ac:dyDescent="0.3">
      <c r="B51" t="s">
        <v>146</v>
      </c>
      <c r="C51" s="14">
        <f t="shared" si="1"/>
        <v>51</v>
      </c>
      <c r="D51" t="s">
        <v>19</v>
      </c>
      <c r="E51" s="15">
        <v>306</v>
      </c>
      <c r="F51" t="s">
        <v>85</v>
      </c>
      <c r="G51" t="s">
        <v>143</v>
      </c>
      <c r="H51" t="str">
        <f t="shared" si="2"/>
        <v>10/1266128-6</v>
      </c>
      <c r="I51" s="31" t="s">
        <v>22</v>
      </c>
      <c r="J51" s="31" t="s">
        <v>28</v>
      </c>
      <c r="K51" s="18" t="s">
        <v>138</v>
      </c>
      <c r="M51" s="32">
        <v>0.25</v>
      </c>
      <c r="Q51" s="22">
        <f>IF(_xlfn.MINIFS('Detalhe Por UC'!R:R,'Detalhe Por UC'!C:C,B51,'Detalhe Por UC'!AD:AD,"&gt;"&amp;0)=0,"",_xlfn.MINIFS('Detalhe Por UC'!R:R,'Detalhe Por UC'!C:C,B51,'Detalhe Por UC'!AD:AD,"&gt;"&amp;0))</f>
        <v>45658</v>
      </c>
      <c r="R51" s="23">
        <f>IF(P51&lt;&gt;"ATIVO",0,
IF(OR(Q51="",Q51=0,O51=0),O51,
O51-ROUND((MAX('Detalhe Por UC'!R:R)
-Q51)/(365/12),0)))</f>
        <v>0</v>
      </c>
      <c r="T51" s="29">
        <v>398.18181818181819</v>
      </c>
      <c r="U51" s="24">
        <f t="shared" si="0"/>
        <v>368.83333333333331</v>
      </c>
      <c r="X51">
        <v>420</v>
      </c>
      <c r="Y51">
        <v>540</v>
      </c>
      <c r="Z51">
        <v>510</v>
      </c>
      <c r="AA51">
        <v>450</v>
      </c>
      <c r="AB51">
        <v>0</v>
      </c>
      <c r="AC51">
        <v>290</v>
      </c>
      <c r="AD51">
        <v>230</v>
      </c>
      <c r="AE51">
        <v>250</v>
      </c>
      <c r="AF51">
        <v>330</v>
      </c>
      <c r="AG51">
        <v>450</v>
      </c>
      <c r="AH51">
        <v>370</v>
      </c>
      <c r="AI51" s="25">
        <v>440</v>
      </c>
      <c r="AJ51" s="27">
        <f>IF(SUMIFS('Detalhe Por UC'!$AB:$AB,'Detalhe Por UC'!$C:$C,'Infos Clientes'!$B51,'Detalhe Por UC'!$R:$R,'Infos Clientes'!AJ$2)=0,"",
SUMIFS('Detalhe Por UC'!$AB:$AB,'Detalhe Por UC'!$C:$C,'Infos Clientes'!$B51,'Detalhe Por UC'!$R:$R,'Infos Clientes'!AJ$2)
+SUMIFS('Detalhe Por UC'!$AC:$AC,'Detalhe Por UC'!$C:$C,'Infos Clientes'!$B51,'Detalhe Por UC'!$R:$R,'Infos Clientes'!AJ$2))</f>
        <v>520</v>
      </c>
      <c r="AK51" s="27">
        <f>IF(SUMIFS('Detalhe Por UC'!$AB:$AB,'Detalhe Por UC'!$C:$C,'Infos Clientes'!$B51,'Detalhe Por UC'!$R:$R,'Infos Clientes'!AK$2)=0,"",
SUMIFS('Detalhe Por UC'!$AB:$AB,'Detalhe Por UC'!$C:$C,'Infos Clientes'!$B51,'Detalhe Por UC'!$R:$R,'Infos Clientes'!AK$2)
+SUMIFS('Detalhe Por UC'!$AC:$AC,'Detalhe Por UC'!$C:$C,'Infos Clientes'!$B51,'Detalhe Por UC'!$R:$R,'Infos Clientes'!AK$2))</f>
        <v>510</v>
      </c>
      <c r="AL51" s="27">
        <f>IF(SUMIFS('Detalhe Por UC'!$AB:$AB,'Detalhe Por UC'!$C:$C,'Infos Clientes'!$B51,'Detalhe Por UC'!$R:$R,'Infos Clientes'!AL$2)=0,"",
SUMIFS('Detalhe Por UC'!$AB:$AB,'Detalhe Por UC'!$C:$C,'Infos Clientes'!$B51,'Detalhe Por UC'!$R:$R,'Infos Clientes'!AL$2)
+SUMIFS('Detalhe Por UC'!$AC:$AC,'Detalhe Por UC'!$C:$C,'Infos Clientes'!$B51,'Detalhe Por UC'!$R:$R,'Infos Clientes'!AL$2))</f>
        <v>460</v>
      </c>
      <c r="AM51" s="27">
        <f>IF(SUMIFS('Detalhe Por UC'!$AB:$AB,'Detalhe Por UC'!$C:$C,'Infos Clientes'!$B51,'Detalhe Por UC'!$R:$R,'Infos Clientes'!AM$2)=0,"",
SUMIFS('Detalhe Por UC'!$AB:$AB,'Detalhe Por UC'!$C:$C,'Infos Clientes'!$B51,'Detalhe Por UC'!$R:$R,'Infos Clientes'!AM$2)
+SUMIFS('Detalhe Por UC'!$AC:$AC,'Detalhe Por UC'!$C:$C,'Infos Clientes'!$B51,'Detalhe Por UC'!$R:$R,'Infos Clientes'!AM$2))</f>
        <v>410</v>
      </c>
      <c r="AN51" s="27">
        <f>IF(SUMIFS('Detalhe Por UC'!$AB:$AB,'Detalhe Por UC'!$C:$C,'Infos Clientes'!$B51,'Detalhe Por UC'!$R:$R,'Infos Clientes'!AN$2)=0,"",
SUMIFS('Detalhe Por UC'!$AB:$AB,'Detalhe Por UC'!$C:$C,'Infos Clientes'!$B51,'Detalhe Por UC'!$R:$R,'Infos Clientes'!AN$2)
+SUMIFS('Detalhe Por UC'!$AC:$AC,'Detalhe Por UC'!$C:$C,'Infos Clientes'!$B51,'Detalhe Por UC'!$R:$R,'Infos Clientes'!AN$2))</f>
        <v>290</v>
      </c>
      <c r="AO51" s="27">
        <f>IF(SUMIFS('Detalhe Por UC'!$AB:$AB,'Detalhe Por UC'!$C:$C,'Infos Clientes'!$B51,'Detalhe Por UC'!$R:$R,'Infos Clientes'!AO$2)=0,"",
SUMIFS('Detalhe Por UC'!$AB:$AB,'Detalhe Por UC'!$C:$C,'Infos Clientes'!$B51,'Detalhe Por UC'!$R:$R,'Infos Clientes'!AO$2)
+SUMIFS('Detalhe Por UC'!$AC:$AC,'Detalhe Por UC'!$C:$C,'Infos Clientes'!$B51,'Detalhe Por UC'!$R:$R,'Infos Clientes'!AO$2))</f>
        <v>396</v>
      </c>
      <c r="AP51" s="27">
        <f>IF(SUMIFS('Detalhe Por UC'!$AB:$AB,'Detalhe Por UC'!$C:$C,'Infos Clientes'!$B51,'Detalhe Por UC'!$R:$R,'Infos Clientes'!AP$2)=0,"",
SUMIFS('Detalhe Por UC'!$AB:$AB,'Detalhe Por UC'!$C:$C,'Infos Clientes'!$B51,'Detalhe Por UC'!$R:$R,'Infos Clientes'!AP$2)
+SUMIFS('Detalhe Por UC'!$AC:$AC,'Detalhe Por UC'!$C:$C,'Infos Clientes'!$B51,'Detalhe Por UC'!$R:$R,'Infos Clientes'!AP$2))</f>
        <v>150</v>
      </c>
      <c r="AQ51" s="27">
        <f>IF(SUMIFS('Detalhe Por UC'!$AB:$AB,'Detalhe Por UC'!$C:$C,'Infos Clientes'!$B51,'Detalhe Por UC'!$R:$R,'Infos Clientes'!AQ$2)=0,"",
SUMIFS('Detalhe Por UC'!$AB:$AB,'Detalhe Por UC'!$C:$C,'Infos Clientes'!$B51,'Detalhe Por UC'!$R:$R,'Infos Clientes'!AQ$2)
+SUMIFS('Detalhe Por UC'!$AC:$AC,'Detalhe Por UC'!$C:$C,'Infos Clientes'!$B51,'Detalhe Por UC'!$R:$R,'Infos Clientes'!AQ$2))</f>
        <v>190</v>
      </c>
      <c r="AR51" s="27">
        <f>IF(SUMIFS('Detalhe Por UC'!$AB:$AB,'Detalhe Por UC'!$C:$C,'Infos Clientes'!$B51,'Detalhe Por UC'!$R:$R,'Infos Clientes'!AR$2)=0,"",
SUMIFS('Detalhe Por UC'!$AB:$AB,'Detalhe Por UC'!$C:$C,'Infos Clientes'!$B51,'Detalhe Por UC'!$R:$R,'Infos Clientes'!AR$2)
+SUMIFS('Detalhe Por UC'!$AC:$AC,'Detalhe Por UC'!$C:$C,'Infos Clientes'!$B51,'Detalhe Por UC'!$R:$R,'Infos Clientes'!AR$2))</f>
        <v>260</v>
      </c>
      <c r="AS51" s="27">
        <f>IF(SUMIFS('Detalhe Por UC'!$AB:$AB,'Detalhe Por UC'!$C:$C,'Infos Clientes'!$B51,'Detalhe Por UC'!$R:$R,'Infos Clientes'!AS$2)=0,"",
SUMIFS('Detalhe Por UC'!$AB:$AB,'Detalhe Por UC'!$C:$C,'Infos Clientes'!$B51,'Detalhe Por UC'!$R:$R,'Infos Clientes'!AS$2)
+SUMIFS('Detalhe Por UC'!$AC:$AC,'Detalhe Por UC'!$C:$C,'Infos Clientes'!$B51,'Detalhe Por UC'!$R:$R,'Infos Clientes'!AS$2))</f>
        <v>430</v>
      </c>
      <c r="AT51" s="27">
        <f>IF(SUMIFS('Detalhe Por UC'!$AB:$AB,'Detalhe Por UC'!$C:$C,'Infos Clientes'!$B51,'Detalhe Por UC'!$R:$R,'Infos Clientes'!AT$2)=0,"",
SUMIFS('Detalhe Por UC'!$AB:$AB,'Detalhe Por UC'!$C:$C,'Infos Clientes'!$B51,'Detalhe Por UC'!$R:$R,'Infos Clientes'!AT$2)
+SUMIFS('Detalhe Por UC'!$AC:$AC,'Detalhe Por UC'!$C:$C,'Infos Clientes'!$B51,'Detalhe Por UC'!$R:$R,'Infos Clientes'!AT$2))</f>
        <v>370</v>
      </c>
      <c r="AU51" s="27" t="str">
        <f>IF(SUMIFS('Detalhe Por UC'!$AB:$AB,'Detalhe Por UC'!$C:$C,'Infos Clientes'!$B51,'Detalhe Por UC'!$R:$R,'Infos Clientes'!AU$2)=0,"",
SUMIFS('Detalhe Por UC'!$AB:$AB,'Detalhe Por UC'!$C:$C,'Infos Clientes'!$B51,'Detalhe Por UC'!$R:$R,'Infos Clientes'!AU$2)
+SUMIFS('Detalhe Por UC'!$AC:$AC,'Detalhe Por UC'!$C:$C,'Infos Clientes'!$B51,'Detalhe Por UC'!$R:$R,'Infos Clientes'!AU$2))</f>
        <v/>
      </c>
    </row>
    <row r="52" spans="2:47" x14ac:dyDescent="0.3">
      <c r="B52" t="s">
        <v>147</v>
      </c>
      <c r="C52" s="14">
        <f t="shared" si="1"/>
        <v>52</v>
      </c>
      <c r="D52" t="s">
        <v>19</v>
      </c>
      <c r="E52" s="15">
        <v>360</v>
      </c>
      <c r="F52" t="s">
        <v>148</v>
      </c>
      <c r="G52" t="s">
        <v>149</v>
      </c>
      <c r="H52" t="str">
        <f t="shared" si="2"/>
        <v>10/127464-6</v>
      </c>
      <c r="I52" s="31" t="s">
        <v>22</v>
      </c>
      <c r="J52" s="31" t="s">
        <v>28</v>
      </c>
      <c r="K52" s="18" t="s">
        <v>138</v>
      </c>
      <c r="M52" s="32">
        <v>0.25</v>
      </c>
      <c r="Q52" s="22">
        <f>IF(_xlfn.MINIFS('Detalhe Por UC'!R:R,'Detalhe Por UC'!C:C,B52,'Detalhe Por UC'!AD:AD,"&gt;"&amp;0)=0,"",_xlfn.MINIFS('Detalhe Por UC'!R:R,'Detalhe Por UC'!C:C,B52,'Detalhe Por UC'!AD:AD,"&gt;"&amp;0))</f>
        <v>45658</v>
      </c>
      <c r="R52" s="23">
        <f>IF(P52&lt;&gt;"ATIVO",0,
IF(OR(Q52="",Q52=0,O52=0),O52,
O52-ROUND((MAX('Detalhe Por UC'!R:R)
-Q52)/(365/12),0)))</f>
        <v>0</v>
      </c>
      <c r="T52" s="29">
        <v>471.63636363636363</v>
      </c>
      <c r="U52" s="24">
        <f t="shared" si="0"/>
        <v>486.41666666666669</v>
      </c>
      <c r="X52">
        <v>399</v>
      </c>
      <c r="Y52">
        <v>533</v>
      </c>
      <c r="Z52">
        <v>437</v>
      </c>
      <c r="AA52">
        <v>574</v>
      </c>
      <c r="AB52">
        <v>0</v>
      </c>
      <c r="AC52">
        <v>261</v>
      </c>
      <c r="AD52">
        <v>385</v>
      </c>
      <c r="AE52">
        <v>433</v>
      </c>
      <c r="AF52">
        <v>439</v>
      </c>
      <c r="AG52">
        <v>528</v>
      </c>
      <c r="AH52">
        <v>584</v>
      </c>
      <c r="AI52" s="25">
        <v>468</v>
      </c>
      <c r="AJ52" s="27">
        <f>IF(SUMIFS('Detalhe Por UC'!$AB:$AB,'Detalhe Por UC'!$C:$C,'Infos Clientes'!$B52,'Detalhe Por UC'!$R:$R,'Infos Clientes'!AJ$2)=0,"",
SUMIFS('Detalhe Por UC'!$AB:$AB,'Detalhe Por UC'!$C:$C,'Infos Clientes'!$B52,'Detalhe Por UC'!$R:$R,'Infos Clientes'!AJ$2)
+SUMIFS('Detalhe Por UC'!$AC:$AC,'Detalhe Por UC'!$C:$C,'Infos Clientes'!$B52,'Detalhe Por UC'!$R:$R,'Infos Clientes'!AJ$2))</f>
        <v>546</v>
      </c>
      <c r="AK52" s="27">
        <f>IF(SUMIFS('Detalhe Por UC'!$AB:$AB,'Detalhe Por UC'!$C:$C,'Infos Clientes'!$B52,'Detalhe Por UC'!$R:$R,'Infos Clientes'!AK$2)=0,"",
SUMIFS('Detalhe Por UC'!$AB:$AB,'Detalhe Por UC'!$C:$C,'Infos Clientes'!$B52,'Detalhe Por UC'!$R:$R,'Infos Clientes'!AK$2)
+SUMIFS('Detalhe Por UC'!$AC:$AC,'Detalhe Por UC'!$C:$C,'Infos Clientes'!$B52,'Detalhe Por UC'!$R:$R,'Infos Clientes'!AK$2))</f>
        <v>531</v>
      </c>
      <c r="AL52" s="27">
        <f>IF(SUMIFS('Detalhe Por UC'!$AB:$AB,'Detalhe Por UC'!$C:$C,'Infos Clientes'!$B52,'Detalhe Por UC'!$R:$R,'Infos Clientes'!AL$2)=0,"",
SUMIFS('Detalhe Por UC'!$AB:$AB,'Detalhe Por UC'!$C:$C,'Infos Clientes'!$B52,'Detalhe Por UC'!$R:$R,'Infos Clientes'!AL$2)
+SUMIFS('Detalhe Por UC'!$AC:$AC,'Detalhe Por UC'!$C:$C,'Infos Clientes'!$B52,'Detalhe Por UC'!$R:$R,'Infos Clientes'!AL$2))</f>
        <v>537</v>
      </c>
      <c r="AM52" s="27">
        <f>IF(SUMIFS('Detalhe Por UC'!$AB:$AB,'Detalhe Por UC'!$C:$C,'Infos Clientes'!$B52,'Detalhe Por UC'!$R:$R,'Infos Clientes'!AM$2)=0,"",
SUMIFS('Detalhe Por UC'!$AB:$AB,'Detalhe Por UC'!$C:$C,'Infos Clientes'!$B52,'Detalhe Por UC'!$R:$R,'Infos Clientes'!AM$2)
+SUMIFS('Detalhe Por UC'!$AC:$AC,'Detalhe Por UC'!$C:$C,'Infos Clientes'!$B52,'Detalhe Por UC'!$R:$R,'Infos Clientes'!AM$2))</f>
        <v>472</v>
      </c>
      <c r="AN52" s="27">
        <f>IF(SUMIFS('Detalhe Por UC'!$AB:$AB,'Detalhe Por UC'!$C:$C,'Infos Clientes'!$B52,'Detalhe Por UC'!$R:$R,'Infos Clientes'!AN$2)=0,"",
SUMIFS('Detalhe Por UC'!$AB:$AB,'Detalhe Por UC'!$C:$C,'Infos Clientes'!$B52,'Detalhe Por UC'!$R:$R,'Infos Clientes'!AN$2)
+SUMIFS('Detalhe Por UC'!$AC:$AC,'Detalhe Por UC'!$C:$C,'Infos Clientes'!$B52,'Detalhe Por UC'!$R:$R,'Infos Clientes'!AN$2))</f>
        <v>594</v>
      </c>
      <c r="AO52" s="27">
        <f>IF(SUMIFS('Detalhe Por UC'!$AB:$AB,'Detalhe Por UC'!$C:$C,'Infos Clientes'!$B52,'Detalhe Por UC'!$R:$R,'Infos Clientes'!AO$2)=0,"",
SUMIFS('Detalhe Por UC'!$AB:$AB,'Detalhe Por UC'!$C:$C,'Infos Clientes'!$B52,'Detalhe Por UC'!$R:$R,'Infos Clientes'!AO$2)
+SUMIFS('Detalhe Por UC'!$AC:$AC,'Detalhe Por UC'!$C:$C,'Infos Clientes'!$B52,'Detalhe Por UC'!$R:$R,'Infos Clientes'!AO$2))</f>
        <v>376</v>
      </c>
      <c r="AP52" s="27">
        <f>IF(SUMIFS('Detalhe Por UC'!$AB:$AB,'Detalhe Por UC'!$C:$C,'Infos Clientes'!$B52,'Detalhe Por UC'!$R:$R,'Infos Clientes'!AP$2)=0,"",
SUMIFS('Detalhe Por UC'!$AB:$AB,'Detalhe Por UC'!$C:$C,'Infos Clientes'!$B52,'Detalhe Por UC'!$R:$R,'Infos Clientes'!AP$2)
+SUMIFS('Detalhe Por UC'!$AC:$AC,'Detalhe Por UC'!$C:$C,'Infos Clientes'!$B52,'Detalhe Por UC'!$R:$R,'Infos Clientes'!AP$2))</f>
        <v>345</v>
      </c>
      <c r="AQ52" s="27">
        <f>IF(SUMIFS('Detalhe Por UC'!$AB:$AB,'Detalhe Por UC'!$C:$C,'Infos Clientes'!$B52,'Detalhe Por UC'!$R:$R,'Infos Clientes'!AQ$2)=0,"",
SUMIFS('Detalhe Por UC'!$AB:$AB,'Detalhe Por UC'!$C:$C,'Infos Clientes'!$B52,'Detalhe Por UC'!$R:$R,'Infos Clientes'!AQ$2)
+SUMIFS('Detalhe Por UC'!$AC:$AC,'Detalhe Por UC'!$C:$C,'Infos Clientes'!$B52,'Detalhe Por UC'!$R:$R,'Infos Clientes'!AQ$2))</f>
        <v>320</v>
      </c>
      <c r="AR52" s="27">
        <f>IF(SUMIFS('Detalhe Por UC'!$AB:$AB,'Detalhe Por UC'!$C:$C,'Infos Clientes'!$B52,'Detalhe Por UC'!$R:$R,'Infos Clientes'!AR$2)=0,"",
SUMIFS('Detalhe Por UC'!$AB:$AB,'Detalhe Por UC'!$C:$C,'Infos Clientes'!$B52,'Detalhe Por UC'!$R:$R,'Infos Clientes'!AR$2)
+SUMIFS('Detalhe Por UC'!$AC:$AC,'Detalhe Por UC'!$C:$C,'Infos Clientes'!$B52,'Detalhe Por UC'!$R:$R,'Infos Clientes'!AR$2))</f>
        <v>432</v>
      </c>
      <c r="AS52" s="27">
        <f>IF(SUMIFS('Detalhe Por UC'!$AB:$AB,'Detalhe Por UC'!$C:$C,'Infos Clientes'!$B52,'Detalhe Por UC'!$R:$R,'Infos Clientes'!AS$2)=0,"",
SUMIFS('Detalhe Por UC'!$AB:$AB,'Detalhe Por UC'!$C:$C,'Infos Clientes'!$B52,'Detalhe Por UC'!$R:$R,'Infos Clientes'!AS$2)
+SUMIFS('Detalhe Por UC'!$AC:$AC,'Detalhe Por UC'!$C:$C,'Infos Clientes'!$B52,'Detalhe Por UC'!$R:$R,'Infos Clientes'!AS$2))</f>
        <v>581</v>
      </c>
      <c r="AT52" s="27">
        <f>IF(SUMIFS('Detalhe Por UC'!$AB:$AB,'Detalhe Por UC'!$C:$C,'Infos Clientes'!$B52,'Detalhe Por UC'!$R:$R,'Infos Clientes'!AT$2)=0,"",
SUMIFS('Detalhe Por UC'!$AB:$AB,'Detalhe Por UC'!$C:$C,'Infos Clientes'!$B52,'Detalhe Por UC'!$R:$R,'Infos Clientes'!AT$2)
+SUMIFS('Detalhe Por UC'!$AC:$AC,'Detalhe Por UC'!$C:$C,'Infos Clientes'!$B52,'Detalhe Por UC'!$R:$R,'Infos Clientes'!AT$2))</f>
        <v>635</v>
      </c>
      <c r="AU52" s="27" t="str">
        <f>IF(SUMIFS('Detalhe Por UC'!$AB:$AB,'Detalhe Por UC'!$C:$C,'Infos Clientes'!$B52,'Detalhe Por UC'!$R:$R,'Infos Clientes'!AU$2)=0,"",
SUMIFS('Detalhe Por UC'!$AB:$AB,'Detalhe Por UC'!$C:$C,'Infos Clientes'!$B52,'Detalhe Por UC'!$R:$R,'Infos Clientes'!AU$2)
+SUMIFS('Detalhe Por UC'!$AC:$AC,'Detalhe Por UC'!$C:$C,'Infos Clientes'!$B52,'Detalhe Por UC'!$R:$R,'Infos Clientes'!AU$2))</f>
        <v/>
      </c>
    </row>
    <row r="53" spans="2:47" x14ac:dyDescent="0.3">
      <c r="B53" t="s">
        <v>150</v>
      </c>
      <c r="C53" s="14">
        <f t="shared" si="1"/>
        <v>53</v>
      </c>
      <c r="D53" t="s">
        <v>19</v>
      </c>
      <c r="E53" s="15">
        <v>306</v>
      </c>
      <c r="F53" t="s">
        <v>151</v>
      </c>
      <c r="G53" t="s">
        <v>143</v>
      </c>
      <c r="H53" t="str">
        <f t="shared" si="2"/>
        <v>10/1288241-1</v>
      </c>
      <c r="I53" s="31" t="s">
        <v>22</v>
      </c>
      <c r="J53" s="31" t="s">
        <v>28</v>
      </c>
      <c r="K53" s="18" t="s">
        <v>138</v>
      </c>
      <c r="M53" s="32">
        <v>0.25</v>
      </c>
      <c r="Q53" s="22">
        <f>IF(_xlfn.MINIFS('Detalhe Por UC'!R:R,'Detalhe Por UC'!C:C,B53,'Detalhe Por UC'!AD:AD,"&gt;"&amp;0)=0,"",_xlfn.MINIFS('Detalhe Por UC'!R:R,'Detalhe Por UC'!C:C,B53,'Detalhe Por UC'!AD:AD,"&gt;"&amp;0))</f>
        <v>45658</v>
      </c>
      <c r="R53" s="23">
        <f>IF(P53&lt;&gt;"ATIVO",0,
IF(OR(Q53="",Q53=0,O53=0),O53,
O53-ROUND((MAX('Detalhe Por UC'!R:R)
-Q53)/(365/12),0)))</f>
        <v>0</v>
      </c>
      <c r="T53" s="29">
        <v>209.54545454545453</v>
      </c>
      <c r="U53" s="24">
        <f t="shared" si="0"/>
        <v>237.16666666666666</v>
      </c>
      <c r="X53">
        <v>168</v>
      </c>
      <c r="Y53">
        <v>234</v>
      </c>
      <c r="Z53">
        <v>238</v>
      </c>
      <c r="AA53">
        <v>231</v>
      </c>
      <c r="AB53">
        <v>0</v>
      </c>
      <c r="AC53">
        <v>187</v>
      </c>
      <c r="AD53">
        <v>162</v>
      </c>
      <c r="AE53">
        <v>159</v>
      </c>
      <c r="AF53">
        <v>187</v>
      </c>
      <c r="AG53">
        <v>219</v>
      </c>
      <c r="AH53">
        <v>257</v>
      </c>
      <c r="AI53" s="25">
        <v>226</v>
      </c>
      <c r="AJ53" s="27">
        <f>IF(SUMIFS('Detalhe Por UC'!$AB:$AB,'Detalhe Por UC'!$C:$C,'Infos Clientes'!$B53,'Detalhe Por UC'!$R:$R,'Infos Clientes'!AJ$2)=0,"",
SUMIFS('Detalhe Por UC'!$AB:$AB,'Detalhe Por UC'!$C:$C,'Infos Clientes'!$B53,'Detalhe Por UC'!$R:$R,'Infos Clientes'!AJ$2)
+SUMIFS('Detalhe Por UC'!$AC:$AC,'Detalhe Por UC'!$C:$C,'Infos Clientes'!$B53,'Detalhe Por UC'!$R:$R,'Infos Clientes'!AJ$2))</f>
        <v>205</v>
      </c>
      <c r="AK53" s="27">
        <f>IF(SUMIFS('Detalhe Por UC'!$AB:$AB,'Detalhe Por UC'!$C:$C,'Infos Clientes'!$B53,'Detalhe Por UC'!$R:$R,'Infos Clientes'!AK$2)=0,"",
SUMIFS('Detalhe Por UC'!$AB:$AB,'Detalhe Por UC'!$C:$C,'Infos Clientes'!$B53,'Detalhe Por UC'!$R:$R,'Infos Clientes'!AK$2)
+SUMIFS('Detalhe Por UC'!$AC:$AC,'Detalhe Por UC'!$C:$C,'Infos Clientes'!$B53,'Detalhe Por UC'!$R:$R,'Infos Clientes'!AK$2))</f>
        <v>253</v>
      </c>
      <c r="AL53" s="27">
        <f>IF(SUMIFS('Detalhe Por UC'!$AB:$AB,'Detalhe Por UC'!$C:$C,'Infos Clientes'!$B53,'Detalhe Por UC'!$R:$R,'Infos Clientes'!AL$2)=0,"",
SUMIFS('Detalhe Por UC'!$AB:$AB,'Detalhe Por UC'!$C:$C,'Infos Clientes'!$B53,'Detalhe Por UC'!$R:$R,'Infos Clientes'!AL$2)
+SUMIFS('Detalhe Por UC'!$AC:$AC,'Detalhe Por UC'!$C:$C,'Infos Clientes'!$B53,'Detalhe Por UC'!$R:$R,'Infos Clientes'!AL$2))</f>
        <v>248</v>
      </c>
      <c r="AM53" s="27">
        <f>IF(SUMIFS('Detalhe Por UC'!$AB:$AB,'Detalhe Por UC'!$C:$C,'Infos Clientes'!$B53,'Detalhe Por UC'!$R:$R,'Infos Clientes'!AM$2)=0,"",
SUMIFS('Detalhe Por UC'!$AB:$AB,'Detalhe Por UC'!$C:$C,'Infos Clientes'!$B53,'Detalhe Por UC'!$R:$R,'Infos Clientes'!AM$2)
+SUMIFS('Detalhe Por UC'!$AC:$AC,'Detalhe Por UC'!$C:$C,'Infos Clientes'!$B53,'Detalhe Por UC'!$R:$R,'Infos Clientes'!AM$2))</f>
        <v>252</v>
      </c>
      <c r="AN53" s="27">
        <f>IF(SUMIFS('Detalhe Por UC'!$AB:$AB,'Detalhe Por UC'!$C:$C,'Infos Clientes'!$B53,'Detalhe Por UC'!$R:$R,'Infos Clientes'!AN$2)=0,"",
SUMIFS('Detalhe Por UC'!$AB:$AB,'Detalhe Por UC'!$C:$C,'Infos Clientes'!$B53,'Detalhe Por UC'!$R:$R,'Infos Clientes'!AN$2)
+SUMIFS('Detalhe Por UC'!$AC:$AC,'Detalhe Por UC'!$C:$C,'Infos Clientes'!$B53,'Detalhe Por UC'!$R:$R,'Infos Clientes'!AN$2))</f>
        <v>250</v>
      </c>
      <c r="AO53" s="27">
        <f>IF(SUMIFS('Detalhe Por UC'!$AB:$AB,'Detalhe Por UC'!$C:$C,'Infos Clientes'!$B53,'Detalhe Por UC'!$R:$R,'Infos Clientes'!AO$2)=0,"",
SUMIFS('Detalhe Por UC'!$AB:$AB,'Detalhe Por UC'!$C:$C,'Infos Clientes'!$B53,'Detalhe Por UC'!$R:$R,'Infos Clientes'!AO$2)
+SUMIFS('Detalhe Por UC'!$AC:$AC,'Detalhe Por UC'!$C:$C,'Infos Clientes'!$B53,'Detalhe Por UC'!$R:$R,'Infos Clientes'!AO$2))</f>
        <v>203</v>
      </c>
      <c r="AP53" s="27">
        <f>IF(SUMIFS('Detalhe Por UC'!$AB:$AB,'Detalhe Por UC'!$C:$C,'Infos Clientes'!$B53,'Detalhe Por UC'!$R:$R,'Infos Clientes'!AP$2)=0,"",
SUMIFS('Detalhe Por UC'!$AB:$AB,'Detalhe Por UC'!$C:$C,'Infos Clientes'!$B53,'Detalhe Por UC'!$R:$R,'Infos Clientes'!AP$2)
+SUMIFS('Detalhe Por UC'!$AC:$AC,'Detalhe Por UC'!$C:$C,'Infos Clientes'!$B53,'Detalhe Por UC'!$R:$R,'Infos Clientes'!AP$2))</f>
        <v>175</v>
      </c>
      <c r="AQ53" s="27">
        <f>IF(SUMIFS('Detalhe Por UC'!$AB:$AB,'Detalhe Por UC'!$C:$C,'Infos Clientes'!$B53,'Detalhe Por UC'!$R:$R,'Infos Clientes'!AQ$2)=0,"",
SUMIFS('Detalhe Por UC'!$AB:$AB,'Detalhe Por UC'!$C:$C,'Infos Clientes'!$B53,'Detalhe Por UC'!$R:$R,'Infos Clientes'!AQ$2)
+SUMIFS('Detalhe Por UC'!$AC:$AC,'Detalhe Por UC'!$C:$C,'Infos Clientes'!$B53,'Detalhe Por UC'!$R:$R,'Infos Clientes'!AQ$2))</f>
        <v>230</v>
      </c>
      <c r="AR53" s="27">
        <f>IF(SUMIFS('Detalhe Por UC'!$AB:$AB,'Detalhe Por UC'!$C:$C,'Infos Clientes'!$B53,'Detalhe Por UC'!$R:$R,'Infos Clientes'!AR$2)=0,"",
SUMIFS('Detalhe Por UC'!$AB:$AB,'Detalhe Por UC'!$C:$C,'Infos Clientes'!$B53,'Detalhe Por UC'!$R:$R,'Infos Clientes'!AR$2)
+SUMIFS('Detalhe Por UC'!$AC:$AC,'Detalhe Por UC'!$C:$C,'Infos Clientes'!$B53,'Detalhe Por UC'!$R:$R,'Infos Clientes'!AR$2))</f>
        <v>194</v>
      </c>
      <c r="AS53" s="27">
        <f>IF(SUMIFS('Detalhe Por UC'!$AB:$AB,'Detalhe Por UC'!$C:$C,'Infos Clientes'!$B53,'Detalhe Por UC'!$R:$R,'Infos Clientes'!AS$2)=0,"",
SUMIFS('Detalhe Por UC'!$AB:$AB,'Detalhe Por UC'!$C:$C,'Infos Clientes'!$B53,'Detalhe Por UC'!$R:$R,'Infos Clientes'!AS$2)
+SUMIFS('Detalhe Por UC'!$AC:$AC,'Detalhe Por UC'!$C:$C,'Infos Clientes'!$B53,'Detalhe Por UC'!$R:$R,'Infos Clientes'!AS$2))</f>
        <v>268</v>
      </c>
      <c r="AT53" s="27">
        <f>IF(SUMIFS('Detalhe Por UC'!$AB:$AB,'Detalhe Por UC'!$C:$C,'Infos Clientes'!$B53,'Detalhe Por UC'!$R:$R,'Infos Clientes'!AT$2)=0,"",
SUMIFS('Detalhe Por UC'!$AB:$AB,'Detalhe Por UC'!$C:$C,'Infos Clientes'!$B53,'Detalhe Por UC'!$R:$R,'Infos Clientes'!AT$2)
+SUMIFS('Detalhe Por UC'!$AC:$AC,'Detalhe Por UC'!$C:$C,'Infos Clientes'!$B53,'Detalhe Por UC'!$R:$R,'Infos Clientes'!AT$2))</f>
        <v>342</v>
      </c>
      <c r="AU53" s="27" t="str">
        <f>IF(SUMIFS('Detalhe Por UC'!$AB:$AB,'Detalhe Por UC'!$C:$C,'Infos Clientes'!$B53,'Detalhe Por UC'!$R:$R,'Infos Clientes'!AU$2)=0,"",
SUMIFS('Detalhe Por UC'!$AB:$AB,'Detalhe Por UC'!$C:$C,'Infos Clientes'!$B53,'Detalhe Por UC'!$R:$R,'Infos Clientes'!AU$2)
+SUMIFS('Detalhe Por UC'!$AC:$AC,'Detalhe Por UC'!$C:$C,'Infos Clientes'!$B53,'Detalhe Por UC'!$R:$R,'Infos Clientes'!AU$2))</f>
        <v/>
      </c>
    </row>
    <row r="54" spans="2:47" x14ac:dyDescent="0.3">
      <c r="B54" t="s">
        <v>152</v>
      </c>
      <c r="C54" s="14">
        <f t="shared" si="1"/>
        <v>54</v>
      </c>
      <c r="D54" t="s">
        <v>19</v>
      </c>
      <c r="E54" s="15">
        <v>351</v>
      </c>
      <c r="F54" t="s">
        <v>153</v>
      </c>
      <c r="G54" t="s">
        <v>141</v>
      </c>
      <c r="H54" t="str">
        <f t="shared" si="2"/>
        <v>10/129490-9</v>
      </c>
      <c r="I54" s="31" t="s">
        <v>22</v>
      </c>
      <c r="J54" s="31" t="s">
        <v>23</v>
      </c>
      <c r="K54" s="18" t="s">
        <v>138</v>
      </c>
      <c r="M54" s="32">
        <v>0.25</v>
      </c>
      <c r="Q54" s="22">
        <f>IF(_xlfn.MINIFS('Detalhe Por UC'!R:R,'Detalhe Por UC'!C:C,B54,'Detalhe Por UC'!AD:AD,"&gt;"&amp;0)=0,"",_xlfn.MINIFS('Detalhe Por UC'!R:R,'Detalhe Por UC'!C:C,B54,'Detalhe Por UC'!AD:AD,"&gt;"&amp;0))</f>
        <v>45658</v>
      </c>
      <c r="R54" s="23">
        <f>IF(P54&lt;&gt;"ATIVO",0,
IF(OR(Q54="",Q54=0,O54=0),O54,
O54-ROUND((MAX('Detalhe Por UC'!R:R)
-Q54)/(365/12),0)))</f>
        <v>0</v>
      </c>
      <c r="T54" s="29">
        <v>246.72727272727272</v>
      </c>
      <c r="U54" s="24">
        <f t="shared" si="0"/>
        <v>273.33333333333331</v>
      </c>
      <c r="X54">
        <v>174</v>
      </c>
      <c r="Y54">
        <v>220</v>
      </c>
      <c r="Z54">
        <v>253</v>
      </c>
      <c r="AA54">
        <v>233</v>
      </c>
      <c r="AB54">
        <v>0</v>
      </c>
      <c r="AC54">
        <v>206</v>
      </c>
      <c r="AD54">
        <v>147</v>
      </c>
      <c r="AE54">
        <v>203</v>
      </c>
      <c r="AF54">
        <v>265</v>
      </c>
      <c r="AG54">
        <v>294</v>
      </c>
      <c r="AH54">
        <v>306</v>
      </c>
      <c r="AI54" s="25">
        <v>301</v>
      </c>
      <c r="AJ54" s="27">
        <f>IF(SUMIFS('Detalhe Por UC'!$AB:$AB,'Detalhe Por UC'!$C:$C,'Infos Clientes'!$B54,'Detalhe Por UC'!$R:$R,'Infos Clientes'!AJ$2)=0,"",
SUMIFS('Detalhe Por UC'!$AB:$AB,'Detalhe Por UC'!$C:$C,'Infos Clientes'!$B54,'Detalhe Por UC'!$R:$R,'Infos Clientes'!AJ$2)
+SUMIFS('Detalhe Por UC'!$AC:$AC,'Detalhe Por UC'!$C:$C,'Infos Clientes'!$B54,'Detalhe Por UC'!$R:$R,'Infos Clientes'!AJ$2))</f>
        <v>286</v>
      </c>
      <c r="AK54" s="27">
        <f>IF(SUMIFS('Detalhe Por UC'!$AB:$AB,'Detalhe Por UC'!$C:$C,'Infos Clientes'!$B54,'Detalhe Por UC'!$R:$R,'Infos Clientes'!AK$2)=0,"",
SUMIFS('Detalhe Por UC'!$AB:$AB,'Detalhe Por UC'!$C:$C,'Infos Clientes'!$B54,'Detalhe Por UC'!$R:$R,'Infos Clientes'!AK$2)
+SUMIFS('Detalhe Por UC'!$AC:$AC,'Detalhe Por UC'!$C:$C,'Infos Clientes'!$B54,'Detalhe Por UC'!$R:$R,'Infos Clientes'!AK$2))</f>
        <v>324</v>
      </c>
      <c r="AL54" s="27">
        <f>IF(SUMIFS('Detalhe Por UC'!$AB:$AB,'Detalhe Por UC'!$C:$C,'Infos Clientes'!$B54,'Detalhe Por UC'!$R:$R,'Infos Clientes'!AL$2)=0,"",
SUMIFS('Detalhe Por UC'!$AB:$AB,'Detalhe Por UC'!$C:$C,'Infos Clientes'!$B54,'Detalhe Por UC'!$R:$R,'Infos Clientes'!AL$2)
+SUMIFS('Detalhe Por UC'!$AC:$AC,'Detalhe Por UC'!$C:$C,'Infos Clientes'!$B54,'Detalhe Por UC'!$R:$R,'Infos Clientes'!AL$2))</f>
        <v>315</v>
      </c>
      <c r="AM54" s="27">
        <f>IF(SUMIFS('Detalhe Por UC'!$AB:$AB,'Detalhe Por UC'!$C:$C,'Infos Clientes'!$B54,'Detalhe Por UC'!$R:$R,'Infos Clientes'!AM$2)=0,"",
SUMIFS('Detalhe Por UC'!$AB:$AB,'Detalhe Por UC'!$C:$C,'Infos Clientes'!$B54,'Detalhe Por UC'!$R:$R,'Infos Clientes'!AM$2)
+SUMIFS('Detalhe Por UC'!$AC:$AC,'Detalhe Por UC'!$C:$C,'Infos Clientes'!$B54,'Detalhe Por UC'!$R:$R,'Infos Clientes'!AM$2))</f>
        <v>287</v>
      </c>
      <c r="AN54" s="27">
        <f>IF(SUMIFS('Detalhe Por UC'!$AB:$AB,'Detalhe Por UC'!$C:$C,'Infos Clientes'!$B54,'Detalhe Por UC'!$R:$R,'Infos Clientes'!AN$2)=0,"",
SUMIFS('Detalhe Por UC'!$AB:$AB,'Detalhe Por UC'!$C:$C,'Infos Clientes'!$B54,'Detalhe Por UC'!$R:$R,'Infos Clientes'!AN$2)
+SUMIFS('Detalhe Por UC'!$AC:$AC,'Detalhe Por UC'!$C:$C,'Infos Clientes'!$B54,'Detalhe Por UC'!$R:$R,'Infos Clientes'!AN$2))</f>
        <v>252</v>
      </c>
      <c r="AO54" s="27">
        <f>IF(SUMIFS('Detalhe Por UC'!$AB:$AB,'Detalhe Por UC'!$C:$C,'Infos Clientes'!$B54,'Detalhe Por UC'!$R:$R,'Infos Clientes'!AO$2)=0,"",
SUMIFS('Detalhe Por UC'!$AB:$AB,'Detalhe Por UC'!$C:$C,'Infos Clientes'!$B54,'Detalhe Por UC'!$R:$R,'Infos Clientes'!AO$2)
+SUMIFS('Detalhe Por UC'!$AC:$AC,'Detalhe Por UC'!$C:$C,'Infos Clientes'!$B54,'Detalhe Por UC'!$R:$R,'Infos Clientes'!AO$2))</f>
        <v>268</v>
      </c>
      <c r="AP54" s="27">
        <f>IF(SUMIFS('Detalhe Por UC'!$AB:$AB,'Detalhe Por UC'!$C:$C,'Infos Clientes'!$B54,'Detalhe Por UC'!$R:$R,'Infos Clientes'!AP$2)=0,"",
SUMIFS('Detalhe Por UC'!$AB:$AB,'Detalhe Por UC'!$C:$C,'Infos Clientes'!$B54,'Detalhe Por UC'!$R:$R,'Infos Clientes'!AP$2)
+SUMIFS('Detalhe Por UC'!$AC:$AC,'Detalhe Por UC'!$C:$C,'Infos Clientes'!$B54,'Detalhe Por UC'!$R:$R,'Infos Clientes'!AP$2))</f>
        <v>218</v>
      </c>
      <c r="AQ54" s="27">
        <f>IF(SUMIFS('Detalhe Por UC'!$AB:$AB,'Detalhe Por UC'!$C:$C,'Infos Clientes'!$B54,'Detalhe Por UC'!$R:$R,'Infos Clientes'!AQ$2)=0,"",
SUMIFS('Detalhe Por UC'!$AB:$AB,'Detalhe Por UC'!$C:$C,'Infos Clientes'!$B54,'Detalhe Por UC'!$R:$R,'Infos Clientes'!AQ$2)
+SUMIFS('Detalhe Por UC'!$AC:$AC,'Detalhe Por UC'!$C:$C,'Infos Clientes'!$B54,'Detalhe Por UC'!$R:$R,'Infos Clientes'!AQ$2))</f>
        <v>225</v>
      </c>
      <c r="AR54" s="27">
        <f>IF(SUMIFS('Detalhe Por UC'!$AB:$AB,'Detalhe Por UC'!$C:$C,'Infos Clientes'!$B54,'Detalhe Por UC'!$R:$R,'Infos Clientes'!AR$2)=0,"",
SUMIFS('Detalhe Por UC'!$AB:$AB,'Detalhe Por UC'!$C:$C,'Infos Clientes'!$B54,'Detalhe Por UC'!$R:$R,'Infos Clientes'!AR$2)
+SUMIFS('Detalhe Por UC'!$AC:$AC,'Detalhe Por UC'!$C:$C,'Infos Clientes'!$B54,'Detalhe Por UC'!$R:$R,'Infos Clientes'!AR$2))</f>
        <v>264</v>
      </c>
      <c r="AS54" s="27">
        <f>IF(SUMIFS('Detalhe Por UC'!$AB:$AB,'Detalhe Por UC'!$C:$C,'Infos Clientes'!$B54,'Detalhe Por UC'!$R:$R,'Infos Clientes'!AS$2)=0,"",
SUMIFS('Detalhe Por UC'!$AB:$AB,'Detalhe Por UC'!$C:$C,'Infos Clientes'!$B54,'Detalhe Por UC'!$R:$R,'Infos Clientes'!AS$2)
+SUMIFS('Detalhe Por UC'!$AC:$AC,'Detalhe Por UC'!$C:$C,'Infos Clientes'!$B54,'Detalhe Por UC'!$R:$R,'Infos Clientes'!AS$2))</f>
        <v>298</v>
      </c>
      <c r="AT54" s="27">
        <f>IF(SUMIFS('Detalhe Por UC'!$AB:$AB,'Detalhe Por UC'!$C:$C,'Infos Clientes'!$B54,'Detalhe Por UC'!$R:$R,'Infos Clientes'!AT$2)=0,"",
SUMIFS('Detalhe Por UC'!$AB:$AB,'Detalhe Por UC'!$C:$C,'Infos Clientes'!$B54,'Detalhe Por UC'!$R:$R,'Infos Clientes'!AT$2)
+SUMIFS('Detalhe Por UC'!$AC:$AC,'Detalhe Por UC'!$C:$C,'Infos Clientes'!$B54,'Detalhe Por UC'!$R:$R,'Infos Clientes'!AT$2))</f>
        <v>242</v>
      </c>
      <c r="AU54" s="27" t="str">
        <f>IF(SUMIFS('Detalhe Por UC'!$AB:$AB,'Detalhe Por UC'!$C:$C,'Infos Clientes'!$B54,'Detalhe Por UC'!$R:$R,'Infos Clientes'!AU$2)=0,"",
SUMIFS('Detalhe Por UC'!$AB:$AB,'Detalhe Por UC'!$C:$C,'Infos Clientes'!$B54,'Detalhe Por UC'!$R:$R,'Infos Clientes'!AU$2)
+SUMIFS('Detalhe Por UC'!$AC:$AC,'Detalhe Por UC'!$C:$C,'Infos Clientes'!$B54,'Detalhe Por UC'!$R:$R,'Infos Clientes'!AU$2))</f>
        <v/>
      </c>
    </row>
    <row r="55" spans="2:47" x14ac:dyDescent="0.3">
      <c r="B55" t="s">
        <v>154</v>
      </c>
      <c r="C55" s="14">
        <f t="shared" si="1"/>
        <v>55</v>
      </c>
      <c r="D55" t="s">
        <v>19</v>
      </c>
      <c r="E55" s="15">
        <v>357</v>
      </c>
      <c r="F55" t="s">
        <v>155</v>
      </c>
      <c r="G55" t="s">
        <v>156</v>
      </c>
      <c r="H55" t="str">
        <f t="shared" si="2"/>
        <v>10/13786-9</v>
      </c>
      <c r="I55" s="31" t="s">
        <v>22</v>
      </c>
      <c r="J55" s="31" t="s">
        <v>23</v>
      </c>
      <c r="K55" s="18" t="s">
        <v>138</v>
      </c>
      <c r="M55" s="32">
        <v>0.25</v>
      </c>
      <c r="Q55" s="22">
        <f>IF(_xlfn.MINIFS('Detalhe Por UC'!R:R,'Detalhe Por UC'!C:C,B55,'Detalhe Por UC'!AD:AD,"&gt;"&amp;0)=0,"",_xlfn.MINIFS('Detalhe Por UC'!R:R,'Detalhe Por UC'!C:C,B55,'Detalhe Por UC'!AD:AD,"&gt;"&amp;0))</f>
        <v>45658</v>
      </c>
      <c r="R55" s="23">
        <f>IF(P55&lt;&gt;"ATIVO",0,
IF(OR(Q55="",Q55=0,O55=0),O55,
O55-ROUND((MAX('Detalhe Por UC'!R:R)
-Q55)/(365/12),0)))</f>
        <v>0</v>
      </c>
      <c r="T55" s="29">
        <v>278.36363636363637</v>
      </c>
      <c r="U55" s="24">
        <f t="shared" si="0"/>
        <v>282.66666666666669</v>
      </c>
      <c r="X55">
        <v>231</v>
      </c>
      <c r="Y55">
        <v>297</v>
      </c>
      <c r="Z55">
        <v>285</v>
      </c>
      <c r="AA55">
        <v>442</v>
      </c>
      <c r="AB55">
        <v>0</v>
      </c>
      <c r="AC55">
        <v>208</v>
      </c>
      <c r="AD55">
        <v>160</v>
      </c>
      <c r="AE55">
        <v>214</v>
      </c>
      <c r="AF55">
        <v>185</v>
      </c>
      <c r="AG55">
        <v>294</v>
      </c>
      <c r="AH55">
        <v>282</v>
      </c>
      <c r="AI55" s="25">
        <v>380</v>
      </c>
      <c r="AJ55" s="27">
        <f>IF(SUMIFS('Detalhe Por UC'!$AB:$AB,'Detalhe Por UC'!$C:$C,'Infos Clientes'!$B55,'Detalhe Por UC'!$R:$R,'Infos Clientes'!AJ$2)=0,"",
SUMIFS('Detalhe Por UC'!$AB:$AB,'Detalhe Por UC'!$C:$C,'Infos Clientes'!$B55,'Detalhe Por UC'!$R:$R,'Infos Clientes'!AJ$2)
+SUMIFS('Detalhe Por UC'!$AC:$AC,'Detalhe Por UC'!$C:$C,'Infos Clientes'!$B55,'Detalhe Por UC'!$R:$R,'Infos Clientes'!AJ$2))</f>
        <v>315</v>
      </c>
      <c r="AK55" s="27">
        <f>IF(SUMIFS('Detalhe Por UC'!$AB:$AB,'Detalhe Por UC'!$C:$C,'Infos Clientes'!$B55,'Detalhe Por UC'!$R:$R,'Infos Clientes'!AK$2)=0,"",
SUMIFS('Detalhe Por UC'!$AB:$AB,'Detalhe Por UC'!$C:$C,'Infos Clientes'!$B55,'Detalhe Por UC'!$R:$R,'Infos Clientes'!AK$2)
+SUMIFS('Detalhe Por UC'!$AC:$AC,'Detalhe Por UC'!$C:$C,'Infos Clientes'!$B55,'Detalhe Por UC'!$R:$R,'Infos Clientes'!AK$2))</f>
        <v>271</v>
      </c>
      <c r="AL55" s="27">
        <f>IF(SUMIFS('Detalhe Por UC'!$AB:$AB,'Detalhe Por UC'!$C:$C,'Infos Clientes'!$B55,'Detalhe Por UC'!$R:$R,'Infos Clientes'!AL$2)=0,"",
SUMIFS('Detalhe Por UC'!$AB:$AB,'Detalhe Por UC'!$C:$C,'Infos Clientes'!$B55,'Detalhe Por UC'!$R:$R,'Infos Clientes'!AL$2)
+SUMIFS('Detalhe Por UC'!$AC:$AC,'Detalhe Por UC'!$C:$C,'Infos Clientes'!$B55,'Detalhe Por UC'!$R:$R,'Infos Clientes'!AL$2))</f>
        <v>410</v>
      </c>
      <c r="AM55" s="27">
        <f>IF(SUMIFS('Detalhe Por UC'!$AB:$AB,'Detalhe Por UC'!$C:$C,'Infos Clientes'!$B55,'Detalhe Por UC'!$R:$R,'Infos Clientes'!AM$2)=0,"",
SUMIFS('Detalhe Por UC'!$AB:$AB,'Detalhe Por UC'!$C:$C,'Infos Clientes'!$B55,'Detalhe Por UC'!$R:$R,'Infos Clientes'!AM$2)
+SUMIFS('Detalhe Por UC'!$AC:$AC,'Detalhe Por UC'!$C:$C,'Infos Clientes'!$B55,'Detalhe Por UC'!$R:$R,'Infos Clientes'!AM$2))</f>
        <v>280</v>
      </c>
      <c r="AN55" s="27">
        <f>IF(SUMIFS('Detalhe Por UC'!$AB:$AB,'Detalhe Por UC'!$C:$C,'Infos Clientes'!$B55,'Detalhe Por UC'!$R:$R,'Infos Clientes'!AN$2)=0,"",
SUMIFS('Detalhe Por UC'!$AB:$AB,'Detalhe Por UC'!$C:$C,'Infos Clientes'!$B55,'Detalhe Por UC'!$R:$R,'Infos Clientes'!AN$2)
+SUMIFS('Detalhe Por UC'!$AC:$AC,'Detalhe Por UC'!$C:$C,'Infos Clientes'!$B55,'Detalhe Por UC'!$R:$R,'Infos Clientes'!AN$2))</f>
        <v>294</v>
      </c>
      <c r="AO55" s="27">
        <f>IF(SUMIFS('Detalhe Por UC'!$AB:$AB,'Detalhe Por UC'!$C:$C,'Infos Clientes'!$B55,'Detalhe Por UC'!$R:$R,'Infos Clientes'!AO$2)=0,"",
SUMIFS('Detalhe Por UC'!$AB:$AB,'Detalhe Por UC'!$C:$C,'Infos Clientes'!$B55,'Detalhe Por UC'!$R:$R,'Infos Clientes'!AO$2)
+SUMIFS('Detalhe Por UC'!$AC:$AC,'Detalhe Por UC'!$C:$C,'Infos Clientes'!$B55,'Detalhe Por UC'!$R:$R,'Infos Clientes'!AO$2))</f>
        <v>227</v>
      </c>
      <c r="AP55" s="27">
        <f>IF(SUMIFS('Detalhe Por UC'!$AB:$AB,'Detalhe Por UC'!$C:$C,'Infos Clientes'!$B55,'Detalhe Por UC'!$R:$R,'Infos Clientes'!AP$2)=0,"",
SUMIFS('Detalhe Por UC'!$AB:$AB,'Detalhe Por UC'!$C:$C,'Infos Clientes'!$B55,'Detalhe Por UC'!$R:$R,'Infos Clientes'!AP$2)
+SUMIFS('Detalhe Por UC'!$AC:$AC,'Detalhe Por UC'!$C:$C,'Infos Clientes'!$B55,'Detalhe Por UC'!$R:$R,'Infos Clientes'!AP$2))</f>
        <v>195</v>
      </c>
      <c r="AQ55" s="27">
        <f>IF(SUMIFS('Detalhe Por UC'!$AB:$AB,'Detalhe Por UC'!$C:$C,'Infos Clientes'!$B55,'Detalhe Por UC'!$R:$R,'Infos Clientes'!AQ$2)=0,"",
SUMIFS('Detalhe Por UC'!$AB:$AB,'Detalhe Por UC'!$C:$C,'Infos Clientes'!$B55,'Detalhe Por UC'!$R:$R,'Infos Clientes'!AQ$2)
+SUMIFS('Detalhe Por UC'!$AC:$AC,'Detalhe Por UC'!$C:$C,'Infos Clientes'!$B55,'Detalhe Por UC'!$R:$R,'Infos Clientes'!AQ$2))</f>
        <v>212</v>
      </c>
      <c r="AR55" s="27">
        <f>IF(SUMIFS('Detalhe Por UC'!$AB:$AB,'Detalhe Por UC'!$C:$C,'Infos Clientes'!$B55,'Detalhe Por UC'!$R:$R,'Infos Clientes'!AR$2)=0,"",
SUMIFS('Detalhe Por UC'!$AB:$AB,'Detalhe Por UC'!$C:$C,'Infos Clientes'!$B55,'Detalhe Por UC'!$R:$R,'Infos Clientes'!AR$2)
+SUMIFS('Detalhe Por UC'!$AC:$AC,'Detalhe Por UC'!$C:$C,'Infos Clientes'!$B55,'Detalhe Por UC'!$R:$R,'Infos Clientes'!AR$2))</f>
        <v>261</v>
      </c>
      <c r="AS55" s="27">
        <f>IF(SUMIFS('Detalhe Por UC'!$AB:$AB,'Detalhe Por UC'!$C:$C,'Infos Clientes'!$B55,'Detalhe Por UC'!$R:$R,'Infos Clientes'!AS$2)=0,"",
SUMIFS('Detalhe Por UC'!$AB:$AB,'Detalhe Por UC'!$C:$C,'Infos Clientes'!$B55,'Detalhe Por UC'!$R:$R,'Infos Clientes'!AS$2)
+SUMIFS('Detalhe Por UC'!$AC:$AC,'Detalhe Por UC'!$C:$C,'Infos Clientes'!$B55,'Detalhe Por UC'!$R:$R,'Infos Clientes'!AS$2))</f>
        <v>275</v>
      </c>
      <c r="AT55" s="27">
        <f>IF(SUMIFS('Detalhe Por UC'!$AB:$AB,'Detalhe Por UC'!$C:$C,'Infos Clientes'!$B55,'Detalhe Por UC'!$R:$R,'Infos Clientes'!AT$2)=0,"",
SUMIFS('Detalhe Por UC'!$AB:$AB,'Detalhe Por UC'!$C:$C,'Infos Clientes'!$B55,'Detalhe Por UC'!$R:$R,'Infos Clientes'!AT$2)
+SUMIFS('Detalhe Por UC'!$AC:$AC,'Detalhe Por UC'!$C:$C,'Infos Clientes'!$B55,'Detalhe Por UC'!$R:$R,'Infos Clientes'!AT$2))</f>
        <v>272</v>
      </c>
      <c r="AU55" s="27" t="str">
        <f>IF(SUMIFS('Detalhe Por UC'!$AB:$AB,'Detalhe Por UC'!$C:$C,'Infos Clientes'!$B55,'Detalhe Por UC'!$R:$R,'Infos Clientes'!AU$2)=0,"",
SUMIFS('Detalhe Por UC'!$AB:$AB,'Detalhe Por UC'!$C:$C,'Infos Clientes'!$B55,'Detalhe Por UC'!$R:$R,'Infos Clientes'!AU$2)
+SUMIFS('Detalhe Por UC'!$AC:$AC,'Detalhe Por UC'!$C:$C,'Infos Clientes'!$B55,'Detalhe Por UC'!$R:$R,'Infos Clientes'!AU$2))</f>
        <v/>
      </c>
    </row>
    <row r="56" spans="2:47" x14ac:dyDescent="0.3">
      <c r="B56" t="s">
        <v>157</v>
      </c>
      <c r="C56" s="14">
        <f t="shared" si="1"/>
        <v>56</v>
      </c>
      <c r="D56" t="s">
        <v>19</v>
      </c>
      <c r="E56" s="15">
        <v>358</v>
      </c>
      <c r="F56" t="s">
        <v>158</v>
      </c>
      <c r="G56" t="s">
        <v>159</v>
      </c>
      <c r="H56" t="str">
        <f t="shared" si="2"/>
        <v>10/142353-2</v>
      </c>
      <c r="I56" s="31" t="s">
        <v>22</v>
      </c>
      <c r="J56" s="31" t="s">
        <v>23</v>
      </c>
      <c r="K56" s="18" t="s">
        <v>138</v>
      </c>
      <c r="M56" s="32">
        <v>0.25</v>
      </c>
      <c r="Q56" s="22">
        <f>IF(_xlfn.MINIFS('Detalhe Por UC'!R:R,'Detalhe Por UC'!C:C,B56,'Detalhe Por UC'!AD:AD,"&gt;"&amp;0)=0,"",_xlfn.MINIFS('Detalhe Por UC'!R:R,'Detalhe Por UC'!C:C,B56,'Detalhe Por UC'!AD:AD,"&gt;"&amp;0))</f>
        <v>45658</v>
      </c>
      <c r="R56" s="23">
        <f>IF(P56&lt;&gt;"ATIVO",0,
IF(OR(Q56="",Q56=0,O56=0),O56,
O56-ROUND((MAX('Detalhe Por UC'!R:R)
-Q56)/(365/12),0)))</f>
        <v>0</v>
      </c>
      <c r="T56" s="29">
        <v>449.81818181818181</v>
      </c>
      <c r="U56" s="24">
        <f t="shared" si="0"/>
        <v>431.75</v>
      </c>
      <c r="X56">
        <v>468</v>
      </c>
      <c r="Y56">
        <v>532</v>
      </c>
      <c r="Z56">
        <v>467</v>
      </c>
      <c r="AA56">
        <v>554</v>
      </c>
      <c r="AB56">
        <v>0</v>
      </c>
      <c r="AC56">
        <v>323</v>
      </c>
      <c r="AD56">
        <v>252</v>
      </c>
      <c r="AE56">
        <v>350</v>
      </c>
      <c r="AF56">
        <v>364</v>
      </c>
      <c r="AG56">
        <v>479</v>
      </c>
      <c r="AH56">
        <v>489</v>
      </c>
      <c r="AI56" s="25">
        <v>457</v>
      </c>
      <c r="AJ56" s="27">
        <f>IF(SUMIFS('Detalhe Por UC'!$AB:$AB,'Detalhe Por UC'!$C:$C,'Infos Clientes'!$B56,'Detalhe Por UC'!$R:$R,'Infos Clientes'!AJ$2)=0,"",
SUMIFS('Detalhe Por UC'!$AB:$AB,'Detalhe Por UC'!$C:$C,'Infos Clientes'!$B56,'Detalhe Por UC'!$R:$R,'Infos Clientes'!AJ$2)
+SUMIFS('Detalhe Por UC'!$AC:$AC,'Detalhe Por UC'!$C:$C,'Infos Clientes'!$B56,'Detalhe Por UC'!$R:$R,'Infos Clientes'!AJ$2))</f>
        <v>681</v>
      </c>
      <c r="AK56" s="27">
        <f>IF(SUMIFS('Detalhe Por UC'!$AB:$AB,'Detalhe Por UC'!$C:$C,'Infos Clientes'!$B56,'Detalhe Por UC'!$R:$R,'Infos Clientes'!AK$2)=0,"",
SUMIFS('Detalhe Por UC'!$AB:$AB,'Detalhe Por UC'!$C:$C,'Infos Clientes'!$B56,'Detalhe Por UC'!$R:$R,'Infos Clientes'!AK$2)
+SUMIFS('Detalhe Por UC'!$AC:$AC,'Detalhe Por UC'!$C:$C,'Infos Clientes'!$B56,'Detalhe Por UC'!$R:$R,'Infos Clientes'!AK$2))</f>
        <v>681</v>
      </c>
      <c r="AL56" s="27">
        <f>IF(SUMIFS('Detalhe Por UC'!$AB:$AB,'Detalhe Por UC'!$C:$C,'Infos Clientes'!$B56,'Detalhe Por UC'!$R:$R,'Infos Clientes'!AL$2)=0,"",
SUMIFS('Detalhe Por UC'!$AB:$AB,'Detalhe Por UC'!$C:$C,'Infos Clientes'!$B56,'Detalhe Por UC'!$R:$R,'Infos Clientes'!AL$2)
+SUMIFS('Detalhe Por UC'!$AC:$AC,'Detalhe Por UC'!$C:$C,'Infos Clientes'!$B56,'Detalhe Por UC'!$R:$R,'Infos Clientes'!AL$2))</f>
        <v>681</v>
      </c>
      <c r="AM56" s="27">
        <f>IF(SUMIFS('Detalhe Por UC'!$AB:$AB,'Detalhe Por UC'!$C:$C,'Infos Clientes'!$B56,'Detalhe Por UC'!$R:$R,'Infos Clientes'!AM$2)=0,"",
SUMIFS('Detalhe Por UC'!$AB:$AB,'Detalhe Por UC'!$C:$C,'Infos Clientes'!$B56,'Detalhe Por UC'!$R:$R,'Infos Clientes'!AM$2)
+SUMIFS('Detalhe Por UC'!$AC:$AC,'Detalhe Por UC'!$C:$C,'Infos Clientes'!$B56,'Detalhe Por UC'!$R:$R,'Infos Clientes'!AM$2))</f>
        <v>421</v>
      </c>
      <c r="AN56" s="27">
        <f>IF(SUMIFS('Detalhe Por UC'!$AB:$AB,'Detalhe Por UC'!$C:$C,'Infos Clientes'!$B56,'Detalhe Por UC'!$R:$R,'Infos Clientes'!AN$2)=0,"",
SUMIFS('Detalhe Por UC'!$AB:$AB,'Detalhe Por UC'!$C:$C,'Infos Clientes'!$B56,'Detalhe Por UC'!$R:$R,'Infos Clientes'!AN$2)
+SUMIFS('Detalhe Por UC'!$AC:$AC,'Detalhe Por UC'!$C:$C,'Infos Clientes'!$B56,'Detalhe Por UC'!$R:$R,'Infos Clientes'!AN$2))</f>
        <v>330</v>
      </c>
      <c r="AO56" s="27">
        <f>IF(SUMIFS('Detalhe Por UC'!$AB:$AB,'Detalhe Por UC'!$C:$C,'Infos Clientes'!$B56,'Detalhe Por UC'!$R:$R,'Infos Clientes'!AO$2)=0,"",
SUMIFS('Detalhe Por UC'!$AB:$AB,'Detalhe Por UC'!$C:$C,'Infos Clientes'!$B56,'Detalhe Por UC'!$R:$R,'Infos Clientes'!AO$2)
+SUMIFS('Detalhe Por UC'!$AC:$AC,'Detalhe Por UC'!$C:$C,'Infos Clientes'!$B56,'Detalhe Por UC'!$R:$R,'Infos Clientes'!AO$2))</f>
        <v>323</v>
      </c>
      <c r="AP56" s="27">
        <f>IF(SUMIFS('Detalhe Por UC'!$AB:$AB,'Detalhe Por UC'!$C:$C,'Infos Clientes'!$B56,'Detalhe Por UC'!$R:$R,'Infos Clientes'!AP$2)=0,"",
SUMIFS('Detalhe Por UC'!$AB:$AB,'Detalhe Por UC'!$C:$C,'Infos Clientes'!$B56,'Detalhe Por UC'!$R:$R,'Infos Clientes'!AP$2)
+SUMIFS('Detalhe Por UC'!$AC:$AC,'Detalhe Por UC'!$C:$C,'Infos Clientes'!$B56,'Detalhe Por UC'!$R:$R,'Infos Clientes'!AP$2))</f>
        <v>281</v>
      </c>
      <c r="AQ56" s="27">
        <f>IF(SUMIFS('Detalhe Por UC'!$AB:$AB,'Detalhe Por UC'!$C:$C,'Infos Clientes'!$B56,'Detalhe Por UC'!$R:$R,'Infos Clientes'!AQ$2)=0,"",
SUMIFS('Detalhe Por UC'!$AB:$AB,'Detalhe Por UC'!$C:$C,'Infos Clientes'!$B56,'Detalhe Por UC'!$R:$R,'Infos Clientes'!AQ$2)
+SUMIFS('Detalhe Por UC'!$AC:$AC,'Detalhe Por UC'!$C:$C,'Infos Clientes'!$B56,'Detalhe Por UC'!$R:$R,'Infos Clientes'!AQ$2))</f>
        <v>276</v>
      </c>
      <c r="AR56" s="27">
        <f>IF(SUMIFS('Detalhe Por UC'!$AB:$AB,'Detalhe Por UC'!$C:$C,'Infos Clientes'!$B56,'Detalhe Por UC'!$R:$R,'Infos Clientes'!AR$2)=0,"",
SUMIFS('Detalhe Por UC'!$AB:$AB,'Detalhe Por UC'!$C:$C,'Infos Clientes'!$B56,'Detalhe Por UC'!$R:$R,'Infos Clientes'!AR$2)
+SUMIFS('Detalhe Por UC'!$AC:$AC,'Detalhe Por UC'!$C:$C,'Infos Clientes'!$B56,'Detalhe Por UC'!$R:$R,'Infos Clientes'!AR$2))</f>
        <v>306</v>
      </c>
      <c r="AS56" s="27">
        <f>IF(SUMIFS('Detalhe Por UC'!$AB:$AB,'Detalhe Por UC'!$C:$C,'Infos Clientes'!$B56,'Detalhe Por UC'!$R:$R,'Infos Clientes'!AS$2)=0,"",
SUMIFS('Detalhe Por UC'!$AB:$AB,'Detalhe Por UC'!$C:$C,'Infos Clientes'!$B56,'Detalhe Por UC'!$R:$R,'Infos Clientes'!AS$2)
+SUMIFS('Detalhe Por UC'!$AC:$AC,'Detalhe Por UC'!$C:$C,'Infos Clientes'!$B56,'Detalhe Por UC'!$R:$R,'Infos Clientes'!AS$2))</f>
        <v>334</v>
      </c>
      <c r="AT56" s="27">
        <f>IF(SUMIFS('Detalhe Por UC'!$AB:$AB,'Detalhe Por UC'!$C:$C,'Infos Clientes'!$B56,'Detalhe Por UC'!$R:$R,'Infos Clientes'!AT$2)=0,"",
SUMIFS('Detalhe Por UC'!$AB:$AB,'Detalhe Por UC'!$C:$C,'Infos Clientes'!$B56,'Detalhe Por UC'!$R:$R,'Infos Clientes'!AT$2)
+SUMIFS('Detalhe Por UC'!$AC:$AC,'Detalhe Por UC'!$C:$C,'Infos Clientes'!$B56,'Detalhe Por UC'!$R:$R,'Infos Clientes'!AT$2))</f>
        <v>410</v>
      </c>
      <c r="AU56" s="27" t="str">
        <f>IF(SUMIFS('Detalhe Por UC'!$AB:$AB,'Detalhe Por UC'!$C:$C,'Infos Clientes'!$B56,'Detalhe Por UC'!$R:$R,'Infos Clientes'!AU$2)=0,"",
SUMIFS('Detalhe Por UC'!$AB:$AB,'Detalhe Por UC'!$C:$C,'Infos Clientes'!$B56,'Detalhe Por UC'!$R:$R,'Infos Clientes'!AU$2)
+SUMIFS('Detalhe Por UC'!$AC:$AC,'Detalhe Por UC'!$C:$C,'Infos Clientes'!$B56,'Detalhe Por UC'!$R:$R,'Infos Clientes'!AU$2))</f>
        <v/>
      </c>
    </row>
    <row r="57" spans="2:47" x14ac:dyDescent="0.3">
      <c r="B57" t="s">
        <v>160</v>
      </c>
      <c r="C57" s="14">
        <f t="shared" si="1"/>
        <v>57</v>
      </c>
      <c r="D57" t="s">
        <v>19</v>
      </c>
      <c r="E57" s="15">
        <v>357</v>
      </c>
      <c r="F57" t="s">
        <v>161</v>
      </c>
      <c r="G57" t="s">
        <v>162</v>
      </c>
      <c r="H57" t="str">
        <f t="shared" si="2"/>
        <v>10/15297-5</v>
      </c>
      <c r="I57" s="31" t="s">
        <v>22</v>
      </c>
      <c r="J57" s="31" t="s">
        <v>28</v>
      </c>
      <c r="K57" s="18" t="s">
        <v>138</v>
      </c>
      <c r="M57" s="32">
        <v>0.25</v>
      </c>
      <c r="Q57" s="22">
        <f>IF(_xlfn.MINIFS('Detalhe Por UC'!R:R,'Detalhe Por UC'!C:C,B57,'Detalhe Por UC'!AD:AD,"&gt;"&amp;0)=0,"",_xlfn.MINIFS('Detalhe Por UC'!R:R,'Detalhe Por UC'!C:C,B57,'Detalhe Por UC'!AD:AD,"&gt;"&amp;0))</f>
        <v>45658</v>
      </c>
      <c r="R57" s="23">
        <f>IF(P57&lt;&gt;"ATIVO",0,
IF(OR(Q57="",Q57=0,O57=0),O57,
O57-ROUND((MAX('Detalhe Por UC'!R:R)
-Q57)/(365/12),0)))</f>
        <v>0</v>
      </c>
      <c r="T57" s="29">
        <v>495.18181818181819</v>
      </c>
      <c r="U57" s="24">
        <f t="shared" si="0"/>
        <v>528.58333333333337</v>
      </c>
      <c r="X57">
        <v>909</v>
      </c>
      <c r="Y57">
        <v>592</v>
      </c>
      <c r="Z57">
        <v>554</v>
      </c>
      <c r="AA57">
        <v>645</v>
      </c>
      <c r="AB57">
        <v>0</v>
      </c>
      <c r="AC57">
        <v>306</v>
      </c>
      <c r="AD57">
        <v>244</v>
      </c>
      <c r="AE57">
        <v>469</v>
      </c>
      <c r="AF57">
        <v>304</v>
      </c>
      <c r="AG57">
        <v>496</v>
      </c>
      <c r="AH57">
        <v>499</v>
      </c>
      <c r="AI57" s="25">
        <v>850</v>
      </c>
      <c r="AJ57" s="27">
        <f>IF(SUMIFS('Detalhe Por UC'!$AB:$AB,'Detalhe Por UC'!$C:$C,'Infos Clientes'!$B57,'Detalhe Por UC'!$R:$R,'Infos Clientes'!AJ$2)=0,"",
SUMIFS('Detalhe Por UC'!$AB:$AB,'Detalhe Por UC'!$C:$C,'Infos Clientes'!$B57,'Detalhe Por UC'!$R:$R,'Infos Clientes'!AJ$2)
+SUMIFS('Detalhe Por UC'!$AC:$AC,'Detalhe Por UC'!$C:$C,'Infos Clientes'!$B57,'Detalhe Por UC'!$R:$R,'Infos Clientes'!AJ$2))</f>
        <v>488</v>
      </c>
      <c r="AK57" s="27">
        <f>IF(SUMIFS('Detalhe Por UC'!$AB:$AB,'Detalhe Por UC'!$C:$C,'Infos Clientes'!$B57,'Detalhe Por UC'!$R:$R,'Infos Clientes'!AK$2)=0,"",
SUMIFS('Detalhe Por UC'!$AB:$AB,'Detalhe Por UC'!$C:$C,'Infos Clientes'!$B57,'Detalhe Por UC'!$R:$R,'Infos Clientes'!AK$2)
+SUMIFS('Detalhe Por UC'!$AC:$AC,'Detalhe Por UC'!$C:$C,'Infos Clientes'!$B57,'Detalhe Por UC'!$R:$R,'Infos Clientes'!AK$2))</f>
        <v>692</v>
      </c>
      <c r="AL57" s="27">
        <f>IF(SUMIFS('Detalhe Por UC'!$AB:$AB,'Detalhe Por UC'!$C:$C,'Infos Clientes'!$B57,'Detalhe Por UC'!$R:$R,'Infos Clientes'!AL$2)=0,"",
SUMIFS('Detalhe Por UC'!$AB:$AB,'Detalhe Por UC'!$C:$C,'Infos Clientes'!$B57,'Detalhe Por UC'!$R:$R,'Infos Clientes'!AL$2)
+SUMIFS('Detalhe Por UC'!$AC:$AC,'Detalhe Por UC'!$C:$C,'Infos Clientes'!$B57,'Detalhe Por UC'!$R:$R,'Infos Clientes'!AL$2))</f>
        <v>706</v>
      </c>
      <c r="AM57" s="27">
        <f>IF(SUMIFS('Detalhe Por UC'!$AB:$AB,'Detalhe Por UC'!$C:$C,'Infos Clientes'!$B57,'Detalhe Por UC'!$R:$R,'Infos Clientes'!AM$2)=0,"",
SUMIFS('Detalhe Por UC'!$AB:$AB,'Detalhe Por UC'!$C:$C,'Infos Clientes'!$B57,'Detalhe Por UC'!$R:$R,'Infos Clientes'!AM$2)
+SUMIFS('Detalhe Por UC'!$AC:$AC,'Detalhe Por UC'!$C:$C,'Infos Clientes'!$B57,'Detalhe Por UC'!$R:$R,'Infos Clientes'!AM$2))</f>
        <v>387</v>
      </c>
      <c r="AN57" s="27">
        <f>IF(SUMIFS('Detalhe Por UC'!$AB:$AB,'Detalhe Por UC'!$C:$C,'Infos Clientes'!$B57,'Detalhe Por UC'!$R:$R,'Infos Clientes'!AN$2)=0,"",
SUMIFS('Detalhe Por UC'!$AB:$AB,'Detalhe Por UC'!$C:$C,'Infos Clientes'!$B57,'Detalhe Por UC'!$R:$R,'Infos Clientes'!AN$2)
+SUMIFS('Detalhe Por UC'!$AC:$AC,'Detalhe Por UC'!$C:$C,'Infos Clientes'!$B57,'Detalhe Por UC'!$R:$R,'Infos Clientes'!AN$2))</f>
        <v>545</v>
      </c>
      <c r="AO57" s="27">
        <f>IF(SUMIFS('Detalhe Por UC'!$AB:$AB,'Detalhe Por UC'!$C:$C,'Infos Clientes'!$B57,'Detalhe Por UC'!$R:$R,'Infos Clientes'!AO$2)=0,"",
SUMIFS('Detalhe Por UC'!$AB:$AB,'Detalhe Por UC'!$C:$C,'Infos Clientes'!$B57,'Detalhe Por UC'!$R:$R,'Infos Clientes'!AO$2)
+SUMIFS('Detalhe Por UC'!$AC:$AC,'Detalhe Por UC'!$C:$C,'Infos Clientes'!$B57,'Detalhe Por UC'!$R:$R,'Infos Clientes'!AO$2))</f>
        <v>380</v>
      </c>
      <c r="AP57" s="27">
        <f>IF(SUMIFS('Detalhe Por UC'!$AB:$AB,'Detalhe Por UC'!$C:$C,'Infos Clientes'!$B57,'Detalhe Por UC'!$R:$R,'Infos Clientes'!AP$2)=0,"",
SUMIFS('Detalhe Por UC'!$AB:$AB,'Detalhe Por UC'!$C:$C,'Infos Clientes'!$B57,'Detalhe Por UC'!$R:$R,'Infos Clientes'!AP$2)
+SUMIFS('Detalhe Por UC'!$AC:$AC,'Detalhe Por UC'!$C:$C,'Infos Clientes'!$B57,'Detalhe Por UC'!$R:$R,'Infos Clientes'!AP$2))</f>
        <v>305</v>
      </c>
      <c r="AQ57" s="27">
        <f>IF(SUMIFS('Detalhe Por UC'!$AB:$AB,'Detalhe Por UC'!$C:$C,'Infos Clientes'!$B57,'Detalhe Por UC'!$R:$R,'Infos Clientes'!AQ$2)=0,"",
SUMIFS('Detalhe Por UC'!$AB:$AB,'Detalhe Por UC'!$C:$C,'Infos Clientes'!$B57,'Detalhe Por UC'!$R:$R,'Infos Clientes'!AQ$2)
+SUMIFS('Detalhe Por UC'!$AC:$AC,'Detalhe Por UC'!$C:$C,'Infos Clientes'!$B57,'Detalhe Por UC'!$R:$R,'Infos Clientes'!AQ$2))</f>
        <v>353</v>
      </c>
      <c r="AR57" s="27">
        <f>IF(SUMIFS('Detalhe Por UC'!$AB:$AB,'Detalhe Por UC'!$C:$C,'Infos Clientes'!$B57,'Detalhe Por UC'!$R:$R,'Infos Clientes'!AR$2)=0,"",
SUMIFS('Detalhe Por UC'!$AB:$AB,'Detalhe Por UC'!$C:$C,'Infos Clientes'!$B57,'Detalhe Por UC'!$R:$R,'Infos Clientes'!AR$2)
+SUMIFS('Detalhe Por UC'!$AC:$AC,'Detalhe Por UC'!$C:$C,'Infos Clientes'!$B57,'Detalhe Por UC'!$R:$R,'Infos Clientes'!AR$2))</f>
        <v>551</v>
      </c>
      <c r="AS57" s="27">
        <f>IF(SUMIFS('Detalhe Por UC'!$AB:$AB,'Detalhe Por UC'!$C:$C,'Infos Clientes'!$B57,'Detalhe Por UC'!$R:$R,'Infos Clientes'!AS$2)=0,"",
SUMIFS('Detalhe Por UC'!$AB:$AB,'Detalhe Por UC'!$C:$C,'Infos Clientes'!$B57,'Detalhe Por UC'!$R:$R,'Infos Clientes'!AS$2)
+SUMIFS('Detalhe Por UC'!$AC:$AC,'Detalhe Por UC'!$C:$C,'Infos Clientes'!$B57,'Detalhe Por UC'!$R:$R,'Infos Clientes'!AS$2))</f>
        <v>563</v>
      </c>
      <c r="AT57" s="27">
        <f>IF(SUMIFS('Detalhe Por UC'!$AB:$AB,'Detalhe Por UC'!$C:$C,'Infos Clientes'!$B57,'Detalhe Por UC'!$R:$R,'Infos Clientes'!AT$2)=0,"",
SUMIFS('Detalhe Por UC'!$AB:$AB,'Detalhe Por UC'!$C:$C,'Infos Clientes'!$B57,'Detalhe Por UC'!$R:$R,'Infos Clientes'!AT$2)
+SUMIFS('Detalhe Por UC'!$AC:$AC,'Detalhe Por UC'!$C:$C,'Infos Clientes'!$B57,'Detalhe Por UC'!$R:$R,'Infos Clientes'!AT$2))</f>
        <v>523</v>
      </c>
      <c r="AU57" s="27" t="str">
        <f>IF(SUMIFS('Detalhe Por UC'!$AB:$AB,'Detalhe Por UC'!$C:$C,'Infos Clientes'!$B57,'Detalhe Por UC'!$R:$R,'Infos Clientes'!AU$2)=0,"",
SUMIFS('Detalhe Por UC'!$AB:$AB,'Detalhe Por UC'!$C:$C,'Infos Clientes'!$B57,'Detalhe Por UC'!$R:$R,'Infos Clientes'!AU$2)
+SUMIFS('Detalhe Por UC'!$AC:$AC,'Detalhe Por UC'!$C:$C,'Infos Clientes'!$B57,'Detalhe Por UC'!$R:$R,'Infos Clientes'!AU$2))</f>
        <v/>
      </c>
    </row>
    <row r="58" spans="2:47" x14ac:dyDescent="0.3">
      <c r="B58" t="s">
        <v>163</v>
      </c>
      <c r="C58" s="14">
        <v>50</v>
      </c>
      <c r="D58" t="s">
        <v>19</v>
      </c>
      <c r="E58" s="15">
        <v>302</v>
      </c>
      <c r="F58" t="s">
        <v>164</v>
      </c>
      <c r="G58" t="s">
        <v>165</v>
      </c>
      <c r="H58" t="str">
        <f t="shared" si="2"/>
        <v>10/1674177-9</v>
      </c>
      <c r="I58" s="31" t="s">
        <v>22</v>
      </c>
      <c r="J58" s="31" t="s">
        <v>28</v>
      </c>
      <c r="K58" s="18" t="s">
        <v>138</v>
      </c>
      <c r="M58" s="32">
        <v>0.25</v>
      </c>
      <c r="Q58" s="22">
        <f>IF(_xlfn.MINIFS('Detalhe Por UC'!R:R,'Detalhe Por UC'!C:C,B58,'Detalhe Por UC'!AD:AD,"&gt;"&amp;0)=0,"",_xlfn.MINIFS('Detalhe Por UC'!R:R,'Detalhe Por UC'!C:C,B58,'Detalhe Por UC'!AD:AD,"&gt;"&amp;0))</f>
        <v>45658</v>
      </c>
      <c r="R58" s="23">
        <f>IF(P58&lt;&gt;"ATIVO",0,
IF(OR(Q58="",Q58=0,O58=0),O58,
O58-ROUND((MAX('Detalhe Por UC'!R:R)
-Q58)/(365/12),0)))</f>
        <v>0</v>
      </c>
      <c r="T58" s="29">
        <v>393</v>
      </c>
      <c r="U58" s="24">
        <f t="shared" si="0"/>
        <v>511.91666666666669</v>
      </c>
      <c r="X58">
        <v>456</v>
      </c>
      <c r="Y58">
        <v>464</v>
      </c>
      <c r="Z58">
        <v>461</v>
      </c>
      <c r="AA58">
        <v>600</v>
      </c>
      <c r="AB58">
        <v>0</v>
      </c>
      <c r="AC58">
        <v>205</v>
      </c>
      <c r="AD58">
        <v>192</v>
      </c>
      <c r="AE58">
        <v>195</v>
      </c>
      <c r="AF58">
        <v>302</v>
      </c>
      <c r="AG58">
        <v>446</v>
      </c>
      <c r="AH58">
        <v>410</v>
      </c>
      <c r="AI58" s="25">
        <v>564</v>
      </c>
      <c r="AJ58" s="27">
        <f>IF(SUMIFS('Detalhe Por UC'!$AB:$AB,'Detalhe Por UC'!$C:$C,'Infos Clientes'!$B58,'Detalhe Por UC'!$R:$R,'Infos Clientes'!AJ$2)=0,"",
SUMIFS('Detalhe Por UC'!$AB:$AB,'Detalhe Por UC'!$C:$C,'Infos Clientes'!$B58,'Detalhe Por UC'!$R:$R,'Infos Clientes'!AJ$2)
+SUMIFS('Detalhe Por UC'!$AC:$AC,'Detalhe Por UC'!$C:$C,'Infos Clientes'!$B58,'Detalhe Por UC'!$R:$R,'Infos Clientes'!AJ$2))</f>
        <v>484</v>
      </c>
      <c r="AK58" s="27">
        <f>IF(SUMIFS('Detalhe Por UC'!$AB:$AB,'Detalhe Por UC'!$C:$C,'Infos Clientes'!$B58,'Detalhe Por UC'!$R:$R,'Infos Clientes'!AK$2)=0,"",
SUMIFS('Detalhe Por UC'!$AB:$AB,'Detalhe Por UC'!$C:$C,'Infos Clientes'!$B58,'Detalhe Por UC'!$R:$R,'Infos Clientes'!AK$2)
+SUMIFS('Detalhe Por UC'!$AC:$AC,'Detalhe Por UC'!$C:$C,'Infos Clientes'!$B58,'Detalhe Por UC'!$R:$R,'Infos Clientes'!AK$2))</f>
        <v>507</v>
      </c>
      <c r="AL58" s="27">
        <f>IF(SUMIFS('Detalhe Por UC'!$AB:$AB,'Detalhe Por UC'!$C:$C,'Infos Clientes'!$B58,'Detalhe Por UC'!$R:$R,'Infos Clientes'!AL$2)=0,"",
SUMIFS('Detalhe Por UC'!$AB:$AB,'Detalhe Por UC'!$C:$C,'Infos Clientes'!$B58,'Detalhe Por UC'!$R:$R,'Infos Clientes'!AL$2)
+SUMIFS('Detalhe Por UC'!$AC:$AC,'Detalhe Por UC'!$C:$C,'Infos Clientes'!$B58,'Detalhe Por UC'!$R:$R,'Infos Clientes'!AL$2))</f>
        <v>754</v>
      </c>
      <c r="AM58" s="27">
        <f>IF(SUMIFS('Detalhe Por UC'!$AB:$AB,'Detalhe Por UC'!$C:$C,'Infos Clientes'!$B58,'Detalhe Por UC'!$R:$R,'Infos Clientes'!AM$2)=0,"",
SUMIFS('Detalhe Por UC'!$AB:$AB,'Detalhe Por UC'!$C:$C,'Infos Clientes'!$B58,'Detalhe Por UC'!$R:$R,'Infos Clientes'!AM$2)
+SUMIFS('Detalhe Por UC'!$AC:$AC,'Detalhe Por UC'!$C:$C,'Infos Clientes'!$B58,'Detalhe Por UC'!$R:$R,'Infos Clientes'!AM$2))</f>
        <v>540</v>
      </c>
      <c r="AN58" s="27">
        <f>IF(SUMIFS('Detalhe Por UC'!$AB:$AB,'Detalhe Por UC'!$C:$C,'Infos Clientes'!$B58,'Detalhe Por UC'!$R:$R,'Infos Clientes'!AN$2)=0,"",
SUMIFS('Detalhe Por UC'!$AB:$AB,'Detalhe Por UC'!$C:$C,'Infos Clientes'!$B58,'Detalhe Por UC'!$R:$R,'Infos Clientes'!AN$2)
+SUMIFS('Detalhe Por UC'!$AC:$AC,'Detalhe Por UC'!$C:$C,'Infos Clientes'!$B58,'Detalhe Por UC'!$R:$R,'Infos Clientes'!AN$2))</f>
        <v>377</v>
      </c>
      <c r="AO58" s="27">
        <f>IF(SUMIFS('Detalhe Por UC'!$AB:$AB,'Detalhe Por UC'!$C:$C,'Infos Clientes'!$B58,'Detalhe Por UC'!$R:$R,'Infos Clientes'!AO$2)=0,"",
SUMIFS('Detalhe Por UC'!$AB:$AB,'Detalhe Por UC'!$C:$C,'Infos Clientes'!$B58,'Detalhe Por UC'!$R:$R,'Infos Clientes'!AO$2)
+SUMIFS('Detalhe Por UC'!$AC:$AC,'Detalhe Por UC'!$C:$C,'Infos Clientes'!$B58,'Detalhe Por UC'!$R:$R,'Infos Clientes'!AO$2))</f>
        <v>375</v>
      </c>
      <c r="AP58" s="27">
        <f>IF(SUMIFS('Detalhe Por UC'!$AB:$AB,'Detalhe Por UC'!$C:$C,'Infos Clientes'!$B58,'Detalhe Por UC'!$R:$R,'Infos Clientes'!AP$2)=0,"",
SUMIFS('Detalhe Por UC'!$AB:$AB,'Detalhe Por UC'!$C:$C,'Infos Clientes'!$B58,'Detalhe Por UC'!$R:$R,'Infos Clientes'!AP$2)
+SUMIFS('Detalhe Por UC'!$AC:$AC,'Detalhe Por UC'!$C:$C,'Infos Clientes'!$B58,'Detalhe Por UC'!$R:$R,'Infos Clientes'!AP$2))</f>
        <v>202</v>
      </c>
      <c r="AQ58" s="27">
        <f>IF(SUMIFS('Detalhe Por UC'!$AB:$AB,'Detalhe Por UC'!$C:$C,'Infos Clientes'!$B58,'Detalhe Por UC'!$R:$R,'Infos Clientes'!AQ$2)=0,"",
SUMIFS('Detalhe Por UC'!$AB:$AB,'Detalhe Por UC'!$C:$C,'Infos Clientes'!$B58,'Detalhe Por UC'!$R:$R,'Infos Clientes'!AQ$2)
+SUMIFS('Detalhe Por UC'!$AC:$AC,'Detalhe Por UC'!$C:$C,'Infos Clientes'!$B58,'Detalhe Por UC'!$R:$R,'Infos Clientes'!AQ$2))</f>
        <v>259</v>
      </c>
      <c r="AR58" s="27">
        <f>IF(SUMIFS('Detalhe Por UC'!$AB:$AB,'Detalhe Por UC'!$C:$C,'Infos Clientes'!$B58,'Detalhe Por UC'!$R:$R,'Infos Clientes'!AR$2)=0,"",
SUMIFS('Detalhe Por UC'!$AB:$AB,'Detalhe Por UC'!$C:$C,'Infos Clientes'!$B58,'Detalhe Por UC'!$R:$R,'Infos Clientes'!AR$2)
+SUMIFS('Detalhe Por UC'!$AC:$AC,'Detalhe Por UC'!$C:$C,'Infos Clientes'!$B58,'Detalhe Por UC'!$R:$R,'Infos Clientes'!AR$2))</f>
        <v>449</v>
      </c>
      <c r="AS58" s="27">
        <f>IF(SUMIFS('Detalhe Por UC'!$AB:$AB,'Detalhe Por UC'!$C:$C,'Infos Clientes'!$B58,'Detalhe Por UC'!$R:$R,'Infos Clientes'!AS$2)=0,"",
SUMIFS('Detalhe Por UC'!$AB:$AB,'Detalhe Por UC'!$C:$C,'Infos Clientes'!$B58,'Detalhe Por UC'!$R:$R,'Infos Clientes'!AS$2)
+SUMIFS('Detalhe Por UC'!$AC:$AC,'Detalhe Por UC'!$C:$C,'Infos Clientes'!$B58,'Detalhe Por UC'!$R:$R,'Infos Clientes'!AS$2))</f>
        <v>873</v>
      </c>
      <c r="AT58" s="27">
        <f>IF(SUMIFS('Detalhe Por UC'!$AB:$AB,'Detalhe Por UC'!$C:$C,'Infos Clientes'!$B58,'Detalhe Por UC'!$R:$R,'Infos Clientes'!AT$2)=0,"",
SUMIFS('Detalhe Por UC'!$AB:$AB,'Detalhe Por UC'!$C:$C,'Infos Clientes'!$B58,'Detalhe Por UC'!$R:$R,'Infos Clientes'!AT$2)
+SUMIFS('Detalhe Por UC'!$AC:$AC,'Detalhe Por UC'!$C:$C,'Infos Clientes'!$B58,'Detalhe Por UC'!$R:$R,'Infos Clientes'!AT$2))</f>
        <v>759</v>
      </c>
      <c r="AU58" s="27" t="str">
        <f>IF(SUMIFS('Detalhe Por UC'!$AB:$AB,'Detalhe Por UC'!$C:$C,'Infos Clientes'!$B58,'Detalhe Por UC'!$R:$R,'Infos Clientes'!AU$2)=0,"",
SUMIFS('Detalhe Por UC'!$AB:$AB,'Detalhe Por UC'!$C:$C,'Infos Clientes'!$B58,'Detalhe Por UC'!$R:$R,'Infos Clientes'!AU$2)
+SUMIFS('Detalhe Por UC'!$AC:$AC,'Detalhe Por UC'!$C:$C,'Infos Clientes'!$B58,'Detalhe Por UC'!$R:$R,'Infos Clientes'!AU$2))</f>
        <v/>
      </c>
    </row>
    <row r="59" spans="2:47" x14ac:dyDescent="0.3">
      <c r="B59" t="s">
        <v>166</v>
      </c>
      <c r="C59" s="14">
        <f t="shared" si="1"/>
        <v>59</v>
      </c>
      <c r="D59" t="s">
        <v>19</v>
      </c>
      <c r="E59" s="15">
        <v>362</v>
      </c>
      <c r="F59" t="s">
        <v>167</v>
      </c>
      <c r="G59" t="s">
        <v>83</v>
      </c>
      <c r="H59" t="str">
        <f t="shared" si="2"/>
        <v>10/175073-6</v>
      </c>
      <c r="I59" s="31" t="s">
        <v>22</v>
      </c>
      <c r="J59" s="31" t="s">
        <v>23</v>
      </c>
      <c r="K59" s="18" t="s">
        <v>138</v>
      </c>
      <c r="M59" s="32">
        <v>0.25</v>
      </c>
      <c r="Q59" s="22">
        <f>IF(_xlfn.MINIFS('Detalhe Por UC'!R:R,'Detalhe Por UC'!C:C,B59,'Detalhe Por UC'!AD:AD,"&gt;"&amp;0)=0,"",_xlfn.MINIFS('Detalhe Por UC'!R:R,'Detalhe Por UC'!C:C,B59,'Detalhe Por UC'!AD:AD,"&gt;"&amp;0))</f>
        <v>45658</v>
      </c>
      <c r="R59" s="23">
        <f>IF(P59&lt;&gt;"ATIVO",0,
IF(OR(Q59="",Q59=0,O59=0),O59,
O59-ROUND((MAX('Detalhe Por UC'!R:R)
-Q59)/(365/12),0)))</f>
        <v>0</v>
      </c>
      <c r="T59" s="29">
        <v>140.81818181818181</v>
      </c>
      <c r="U59" s="24">
        <f t="shared" si="0"/>
        <v>88.5</v>
      </c>
      <c r="X59">
        <v>361</v>
      </c>
      <c r="Y59">
        <v>376</v>
      </c>
      <c r="Z59">
        <v>424</v>
      </c>
      <c r="AA59">
        <v>92</v>
      </c>
      <c r="AB59">
        <v>0</v>
      </c>
      <c r="AC59">
        <v>70</v>
      </c>
      <c r="AD59">
        <v>70</v>
      </c>
      <c r="AE59">
        <v>120</v>
      </c>
      <c r="AF59">
        <v>52</v>
      </c>
      <c r="AG59">
        <v>80</v>
      </c>
      <c r="AH59">
        <v>101</v>
      </c>
      <c r="AI59" s="25">
        <v>107</v>
      </c>
      <c r="AJ59" s="27">
        <f>IF(SUMIFS('Detalhe Por UC'!$AB:$AB,'Detalhe Por UC'!$C:$C,'Infos Clientes'!$B59,'Detalhe Por UC'!$R:$R,'Infos Clientes'!AJ$2)=0,"",
SUMIFS('Detalhe Por UC'!$AB:$AB,'Detalhe Por UC'!$C:$C,'Infos Clientes'!$B59,'Detalhe Por UC'!$R:$R,'Infos Clientes'!AJ$2)
+SUMIFS('Detalhe Por UC'!$AC:$AC,'Detalhe Por UC'!$C:$C,'Infos Clientes'!$B59,'Detalhe Por UC'!$R:$R,'Infos Clientes'!AJ$2))</f>
        <v>57</v>
      </c>
      <c r="AK59" s="27">
        <f>IF(SUMIFS('Detalhe Por UC'!$AB:$AB,'Detalhe Por UC'!$C:$C,'Infos Clientes'!$B59,'Detalhe Por UC'!$R:$R,'Infos Clientes'!AK$2)=0,"",
SUMIFS('Detalhe Por UC'!$AB:$AB,'Detalhe Por UC'!$C:$C,'Infos Clientes'!$B59,'Detalhe Por UC'!$R:$R,'Infos Clientes'!AK$2)
+SUMIFS('Detalhe Por UC'!$AC:$AC,'Detalhe Por UC'!$C:$C,'Infos Clientes'!$B59,'Detalhe Por UC'!$R:$R,'Infos Clientes'!AK$2))</f>
        <v>82</v>
      </c>
      <c r="AL59" s="27">
        <f>IF(SUMIFS('Detalhe Por UC'!$AB:$AB,'Detalhe Por UC'!$C:$C,'Infos Clientes'!$B59,'Detalhe Por UC'!$R:$R,'Infos Clientes'!AL$2)=0,"",
SUMIFS('Detalhe Por UC'!$AB:$AB,'Detalhe Por UC'!$C:$C,'Infos Clientes'!$B59,'Detalhe Por UC'!$R:$R,'Infos Clientes'!AL$2)
+SUMIFS('Detalhe Por UC'!$AC:$AC,'Detalhe Por UC'!$C:$C,'Infos Clientes'!$B59,'Detalhe Por UC'!$R:$R,'Infos Clientes'!AL$2))</f>
        <v>70</v>
      </c>
      <c r="AM59" s="27">
        <f>IF(SUMIFS('Detalhe Por UC'!$AB:$AB,'Detalhe Por UC'!$C:$C,'Infos Clientes'!$B59,'Detalhe Por UC'!$R:$R,'Infos Clientes'!AM$2)=0,"",
SUMIFS('Detalhe Por UC'!$AB:$AB,'Detalhe Por UC'!$C:$C,'Infos Clientes'!$B59,'Detalhe Por UC'!$R:$R,'Infos Clientes'!AM$2)
+SUMIFS('Detalhe Por UC'!$AC:$AC,'Detalhe Por UC'!$C:$C,'Infos Clientes'!$B59,'Detalhe Por UC'!$R:$R,'Infos Clientes'!AM$2))</f>
        <v>84</v>
      </c>
      <c r="AN59" s="27">
        <f>IF(SUMIFS('Detalhe Por UC'!$AB:$AB,'Detalhe Por UC'!$C:$C,'Infos Clientes'!$B59,'Detalhe Por UC'!$R:$R,'Infos Clientes'!AN$2)=0,"",
SUMIFS('Detalhe Por UC'!$AB:$AB,'Detalhe Por UC'!$C:$C,'Infos Clientes'!$B59,'Detalhe Por UC'!$R:$R,'Infos Clientes'!AN$2)
+SUMIFS('Detalhe Por UC'!$AC:$AC,'Detalhe Por UC'!$C:$C,'Infos Clientes'!$B59,'Detalhe Por UC'!$R:$R,'Infos Clientes'!AN$2))</f>
        <v>93</v>
      </c>
      <c r="AO59" s="27">
        <f>IF(SUMIFS('Detalhe Por UC'!$AB:$AB,'Detalhe Por UC'!$C:$C,'Infos Clientes'!$B59,'Detalhe Por UC'!$R:$R,'Infos Clientes'!AO$2)=0,"",
SUMIFS('Detalhe Por UC'!$AB:$AB,'Detalhe Por UC'!$C:$C,'Infos Clientes'!$B59,'Detalhe Por UC'!$R:$R,'Infos Clientes'!AO$2)
+SUMIFS('Detalhe Por UC'!$AC:$AC,'Detalhe Por UC'!$C:$C,'Infos Clientes'!$B59,'Detalhe Por UC'!$R:$R,'Infos Clientes'!AO$2))</f>
        <v>129</v>
      </c>
      <c r="AP59" s="27">
        <f>IF(SUMIFS('Detalhe Por UC'!$AB:$AB,'Detalhe Por UC'!$C:$C,'Infos Clientes'!$B59,'Detalhe Por UC'!$R:$R,'Infos Clientes'!AP$2)=0,"",
SUMIFS('Detalhe Por UC'!$AB:$AB,'Detalhe Por UC'!$C:$C,'Infos Clientes'!$B59,'Detalhe Por UC'!$R:$R,'Infos Clientes'!AP$2)
+SUMIFS('Detalhe Por UC'!$AC:$AC,'Detalhe Por UC'!$C:$C,'Infos Clientes'!$B59,'Detalhe Por UC'!$R:$R,'Infos Clientes'!AP$2))</f>
        <v>78</v>
      </c>
      <c r="AQ59" s="27">
        <f>IF(SUMIFS('Detalhe Por UC'!$AB:$AB,'Detalhe Por UC'!$C:$C,'Infos Clientes'!$B59,'Detalhe Por UC'!$R:$R,'Infos Clientes'!AQ$2)=0,"",
SUMIFS('Detalhe Por UC'!$AB:$AB,'Detalhe Por UC'!$C:$C,'Infos Clientes'!$B59,'Detalhe Por UC'!$R:$R,'Infos Clientes'!AQ$2)
+SUMIFS('Detalhe Por UC'!$AC:$AC,'Detalhe Por UC'!$C:$C,'Infos Clientes'!$B59,'Detalhe Por UC'!$R:$R,'Infos Clientes'!AQ$2))</f>
        <v>95</v>
      </c>
      <c r="AR59" s="27">
        <f>IF(SUMIFS('Detalhe Por UC'!$AB:$AB,'Detalhe Por UC'!$C:$C,'Infos Clientes'!$B59,'Detalhe Por UC'!$R:$R,'Infos Clientes'!AR$2)=0,"",
SUMIFS('Detalhe Por UC'!$AB:$AB,'Detalhe Por UC'!$C:$C,'Infos Clientes'!$B59,'Detalhe Por UC'!$R:$R,'Infos Clientes'!AR$2)
+SUMIFS('Detalhe Por UC'!$AC:$AC,'Detalhe Por UC'!$C:$C,'Infos Clientes'!$B59,'Detalhe Por UC'!$R:$R,'Infos Clientes'!AR$2))</f>
        <v>81</v>
      </c>
      <c r="AS59" s="27">
        <f>IF(SUMIFS('Detalhe Por UC'!$AB:$AB,'Detalhe Por UC'!$C:$C,'Infos Clientes'!$B59,'Detalhe Por UC'!$R:$R,'Infos Clientes'!AS$2)=0,"",
SUMIFS('Detalhe Por UC'!$AB:$AB,'Detalhe Por UC'!$C:$C,'Infos Clientes'!$B59,'Detalhe Por UC'!$R:$R,'Infos Clientes'!AS$2)
+SUMIFS('Detalhe Por UC'!$AC:$AC,'Detalhe Por UC'!$C:$C,'Infos Clientes'!$B59,'Detalhe Por UC'!$R:$R,'Infos Clientes'!AS$2))</f>
        <v>100</v>
      </c>
      <c r="AT59" s="27">
        <f>IF(SUMIFS('Detalhe Por UC'!$AB:$AB,'Detalhe Por UC'!$C:$C,'Infos Clientes'!$B59,'Detalhe Por UC'!$R:$R,'Infos Clientes'!AT$2)=0,"",
SUMIFS('Detalhe Por UC'!$AB:$AB,'Detalhe Por UC'!$C:$C,'Infos Clientes'!$B59,'Detalhe Por UC'!$R:$R,'Infos Clientes'!AT$2)
+SUMIFS('Detalhe Por UC'!$AC:$AC,'Detalhe Por UC'!$C:$C,'Infos Clientes'!$B59,'Detalhe Por UC'!$R:$R,'Infos Clientes'!AT$2))</f>
        <v>86</v>
      </c>
      <c r="AU59" s="27" t="str">
        <f>IF(SUMIFS('Detalhe Por UC'!$AB:$AB,'Detalhe Por UC'!$C:$C,'Infos Clientes'!$B59,'Detalhe Por UC'!$R:$R,'Infos Clientes'!AU$2)=0,"",
SUMIFS('Detalhe Por UC'!$AB:$AB,'Detalhe Por UC'!$C:$C,'Infos Clientes'!$B59,'Detalhe Por UC'!$R:$R,'Infos Clientes'!AU$2)
+SUMIFS('Detalhe Por UC'!$AC:$AC,'Detalhe Por UC'!$C:$C,'Infos Clientes'!$B59,'Detalhe Por UC'!$R:$R,'Infos Clientes'!AU$2))</f>
        <v/>
      </c>
    </row>
    <row r="60" spans="2:47" x14ac:dyDescent="0.3">
      <c r="B60" s="28" t="s">
        <v>168</v>
      </c>
      <c r="C60" s="14">
        <f t="shared" si="1"/>
        <v>60</v>
      </c>
      <c r="D60" t="s">
        <v>19</v>
      </c>
      <c r="E60" s="15">
        <v>306</v>
      </c>
      <c r="F60" t="s">
        <v>49</v>
      </c>
      <c r="G60" t="s">
        <v>50</v>
      </c>
      <c r="H60" t="str">
        <f t="shared" si="2"/>
        <v>10/2247256-7</v>
      </c>
      <c r="I60" s="31" t="s">
        <v>22</v>
      </c>
      <c r="J60" s="31" t="s">
        <v>28</v>
      </c>
      <c r="K60" s="18" t="s">
        <v>138</v>
      </c>
      <c r="M60" s="32">
        <v>0.25</v>
      </c>
      <c r="Q60" s="22">
        <f>IF(_xlfn.MINIFS('Detalhe Por UC'!R:R,'Detalhe Por UC'!C:C,B60,'Detalhe Por UC'!AD:AD,"&gt;"&amp;0)=0,"",_xlfn.MINIFS('Detalhe Por UC'!R:R,'Detalhe Por UC'!C:C,B60,'Detalhe Por UC'!AD:AD,"&gt;"&amp;0))</f>
        <v>45658</v>
      </c>
      <c r="R60" s="23">
        <f>IF(P60&lt;&gt;"ATIVO",0,
IF(OR(Q60="",Q60=0,O60=0),O60,
O60-ROUND((MAX('Detalhe Por UC'!R:R)
-Q60)/(365/12),0)))</f>
        <v>0</v>
      </c>
      <c r="T60" s="29">
        <v>718.4545454545455</v>
      </c>
      <c r="U60" s="24">
        <f t="shared" si="0"/>
        <v>579.4545454545455</v>
      </c>
      <c r="X60">
        <v>1311</v>
      </c>
      <c r="Y60">
        <v>1518</v>
      </c>
      <c r="Z60">
        <v>891</v>
      </c>
      <c r="AA60">
        <v>929</v>
      </c>
      <c r="AB60">
        <v>0</v>
      </c>
      <c r="AC60">
        <v>589</v>
      </c>
      <c r="AD60">
        <v>323</v>
      </c>
      <c r="AE60">
        <v>594</v>
      </c>
      <c r="AF60">
        <v>482</v>
      </c>
      <c r="AG60">
        <v>516</v>
      </c>
      <c r="AH60">
        <v>842</v>
      </c>
      <c r="AI60" s="25">
        <v>626</v>
      </c>
      <c r="AJ60" s="27">
        <f>IF(SUMIFS('Detalhe Por UC'!$AB:$AB,'Detalhe Por UC'!$C:$C,'Infos Clientes'!$B60,'Detalhe Por UC'!$R:$R,'Infos Clientes'!AJ$2)=0,"",
SUMIFS('Detalhe Por UC'!$AB:$AB,'Detalhe Por UC'!$C:$C,'Infos Clientes'!$B60,'Detalhe Por UC'!$R:$R,'Infos Clientes'!AJ$2)
+SUMIFS('Detalhe Por UC'!$AC:$AC,'Detalhe Por UC'!$C:$C,'Infos Clientes'!$B60,'Detalhe Por UC'!$R:$R,'Infos Clientes'!AJ$2))</f>
        <v>593</v>
      </c>
      <c r="AK60" s="27">
        <f>IF(SUMIFS('Detalhe Por UC'!$AB:$AB,'Detalhe Por UC'!$C:$C,'Infos Clientes'!$B60,'Detalhe Por UC'!$R:$R,'Infos Clientes'!AK$2)=0,"",
SUMIFS('Detalhe Por UC'!$AB:$AB,'Detalhe Por UC'!$C:$C,'Infos Clientes'!$B60,'Detalhe Por UC'!$R:$R,'Infos Clientes'!AK$2)
+SUMIFS('Detalhe Por UC'!$AC:$AC,'Detalhe Por UC'!$C:$C,'Infos Clientes'!$B60,'Detalhe Por UC'!$R:$R,'Infos Clientes'!AK$2))</f>
        <v>968</v>
      </c>
      <c r="AL60" s="27">
        <f>IF(SUMIFS('Detalhe Por UC'!$AB:$AB,'Detalhe Por UC'!$C:$C,'Infos Clientes'!$B60,'Detalhe Por UC'!$R:$R,'Infos Clientes'!AL$2)=0,"",
SUMIFS('Detalhe Por UC'!$AB:$AB,'Detalhe Por UC'!$C:$C,'Infos Clientes'!$B60,'Detalhe Por UC'!$R:$R,'Infos Clientes'!AL$2)
+SUMIFS('Detalhe Por UC'!$AC:$AC,'Detalhe Por UC'!$C:$C,'Infos Clientes'!$B60,'Detalhe Por UC'!$R:$R,'Infos Clientes'!AL$2))</f>
        <v>921</v>
      </c>
      <c r="AM60" s="27">
        <f>IF(SUMIFS('Detalhe Por UC'!$AB:$AB,'Detalhe Por UC'!$C:$C,'Infos Clientes'!$B60,'Detalhe Por UC'!$R:$R,'Infos Clientes'!AM$2)=0,"",
SUMIFS('Detalhe Por UC'!$AB:$AB,'Detalhe Por UC'!$C:$C,'Infos Clientes'!$B60,'Detalhe Por UC'!$R:$R,'Infos Clientes'!AM$2)
+SUMIFS('Detalhe Por UC'!$AC:$AC,'Detalhe Por UC'!$C:$C,'Infos Clientes'!$B60,'Detalhe Por UC'!$R:$R,'Infos Clientes'!AM$2))</f>
        <v>620</v>
      </c>
      <c r="AN60" s="27">
        <f>IF(SUMIFS('Detalhe Por UC'!$AB:$AB,'Detalhe Por UC'!$C:$C,'Infos Clientes'!$B60,'Detalhe Por UC'!$R:$R,'Infos Clientes'!AN$2)=0,"",
SUMIFS('Detalhe Por UC'!$AB:$AB,'Detalhe Por UC'!$C:$C,'Infos Clientes'!$B60,'Detalhe Por UC'!$R:$R,'Infos Clientes'!AN$2)
+SUMIFS('Detalhe Por UC'!$AC:$AC,'Detalhe Por UC'!$C:$C,'Infos Clientes'!$B60,'Detalhe Por UC'!$R:$R,'Infos Clientes'!AN$2))</f>
        <v>432</v>
      </c>
      <c r="AO60" s="27">
        <f>IF(SUMIFS('Detalhe Por UC'!$AB:$AB,'Detalhe Por UC'!$C:$C,'Infos Clientes'!$B60,'Detalhe Por UC'!$R:$R,'Infos Clientes'!AO$2)=0,"",
SUMIFS('Detalhe Por UC'!$AB:$AB,'Detalhe Por UC'!$C:$C,'Infos Clientes'!$B60,'Detalhe Por UC'!$R:$R,'Infos Clientes'!AO$2)
+SUMIFS('Detalhe Por UC'!$AC:$AC,'Detalhe Por UC'!$C:$C,'Infos Clientes'!$B60,'Detalhe Por UC'!$R:$R,'Infos Clientes'!AO$2))</f>
        <v>433</v>
      </c>
      <c r="AP60" s="27">
        <f>IF(SUMIFS('Detalhe Por UC'!$AB:$AB,'Detalhe Por UC'!$C:$C,'Infos Clientes'!$B60,'Detalhe Por UC'!$R:$R,'Infos Clientes'!AP$2)=0,"",
SUMIFS('Detalhe Por UC'!$AB:$AB,'Detalhe Por UC'!$C:$C,'Infos Clientes'!$B60,'Detalhe Por UC'!$R:$R,'Infos Clientes'!AP$2)
+SUMIFS('Detalhe Por UC'!$AC:$AC,'Detalhe Por UC'!$C:$C,'Infos Clientes'!$B60,'Detalhe Por UC'!$R:$R,'Infos Clientes'!AP$2))</f>
        <v>253</v>
      </c>
      <c r="AQ60" s="27">
        <f>IF(SUMIFS('Detalhe Por UC'!$AB:$AB,'Detalhe Por UC'!$C:$C,'Infos Clientes'!$B60,'Detalhe Por UC'!$R:$R,'Infos Clientes'!AQ$2)=0,"",
SUMIFS('Detalhe Por UC'!$AB:$AB,'Detalhe Por UC'!$C:$C,'Infos Clientes'!$B60,'Detalhe Por UC'!$R:$R,'Infos Clientes'!AQ$2)
+SUMIFS('Detalhe Por UC'!$AC:$AC,'Detalhe Por UC'!$C:$C,'Infos Clientes'!$B60,'Detalhe Por UC'!$R:$R,'Infos Clientes'!AQ$2))</f>
        <v>343</v>
      </c>
      <c r="AR60" s="27" t="str">
        <f>IF(SUMIFS('Detalhe Por UC'!$AB:$AB,'Detalhe Por UC'!$C:$C,'Infos Clientes'!$B60,'Detalhe Por UC'!$R:$R,'Infos Clientes'!AR$2)=0,"",
SUMIFS('Detalhe Por UC'!$AB:$AB,'Detalhe Por UC'!$C:$C,'Infos Clientes'!$B60,'Detalhe Por UC'!$R:$R,'Infos Clientes'!AR$2)
+SUMIFS('Detalhe Por UC'!$AC:$AC,'Detalhe Por UC'!$C:$C,'Infos Clientes'!$B60,'Detalhe Por UC'!$R:$R,'Infos Clientes'!AR$2))</f>
        <v/>
      </c>
      <c r="AS60" s="27">
        <f>IF(SUMIFS('Detalhe Por UC'!$AB:$AB,'Detalhe Por UC'!$C:$C,'Infos Clientes'!$B60,'Detalhe Por UC'!$R:$R,'Infos Clientes'!AS$2)=0,"",
SUMIFS('Detalhe Por UC'!$AB:$AB,'Detalhe Por UC'!$C:$C,'Infos Clientes'!$B60,'Detalhe Por UC'!$R:$R,'Infos Clientes'!AS$2)
+SUMIFS('Detalhe Por UC'!$AC:$AC,'Detalhe Por UC'!$C:$C,'Infos Clientes'!$B60,'Detalhe Por UC'!$R:$R,'Infos Clientes'!AS$2))</f>
        <v>643</v>
      </c>
      <c r="AT60" s="27">
        <f>IF(SUMIFS('Detalhe Por UC'!$AB:$AB,'Detalhe Por UC'!$C:$C,'Infos Clientes'!$B60,'Detalhe Por UC'!$R:$R,'Infos Clientes'!AT$2)=0,"",
SUMIFS('Detalhe Por UC'!$AB:$AB,'Detalhe Por UC'!$C:$C,'Infos Clientes'!$B60,'Detalhe Por UC'!$R:$R,'Infos Clientes'!AT$2)
+SUMIFS('Detalhe Por UC'!$AC:$AC,'Detalhe Por UC'!$C:$C,'Infos Clientes'!$B60,'Detalhe Por UC'!$R:$R,'Infos Clientes'!AT$2))</f>
        <v>542</v>
      </c>
      <c r="AU60" s="27" t="str">
        <f>IF(SUMIFS('Detalhe Por UC'!$AB:$AB,'Detalhe Por UC'!$C:$C,'Infos Clientes'!$B60,'Detalhe Por UC'!$R:$R,'Infos Clientes'!AU$2)=0,"",
SUMIFS('Detalhe Por UC'!$AB:$AB,'Detalhe Por UC'!$C:$C,'Infos Clientes'!$B60,'Detalhe Por UC'!$R:$R,'Infos Clientes'!AU$2)
+SUMIFS('Detalhe Por UC'!$AC:$AC,'Detalhe Por UC'!$C:$C,'Infos Clientes'!$B60,'Detalhe Por UC'!$R:$R,'Infos Clientes'!AU$2))</f>
        <v/>
      </c>
    </row>
    <row r="61" spans="2:47" x14ac:dyDescent="0.3">
      <c r="B61" t="s">
        <v>169</v>
      </c>
      <c r="C61" s="14">
        <f t="shared" si="1"/>
        <v>61</v>
      </c>
      <c r="D61" t="s">
        <v>19</v>
      </c>
      <c r="E61" s="15">
        <v>302</v>
      </c>
      <c r="F61" t="s">
        <v>170</v>
      </c>
      <c r="G61" t="s">
        <v>171</v>
      </c>
      <c r="H61" t="str">
        <f t="shared" si="2"/>
        <v>10/239312-2</v>
      </c>
      <c r="I61" s="31" t="s">
        <v>22</v>
      </c>
      <c r="J61" s="31" t="s">
        <v>23</v>
      </c>
      <c r="K61" s="18" t="s">
        <v>138</v>
      </c>
      <c r="M61" s="32">
        <v>0.25</v>
      </c>
      <c r="Q61" s="22">
        <f>IF(_xlfn.MINIFS('Detalhe Por UC'!R:R,'Detalhe Por UC'!C:C,B61,'Detalhe Por UC'!AD:AD,"&gt;"&amp;0)=0,"",_xlfn.MINIFS('Detalhe Por UC'!R:R,'Detalhe Por UC'!C:C,B61,'Detalhe Por UC'!AD:AD,"&gt;"&amp;0))</f>
        <v>45658</v>
      </c>
      <c r="R61" s="23">
        <f>IF(P61&lt;&gt;"ATIVO",0,
IF(OR(Q61="",Q61=0,O61=0),O61,
O61-ROUND((MAX('Detalhe Por UC'!R:R)
-Q61)/(365/12),0)))</f>
        <v>0</v>
      </c>
      <c r="T61" s="29">
        <v>287.36363636363637</v>
      </c>
      <c r="U61" s="24">
        <f t="shared" si="0"/>
        <v>280.33333333333331</v>
      </c>
      <c r="X61">
        <v>312</v>
      </c>
      <c r="Y61">
        <v>264</v>
      </c>
      <c r="Z61">
        <v>304</v>
      </c>
      <c r="AA61">
        <v>457</v>
      </c>
      <c r="AB61">
        <v>0</v>
      </c>
      <c r="AC61">
        <v>259</v>
      </c>
      <c r="AD61">
        <v>211</v>
      </c>
      <c r="AE61">
        <v>224</v>
      </c>
      <c r="AF61">
        <v>197</v>
      </c>
      <c r="AG61">
        <v>313</v>
      </c>
      <c r="AH61">
        <v>272</v>
      </c>
      <c r="AI61" s="25">
        <v>370</v>
      </c>
      <c r="AJ61" s="27">
        <f>IF(SUMIFS('Detalhe Por UC'!$AB:$AB,'Detalhe Por UC'!$C:$C,'Infos Clientes'!$B61,'Detalhe Por UC'!$R:$R,'Infos Clientes'!AJ$2)=0,"",
SUMIFS('Detalhe Por UC'!$AB:$AB,'Detalhe Por UC'!$C:$C,'Infos Clientes'!$B61,'Detalhe Por UC'!$R:$R,'Infos Clientes'!AJ$2)
+SUMIFS('Detalhe Por UC'!$AC:$AC,'Detalhe Por UC'!$C:$C,'Infos Clientes'!$B61,'Detalhe Por UC'!$R:$R,'Infos Clientes'!AJ$2))</f>
        <v>290</v>
      </c>
      <c r="AK61" s="27">
        <f>IF(SUMIFS('Detalhe Por UC'!$AB:$AB,'Detalhe Por UC'!$C:$C,'Infos Clientes'!$B61,'Detalhe Por UC'!$R:$R,'Infos Clientes'!AK$2)=0,"",
SUMIFS('Detalhe Por UC'!$AB:$AB,'Detalhe Por UC'!$C:$C,'Infos Clientes'!$B61,'Detalhe Por UC'!$R:$R,'Infos Clientes'!AK$2)
+SUMIFS('Detalhe Por UC'!$AC:$AC,'Detalhe Por UC'!$C:$C,'Infos Clientes'!$B61,'Detalhe Por UC'!$R:$R,'Infos Clientes'!AK$2))</f>
        <v>305</v>
      </c>
      <c r="AL61" s="27">
        <f>IF(SUMIFS('Detalhe Por UC'!$AB:$AB,'Detalhe Por UC'!$C:$C,'Infos Clientes'!$B61,'Detalhe Por UC'!$R:$R,'Infos Clientes'!AL$2)=0,"",
SUMIFS('Detalhe Por UC'!$AB:$AB,'Detalhe Por UC'!$C:$C,'Infos Clientes'!$B61,'Detalhe Por UC'!$R:$R,'Infos Clientes'!AL$2)
+SUMIFS('Detalhe Por UC'!$AC:$AC,'Detalhe Por UC'!$C:$C,'Infos Clientes'!$B61,'Detalhe Por UC'!$R:$R,'Infos Clientes'!AL$2))</f>
        <v>320</v>
      </c>
      <c r="AM61" s="27">
        <f>IF(SUMIFS('Detalhe Por UC'!$AB:$AB,'Detalhe Por UC'!$C:$C,'Infos Clientes'!$B61,'Detalhe Por UC'!$R:$R,'Infos Clientes'!AM$2)=0,"",
SUMIFS('Detalhe Por UC'!$AB:$AB,'Detalhe Por UC'!$C:$C,'Infos Clientes'!$B61,'Detalhe Por UC'!$R:$R,'Infos Clientes'!AM$2)
+SUMIFS('Detalhe Por UC'!$AC:$AC,'Detalhe Por UC'!$C:$C,'Infos Clientes'!$B61,'Detalhe Por UC'!$R:$R,'Infos Clientes'!AM$2))</f>
        <v>272</v>
      </c>
      <c r="AN61" s="27">
        <f>IF(SUMIFS('Detalhe Por UC'!$AB:$AB,'Detalhe Por UC'!$C:$C,'Infos Clientes'!$B61,'Detalhe Por UC'!$R:$R,'Infos Clientes'!AN$2)=0,"",
SUMIFS('Detalhe Por UC'!$AB:$AB,'Detalhe Por UC'!$C:$C,'Infos Clientes'!$B61,'Detalhe Por UC'!$R:$R,'Infos Clientes'!AN$2)
+SUMIFS('Detalhe Por UC'!$AC:$AC,'Detalhe Por UC'!$C:$C,'Infos Clientes'!$B61,'Detalhe Por UC'!$R:$R,'Infos Clientes'!AN$2))</f>
        <v>285</v>
      </c>
      <c r="AO61" s="27">
        <f>IF(SUMIFS('Detalhe Por UC'!$AB:$AB,'Detalhe Por UC'!$C:$C,'Infos Clientes'!$B61,'Detalhe Por UC'!$R:$R,'Infos Clientes'!AO$2)=0,"",
SUMIFS('Detalhe Por UC'!$AB:$AB,'Detalhe Por UC'!$C:$C,'Infos Clientes'!$B61,'Detalhe Por UC'!$R:$R,'Infos Clientes'!AO$2)
+SUMIFS('Detalhe Por UC'!$AC:$AC,'Detalhe Por UC'!$C:$C,'Infos Clientes'!$B61,'Detalhe Por UC'!$R:$R,'Infos Clientes'!AO$2))</f>
        <v>236</v>
      </c>
      <c r="AP61" s="27">
        <f>IF(SUMIFS('Detalhe Por UC'!$AB:$AB,'Detalhe Por UC'!$C:$C,'Infos Clientes'!$B61,'Detalhe Por UC'!$R:$R,'Infos Clientes'!AP$2)=0,"",
SUMIFS('Detalhe Por UC'!$AB:$AB,'Detalhe Por UC'!$C:$C,'Infos Clientes'!$B61,'Detalhe Por UC'!$R:$R,'Infos Clientes'!AP$2)
+SUMIFS('Detalhe Por UC'!$AC:$AC,'Detalhe Por UC'!$C:$C,'Infos Clientes'!$B61,'Detalhe Por UC'!$R:$R,'Infos Clientes'!AP$2))</f>
        <v>198</v>
      </c>
      <c r="AQ61" s="27">
        <f>IF(SUMIFS('Detalhe Por UC'!$AB:$AB,'Detalhe Por UC'!$C:$C,'Infos Clientes'!$B61,'Detalhe Por UC'!$R:$R,'Infos Clientes'!AQ$2)=0,"",
SUMIFS('Detalhe Por UC'!$AB:$AB,'Detalhe Por UC'!$C:$C,'Infos Clientes'!$B61,'Detalhe Por UC'!$R:$R,'Infos Clientes'!AQ$2)
+SUMIFS('Detalhe Por UC'!$AC:$AC,'Detalhe Por UC'!$C:$C,'Infos Clientes'!$B61,'Detalhe Por UC'!$R:$R,'Infos Clientes'!AQ$2))</f>
        <v>242</v>
      </c>
      <c r="AR61" s="27">
        <f>IF(SUMIFS('Detalhe Por UC'!$AB:$AB,'Detalhe Por UC'!$C:$C,'Infos Clientes'!$B61,'Detalhe Por UC'!$R:$R,'Infos Clientes'!AR$2)=0,"",
SUMIFS('Detalhe Por UC'!$AB:$AB,'Detalhe Por UC'!$C:$C,'Infos Clientes'!$B61,'Detalhe Por UC'!$R:$R,'Infos Clientes'!AR$2)
+SUMIFS('Detalhe Por UC'!$AC:$AC,'Detalhe Por UC'!$C:$C,'Infos Clientes'!$B61,'Detalhe Por UC'!$R:$R,'Infos Clientes'!AR$2))</f>
        <v>232</v>
      </c>
      <c r="AS61" s="27">
        <f>IF(SUMIFS('Detalhe Por UC'!$AB:$AB,'Detalhe Por UC'!$C:$C,'Infos Clientes'!$B61,'Detalhe Por UC'!$R:$R,'Infos Clientes'!AS$2)=0,"",
SUMIFS('Detalhe Por UC'!$AB:$AB,'Detalhe Por UC'!$C:$C,'Infos Clientes'!$B61,'Detalhe Por UC'!$R:$R,'Infos Clientes'!AS$2)
+SUMIFS('Detalhe Por UC'!$AC:$AC,'Detalhe Por UC'!$C:$C,'Infos Clientes'!$B61,'Detalhe Por UC'!$R:$R,'Infos Clientes'!AS$2))</f>
        <v>270</v>
      </c>
      <c r="AT61" s="27">
        <f>IF(SUMIFS('Detalhe Por UC'!$AB:$AB,'Detalhe Por UC'!$C:$C,'Infos Clientes'!$B61,'Detalhe Por UC'!$R:$R,'Infos Clientes'!AT$2)=0,"",
SUMIFS('Detalhe Por UC'!$AB:$AB,'Detalhe Por UC'!$C:$C,'Infos Clientes'!$B61,'Detalhe Por UC'!$R:$R,'Infos Clientes'!AT$2)
+SUMIFS('Detalhe Por UC'!$AC:$AC,'Detalhe Por UC'!$C:$C,'Infos Clientes'!$B61,'Detalhe Por UC'!$R:$R,'Infos Clientes'!AT$2))</f>
        <v>344</v>
      </c>
      <c r="AU61" s="27" t="str">
        <f>IF(SUMIFS('Detalhe Por UC'!$AB:$AB,'Detalhe Por UC'!$C:$C,'Infos Clientes'!$B61,'Detalhe Por UC'!$R:$R,'Infos Clientes'!AU$2)=0,"",
SUMIFS('Detalhe Por UC'!$AB:$AB,'Detalhe Por UC'!$C:$C,'Infos Clientes'!$B61,'Detalhe Por UC'!$R:$R,'Infos Clientes'!AU$2)
+SUMIFS('Detalhe Por UC'!$AC:$AC,'Detalhe Por UC'!$C:$C,'Infos Clientes'!$B61,'Detalhe Por UC'!$R:$R,'Infos Clientes'!AU$2))</f>
        <v/>
      </c>
    </row>
    <row r="62" spans="2:47" x14ac:dyDescent="0.3">
      <c r="B62" t="s">
        <v>172</v>
      </c>
      <c r="C62" s="14">
        <f t="shared" si="1"/>
        <v>62</v>
      </c>
      <c r="D62" t="s">
        <v>19</v>
      </c>
      <c r="E62" s="15">
        <v>357</v>
      </c>
      <c r="F62" t="s">
        <v>173</v>
      </c>
      <c r="G62" t="s">
        <v>174</v>
      </c>
      <c r="H62" t="str">
        <f t="shared" si="2"/>
        <v>10/24514-2</v>
      </c>
      <c r="I62" s="31" t="s">
        <v>22</v>
      </c>
      <c r="J62" s="31" t="s">
        <v>28</v>
      </c>
      <c r="K62" s="18" t="s">
        <v>138</v>
      </c>
      <c r="M62" s="32">
        <v>0.25</v>
      </c>
      <c r="Q62" s="22">
        <f>IF(_xlfn.MINIFS('Detalhe Por UC'!R:R,'Detalhe Por UC'!C:C,B62,'Detalhe Por UC'!AD:AD,"&gt;"&amp;0)=0,"",_xlfn.MINIFS('Detalhe Por UC'!R:R,'Detalhe Por UC'!C:C,B62,'Detalhe Por UC'!AD:AD,"&gt;"&amp;0))</f>
        <v>45658</v>
      </c>
      <c r="R62" s="23">
        <f>IF(P62&lt;&gt;"ATIVO",0,
IF(OR(Q62="",Q62=0,O62=0),O62,
O62-ROUND((MAX('Detalhe Por UC'!R:R)
-Q62)/(365/12),0)))</f>
        <v>0</v>
      </c>
      <c r="T62" s="29">
        <v>324.72727272727275</v>
      </c>
      <c r="U62" s="24">
        <f t="shared" si="0"/>
        <v>233.66666666666666</v>
      </c>
      <c r="X62">
        <v>389</v>
      </c>
      <c r="Y62">
        <v>423</v>
      </c>
      <c r="Z62">
        <v>476</v>
      </c>
      <c r="AA62">
        <v>453</v>
      </c>
      <c r="AB62">
        <v>0</v>
      </c>
      <c r="AC62">
        <v>122</v>
      </c>
      <c r="AD62">
        <v>186</v>
      </c>
      <c r="AE62">
        <v>240</v>
      </c>
      <c r="AF62">
        <v>265</v>
      </c>
      <c r="AG62">
        <v>427</v>
      </c>
      <c r="AH62">
        <v>321</v>
      </c>
      <c r="AI62" s="25">
        <v>355</v>
      </c>
      <c r="AJ62" s="27">
        <f>IF(SUMIFS('Detalhe Por UC'!$AB:$AB,'Detalhe Por UC'!$C:$C,'Infos Clientes'!$B62,'Detalhe Por UC'!$R:$R,'Infos Clientes'!AJ$2)=0,"",
SUMIFS('Detalhe Por UC'!$AB:$AB,'Detalhe Por UC'!$C:$C,'Infos Clientes'!$B62,'Detalhe Por UC'!$R:$R,'Infos Clientes'!AJ$2)
+SUMIFS('Detalhe Por UC'!$AC:$AC,'Detalhe Por UC'!$C:$C,'Infos Clientes'!$B62,'Detalhe Por UC'!$R:$R,'Infos Clientes'!AJ$2))</f>
        <v>304</v>
      </c>
      <c r="AK62" s="27">
        <f>IF(SUMIFS('Detalhe Por UC'!$AB:$AB,'Detalhe Por UC'!$C:$C,'Infos Clientes'!$B62,'Detalhe Por UC'!$R:$R,'Infos Clientes'!AK$2)=0,"",
SUMIFS('Detalhe Por UC'!$AB:$AB,'Detalhe Por UC'!$C:$C,'Infos Clientes'!$B62,'Detalhe Por UC'!$R:$R,'Infos Clientes'!AK$2)
+SUMIFS('Detalhe Por UC'!$AC:$AC,'Detalhe Por UC'!$C:$C,'Infos Clientes'!$B62,'Detalhe Por UC'!$R:$R,'Infos Clientes'!AK$2))</f>
        <v>381</v>
      </c>
      <c r="AL62" s="27">
        <f>IF(SUMIFS('Detalhe Por UC'!$AB:$AB,'Detalhe Por UC'!$C:$C,'Infos Clientes'!$B62,'Detalhe Por UC'!$R:$R,'Infos Clientes'!AL$2)=0,"",
SUMIFS('Detalhe Por UC'!$AB:$AB,'Detalhe Por UC'!$C:$C,'Infos Clientes'!$B62,'Detalhe Por UC'!$R:$R,'Infos Clientes'!AL$2)
+SUMIFS('Detalhe Por UC'!$AC:$AC,'Detalhe Por UC'!$C:$C,'Infos Clientes'!$B62,'Detalhe Por UC'!$R:$R,'Infos Clientes'!AL$2))</f>
        <v>327</v>
      </c>
      <c r="AM62" s="27">
        <f>IF(SUMIFS('Detalhe Por UC'!$AB:$AB,'Detalhe Por UC'!$C:$C,'Infos Clientes'!$B62,'Detalhe Por UC'!$R:$R,'Infos Clientes'!AM$2)=0,"",
SUMIFS('Detalhe Por UC'!$AB:$AB,'Detalhe Por UC'!$C:$C,'Infos Clientes'!$B62,'Detalhe Por UC'!$R:$R,'Infos Clientes'!AM$2)
+SUMIFS('Detalhe Por UC'!$AC:$AC,'Detalhe Por UC'!$C:$C,'Infos Clientes'!$B62,'Detalhe Por UC'!$R:$R,'Infos Clientes'!AM$2))</f>
        <v>168</v>
      </c>
      <c r="AN62" s="27">
        <f>IF(SUMIFS('Detalhe Por UC'!$AB:$AB,'Detalhe Por UC'!$C:$C,'Infos Clientes'!$B62,'Detalhe Por UC'!$R:$R,'Infos Clientes'!AN$2)=0,"",
SUMIFS('Detalhe Por UC'!$AB:$AB,'Detalhe Por UC'!$C:$C,'Infos Clientes'!$B62,'Detalhe Por UC'!$R:$R,'Infos Clientes'!AN$2)
+SUMIFS('Detalhe Por UC'!$AC:$AC,'Detalhe Por UC'!$C:$C,'Infos Clientes'!$B62,'Detalhe Por UC'!$R:$R,'Infos Clientes'!AN$2))</f>
        <v>207</v>
      </c>
      <c r="AO62" s="27">
        <f>IF(SUMIFS('Detalhe Por UC'!$AB:$AB,'Detalhe Por UC'!$C:$C,'Infos Clientes'!$B62,'Detalhe Por UC'!$R:$R,'Infos Clientes'!AO$2)=0,"",
SUMIFS('Detalhe Por UC'!$AB:$AB,'Detalhe Por UC'!$C:$C,'Infos Clientes'!$B62,'Detalhe Por UC'!$R:$R,'Infos Clientes'!AO$2)
+SUMIFS('Detalhe Por UC'!$AC:$AC,'Detalhe Por UC'!$C:$C,'Infos Clientes'!$B62,'Detalhe Por UC'!$R:$R,'Infos Clientes'!AO$2))</f>
        <v>152</v>
      </c>
      <c r="AP62" s="27">
        <f>IF(SUMIFS('Detalhe Por UC'!$AB:$AB,'Detalhe Por UC'!$C:$C,'Infos Clientes'!$B62,'Detalhe Por UC'!$R:$R,'Infos Clientes'!AP$2)=0,"",
SUMIFS('Detalhe Por UC'!$AB:$AB,'Detalhe Por UC'!$C:$C,'Infos Clientes'!$B62,'Detalhe Por UC'!$R:$R,'Infos Clientes'!AP$2)
+SUMIFS('Detalhe Por UC'!$AC:$AC,'Detalhe Por UC'!$C:$C,'Infos Clientes'!$B62,'Detalhe Por UC'!$R:$R,'Infos Clientes'!AP$2))</f>
        <v>138</v>
      </c>
      <c r="AQ62" s="27">
        <f>IF(SUMIFS('Detalhe Por UC'!$AB:$AB,'Detalhe Por UC'!$C:$C,'Infos Clientes'!$B62,'Detalhe Por UC'!$R:$R,'Infos Clientes'!AQ$2)=0,"",
SUMIFS('Detalhe Por UC'!$AB:$AB,'Detalhe Por UC'!$C:$C,'Infos Clientes'!$B62,'Detalhe Por UC'!$R:$R,'Infos Clientes'!AQ$2)
+SUMIFS('Detalhe Por UC'!$AC:$AC,'Detalhe Por UC'!$C:$C,'Infos Clientes'!$B62,'Detalhe Por UC'!$R:$R,'Infos Clientes'!AQ$2))</f>
        <v>177</v>
      </c>
      <c r="AR62" s="27">
        <f>IF(SUMIFS('Detalhe Por UC'!$AB:$AB,'Detalhe Por UC'!$C:$C,'Infos Clientes'!$B62,'Detalhe Por UC'!$R:$R,'Infos Clientes'!AR$2)=0,"",
SUMIFS('Detalhe Por UC'!$AB:$AB,'Detalhe Por UC'!$C:$C,'Infos Clientes'!$B62,'Detalhe Por UC'!$R:$R,'Infos Clientes'!AR$2)
+SUMIFS('Detalhe Por UC'!$AC:$AC,'Detalhe Por UC'!$C:$C,'Infos Clientes'!$B62,'Detalhe Por UC'!$R:$R,'Infos Clientes'!AR$2))</f>
        <v>181</v>
      </c>
      <c r="AS62" s="27">
        <f>IF(SUMIFS('Detalhe Por UC'!$AB:$AB,'Detalhe Por UC'!$C:$C,'Infos Clientes'!$B62,'Detalhe Por UC'!$R:$R,'Infos Clientes'!AS$2)=0,"",
SUMIFS('Detalhe Por UC'!$AB:$AB,'Detalhe Por UC'!$C:$C,'Infos Clientes'!$B62,'Detalhe Por UC'!$R:$R,'Infos Clientes'!AS$2)
+SUMIFS('Detalhe Por UC'!$AC:$AC,'Detalhe Por UC'!$C:$C,'Infos Clientes'!$B62,'Detalhe Por UC'!$R:$R,'Infos Clientes'!AS$2))</f>
        <v>190</v>
      </c>
      <c r="AT62" s="27">
        <f>IF(SUMIFS('Detalhe Por UC'!$AB:$AB,'Detalhe Por UC'!$C:$C,'Infos Clientes'!$B62,'Detalhe Por UC'!$R:$R,'Infos Clientes'!AT$2)=0,"",
SUMIFS('Detalhe Por UC'!$AB:$AB,'Detalhe Por UC'!$C:$C,'Infos Clientes'!$B62,'Detalhe Por UC'!$R:$R,'Infos Clientes'!AT$2)
+SUMIFS('Detalhe Por UC'!$AC:$AC,'Detalhe Por UC'!$C:$C,'Infos Clientes'!$B62,'Detalhe Por UC'!$R:$R,'Infos Clientes'!AT$2))</f>
        <v>224</v>
      </c>
      <c r="AU62" s="27" t="str">
        <f>IF(SUMIFS('Detalhe Por UC'!$AB:$AB,'Detalhe Por UC'!$C:$C,'Infos Clientes'!$B62,'Detalhe Por UC'!$R:$R,'Infos Clientes'!AU$2)=0,"",
SUMIFS('Detalhe Por UC'!$AB:$AB,'Detalhe Por UC'!$C:$C,'Infos Clientes'!$B62,'Detalhe Por UC'!$R:$R,'Infos Clientes'!AU$2)
+SUMIFS('Detalhe Por UC'!$AC:$AC,'Detalhe Por UC'!$C:$C,'Infos Clientes'!$B62,'Detalhe Por UC'!$R:$R,'Infos Clientes'!AU$2))</f>
        <v/>
      </c>
    </row>
    <row r="63" spans="2:47" x14ac:dyDescent="0.3">
      <c r="B63" t="s">
        <v>175</v>
      </c>
      <c r="C63" s="14">
        <f t="shared" si="1"/>
        <v>63</v>
      </c>
      <c r="D63" t="s">
        <v>19</v>
      </c>
      <c r="E63" s="15">
        <v>371</v>
      </c>
      <c r="F63" t="s">
        <v>176</v>
      </c>
      <c r="G63" t="s">
        <v>177</v>
      </c>
      <c r="H63" t="str">
        <f t="shared" si="2"/>
        <v>10/252817-2</v>
      </c>
      <c r="I63" s="31" t="s">
        <v>22</v>
      </c>
      <c r="J63" s="31" t="s">
        <v>28</v>
      </c>
      <c r="K63" s="18" t="s">
        <v>138</v>
      </c>
      <c r="M63" s="32">
        <v>0.25</v>
      </c>
      <c r="Q63" s="22">
        <f>IF(_xlfn.MINIFS('Detalhe Por UC'!R:R,'Detalhe Por UC'!C:C,B63,'Detalhe Por UC'!AD:AD,"&gt;"&amp;0)=0,"",_xlfn.MINIFS('Detalhe Por UC'!R:R,'Detalhe Por UC'!C:C,B63,'Detalhe Por UC'!AD:AD,"&gt;"&amp;0))</f>
        <v>45658</v>
      </c>
      <c r="R63" s="23">
        <f>IF(P63&lt;&gt;"ATIVO",0,
IF(OR(Q63="",Q63=0,O63=0),O63,
O63-ROUND((MAX('Detalhe Por UC'!R:R)
-Q63)/(365/12),0)))</f>
        <v>0</v>
      </c>
      <c r="T63" s="29">
        <v>384.90909090909093</v>
      </c>
      <c r="U63" s="24">
        <f t="shared" si="0"/>
        <v>291.45454545454544</v>
      </c>
      <c r="X63">
        <v>433</v>
      </c>
      <c r="Y63">
        <v>512</v>
      </c>
      <c r="Z63">
        <v>596</v>
      </c>
      <c r="AA63">
        <v>663</v>
      </c>
      <c r="AB63">
        <v>0</v>
      </c>
      <c r="AC63">
        <v>398</v>
      </c>
      <c r="AD63">
        <v>209</v>
      </c>
      <c r="AE63">
        <v>324</v>
      </c>
      <c r="AF63">
        <v>232</v>
      </c>
      <c r="AG63">
        <v>265</v>
      </c>
      <c r="AH63">
        <v>227</v>
      </c>
      <c r="AI63" s="25">
        <v>343</v>
      </c>
      <c r="AJ63" s="27">
        <f>IF(SUMIFS('Detalhe Por UC'!$AB:$AB,'Detalhe Por UC'!$C:$C,'Infos Clientes'!$B63,'Detalhe Por UC'!$R:$R,'Infos Clientes'!AJ$2)=0,"",
SUMIFS('Detalhe Por UC'!$AB:$AB,'Detalhe Por UC'!$C:$C,'Infos Clientes'!$B63,'Detalhe Por UC'!$R:$R,'Infos Clientes'!AJ$2)
+SUMIFS('Detalhe Por UC'!$AC:$AC,'Detalhe Por UC'!$C:$C,'Infos Clientes'!$B63,'Detalhe Por UC'!$R:$R,'Infos Clientes'!AJ$2))</f>
        <v>465</v>
      </c>
      <c r="AK63" s="27">
        <f>IF(SUMIFS('Detalhe Por UC'!$AB:$AB,'Detalhe Por UC'!$C:$C,'Infos Clientes'!$B63,'Detalhe Por UC'!$R:$R,'Infos Clientes'!AK$2)=0,"",
SUMIFS('Detalhe Por UC'!$AB:$AB,'Detalhe Por UC'!$C:$C,'Infos Clientes'!$B63,'Detalhe Por UC'!$R:$R,'Infos Clientes'!AK$2)
+SUMIFS('Detalhe Por UC'!$AC:$AC,'Detalhe Por UC'!$C:$C,'Infos Clientes'!$B63,'Detalhe Por UC'!$R:$R,'Infos Clientes'!AK$2))</f>
        <v>338</v>
      </c>
      <c r="AL63" s="27">
        <f>IF(SUMIFS('Detalhe Por UC'!$AB:$AB,'Detalhe Por UC'!$C:$C,'Infos Clientes'!$B63,'Detalhe Por UC'!$R:$R,'Infos Clientes'!AL$2)=0,"",
SUMIFS('Detalhe Por UC'!$AB:$AB,'Detalhe Por UC'!$C:$C,'Infos Clientes'!$B63,'Detalhe Por UC'!$R:$R,'Infos Clientes'!AL$2)
+SUMIFS('Detalhe Por UC'!$AC:$AC,'Detalhe Por UC'!$C:$C,'Infos Clientes'!$B63,'Detalhe Por UC'!$R:$R,'Infos Clientes'!AL$2))</f>
        <v>451</v>
      </c>
      <c r="AM63" s="27">
        <f>IF(SUMIFS('Detalhe Por UC'!$AB:$AB,'Detalhe Por UC'!$C:$C,'Infos Clientes'!$B63,'Detalhe Por UC'!$R:$R,'Infos Clientes'!AM$2)=0,"",
SUMIFS('Detalhe Por UC'!$AB:$AB,'Detalhe Por UC'!$C:$C,'Infos Clientes'!$B63,'Detalhe Por UC'!$R:$R,'Infos Clientes'!AM$2)
+SUMIFS('Detalhe Por UC'!$AC:$AC,'Detalhe Por UC'!$C:$C,'Infos Clientes'!$B63,'Detalhe Por UC'!$R:$R,'Infos Clientes'!AM$2))</f>
        <v>231</v>
      </c>
      <c r="AN63" s="27">
        <f>IF(SUMIFS('Detalhe Por UC'!$AB:$AB,'Detalhe Por UC'!$C:$C,'Infos Clientes'!$B63,'Detalhe Por UC'!$R:$R,'Infos Clientes'!AN$2)=0,"",
SUMIFS('Detalhe Por UC'!$AB:$AB,'Detalhe Por UC'!$C:$C,'Infos Clientes'!$B63,'Detalhe Por UC'!$R:$R,'Infos Clientes'!AN$2)
+SUMIFS('Detalhe Por UC'!$AC:$AC,'Detalhe Por UC'!$C:$C,'Infos Clientes'!$B63,'Detalhe Por UC'!$R:$R,'Infos Clientes'!AN$2))</f>
        <v>208</v>
      </c>
      <c r="AO63" s="27">
        <f>IF(SUMIFS('Detalhe Por UC'!$AB:$AB,'Detalhe Por UC'!$C:$C,'Infos Clientes'!$B63,'Detalhe Por UC'!$R:$R,'Infos Clientes'!AO$2)=0,"",
SUMIFS('Detalhe Por UC'!$AB:$AB,'Detalhe Por UC'!$C:$C,'Infos Clientes'!$B63,'Detalhe Por UC'!$R:$R,'Infos Clientes'!AO$2)
+SUMIFS('Detalhe Por UC'!$AC:$AC,'Detalhe Por UC'!$C:$C,'Infos Clientes'!$B63,'Detalhe Por UC'!$R:$R,'Infos Clientes'!AO$2))</f>
        <v>148</v>
      </c>
      <c r="AP63" s="27" t="str">
        <f>IF(SUMIFS('Detalhe Por UC'!$AB:$AB,'Detalhe Por UC'!$C:$C,'Infos Clientes'!$B63,'Detalhe Por UC'!$R:$R,'Infos Clientes'!AP$2)=0,"",
SUMIFS('Detalhe Por UC'!$AB:$AB,'Detalhe Por UC'!$C:$C,'Infos Clientes'!$B63,'Detalhe Por UC'!$R:$R,'Infos Clientes'!AP$2)
+SUMIFS('Detalhe Por UC'!$AC:$AC,'Detalhe Por UC'!$C:$C,'Infos Clientes'!$B63,'Detalhe Por UC'!$R:$R,'Infos Clientes'!AP$2))</f>
        <v/>
      </c>
      <c r="AQ63" s="27">
        <f>IF(SUMIFS('Detalhe Por UC'!$AB:$AB,'Detalhe Por UC'!$C:$C,'Infos Clientes'!$B63,'Detalhe Por UC'!$R:$R,'Infos Clientes'!AQ$2)=0,"",
SUMIFS('Detalhe Por UC'!$AB:$AB,'Detalhe Por UC'!$C:$C,'Infos Clientes'!$B63,'Detalhe Por UC'!$R:$R,'Infos Clientes'!AQ$2)
+SUMIFS('Detalhe Por UC'!$AC:$AC,'Detalhe Por UC'!$C:$C,'Infos Clientes'!$B63,'Detalhe Por UC'!$R:$R,'Infos Clientes'!AQ$2))</f>
        <v>117</v>
      </c>
      <c r="AR63" s="27">
        <f>IF(SUMIFS('Detalhe Por UC'!$AB:$AB,'Detalhe Por UC'!$C:$C,'Infos Clientes'!$B63,'Detalhe Por UC'!$R:$R,'Infos Clientes'!AR$2)=0,"",
SUMIFS('Detalhe Por UC'!$AB:$AB,'Detalhe Por UC'!$C:$C,'Infos Clientes'!$B63,'Detalhe Por UC'!$R:$R,'Infos Clientes'!AR$2)
+SUMIFS('Detalhe Por UC'!$AC:$AC,'Detalhe Por UC'!$C:$C,'Infos Clientes'!$B63,'Detalhe Por UC'!$R:$R,'Infos Clientes'!AR$2))</f>
        <v>225</v>
      </c>
      <c r="AS63" s="27">
        <f>IF(SUMIFS('Detalhe Por UC'!$AB:$AB,'Detalhe Por UC'!$C:$C,'Infos Clientes'!$B63,'Detalhe Por UC'!$R:$R,'Infos Clientes'!AS$2)=0,"",
SUMIFS('Detalhe Por UC'!$AB:$AB,'Detalhe Por UC'!$C:$C,'Infos Clientes'!$B63,'Detalhe Por UC'!$R:$R,'Infos Clientes'!AS$2)
+SUMIFS('Detalhe Por UC'!$AC:$AC,'Detalhe Por UC'!$C:$C,'Infos Clientes'!$B63,'Detalhe Por UC'!$R:$R,'Infos Clientes'!AS$2))</f>
        <v>282</v>
      </c>
      <c r="AT63" s="27">
        <f>IF(SUMIFS('Detalhe Por UC'!$AB:$AB,'Detalhe Por UC'!$C:$C,'Infos Clientes'!$B63,'Detalhe Por UC'!$R:$R,'Infos Clientes'!AT$2)=0,"",
SUMIFS('Detalhe Por UC'!$AB:$AB,'Detalhe Por UC'!$C:$C,'Infos Clientes'!$B63,'Detalhe Por UC'!$R:$R,'Infos Clientes'!AT$2)
+SUMIFS('Detalhe Por UC'!$AC:$AC,'Detalhe Por UC'!$C:$C,'Infos Clientes'!$B63,'Detalhe Por UC'!$R:$R,'Infos Clientes'!AT$2))</f>
        <v>398</v>
      </c>
      <c r="AU63" s="27" t="str">
        <f>IF(SUMIFS('Detalhe Por UC'!$AB:$AB,'Detalhe Por UC'!$C:$C,'Infos Clientes'!$B63,'Detalhe Por UC'!$R:$R,'Infos Clientes'!AU$2)=0,"",
SUMIFS('Detalhe Por UC'!$AB:$AB,'Detalhe Por UC'!$C:$C,'Infos Clientes'!$B63,'Detalhe Por UC'!$R:$R,'Infos Clientes'!AU$2)
+SUMIFS('Detalhe Por UC'!$AC:$AC,'Detalhe Por UC'!$C:$C,'Infos Clientes'!$B63,'Detalhe Por UC'!$R:$R,'Infos Clientes'!AU$2))</f>
        <v/>
      </c>
    </row>
    <row r="64" spans="2:47" x14ac:dyDescent="0.3">
      <c r="B64" t="s">
        <v>178</v>
      </c>
      <c r="C64" s="14">
        <f t="shared" si="1"/>
        <v>64</v>
      </c>
      <c r="D64" t="s">
        <v>19</v>
      </c>
      <c r="E64" s="15">
        <v>349</v>
      </c>
      <c r="F64" t="s">
        <v>179</v>
      </c>
      <c r="G64" t="s">
        <v>66</v>
      </c>
      <c r="H64" t="str">
        <f t="shared" si="2"/>
        <v>10/280638-8</v>
      </c>
      <c r="I64" s="31" t="s">
        <v>22</v>
      </c>
      <c r="J64" s="31" t="s">
        <v>28</v>
      </c>
      <c r="K64" s="18" t="s">
        <v>138</v>
      </c>
      <c r="M64" s="32">
        <v>0.25</v>
      </c>
      <c r="Q64" s="22">
        <f>IF(_xlfn.MINIFS('Detalhe Por UC'!R:R,'Detalhe Por UC'!C:C,B64,'Detalhe Por UC'!AD:AD,"&gt;"&amp;0)=0,"",_xlfn.MINIFS('Detalhe Por UC'!R:R,'Detalhe Por UC'!C:C,B64,'Detalhe Por UC'!AD:AD,"&gt;"&amp;0))</f>
        <v>45658</v>
      </c>
      <c r="R64" s="23">
        <f>IF(P64&lt;&gt;"ATIVO",0,
IF(OR(Q64="",Q64=0,O64=0),O64,
O64-ROUND((MAX('Detalhe Por UC'!R:R)
-Q64)/(365/12),0)))</f>
        <v>0</v>
      </c>
      <c r="T64" s="29">
        <v>290.18181818181819</v>
      </c>
      <c r="U64" s="24">
        <f t="shared" si="0"/>
        <v>267.33333333333331</v>
      </c>
      <c r="X64">
        <v>275</v>
      </c>
      <c r="Y64">
        <v>400</v>
      </c>
      <c r="Z64">
        <v>491</v>
      </c>
      <c r="AA64">
        <v>242</v>
      </c>
      <c r="AB64">
        <v>0</v>
      </c>
      <c r="AC64">
        <v>164</v>
      </c>
      <c r="AD64">
        <v>157</v>
      </c>
      <c r="AE64">
        <v>211</v>
      </c>
      <c r="AF64">
        <v>227</v>
      </c>
      <c r="AG64">
        <v>372</v>
      </c>
      <c r="AH64">
        <v>260</v>
      </c>
      <c r="AI64" s="25">
        <v>305</v>
      </c>
      <c r="AJ64" s="27">
        <f>IF(SUMIFS('Detalhe Por UC'!$AB:$AB,'Detalhe Por UC'!$C:$C,'Infos Clientes'!$B64,'Detalhe Por UC'!$R:$R,'Infos Clientes'!AJ$2)=0,"",
SUMIFS('Detalhe Por UC'!$AB:$AB,'Detalhe Por UC'!$C:$C,'Infos Clientes'!$B64,'Detalhe Por UC'!$R:$R,'Infos Clientes'!AJ$2)
+SUMIFS('Detalhe Por UC'!$AC:$AC,'Detalhe Por UC'!$C:$C,'Infos Clientes'!$B64,'Detalhe Por UC'!$R:$R,'Infos Clientes'!AJ$2))</f>
        <v>363</v>
      </c>
      <c r="AK64" s="27">
        <f>IF(SUMIFS('Detalhe Por UC'!$AB:$AB,'Detalhe Por UC'!$C:$C,'Infos Clientes'!$B64,'Detalhe Por UC'!$R:$R,'Infos Clientes'!AK$2)=0,"",
SUMIFS('Detalhe Por UC'!$AB:$AB,'Detalhe Por UC'!$C:$C,'Infos Clientes'!$B64,'Detalhe Por UC'!$R:$R,'Infos Clientes'!AK$2)
+SUMIFS('Detalhe Por UC'!$AC:$AC,'Detalhe Por UC'!$C:$C,'Infos Clientes'!$B64,'Detalhe Por UC'!$R:$R,'Infos Clientes'!AK$2))</f>
        <v>125</v>
      </c>
      <c r="AL64" s="27">
        <f>IF(SUMIFS('Detalhe Por UC'!$AB:$AB,'Detalhe Por UC'!$C:$C,'Infos Clientes'!$B64,'Detalhe Por UC'!$R:$R,'Infos Clientes'!AL$2)=0,"",
SUMIFS('Detalhe Por UC'!$AB:$AB,'Detalhe Por UC'!$C:$C,'Infos Clientes'!$B64,'Detalhe Por UC'!$R:$R,'Infos Clientes'!AL$2)
+SUMIFS('Detalhe Por UC'!$AC:$AC,'Detalhe Por UC'!$C:$C,'Infos Clientes'!$B64,'Detalhe Por UC'!$R:$R,'Infos Clientes'!AL$2))</f>
        <v>337</v>
      </c>
      <c r="AM64" s="27">
        <f>IF(SUMIFS('Detalhe Por UC'!$AB:$AB,'Detalhe Por UC'!$C:$C,'Infos Clientes'!$B64,'Detalhe Por UC'!$R:$R,'Infos Clientes'!AM$2)=0,"",
SUMIFS('Detalhe Por UC'!$AB:$AB,'Detalhe Por UC'!$C:$C,'Infos Clientes'!$B64,'Detalhe Por UC'!$R:$R,'Infos Clientes'!AM$2)
+SUMIFS('Detalhe Por UC'!$AC:$AC,'Detalhe Por UC'!$C:$C,'Infos Clientes'!$B64,'Detalhe Por UC'!$R:$R,'Infos Clientes'!AM$2))</f>
        <v>302</v>
      </c>
      <c r="AN64" s="27">
        <f>IF(SUMIFS('Detalhe Por UC'!$AB:$AB,'Detalhe Por UC'!$C:$C,'Infos Clientes'!$B64,'Detalhe Por UC'!$R:$R,'Infos Clientes'!AN$2)=0,"",
SUMIFS('Detalhe Por UC'!$AB:$AB,'Detalhe Por UC'!$C:$C,'Infos Clientes'!$B64,'Detalhe Por UC'!$R:$R,'Infos Clientes'!AN$2)
+SUMIFS('Detalhe Por UC'!$AC:$AC,'Detalhe Por UC'!$C:$C,'Infos Clientes'!$B64,'Detalhe Por UC'!$R:$R,'Infos Clientes'!AN$2))</f>
        <v>308</v>
      </c>
      <c r="AO64" s="27">
        <f>IF(SUMIFS('Detalhe Por UC'!$AB:$AB,'Detalhe Por UC'!$C:$C,'Infos Clientes'!$B64,'Detalhe Por UC'!$R:$R,'Infos Clientes'!AO$2)=0,"",
SUMIFS('Detalhe Por UC'!$AB:$AB,'Detalhe Por UC'!$C:$C,'Infos Clientes'!$B64,'Detalhe Por UC'!$R:$R,'Infos Clientes'!AO$2)
+SUMIFS('Detalhe Por UC'!$AC:$AC,'Detalhe Por UC'!$C:$C,'Infos Clientes'!$B64,'Detalhe Por UC'!$R:$R,'Infos Clientes'!AO$2))</f>
        <v>229</v>
      </c>
      <c r="AP64" s="27">
        <f>IF(SUMIFS('Detalhe Por UC'!$AB:$AB,'Detalhe Por UC'!$C:$C,'Infos Clientes'!$B64,'Detalhe Por UC'!$R:$R,'Infos Clientes'!AP$2)=0,"",
SUMIFS('Detalhe Por UC'!$AB:$AB,'Detalhe Por UC'!$C:$C,'Infos Clientes'!$B64,'Detalhe Por UC'!$R:$R,'Infos Clientes'!AP$2)
+SUMIFS('Detalhe Por UC'!$AC:$AC,'Detalhe Por UC'!$C:$C,'Infos Clientes'!$B64,'Detalhe Por UC'!$R:$R,'Infos Clientes'!AP$2))</f>
        <v>185</v>
      </c>
      <c r="AQ64" s="27">
        <f>IF(SUMIFS('Detalhe Por UC'!$AB:$AB,'Detalhe Por UC'!$C:$C,'Infos Clientes'!$B64,'Detalhe Por UC'!$R:$R,'Infos Clientes'!AQ$2)=0,"",
SUMIFS('Detalhe Por UC'!$AB:$AB,'Detalhe Por UC'!$C:$C,'Infos Clientes'!$B64,'Detalhe Por UC'!$R:$R,'Infos Clientes'!AQ$2)
+SUMIFS('Detalhe Por UC'!$AC:$AC,'Detalhe Por UC'!$C:$C,'Infos Clientes'!$B64,'Detalhe Por UC'!$R:$R,'Infos Clientes'!AQ$2))</f>
        <v>172</v>
      </c>
      <c r="AR64" s="27">
        <f>IF(SUMIFS('Detalhe Por UC'!$AB:$AB,'Detalhe Por UC'!$C:$C,'Infos Clientes'!$B64,'Detalhe Por UC'!$R:$R,'Infos Clientes'!AR$2)=0,"",
SUMIFS('Detalhe Por UC'!$AB:$AB,'Detalhe Por UC'!$C:$C,'Infos Clientes'!$B64,'Detalhe Por UC'!$R:$R,'Infos Clientes'!AR$2)
+SUMIFS('Detalhe Por UC'!$AC:$AC,'Detalhe Por UC'!$C:$C,'Infos Clientes'!$B64,'Detalhe Por UC'!$R:$R,'Infos Clientes'!AR$2))</f>
        <v>263</v>
      </c>
      <c r="AS64" s="27">
        <f>IF(SUMIFS('Detalhe Por UC'!$AB:$AB,'Detalhe Por UC'!$C:$C,'Infos Clientes'!$B64,'Detalhe Por UC'!$R:$R,'Infos Clientes'!AS$2)=0,"",
SUMIFS('Detalhe Por UC'!$AB:$AB,'Detalhe Por UC'!$C:$C,'Infos Clientes'!$B64,'Detalhe Por UC'!$R:$R,'Infos Clientes'!AS$2)
+SUMIFS('Detalhe Por UC'!$AC:$AC,'Detalhe Por UC'!$C:$C,'Infos Clientes'!$B64,'Detalhe Por UC'!$R:$R,'Infos Clientes'!AS$2))</f>
        <v>378</v>
      </c>
      <c r="AT64" s="27">
        <f>IF(SUMIFS('Detalhe Por UC'!$AB:$AB,'Detalhe Por UC'!$C:$C,'Infos Clientes'!$B64,'Detalhe Por UC'!$R:$R,'Infos Clientes'!AT$2)=0,"",
SUMIFS('Detalhe Por UC'!$AB:$AB,'Detalhe Por UC'!$C:$C,'Infos Clientes'!$B64,'Detalhe Por UC'!$R:$R,'Infos Clientes'!AT$2)
+SUMIFS('Detalhe Por UC'!$AC:$AC,'Detalhe Por UC'!$C:$C,'Infos Clientes'!$B64,'Detalhe Por UC'!$R:$R,'Infos Clientes'!AT$2))</f>
        <v>241</v>
      </c>
      <c r="AU64" s="27" t="str">
        <f>IF(SUMIFS('Detalhe Por UC'!$AB:$AB,'Detalhe Por UC'!$C:$C,'Infos Clientes'!$B64,'Detalhe Por UC'!$R:$R,'Infos Clientes'!AU$2)=0,"",
SUMIFS('Detalhe Por UC'!$AB:$AB,'Detalhe Por UC'!$C:$C,'Infos Clientes'!$B64,'Detalhe Por UC'!$R:$R,'Infos Clientes'!AU$2)
+SUMIFS('Detalhe Por UC'!$AC:$AC,'Detalhe Por UC'!$C:$C,'Infos Clientes'!$B64,'Detalhe Por UC'!$R:$R,'Infos Clientes'!AU$2))</f>
        <v/>
      </c>
    </row>
    <row r="65" spans="2:47" x14ac:dyDescent="0.3">
      <c r="B65" t="s">
        <v>180</v>
      </c>
      <c r="C65" s="14">
        <f t="shared" si="1"/>
        <v>65</v>
      </c>
      <c r="D65" t="s">
        <v>19</v>
      </c>
      <c r="E65" s="15">
        <v>994</v>
      </c>
      <c r="F65" t="s">
        <v>181</v>
      </c>
      <c r="G65" t="s">
        <v>182</v>
      </c>
      <c r="H65" t="str">
        <f t="shared" si="2"/>
        <v>10/283183-2</v>
      </c>
      <c r="I65" s="31" t="s">
        <v>22</v>
      </c>
      <c r="J65" s="31" t="s">
        <v>28</v>
      </c>
      <c r="K65" s="18" t="s">
        <v>138</v>
      </c>
      <c r="M65" s="32">
        <v>0.25</v>
      </c>
      <c r="Q65" s="22">
        <f>IF(_xlfn.MINIFS('Detalhe Por UC'!R:R,'Detalhe Por UC'!C:C,B65,'Detalhe Por UC'!AD:AD,"&gt;"&amp;0)=0,"",_xlfn.MINIFS('Detalhe Por UC'!R:R,'Detalhe Por UC'!C:C,B65,'Detalhe Por UC'!AD:AD,"&gt;"&amp;0))</f>
        <v>45658</v>
      </c>
      <c r="R65" s="23">
        <f>IF(P65&lt;&gt;"ATIVO",0,
IF(OR(Q65="",Q65=0,O65=0),O65,
O65-ROUND((MAX('Detalhe Por UC'!R:R)
-Q65)/(365/12),0)))</f>
        <v>0</v>
      </c>
      <c r="T65" s="29">
        <v>143.63636363636363</v>
      </c>
      <c r="U65" s="24">
        <f t="shared" si="0"/>
        <v>152.41666666666666</v>
      </c>
      <c r="X65">
        <v>292</v>
      </c>
      <c r="Y65">
        <v>146</v>
      </c>
      <c r="Z65">
        <v>167</v>
      </c>
      <c r="AA65">
        <v>194</v>
      </c>
      <c r="AB65">
        <v>0</v>
      </c>
      <c r="AC65">
        <v>134</v>
      </c>
      <c r="AD65">
        <v>139</v>
      </c>
      <c r="AE65">
        <v>84</v>
      </c>
      <c r="AF65">
        <v>62</v>
      </c>
      <c r="AG65">
        <v>122</v>
      </c>
      <c r="AH65">
        <v>156</v>
      </c>
      <c r="AI65" s="25">
        <v>177</v>
      </c>
      <c r="AJ65" s="27">
        <f>IF(SUMIFS('Detalhe Por UC'!$AB:$AB,'Detalhe Por UC'!$C:$C,'Infos Clientes'!$B65,'Detalhe Por UC'!$R:$R,'Infos Clientes'!AJ$2)=0,"",
SUMIFS('Detalhe Por UC'!$AB:$AB,'Detalhe Por UC'!$C:$C,'Infos Clientes'!$B65,'Detalhe Por UC'!$R:$R,'Infos Clientes'!AJ$2)
+SUMIFS('Detalhe Por UC'!$AC:$AC,'Detalhe Por UC'!$C:$C,'Infos Clientes'!$B65,'Detalhe Por UC'!$R:$R,'Infos Clientes'!AJ$2))</f>
        <v>199</v>
      </c>
      <c r="AK65" s="27">
        <f>IF(SUMIFS('Detalhe Por UC'!$AB:$AB,'Detalhe Por UC'!$C:$C,'Infos Clientes'!$B65,'Detalhe Por UC'!$R:$R,'Infos Clientes'!AK$2)=0,"",
SUMIFS('Detalhe Por UC'!$AB:$AB,'Detalhe Por UC'!$C:$C,'Infos Clientes'!$B65,'Detalhe Por UC'!$R:$R,'Infos Clientes'!AK$2)
+SUMIFS('Detalhe Por UC'!$AC:$AC,'Detalhe Por UC'!$C:$C,'Infos Clientes'!$B65,'Detalhe Por UC'!$R:$R,'Infos Clientes'!AK$2))</f>
        <v>181</v>
      </c>
      <c r="AL65" s="27">
        <f>IF(SUMIFS('Detalhe Por UC'!$AB:$AB,'Detalhe Por UC'!$C:$C,'Infos Clientes'!$B65,'Detalhe Por UC'!$R:$R,'Infos Clientes'!AL$2)=0,"",
SUMIFS('Detalhe Por UC'!$AB:$AB,'Detalhe Por UC'!$C:$C,'Infos Clientes'!$B65,'Detalhe Por UC'!$R:$R,'Infos Clientes'!AL$2)
+SUMIFS('Detalhe Por UC'!$AC:$AC,'Detalhe Por UC'!$C:$C,'Infos Clientes'!$B65,'Detalhe Por UC'!$R:$R,'Infos Clientes'!AL$2))</f>
        <v>183</v>
      </c>
      <c r="AM65" s="27">
        <f>IF(SUMIFS('Detalhe Por UC'!$AB:$AB,'Detalhe Por UC'!$C:$C,'Infos Clientes'!$B65,'Detalhe Por UC'!$R:$R,'Infos Clientes'!AM$2)=0,"",
SUMIFS('Detalhe Por UC'!$AB:$AB,'Detalhe Por UC'!$C:$C,'Infos Clientes'!$B65,'Detalhe Por UC'!$R:$R,'Infos Clientes'!AM$2)
+SUMIFS('Detalhe Por UC'!$AC:$AC,'Detalhe Por UC'!$C:$C,'Infos Clientes'!$B65,'Detalhe Por UC'!$R:$R,'Infos Clientes'!AM$2))</f>
        <v>126</v>
      </c>
      <c r="AN65" s="27">
        <f>IF(SUMIFS('Detalhe Por UC'!$AB:$AB,'Detalhe Por UC'!$C:$C,'Infos Clientes'!$B65,'Detalhe Por UC'!$R:$R,'Infos Clientes'!AN$2)=0,"",
SUMIFS('Detalhe Por UC'!$AB:$AB,'Detalhe Por UC'!$C:$C,'Infos Clientes'!$B65,'Detalhe Por UC'!$R:$R,'Infos Clientes'!AN$2)
+SUMIFS('Detalhe Por UC'!$AC:$AC,'Detalhe Por UC'!$C:$C,'Infos Clientes'!$B65,'Detalhe Por UC'!$R:$R,'Infos Clientes'!AN$2))</f>
        <v>155</v>
      </c>
      <c r="AO65" s="27">
        <f>IF(SUMIFS('Detalhe Por UC'!$AB:$AB,'Detalhe Por UC'!$C:$C,'Infos Clientes'!$B65,'Detalhe Por UC'!$R:$R,'Infos Clientes'!AO$2)=0,"",
SUMIFS('Detalhe Por UC'!$AB:$AB,'Detalhe Por UC'!$C:$C,'Infos Clientes'!$B65,'Detalhe Por UC'!$R:$R,'Infos Clientes'!AO$2)
+SUMIFS('Detalhe Por UC'!$AC:$AC,'Detalhe Por UC'!$C:$C,'Infos Clientes'!$B65,'Detalhe Por UC'!$R:$R,'Infos Clientes'!AO$2))</f>
        <v>119</v>
      </c>
      <c r="AP65" s="27">
        <f>IF(SUMIFS('Detalhe Por UC'!$AB:$AB,'Detalhe Por UC'!$C:$C,'Infos Clientes'!$B65,'Detalhe Por UC'!$R:$R,'Infos Clientes'!AP$2)=0,"",
SUMIFS('Detalhe Por UC'!$AB:$AB,'Detalhe Por UC'!$C:$C,'Infos Clientes'!$B65,'Detalhe Por UC'!$R:$R,'Infos Clientes'!AP$2)
+SUMIFS('Detalhe Por UC'!$AC:$AC,'Detalhe Por UC'!$C:$C,'Infos Clientes'!$B65,'Detalhe Por UC'!$R:$R,'Infos Clientes'!AP$2))</f>
        <v>102</v>
      </c>
      <c r="AQ65" s="27">
        <f>IF(SUMIFS('Detalhe Por UC'!$AB:$AB,'Detalhe Por UC'!$C:$C,'Infos Clientes'!$B65,'Detalhe Por UC'!$R:$R,'Infos Clientes'!AQ$2)=0,"",
SUMIFS('Detalhe Por UC'!$AB:$AB,'Detalhe Por UC'!$C:$C,'Infos Clientes'!$B65,'Detalhe Por UC'!$R:$R,'Infos Clientes'!AQ$2)
+SUMIFS('Detalhe Por UC'!$AC:$AC,'Detalhe Por UC'!$C:$C,'Infos Clientes'!$B65,'Detalhe Por UC'!$R:$R,'Infos Clientes'!AQ$2))</f>
        <v>115</v>
      </c>
      <c r="AR65" s="27">
        <f>IF(SUMIFS('Detalhe Por UC'!$AB:$AB,'Detalhe Por UC'!$C:$C,'Infos Clientes'!$B65,'Detalhe Por UC'!$R:$R,'Infos Clientes'!AR$2)=0,"",
SUMIFS('Detalhe Por UC'!$AB:$AB,'Detalhe Por UC'!$C:$C,'Infos Clientes'!$B65,'Detalhe Por UC'!$R:$R,'Infos Clientes'!AR$2)
+SUMIFS('Detalhe Por UC'!$AC:$AC,'Detalhe Por UC'!$C:$C,'Infos Clientes'!$B65,'Detalhe Por UC'!$R:$R,'Infos Clientes'!AR$2))</f>
        <v>143</v>
      </c>
      <c r="AS65" s="27">
        <f>IF(SUMIFS('Detalhe Por UC'!$AB:$AB,'Detalhe Por UC'!$C:$C,'Infos Clientes'!$B65,'Detalhe Por UC'!$R:$R,'Infos Clientes'!AS$2)=0,"",
SUMIFS('Detalhe Por UC'!$AB:$AB,'Detalhe Por UC'!$C:$C,'Infos Clientes'!$B65,'Detalhe Por UC'!$R:$R,'Infos Clientes'!AS$2)
+SUMIFS('Detalhe Por UC'!$AC:$AC,'Detalhe Por UC'!$C:$C,'Infos Clientes'!$B65,'Detalhe Por UC'!$R:$R,'Infos Clientes'!AS$2))</f>
        <v>144</v>
      </c>
      <c r="AT65" s="27">
        <f>IF(SUMIFS('Detalhe Por UC'!$AB:$AB,'Detalhe Por UC'!$C:$C,'Infos Clientes'!$B65,'Detalhe Por UC'!$R:$R,'Infos Clientes'!AT$2)=0,"",
SUMIFS('Detalhe Por UC'!$AB:$AB,'Detalhe Por UC'!$C:$C,'Infos Clientes'!$B65,'Detalhe Por UC'!$R:$R,'Infos Clientes'!AT$2)
+SUMIFS('Detalhe Por UC'!$AC:$AC,'Detalhe Por UC'!$C:$C,'Infos Clientes'!$B65,'Detalhe Por UC'!$R:$R,'Infos Clientes'!AT$2))</f>
        <v>185</v>
      </c>
      <c r="AU65" s="27" t="str">
        <f>IF(SUMIFS('Detalhe Por UC'!$AB:$AB,'Detalhe Por UC'!$C:$C,'Infos Clientes'!$B65,'Detalhe Por UC'!$R:$R,'Infos Clientes'!AU$2)=0,"",
SUMIFS('Detalhe Por UC'!$AB:$AB,'Detalhe Por UC'!$C:$C,'Infos Clientes'!$B65,'Detalhe Por UC'!$R:$R,'Infos Clientes'!AU$2)
+SUMIFS('Detalhe Por UC'!$AC:$AC,'Detalhe Por UC'!$C:$C,'Infos Clientes'!$B65,'Detalhe Por UC'!$R:$R,'Infos Clientes'!AU$2))</f>
        <v/>
      </c>
    </row>
    <row r="66" spans="2:47" x14ac:dyDescent="0.3">
      <c r="B66" t="s">
        <v>183</v>
      </c>
      <c r="C66" s="14">
        <f t="shared" si="1"/>
        <v>66</v>
      </c>
      <c r="D66" t="s">
        <v>19</v>
      </c>
      <c r="E66" s="15">
        <v>319</v>
      </c>
      <c r="F66" t="s">
        <v>184</v>
      </c>
      <c r="G66" t="s">
        <v>27</v>
      </c>
      <c r="H66" t="str">
        <f t="shared" si="2"/>
        <v>10/3040565-8</v>
      </c>
      <c r="I66" s="31" t="s">
        <v>22</v>
      </c>
      <c r="J66" s="31" t="s">
        <v>23</v>
      </c>
      <c r="K66" s="18" t="s">
        <v>138</v>
      </c>
      <c r="M66" s="32">
        <v>0.25</v>
      </c>
      <c r="Q66" s="22">
        <f>IF(_xlfn.MINIFS('Detalhe Por UC'!R:R,'Detalhe Por UC'!C:C,B66,'Detalhe Por UC'!AD:AD,"&gt;"&amp;0)=0,"",_xlfn.MINIFS('Detalhe Por UC'!R:R,'Detalhe Por UC'!C:C,B66,'Detalhe Por UC'!AD:AD,"&gt;"&amp;0))</f>
        <v>45658</v>
      </c>
      <c r="R66" s="23">
        <f>IF(P66&lt;&gt;"ATIVO",0,
IF(OR(Q66="",Q66=0,O66=0),O66,
O66-ROUND((MAX('Detalhe Por UC'!R:R)
-Q66)/(365/12),0)))</f>
        <v>0</v>
      </c>
      <c r="T66" s="29">
        <v>250.27272727272728</v>
      </c>
      <c r="U66" s="24">
        <f t="shared" si="0"/>
        <v>310.16666666666669</v>
      </c>
      <c r="X66">
        <v>172</v>
      </c>
      <c r="Y66">
        <v>257</v>
      </c>
      <c r="Z66">
        <v>266</v>
      </c>
      <c r="AA66">
        <v>272</v>
      </c>
      <c r="AB66">
        <v>0</v>
      </c>
      <c r="AC66">
        <v>227</v>
      </c>
      <c r="AD66">
        <v>206</v>
      </c>
      <c r="AE66">
        <v>260</v>
      </c>
      <c r="AF66">
        <v>224</v>
      </c>
      <c r="AG66">
        <v>273</v>
      </c>
      <c r="AH66">
        <v>319</v>
      </c>
      <c r="AI66" s="25">
        <v>256</v>
      </c>
      <c r="AJ66" s="27">
        <f>IF(SUMIFS('Detalhe Por UC'!$AB:$AB,'Detalhe Por UC'!$C:$C,'Infos Clientes'!$B66,'Detalhe Por UC'!$R:$R,'Infos Clientes'!AJ$2)=0,"",
SUMIFS('Detalhe Por UC'!$AB:$AB,'Detalhe Por UC'!$C:$C,'Infos Clientes'!$B66,'Detalhe Por UC'!$R:$R,'Infos Clientes'!AJ$2)
+SUMIFS('Detalhe Por UC'!$AC:$AC,'Detalhe Por UC'!$C:$C,'Infos Clientes'!$B66,'Detalhe Por UC'!$R:$R,'Infos Clientes'!AJ$2))</f>
        <v>193</v>
      </c>
      <c r="AK66" s="27">
        <f>IF(SUMIFS('Detalhe Por UC'!$AB:$AB,'Detalhe Por UC'!$C:$C,'Infos Clientes'!$B66,'Detalhe Por UC'!$R:$R,'Infos Clientes'!AK$2)=0,"",
SUMIFS('Detalhe Por UC'!$AB:$AB,'Detalhe Por UC'!$C:$C,'Infos Clientes'!$B66,'Detalhe Por UC'!$R:$R,'Infos Clientes'!AK$2)
+SUMIFS('Detalhe Por UC'!$AC:$AC,'Detalhe Por UC'!$C:$C,'Infos Clientes'!$B66,'Detalhe Por UC'!$R:$R,'Infos Clientes'!AK$2))</f>
        <v>309</v>
      </c>
      <c r="AL66" s="27">
        <f>IF(SUMIFS('Detalhe Por UC'!$AB:$AB,'Detalhe Por UC'!$C:$C,'Infos Clientes'!$B66,'Detalhe Por UC'!$R:$R,'Infos Clientes'!AL$2)=0,"",
SUMIFS('Detalhe Por UC'!$AB:$AB,'Detalhe Por UC'!$C:$C,'Infos Clientes'!$B66,'Detalhe Por UC'!$R:$R,'Infos Clientes'!AL$2)
+SUMIFS('Detalhe Por UC'!$AC:$AC,'Detalhe Por UC'!$C:$C,'Infos Clientes'!$B66,'Detalhe Por UC'!$R:$R,'Infos Clientes'!AL$2))</f>
        <v>374</v>
      </c>
      <c r="AM66" s="27">
        <f>IF(SUMIFS('Detalhe Por UC'!$AB:$AB,'Detalhe Por UC'!$C:$C,'Infos Clientes'!$B66,'Detalhe Por UC'!$R:$R,'Infos Clientes'!AM$2)=0,"",
SUMIFS('Detalhe Por UC'!$AB:$AB,'Detalhe Por UC'!$C:$C,'Infos Clientes'!$B66,'Detalhe Por UC'!$R:$R,'Infos Clientes'!AM$2)
+SUMIFS('Detalhe Por UC'!$AC:$AC,'Detalhe Por UC'!$C:$C,'Infos Clientes'!$B66,'Detalhe Por UC'!$R:$R,'Infos Clientes'!AM$2))</f>
        <v>352</v>
      </c>
      <c r="AN66" s="27">
        <f>IF(SUMIFS('Detalhe Por UC'!$AB:$AB,'Detalhe Por UC'!$C:$C,'Infos Clientes'!$B66,'Detalhe Por UC'!$R:$R,'Infos Clientes'!AN$2)=0,"",
SUMIFS('Detalhe Por UC'!$AB:$AB,'Detalhe Por UC'!$C:$C,'Infos Clientes'!$B66,'Detalhe Por UC'!$R:$R,'Infos Clientes'!AN$2)
+SUMIFS('Detalhe Por UC'!$AC:$AC,'Detalhe Por UC'!$C:$C,'Infos Clientes'!$B66,'Detalhe Por UC'!$R:$R,'Infos Clientes'!AN$2))</f>
        <v>311</v>
      </c>
      <c r="AO66" s="27">
        <f>IF(SUMIFS('Detalhe Por UC'!$AB:$AB,'Detalhe Por UC'!$C:$C,'Infos Clientes'!$B66,'Detalhe Por UC'!$R:$R,'Infos Clientes'!AO$2)=0,"",
SUMIFS('Detalhe Por UC'!$AB:$AB,'Detalhe Por UC'!$C:$C,'Infos Clientes'!$B66,'Detalhe Por UC'!$R:$R,'Infos Clientes'!AO$2)
+SUMIFS('Detalhe Por UC'!$AC:$AC,'Detalhe Por UC'!$C:$C,'Infos Clientes'!$B66,'Detalhe Por UC'!$R:$R,'Infos Clientes'!AO$2))</f>
        <v>342</v>
      </c>
      <c r="AP66" s="27">
        <f>IF(SUMIFS('Detalhe Por UC'!$AB:$AB,'Detalhe Por UC'!$C:$C,'Infos Clientes'!$B66,'Detalhe Por UC'!$R:$R,'Infos Clientes'!AP$2)=0,"",
SUMIFS('Detalhe Por UC'!$AB:$AB,'Detalhe Por UC'!$C:$C,'Infos Clientes'!$B66,'Detalhe Por UC'!$R:$R,'Infos Clientes'!AP$2)
+SUMIFS('Detalhe Por UC'!$AC:$AC,'Detalhe Por UC'!$C:$C,'Infos Clientes'!$B66,'Detalhe Por UC'!$R:$R,'Infos Clientes'!AP$2))</f>
        <v>286</v>
      </c>
      <c r="AQ66" s="27">
        <f>IF(SUMIFS('Detalhe Por UC'!$AB:$AB,'Detalhe Por UC'!$C:$C,'Infos Clientes'!$B66,'Detalhe Por UC'!$R:$R,'Infos Clientes'!AQ$2)=0,"",
SUMIFS('Detalhe Por UC'!$AB:$AB,'Detalhe Por UC'!$C:$C,'Infos Clientes'!$B66,'Detalhe Por UC'!$R:$R,'Infos Clientes'!AQ$2)
+SUMIFS('Detalhe Por UC'!$AC:$AC,'Detalhe Por UC'!$C:$C,'Infos Clientes'!$B66,'Detalhe Por UC'!$R:$R,'Infos Clientes'!AQ$2))</f>
        <v>286</v>
      </c>
      <c r="AR66" s="27">
        <f>IF(SUMIFS('Detalhe Por UC'!$AB:$AB,'Detalhe Por UC'!$C:$C,'Infos Clientes'!$B66,'Detalhe Por UC'!$R:$R,'Infos Clientes'!AR$2)=0,"",
SUMIFS('Detalhe Por UC'!$AB:$AB,'Detalhe Por UC'!$C:$C,'Infos Clientes'!$B66,'Detalhe Por UC'!$R:$R,'Infos Clientes'!AR$2)
+SUMIFS('Detalhe Por UC'!$AC:$AC,'Detalhe Por UC'!$C:$C,'Infos Clientes'!$B66,'Detalhe Por UC'!$R:$R,'Infos Clientes'!AR$2))</f>
        <v>348</v>
      </c>
      <c r="AS66" s="27">
        <f>IF(SUMIFS('Detalhe Por UC'!$AB:$AB,'Detalhe Por UC'!$C:$C,'Infos Clientes'!$B66,'Detalhe Por UC'!$R:$R,'Infos Clientes'!AS$2)=0,"",
SUMIFS('Detalhe Por UC'!$AB:$AB,'Detalhe Por UC'!$C:$C,'Infos Clientes'!$B66,'Detalhe Por UC'!$R:$R,'Infos Clientes'!AS$2)
+SUMIFS('Detalhe Por UC'!$AC:$AC,'Detalhe Por UC'!$C:$C,'Infos Clientes'!$B66,'Detalhe Por UC'!$R:$R,'Infos Clientes'!AS$2))</f>
        <v>338</v>
      </c>
      <c r="AT66" s="27">
        <f>IF(SUMIFS('Detalhe Por UC'!$AB:$AB,'Detalhe Por UC'!$C:$C,'Infos Clientes'!$B66,'Detalhe Por UC'!$R:$R,'Infos Clientes'!AT$2)=0,"",
SUMIFS('Detalhe Por UC'!$AB:$AB,'Detalhe Por UC'!$C:$C,'Infos Clientes'!$B66,'Detalhe Por UC'!$R:$R,'Infos Clientes'!AT$2)
+SUMIFS('Detalhe Por UC'!$AC:$AC,'Detalhe Por UC'!$C:$C,'Infos Clientes'!$B66,'Detalhe Por UC'!$R:$R,'Infos Clientes'!AT$2))</f>
        <v>327</v>
      </c>
      <c r="AU66" s="27" t="str">
        <f>IF(SUMIFS('Detalhe Por UC'!$AB:$AB,'Detalhe Por UC'!$C:$C,'Infos Clientes'!$B66,'Detalhe Por UC'!$R:$R,'Infos Clientes'!AU$2)=0,"",
SUMIFS('Detalhe Por UC'!$AB:$AB,'Detalhe Por UC'!$C:$C,'Infos Clientes'!$B66,'Detalhe Por UC'!$R:$R,'Infos Clientes'!AU$2)
+SUMIFS('Detalhe Por UC'!$AC:$AC,'Detalhe Por UC'!$C:$C,'Infos Clientes'!$B66,'Detalhe Por UC'!$R:$R,'Infos Clientes'!AU$2))</f>
        <v/>
      </c>
    </row>
    <row r="67" spans="2:47" x14ac:dyDescent="0.3">
      <c r="B67" s="28" t="s">
        <v>185</v>
      </c>
      <c r="C67" s="14">
        <f t="shared" si="1"/>
        <v>67</v>
      </c>
      <c r="D67" t="s">
        <v>19</v>
      </c>
      <c r="E67" s="15">
        <v>357</v>
      </c>
      <c r="F67" t="s">
        <v>161</v>
      </c>
      <c r="G67" t="s">
        <v>186</v>
      </c>
      <c r="H67" t="str">
        <f t="shared" si="2"/>
        <v>10/3054052-0</v>
      </c>
      <c r="I67" s="31" t="s">
        <v>22</v>
      </c>
      <c r="J67" s="31" t="s">
        <v>28</v>
      </c>
      <c r="K67" s="18" t="s">
        <v>138</v>
      </c>
      <c r="M67" s="32">
        <v>0.25</v>
      </c>
      <c r="Q67" s="22">
        <f>IF(_xlfn.MINIFS('Detalhe Por UC'!R:R,'Detalhe Por UC'!C:C,B67,'Detalhe Por UC'!AD:AD,"&gt;"&amp;0)=0,"",_xlfn.MINIFS('Detalhe Por UC'!R:R,'Detalhe Por UC'!C:C,B67,'Detalhe Por UC'!AD:AD,"&gt;"&amp;0))</f>
        <v>45689</v>
      </c>
      <c r="R67" s="23">
        <f>IF(P67&lt;&gt;"ATIVO",0,
IF(OR(Q67="",Q67=0,O67=0),O67,
O67-ROUND((MAX('Detalhe Por UC'!R:R)
-Q67)/(365/12),0)))</f>
        <v>0</v>
      </c>
      <c r="T67" s="29">
        <v>178.4</v>
      </c>
      <c r="U67" s="24">
        <f t="shared" ref="U67:U102" si="3">IFERROR((SUMIFS(W67:CN67,$W$2:$CN$2,"&gt;"&amp;$Q$1-365,$W$2:$CN$2,"&lt;="&amp;$Q$1)/COUNTIFS(W67:CN67,"&gt;="&amp;0,$W$2:$CN$2,"&gt;"&amp;$Q$1-365,$W$2:$CN$2,"&lt;="&amp;$Q$1)),"")</f>
        <v>122.71428571428571</v>
      </c>
      <c r="X67">
        <v>138</v>
      </c>
      <c r="Y67">
        <v>163</v>
      </c>
      <c r="Z67">
        <v>160</v>
      </c>
      <c r="AA67">
        <v>241</v>
      </c>
      <c r="AB67">
        <v>0</v>
      </c>
      <c r="AC67">
        <v>187</v>
      </c>
      <c r="AD67">
        <v>139</v>
      </c>
      <c r="AE67">
        <v>244</v>
      </c>
      <c r="AF67">
        <v>184</v>
      </c>
      <c r="AG67">
        <v>178</v>
      </c>
      <c r="AH67">
        <v>172</v>
      </c>
      <c r="AI67" s="25">
        <v>116</v>
      </c>
      <c r="AJ67" s="27" t="str">
        <f>IF(SUMIFS('Detalhe Por UC'!$AB:$AB,'Detalhe Por UC'!$C:$C,'Infos Clientes'!$B67,'Detalhe Por UC'!$R:$R,'Infos Clientes'!AJ$2)=0,"",
SUMIFS('Detalhe Por UC'!$AB:$AB,'Detalhe Por UC'!$C:$C,'Infos Clientes'!$B67,'Detalhe Por UC'!$R:$R,'Infos Clientes'!AJ$2)
+SUMIFS('Detalhe Por UC'!$AC:$AC,'Detalhe Por UC'!$C:$C,'Infos Clientes'!$B67,'Detalhe Por UC'!$R:$R,'Infos Clientes'!AJ$2))</f>
        <v/>
      </c>
      <c r="AK67" s="27">
        <f>IF(SUMIFS('Detalhe Por UC'!$AB:$AB,'Detalhe Por UC'!$C:$C,'Infos Clientes'!$B67,'Detalhe Por UC'!$R:$R,'Infos Clientes'!AK$2)=0,"",
SUMIFS('Detalhe Por UC'!$AB:$AB,'Detalhe Por UC'!$C:$C,'Infos Clientes'!$B67,'Detalhe Por UC'!$R:$R,'Infos Clientes'!AK$2)
+SUMIFS('Detalhe Por UC'!$AC:$AC,'Detalhe Por UC'!$C:$C,'Infos Clientes'!$B67,'Detalhe Por UC'!$R:$R,'Infos Clientes'!AK$2))</f>
        <v>160</v>
      </c>
      <c r="AL67" s="27">
        <f>IF(SUMIFS('Detalhe Por UC'!$AB:$AB,'Detalhe Por UC'!$C:$C,'Infos Clientes'!$B67,'Detalhe Por UC'!$R:$R,'Infos Clientes'!AL$2)=0,"",
SUMIFS('Detalhe Por UC'!$AB:$AB,'Detalhe Por UC'!$C:$C,'Infos Clientes'!$B67,'Detalhe Por UC'!$R:$R,'Infos Clientes'!AL$2)
+SUMIFS('Detalhe Por UC'!$AC:$AC,'Detalhe Por UC'!$C:$C,'Infos Clientes'!$B67,'Detalhe Por UC'!$R:$R,'Infos Clientes'!AL$2))</f>
        <v>160</v>
      </c>
      <c r="AM67" s="27" t="str">
        <f>IF(SUMIFS('Detalhe Por UC'!$AB:$AB,'Detalhe Por UC'!$C:$C,'Infos Clientes'!$B67,'Detalhe Por UC'!$R:$R,'Infos Clientes'!AM$2)=0,"",
SUMIFS('Detalhe Por UC'!$AB:$AB,'Detalhe Por UC'!$C:$C,'Infos Clientes'!$B67,'Detalhe Por UC'!$R:$R,'Infos Clientes'!AM$2)
+SUMIFS('Detalhe Por UC'!$AC:$AC,'Detalhe Por UC'!$C:$C,'Infos Clientes'!$B67,'Detalhe Por UC'!$R:$R,'Infos Clientes'!AM$2))</f>
        <v/>
      </c>
      <c r="AN67" s="27">
        <f>IF(SUMIFS('Detalhe Por UC'!$AB:$AB,'Detalhe Por UC'!$C:$C,'Infos Clientes'!$B67,'Detalhe Por UC'!$R:$R,'Infos Clientes'!AN$2)=0,"",
SUMIFS('Detalhe Por UC'!$AB:$AB,'Detalhe Por UC'!$C:$C,'Infos Clientes'!$B67,'Detalhe Por UC'!$R:$R,'Infos Clientes'!AN$2)
+SUMIFS('Detalhe Por UC'!$AC:$AC,'Detalhe Por UC'!$C:$C,'Infos Clientes'!$B67,'Detalhe Por UC'!$R:$R,'Infos Clientes'!AN$2))</f>
        <v>123</v>
      </c>
      <c r="AO67" s="27" t="str">
        <f>IF(SUMIFS('Detalhe Por UC'!$AB:$AB,'Detalhe Por UC'!$C:$C,'Infos Clientes'!$B67,'Detalhe Por UC'!$R:$R,'Infos Clientes'!AO$2)=0,"",
SUMIFS('Detalhe Por UC'!$AB:$AB,'Detalhe Por UC'!$C:$C,'Infos Clientes'!$B67,'Detalhe Por UC'!$R:$R,'Infos Clientes'!AO$2)
+SUMIFS('Detalhe Por UC'!$AC:$AC,'Detalhe Por UC'!$C:$C,'Infos Clientes'!$B67,'Detalhe Por UC'!$R:$R,'Infos Clientes'!AO$2))</f>
        <v/>
      </c>
      <c r="AP67" s="27" t="str">
        <f>IF(SUMIFS('Detalhe Por UC'!$AB:$AB,'Detalhe Por UC'!$C:$C,'Infos Clientes'!$B67,'Detalhe Por UC'!$R:$R,'Infos Clientes'!AP$2)=0,"",
SUMIFS('Detalhe Por UC'!$AB:$AB,'Detalhe Por UC'!$C:$C,'Infos Clientes'!$B67,'Detalhe Por UC'!$R:$R,'Infos Clientes'!AP$2)
+SUMIFS('Detalhe Por UC'!$AC:$AC,'Detalhe Por UC'!$C:$C,'Infos Clientes'!$B67,'Detalhe Por UC'!$R:$R,'Infos Clientes'!AP$2))</f>
        <v/>
      </c>
      <c r="AQ67" s="27">
        <f>IF(SUMIFS('Detalhe Por UC'!$AB:$AB,'Detalhe Por UC'!$C:$C,'Infos Clientes'!$B67,'Detalhe Por UC'!$R:$R,'Infos Clientes'!AQ$2)=0,"",
SUMIFS('Detalhe Por UC'!$AB:$AB,'Detalhe Por UC'!$C:$C,'Infos Clientes'!$B67,'Detalhe Por UC'!$R:$R,'Infos Clientes'!AQ$2)
+SUMIFS('Detalhe Por UC'!$AC:$AC,'Detalhe Por UC'!$C:$C,'Infos Clientes'!$B67,'Detalhe Por UC'!$R:$R,'Infos Clientes'!AQ$2))</f>
        <v>100</v>
      </c>
      <c r="AR67" s="27" t="str">
        <f>IF(SUMIFS('Detalhe Por UC'!$AB:$AB,'Detalhe Por UC'!$C:$C,'Infos Clientes'!$B67,'Detalhe Por UC'!$R:$R,'Infos Clientes'!AR$2)=0,"",
SUMIFS('Detalhe Por UC'!$AB:$AB,'Detalhe Por UC'!$C:$C,'Infos Clientes'!$B67,'Detalhe Por UC'!$R:$R,'Infos Clientes'!AR$2)
+SUMIFS('Detalhe Por UC'!$AC:$AC,'Detalhe Por UC'!$C:$C,'Infos Clientes'!$B67,'Detalhe Por UC'!$R:$R,'Infos Clientes'!AR$2))</f>
        <v/>
      </c>
      <c r="AS67" s="27">
        <f>IF(SUMIFS('Detalhe Por UC'!$AB:$AB,'Detalhe Por UC'!$C:$C,'Infos Clientes'!$B67,'Detalhe Por UC'!$R:$R,'Infos Clientes'!AS$2)=0,"",
SUMIFS('Detalhe Por UC'!$AB:$AB,'Detalhe Por UC'!$C:$C,'Infos Clientes'!$B67,'Detalhe Por UC'!$R:$R,'Infos Clientes'!AS$2)
+SUMIFS('Detalhe Por UC'!$AC:$AC,'Detalhe Por UC'!$C:$C,'Infos Clientes'!$B67,'Detalhe Por UC'!$R:$R,'Infos Clientes'!AS$2))</f>
        <v>100</v>
      </c>
      <c r="AT67" s="27">
        <f>IF(SUMIFS('Detalhe Por UC'!$AB:$AB,'Detalhe Por UC'!$C:$C,'Infos Clientes'!$B67,'Detalhe Por UC'!$R:$R,'Infos Clientes'!AT$2)=0,"",
SUMIFS('Detalhe Por UC'!$AB:$AB,'Detalhe Por UC'!$C:$C,'Infos Clientes'!$B67,'Detalhe Por UC'!$R:$R,'Infos Clientes'!AT$2)
+SUMIFS('Detalhe Por UC'!$AC:$AC,'Detalhe Por UC'!$C:$C,'Infos Clientes'!$B67,'Detalhe Por UC'!$R:$R,'Infos Clientes'!AT$2))</f>
        <v>100</v>
      </c>
      <c r="AU67" s="27" t="str">
        <f>IF(SUMIFS('Detalhe Por UC'!$AB:$AB,'Detalhe Por UC'!$C:$C,'Infos Clientes'!$B67,'Detalhe Por UC'!$R:$R,'Infos Clientes'!AU$2)=0,"",
SUMIFS('Detalhe Por UC'!$AB:$AB,'Detalhe Por UC'!$C:$C,'Infos Clientes'!$B67,'Detalhe Por UC'!$R:$R,'Infos Clientes'!AU$2)
+SUMIFS('Detalhe Por UC'!$AC:$AC,'Detalhe Por UC'!$C:$C,'Infos Clientes'!$B67,'Detalhe Por UC'!$R:$R,'Infos Clientes'!AU$2))</f>
        <v/>
      </c>
    </row>
    <row r="68" spans="2:47" x14ac:dyDescent="0.3">
      <c r="B68" t="s">
        <v>187</v>
      </c>
      <c r="C68" s="14">
        <f t="shared" ref="C68:C102" si="4">ROW(F68)</f>
        <v>68</v>
      </c>
      <c r="D68" t="s">
        <v>19</v>
      </c>
      <c r="E68" s="15">
        <v>362</v>
      </c>
      <c r="F68" t="s">
        <v>188</v>
      </c>
      <c r="G68" t="s">
        <v>83</v>
      </c>
      <c r="H68" t="str">
        <f t="shared" si="2"/>
        <v>10/3123706-8</v>
      </c>
      <c r="I68" s="31" t="s">
        <v>22</v>
      </c>
      <c r="J68" s="31" t="s">
        <v>28</v>
      </c>
      <c r="K68" s="18" t="s">
        <v>138</v>
      </c>
      <c r="M68" s="32">
        <v>0.25</v>
      </c>
      <c r="Q68" s="22">
        <f>IF(_xlfn.MINIFS('Detalhe Por UC'!R:R,'Detalhe Por UC'!C:C,B68,'Detalhe Por UC'!AD:AD,"&gt;"&amp;0)=0,"",_xlfn.MINIFS('Detalhe Por UC'!R:R,'Detalhe Por UC'!C:C,B68,'Detalhe Por UC'!AD:AD,"&gt;"&amp;0))</f>
        <v>45658</v>
      </c>
      <c r="R68" s="23">
        <f>IF(P68&lt;&gt;"ATIVO",0,
IF(OR(Q68="",Q68=0,O68=0),O68,
O68-ROUND((MAX('Detalhe Por UC'!R:R)
-Q68)/(365/12),0)))</f>
        <v>0</v>
      </c>
      <c r="T68" s="29">
        <v>365.90909090909093</v>
      </c>
      <c r="U68" s="24">
        <f t="shared" si="3"/>
        <v>353.75</v>
      </c>
      <c r="X68">
        <v>314</v>
      </c>
      <c r="Y68">
        <v>337</v>
      </c>
      <c r="Z68">
        <v>354</v>
      </c>
      <c r="AA68">
        <v>403</v>
      </c>
      <c r="AB68">
        <v>0</v>
      </c>
      <c r="AC68">
        <v>370</v>
      </c>
      <c r="AD68">
        <v>375</v>
      </c>
      <c r="AE68">
        <v>430</v>
      </c>
      <c r="AF68">
        <v>368</v>
      </c>
      <c r="AG68">
        <v>397</v>
      </c>
      <c r="AH68">
        <v>355</v>
      </c>
      <c r="AI68" s="25">
        <v>320</v>
      </c>
      <c r="AJ68" s="27">
        <f>IF(SUMIFS('Detalhe Por UC'!$AB:$AB,'Detalhe Por UC'!$C:$C,'Infos Clientes'!$B68,'Detalhe Por UC'!$R:$R,'Infos Clientes'!AJ$2)=0,"",
SUMIFS('Detalhe Por UC'!$AB:$AB,'Detalhe Por UC'!$C:$C,'Infos Clientes'!$B68,'Detalhe Por UC'!$R:$R,'Infos Clientes'!AJ$2)
+SUMIFS('Detalhe Por UC'!$AC:$AC,'Detalhe Por UC'!$C:$C,'Infos Clientes'!$B68,'Detalhe Por UC'!$R:$R,'Infos Clientes'!AJ$2))</f>
        <v>316</v>
      </c>
      <c r="AK68" s="27">
        <f>IF(SUMIFS('Detalhe Por UC'!$AB:$AB,'Detalhe Por UC'!$C:$C,'Infos Clientes'!$B68,'Detalhe Por UC'!$R:$R,'Infos Clientes'!AK$2)=0,"",
SUMIFS('Detalhe Por UC'!$AB:$AB,'Detalhe Por UC'!$C:$C,'Infos Clientes'!$B68,'Detalhe Por UC'!$R:$R,'Infos Clientes'!AK$2)
+SUMIFS('Detalhe Por UC'!$AC:$AC,'Detalhe Por UC'!$C:$C,'Infos Clientes'!$B68,'Detalhe Por UC'!$R:$R,'Infos Clientes'!AK$2))</f>
        <v>307</v>
      </c>
      <c r="AL68" s="27">
        <f>IF(SUMIFS('Detalhe Por UC'!$AB:$AB,'Detalhe Por UC'!$C:$C,'Infos Clientes'!$B68,'Detalhe Por UC'!$R:$R,'Infos Clientes'!AL$2)=0,"",
SUMIFS('Detalhe Por UC'!$AB:$AB,'Detalhe Por UC'!$C:$C,'Infos Clientes'!$B68,'Detalhe Por UC'!$R:$R,'Infos Clientes'!AL$2)
+SUMIFS('Detalhe Por UC'!$AC:$AC,'Detalhe Por UC'!$C:$C,'Infos Clientes'!$B68,'Detalhe Por UC'!$R:$R,'Infos Clientes'!AL$2))</f>
        <v>400</v>
      </c>
      <c r="AM68" s="27">
        <f>IF(SUMIFS('Detalhe Por UC'!$AB:$AB,'Detalhe Por UC'!$C:$C,'Infos Clientes'!$B68,'Detalhe Por UC'!$R:$R,'Infos Clientes'!AM$2)=0,"",
SUMIFS('Detalhe Por UC'!$AB:$AB,'Detalhe Por UC'!$C:$C,'Infos Clientes'!$B68,'Detalhe Por UC'!$R:$R,'Infos Clientes'!AM$2)
+SUMIFS('Detalhe Por UC'!$AC:$AC,'Detalhe Por UC'!$C:$C,'Infos Clientes'!$B68,'Detalhe Por UC'!$R:$R,'Infos Clientes'!AM$2))</f>
        <v>320</v>
      </c>
      <c r="AN68" s="27">
        <f>IF(SUMIFS('Detalhe Por UC'!$AB:$AB,'Detalhe Por UC'!$C:$C,'Infos Clientes'!$B68,'Detalhe Por UC'!$R:$R,'Infos Clientes'!AN$2)=0,"",
SUMIFS('Detalhe Por UC'!$AB:$AB,'Detalhe Por UC'!$C:$C,'Infos Clientes'!$B68,'Detalhe Por UC'!$R:$R,'Infos Clientes'!AN$2)
+SUMIFS('Detalhe Por UC'!$AC:$AC,'Detalhe Por UC'!$C:$C,'Infos Clientes'!$B68,'Detalhe Por UC'!$R:$R,'Infos Clientes'!AN$2))</f>
        <v>355</v>
      </c>
      <c r="AO68" s="27">
        <f>IF(SUMIFS('Detalhe Por UC'!$AB:$AB,'Detalhe Por UC'!$C:$C,'Infos Clientes'!$B68,'Detalhe Por UC'!$R:$R,'Infos Clientes'!AO$2)=0,"",
SUMIFS('Detalhe Por UC'!$AB:$AB,'Detalhe Por UC'!$C:$C,'Infos Clientes'!$B68,'Detalhe Por UC'!$R:$R,'Infos Clientes'!AO$2)
+SUMIFS('Detalhe Por UC'!$AC:$AC,'Detalhe Por UC'!$C:$C,'Infos Clientes'!$B68,'Detalhe Por UC'!$R:$R,'Infos Clientes'!AO$2))</f>
        <v>400</v>
      </c>
      <c r="AP68" s="27">
        <f>IF(SUMIFS('Detalhe Por UC'!$AB:$AB,'Detalhe Por UC'!$C:$C,'Infos Clientes'!$B68,'Detalhe Por UC'!$R:$R,'Infos Clientes'!AP$2)=0,"",
SUMIFS('Detalhe Por UC'!$AB:$AB,'Detalhe Por UC'!$C:$C,'Infos Clientes'!$B68,'Detalhe Por UC'!$R:$R,'Infos Clientes'!AP$2)
+SUMIFS('Detalhe Por UC'!$AC:$AC,'Detalhe Por UC'!$C:$C,'Infos Clientes'!$B68,'Detalhe Por UC'!$R:$R,'Infos Clientes'!AP$2))</f>
        <v>355</v>
      </c>
      <c r="AQ68" s="27">
        <f>IF(SUMIFS('Detalhe Por UC'!$AB:$AB,'Detalhe Por UC'!$C:$C,'Infos Clientes'!$B68,'Detalhe Por UC'!$R:$R,'Infos Clientes'!AQ$2)=0,"",
SUMIFS('Detalhe Por UC'!$AB:$AB,'Detalhe Por UC'!$C:$C,'Infos Clientes'!$B68,'Detalhe Por UC'!$R:$R,'Infos Clientes'!AQ$2)
+SUMIFS('Detalhe Por UC'!$AC:$AC,'Detalhe Por UC'!$C:$C,'Infos Clientes'!$B68,'Detalhe Por UC'!$R:$R,'Infos Clientes'!AQ$2))</f>
        <v>317</v>
      </c>
      <c r="AR68" s="27">
        <f>IF(SUMIFS('Detalhe Por UC'!$AB:$AB,'Detalhe Por UC'!$C:$C,'Infos Clientes'!$B68,'Detalhe Por UC'!$R:$R,'Infos Clientes'!AR$2)=0,"",
SUMIFS('Detalhe Por UC'!$AB:$AB,'Detalhe Por UC'!$C:$C,'Infos Clientes'!$B68,'Detalhe Por UC'!$R:$R,'Infos Clientes'!AR$2)
+SUMIFS('Detalhe Por UC'!$AC:$AC,'Detalhe Por UC'!$C:$C,'Infos Clientes'!$B68,'Detalhe Por UC'!$R:$R,'Infos Clientes'!AR$2))</f>
        <v>379</v>
      </c>
      <c r="AS68" s="27">
        <f>IF(SUMIFS('Detalhe Por UC'!$AB:$AB,'Detalhe Por UC'!$C:$C,'Infos Clientes'!$B68,'Detalhe Por UC'!$R:$R,'Infos Clientes'!AS$2)=0,"",
SUMIFS('Detalhe Por UC'!$AB:$AB,'Detalhe Por UC'!$C:$C,'Infos Clientes'!$B68,'Detalhe Por UC'!$R:$R,'Infos Clientes'!AS$2)
+SUMIFS('Detalhe Por UC'!$AC:$AC,'Detalhe Por UC'!$C:$C,'Infos Clientes'!$B68,'Detalhe Por UC'!$R:$R,'Infos Clientes'!AS$2))</f>
        <v>385</v>
      </c>
      <c r="AT68" s="27">
        <f>IF(SUMIFS('Detalhe Por UC'!$AB:$AB,'Detalhe Por UC'!$C:$C,'Infos Clientes'!$B68,'Detalhe Por UC'!$R:$R,'Infos Clientes'!AT$2)=0,"",
SUMIFS('Detalhe Por UC'!$AB:$AB,'Detalhe Por UC'!$C:$C,'Infos Clientes'!$B68,'Detalhe Por UC'!$R:$R,'Infos Clientes'!AT$2)
+SUMIFS('Detalhe Por UC'!$AC:$AC,'Detalhe Por UC'!$C:$C,'Infos Clientes'!$B68,'Detalhe Por UC'!$R:$R,'Infos Clientes'!AT$2))</f>
        <v>391</v>
      </c>
      <c r="AU68" s="27" t="str">
        <f>IF(SUMIFS('Detalhe Por UC'!$AB:$AB,'Detalhe Por UC'!$C:$C,'Infos Clientes'!$B68,'Detalhe Por UC'!$R:$R,'Infos Clientes'!AU$2)=0,"",
SUMIFS('Detalhe Por UC'!$AB:$AB,'Detalhe Por UC'!$C:$C,'Infos Clientes'!$B68,'Detalhe Por UC'!$R:$R,'Infos Clientes'!AU$2)
+SUMIFS('Detalhe Por UC'!$AC:$AC,'Detalhe Por UC'!$C:$C,'Infos Clientes'!$B68,'Detalhe Por UC'!$R:$R,'Infos Clientes'!AU$2))</f>
        <v/>
      </c>
    </row>
    <row r="69" spans="2:47" x14ac:dyDescent="0.3">
      <c r="B69" t="s">
        <v>189</v>
      </c>
      <c r="C69" s="14">
        <f t="shared" si="4"/>
        <v>69</v>
      </c>
      <c r="D69" t="s">
        <v>19</v>
      </c>
      <c r="E69" s="15">
        <v>358</v>
      </c>
      <c r="F69" t="s">
        <v>130</v>
      </c>
      <c r="G69" t="s">
        <v>159</v>
      </c>
      <c r="H69" t="str">
        <f t="shared" si="2"/>
        <v>10/3125732-2</v>
      </c>
      <c r="I69" s="31" t="s">
        <v>22</v>
      </c>
      <c r="J69" s="31" t="s">
        <v>23</v>
      </c>
      <c r="K69" s="18" t="s">
        <v>138</v>
      </c>
      <c r="M69" s="32">
        <v>0.25</v>
      </c>
      <c r="Q69" s="22">
        <f>IF(_xlfn.MINIFS('Detalhe Por UC'!R:R,'Detalhe Por UC'!C:C,B69,'Detalhe Por UC'!AD:AD,"&gt;"&amp;0)=0,"",_xlfn.MINIFS('Detalhe Por UC'!R:R,'Detalhe Por UC'!C:C,B69,'Detalhe Por UC'!AD:AD,"&gt;"&amp;0))</f>
        <v>45658</v>
      </c>
      <c r="R69" s="23">
        <f>IF(P69&lt;&gt;"ATIVO",0,
IF(OR(Q69="",Q69=0,O69=0),O69,
O69-ROUND((MAX('Detalhe Por UC'!R:R)
-Q69)/(365/12),0)))</f>
        <v>0</v>
      </c>
      <c r="T69" s="29">
        <v>164.36363636363637</v>
      </c>
      <c r="U69" s="24">
        <f t="shared" si="3"/>
        <v>192.27272727272728</v>
      </c>
      <c r="X69">
        <v>112</v>
      </c>
      <c r="Y69">
        <v>105</v>
      </c>
      <c r="Z69">
        <v>220</v>
      </c>
      <c r="AA69">
        <v>190</v>
      </c>
      <c r="AB69">
        <v>0</v>
      </c>
      <c r="AC69">
        <v>79</v>
      </c>
      <c r="AD69">
        <v>84</v>
      </c>
      <c r="AE69">
        <v>145</v>
      </c>
      <c r="AF69">
        <v>187</v>
      </c>
      <c r="AG69">
        <v>184</v>
      </c>
      <c r="AH69">
        <v>177</v>
      </c>
      <c r="AI69" s="25">
        <v>222</v>
      </c>
      <c r="AJ69" s="27">
        <f>IF(SUMIFS('Detalhe Por UC'!$AB:$AB,'Detalhe Por UC'!$C:$C,'Infos Clientes'!$B69,'Detalhe Por UC'!$R:$R,'Infos Clientes'!AJ$2)=0,"",
SUMIFS('Detalhe Por UC'!$AB:$AB,'Detalhe Por UC'!$C:$C,'Infos Clientes'!$B69,'Detalhe Por UC'!$R:$R,'Infos Clientes'!AJ$2)
+SUMIFS('Detalhe Por UC'!$AC:$AC,'Detalhe Por UC'!$C:$C,'Infos Clientes'!$B69,'Detalhe Por UC'!$R:$R,'Infos Clientes'!AJ$2))</f>
        <v>215</v>
      </c>
      <c r="AK69" s="27">
        <f>IF(SUMIFS('Detalhe Por UC'!$AB:$AB,'Detalhe Por UC'!$C:$C,'Infos Clientes'!$B69,'Detalhe Por UC'!$R:$R,'Infos Clientes'!AK$2)=0,"",
SUMIFS('Detalhe Por UC'!$AB:$AB,'Detalhe Por UC'!$C:$C,'Infos Clientes'!$B69,'Detalhe Por UC'!$R:$R,'Infos Clientes'!AK$2)
+SUMIFS('Detalhe Por UC'!$AC:$AC,'Detalhe Por UC'!$C:$C,'Infos Clientes'!$B69,'Detalhe Por UC'!$R:$R,'Infos Clientes'!AK$2))</f>
        <v>244</v>
      </c>
      <c r="AL69" s="27">
        <f>IF(SUMIFS('Detalhe Por UC'!$AB:$AB,'Detalhe Por UC'!$C:$C,'Infos Clientes'!$B69,'Detalhe Por UC'!$R:$R,'Infos Clientes'!AL$2)=0,"",
SUMIFS('Detalhe Por UC'!$AB:$AB,'Detalhe Por UC'!$C:$C,'Infos Clientes'!$B69,'Detalhe Por UC'!$R:$R,'Infos Clientes'!AL$2)
+SUMIFS('Detalhe Por UC'!$AC:$AC,'Detalhe Por UC'!$C:$C,'Infos Clientes'!$B69,'Detalhe Por UC'!$R:$R,'Infos Clientes'!AL$2))</f>
        <v>208</v>
      </c>
      <c r="AM69" s="27">
        <f>IF(SUMIFS('Detalhe Por UC'!$AB:$AB,'Detalhe Por UC'!$C:$C,'Infos Clientes'!$B69,'Detalhe Por UC'!$R:$R,'Infos Clientes'!AM$2)=0,"",
SUMIFS('Detalhe Por UC'!$AB:$AB,'Detalhe Por UC'!$C:$C,'Infos Clientes'!$B69,'Detalhe Por UC'!$R:$R,'Infos Clientes'!AM$2)
+SUMIFS('Detalhe Por UC'!$AC:$AC,'Detalhe Por UC'!$C:$C,'Infos Clientes'!$B69,'Detalhe Por UC'!$R:$R,'Infos Clientes'!AM$2))</f>
        <v>198</v>
      </c>
      <c r="AN69" s="27">
        <f>IF(SUMIFS('Detalhe Por UC'!$AB:$AB,'Detalhe Por UC'!$C:$C,'Infos Clientes'!$B69,'Detalhe Por UC'!$R:$R,'Infos Clientes'!AN$2)=0,"",
SUMIFS('Detalhe Por UC'!$AB:$AB,'Detalhe Por UC'!$C:$C,'Infos Clientes'!$B69,'Detalhe Por UC'!$R:$R,'Infos Clientes'!AN$2)
+SUMIFS('Detalhe Por UC'!$AC:$AC,'Detalhe Por UC'!$C:$C,'Infos Clientes'!$B69,'Detalhe Por UC'!$R:$R,'Infos Clientes'!AN$2))</f>
        <v>183</v>
      </c>
      <c r="AO69" s="27">
        <f>IF(SUMIFS('Detalhe Por UC'!$AB:$AB,'Detalhe Por UC'!$C:$C,'Infos Clientes'!$B69,'Detalhe Por UC'!$R:$R,'Infos Clientes'!AO$2)=0,"",
SUMIFS('Detalhe Por UC'!$AB:$AB,'Detalhe Por UC'!$C:$C,'Infos Clientes'!$B69,'Detalhe Por UC'!$R:$R,'Infos Clientes'!AO$2)
+SUMIFS('Detalhe Por UC'!$AC:$AC,'Detalhe Por UC'!$C:$C,'Infos Clientes'!$B69,'Detalhe Por UC'!$R:$R,'Infos Clientes'!AO$2))</f>
        <v>176</v>
      </c>
      <c r="AP69" s="27">
        <f>IF(SUMIFS('Detalhe Por UC'!$AB:$AB,'Detalhe Por UC'!$C:$C,'Infos Clientes'!$B69,'Detalhe Por UC'!$R:$R,'Infos Clientes'!AP$2)=0,"",
SUMIFS('Detalhe Por UC'!$AB:$AB,'Detalhe Por UC'!$C:$C,'Infos Clientes'!$B69,'Detalhe Por UC'!$R:$R,'Infos Clientes'!AP$2)
+SUMIFS('Detalhe Por UC'!$AC:$AC,'Detalhe Por UC'!$C:$C,'Infos Clientes'!$B69,'Detalhe Por UC'!$R:$R,'Infos Clientes'!AP$2))</f>
        <v>136</v>
      </c>
      <c r="AQ69" s="27">
        <f>IF(SUMIFS('Detalhe Por UC'!$AB:$AB,'Detalhe Por UC'!$C:$C,'Infos Clientes'!$B69,'Detalhe Por UC'!$R:$R,'Infos Clientes'!AQ$2)=0,"",
SUMIFS('Detalhe Por UC'!$AB:$AB,'Detalhe Por UC'!$C:$C,'Infos Clientes'!$B69,'Detalhe Por UC'!$R:$R,'Infos Clientes'!AQ$2)
+SUMIFS('Detalhe Por UC'!$AC:$AC,'Detalhe Por UC'!$C:$C,'Infos Clientes'!$B69,'Detalhe Por UC'!$R:$R,'Infos Clientes'!AQ$2))</f>
        <v>154</v>
      </c>
      <c r="AR69" s="27">
        <f>IF(SUMIFS('Detalhe Por UC'!$AB:$AB,'Detalhe Por UC'!$C:$C,'Infos Clientes'!$B69,'Detalhe Por UC'!$R:$R,'Infos Clientes'!AR$2)=0,"",
SUMIFS('Detalhe Por UC'!$AB:$AB,'Detalhe Por UC'!$C:$C,'Infos Clientes'!$B69,'Detalhe Por UC'!$R:$R,'Infos Clientes'!AR$2)
+SUMIFS('Detalhe Por UC'!$AC:$AC,'Detalhe Por UC'!$C:$C,'Infos Clientes'!$B69,'Detalhe Por UC'!$R:$R,'Infos Clientes'!AR$2))</f>
        <v>180</v>
      </c>
      <c r="AS69" s="27">
        <f>IF(SUMIFS('Detalhe Por UC'!$AB:$AB,'Detalhe Por UC'!$C:$C,'Infos Clientes'!$B69,'Detalhe Por UC'!$R:$R,'Infos Clientes'!AS$2)=0,"",
SUMIFS('Detalhe Por UC'!$AB:$AB,'Detalhe Por UC'!$C:$C,'Infos Clientes'!$B69,'Detalhe Por UC'!$R:$R,'Infos Clientes'!AS$2)
+SUMIFS('Detalhe Por UC'!$AC:$AC,'Detalhe Por UC'!$C:$C,'Infos Clientes'!$B69,'Detalhe Por UC'!$R:$R,'Infos Clientes'!AS$2))</f>
        <v>199</v>
      </c>
      <c r="AT69" s="27" t="str">
        <f>IF(SUMIFS('Detalhe Por UC'!$AB:$AB,'Detalhe Por UC'!$C:$C,'Infos Clientes'!$B69,'Detalhe Por UC'!$R:$R,'Infos Clientes'!AT$2)=0,"",
SUMIFS('Detalhe Por UC'!$AB:$AB,'Detalhe Por UC'!$C:$C,'Infos Clientes'!$B69,'Detalhe Por UC'!$R:$R,'Infos Clientes'!AT$2)
+SUMIFS('Detalhe Por UC'!$AC:$AC,'Detalhe Por UC'!$C:$C,'Infos Clientes'!$B69,'Detalhe Por UC'!$R:$R,'Infos Clientes'!AT$2))</f>
        <v/>
      </c>
      <c r="AU69" s="27" t="str">
        <f>IF(SUMIFS('Detalhe Por UC'!$AB:$AB,'Detalhe Por UC'!$C:$C,'Infos Clientes'!$B69,'Detalhe Por UC'!$R:$R,'Infos Clientes'!AU$2)=0,"",
SUMIFS('Detalhe Por UC'!$AB:$AB,'Detalhe Por UC'!$C:$C,'Infos Clientes'!$B69,'Detalhe Por UC'!$R:$R,'Infos Clientes'!AU$2)
+SUMIFS('Detalhe Por UC'!$AC:$AC,'Detalhe Por UC'!$C:$C,'Infos Clientes'!$B69,'Detalhe Por UC'!$R:$R,'Infos Clientes'!AU$2))</f>
        <v/>
      </c>
    </row>
    <row r="70" spans="2:47" x14ac:dyDescent="0.3">
      <c r="B70" t="s">
        <v>190</v>
      </c>
      <c r="C70" s="14">
        <v>51</v>
      </c>
      <c r="D70" t="s">
        <v>19</v>
      </c>
      <c r="E70" s="15">
        <v>357</v>
      </c>
      <c r="F70" t="s">
        <v>62</v>
      </c>
      <c r="G70" t="s">
        <v>191</v>
      </c>
      <c r="H70" t="str">
        <f t="shared" si="2"/>
        <v>10/31292-6</v>
      </c>
      <c r="I70" s="31" t="s">
        <v>22</v>
      </c>
      <c r="J70" s="31" t="s">
        <v>23</v>
      </c>
      <c r="K70" s="18" t="s">
        <v>138</v>
      </c>
      <c r="M70" s="32">
        <v>0.25</v>
      </c>
      <c r="Q70" s="22">
        <f>IF(_xlfn.MINIFS('Detalhe Por UC'!R:R,'Detalhe Por UC'!C:C,B70,'Detalhe Por UC'!AD:AD,"&gt;"&amp;0)=0,"",_xlfn.MINIFS('Detalhe Por UC'!R:R,'Detalhe Por UC'!C:C,B70,'Detalhe Por UC'!AD:AD,"&gt;"&amp;0))</f>
        <v>45658</v>
      </c>
      <c r="R70" s="23">
        <f>IF(P70&lt;&gt;"ATIVO",0,
IF(OR(Q70="",Q70=0,O70=0),O70,
O70-ROUND((MAX('Detalhe Por UC'!R:R)
-Q70)/(365/12),0)))</f>
        <v>0</v>
      </c>
      <c r="T70" s="29">
        <v>167.54545454545453</v>
      </c>
      <c r="U70" s="24">
        <f t="shared" si="3"/>
        <v>177.4</v>
      </c>
      <c r="X70">
        <v>151</v>
      </c>
      <c r="Y70">
        <v>155</v>
      </c>
      <c r="Z70">
        <v>227</v>
      </c>
      <c r="AA70">
        <v>238</v>
      </c>
      <c r="AB70">
        <v>0</v>
      </c>
      <c r="AC70">
        <v>116</v>
      </c>
      <c r="AD70">
        <v>144</v>
      </c>
      <c r="AE70">
        <v>139</v>
      </c>
      <c r="AF70">
        <v>97</v>
      </c>
      <c r="AG70">
        <v>156</v>
      </c>
      <c r="AH70">
        <v>199</v>
      </c>
      <c r="AI70" s="25">
        <v>230</v>
      </c>
      <c r="AJ70" s="27">
        <f>IF(SUMIFS('Detalhe Por UC'!$AB:$AB,'Detalhe Por UC'!$C:$C,'Infos Clientes'!$B70,'Detalhe Por UC'!$R:$R,'Infos Clientes'!AJ$2)=0,"",
SUMIFS('Detalhe Por UC'!$AB:$AB,'Detalhe Por UC'!$C:$C,'Infos Clientes'!$B70,'Detalhe Por UC'!$R:$R,'Infos Clientes'!AJ$2)
+SUMIFS('Detalhe Por UC'!$AC:$AC,'Detalhe Por UC'!$C:$C,'Infos Clientes'!$B70,'Detalhe Por UC'!$R:$R,'Infos Clientes'!AJ$2))</f>
        <v>142</v>
      </c>
      <c r="AK70" s="27">
        <f>IF(SUMIFS('Detalhe Por UC'!$AB:$AB,'Detalhe Por UC'!$C:$C,'Infos Clientes'!$B70,'Detalhe Por UC'!$R:$R,'Infos Clientes'!AK$2)=0,"",
SUMIFS('Detalhe Por UC'!$AB:$AB,'Detalhe Por UC'!$C:$C,'Infos Clientes'!$B70,'Detalhe Por UC'!$R:$R,'Infos Clientes'!AK$2)
+SUMIFS('Detalhe Por UC'!$AC:$AC,'Detalhe Por UC'!$C:$C,'Infos Clientes'!$B70,'Detalhe Por UC'!$R:$R,'Infos Clientes'!AK$2))</f>
        <v>184</v>
      </c>
      <c r="AL70" s="27">
        <f>IF(SUMIFS('Detalhe Por UC'!$AB:$AB,'Detalhe Por UC'!$C:$C,'Infos Clientes'!$B70,'Detalhe Por UC'!$R:$R,'Infos Clientes'!AL$2)=0,"",
SUMIFS('Detalhe Por UC'!$AB:$AB,'Detalhe Por UC'!$C:$C,'Infos Clientes'!$B70,'Detalhe Por UC'!$R:$R,'Infos Clientes'!AL$2)
+SUMIFS('Detalhe Por UC'!$AC:$AC,'Detalhe Por UC'!$C:$C,'Infos Clientes'!$B70,'Detalhe Por UC'!$R:$R,'Infos Clientes'!AL$2))</f>
        <v>170</v>
      </c>
      <c r="AM70" s="27">
        <f>IF(SUMIFS('Detalhe Por UC'!$AB:$AB,'Detalhe Por UC'!$C:$C,'Infos Clientes'!$B70,'Detalhe Por UC'!$R:$R,'Infos Clientes'!AM$2)=0,"",
SUMIFS('Detalhe Por UC'!$AB:$AB,'Detalhe Por UC'!$C:$C,'Infos Clientes'!$B70,'Detalhe Por UC'!$R:$R,'Infos Clientes'!AM$2)
+SUMIFS('Detalhe Por UC'!$AC:$AC,'Detalhe Por UC'!$C:$C,'Infos Clientes'!$B70,'Detalhe Por UC'!$R:$R,'Infos Clientes'!AM$2))</f>
        <v>161</v>
      </c>
      <c r="AN70" s="27" t="str">
        <f>IF(SUMIFS('Detalhe Por UC'!$AB:$AB,'Detalhe Por UC'!$C:$C,'Infos Clientes'!$B70,'Detalhe Por UC'!$R:$R,'Infos Clientes'!AN$2)=0,"",
SUMIFS('Detalhe Por UC'!$AB:$AB,'Detalhe Por UC'!$C:$C,'Infos Clientes'!$B70,'Detalhe Por UC'!$R:$R,'Infos Clientes'!AN$2)
+SUMIFS('Detalhe Por UC'!$AC:$AC,'Detalhe Por UC'!$C:$C,'Infos Clientes'!$B70,'Detalhe Por UC'!$R:$R,'Infos Clientes'!AN$2))</f>
        <v/>
      </c>
      <c r="AO70" s="27" t="str">
        <f>IF(SUMIFS('Detalhe Por UC'!$AB:$AB,'Detalhe Por UC'!$C:$C,'Infos Clientes'!$B70,'Detalhe Por UC'!$R:$R,'Infos Clientes'!AO$2)=0,"",
SUMIFS('Detalhe Por UC'!$AB:$AB,'Detalhe Por UC'!$C:$C,'Infos Clientes'!$B70,'Detalhe Por UC'!$R:$R,'Infos Clientes'!AO$2)
+SUMIFS('Detalhe Por UC'!$AC:$AC,'Detalhe Por UC'!$C:$C,'Infos Clientes'!$B70,'Detalhe Por UC'!$R:$R,'Infos Clientes'!AO$2))</f>
        <v/>
      </c>
      <c r="AP70" s="27" t="str">
        <f>IF(SUMIFS('Detalhe Por UC'!$AB:$AB,'Detalhe Por UC'!$C:$C,'Infos Clientes'!$B70,'Detalhe Por UC'!$R:$R,'Infos Clientes'!AP$2)=0,"",
SUMIFS('Detalhe Por UC'!$AB:$AB,'Detalhe Por UC'!$C:$C,'Infos Clientes'!$B70,'Detalhe Por UC'!$R:$R,'Infos Clientes'!AP$2)
+SUMIFS('Detalhe Por UC'!$AC:$AC,'Detalhe Por UC'!$C:$C,'Infos Clientes'!$B70,'Detalhe Por UC'!$R:$R,'Infos Clientes'!AP$2))</f>
        <v/>
      </c>
      <c r="AQ70" s="27" t="str">
        <f>IF(SUMIFS('Detalhe Por UC'!$AB:$AB,'Detalhe Por UC'!$C:$C,'Infos Clientes'!$B70,'Detalhe Por UC'!$R:$R,'Infos Clientes'!AQ$2)=0,"",
SUMIFS('Detalhe Por UC'!$AB:$AB,'Detalhe Por UC'!$C:$C,'Infos Clientes'!$B70,'Detalhe Por UC'!$R:$R,'Infos Clientes'!AQ$2)
+SUMIFS('Detalhe Por UC'!$AC:$AC,'Detalhe Por UC'!$C:$C,'Infos Clientes'!$B70,'Detalhe Por UC'!$R:$R,'Infos Clientes'!AQ$2))</f>
        <v/>
      </c>
      <c r="AR70" s="27" t="str">
        <f>IF(SUMIFS('Detalhe Por UC'!$AB:$AB,'Detalhe Por UC'!$C:$C,'Infos Clientes'!$B70,'Detalhe Por UC'!$R:$R,'Infos Clientes'!AR$2)=0,"",
SUMIFS('Detalhe Por UC'!$AB:$AB,'Detalhe Por UC'!$C:$C,'Infos Clientes'!$B70,'Detalhe Por UC'!$R:$R,'Infos Clientes'!AR$2)
+SUMIFS('Detalhe Por UC'!$AC:$AC,'Detalhe Por UC'!$C:$C,'Infos Clientes'!$B70,'Detalhe Por UC'!$R:$R,'Infos Clientes'!AR$2))</f>
        <v/>
      </c>
      <c r="AS70" s="27" t="str">
        <f>IF(SUMIFS('Detalhe Por UC'!$AB:$AB,'Detalhe Por UC'!$C:$C,'Infos Clientes'!$B70,'Detalhe Por UC'!$R:$R,'Infos Clientes'!AS$2)=0,"",
SUMIFS('Detalhe Por UC'!$AB:$AB,'Detalhe Por UC'!$C:$C,'Infos Clientes'!$B70,'Detalhe Por UC'!$R:$R,'Infos Clientes'!AS$2)
+SUMIFS('Detalhe Por UC'!$AC:$AC,'Detalhe Por UC'!$C:$C,'Infos Clientes'!$B70,'Detalhe Por UC'!$R:$R,'Infos Clientes'!AS$2))</f>
        <v/>
      </c>
      <c r="AT70" s="27" t="str">
        <f>IF(SUMIFS('Detalhe Por UC'!$AB:$AB,'Detalhe Por UC'!$C:$C,'Infos Clientes'!$B70,'Detalhe Por UC'!$R:$R,'Infos Clientes'!AT$2)=0,"",
SUMIFS('Detalhe Por UC'!$AB:$AB,'Detalhe Por UC'!$C:$C,'Infos Clientes'!$B70,'Detalhe Por UC'!$R:$R,'Infos Clientes'!AT$2)
+SUMIFS('Detalhe Por UC'!$AC:$AC,'Detalhe Por UC'!$C:$C,'Infos Clientes'!$B70,'Detalhe Por UC'!$R:$R,'Infos Clientes'!AT$2))</f>
        <v/>
      </c>
      <c r="AU70" s="27" t="str">
        <f>IF(SUMIFS('Detalhe Por UC'!$AB:$AB,'Detalhe Por UC'!$C:$C,'Infos Clientes'!$B70,'Detalhe Por UC'!$R:$R,'Infos Clientes'!AU$2)=0,"",
SUMIFS('Detalhe Por UC'!$AB:$AB,'Detalhe Por UC'!$C:$C,'Infos Clientes'!$B70,'Detalhe Por UC'!$R:$R,'Infos Clientes'!AU$2)
+SUMIFS('Detalhe Por UC'!$AC:$AC,'Detalhe Por UC'!$C:$C,'Infos Clientes'!$B70,'Detalhe Por UC'!$R:$R,'Infos Clientes'!AU$2))</f>
        <v/>
      </c>
    </row>
    <row r="71" spans="2:47" x14ac:dyDescent="0.3">
      <c r="B71" t="s">
        <v>192</v>
      </c>
      <c r="C71" s="14">
        <f t="shared" si="4"/>
        <v>71</v>
      </c>
      <c r="D71" t="s">
        <v>19</v>
      </c>
      <c r="E71" s="15">
        <v>319</v>
      </c>
      <c r="F71" t="s">
        <v>26</v>
      </c>
      <c r="G71" t="s">
        <v>143</v>
      </c>
      <c r="H71" t="str">
        <f t="shared" si="2"/>
        <v>10/3139326-7</v>
      </c>
      <c r="I71" s="31" t="s">
        <v>22</v>
      </c>
      <c r="J71" s="31" t="s">
        <v>28</v>
      </c>
      <c r="K71" s="18" t="s">
        <v>138</v>
      </c>
      <c r="M71" s="32">
        <v>0.25</v>
      </c>
      <c r="Q71" s="22">
        <f>IF(_xlfn.MINIFS('Detalhe Por UC'!R:R,'Detalhe Por UC'!C:C,B71,'Detalhe Por UC'!AD:AD,"&gt;"&amp;0)=0,"",_xlfn.MINIFS('Detalhe Por UC'!R:R,'Detalhe Por UC'!C:C,B71,'Detalhe Por UC'!AD:AD,"&gt;"&amp;0))</f>
        <v>45658</v>
      </c>
      <c r="R71" s="23">
        <f>IF(P71&lt;&gt;"ATIVO",0,
IF(OR(Q71="",Q71=0,O71=0),O71,
O71-ROUND((MAX('Detalhe Por UC'!R:R)
-Q71)/(365/12),0)))</f>
        <v>0</v>
      </c>
      <c r="T71" s="29">
        <v>502.09090909090907</v>
      </c>
      <c r="U71" s="24">
        <f t="shared" si="3"/>
        <v>443.08333333333331</v>
      </c>
      <c r="X71">
        <v>527</v>
      </c>
      <c r="Y71">
        <v>576</v>
      </c>
      <c r="Z71">
        <v>745</v>
      </c>
      <c r="AA71">
        <v>660</v>
      </c>
      <c r="AB71">
        <v>0</v>
      </c>
      <c r="AC71">
        <v>444</v>
      </c>
      <c r="AD71">
        <v>414</v>
      </c>
      <c r="AE71">
        <v>412</v>
      </c>
      <c r="AF71">
        <v>371</v>
      </c>
      <c r="AG71">
        <v>449</v>
      </c>
      <c r="AH71">
        <v>528</v>
      </c>
      <c r="AI71" s="25">
        <v>523</v>
      </c>
      <c r="AJ71" s="27">
        <f>IF(SUMIFS('Detalhe Por UC'!$AB:$AB,'Detalhe Por UC'!$C:$C,'Infos Clientes'!$B71,'Detalhe Por UC'!$R:$R,'Infos Clientes'!AJ$2)=0,"",
SUMIFS('Detalhe Por UC'!$AB:$AB,'Detalhe Por UC'!$C:$C,'Infos Clientes'!$B71,'Detalhe Por UC'!$R:$R,'Infos Clientes'!AJ$2)
+SUMIFS('Detalhe Por UC'!$AC:$AC,'Detalhe Por UC'!$C:$C,'Infos Clientes'!$B71,'Detalhe Por UC'!$R:$R,'Infos Clientes'!AJ$2))</f>
        <v>401</v>
      </c>
      <c r="AK71" s="27">
        <f>IF(SUMIFS('Detalhe Por UC'!$AB:$AB,'Detalhe Por UC'!$C:$C,'Infos Clientes'!$B71,'Detalhe Por UC'!$R:$R,'Infos Clientes'!AK$2)=0,"",
SUMIFS('Detalhe Por UC'!$AB:$AB,'Detalhe Por UC'!$C:$C,'Infos Clientes'!$B71,'Detalhe Por UC'!$R:$R,'Infos Clientes'!AK$2)
+SUMIFS('Detalhe Por UC'!$AC:$AC,'Detalhe Por UC'!$C:$C,'Infos Clientes'!$B71,'Detalhe Por UC'!$R:$R,'Infos Clientes'!AK$2))</f>
        <v>493</v>
      </c>
      <c r="AL71" s="27">
        <f>IF(SUMIFS('Detalhe Por UC'!$AB:$AB,'Detalhe Por UC'!$C:$C,'Infos Clientes'!$B71,'Detalhe Por UC'!$R:$R,'Infos Clientes'!AL$2)=0,"",
SUMIFS('Detalhe Por UC'!$AB:$AB,'Detalhe Por UC'!$C:$C,'Infos Clientes'!$B71,'Detalhe Por UC'!$R:$R,'Infos Clientes'!AL$2)
+SUMIFS('Detalhe Por UC'!$AC:$AC,'Detalhe Por UC'!$C:$C,'Infos Clientes'!$B71,'Detalhe Por UC'!$R:$R,'Infos Clientes'!AL$2))</f>
        <v>590</v>
      </c>
      <c r="AM71" s="27">
        <f>IF(SUMIFS('Detalhe Por UC'!$AB:$AB,'Detalhe Por UC'!$C:$C,'Infos Clientes'!$B71,'Detalhe Por UC'!$R:$R,'Infos Clientes'!AM$2)=0,"",
SUMIFS('Detalhe Por UC'!$AB:$AB,'Detalhe Por UC'!$C:$C,'Infos Clientes'!$B71,'Detalhe Por UC'!$R:$R,'Infos Clientes'!AM$2)
+SUMIFS('Detalhe Por UC'!$AC:$AC,'Detalhe Por UC'!$C:$C,'Infos Clientes'!$B71,'Detalhe Por UC'!$R:$R,'Infos Clientes'!AM$2))</f>
        <v>493</v>
      </c>
      <c r="AN71" s="27">
        <f>IF(SUMIFS('Detalhe Por UC'!$AB:$AB,'Detalhe Por UC'!$C:$C,'Infos Clientes'!$B71,'Detalhe Por UC'!$R:$R,'Infos Clientes'!AN$2)=0,"",
SUMIFS('Detalhe Por UC'!$AB:$AB,'Detalhe Por UC'!$C:$C,'Infos Clientes'!$B71,'Detalhe Por UC'!$R:$R,'Infos Clientes'!AN$2)
+SUMIFS('Detalhe Por UC'!$AC:$AC,'Detalhe Por UC'!$C:$C,'Infos Clientes'!$B71,'Detalhe Por UC'!$R:$R,'Infos Clientes'!AN$2))</f>
        <v>384</v>
      </c>
      <c r="AO71" s="27">
        <f>IF(SUMIFS('Detalhe Por UC'!$AB:$AB,'Detalhe Por UC'!$C:$C,'Infos Clientes'!$B71,'Detalhe Por UC'!$R:$R,'Infos Clientes'!AO$2)=0,"",
SUMIFS('Detalhe Por UC'!$AB:$AB,'Detalhe Por UC'!$C:$C,'Infos Clientes'!$B71,'Detalhe Por UC'!$R:$R,'Infos Clientes'!AO$2)
+SUMIFS('Detalhe Por UC'!$AC:$AC,'Detalhe Por UC'!$C:$C,'Infos Clientes'!$B71,'Detalhe Por UC'!$R:$R,'Infos Clientes'!AO$2))</f>
        <v>420</v>
      </c>
      <c r="AP71" s="27">
        <f>IF(SUMIFS('Detalhe Por UC'!$AB:$AB,'Detalhe Por UC'!$C:$C,'Infos Clientes'!$B71,'Detalhe Por UC'!$R:$R,'Infos Clientes'!AP$2)=0,"",
SUMIFS('Detalhe Por UC'!$AB:$AB,'Detalhe Por UC'!$C:$C,'Infos Clientes'!$B71,'Detalhe Por UC'!$R:$R,'Infos Clientes'!AP$2)
+SUMIFS('Detalhe Por UC'!$AC:$AC,'Detalhe Por UC'!$C:$C,'Infos Clientes'!$B71,'Detalhe Por UC'!$R:$R,'Infos Clientes'!AP$2))</f>
        <v>363</v>
      </c>
      <c r="AQ71" s="27">
        <f>IF(SUMIFS('Detalhe Por UC'!$AB:$AB,'Detalhe Por UC'!$C:$C,'Infos Clientes'!$B71,'Detalhe Por UC'!$R:$R,'Infos Clientes'!AQ$2)=0,"",
SUMIFS('Detalhe Por UC'!$AB:$AB,'Detalhe Por UC'!$C:$C,'Infos Clientes'!$B71,'Detalhe Por UC'!$R:$R,'Infos Clientes'!AQ$2)
+SUMIFS('Detalhe Por UC'!$AC:$AC,'Detalhe Por UC'!$C:$C,'Infos Clientes'!$B71,'Detalhe Por UC'!$R:$R,'Infos Clientes'!AQ$2))</f>
        <v>386</v>
      </c>
      <c r="AR71" s="27">
        <f>IF(SUMIFS('Detalhe Por UC'!$AB:$AB,'Detalhe Por UC'!$C:$C,'Infos Clientes'!$B71,'Detalhe Por UC'!$R:$R,'Infos Clientes'!AR$2)=0,"",
SUMIFS('Detalhe Por UC'!$AB:$AB,'Detalhe Por UC'!$C:$C,'Infos Clientes'!$B71,'Detalhe Por UC'!$R:$R,'Infos Clientes'!AR$2)
+SUMIFS('Detalhe Por UC'!$AC:$AC,'Detalhe Por UC'!$C:$C,'Infos Clientes'!$B71,'Detalhe Por UC'!$R:$R,'Infos Clientes'!AR$2))</f>
        <v>353</v>
      </c>
      <c r="AS71" s="27">
        <f>IF(SUMIFS('Detalhe Por UC'!$AB:$AB,'Detalhe Por UC'!$C:$C,'Infos Clientes'!$B71,'Detalhe Por UC'!$R:$R,'Infos Clientes'!AS$2)=0,"",
SUMIFS('Detalhe Por UC'!$AB:$AB,'Detalhe Por UC'!$C:$C,'Infos Clientes'!$B71,'Detalhe Por UC'!$R:$R,'Infos Clientes'!AS$2)
+SUMIFS('Detalhe Por UC'!$AC:$AC,'Detalhe Por UC'!$C:$C,'Infos Clientes'!$B71,'Detalhe Por UC'!$R:$R,'Infos Clientes'!AS$2))</f>
        <v>414</v>
      </c>
      <c r="AT71" s="27">
        <f>IF(SUMIFS('Detalhe Por UC'!$AB:$AB,'Detalhe Por UC'!$C:$C,'Infos Clientes'!$B71,'Detalhe Por UC'!$R:$R,'Infos Clientes'!AT$2)=0,"",
SUMIFS('Detalhe Por UC'!$AB:$AB,'Detalhe Por UC'!$C:$C,'Infos Clientes'!$B71,'Detalhe Por UC'!$R:$R,'Infos Clientes'!AT$2)
+SUMIFS('Detalhe Por UC'!$AC:$AC,'Detalhe Por UC'!$C:$C,'Infos Clientes'!$B71,'Detalhe Por UC'!$R:$R,'Infos Clientes'!AT$2))</f>
        <v>497</v>
      </c>
      <c r="AU71" s="27" t="str">
        <f>IF(SUMIFS('Detalhe Por UC'!$AB:$AB,'Detalhe Por UC'!$C:$C,'Infos Clientes'!$B71,'Detalhe Por UC'!$R:$R,'Infos Clientes'!AU$2)=0,"",
SUMIFS('Detalhe Por UC'!$AB:$AB,'Detalhe Por UC'!$C:$C,'Infos Clientes'!$B71,'Detalhe Por UC'!$R:$R,'Infos Clientes'!AU$2)
+SUMIFS('Detalhe Por UC'!$AC:$AC,'Detalhe Por UC'!$C:$C,'Infos Clientes'!$B71,'Detalhe Por UC'!$R:$R,'Infos Clientes'!AU$2))</f>
        <v/>
      </c>
    </row>
    <row r="72" spans="2:47" x14ac:dyDescent="0.3">
      <c r="B72" t="s">
        <v>193</v>
      </c>
      <c r="C72" s="14">
        <f t="shared" si="4"/>
        <v>72</v>
      </c>
      <c r="D72" t="s">
        <v>19</v>
      </c>
      <c r="E72" s="15">
        <v>306</v>
      </c>
      <c r="F72" t="s">
        <v>194</v>
      </c>
      <c r="G72" t="s">
        <v>143</v>
      </c>
      <c r="H72" t="str">
        <f t="shared" si="2"/>
        <v>10/341308-5</v>
      </c>
      <c r="I72" s="31" t="s">
        <v>22</v>
      </c>
      <c r="J72" s="31" t="s">
        <v>23</v>
      </c>
      <c r="K72" s="18" t="s">
        <v>138</v>
      </c>
      <c r="M72" s="32">
        <v>0.25</v>
      </c>
      <c r="Q72" s="22">
        <f>IF(_xlfn.MINIFS('Detalhe Por UC'!R:R,'Detalhe Por UC'!C:C,B72,'Detalhe Por UC'!AD:AD,"&gt;"&amp;0)=0,"",_xlfn.MINIFS('Detalhe Por UC'!R:R,'Detalhe Por UC'!C:C,B72,'Detalhe Por UC'!AD:AD,"&gt;"&amp;0))</f>
        <v>45658</v>
      </c>
      <c r="R72" s="23">
        <f>IF(P72&lt;&gt;"ATIVO",0,
IF(OR(Q72="",Q72=0,O72=0),O72,
O72-ROUND((MAX('Detalhe Por UC'!R:R)
-Q72)/(365/12),0)))</f>
        <v>0</v>
      </c>
      <c r="T72" s="29">
        <v>330.27272727272725</v>
      </c>
      <c r="U72" s="24">
        <f t="shared" si="3"/>
        <v>276.91666666666669</v>
      </c>
      <c r="X72">
        <v>158</v>
      </c>
      <c r="Y72">
        <v>373</v>
      </c>
      <c r="Z72">
        <v>428</v>
      </c>
      <c r="AA72">
        <v>402</v>
      </c>
      <c r="AB72">
        <v>0</v>
      </c>
      <c r="AC72">
        <v>308</v>
      </c>
      <c r="AD72">
        <v>343</v>
      </c>
      <c r="AE72">
        <v>313</v>
      </c>
      <c r="AF72">
        <v>248</v>
      </c>
      <c r="AG72">
        <v>335</v>
      </c>
      <c r="AH72">
        <v>294</v>
      </c>
      <c r="AI72" s="25">
        <v>311</v>
      </c>
      <c r="AJ72" s="27">
        <f>IF(SUMIFS('Detalhe Por UC'!$AB:$AB,'Detalhe Por UC'!$C:$C,'Infos Clientes'!$B72,'Detalhe Por UC'!$R:$R,'Infos Clientes'!AJ$2)=0,"",
SUMIFS('Detalhe Por UC'!$AB:$AB,'Detalhe Por UC'!$C:$C,'Infos Clientes'!$B72,'Detalhe Por UC'!$R:$R,'Infos Clientes'!AJ$2)
+SUMIFS('Detalhe Por UC'!$AC:$AC,'Detalhe Por UC'!$C:$C,'Infos Clientes'!$B72,'Detalhe Por UC'!$R:$R,'Infos Clientes'!AJ$2))</f>
        <v>278</v>
      </c>
      <c r="AK72" s="27">
        <f>IF(SUMIFS('Detalhe Por UC'!$AB:$AB,'Detalhe Por UC'!$C:$C,'Infos Clientes'!$B72,'Detalhe Por UC'!$R:$R,'Infos Clientes'!AK$2)=0,"",
SUMIFS('Detalhe Por UC'!$AB:$AB,'Detalhe Por UC'!$C:$C,'Infos Clientes'!$B72,'Detalhe Por UC'!$R:$R,'Infos Clientes'!AK$2)
+SUMIFS('Detalhe Por UC'!$AC:$AC,'Detalhe Por UC'!$C:$C,'Infos Clientes'!$B72,'Detalhe Por UC'!$R:$R,'Infos Clientes'!AK$2))</f>
        <v>374</v>
      </c>
      <c r="AL72" s="27">
        <f>IF(SUMIFS('Detalhe Por UC'!$AB:$AB,'Detalhe Por UC'!$C:$C,'Infos Clientes'!$B72,'Detalhe Por UC'!$R:$R,'Infos Clientes'!AL$2)=0,"",
SUMIFS('Detalhe Por UC'!$AB:$AB,'Detalhe Por UC'!$C:$C,'Infos Clientes'!$B72,'Detalhe Por UC'!$R:$R,'Infos Clientes'!AL$2)
+SUMIFS('Detalhe Por UC'!$AC:$AC,'Detalhe Por UC'!$C:$C,'Infos Clientes'!$B72,'Detalhe Por UC'!$R:$R,'Infos Clientes'!AL$2))</f>
        <v>359</v>
      </c>
      <c r="AM72" s="27">
        <f>IF(SUMIFS('Detalhe Por UC'!$AB:$AB,'Detalhe Por UC'!$C:$C,'Infos Clientes'!$B72,'Detalhe Por UC'!$R:$R,'Infos Clientes'!AM$2)=0,"",
SUMIFS('Detalhe Por UC'!$AB:$AB,'Detalhe Por UC'!$C:$C,'Infos Clientes'!$B72,'Detalhe Por UC'!$R:$R,'Infos Clientes'!AM$2)
+SUMIFS('Detalhe Por UC'!$AC:$AC,'Detalhe Por UC'!$C:$C,'Infos Clientes'!$B72,'Detalhe Por UC'!$R:$R,'Infos Clientes'!AM$2))</f>
        <v>325</v>
      </c>
      <c r="AN72" s="27">
        <f>IF(SUMIFS('Detalhe Por UC'!$AB:$AB,'Detalhe Por UC'!$C:$C,'Infos Clientes'!$B72,'Detalhe Por UC'!$R:$R,'Infos Clientes'!AN$2)=0,"",
SUMIFS('Detalhe Por UC'!$AB:$AB,'Detalhe Por UC'!$C:$C,'Infos Clientes'!$B72,'Detalhe Por UC'!$R:$R,'Infos Clientes'!AN$2)
+SUMIFS('Detalhe Por UC'!$AC:$AC,'Detalhe Por UC'!$C:$C,'Infos Clientes'!$B72,'Detalhe Por UC'!$R:$R,'Infos Clientes'!AN$2))</f>
        <v>279</v>
      </c>
      <c r="AO72" s="27">
        <f>IF(SUMIFS('Detalhe Por UC'!$AB:$AB,'Detalhe Por UC'!$C:$C,'Infos Clientes'!$B72,'Detalhe Por UC'!$R:$R,'Infos Clientes'!AO$2)=0,"",
SUMIFS('Detalhe Por UC'!$AB:$AB,'Detalhe Por UC'!$C:$C,'Infos Clientes'!$B72,'Detalhe Por UC'!$R:$R,'Infos Clientes'!AO$2)
+SUMIFS('Detalhe Por UC'!$AC:$AC,'Detalhe Por UC'!$C:$C,'Infos Clientes'!$B72,'Detalhe Por UC'!$R:$R,'Infos Clientes'!AO$2))</f>
        <v>228</v>
      </c>
      <c r="AP72" s="27">
        <f>IF(SUMIFS('Detalhe Por UC'!$AB:$AB,'Detalhe Por UC'!$C:$C,'Infos Clientes'!$B72,'Detalhe Por UC'!$R:$R,'Infos Clientes'!AP$2)=0,"",
SUMIFS('Detalhe Por UC'!$AB:$AB,'Detalhe Por UC'!$C:$C,'Infos Clientes'!$B72,'Detalhe Por UC'!$R:$R,'Infos Clientes'!AP$2)
+SUMIFS('Detalhe Por UC'!$AC:$AC,'Detalhe Por UC'!$C:$C,'Infos Clientes'!$B72,'Detalhe Por UC'!$R:$R,'Infos Clientes'!AP$2))</f>
        <v>222</v>
      </c>
      <c r="AQ72" s="27">
        <f>IF(SUMIFS('Detalhe Por UC'!$AB:$AB,'Detalhe Por UC'!$C:$C,'Infos Clientes'!$B72,'Detalhe Por UC'!$R:$R,'Infos Clientes'!AQ$2)=0,"",
SUMIFS('Detalhe Por UC'!$AB:$AB,'Detalhe Por UC'!$C:$C,'Infos Clientes'!$B72,'Detalhe Por UC'!$R:$R,'Infos Clientes'!AQ$2)
+SUMIFS('Detalhe Por UC'!$AC:$AC,'Detalhe Por UC'!$C:$C,'Infos Clientes'!$B72,'Detalhe Por UC'!$R:$R,'Infos Clientes'!AQ$2))</f>
        <v>233</v>
      </c>
      <c r="AR72" s="27">
        <f>IF(SUMIFS('Detalhe Por UC'!$AB:$AB,'Detalhe Por UC'!$C:$C,'Infos Clientes'!$B72,'Detalhe Por UC'!$R:$R,'Infos Clientes'!AR$2)=0,"",
SUMIFS('Detalhe Por UC'!$AB:$AB,'Detalhe Por UC'!$C:$C,'Infos Clientes'!$B72,'Detalhe Por UC'!$R:$R,'Infos Clientes'!AR$2)
+SUMIFS('Detalhe Por UC'!$AC:$AC,'Detalhe Por UC'!$C:$C,'Infos Clientes'!$B72,'Detalhe Por UC'!$R:$R,'Infos Clientes'!AR$2))</f>
        <v>188</v>
      </c>
      <c r="AS72" s="27">
        <f>IF(SUMIFS('Detalhe Por UC'!$AB:$AB,'Detalhe Por UC'!$C:$C,'Infos Clientes'!$B72,'Detalhe Por UC'!$R:$R,'Infos Clientes'!AS$2)=0,"",
SUMIFS('Detalhe Por UC'!$AB:$AB,'Detalhe Por UC'!$C:$C,'Infos Clientes'!$B72,'Detalhe Por UC'!$R:$R,'Infos Clientes'!AS$2)
+SUMIFS('Detalhe Por UC'!$AC:$AC,'Detalhe Por UC'!$C:$C,'Infos Clientes'!$B72,'Detalhe Por UC'!$R:$R,'Infos Clientes'!AS$2))</f>
        <v>284</v>
      </c>
      <c r="AT72" s="27">
        <f>IF(SUMIFS('Detalhe Por UC'!$AB:$AB,'Detalhe Por UC'!$C:$C,'Infos Clientes'!$B72,'Detalhe Por UC'!$R:$R,'Infos Clientes'!AT$2)=0,"",
SUMIFS('Detalhe Por UC'!$AB:$AB,'Detalhe Por UC'!$C:$C,'Infos Clientes'!$B72,'Detalhe Por UC'!$R:$R,'Infos Clientes'!AT$2)
+SUMIFS('Detalhe Por UC'!$AC:$AC,'Detalhe Por UC'!$C:$C,'Infos Clientes'!$B72,'Detalhe Por UC'!$R:$R,'Infos Clientes'!AT$2))</f>
        <v>242</v>
      </c>
      <c r="AU72" s="27" t="str">
        <f>IF(SUMIFS('Detalhe Por UC'!$AB:$AB,'Detalhe Por UC'!$C:$C,'Infos Clientes'!$B72,'Detalhe Por UC'!$R:$R,'Infos Clientes'!AU$2)=0,"",
SUMIFS('Detalhe Por UC'!$AB:$AB,'Detalhe Por UC'!$C:$C,'Infos Clientes'!$B72,'Detalhe Por UC'!$R:$R,'Infos Clientes'!AU$2)
+SUMIFS('Detalhe Por UC'!$AC:$AC,'Detalhe Por UC'!$C:$C,'Infos Clientes'!$B72,'Detalhe Por UC'!$R:$R,'Infos Clientes'!AU$2))</f>
        <v/>
      </c>
    </row>
    <row r="73" spans="2:47" x14ac:dyDescent="0.3">
      <c r="B73" t="s">
        <v>195</v>
      </c>
      <c r="C73" s="14">
        <f t="shared" si="4"/>
        <v>73</v>
      </c>
      <c r="D73" t="s">
        <v>19</v>
      </c>
      <c r="E73" s="15">
        <v>306</v>
      </c>
      <c r="F73" t="s">
        <v>196</v>
      </c>
      <c r="G73" t="s">
        <v>143</v>
      </c>
      <c r="H73" t="str">
        <f t="shared" si="2"/>
        <v>10/395471-6</v>
      </c>
      <c r="I73" s="31" t="s">
        <v>22</v>
      </c>
      <c r="J73" s="31" t="s">
        <v>28</v>
      </c>
      <c r="K73" s="18" t="s">
        <v>138</v>
      </c>
      <c r="M73" s="32">
        <v>0.25</v>
      </c>
      <c r="Q73" s="22">
        <f>IF(_xlfn.MINIFS('Detalhe Por UC'!R:R,'Detalhe Por UC'!C:C,B73,'Detalhe Por UC'!AD:AD,"&gt;"&amp;0)=0,"",_xlfn.MINIFS('Detalhe Por UC'!R:R,'Detalhe Por UC'!C:C,B73,'Detalhe Por UC'!AD:AD,"&gt;"&amp;0))</f>
        <v>45658</v>
      </c>
      <c r="R73" s="23">
        <f>IF(P73&lt;&gt;"ATIVO",0,
IF(OR(Q73="",Q73=0,O73=0),O73,
O73-ROUND((MAX('Detalhe Por UC'!R:R)
-Q73)/(365/12),0)))</f>
        <v>0</v>
      </c>
      <c r="T73" s="29">
        <v>249.81818181818181</v>
      </c>
      <c r="U73" s="24">
        <f t="shared" si="3"/>
        <v>317.58333333333331</v>
      </c>
      <c r="X73">
        <v>121</v>
      </c>
      <c r="Y73">
        <v>124</v>
      </c>
      <c r="Z73">
        <v>322</v>
      </c>
      <c r="AA73">
        <v>352</v>
      </c>
      <c r="AB73">
        <v>0</v>
      </c>
      <c r="AC73">
        <v>93</v>
      </c>
      <c r="AD73">
        <v>171</v>
      </c>
      <c r="AE73">
        <v>167</v>
      </c>
      <c r="AF73">
        <v>198</v>
      </c>
      <c r="AG73">
        <v>239</v>
      </c>
      <c r="AH73">
        <v>271</v>
      </c>
      <c r="AI73" s="25">
        <v>359</v>
      </c>
      <c r="AJ73" s="27">
        <f>IF(SUMIFS('Detalhe Por UC'!$AB:$AB,'Detalhe Por UC'!$C:$C,'Infos Clientes'!$B73,'Detalhe Por UC'!$R:$R,'Infos Clientes'!AJ$2)=0,"",
SUMIFS('Detalhe Por UC'!$AB:$AB,'Detalhe Por UC'!$C:$C,'Infos Clientes'!$B73,'Detalhe Por UC'!$R:$R,'Infos Clientes'!AJ$2)
+SUMIFS('Detalhe Por UC'!$AC:$AC,'Detalhe Por UC'!$C:$C,'Infos Clientes'!$B73,'Detalhe Por UC'!$R:$R,'Infos Clientes'!AJ$2))</f>
        <v>452</v>
      </c>
      <c r="AK73" s="27">
        <f>IF(SUMIFS('Detalhe Por UC'!$AB:$AB,'Detalhe Por UC'!$C:$C,'Infos Clientes'!$B73,'Detalhe Por UC'!$R:$R,'Infos Clientes'!AK$2)=0,"",
SUMIFS('Detalhe Por UC'!$AB:$AB,'Detalhe Por UC'!$C:$C,'Infos Clientes'!$B73,'Detalhe Por UC'!$R:$R,'Infos Clientes'!AK$2)
+SUMIFS('Detalhe Por UC'!$AC:$AC,'Detalhe Por UC'!$C:$C,'Infos Clientes'!$B73,'Detalhe Por UC'!$R:$R,'Infos Clientes'!AK$2))</f>
        <v>406</v>
      </c>
      <c r="AL73" s="27">
        <f>IF(SUMIFS('Detalhe Por UC'!$AB:$AB,'Detalhe Por UC'!$C:$C,'Infos Clientes'!$B73,'Detalhe Por UC'!$R:$R,'Infos Clientes'!AL$2)=0,"",
SUMIFS('Detalhe Por UC'!$AB:$AB,'Detalhe Por UC'!$C:$C,'Infos Clientes'!$B73,'Detalhe Por UC'!$R:$R,'Infos Clientes'!AL$2)
+SUMIFS('Detalhe Por UC'!$AC:$AC,'Detalhe Por UC'!$C:$C,'Infos Clientes'!$B73,'Detalhe Por UC'!$R:$R,'Infos Clientes'!AL$2))</f>
        <v>499</v>
      </c>
      <c r="AM73" s="27">
        <f>IF(SUMIFS('Detalhe Por UC'!$AB:$AB,'Detalhe Por UC'!$C:$C,'Infos Clientes'!$B73,'Detalhe Por UC'!$R:$R,'Infos Clientes'!AM$2)=0,"",
SUMIFS('Detalhe Por UC'!$AB:$AB,'Detalhe Por UC'!$C:$C,'Infos Clientes'!$B73,'Detalhe Por UC'!$R:$R,'Infos Clientes'!AM$2)
+SUMIFS('Detalhe Por UC'!$AC:$AC,'Detalhe Por UC'!$C:$C,'Infos Clientes'!$B73,'Detalhe Por UC'!$R:$R,'Infos Clientes'!AM$2))</f>
        <v>306</v>
      </c>
      <c r="AN73" s="27">
        <f>IF(SUMIFS('Detalhe Por UC'!$AB:$AB,'Detalhe Por UC'!$C:$C,'Infos Clientes'!$B73,'Detalhe Por UC'!$R:$R,'Infos Clientes'!AN$2)=0,"",
SUMIFS('Detalhe Por UC'!$AB:$AB,'Detalhe Por UC'!$C:$C,'Infos Clientes'!$B73,'Detalhe Por UC'!$R:$R,'Infos Clientes'!AN$2)
+SUMIFS('Detalhe Por UC'!$AC:$AC,'Detalhe Por UC'!$C:$C,'Infos Clientes'!$B73,'Detalhe Por UC'!$R:$R,'Infos Clientes'!AN$2))</f>
        <v>245</v>
      </c>
      <c r="AO73" s="27">
        <f>IF(SUMIFS('Detalhe Por UC'!$AB:$AB,'Detalhe Por UC'!$C:$C,'Infos Clientes'!$B73,'Detalhe Por UC'!$R:$R,'Infos Clientes'!AO$2)=0,"",
SUMIFS('Detalhe Por UC'!$AB:$AB,'Detalhe Por UC'!$C:$C,'Infos Clientes'!$B73,'Detalhe Por UC'!$R:$R,'Infos Clientes'!AO$2)
+SUMIFS('Detalhe Por UC'!$AC:$AC,'Detalhe Por UC'!$C:$C,'Infos Clientes'!$B73,'Detalhe Por UC'!$R:$R,'Infos Clientes'!AO$2))</f>
        <v>232</v>
      </c>
      <c r="AP73" s="27">
        <f>IF(SUMIFS('Detalhe Por UC'!$AB:$AB,'Detalhe Por UC'!$C:$C,'Infos Clientes'!$B73,'Detalhe Por UC'!$R:$R,'Infos Clientes'!AP$2)=0,"",
SUMIFS('Detalhe Por UC'!$AB:$AB,'Detalhe Por UC'!$C:$C,'Infos Clientes'!$B73,'Detalhe Por UC'!$R:$R,'Infos Clientes'!AP$2)
+SUMIFS('Detalhe Por UC'!$AC:$AC,'Detalhe Por UC'!$C:$C,'Infos Clientes'!$B73,'Detalhe Por UC'!$R:$R,'Infos Clientes'!AP$2))</f>
        <v>220</v>
      </c>
      <c r="AQ73" s="27">
        <f>IF(SUMIFS('Detalhe Por UC'!$AB:$AB,'Detalhe Por UC'!$C:$C,'Infos Clientes'!$B73,'Detalhe Por UC'!$R:$R,'Infos Clientes'!AQ$2)=0,"",
SUMIFS('Detalhe Por UC'!$AB:$AB,'Detalhe Por UC'!$C:$C,'Infos Clientes'!$B73,'Detalhe Por UC'!$R:$R,'Infos Clientes'!AQ$2)
+SUMIFS('Detalhe Por UC'!$AC:$AC,'Detalhe Por UC'!$C:$C,'Infos Clientes'!$B73,'Detalhe Por UC'!$R:$R,'Infos Clientes'!AQ$2))</f>
        <v>207</v>
      </c>
      <c r="AR73" s="27">
        <f>IF(SUMIFS('Detalhe Por UC'!$AB:$AB,'Detalhe Por UC'!$C:$C,'Infos Clientes'!$B73,'Detalhe Por UC'!$R:$R,'Infos Clientes'!AR$2)=0,"",
SUMIFS('Detalhe Por UC'!$AB:$AB,'Detalhe Por UC'!$C:$C,'Infos Clientes'!$B73,'Detalhe Por UC'!$R:$R,'Infos Clientes'!AR$2)
+SUMIFS('Detalhe Por UC'!$AC:$AC,'Detalhe Por UC'!$C:$C,'Infos Clientes'!$B73,'Detalhe Por UC'!$R:$R,'Infos Clientes'!AR$2))</f>
        <v>249</v>
      </c>
      <c r="AS73" s="27">
        <f>IF(SUMIFS('Detalhe Por UC'!$AB:$AB,'Detalhe Por UC'!$C:$C,'Infos Clientes'!$B73,'Detalhe Por UC'!$R:$R,'Infos Clientes'!AS$2)=0,"",
SUMIFS('Detalhe Por UC'!$AB:$AB,'Detalhe Por UC'!$C:$C,'Infos Clientes'!$B73,'Detalhe Por UC'!$R:$R,'Infos Clientes'!AS$2)
+SUMIFS('Detalhe Por UC'!$AC:$AC,'Detalhe Por UC'!$C:$C,'Infos Clientes'!$B73,'Detalhe Por UC'!$R:$R,'Infos Clientes'!AS$2))</f>
        <v>343</v>
      </c>
      <c r="AT73" s="27">
        <f>IF(SUMIFS('Detalhe Por UC'!$AB:$AB,'Detalhe Por UC'!$C:$C,'Infos Clientes'!$B73,'Detalhe Por UC'!$R:$R,'Infos Clientes'!AT$2)=0,"",
SUMIFS('Detalhe Por UC'!$AB:$AB,'Detalhe Por UC'!$C:$C,'Infos Clientes'!$B73,'Detalhe Por UC'!$R:$R,'Infos Clientes'!AT$2)
+SUMIFS('Detalhe Por UC'!$AC:$AC,'Detalhe Por UC'!$C:$C,'Infos Clientes'!$B73,'Detalhe Por UC'!$R:$R,'Infos Clientes'!AT$2))</f>
        <v>293</v>
      </c>
      <c r="AU73" s="27" t="str">
        <f>IF(SUMIFS('Detalhe Por UC'!$AB:$AB,'Detalhe Por UC'!$C:$C,'Infos Clientes'!$B73,'Detalhe Por UC'!$R:$R,'Infos Clientes'!AU$2)=0,"",
SUMIFS('Detalhe Por UC'!$AB:$AB,'Detalhe Por UC'!$C:$C,'Infos Clientes'!$B73,'Detalhe Por UC'!$R:$R,'Infos Clientes'!AU$2)
+SUMIFS('Detalhe Por UC'!$AC:$AC,'Detalhe Por UC'!$C:$C,'Infos Clientes'!$B73,'Detalhe Por UC'!$R:$R,'Infos Clientes'!AU$2))</f>
        <v/>
      </c>
    </row>
    <row r="74" spans="2:47" x14ac:dyDescent="0.3">
      <c r="B74" t="s">
        <v>197</v>
      </c>
      <c r="C74" s="14">
        <f t="shared" si="4"/>
        <v>74</v>
      </c>
      <c r="D74" t="s">
        <v>19</v>
      </c>
      <c r="E74" s="15">
        <v>306</v>
      </c>
      <c r="F74" t="s">
        <v>198</v>
      </c>
      <c r="G74" t="s">
        <v>143</v>
      </c>
      <c r="H74" t="str">
        <f t="shared" si="2"/>
        <v>10/399338-3</v>
      </c>
      <c r="I74" s="31" t="s">
        <v>22</v>
      </c>
      <c r="J74" s="31" t="s">
        <v>28</v>
      </c>
      <c r="K74" s="18" t="s">
        <v>138</v>
      </c>
      <c r="M74" s="32">
        <v>0.25</v>
      </c>
      <c r="Q74" s="22">
        <f>IF(_xlfn.MINIFS('Detalhe Por UC'!R:R,'Detalhe Por UC'!C:C,B74,'Detalhe Por UC'!AD:AD,"&gt;"&amp;0)=0,"",_xlfn.MINIFS('Detalhe Por UC'!R:R,'Detalhe Por UC'!C:C,B74,'Detalhe Por UC'!AD:AD,"&gt;"&amp;0))</f>
        <v>45658</v>
      </c>
      <c r="R74" s="23">
        <f>IF(P74&lt;&gt;"ATIVO",0,
IF(OR(Q74="",Q74=0,O74=0),O74,
O74-ROUND((MAX('Detalhe Por UC'!R:R)
-Q74)/(365/12),0)))</f>
        <v>0</v>
      </c>
      <c r="T74" s="29">
        <v>659.09090909090912</v>
      </c>
      <c r="U74" s="24">
        <f t="shared" si="3"/>
        <v>505.58333333333331</v>
      </c>
      <c r="X74">
        <v>533</v>
      </c>
      <c r="Y74">
        <v>726</v>
      </c>
      <c r="Z74">
        <v>984</v>
      </c>
      <c r="AA74">
        <v>828</v>
      </c>
      <c r="AB74">
        <v>0</v>
      </c>
      <c r="AC74">
        <v>560</v>
      </c>
      <c r="AD74">
        <v>336</v>
      </c>
      <c r="AE74">
        <v>465</v>
      </c>
      <c r="AF74">
        <v>501</v>
      </c>
      <c r="AG74">
        <v>735</v>
      </c>
      <c r="AH74">
        <v>648</v>
      </c>
      <c r="AI74" s="25">
        <v>895</v>
      </c>
      <c r="AJ74" s="27">
        <f>IF(SUMIFS('Detalhe Por UC'!$AB:$AB,'Detalhe Por UC'!$C:$C,'Infos Clientes'!$B74,'Detalhe Por UC'!$R:$R,'Infos Clientes'!AJ$2)=0,"",
SUMIFS('Detalhe Por UC'!$AB:$AB,'Detalhe Por UC'!$C:$C,'Infos Clientes'!$B74,'Detalhe Por UC'!$R:$R,'Infos Clientes'!AJ$2)
+SUMIFS('Detalhe Por UC'!$AC:$AC,'Detalhe Por UC'!$C:$C,'Infos Clientes'!$B74,'Detalhe Por UC'!$R:$R,'Infos Clientes'!AJ$2))</f>
        <v>572</v>
      </c>
      <c r="AK74" s="27">
        <f>IF(SUMIFS('Detalhe Por UC'!$AB:$AB,'Detalhe Por UC'!$C:$C,'Infos Clientes'!$B74,'Detalhe Por UC'!$R:$R,'Infos Clientes'!AK$2)=0,"",
SUMIFS('Detalhe Por UC'!$AB:$AB,'Detalhe Por UC'!$C:$C,'Infos Clientes'!$B74,'Detalhe Por UC'!$R:$R,'Infos Clientes'!AK$2)
+SUMIFS('Detalhe Por UC'!$AC:$AC,'Detalhe Por UC'!$C:$C,'Infos Clientes'!$B74,'Detalhe Por UC'!$R:$R,'Infos Clientes'!AK$2))</f>
        <v>639</v>
      </c>
      <c r="AL74" s="27">
        <f>IF(SUMIFS('Detalhe Por UC'!$AB:$AB,'Detalhe Por UC'!$C:$C,'Infos Clientes'!$B74,'Detalhe Por UC'!$R:$R,'Infos Clientes'!AL$2)=0,"",
SUMIFS('Detalhe Por UC'!$AB:$AB,'Detalhe Por UC'!$C:$C,'Infos Clientes'!$B74,'Detalhe Por UC'!$R:$R,'Infos Clientes'!AL$2)
+SUMIFS('Detalhe Por UC'!$AC:$AC,'Detalhe Por UC'!$C:$C,'Infos Clientes'!$B74,'Detalhe Por UC'!$R:$R,'Infos Clientes'!AL$2))</f>
        <v>757</v>
      </c>
      <c r="AM74" s="27">
        <f>IF(SUMIFS('Detalhe Por UC'!$AB:$AB,'Detalhe Por UC'!$C:$C,'Infos Clientes'!$B74,'Detalhe Por UC'!$R:$R,'Infos Clientes'!AM$2)=0,"",
SUMIFS('Detalhe Por UC'!$AB:$AB,'Detalhe Por UC'!$C:$C,'Infos Clientes'!$B74,'Detalhe Por UC'!$R:$R,'Infos Clientes'!AM$2)
+SUMIFS('Detalhe Por UC'!$AC:$AC,'Detalhe Por UC'!$C:$C,'Infos Clientes'!$B74,'Detalhe Por UC'!$R:$R,'Infos Clientes'!AM$2))</f>
        <v>605</v>
      </c>
      <c r="AN74" s="27">
        <f>IF(SUMIFS('Detalhe Por UC'!$AB:$AB,'Detalhe Por UC'!$C:$C,'Infos Clientes'!$B74,'Detalhe Por UC'!$R:$R,'Infos Clientes'!AN$2)=0,"",
SUMIFS('Detalhe Por UC'!$AB:$AB,'Detalhe Por UC'!$C:$C,'Infos Clientes'!$B74,'Detalhe Por UC'!$R:$R,'Infos Clientes'!AN$2)
+SUMIFS('Detalhe Por UC'!$AC:$AC,'Detalhe Por UC'!$C:$C,'Infos Clientes'!$B74,'Detalhe Por UC'!$R:$R,'Infos Clientes'!AN$2))</f>
        <v>422</v>
      </c>
      <c r="AO74" s="27">
        <f>IF(SUMIFS('Detalhe Por UC'!$AB:$AB,'Detalhe Por UC'!$C:$C,'Infos Clientes'!$B74,'Detalhe Por UC'!$R:$R,'Infos Clientes'!AO$2)=0,"",
SUMIFS('Detalhe Por UC'!$AB:$AB,'Detalhe Por UC'!$C:$C,'Infos Clientes'!$B74,'Detalhe Por UC'!$R:$R,'Infos Clientes'!AO$2)
+SUMIFS('Detalhe Por UC'!$AC:$AC,'Detalhe Por UC'!$C:$C,'Infos Clientes'!$B74,'Detalhe Por UC'!$R:$R,'Infos Clientes'!AO$2))</f>
        <v>313</v>
      </c>
      <c r="AP74" s="27">
        <f>IF(SUMIFS('Detalhe Por UC'!$AB:$AB,'Detalhe Por UC'!$C:$C,'Infos Clientes'!$B74,'Detalhe Por UC'!$R:$R,'Infos Clientes'!AP$2)=0,"",
SUMIFS('Detalhe Por UC'!$AB:$AB,'Detalhe Por UC'!$C:$C,'Infos Clientes'!$B74,'Detalhe Por UC'!$R:$R,'Infos Clientes'!AP$2)
+SUMIFS('Detalhe Por UC'!$AC:$AC,'Detalhe Por UC'!$C:$C,'Infos Clientes'!$B74,'Detalhe Por UC'!$R:$R,'Infos Clientes'!AP$2))</f>
        <v>241</v>
      </c>
      <c r="AQ74" s="27">
        <f>IF(SUMIFS('Detalhe Por UC'!$AB:$AB,'Detalhe Por UC'!$C:$C,'Infos Clientes'!$B74,'Detalhe Por UC'!$R:$R,'Infos Clientes'!AQ$2)=0,"",
SUMIFS('Detalhe Por UC'!$AB:$AB,'Detalhe Por UC'!$C:$C,'Infos Clientes'!$B74,'Detalhe Por UC'!$R:$R,'Infos Clientes'!AQ$2)
+SUMIFS('Detalhe Por UC'!$AC:$AC,'Detalhe Por UC'!$C:$C,'Infos Clientes'!$B74,'Detalhe Por UC'!$R:$R,'Infos Clientes'!AQ$2))</f>
        <v>238</v>
      </c>
      <c r="AR74" s="27">
        <f>IF(SUMIFS('Detalhe Por UC'!$AB:$AB,'Detalhe Por UC'!$C:$C,'Infos Clientes'!$B74,'Detalhe Por UC'!$R:$R,'Infos Clientes'!AR$2)=0,"",
SUMIFS('Detalhe Por UC'!$AB:$AB,'Detalhe Por UC'!$C:$C,'Infos Clientes'!$B74,'Detalhe Por UC'!$R:$R,'Infos Clientes'!AR$2)
+SUMIFS('Detalhe Por UC'!$AC:$AC,'Detalhe Por UC'!$C:$C,'Infos Clientes'!$B74,'Detalhe Por UC'!$R:$R,'Infos Clientes'!AR$2))</f>
        <v>393</v>
      </c>
      <c r="AS74" s="27">
        <f>IF(SUMIFS('Detalhe Por UC'!$AB:$AB,'Detalhe Por UC'!$C:$C,'Infos Clientes'!$B74,'Detalhe Por UC'!$R:$R,'Infos Clientes'!AS$2)=0,"",
SUMIFS('Detalhe Por UC'!$AB:$AB,'Detalhe Por UC'!$C:$C,'Infos Clientes'!$B74,'Detalhe Por UC'!$R:$R,'Infos Clientes'!AS$2)
+SUMIFS('Detalhe Por UC'!$AC:$AC,'Detalhe Por UC'!$C:$C,'Infos Clientes'!$B74,'Detalhe Por UC'!$R:$R,'Infos Clientes'!AS$2))</f>
        <v>490</v>
      </c>
      <c r="AT74" s="27">
        <f>IF(SUMIFS('Detalhe Por UC'!$AB:$AB,'Detalhe Por UC'!$C:$C,'Infos Clientes'!$B74,'Detalhe Por UC'!$R:$R,'Infos Clientes'!AT$2)=0,"",
SUMIFS('Detalhe Por UC'!$AB:$AB,'Detalhe Por UC'!$C:$C,'Infos Clientes'!$B74,'Detalhe Por UC'!$R:$R,'Infos Clientes'!AT$2)
+SUMIFS('Detalhe Por UC'!$AC:$AC,'Detalhe Por UC'!$C:$C,'Infos Clientes'!$B74,'Detalhe Por UC'!$R:$R,'Infos Clientes'!AT$2))</f>
        <v>502</v>
      </c>
      <c r="AU74" s="27" t="str">
        <f>IF(SUMIFS('Detalhe Por UC'!$AB:$AB,'Detalhe Por UC'!$C:$C,'Infos Clientes'!$B74,'Detalhe Por UC'!$R:$R,'Infos Clientes'!AU$2)=0,"",
SUMIFS('Detalhe Por UC'!$AB:$AB,'Detalhe Por UC'!$C:$C,'Infos Clientes'!$B74,'Detalhe Por UC'!$R:$R,'Infos Clientes'!AU$2)
+SUMIFS('Detalhe Por UC'!$AC:$AC,'Detalhe Por UC'!$C:$C,'Infos Clientes'!$B74,'Detalhe Por UC'!$R:$R,'Infos Clientes'!AU$2))</f>
        <v/>
      </c>
    </row>
    <row r="75" spans="2:47" x14ac:dyDescent="0.3">
      <c r="B75" t="s">
        <v>199</v>
      </c>
      <c r="C75" s="14">
        <f t="shared" si="4"/>
        <v>75</v>
      </c>
      <c r="D75" t="s">
        <v>19</v>
      </c>
      <c r="E75" s="15">
        <v>319</v>
      </c>
      <c r="F75" t="s">
        <v>200</v>
      </c>
      <c r="G75" t="s">
        <v>143</v>
      </c>
      <c r="H75" t="str">
        <f t="shared" si="2"/>
        <v>10/40190-1</v>
      </c>
      <c r="I75" s="31" t="s">
        <v>22</v>
      </c>
      <c r="J75" s="31" t="s">
        <v>23</v>
      </c>
      <c r="K75" s="18" t="s">
        <v>138</v>
      </c>
      <c r="M75" s="32">
        <v>0.25</v>
      </c>
      <c r="Q75" s="22">
        <f>IF(_xlfn.MINIFS('Detalhe Por UC'!R:R,'Detalhe Por UC'!C:C,B75,'Detalhe Por UC'!AD:AD,"&gt;"&amp;0)=0,"",_xlfn.MINIFS('Detalhe Por UC'!R:R,'Detalhe Por UC'!C:C,B75,'Detalhe Por UC'!AD:AD,"&gt;"&amp;0))</f>
        <v>45658</v>
      </c>
      <c r="R75" s="23">
        <f>IF(P75&lt;&gt;"ATIVO",0,
IF(OR(Q75="",Q75=0,O75=0),O75,
O75-ROUND((MAX('Detalhe Por UC'!R:R)
-Q75)/(365/12),0)))</f>
        <v>0</v>
      </c>
      <c r="T75" s="29">
        <v>336.36363636363637</v>
      </c>
      <c r="U75" s="24">
        <f t="shared" si="3"/>
        <v>321.88888888888891</v>
      </c>
      <c r="X75">
        <v>399</v>
      </c>
      <c r="Y75">
        <v>356</v>
      </c>
      <c r="Z75">
        <v>382</v>
      </c>
      <c r="AA75">
        <v>343</v>
      </c>
      <c r="AB75">
        <v>0</v>
      </c>
      <c r="AC75">
        <v>292</v>
      </c>
      <c r="AD75">
        <v>330</v>
      </c>
      <c r="AE75">
        <v>321</v>
      </c>
      <c r="AF75">
        <v>327</v>
      </c>
      <c r="AG75">
        <v>342</v>
      </c>
      <c r="AH75">
        <v>327</v>
      </c>
      <c r="AI75" s="25">
        <v>334</v>
      </c>
      <c r="AJ75" s="27">
        <f>IF(SUMIFS('Detalhe Por UC'!$AB:$AB,'Detalhe Por UC'!$C:$C,'Infos Clientes'!$B75,'Detalhe Por UC'!$R:$R,'Infos Clientes'!AJ$2)=0,"",
SUMIFS('Detalhe Por UC'!$AB:$AB,'Detalhe Por UC'!$C:$C,'Infos Clientes'!$B75,'Detalhe Por UC'!$R:$R,'Infos Clientes'!AJ$2)
+SUMIFS('Detalhe Por UC'!$AC:$AC,'Detalhe Por UC'!$C:$C,'Infos Clientes'!$B75,'Detalhe Por UC'!$R:$R,'Infos Clientes'!AJ$2))</f>
        <v>346</v>
      </c>
      <c r="AK75" s="27">
        <f>IF(SUMIFS('Detalhe Por UC'!$AB:$AB,'Detalhe Por UC'!$C:$C,'Infos Clientes'!$B75,'Detalhe Por UC'!$R:$R,'Infos Clientes'!AK$2)=0,"",
SUMIFS('Detalhe Por UC'!$AB:$AB,'Detalhe Por UC'!$C:$C,'Infos Clientes'!$B75,'Detalhe Por UC'!$R:$R,'Infos Clientes'!AK$2)
+SUMIFS('Detalhe Por UC'!$AC:$AC,'Detalhe Por UC'!$C:$C,'Infos Clientes'!$B75,'Detalhe Por UC'!$R:$R,'Infos Clientes'!AK$2))</f>
        <v>339</v>
      </c>
      <c r="AL75" s="27">
        <f>IF(SUMIFS('Detalhe Por UC'!$AB:$AB,'Detalhe Por UC'!$C:$C,'Infos Clientes'!$B75,'Detalhe Por UC'!$R:$R,'Infos Clientes'!AL$2)=0,"",
SUMIFS('Detalhe Por UC'!$AB:$AB,'Detalhe Por UC'!$C:$C,'Infos Clientes'!$B75,'Detalhe Por UC'!$R:$R,'Infos Clientes'!AL$2)
+SUMIFS('Detalhe Por UC'!$AC:$AC,'Detalhe Por UC'!$C:$C,'Infos Clientes'!$B75,'Detalhe Por UC'!$R:$R,'Infos Clientes'!AL$2))</f>
        <v>307</v>
      </c>
      <c r="AM75" s="27">
        <f>IF(SUMIFS('Detalhe Por UC'!$AB:$AB,'Detalhe Por UC'!$C:$C,'Infos Clientes'!$B75,'Detalhe Por UC'!$R:$R,'Infos Clientes'!AM$2)=0,"",
SUMIFS('Detalhe Por UC'!$AB:$AB,'Detalhe Por UC'!$C:$C,'Infos Clientes'!$B75,'Detalhe Por UC'!$R:$R,'Infos Clientes'!AM$2)
+SUMIFS('Detalhe Por UC'!$AC:$AC,'Detalhe Por UC'!$C:$C,'Infos Clientes'!$B75,'Detalhe Por UC'!$R:$R,'Infos Clientes'!AM$2))</f>
        <v>317</v>
      </c>
      <c r="AN75" s="27">
        <f>IF(SUMIFS('Detalhe Por UC'!$AB:$AB,'Detalhe Por UC'!$C:$C,'Infos Clientes'!$B75,'Detalhe Por UC'!$R:$R,'Infos Clientes'!AN$2)=0,"",
SUMIFS('Detalhe Por UC'!$AB:$AB,'Detalhe Por UC'!$C:$C,'Infos Clientes'!$B75,'Detalhe Por UC'!$R:$R,'Infos Clientes'!AN$2)
+SUMIFS('Detalhe Por UC'!$AC:$AC,'Detalhe Por UC'!$C:$C,'Infos Clientes'!$B75,'Detalhe Por UC'!$R:$R,'Infos Clientes'!AN$2))</f>
        <v>345</v>
      </c>
      <c r="AO75" s="27">
        <f>IF(SUMIFS('Detalhe Por UC'!$AB:$AB,'Detalhe Por UC'!$C:$C,'Infos Clientes'!$B75,'Detalhe Por UC'!$R:$R,'Infos Clientes'!AO$2)=0,"",
SUMIFS('Detalhe Por UC'!$AB:$AB,'Detalhe Por UC'!$C:$C,'Infos Clientes'!$B75,'Detalhe Por UC'!$R:$R,'Infos Clientes'!AO$2)
+SUMIFS('Detalhe Por UC'!$AC:$AC,'Detalhe Por UC'!$C:$C,'Infos Clientes'!$B75,'Detalhe Por UC'!$R:$R,'Infos Clientes'!AO$2))</f>
        <v>284</v>
      </c>
      <c r="AP75" s="27">
        <f>IF(SUMIFS('Detalhe Por UC'!$AB:$AB,'Detalhe Por UC'!$C:$C,'Infos Clientes'!$B75,'Detalhe Por UC'!$R:$R,'Infos Clientes'!AP$2)=0,"",
SUMIFS('Detalhe Por UC'!$AB:$AB,'Detalhe Por UC'!$C:$C,'Infos Clientes'!$B75,'Detalhe Por UC'!$R:$R,'Infos Clientes'!AP$2)
+SUMIFS('Detalhe Por UC'!$AC:$AC,'Detalhe Por UC'!$C:$C,'Infos Clientes'!$B75,'Detalhe Por UC'!$R:$R,'Infos Clientes'!AP$2))</f>
        <v>259</v>
      </c>
      <c r="AQ75" s="27" t="str">
        <f>IF(SUMIFS('Detalhe Por UC'!$AB:$AB,'Detalhe Por UC'!$C:$C,'Infos Clientes'!$B75,'Detalhe Por UC'!$R:$R,'Infos Clientes'!AQ$2)=0,"",
SUMIFS('Detalhe Por UC'!$AB:$AB,'Detalhe Por UC'!$C:$C,'Infos Clientes'!$B75,'Detalhe Por UC'!$R:$R,'Infos Clientes'!AQ$2)
+SUMIFS('Detalhe Por UC'!$AC:$AC,'Detalhe Por UC'!$C:$C,'Infos Clientes'!$B75,'Detalhe Por UC'!$R:$R,'Infos Clientes'!AQ$2))</f>
        <v/>
      </c>
      <c r="AR75" s="27" t="str">
        <f>IF(SUMIFS('Detalhe Por UC'!$AB:$AB,'Detalhe Por UC'!$C:$C,'Infos Clientes'!$B75,'Detalhe Por UC'!$R:$R,'Infos Clientes'!AR$2)=0,"",
SUMIFS('Detalhe Por UC'!$AB:$AB,'Detalhe Por UC'!$C:$C,'Infos Clientes'!$B75,'Detalhe Por UC'!$R:$R,'Infos Clientes'!AR$2)
+SUMIFS('Detalhe Por UC'!$AC:$AC,'Detalhe Por UC'!$C:$C,'Infos Clientes'!$B75,'Detalhe Por UC'!$R:$R,'Infos Clientes'!AR$2))</f>
        <v/>
      </c>
      <c r="AS75" s="27">
        <f>IF(SUMIFS('Detalhe Por UC'!$AB:$AB,'Detalhe Por UC'!$C:$C,'Infos Clientes'!$B75,'Detalhe Por UC'!$R:$R,'Infos Clientes'!AS$2)=0,"",
SUMIFS('Detalhe Por UC'!$AB:$AB,'Detalhe Por UC'!$C:$C,'Infos Clientes'!$B75,'Detalhe Por UC'!$R:$R,'Infos Clientes'!AS$2)
+SUMIFS('Detalhe Por UC'!$AC:$AC,'Detalhe Por UC'!$C:$C,'Infos Clientes'!$B75,'Detalhe Por UC'!$R:$R,'Infos Clientes'!AS$2))</f>
        <v>366</v>
      </c>
      <c r="AT75" s="27" t="str">
        <f>IF(SUMIFS('Detalhe Por UC'!$AB:$AB,'Detalhe Por UC'!$C:$C,'Infos Clientes'!$B75,'Detalhe Por UC'!$R:$R,'Infos Clientes'!AT$2)=0,"",
SUMIFS('Detalhe Por UC'!$AB:$AB,'Detalhe Por UC'!$C:$C,'Infos Clientes'!$B75,'Detalhe Por UC'!$R:$R,'Infos Clientes'!AT$2)
+SUMIFS('Detalhe Por UC'!$AC:$AC,'Detalhe Por UC'!$C:$C,'Infos Clientes'!$B75,'Detalhe Por UC'!$R:$R,'Infos Clientes'!AT$2))</f>
        <v/>
      </c>
      <c r="AU75" s="27" t="str">
        <f>IF(SUMIFS('Detalhe Por UC'!$AB:$AB,'Detalhe Por UC'!$C:$C,'Infos Clientes'!$B75,'Detalhe Por UC'!$R:$R,'Infos Clientes'!AU$2)=0,"",
SUMIFS('Detalhe Por UC'!$AB:$AB,'Detalhe Por UC'!$C:$C,'Infos Clientes'!$B75,'Detalhe Por UC'!$R:$R,'Infos Clientes'!AU$2)
+SUMIFS('Detalhe Por UC'!$AC:$AC,'Detalhe Por UC'!$C:$C,'Infos Clientes'!$B75,'Detalhe Por UC'!$R:$R,'Infos Clientes'!AU$2))</f>
        <v/>
      </c>
    </row>
    <row r="76" spans="2:47" x14ac:dyDescent="0.3">
      <c r="B76" t="s">
        <v>201</v>
      </c>
      <c r="C76" s="14">
        <f t="shared" si="4"/>
        <v>76</v>
      </c>
      <c r="D76" t="s">
        <v>19</v>
      </c>
      <c r="E76" s="15">
        <v>319</v>
      </c>
      <c r="F76" t="s">
        <v>202</v>
      </c>
      <c r="G76" t="s">
        <v>143</v>
      </c>
      <c r="H76" t="str">
        <f t="shared" si="2"/>
        <v>10/41548-9</v>
      </c>
      <c r="I76" s="31" t="s">
        <v>22</v>
      </c>
      <c r="J76" s="31" t="s">
        <v>23</v>
      </c>
      <c r="K76" s="18" t="s">
        <v>138</v>
      </c>
      <c r="M76" s="32">
        <v>0.25</v>
      </c>
      <c r="Q76" s="22">
        <f>IF(_xlfn.MINIFS('Detalhe Por UC'!R:R,'Detalhe Por UC'!C:C,B76,'Detalhe Por UC'!AD:AD,"&gt;"&amp;0)=0,"",_xlfn.MINIFS('Detalhe Por UC'!R:R,'Detalhe Por UC'!C:C,B76,'Detalhe Por UC'!AD:AD,"&gt;"&amp;0))</f>
        <v>45658</v>
      </c>
      <c r="R76" s="23">
        <f>IF(P76&lt;&gt;"ATIVO",0,
IF(OR(Q76="",Q76=0,O76=0),O76,
O76-ROUND((MAX('Detalhe Por UC'!R:R)
-Q76)/(365/12),0)))</f>
        <v>0</v>
      </c>
      <c r="T76" s="29">
        <v>293</v>
      </c>
      <c r="U76" s="24">
        <f t="shared" si="3"/>
        <v>271.41666666666669</v>
      </c>
      <c r="X76">
        <v>281</v>
      </c>
      <c r="Y76">
        <v>340</v>
      </c>
      <c r="Z76">
        <v>414</v>
      </c>
      <c r="AA76">
        <v>435</v>
      </c>
      <c r="AB76">
        <v>0</v>
      </c>
      <c r="AC76">
        <v>196</v>
      </c>
      <c r="AD76">
        <v>135</v>
      </c>
      <c r="AE76">
        <v>137</v>
      </c>
      <c r="AF76">
        <v>173</v>
      </c>
      <c r="AG76">
        <v>313</v>
      </c>
      <c r="AH76">
        <v>340</v>
      </c>
      <c r="AI76" s="25">
        <v>422</v>
      </c>
      <c r="AJ76" s="27">
        <f>IF(SUMIFS('Detalhe Por UC'!$AB:$AB,'Detalhe Por UC'!$C:$C,'Infos Clientes'!$B76,'Detalhe Por UC'!$R:$R,'Infos Clientes'!AJ$2)=0,"",
SUMIFS('Detalhe Por UC'!$AB:$AB,'Detalhe Por UC'!$C:$C,'Infos Clientes'!$B76,'Detalhe Por UC'!$R:$R,'Infos Clientes'!AJ$2)
+SUMIFS('Detalhe Por UC'!$AC:$AC,'Detalhe Por UC'!$C:$C,'Infos Clientes'!$B76,'Detalhe Por UC'!$R:$R,'Infos Clientes'!AJ$2))</f>
        <v>318</v>
      </c>
      <c r="AK76" s="27">
        <f>IF(SUMIFS('Detalhe Por UC'!$AB:$AB,'Detalhe Por UC'!$C:$C,'Infos Clientes'!$B76,'Detalhe Por UC'!$R:$R,'Infos Clientes'!AK$2)=0,"",
SUMIFS('Detalhe Por UC'!$AB:$AB,'Detalhe Por UC'!$C:$C,'Infos Clientes'!$B76,'Detalhe Por UC'!$R:$R,'Infos Clientes'!AK$2)
+SUMIFS('Detalhe Por UC'!$AC:$AC,'Detalhe Por UC'!$C:$C,'Infos Clientes'!$B76,'Detalhe Por UC'!$R:$R,'Infos Clientes'!AK$2))</f>
        <v>425</v>
      </c>
      <c r="AL76" s="27">
        <f>IF(SUMIFS('Detalhe Por UC'!$AB:$AB,'Detalhe Por UC'!$C:$C,'Infos Clientes'!$B76,'Detalhe Por UC'!$R:$R,'Infos Clientes'!AL$2)=0,"",
SUMIFS('Detalhe Por UC'!$AB:$AB,'Detalhe Por UC'!$C:$C,'Infos Clientes'!$B76,'Detalhe Por UC'!$R:$R,'Infos Clientes'!AL$2)
+SUMIFS('Detalhe Por UC'!$AC:$AC,'Detalhe Por UC'!$C:$C,'Infos Clientes'!$B76,'Detalhe Por UC'!$R:$R,'Infos Clientes'!AL$2))</f>
        <v>338</v>
      </c>
      <c r="AM76" s="27">
        <f>IF(SUMIFS('Detalhe Por UC'!$AB:$AB,'Detalhe Por UC'!$C:$C,'Infos Clientes'!$B76,'Detalhe Por UC'!$R:$R,'Infos Clientes'!AM$2)=0,"",
SUMIFS('Detalhe Por UC'!$AB:$AB,'Detalhe Por UC'!$C:$C,'Infos Clientes'!$B76,'Detalhe Por UC'!$R:$R,'Infos Clientes'!AM$2)
+SUMIFS('Detalhe Por UC'!$AC:$AC,'Detalhe Por UC'!$C:$C,'Infos Clientes'!$B76,'Detalhe Por UC'!$R:$R,'Infos Clientes'!AM$2))</f>
        <v>289</v>
      </c>
      <c r="AN76" s="27">
        <f>IF(SUMIFS('Detalhe Por UC'!$AB:$AB,'Detalhe Por UC'!$C:$C,'Infos Clientes'!$B76,'Detalhe Por UC'!$R:$R,'Infos Clientes'!AN$2)=0,"",
SUMIFS('Detalhe Por UC'!$AB:$AB,'Detalhe Por UC'!$C:$C,'Infos Clientes'!$B76,'Detalhe Por UC'!$R:$R,'Infos Clientes'!AN$2)
+SUMIFS('Detalhe Por UC'!$AC:$AC,'Detalhe Por UC'!$C:$C,'Infos Clientes'!$B76,'Detalhe Por UC'!$R:$R,'Infos Clientes'!AN$2))</f>
        <v>286</v>
      </c>
      <c r="AO76" s="27">
        <f>IF(SUMIFS('Detalhe Por UC'!$AB:$AB,'Detalhe Por UC'!$C:$C,'Infos Clientes'!$B76,'Detalhe Por UC'!$R:$R,'Infos Clientes'!AO$2)=0,"",
SUMIFS('Detalhe Por UC'!$AB:$AB,'Detalhe Por UC'!$C:$C,'Infos Clientes'!$B76,'Detalhe Por UC'!$R:$R,'Infos Clientes'!AO$2)
+SUMIFS('Detalhe Por UC'!$AC:$AC,'Detalhe Por UC'!$C:$C,'Infos Clientes'!$B76,'Detalhe Por UC'!$R:$R,'Infos Clientes'!AO$2))</f>
        <v>197</v>
      </c>
      <c r="AP76" s="27">
        <f>IF(SUMIFS('Detalhe Por UC'!$AB:$AB,'Detalhe Por UC'!$C:$C,'Infos Clientes'!$B76,'Detalhe Por UC'!$R:$R,'Infos Clientes'!AP$2)=0,"",
SUMIFS('Detalhe Por UC'!$AB:$AB,'Detalhe Por UC'!$C:$C,'Infos Clientes'!$B76,'Detalhe Por UC'!$R:$R,'Infos Clientes'!AP$2)
+SUMIFS('Detalhe Por UC'!$AC:$AC,'Detalhe Por UC'!$C:$C,'Infos Clientes'!$B76,'Detalhe Por UC'!$R:$R,'Infos Clientes'!AP$2))</f>
        <v>94</v>
      </c>
      <c r="AQ76" s="27">
        <f>IF(SUMIFS('Detalhe Por UC'!$AB:$AB,'Detalhe Por UC'!$C:$C,'Infos Clientes'!$B76,'Detalhe Por UC'!$R:$R,'Infos Clientes'!AQ$2)=0,"",
SUMIFS('Detalhe Por UC'!$AB:$AB,'Detalhe Por UC'!$C:$C,'Infos Clientes'!$B76,'Detalhe Por UC'!$R:$R,'Infos Clientes'!AQ$2)
+SUMIFS('Detalhe Por UC'!$AC:$AC,'Detalhe Por UC'!$C:$C,'Infos Clientes'!$B76,'Detalhe Por UC'!$R:$R,'Infos Clientes'!AQ$2))</f>
        <v>93</v>
      </c>
      <c r="AR76" s="27">
        <f>IF(SUMIFS('Detalhe Por UC'!$AB:$AB,'Detalhe Por UC'!$C:$C,'Infos Clientes'!$B76,'Detalhe Por UC'!$R:$R,'Infos Clientes'!AR$2)=0,"",
SUMIFS('Detalhe Por UC'!$AB:$AB,'Detalhe Por UC'!$C:$C,'Infos Clientes'!$B76,'Detalhe Por UC'!$R:$R,'Infos Clientes'!AR$2)
+SUMIFS('Detalhe Por UC'!$AC:$AC,'Detalhe Por UC'!$C:$C,'Infos Clientes'!$B76,'Detalhe Por UC'!$R:$R,'Infos Clientes'!AR$2))</f>
        <v>208</v>
      </c>
      <c r="AS76" s="27">
        <f>IF(SUMIFS('Detalhe Por UC'!$AB:$AB,'Detalhe Por UC'!$C:$C,'Infos Clientes'!$B76,'Detalhe Por UC'!$R:$R,'Infos Clientes'!AS$2)=0,"",
SUMIFS('Detalhe Por UC'!$AB:$AB,'Detalhe Por UC'!$C:$C,'Infos Clientes'!$B76,'Detalhe Por UC'!$R:$R,'Infos Clientes'!AS$2)
+SUMIFS('Detalhe Por UC'!$AC:$AC,'Detalhe Por UC'!$C:$C,'Infos Clientes'!$B76,'Detalhe Por UC'!$R:$R,'Infos Clientes'!AS$2))</f>
        <v>254</v>
      </c>
      <c r="AT76" s="27">
        <f>IF(SUMIFS('Detalhe Por UC'!$AB:$AB,'Detalhe Por UC'!$C:$C,'Infos Clientes'!$B76,'Detalhe Por UC'!$R:$R,'Infos Clientes'!AT$2)=0,"",
SUMIFS('Detalhe Por UC'!$AB:$AB,'Detalhe Por UC'!$C:$C,'Infos Clientes'!$B76,'Detalhe Por UC'!$R:$R,'Infos Clientes'!AT$2)
+SUMIFS('Detalhe Por UC'!$AC:$AC,'Detalhe Por UC'!$C:$C,'Infos Clientes'!$B76,'Detalhe Por UC'!$R:$R,'Infos Clientes'!AT$2))</f>
        <v>333</v>
      </c>
      <c r="AU76" s="27" t="str">
        <f>IF(SUMIFS('Detalhe Por UC'!$AB:$AB,'Detalhe Por UC'!$C:$C,'Infos Clientes'!$B76,'Detalhe Por UC'!$R:$R,'Infos Clientes'!AU$2)=0,"",
SUMIFS('Detalhe Por UC'!$AB:$AB,'Detalhe Por UC'!$C:$C,'Infos Clientes'!$B76,'Detalhe Por UC'!$R:$R,'Infos Clientes'!AU$2)
+SUMIFS('Detalhe Por UC'!$AC:$AC,'Detalhe Por UC'!$C:$C,'Infos Clientes'!$B76,'Detalhe Por UC'!$R:$R,'Infos Clientes'!AU$2))</f>
        <v/>
      </c>
    </row>
    <row r="77" spans="2:47" x14ac:dyDescent="0.3">
      <c r="B77" t="s">
        <v>203</v>
      </c>
      <c r="C77" s="14">
        <f t="shared" si="4"/>
        <v>77</v>
      </c>
      <c r="D77" t="s">
        <v>19</v>
      </c>
      <c r="E77" s="15">
        <v>306</v>
      </c>
      <c r="F77" t="s">
        <v>204</v>
      </c>
      <c r="G77" t="s">
        <v>143</v>
      </c>
      <c r="H77" t="str">
        <f t="shared" si="2"/>
        <v>10/435964-2</v>
      </c>
      <c r="I77" s="31" t="s">
        <v>22</v>
      </c>
      <c r="J77" s="31" t="s">
        <v>28</v>
      </c>
      <c r="K77" s="18" t="s">
        <v>138</v>
      </c>
      <c r="M77" s="32">
        <v>0.25</v>
      </c>
      <c r="Q77" s="22">
        <f>IF(_xlfn.MINIFS('Detalhe Por UC'!R:R,'Detalhe Por UC'!C:C,B77,'Detalhe Por UC'!AD:AD,"&gt;"&amp;0)=0,"",_xlfn.MINIFS('Detalhe Por UC'!R:R,'Detalhe Por UC'!C:C,B77,'Detalhe Por UC'!AD:AD,"&gt;"&amp;0))</f>
        <v>45658</v>
      </c>
      <c r="R77" s="23">
        <f>IF(P77&lt;&gt;"ATIVO",0,
IF(OR(Q77="",Q77=0,O77=0),O77,
O77-ROUND((MAX('Detalhe Por UC'!R:R)
-Q77)/(365/12),0)))</f>
        <v>0</v>
      </c>
      <c r="T77" s="29">
        <v>378.09090909090907</v>
      </c>
      <c r="U77" s="24">
        <f t="shared" si="3"/>
        <v>376</v>
      </c>
      <c r="X77">
        <v>469</v>
      </c>
      <c r="Y77">
        <v>401</v>
      </c>
      <c r="Z77">
        <v>522</v>
      </c>
      <c r="AA77">
        <v>420</v>
      </c>
      <c r="AB77">
        <v>0</v>
      </c>
      <c r="AC77">
        <v>263</v>
      </c>
      <c r="AD77">
        <v>238</v>
      </c>
      <c r="AE77">
        <v>276</v>
      </c>
      <c r="AF77">
        <v>394</v>
      </c>
      <c r="AG77">
        <v>436</v>
      </c>
      <c r="AH77">
        <v>295</v>
      </c>
      <c r="AI77" s="25">
        <v>466</v>
      </c>
      <c r="AJ77" s="27">
        <f>IF(SUMIFS('Detalhe Por UC'!$AB:$AB,'Detalhe Por UC'!$C:$C,'Infos Clientes'!$B77,'Detalhe Por UC'!$R:$R,'Infos Clientes'!AJ$2)=0,"",
SUMIFS('Detalhe Por UC'!$AB:$AB,'Detalhe Por UC'!$C:$C,'Infos Clientes'!$B77,'Detalhe Por UC'!$R:$R,'Infos Clientes'!AJ$2)
+SUMIFS('Detalhe Por UC'!$AC:$AC,'Detalhe Por UC'!$C:$C,'Infos Clientes'!$B77,'Detalhe Por UC'!$R:$R,'Infos Clientes'!AJ$2))</f>
        <v>448</v>
      </c>
      <c r="AK77" s="27">
        <f>IF(SUMIFS('Detalhe Por UC'!$AB:$AB,'Detalhe Por UC'!$C:$C,'Infos Clientes'!$B77,'Detalhe Por UC'!$R:$R,'Infos Clientes'!AK$2)=0,"",
SUMIFS('Detalhe Por UC'!$AB:$AB,'Detalhe Por UC'!$C:$C,'Infos Clientes'!$B77,'Detalhe Por UC'!$R:$R,'Infos Clientes'!AK$2)
+SUMIFS('Detalhe Por UC'!$AC:$AC,'Detalhe Por UC'!$C:$C,'Infos Clientes'!$B77,'Detalhe Por UC'!$R:$R,'Infos Clientes'!AK$2))</f>
        <v>417</v>
      </c>
      <c r="AL77" s="27">
        <f>IF(SUMIFS('Detalhe Por UC'!$AB:$AB,'Detalhe Por UC'!$C:$C,'Infos Clientes'!$B77,'Detalhe Por UC'!$R:$R,'Infos Clientes'!AL$2)=0,"",
SUMIFS('Detalhe Por UC'!$AB:$AB,'Detalhe Por UC'!$C:$C,'Infos Clientes'!$B77,'Detalhe Por UC'!$R:$R,'Infos Clientes'!AL$2)
+SUMIFS('Detalhe Por UC'!$AC:$AC,'Detalhe Por UC'!$C:$C,'Infos Clientes'!$B77,'Detalhe Por UC'!$R:$R,'Infos Clientes'!AL$2))</f>
        <v>413</v>
      </c>
      <c r="AM77" s="27">
        <f>IF(SUMIFS('Detalhe Por UC'!$AB:$AB,'Detalhe Por UC'!$C:$C,'Infos Clientes'!$B77,'Detalhe Por UC'!$R:$R,'Infos Clientes'!AM$2)=0,"",
SUMIFS('Detalhe Por UC'!$AB:$AB,'Detalhe Por UC'!$C:$C,'Infos Clientes'!$B77,'Detalhe Por UC'!$R:$R,'Infos Clientes'!AM$2)
+SUMIFS('Detalhe Por UC'!$AC:$AC,'Detalhe Por UC'!$C:$C,'Infos Clientes'!$B77,'Detalhe Por UC'!$R:$R,'Infos Clientes'!AM$2))</f>
        <v>439</v>
      </c>
      <c r="AN77" s="27">
        <f>IF(SUMIFS('Detalhe Por UC'!$AB:$AB,'Detalhe Por UC'!$C:$C,'Infos Clientes'!$B77,'Detalhe Por UC'!$R:$R,'Infos Clientes'!AN$2)=0,"",
SUMIFS('Detalhe Por UC'!$AB:$AB,'Detalhe Por UC'!$C:$C,'Infos Clientes'!$B77,'Detalhe Por UC'!$R:$R,'Infos Clientes'!AN$2)
+SUMIFS('Detalhe Por UC'!$AC:$AC,'Detalhe Por UC'!$C:$C,'Infos Clientes'!$B77,'Detalhe Por UC'!$R:$R,'Infos Clientes'!AN$2))</f>
        <v>336</v>
      </c>
      <c r="AO77" s="27">
        <f>IF(SUMIFS('Detalhe Por UC'!$AB:$AB,'Detalhe Por UC'!$C:$C,'Infos Clientes'!$B77,'Detalhe Por UC'!$R:$R,'Infos Clientes'!AO$2)=0,"",
SUMIFS('Detalhe Por UC'!$AB:$AB,'Detalhe Por UC'!$C:$C,'Infos Clientes'!$B77,'Detalhe Por UC'!$R:$R,'Infos Clientes'!AO$2)
+SUMIFS('Detalhe Por UC'!$AC:$AC,'Detalhe Por UC'!$C:$C,'Infos Clientes'!$B77,'Detalhe Por UC'!$R:$R,'Infos Clientes'!AO$2))</f>
        <v>240</v>
      </c>
      <c r="AP77" s="27">
        <f>IF(SUMIFS('Detalhe Por UC'!$AB:$AB,'Detalhe Por UC'!$C:$C,'Infos Clientes'!$B77,'Detalhe Por UC'!$R:$R,'Infos Clientes'!AP$2)=0,"",
SUMIFS('Detalhe Por UC'!$AB:$AB,'Detalhe Por UC'!$C:$C,'Infos Clientes'!$B77,'Detalhe Por UC'!$R:$R,'Infos Clientes'!AP$2)
+SUMIFS('Detalhe Por UC'!$AC:$AC,'Detalhe Por UC'!$C:$C,'Infos Clientes'!$B77,'Detalhe Por UC'!$R:$R,'Infos Clientes'!AP$2))</f>
        <v>218</v>
      </c>
      <c r="AQ77" s="27">
        <f>IF(SUMIFS('Detalhe Por UC'!$AB:$AB,'Detalhe Por UC'!$C:$C,'Infos Clientes'!$B77,'Detalhe Por UC'!$R:$R,'Infos Clientes'!AQ$2)=0,"",
SUMIFS('Detalhe Por UC'!$AB:$AB,'Detalhe Por UC'!$C:$C,'Infos Clientes'!$B77,'Detalhe Por UC'!$R:$R,'Infos Clientes'!AQ$2)
+SUMIFS('Detalhe Por UC'!$AC:$AC,'Detalhe Por UC'!$C:$C,'Infos Clientes'!$B77,'Detalhe Por UC'!$R:$R,'Infos Clientes'!AQ$2))</f>
        <v>223</v>
      </c>
      <c r="AR77" s="27">
        <f>IF(SUMIFS('Detalhe Por UC'!$AB:$AB,'Detalhe Por UC'!$C:$C,'Infos Clientes'!$B77,'Detalhe Por UC'!$R:$R,'Infos Clientes'!AR$2)=0,"",
SUMIFS('Detalhe Por UC'!$AB:$AB,'Detalhe Por UC'!$C:$C,'Infos Clientes'!$B77,'Detalhe Por UC'!$R:$R,'Infos Clientes'!AR$2)
+SUMIFS('Detalhe Por UC'!$AC:$AC,'Detalhe Por UC'!$C:$C,'Infos Clientes'!$B77,'Detalhe Por UC'!$R:$R,'Infos Clientes'!AR$2))</f>
        <v>411</v>
      </c>
      <c r="AS77" s="27">
        <f>IF(SUMIFS('Detalhe Por UC'!$AB:$AB,'Detalhe Por UC'!$C:$C,'Infos Clientes'!$B77,'Detalhe Por UC'!$R:$R,'Infos Clientes'!AS$2)=0,"",
SUMIFS('Detalhe Por UC'!$AB:$AB,'Detalhe Por UC'!$C:$C,'Infos Clientes'!$B77,'Detalhe Por UC'!$R:$R,'Infos Clientes'!AS$2)
+SUMIFS('Detalhe Por UC'!$AC:$AC,'Detalhe Por UC'!$C:$C,'Infos Clientes'!$B77,'Detalhe Por UC'!$R:$R,'Infos Clientes'!AS$2))</f>
        <v>433</v>
      </c>
      <c r="AT77" s="27">
        <f>IF(SUMIFS('Detalhe Por UC'!$AB:$AB,'Detalhe Por UC'!$C:$C,'Infos Clientes'!$B77,'Detalhe Por UC'!$R:$R,'Infos Clientes'!AT$2)=0,"",
SUMIFS('Detalhe Por UC'!$AB:$AB,'Detalhe Por UC'!$C:$C,'Infos Clientes'!$B77,'Detalhe Por UC'!$R:$R,'Infos Clientes'!AT$2)
+SUMIFS('Detalhe Por UC'!$AC:$AC,'Detalhe Por UC'!$C:$C,'Infos Clientes'!$B77,'Detalhe Por UC'!$R:$R,'Infos Clientes'!AT$2))</f>
        <v>468</v>
      </c>
      <c r="AU77" s="27" t="str">
        <f>IF(SUMIFS('Detalhe Por UC'!$AB:$AB,'Detalhe Por UC'!$C:$C,'Infos Clientes'!$B77,'Detalhe Por UC'!$R:$R,'Infos Clientes'!AU$2)=0,"",
SUMIFS('Detalhe Por UC'!$AB:$AB,'Detalhe Por UC'!$C:$C,'Infos Clientes'!$B77,'Detalhe Por UC'!$R:$R,'Infos Clientes'!AU$2)
+SUMIFS('Detalhe Por UC'!$AC:$AC,'Detalhe Por UC'!$C:$C,'Infos Clientes'!$B77,'Detalhe Por UC'!$R:$R,'Infos Clientes'!AU$2))</f>
        <v/>
      </c>
    </row>
    <row r="78" spans="2:47" x14ac:dyDescent="0.3">
      <c r="B78" t="s">
        <v>205</v>
      </c>
      <c r="C78" s="14">
        <f t="shared" si="4"/>
        <v>78</v>
      </c>
      <c r="D78" t="s">
        <v>19</v>
      </c>
      <c r="E78" s="15">
        <v>358</v>
      </c>
      <c r="F78" t="s">
        <v>130</v>
      </c>
      <c r="H78" t="str">
        <f t="shared" si="2"/>
        <v>10/466560-0</v>
      </c>
      <c r="I78" s="31" t="s">
        <v>22</v>
      </c>
      <c r="J78" s="31" t="s">
        <v>23</v>
      </c>
      <c r="K78" s="18" t="s">
        <v>138</v>
      </c>
      <c r="M78" s="32">
        <v>0.25</v>
      </c>
      <c r="Q78" s="22">
        <f>IF(_xlfn.MINIFS('Detalhe Por UC'!R:R,'Detalhe Por UC'!C:C,B78,'Detalhe Por UC'!AD:AD,"&gt;"&amp;0)=0,"",_xlfn.MINIFS('Detalhe Por UC'!R:R,'Detalhe Por UC'!C:C,B78,'Detalhe Por UC'!AD:AD,"&gt;"&amp;0))</f>
        <v>45658</v>
      </c>
      <c r="R78" s="23">
        <f>IF(P78&lt;&gt;"ATIVO",0,
IF(OR(Q78="",Q78=0,O78=0),O78,
O78-ROUND((MAX('Detalhe Por UC'!R:R)
-Q78)/(365/12),0)))</f>
        <v>0</v>
      </c>
      <c r="T78" s="29">
        <v>178</v>
      </c>
      <c r="U78" s="24">
        <f t="shared" si="3"/>
        <v>184.08333333333334</v>
      </c>
      <c r="X78">
        <v>169</v>
      </c>
      <c r="Y78">
        <v>187</v>
      </c>
      <c r="Z78">
        <v>196</v>
      </c>
      <c r="AA78">
        <v>232</v>
      </c>
      <c r="AB78">
        <v>0</v>
      </c>
      <c r="AC78">
        <v>167</v>
      </c>
      <c r="AD78">
        <v>182</v>
      </c>
      <c r="AE78">
        <v>170</v>
      </c>
      <c r="AF78">
        <v>168</v>
      </c>
      <c r="AG78">
        <v>160</v>
      </c>
      <c r="AH78">
        <v>149</v>
      </c>
      <c r="AI78" s="25">
        <v>168</v>
      </c>
      <c r="AJ78" s="27">
        <f>IF(SUMIFS('Detalhe Por UC'!$AB:$AB,'Detalhe Por UC'!$C:$C,'Infos Clientes'!$B78,'Detalhe Por UC'!$R:$R,'Infos Clientes'!AJ$2)=0,"",
SUMIFS('Detalhe Por UC'!$AB:$AB,'Detalhe Por UC'!$C:$C,'Infos Clientes'!$B78,'Detalhe Por UC'!$R:$R,'Infos Clientes'!AJ$2)
+SUMIFS('Detalhe Por UC'!$AC:$AC,'Detalhe Por UC'!$C:$C,'Infos Clientes'!$B78,'Detalhe Por UC'!$R:$R,'Infos Clientes'!AJ$2))</f>
        <v>179</v>
      </c>
      <c r="AK78" s="27">
        <f>IF(SUMIFS('Detalhe Por UC'!$AB:$AB,'Detalhe Por UC'!$C:$C,'Infos Clientes'!$B78,'Detalhe Por UC'!$R:$R,'Infos Clientes'!AK$2)=0,"",
SUMIFS('Detalhe Por UC'!$AB:$AB,'Detalhe Por UC'!$C:$C,'Infos Clientes'!$B78,'Detalhe Por UC'!$R:$R,'Infos Clientes'!AK$2)
+SUMIFS('Detalhe Por UC'!$AC:$AC,'Detalhe Por UC'!$C:$C,'Infos Clientes'!$B78,'Detalhe Por UC'!$R:$R,'Infos Clientes'!AK$2))</f>
        <v>174</v>
      </c>
      <c r="AL78" s="27">
        <f>IF(SUMIFS('Detalhe Por UC'!$AB:$AB,'Detalhe Por UC'!$C:$C,'Infos Clientes'!$B78,'Detalhe Por UC'!$R:$R,'Infos Clientes'!AL$2)=0,"",
SUMIFS('Detalhe Por UC'!$AB:$AB,'Detalhe Por UC'!$C:$C,'Infos Clientes'!$B78,'Detalhe Por UC'!$R:$R,'Infos Clientes'!AL$2)
+SUMIFS('Detalhe Por UC'!$AC:$AC,'Detalhe Por UC'!$C:$C,'Infos Clientes'!$B78,'Detalhe Por UC'!$R:$R,'Infos Clientes'!AL$2))</f>
        <v>164</v>
      </c>
      <c r="AM78" s="27">
        <f>IF(SUMIFS('Detalhe Por UC'!$AB:$AB,'Detalhe Por UC'!$C:$C,'Infos Clientes'!$B78,'Detalhe Por UC'!$R:$R,'Infos Clientes'!AM$2)=0,"",
SUMIFS('Detalhe Por UC'!$AB:$AB,'Detalhe Por UC'!$C:$C,'Infos Clientes'!$B78,'Detalhe Por UC'!$R:$R,'Infos Clientes'!AM$2)
+SUMIFS('Detalhe Por UC'!$AC:$AC,'Detalhe Por UC'!$C:$C,'Infos Clientes'!$B78,'Detalhe Por UC'!$R:$R,'Infos Clientes'!AM$2))</f>
        <v>165</v>
      </c>
      <c r="AN78" s="27">
        <f>IF(SUMIFS('Detalhe Por UC'!$AB:$AB,'Detalhe Por UC'!$C:$C,'Infos Clientes'!$B78,'Detalhe Por UC'!$R:$R,'Infos Clientes'!AN$2)=0,"",
SUMIFS('Detalhe Por UC'!$AB:$AB,'Detalhe Por UC'!$C:$C,'Infos Clientes'!$B78,'Detalhe Por UC'!$R:$R,'Infos Clientes'!AN$2)
+SUMIFS('Detalhe Por UC'!$AC:$AC,'Detalhe Por UC'!$C:$C,'Infos Clientes'!$B78,'Detalhe Por UC'!$R:$R,'Infos Clientes'!AN$2))</f>
        <v>173</v>
      </c>
      <c r="AO78" s="27">
        <f>IF(SUMIFS('Detalhe Por UC'!$AB:$AB,'Detalhe Por UC'!$C:$C,'Infos Clientes'!$B78,'Detalhe Por UC'!$R:$R,'Infos Clientes'!AO$2)=0,"",
SUMIFS('Detalhe Por UC'!$AB:$AB,'Detalhe Por UC'!$C:$C,'Infos Clientes'!$B78,'Detalhe Por UC'!$R:$R,'Infos Clientes'!AO$2)
+SUMIFS('Detalhe Por UC'!$AC:$AC,'Detalhe Por UC'!$C:$C,'Infos Clientes'!$B78,'Detalhe Por UC'!$R:$R,'Infos Clientes'!AO$2))</f>
        <v>172</v>
      </c>
      <c r="AP78" s="27">
        <f>IF(SUMIFS('Detalhe Por UC'!$AB:$AB,'Detalhe Por UC'!$C:$C,'Infos Clientes'!$B78,'Detalhe Por UC'!$R:$R,'Infos Clientes'!AP$2)=0,"",
SUMIFS('Detalhe Por UC'!$AB:$AB,'Detalhe Por UC'!$C:$C,'Infos Clientes'!$B78,'Detalhe Por UC'!$R:$R,'Infos Clientes'!AP$2)
+SUMIFS('Detalhe Por UC'!$AC:$AC,'Detalhe Por UC'!$C:$C,'Infos Clientes'!$B78,'Detalhe Por UC'!$R:$R,'Infos Clientes'!AP$2))</f>
        <v>214</v>
      </c>
      <c r="AQ78" s="27">
        <f>IF(SUMIFS('Detalhe Por UC'!$AB:$AB,'Detalhe Por UC'!$C:$C,'Infos Clientes'!$B78,'Detalhe Por UC'!$R:$R,'Infos Clientes'!AQ$2)=0,"",
SUMIFS('Detalhe Por UC'!$AB:$AB,'Detalhe Por UC'!$C:$C,'Infos Clientes'!$B78,'Detalhe Por UC'!$R:$R,'Infos Clientes'!AQ$2)
+SUMIFS('Detalhe Por UC'!$AC:$AC,'Detalhe Por UC'!$C:$C,'Infos Clientes'!$B78,'Detalhe Por UC'!$R:$R,'Infos Clientes'!AQ$2))</f>
        <v>168</v>
      </c>
      <c r="AR78" s="27">
        <f>IF(SUMIFS('Detalhe Por UC'!$AB:$AB,'Detalhe Por UC'!$C:$C,'Infos Clientes'!$B78,'Detalhe Por UC'!$R:$R,'Infos Clientes'!AR$2)=0,"",
SUMIFS('Detalhe Por UC'!$AB:$AB,'Detalhe Por UC'!$C:$C,'Infos Clientes'!$B78,'Detalhe Por UC'!$R:$R,'Infos Clientes'!AR$2)
+SUMIFS('Detalhe Por UC'!$AC:$AC,'Detalhe Por UC'!$C:$C,'Infos Clientes'!$B78,'Detalhe Por UC'!$R:$R,'Infos Clientes'!AR$2))</f>
        <v>188</v>
      </c>
      <c r="AS78" s="27">
        <f>IF(SUMIFS('Detalhe Por UC'!$AB:$AB,'Detalhe Por UC'!$C:$C,'Infos Clientes'!$B78,'Detalhe Por UC'!$R:$R,'Infos Clientes'!AS$2)=0,"",
SUMIFS('Detalhe Por UC'!$AB:$AB,'Detalhe Por UC'!$C:$C,'Infos Clientes'!$B78,'Detalhe Por UC'!$R:$R,'Infos Clientes'!AS$2)
+SUMIFS('Detalhe Por UC'!$AC:$AC,'Detalhe Por UC'!$C:$C,'Infos Clientes'!$B78,'Detalhe Por UC'!$R:$R,'Infos Clientes'!AS$2))</f>
        <v>221</v>
      </c>
      <c r="AT78" s="27">
        <f>IF(SUMIFS('Detalhe Por UC'!$AB:$AB,'Detalhe Por UC'!$C:$C,'Infos Clientes'!$B78,'Detalhe Por UC'!$R:$R,'Infos Clientes'!AT$2)=0,"",
SUMIFS('Detalhe Por UC'!$AB:$AB,'Detalhe Por UC'!$C:$C,'Infos Clientes'!$B78,'Detalhe Por UC'!$R:$R,'Infos Clientes'!AT$2)
+SUMIFS('Detalhe Por UC'!$AC:$AC,'Detalhe Por UC'!$C:$C,'Infos Clientes'!$B78,'Detalhe Por UC'!$R:$R,'Infos Clientes'!AT$2))</f>
        <v>223</v>
      </c>
      <c r="AU78" s="27" t="str">
        <f>IF(SUMIFS('Detalhe Por UC'!$AB:$AB,'Detalhe Por UC'!$C:$C,'Infos Clientes'!$B78,'Detalhe Por UC'!$R:$R,'Infos Clientes'!AU$2)=0,"",
SUMIFS('Detalhe Por UC'!$AB:$AB,'Detalhe Por UC'!$C:$C,'Infos Clientes'!$B78,'Detalhe Por UC'!$R:$R,'Infos Clientes'!AU$2)
+SUMIFS('Detalhe Por UC'!$AC:$AC,'Detalhe Por UC'!$C:$C,'Infos Clientes'!$B78,'Detalhe Por UC'!$R:$R,'Infos Clientes'!AU$2))</f>
        <v/>
      </c>
    </row>
    <row r="79" spans="2:47" x14ac:dyDescent="0.3">
      <c r="B79" t="s">
        <v>206</v>
      </c>
      <c r="C79" s="14">
        <f t="shared" si="4"/>
        <v>79</v>
      </c>
      <c r="D79" t="s">
        <v>19</v>
      </c>
      <c r="E79" s="15">
        <v>319</v>
      </c>
      <c r="F79" t="s">
        <v>26</v>
      </c>
      <c r="H79" t="str">
        <f t="shared" si="2"/>
        <v>10/480529-7</v>
      </c>
      <c r="I79" s="31" t="s">
        <v>22</v>
      </c>
      <c r="J79" s="31" t="s">
        <v>28</v>
      </c>
      <c r="K79" s="18" t="s">
        <v>138</v>
      </c>
      <c r="M79" s="32">
        <v>0.25</v>
      </c>
      <c r="Q79" s="22">
        <f>IF(_xlfn.MINIFS('Detalhe Por UC'!R:R,'Detalhe Por UC'!C:C,B79,'Detalhe Por UC'!AD:AD,"&gt;"&amp;0)=0,"",_xlfn.MINIFS('Detalhe Por UC'!R:R,'Detalhe Por UC'!C:C,B79,'Detalhe Por UC'!AD:AD,"&gt;"&amp;0))</f>
        <v>45658</v>
      </c>
      <c r="R79" s="23">
        <f>IF(P79&lt;&gt;"ATIVO",0,
IF(OR(Q79="",Q79=0,O79=0),O79,
O79-ROUND((MAX('Detalhe Por UC'!R:R)
-Q79)/(365/12),0)))</f>
        <v>0</v>
      </c>
      <c r="T79" s="29">
        <v>361.81818181818181</v>
      </c>
      <c r="U79" s="24">
        <f t="shared" si="3"/>
        <v>351.75</v>
      </c>
      <c r="X79">
        <v>361</v>
      </c>
      <c r="Y79">
        <v>392</v>
      </c>
      <c r="Z79">
        <v>461</v>
      </c>
      <c r="AA79">
        <v>418</v>
      </c>
      <c r="AB79">
        <v>0</v>
      </c>
      <c r="AC79">
        <v>268</v>
      </c>
      <c r="AD79">
        <v>374</v>
      </c>
      <c r="AE79">
        <v>318</v>
      </c>
      <c r="AF79">
        <v>283</v>
      </c>
      <c r="AG79">
        <v>364</v>
      </c>
      <c r="AH79">
        <v>368</v>
      </c>
      <c r="AI79" s="25">
        <v>378</v>
      </c>
      <c r="AJ79" s="27">
        <f>IF(SUMIFS('Detalhe Por UC'!$AB:$AB,'Detalhe Por UC'!$C:$C,'Infos Clientes'!$B79,'Detalhe Por UC'!$R:$R,'Infos Clientes'!AJ$2)=0,"",
SUMIFS('Detalhe Por UC'!$AB:$AB,'Detalhe Por UC'!$C:$C,'Infos Clientes'!$B79,'Detalhe Por UC'!$R:$R,'Infos Clientes'!AJ$2)
+SUMIFS('Detalhe Por UC'!$AC:$AC,'Detalhe Por UC'!$C:$C,'Infos Clientes'!$B79,'Detalhe Por UC'!$R:$R,'Infos Clientes'!AJ$2))</f>
        <v>356</v>
      </c>
      <c r="AK79" s="27">
        <f>IF(SUMIFS('Detalhe Por UC'!$AB:$AB,'Detalhe Por UC'!$C:$C,'Infos Clientes'!$B79,'Detalhe Por UC'!$R:$R,'Infos Clientes'!AK$2)=0,"",
SUMIFS('Detalhe Por UC'!$AB:$AB,'Detalhe Por UC'!$C:$C,'Infos Clientes'!$B79,'Detalhe Por UC'!$R:$R,'Infos Clientes'!AK$2)
+SUMIFS('Detalhe Por UC'!$AC:$AC,'Detalhe Por UC'!$C:$C,'Infos Clientes'!$B79,'Detalhe Por UC'!$R:$R,'Infos Clientes'!AK$2))</f>
        <v>517</v>
      </c>
      <c r="AL79" s="27">
        <f>IF(SUMIFS('Detalhe Por UC'!$AB:$AB,'Detalhe Por UC'!$C:$C,'Infos Clientes'!$B79,'Detalhe Por UC'!$R:$R,'Infos Clientes'!AL$2)=0,"",
SUMIFS('Detalhe Por UC'!$AB:$AB,'Detalhe Por UC'!$C:$C,'Infos Clientes'!$B79,'Detalhe Por UC'!$R:$R,'Infos Clientes'!AL$2)
+SUMIFS('Detalhe Por UC'!$AC:$AC,'Detalhe Por UC'!$C:$C,'Infos Clientes'!$B79,'Detalhe Por UC'!$R:$R,'Infos Clientes'!AL$2))</f>
        <v>488</v>
      </c>
      <c r="AM79" s="27">
        <f>IF(SUMIFS('Detalhe Por UC'!$AB:$AB,'Detalhe Por UC'!$C:$C,'Infos Clientes'!$B79,'Detalhe Por UC'!$R:$R,'Infos Clientes'!AM$2)=0,"",
SUMIFS('Detalhe Por UC'!$AB:$AB,'Detalhe Por UC'!$C:$C,'Infos Clientes'!$B79,'Detalhe Por UC'!$R:$R,'Infos Clientes'!AM$2)
+SUMIFS('Detalhe Por UC'!$AC:$AC,'Detalhe Por UC'!$C:$C,'Infos Clientes'!$B79,'Detalhe Por UC'!$R:$R,'Infos Clientes'!AM$2))</f>
        <v>405</v>
      </c>
      <c r="AN79" s="27">
        <f>IF(SUMIFS('Detalhe Por UC'!$AB:$AB,'Detalhe Por UC'!$C:$C,'Infos Clientes'!$B79,'Detalhe Por UC'!$R:$R,'Infos Clientes'!AN$2)=0,"",
SUMIFS('Detalhe Por UC'!$AB:$AB,'Detalhe Por UC'!$C:$C,'Infos Clientes'!$B79,'Detalhe Por UC'!$R:$R,'Infos Clientes'!AN$2)
+SUMIFS('Detalhe Por UC'!$AC:$AC,'Detalhe Por UC'!$C:$C,'Infos Clientes'!$B79,'Detalhe Por UC'!$R:$R,'Infos Clientes'!AN$2))</f>
        <v>327</v>
      </c>
      <c r="AO79" s="27">
        <f>IF(SUMIFS('Detalhe Por UC'!$AB:$AB,'Detalhe Por UC'!$C:$C,'Infos Clientes'!$B79,'Detalhe Por UC'!$R:$R,'Infos Clientes'!AO$2)=0,"",
SUMIFS('Detalhe Por UC'!$AB:$AB,'Detalhe Por UC'!$C:$C,'Infos Clientes'!$B79,'Detalhe Por UC'!$R:$R,'Infos Clientes'!AO$2)
+SUMIFS('Detalhe Por UC'!$AC:$AC,'Detalhe Por UC'!$C:$C,'Infos Clientes'!$B79,'Detalhe Por UC'!$R:$R,'Infos Clientes'!AO$2))</f>
        <v>264</v>
      </c>
      <c r="AP79" s="27">
        <f>IF(SUMIFS('Detalhe Por UC'!$AB:$AB,'Detalhe Por UC'!$C:$C,'Infos Clientes'!$B79,'Detalhe Por UC'!$R:$R,'Infos Clientes'!AP$2)=0,"",
SUMIFS('Detalhe Por UC'!$AB:$AB,'Detalhe Por UC'!$C:$C,'Infos Clientes'!$B79,'Detalhe Por UC'!$R:$R,'Infos Clientes'!AP$2)
+SUMIFS('Detalhe Por UC'!$AC:$AC,'Detalhe Por UC'!$C:$C,'Infos Clientes'!$B79,'Detalhe Por UC'!$R:$R,'Infos Clientes'!AP$2))</f>
        <v>257</v>
      </c>
      <c r="AQ79" s="27">
        <f>IF(SUMIFS('Detalhe Por UC'!$AB:$AB,'Detalhe Por UC'!$C:$C,'Infos Clientes'!$B79,'Detalhe Por UC'!$R:$R,'Infos Clientes'!AQ$2)=0,"",
SUMIFS('Detalhe Por UC'!$AB:$AB,'Detalhe Por UC'!$C:$C,'Infos Clientes'!$B79,'Detalhe Por UC'!$R:$R,'Infos Clientes'!AQ$2)
+SUMIFS('Detalhe Por UC'!$AC:$AC,'Detalhe Por UC'!$C:$C,'Infos Clientes'!$B79,'Detalhe Por UC'!$R:$R,'Infos Clientes'!AQ$2))</f>
        <v>272</v>
      </c>
      <c r="AR79" s="27">
        <f>IF(SUMIFS('Detalhe Por UC'!$AB:$AB,'Detalhe Por UC'!$C:$C,'Infos Clientes'!$B79,'Detalhe Por UC'!$R:$R,'Infos Clientes'!AR$2)=0,"",
SUMIFS('Detalhe Por UC'!$AB:$AB,'Detalhe Por UC'!$C:$C,'Infos Clientes'!$B79,'Detalhe Por UC'!$R:$R,'Infos Clientes'!AR$2)
+SUMIFS('Detalhe Por UC'!$AC:$AC,'Detalhe Por UC'!$C:$C,'Infos Clientes'!$B79,'Detalhe Por UC'!$R:$R,'Infos Clientes'!AR$2))</f>
        <v>287</v>
      </c>
      <c r="AS79" s="27">
        <f>IF(SUMIFS('Detalhe Por UC'!$AB:$AB,'Detalhe Por UC'!$C:$C,'Infos Clientes'!$B79,'Detalhe Por UC'!$R:$R,'Infos Clientes'!AS$2)=0,"",
SUMIFS('Detalhe Por UC'!$AB:$AB,'Detalhe Por UC'!$C:$C,'Infos Clientes'!$B79,'Detalhe Por UC'!$R:$R,'Infos Clientes'!AS$2)
+SUMIFS('Detalhe Por UC'!$AC:$AC,'Detalhe Por UC'!$C:$C,'Infos Clientes'!$B79,'Detalhe Por UC'!$R:$R,'Infos Clientes'!AS$2))</f>
        <v>307</v>
      </c>
      <c r="AT79" s="27">
        <f>IF(SUMIFS('Detalhe Por UC'!$AB:$AB,'Detalhe Por UC'!$C:$C,'Infos Clientes'!$B79,'Detalhe Por UC'!$R:$R,'Infos Clientes'!AT$2)=0,"",
SUMIFS('Detalhe Por UC'!$AB:$AB,'Detalhe Por UC'!$C:$C,'Infos Clientes'!$B79,'Detalhe Por UC'!$R:$R,'Infos Clientes'!AT$2)
+SUMIFS('Detalhe Por UC'!$AC:$AC,'Detalhe Por UC'!$C:$C,'Infos Clientes'!$B79,'Detalhe Por UC'!$R:$R,'Infos Clientes'!AT$2))</f>
        <v>363</v>
      </c>
      <c r="AU79" s="27" t="str">
        <f>IF(SUMIFS('Detalhe Por UC'!$AB:$AB,'Detalhe Por UC'!$C:$C,'Infos Clientes'!$B79,'Detalhe Por UC'!$R:$R,'Infos Clientes'!AU$2)=0,"",
SUMIFS('Detalhe Por UC'!$AB:$AB,'Detalhe Por UC'!$C:$C,'Infos Clientes'!$B79,'Detalhe Por UC'!$R:$R,'Infos Clientes'!AU$2)
+SUMIFS('Detalhe Por UC'!$AC:$AC,'Detalhe Por UC'!$C:$C,'Infos Clientes'!$B79,'Detalhe Por UC'!$R:$R,'Infos Clientes'!AU$2))</f>
        <v/>
      </c>
    </row>
    <row r="80" spans="2:47" x14ac:dyDescent="0.3">
      <c r="B80" t="s">
        <v>207</v>
      </c>
      <c r="C80" s="14">
        <f t="shared" si="4"/>
        <v>80</v>
      </c>
      <c r="D80" t="s">
        <v>19</v>
      </c>
      <c r="E80" s="15">
        <v>357</v>
      </c>
      <c r="F80" t="s">
        <v>62</v>
      </c>
      <c r="G80" t="s">
        <v>208</v>
      </c>
      <c r="H80" t="str">
        <f t="shared" si="2"/>
        <v>10/489076-0</v>
      </c>
      <c r="I80" s="31" t="s">
        <v>22</v>
      </c>
      <c r="J80" s="31" t="s">
        <v>28</v>
      </c>
      <c r="K80" s="18" t="s">
        <v>138</v>
      </c>
      <c r="M80" s="32">
        <v>0.25</v>
      </c>
      <c r="Q80" s="22">
        <f>IF(_xlfn.MINIFS('Detalhe Por UC'!R:R,'Detalhe Por UC'!C:C,B80,'Detalhe Por UC'!AD:AD,"&gt;"&amp;0)=0,"",_xlfn.MINIFS('Detalhe Por UC'!R:R,'Detalhe Por UC'!C:C,B80,'Detalhe Por UC'!AD:AD,"&gt;"&amp;0))</f>
        <v>45658</v>
      </c>
      <c r="R80" s="23">
        <f>IF(P80&lt;&gt;"ATIVO",0,
IF(OR(Q80="",Q80=0,O80=0),O80,
O80-ROUND((MAX('Detalhe Por UC'!R:R)
-Q80)/(365/12),0)))</f>
        <v>0</v>
      </c>
      <c r="T80" s="29">
        <v>510.45454545454544</v>
      </c>
      <c r="U80" s="24">
        <f t="shared" si="3"/>
        <v>447.33333333333331</v>
      </c>
      <c r="X80">
        <v>429</v>
      </c>
      <c r="Y80">
        <v>550</v>
      </c>
      <c r="Z80">
        <v>644</v>
      </c>
      <c r="AA80">
        <v>768</v>
      </c>
      <c r="AB80">
        <v>0</v>
      </c>
      <c r="AC80">
        <v>324</v>
      </c>
      <c r="AD80">
        <v>542</v>
      </c>
      <c r="AE80">
        <v>367</v>
      </c>
      <c r="AF80">
        <v>439</v>
      </c>
      <c r="AG80">
        <v>554</v>
      </c>
      <c r="AH80">
        <v>496</v>
      </c>
      <c r="AI80" s="25">
        <v>397</v>
      </c>
      <c r="AJ80" s="27">
        <f>IF(SUMIFS('Detalhe Por UC'!$AB:$AB,'Detalhe Por UC'!$C:$C,'Infos Clientes'!$B80,'Detalhe Por UC'!$R:$R,'Infos Clientes'!AJ$2)=0,"",
SUMIFS('Detalhe Por UC'!$AB:$AB,'Detalhe Por UC'!$C:$C,'Infos Clientes'!$B80,'Detalhe Por UC'!$R:$R,'Infos Clientes'!AJ$2)
+SUMIFS('Detalhe Por UC'!$AC:$AC,'Detalhe Por UC'!$C:$C,'Infos Clientes'!$B80,'Detalhe Por UC'!$R:$R,'Infos Clientes'!AJ$2))</f>
        <v>534</v>
      </c>
      <c r="AK80" s="27">
        <f>IF(SUMIFS('Detalhe Por UC'!$AB:$AB,'Detalhe Por UC'!$C:$C,'Infos Clientes'!$B80,'Detalhe Por UC'!$R:$R,'Infos Clientes'!AK$2)=0,"",
SUMIFS('Detalhe Por UC'!$AB:$AB,'Detalhe Por UC'!$C:$C,'Infos Clientes'!$B80,'Detalhe Por UC'!$R:$R,'Infos Clientes'!AK$2)
+SUMIFS('Detalhe Por UC'!$AC:$AC,'Detalhe Por UC'!$C:$C,'Infos Clientes'!$B80,'Detalhe Por UC'!$R:$R,'Infos Clientes'!AK$2))</f>
        <v>522</v>
      </c>
      <c r="AL80" s="27">
        <f>IF(SUMIFS('Detalhe Por UC'!$AB:$AB,'Detalhe Por UC'!$C:$C,'Infos Clientes'!$B80,'Detalhe Por UC'!$R:$R,'Infos Clientes'!AL$2)=0,"",
SUMIFS('Detalhe Por UC'!$AB:$AB,'Detalhe Por UC'!$C:$C,'Infos Clientes'!$B80,'Detalhe Por UC'!$R:$R,'Infos Clientes'!AL$2)
+SUMIFS('Detalhe Por UC'!$AC:$AC,'Detalhe Por UC'!$C:$C,'Infos Clientes'!$B80,'Detalhe Por UC'!$R:$R,'Infos Clientes'!AL$2))</f>
        <v>606</v>
      </c>
      <c r="AM80" s="27">
        <f>IF(SUMIFS('Detalhe Por UC'!$AB:$AB,'Detalhe Por UC'!$C:$C,'Infos Clientes'!$B80,'Detalhe Por UC'!$R:$R,'Infos Clientes'!AM$2)=0,"",
SUMIFS('Detalhe Por UC'!$AB:$AB,'Detalhe Por UC'!$C:$C,'Infos Clientes'!$B80,'Detalhe Por UC'!$R:$R,'Infos Clientes'!AM$2)
+SUMIFS('Detalhe Por UC'!$AC:$AC,'Detalhe Por UC'!$C:$C,'Infos Clientes'!$B80,'Detalhe Por UC'!$R:$R,'Infos Clientes'!AM$2))</f>
        <v>470</v>
      </c>
      <c r="AN80" s="27">
        <f>IF(SUMIFS('Detalhe Por UC'!$AB:$AB,'Detalhe Por UC'!$C:$C,'Infos Clientes'!$B80,'Detalhe Por UC'!$R:$R,'Infos Clientes'!AN$2)=0,"",
SUMIFS('Detalhe Por UC'!$AB:$AB,'Detalhe Por UC'!$C:$C,'Infos Clientes'!$B80,'Detalhe Por UC'!$R:$R,'Infos Clientes'!AN$2)
+SUMIFS('Detalhe Por UC'!$AC:$AC,'Detalhe Por UC'!$C:$C,'Infos Clientes'!$B80,'Detalhe Por UC'!$R:$R,'Infos Clientes'!AN$2))</f>
        <v>538</v>
      </c>
      <c r="AO80" s="27">
        <f>IF(SUMIFS('Detalhe Por UC'!$AB:$AB,'Detalhe Por UC'!$C:$C,'Infos Clientes'!$B80,'Detalhe Por UC'!$R:$R,'Infos Clientes'!AO$2)=0,"",
SUMIFS('Detalhe Por UC'!$AB:$AB,'Detalhe Por UC'!$C:$C,'Infos Clientes'!$B80,'Detalhe Por UC'!$R:$R,'Infos Clientes'!AO$2)
+SUMIFS('Detalhe Por UC'!$AC:$AC,'Detalhe Por UC'!$C:$C,'Infos Clientes'!$B80,'Detalhe Por UC'!$R:$R,'Infos Clientes'!AO$2))</f>
        <v>435</v>
      </c>
      <c r="AP80" s="27">
        <f>IF(SUMIFS('Detalhe Por UC'!$AB:$AB,'Detalhe Por UC'!$C:$C,'Infos Clientes'!$B80,'Detalhe Por UC'!$R:$R,'Infos Clientes'!AP$2)=0,"",
SUMIFS('Detalhe Por UC'!$AB:$AB,'Detalhe Por UC'!$C:$C,'Infos Clientes'!$B80,'Detalhe Por UC'!$R:$R,'Infos Clientes'!AP$2)
+SUMIFS('Detalhe Por UC'!$AC:$AC,'Detalhe Por UC'!$C:$C,'Infos Clientes'!$B80,'Detalhe Por UC'!$R:$R,'Infos Clientes'!AP$2))</f>
        <v>281</v>
      </c>
      <c r="AQ80" s="27">
        <f>IF(SUMIFS('Detalhe Por UC'!$AB:$AB,'Detalhe Por UC'!$C:$C,'Infos Clientes'!$B80,'Detalhe Por UC'!$R:$R,'Infos Clientes'!AQ$2)=0,"",
SUMIFS('Detalhe Por UC'!$AB:$AB,'Detalhe Por UC'!$C:$C,'Infos Clientes'!$B80,'Detalhe Por UC'!$R:$R,'Infos Clientes'!AQ$2)
+SUMIFS('Detalhe Por UC'!$AC:$AC,'Detalhe Por UC'!$C:$C,'Infos Clientes'!$B80,'Detalhe Por UC'!$R:$R,'Infos Clientes'!AQ$2))</f>
        <v>365</v>
      </c>
      <c r="AR80" s="27">
        <f>IF(SUMIFS('Detalhe Por UC'!$AB:$AB,'Detalhe Por UC'!$C:$C,'Infos Clientes'!$B80,'Detalhe Por UC'!$R:$R,'Infos Clientes'!AR$2)=0,"",
SUMIFS('Detalhe Por UC'!$AB:$AB,'Detalhe Por UC'!$C:$C,'Infos Clientes'!$B80,'Detalhe Por UC'!$R:$R,'Infos Clientes'!AR$2)
+SUMIFS('Detalhe Por UC'!$AC:$AC,'Detalhe Por UC'!$C:$C,'Infos Clientes'!$B80,'Detalhe Por UC'!$R:$R,'Infos Clientes'!AR$2))</f>
        <v>316</v>
      </c>
      <c r="AS80" s="27">
        <f>IF(SUMIFS('Detalhe Por UC'!$AB:$AB,'Detalhe Por UC'!$C:$C,'Infos Clientes'!$B80,'Detalhe Por UC'!$R:$R,'Infos Clientes'!AS$2)=0,"",
SUMIFS('Detalhe Por UC'!$AB:$AB,'Detalhe Por UC'!$C:$C,'Infos Clientes'!$B80,'Detalhe Por UC'!$R:$R,'Infos Clientes'!AS$2)
+SUMIFS('Detalhe Por UC'!$AC:$AC,'Detalhe Por UC'!$C:$C,'Infos Clientes'!$B80,'Detalhe Por UC'!$R:$R,'Infos Clientes'!AS$2))</f>
        <v>470</v>
      </c>
      <c r="AT80" s="27">
        <f>IF(SUMIFS('Detalhe Por UC'!$AB:$AB,'Detalhe Por UC'!$C:$C,'Infos Clientes'!$B80,'Detalhe Por UC'!$R:$R,'Infos Clientes'!AT$2)=0,"",
SUMIFS('Detalhe Por UC'!$AB:$AB,'Detalhe Por UC'!$C:$C,'Infos Clientes'!$B80,'Detalhe Por UC'!$R:$R,'Infos Clientes'!AT$2)
+SUMIFS('Detalhe Por UC'!$AC:$AC,'Detalhe Por UC'!$C:$C,'Infos Clientes'!$B80,'Detalhe Por UC'!$R:$R,'Infos Clientes'!AT$2))</f>
        <v>434</v>
      </c>
      <c r="AU80" s="27" t="str">
        <f>IF(SUMIFS('Detalhe Por UC'!$AB:$AB,'Detalhe Por UC'!$C:$C,'Infos Clientes'!$B80,'Detalhe Por UC'!$R:$R,'Infos Clientes'!AU$2)=0,"",
SUMIFS('Detalhe Por UC'!$AB:$AB,'Detalhe Por UC'!$C:$C,'Infos Clientes'!$B80,'Detalhe Por UC'!$R:$R,'Infos Clientes'!AU$2)
+SUMIFS('Detalhe Por UC'!$AC:$AC,'Detalhe Por UC'!$C:$C,'Infos Clientes'!$B80,'Detalhe Por UC'!$R:$R,'Infos Clientes'!AU$2))</f>
        <v/>
      </c>
    </row>
    <row r="81" spans="2:47" x14ac:dyDescent="0.3">
      <c r="B81" t="s">
        <v>209</v>
      </c>
      <c r="C81" s="14">
        <f t="shared" si="4"/>
        <v>81</v>
      </c>
      <c r="D81" t="s">
        <v>19</v>
      </c>
      <c r="E81" s="15">
        <v>371</v>
      </c>
      <c r="F81" t="s">
        <v>210</v>
      </c>
      <c r="G81" t="s">
        <v>211</v>
      </c>
      <c r="H81" t="str">
        <f t="shared" si="2"/>
        <v>10/504844-2</v>
      </c>
      <c r="I81" s="31" t="s">
        <v>22</v>
      </c>
      <c r="J81" s="31" t="s">
        <v>28</v>
      </c>
      <c r="K81" s="18" t="s">
        <v>138</v>
      </c>
      <c r="M81" s="32">
        <v>0.25</v>
      </c>
      <c r="Q81" s="22">
        <f>IF(_xlfn.MINIFS('Detalhe Por UC'!R:R,'Detalhe Por UC'!C:C,B81,'Detalhe Por UC'!AD:AD,"&gt;"&amp;0)=0,"",_xlfn.MINIFS('Detalhe Por UC'!R:R,'Detalhe Por UC'!C:C,B81,'Detalhe Por UC'!AD:AD,"&gt;"&amp;0))</f>
        <v>45658</v>
      </c>
      <c r="R81" s="23">
        <f>IF(P81&lt;&gt;"ATIVO",0,
IF(OR(Q81="",Q81=0,O81=0),O81,
O81-ROUND((MAX('Detalhe Por UC'!R:R)
-Q81)/(365/12),0)))</f>
        <v>0</v>
      </c>
      <c r="T81" s="29">
        <v>433.54545454545456</v>
      </c>
      <c r="U81" s="24">
        <f t="shared" si="3"/>
        <v>463.5</v>
      </c>
      <c r="X81">
        <v>449</v>
      </c>
      <c r="Y81">
        <v>477</v>
      </c>
      <c r="Z81">
        <v>674</v>
      </c>
      <c r="AA81">
        <v>623</v>
      </c>
      <c r="AB81">
        <v>0</v>
      </c>
      <c r="AC81">
        <v>233</v>
      </c>
      <c r="AD81">
        <v>200</v>
      </c>
      <c r="AE81">
        <v>264</v>
      </c>
      <c r="AF81">
        <v>323</v>
      </c>
      <c r="AG81">
        <v>533</v>
      </c>
      <c r="AH81">
        <v>399</v>
      </c>
      <c r="AI81" s="25">
        <v>529</v>
      </c>
      <c r="AJ81" s="27">
        <f>IF(SUMIFS('Detalhe Por UC'!$AB:$AB,'Detalhe Por UC'!$C:$C,'Infos Clientes'!$B81,'Detalhe Por UC'!$R:$R,'Infos Clientes'!AJ$2)=0,"",
SUMIFS('Detalhe Por UC'!$AB:$AB,'Detalhe Por UC'!$C:$C,'Infos Clientes'!$B81,'Detalhe Por UC'!$R:$R,'Infos Clientes'!AJ$2)
+SUMIFS('Detalhe Por UC'!$AC:$AC,'Detalhe Por UC'!$C:$C,'Infos Clientes'!$B81,'Detalhe Por UC'!$R:$R,'Infos Clientes'!AJ$2))</f>
        <v>514</v>
      </c>
      <c r="AK81" s="27">
        <f>IF(SUMIFS('Detalhe Por UC'!$AB:$AB,'Detalhe Por UC'!$C:$C,'Infos Clientes'!$B81,'Detalhe Por UC'!$R:$R,'Infos Clientes'!AK$2)=0,"",
SUMIFS('Detalhe Por UC'!$AB:$AB,'Detalhe Por UC'!$C:$C,'Infos Clientes'!$B81,'Detalhe Por UC'!$R:$R,'Infos Clientes'!AK$2)
+SUMIFS('Detalhe Por UC'!$AC:$AC,'Detalhe Por UC'!$C:$C,'Infos Clientes'!$B81,'Detalhe Por UC'!$R:$R,'Infos Clientes'!AK$2))</f>
        <v>544</v>
      </c>
      <c r="AL81" s="27">
        <f>IF(SUMIFS('Detalhe Por UC'!$AB:$AB,'Detalhe Por UC'!$C:$C,'Infos Clientes'!$B81,'Detalhe Por UC'!$R:$R,'Infos Clientes'!AL$2)=0,"",
SUMIFS('Detalhe Por UC'!$AB:$AB,'Detalhe Por UC'!$C:$C,'Infos Clientes'!$B81,'Detalhe Por UC'!$R:$R,'Infos Clientes'!AL$2)
+SUMIFS('Detalhe Por UC'!$AC:$AC,'Detalhe Por UC'!$C:$C,'Infos Clientes'!$B81,'Detalhe Por UC'!$R:$R,'Infos Clientes'!AL$2))</f>
        <v>567</v>
      </c>
      <c r="AM81" s="27">
        <f>IF(SUMIFS('Detalhe Por UC'!$AB:$AB,'Detalhe Por UC'!$C:$C,'Infos Clientes'!$B81,'Detalhe Por UC'!$R:$R,'Infos Clientes'!AM$2)=0,"",
SUMIFS('Detalhe Por UC'!$AB:$AB,'Detalhe Por UC'!$C:$C,'Infos Clientes'!$B81,'Detalhe Por UC'!$R:$R,'Infos Clientes'!AM$2)
+SUMIFS('Detalhe Por UC'!$AC:$AC,'Detalhe Por UC'!$C:$C,'Infos Clientes'!$B81,'Detalhe Por UC'!$R:$R,'Infos Clientes'!AM$2))</f>
        <v>621</v>
      </c>
      <c r="AN81" s="27">
        <f>IF(SUMIFS('Detalhe Por UC'!$AB:$AB,'Detalhe Por UC'!$C:$C,'Infos Clientes'!$B81,'Detalhe Por UC'!$R:$R,'Infos Clientes'!AN$2)=0,"",
SUMIFS('Detalhe Por UC'!$AB:$AB,'Detalhe Por UC'!$C:$C,'Infos Clientes'!$B81,'Detalhe Por UC'!$R:$R,'Infos Clientes'!AN$2)
+SUMIFS('Detalhe Por UC'!$AC:$AC,'Detalhe Por UC'!$C:$C,'Infos Clientes'!$B81,'Detalhe Por UC'!$R:$R,'Infos Clientes'!AN$2))</f>
        <v>470</v>
      </c>
      <c r="AO81" s="27">
        <f>IF(SUMIFS('Detalhe Por UC'!$AB:$AB,'Detalhe Por UC'!$C:$C,'Infos Clientes'!$B81,'Detalhe Por UC'!$R:$R,'Infos Clientes'!AO$2)=0,"",
SUMIFS('Detalhe Por UC'!$AB:$AB,'Detalhe Por UC'!$C:$C,'Infos Clientes'!$B81,'Detalhe Por UC'!$R:$R,'Infos Clientes'!AO$2)
+SUMIFS('Detalhe Por UC'!$AC:$AC,'Detalhe Por UC'!$C:$C,'Infos Clientes'!$B81,'Detalhe Por UC'!$R:$R,'Infos Clientes'!AO$2))</f>
        <v>329</v>
      </c>
      <c r="AP81" s="27">
        <f>IF(SUMIFS('Detalhe Por UC'!$AB:$AB,'Detalhe Por UC'!$C:$C,'Infos Clientes'!$B81,'Detalhe Por UC'!$R:$R,'Infos Clientes'!AP$2)=0,"",
SUMIFS('Detalhe Por UC'!$AB:$AB,'Detalhe Por UC'!$C:$C,'Infos Clientes'!$B81,'Detalhe Por UC'!$R:$R,'Infos Clientes'!AP$2)
+SUMIFS('Detalhe Por UC'!$AC:$AC,'Detalhe Por UC'!$C:$C,'Infos Clientes'!$B81,'Detalhe Por UC'!$R:$R,'Infos Clientes'!AP$2))</f>
        <v>255</v>
      </c>
      <c r="AQ81" s="27">
        <f>IF(SUMIFS('Detalhe Por UC'!$AB:$AB,'Detalhe Por UC'!$C:$C,'Infos Clientes'!$B81,'Detalhe Por UC'!$R:$R,'Infos Clientes'!AQ$2)=0,"",
SUMIFS('Detalhe Por UC'!$AB:$AB,'Detalhe Por UC'!$C:$C,'Infos Clientes'!$B81,'Detalhe Por UC'!$R:$R,'Infos Clientes'!AQ$2)
+SUMIFS('Detalhe Por UC'!$AC:$AC,'Detalhe Por UC'!$C:$C,'Infos Clientes'!$B81,'Detalhe Por UC'!$R:$R,'Infos Clientes'!AQ$2))</f>
        <v>290</v>
      </c>
      <c r="AR81" s="27">
        <f>IF(SUMIFS('Detalhe Por UC'!$AB:$AB,'Detalhe Por UC'!$C:$C,'Infos Clientes'!$B81,'Detalhe Por UC'!$R:$R,'Infos Clientes'!AR$2)=0,"",
SUMIFS('Detalhe Por UC'!$AB:$AB,'Detalhe Por UC'!$C:$C,'Infos Clientes'!$B81,'Detalhe Por UC'!$R:$R,'Infos Clientes'!AR$2)
+SUMIFS('Detalhe Por UC'!$AC:$AC,'Detalhe Por UC'!$C:$C,'Infos Clientes'!$B81,'Detalhe Por UC'!$R:$R,'Infos Clientes'!AR$2))</f>
        <v>401</v>
      </c>
      <c r="AS81" s="27">
        <f>IF(SUMIFS('Detalhe Por UC'!$AB:$AB,'Detalhe Por UC'!$C:$C,'Infos Clientes'!$B81,'Detalhe Por UC'!$R:$R,'Infos Clientes'!AS$2)=0,"",
SUMIFS('Detalhe Por UC'!$AB:$AB,'Detalhe Por UC'!$C:$C,'Infos Clientes'!$B81,'Detalhe Por UC'!$R:$R,'Infos Clientes'!AS$2)
+SUMIFS('Detalhe Por UC'!$AC:$AC,'Detalhe Por UC'!$C:$C,'Infos Clientes'!$B81,'Detalhe Por UC'!$R:$R,'Infos Clientes'!AS$2))</f>
        <v>471</v>
      </c>
      <c r="AT81" s="27">
        <f>IF(SUMIFS('Detalhe Por UC'!$AB:$AB,'Detalhe Por UC'!$C:$C,'Infos Clientes'!$B81,'Detalhe Por UC'!$R:$R,'Infos Clientes'!AT$2)=0,"",
SUMIFS('Detalhe Por UC'!$AB:$AB,'Detalhe Por UC'!$C:$C,'Infos Clientes'!$B81,'Detalhe Por UC'!$R:$R,'Infos Clientes'!AT$2)
+SUMIFS('Detalhe Por UC'!$AC:$AC,'Detalhe Por UC'!$C:$C,'Infos Clientes'!$B81,'Detalhe Por UC'!$R:$R,'Infos Clientes'!AT$2))</f>
        <v>571</v>
      </c>
      <c r="AU81" s="27" t="str">
        <f>IF(SUMIFS('Detalhe Por UC'!$AB:$AB,'Detalhe Por UC'!$C:$C,'Infos Clientes'!$B81,'Detalhe Por UC'!$R:$R,'Infos Clientes'!AU$2)=0,"",
SUMIFS('Detalhe Por UC'!$AB:$AB,'Detalhe Por UC'!$C:$C,'Infos Clientes'!$B81,'Detalhe Por UC'!$R:$R,'Infos Clientes'!AU$2)
+SUMIFS('Detalhe Por UC'!$AC:$AC,'Detalhe Por UC'!$C:$C,'Infos Clientes'!$B81,'Detalhe Por UC'!$R:$R,'Infos Clientes'!AU$2))</f>
        <v/>
      </c>
    </row>
    <row r="82" spans="2:47" x14ac:dyDescent="0.3">
      <c r="B82" s="28" t="s">
        <v>212</v>
      </c>
      <c r="C82" s="14">
        <v>52</v>
      </c>
      <c r="D82" t="s">
        <v>19</v>
      </c>
      <c r="E82" s="15">
        <v>351</v>
      </c>
      <c r="F82" t="s">
        <v>213</v>
      </c>
      <c r="H82" t="str">
        <f t="shared" si="2"/>
        <v>10/505854-0</v>
      </c>
      <c r="I82" s="31" t="s">
        <v>22</v>
      </c>
      <c r="J82" s="31" t="s">
        <v>28</v>
      </c>
      <c r="K82" s="18" t="s">
        <v>138</v>
      </c>
      <c r="M82" s="32">
        <v>0.25</v>
      </c>
      <c r="Q82" s="22">
        <f>IF(_xlfn.MINIFS('Detalhe Por UC'!R:R,'Detalhe Por UC'!C:C,B82,'Detalhe Por UC'!AD:AD,"&gt;"&amp;0)=0,"",_xlfn.MINIFS('Detalhe Por UC'!R:R,'Detalhe Por UC'!C:C,B82,'Detalhe Por UC'!AD:AD,"&gt;"&amp;0))</f>
        <v>45689</v>
      </c>
      <c r="R82" s="23">
        <f>IF(P82&lt;&gt;"ATIVO",0,
IF(OR(Q82="",Q82=0,O82=0),O82,
O82-ROUND((MAX('Detalhe Por UC'!R:R)
-Q82)/(365/12),0)))</f>
        <v>0</v>
      </c>
      <c r="T82" s="29">
        <v>93.7</v>
      </c>
      <c r="U82" s="24">
        <f t="shared" si="3"/>
        <v>111.83333333333333</v>
      </c>
      <c r="X82">
        <v>104</v>
      </c>
      <c r="Y82">
        <v>79</v>
      </c>
      <c r="Z82">
        <v>76</v>
      </c>
      <c r="AA82">
        <v>72</v>
      </c>
      <c r="AB82">
        <v>0</v>
      </c>
      <c r="AC82">
        <v>85</v>
      </c>
      <c r="AD82">
        <v>100</v>
      </c>
      <c r="AE82">
        <v>106</v>
      </c>
      <c r="AF82">
        <v>112</v>
      </c>
      <c r="AG82">
        <v>111</v>
      </c>
      <c r="AH82">
        <v>96</v>
      </c>
      <c r="AI82" s="25">
        <v>100</v>
      </c>
      <c r="AJ82" s="27" t="str">
        <f>IF(SUMIFS('Detalhe Por UC'!$AB:$AB,'Detalhe Por UC'!$C:$C,'Infos Clientes'!$B82,'Detalhe Por UC'!$R:$R,'Infos Clientes'!AJ$2)=0,"",
SUMIFS('Detalhe Por UC'!$AB:$AB,'Detalhe Por UC'!$C:$C,'Infos Clientes'!$B82,'Detalhe Por UC'!$R:$R,'Infos Clientes'!AJ$2)
+SUMIFS('Detalhe Por UC'!$AC:$AC,'Detalhe Por UC'!$C:$C,'Infos Clientes'!$B82,'Detalhe Por UC'!$R:$R,'Infos Clientes'!AJ$2))</f>
        <v/>
      </c>
      <c r="AK82" s="27">
        <f>IF(SUMIFS('Detalhe Por UC'!$AB:$AB,'Detalhe Por UC'!$C:$C,'Infos Clientes'!$B82,'Detalhe Por UC'!$R:$R,'Infos Clientes'!AK$2)=0,"",
SUMIFS('Detalhe Por UC'!$AB:$AB,'Detalhe Por UC'!$C:$C,'Infos Clientes'!$B82,'Detalhe Por UC'!$R:$R,'Infos Clientes'!AK$2)
+SUMIFS('Detalhe Por UC'!$AC:$AC,'Detalhe Por UC'!$C:$C,'Infos Clientes'!$B82,'Detalhe Por UC'!$R:$R,'Infos Clientes'!AK$2))</f>
        <v>139</v>
      </c>
      <c r="AL82" s="27">
        <f>IF(SUMIFS('Detalhe Por UC'!$AB:$AB,'Detalhe Por UC'!$C:$C,'Infos Clientes'!$B82,'Detalhe Por UC'!$R:$R,'Infos Clientes'!AL$2)=0,"",
SUMIFS('Detalhe Por UC'!$AB:$AB,'Detalhe Por UC'!$C:$C,'Infos Clientes'!$B82,'Detalhe Por UC'!$R:$R,'Infos Clientes'!AL$2)
+SUMIFS('Detalhe Por UC'!$AC:$AC,'Detalhe Por UC'!$C:$C,'Infos Clientes'!$B82,'Detalhe Por UC'!$R:$R,'Infos Clientes'!AL$2))</f>
        <v>120</v>
      </c>
      <c r="AM82" s="27" t="str">
        <f>IF(SUMIFS('Detalhe Por UC'!$AB:$AB,'Detalhe Por UC'!$C:$C,'Infos Clientes'!$B82,'Detalhe Por UC'!$R:$R,'Infos Clientes'!AM$2)=0,"",
SUMIFS('Detalhe Por UC'!$AB:$AB,'Detalhe Por UC'!$C:$C,'Infos Clientes'!$B82,'Detalhe Por UC'!$R:$R,'Infos Clientes'!AM$2)
+SUMIFS('Detalhe Por UC'!$AC:$AC,'Detalhe Por UC'!$C:$C,'Infos Clientes'!$B82,'Detalhe Por UC'!$R:$R,'Infos Clientes'!AM$2))</f>
        <v/>
      </c>
      <c r="AN82" s="27" t="str">
        <f>IF(SUMIFS('Detalhe Por UC'!$AB:$AB,'Detalhe Por UC'!$C:$C,'Infos Clientes'!$B82,'Detalhe Por UC'!$R:$R,'Infos Clientes'!AN$2)=0,"",
SUMIFS('Detalhe Por UC'!$AB:$AB,'Detalhe Por UC'!$C:$C,'Infos Clientes'!$B82,'Detalhe Por UC'!$R:$R,'Infos Clientes'!AN$2)
+SUMIFS('Detalhe Por UC'!$AC:$AC,'Detalhe Por UC'!$C:$C,'Infos Clientes'!$B82,'Detalhe Por UC'!$R:$R,'Infos Clientes'!AN$2))</f>
        <v/>
      </c>
      <c r="AO82" s="27" t="str">
        <f>IF(SUMIFS('Detalhe Por UC'!$AB:$AB,'Detalhe Por UC'!$C:$C,'Infos Clientes'!$B82,'Detalhe Por UC'!$R:$R,'Infos Clientes'!AO$2)=0,"",
SUMIFS('Detalhe Por UC'!$AB:$AB,'Detalhe Por UC'!$C:$C,'Infos Clientes'!$B82,'Detalhe Por UC'!$R:$R,'Infos Clientes'!AO$2)
+SUMIFS('Detalhe Por UC'!$AC:$AC,'Detalhe Por UC'!$C:$C,'Infos Clientes'!$B82,'Detalhe Por UC'!$R:$R,'Infos Clientes'!AO$2))</f>
        <v/>
      </c>
      <c r="AP82" s="27" t="str">
        <f>IF(SUMIFS('Detalhe Por UC'!$AB:$AB,'Detalhe Por UC'!$C:$C,'Infos Clientes'!$B82,'Detalhe Por UC'!$R:$R,'Infos Clientes'!AP$2)=0,"",
SUMIFS('Detalhe Por UC'!$AB:$AB,'Detalhe Por UC'!$C:$C,'Infos Clientes'!$B82,'Detalhe Por UC'!$R:$R,'Infos Clientes'!AP$2)
+SUMIFS('Detalhe Por UC'!$AC:$AC,'Detalhe Por UC'!$C:$C,'Infos Clientes'!$B82,'Detalhe Por UC'!$R:$R,'Infos Clientes'!AP$2))</f>
        <v/>
      </c>
      <c r="AQ82" s="27">
        <f>IF(SUMIFS('Detalhe Por UC'!$AB:$AB,'Detalhe Por UC'!$C:$C,'Infos Clientes'!$B82,'Detalhe Por UC'!$R:$R,'Infos Clientes'!AQ$2)=0,"",
SUMIFS('Detalhe Por UC'!$AB:$AB,'Detalhe Por UC'!$C:$C,'Infos Clientes'!$B82,'Detalhe Por UC'!$R:$R,'Infos Clientes'!AQ$2)
+SUMIFS('Detalhe Por UC'!$AC:$AC,'Detalhe Por UC'!$C:$C,'Infos Clientes'!$B82,'Detalhe Por UC'!$R:$R,'Infos Clientes'!AQ$2))</f>
        <v>100</v>
      </c>
      <c r="AR82" s="27" t="str">
        <f>IF(SUMIFS('Detalhe Por UC'!$AB:$AB,'Detalhe Por UC'!$C:$C,'Infos Clientes'!$B82,'Detalhe Por UC'!$R:$R,'Infos Clientes'!AR$2)=0,"",
SUMIFS('Detalhe Por UC'!$AB:$AB,'Detalhe Por UC'!$C:$C,'Infos Clientes'!$B82,'Detalhe Por UC'!$R:$R,'Infos Clientes'!AR$2)
+SUMIFS('Detalhe Por UC'!$AC:$AC,'Detalhe Por UC'!$C:$C,'Infos Clientes'!$B82,'Detalhe Por UC'!$R:$R,'Infos Clientes'!AR$2))</f>
        <v/>
      </c>
      <c r="AS82" s="27">
        <f>IF(SUMIFS('Detalhe Por UC'!$AB:$AB,'Detalhe Por UC'!$C:$C,'Infos Clientes'!$B82,'Detalhe Por UC'!$R:$R,'Infos Clientes'!AS$2)=0,"",
SUMIFS('Detalhe Por UC'!$AB:$AB,'Detalhe Por UC'!$C:$C,'Infos Clientes'!$B82,'Detalhe Por UC'!$R:$R,'Infos Clientes'!AS$2)
+SUMIFS('Detalhe Por UC'!$AC:$AC,'Detalhe Por UC'!$C:$C,'Infos Clientes'!$B82,'Detalhe Por UC'!$R:$R,'Infos Clientes'!AS$2))</f>
        <v>100</v>
      </c>
      <c r="AT82" s="27">
        <f>IF(SUMIFS('Detalhe Por UC'!$AB:$AB,'Detalhe Por UC'!$C:$C,'Infos Clientes'!$B82,'Detalhe Por UC'!$R:$R,'Infos Clientes'!AT$2)=0,"",
SUMIFS('Detalhe Por UC'!$AB:$AB,'Detalhe Por UC'!$C:$C,'Infos Clientes'!$B82,'Detalhe Por UC'!$R:$R,'Infos Clientes'!AT$2)
+SUMIFS('Detalhe Por UC'!$AC:$AC,'Detalhe Por UC'!$C:$C,'Infos Clientes'!$B82,'Detalhe Por UC'!$R:$R,'Infos Clientes'!AT$2))</f>
        <v>112</v>
      </c>
      <c r="AU82" s="27" t="str">
        <f>IF(SUMIFS('Detalhe Por UC'!$AB:$AB,'Detalhe Por UC'!$C:$C,'Infos Clientes'!$B82,'Detalhe Por UC'!$R:$R,'Infos Clientes'!AU$2)=0,"",
SUMIFS('Detalhe Por UC'!$AB:$AB,'Detalhe Por UC'!$C:$C,'Infos Clientes'!$B82,'Detalhe Por UC'!$R:$R,'Infos Clientes'!AU$2)
+SUMIFS('Detalhe Por UC'!$AC:$AC,'Detalhe Por UC'!$C:$C,'Infos Clientes'!$B82,'Detalhe Por UC'!$R:$R,'Infos Clientes'!AU$2))</f>
        <v/>
      </c>
    </row>
    <row r="83" spans="2:47" x14ac:dyDescent="0.3">
      <c r="B83" t="s">
        <v>214</v>
      </c>
      <c r="C83" s="14">
        <f t="shared" si="4"/>
        <v>83</v>
      </c>
      <c r="D83" t="s">
        <v>19</v>
      </c>
      <c r="E83" s="15">
        <v>349</v>
      </c>
      <c r="F83" t="s">
        <v>215</v>
      </c>
      <c r="G83" t="s">
        <v>66</v>
      </c>
      <c r="H83" t="str">
        <f t="shared" si="2"/>
        <v>10/512142-1</v>
      </c>
      <c r="I83" s="31" t="s">
        <v>22</v>
      </c>
      <c r="J83" s="31" t="s">
        <v>28</v>
      </c>
      <c r="K83" s="18" t="s">
        <v>138</v>
      </c>
      <c r="M83" s="32">
        <v>0.25</v>
      </c>
      <c r="Q83" s="22">
        <f>IF(_xlfn.MINIFS('Detalhe Por UC'!R:R,'Detalhe Por UC'!C:C,B83,'Detalhe Por UC'!AD:AD,"&gt;"&amp;0)=0,"",_xlfn.MINIFS('Detalhe Por UC'!R:R,'Detalhe Por UC'!C:C,B83,'Detalhe Por UC'!AD:AD,"&gt;"&amp;0))</f>
        <v>45658</v>
      </c>
      <c r="R83" s="23">
        <f>IF(P83&lt;&gt;"ATIVO",0,
IF(OR(Q83="",Q83=0,O83=0),O83,
O83-ROUND((MAX('Detalhe Por UC'!R:R)
-Q83)/(365/12),0)))</f>
        <v>0</v>
      </c>
      <c r="T83" s="29">
        <v>254.09090909090909</v>
      </c>
      <c r="U83" s="24">
        <f t="shared" si="3"/>
        <v>255.33333333333334</v>
      </c>
      <c r="X83">
        <v>304</v>
      </c>
      <c r="Y83">
        <v>278</v>
      </c>
      <c r="Z83">
        <v>288</v>
      </c>
      <c r="AA83">
        <v>287</v>
      </c>
      <c r="AB83">
        <v>0</v>
      </c>
      <c r="AC83">
        <v>226</v>
      </c>
      <c r="AD83">
        <v>181</v>
      </c>
      <c r="AE83">
        <v>204</v>
      </c>
      <c r="AF83">
        <v>261</v>
      </c>
      <c r="AG83">
        <v>245</v>
      </c>
      <c r="AH83">
        <v>279</v>
      </c>
      <c r="AI83" s="25">
        <v>255</v>
      </c>
      <c r="AJ83" s="27">
        <f>IF(SUMIFS('Detalhe Por UC'!$AB:$AB,'Detalhe Por UC'!$C:$C,'Infos Clientes'!$B83,'Detalhe Por UC'!$R:$R,'Infos Clientes'!AJ$2)=0,"",
SUMIFS('Detalhe Por UC'!$AB:$AB,'Detalhe Por UC'!$C:$C,'Infos Clientes'!$B83,'Detalhe Por UC'!$R:$R,'Infos Clientes'!AJ$2)
+SUMIFS('Detalhe Por UC'!$AC:$AC,'Detalhe Por UC'!$C:$C,'Infos Clientes'!$B83,'Detalhe Por UC'!$R:$R,'Infos Clientes'!AJ$2))</f>
        <v>291</v>
      </c>
      <c r="AK83" s="27">
        <f>IF(SUMIFS('Detalhe Por UC'!$AB:$AB,'Detalhe Por UC'!$C:$C,'Infos Clientes'!$B83,'Detalhe Por UC'!$R:$R,'Infos Clientes'!AK$2)=0,"",
SUMIFS('Detalhe Por UC'!$AB:$AB,'Detalhe Por UC'!$C:$C,'Infos Clientes'!$B83,'Detalhe Por UC'!$R:$R,'Infos Clientes'!AK$2)
+SUMIFS('Detalhe Por UC'!$AC:$AC,'Detalhe Por UC'!$C:$C,'Infos Clientes'!$B83,'Detalhe Por UC'!$R:$R,'Infos Clientes'!AK$2))</f>
        <v>220</v>
      </c>
      <c r="AL83" s="27" t="str">
        <f>IF(SUMIFS('Detalhe Por UC'!$AB:$AB,'Detalhe Por UC'!$C:$C,'Infos Clientes'!$B83,'Detalhe Por UC'!$R:$R,'Infos Clientes'!AL$2)=0,"",
SUMIFS('Detalhe Por UC'!$AB:$AB,'Detalhe Por UC'!$C:$C,'Infos Clientes'!$B83,'Detalhe Por UC'!$R:$R,'Infos Clientes'!AL$2)
+SUMIFS('Detalhe Por UC'!$AC:$AC,'Detalhe Por UC'!$C:$C,'Infos Clientes'!$B83,'Detalhe Por UC'!$R:$R,'Infos Clientes'!AL$2))</f>
        <v/>
      </c>
      <c r="AM83" s="27" t="str">
        <f>IF(SUMIFS('Detalhe Por UC'!$AB:$AB,'Detalhe Por UC'!$C:$C,'Infos Clientes'!$B83,'Detalhe Por UC'!$R:$R,'Infos Clientes'!AM$2)=0,"",
SUMIFS('Detalhe Por UC'!$AB:$AB,'Detalhe Por UC'!$C:$C,'Infos Clientes'!$B83,'Detalhe Por UC'!$R:$R,'Infos Clientes'!AM$2)
+SUMIFS('Detalhe Por UC'!$AC:$AC,'Detalhe Por UC'!$C:$C,'Infos Clientes'!$B83,'Detalhe Por UC'!$R:$R,'Infos Clientes'!AM$2))</f>
        <v/>
      </c>
      <c r="AN83" s="27" t="str">
        <f>IF(SUMIFS('Detalhe Por UC'!$AB:$AB,'Detalhe Por UC'!$C:$C,'Infos Clientes'!$B83,'Detalhe Por UC'!$R:$R,'Infos Clientes'!AN$2)=0,"",
SUMIFS('Detalhe Por UC'!$AB:$AB,'Detalhe Por UC'!$C:$C,'Infos Clientes'!$B83,'Detalhe Por UC'!$R:$R,'Infos Clientes'!AN$2)
+SUMIFS('Detalhe Por UC'!$AC:$AC,'Detalhe Por UC'!$C:$C,'Infos Clientes'!$B83,'Detalhe Por UC'!$R:$R,'Infos Clientes'!AN$2))</f>
        <v/>
      </c>
      <c r="AO83" s="27" t="str">
        <f>IF(SUMIFS('Detalhe Por UC'!$AB:$AB,'Detalhe Por UC'!$C:$C,'Infos Clientes'!$B83,'Detalhe Por UC'!$R:$R,'Infos Clientes'!AO$2)=0,"",
SUMIFS('Detalhe Por UC'!$AB:$AB,'Detalhe Por UC'!$C:$C,'Infos Clientes'!$B83,'Detalhe Por UC'!$R:$R,'Infos Clientes'!AO$2)
+SUMIFS('Detalhe Por UC'!$AC:$AC,'Detalhe Por UC'!$C:$C,'Infos Clientes'!$B83,'Detalhe Por UC'!$R:$R,'Infos Clientes'!AO$2))</f>
        <v/>
      </c>
      <c r="AP83" s="27" t="str">
        <f>IF(SUMIFS('Detalhe Por UC'!$AB:$AB,'Detalhe Por UC'!$C:$C,'Infos Clientes'!$B83,'Detalhe Por UC'!$R:$R,'Infos Clientes'!AP$2)=0,"",
SUMIFS('Detalhe Por UC'!$AB:$AB,'Detalhe Por UC'!$C:$C,'Infos Clientes'!$B83,'Detalhe Por UC'!$R:$R,'Infos Clientes'!AP$2)
+SUMIFS('Detalhe Por UC'!$AC:$AC,'Detalhe Por UC'!$C:$C,'Infos Clientes'!$B83,'Detalhe Por UC'!$R:$R,'Infos Clientes'!AP$2))</f>
        <v/>
      </c>
      <c r="AQ83" s="27" t="str">
        <f>IF(SUMIFS('Detalhe Por UC'!$AB:$AB,'Detalhe Por UC'!$C:$C,'Infos Clientes'!$B83,'Detalhe Por UC'!$R:$R,'Infos Clientes'!AQ$2)=0,"",
SUMIFS('Detalhe Por UC'!$AB:$AB,'Detalhe Por UC'!$C:$C,'Infos Clientes'!$B83,'Detalhe Por UC'!$R:$R,'Infos Clientes'!AQ$2)
+SUMIFS('Detalhe Por UC'!$AC:$AC,'Detalhe Por UC'!$C:$C,'Infos Clientes'!$B83,'Detalhe Por UC'!$R:$R,'Infos Clientes'!AQ$2))</f>
        <v/>
      </c>
      <c r="AR83" s="27" t="str">
        <f>IF(SUMIFS('Detalhe Por UC'!$AB:$AB,'Detalhe Por UC'!$C:$C,'Infos Clientes'!$B83,'Detalhe Por UC'!$R:$R,'Infos Clientes'!AR$2)=0,"",
SUMIFS('Detalhe Por UC'!$AB:$AB,'Detalhe Por UC'!$C:$C,'Infos Clientes'!$B83,'Detalhe Por UC'!$R:$R,'Infos Clientes'!AR$2)
+SUMIFS('Detalhe Por UC'!$AC:$AC,'Detalhe Por UC'!$C:$C,'Infos Clientes'!$B83,'Detalhe Por UC'!$R:$R,'Infos Clientes'!AR$2))</f>
        <v/>
      </c>
      <c r="AS83" s="27" t="str">
        <f>IF(SUMIFS('Detalhe Por UC'!$AB:$AB,'Detalhe Por UC'!$C:$C,'Infos Clientes'!$B83,'Detalhe Por UC'!$R:$R,'Infos Clientes'!AS$2)=0,"",
SUMIFS('Detalhe Por UC'!$AB:$AB,'Detalhe Por UC'!$C:$C,'Infos Clientes'!$B83,'Detalhe Por UC'!$R:$R,'Infos Clientes'!AS$2)
+SUMIFS('Detalhe Por UC'!$AC:$AC,'Detalhe Por UC'!$C:$C,'Infos Clientes'!$B83,'Detalhe Por UC'!$R:$R,'Infos Clientes'!AS$2))</f>
        <v/>
      </c>
      <c r="AT83" s="27" t="str">
        <f>IF(SUMIFS('Detalhe Por UC'!$AB:$AB,'Detalhe Por UC'!$C:$C,'Infos Clientes'!$B83,'Detalhe Por UC'!$R:$R,'Infos Clientes'!AT$2)=0,"",
SUMIFS('Detalhe Por UC'!$AB:$AB,'Detalhe Por UC'!$C:$C,'Infos Clientes'!$B83,'Detalhe Por UC'!$R:$R,'Infos Clientes'!AT$2)
+SUMIFS('Detalhe Por UC'!$AC:$AC,'Detalhe Por UC'!$C:$C,'Infos Clientes'!$B83,'Detalhe Por UC'!$R:$R,'Infos Clientes'!AT$2))</f>
        <v/>
      </c>
      <c r="AU83" s="27" t="str">
        <f>IF(SUMIFS('Detalhe Por UC'!$AB:$AB,'Detalhe Por UC'!$C:$C,'Infos Clientes'!$B83,'Detalhe Por UC'!$R:$R,'Infos Clientes'!AU$2)=0,"",
SUMIFS('Detalhe Por UC'!$AB:$AB,'Detalhe Por UC'!$C:$C,'Infos Clientes'!$B83,'Detalhe Por UC'!$R:$R,'Infos Clientes'!AU$2)
+SUMIFS('Detalhe Por UC'!$AC:$AC,'Detalhe Por UC'!$C:$C,'Infos Clientes'!$B83,'Detalhe Por UC'!$R:$R,'Infos Clientes'!AU$2))</f>
        <v/>
      </c>
    </row>
    <row r="84" spans="2:47" x14ac:dyDescent="0.3">
      <c r="B84" t="s">
        <v>216</v>
      </c>
      <c r="C84" s="14">
        <f t="shared" si="4"/>
        <v>84</v>
      </c>
      <c r="D84" t="s">
        <v>19</v>
      </c>
      <c r="E84" s="15">
        <v>319</v>
      </c>
      <c r="F84" t="s">
        <v>26</v>
      </c>
      <c r="H84" t="str">
        <f t="shared" si="2"/>
        <v>10/52987-5</v>
      </c>
      <c r="I84" s="31" t="s">
        <v>22</v>
      </c>
      <c r="J84" s="31" t="s">
        <v>28</v>
      </c>
      <c r="K84" s="18" t="s">
        <v>138</v>
      </c>
      <c r="M84" s="32">
        <v>0.25</v>
      </c>
      <c r="Q84" s="22">
        <f>IF(_xlfn.MINIFS('Detalhe Por UC'!R:R,'Detalhe Por UC'!C:C,B84,'Detalhe Por UC'!AD:AD,"&gt;"&amp;0)=0,"",_xlfn.MINIFS('Detalhe Por UC'!R:R,'Detalhe Por UC'!C:C,B84,'Detalhe Por UC'!AD:AD,"&gt;"&amp;0))</f>
        <v>45658</v>
      </c>
      <c r="R84" s="23">
        <f>IF(P84&lt;&gt;"ATIVO",0,
IF(OR(Q84="",Q84=0,O84=0),O84,
O84-ROUND((MAX('Detalhe Por UC'!R:R)
-Q84)/(365/12),0)))</f>
        <v>0</v>
      </c>
      <c r="T84" s="29">
        <v>264</v>
      </c>
      <c r="U84" s="24">
        <f t="shared" si="3"/>
        <v>273.75</v>
      </c>
      <c r="X84">
        <v>313</v>
      </c>
      <c r="Y84">
        <v>335</v>
      </c>
      <c r="Z84">
        <v>431</v>
      </c>
      <c r="AA84">
        <v>357</v>
      </c>
      <c r="AB84">
        <v>0</v>
      </c>
      <c r="AC84">
        <v>173</v>
      </c>
      <c r="AD84">
        <v>107</v>
      </c>
      <c r="AE84">
        <v>120</v>
      </c>
      <c r="AF84">
        <v>172</v>
      </c>
      <c r="AG84">
        <v>315</v>
      </c>
      <c r="AH84">
        <v>222</v>
      </c>
      <c r="AI84" s="25">
        <v>314</v>
      </c>
      <c r="AJ84" s="27">
        <f>IF(SUMIFS('Detalhe Por UC'!$AB:$AB,'Detalhe Por UC'!$C:$C,'Infos Clientes'!$B84,'Detalhe Por UC'!$R:$R,'Infos Clientes'!AJ$2)=0,"",
SUMIFS('Detalhe Por UC'!$AB:$AB,'Detalhe Por UC'!$C:$C,'Infos Clientes'!$B84,'Detalhe Por UC'!$R:$R,'Infos Clientes'!AJ$2)
+SUMIFS('Detalhe Por UC'!$AC:$AC,'Detalhe Por UC'!$C:$C,'Infos Clientes'!$B84,'Detalhe Por UC'!$R:$R,'Infos Clientes'!AJ$2))</f>
        <v>358</v>
      </c>
      <c r="AK84" s="27">
        <f>IF(SUMIFS('Detalhe Por UC'!$AB:$AB,'Detalhe Por UC'!$C:$C,'Infos Clientes'!$B84,'Detalhe Por UC'!$R:$R,'Infos Clientes'!AK$2)=0,"",
SUMIFS('Detalhe Por UC'!$AB:$AB,'Detalhe Por UC'!$C:$C,'Infos Clientes'!$B84,'Detalhe Por UC'!$R:$R,'Infos Clientes'!AK$2)
+SUMIFS('Detalhe Por UC'!$AC:$AC,'Detalhe Por UC'!$C:$C,'Infos Clientes'!$B84,'Detalhe Por UC'!$R:$R,'Infos Clientes'!AK$2))</f>
        <v>467</v>
      </c>
      <c r="AL84" s="27">
        <f>IF(SUMIFS('Detalhe Por UC'!$AB:$AB,'Detalhe Por UC'!$C:$C,'Infos Clientes'!$B84,'Detalhe Por UC'!$R:$R,'Infos Clientes'!AL$2)=0,"",
SUMIFS('Detalhe Por UC'!$AB:$AB,'Detalhe Por UC'!$C:$C,'Infos Clientes'!$B84,'Detalhe Por UC'!$R:$R,'Infos Clientes'!AL$2)
+SUMIFS('Detalhe Por UC'!$AC:$AC,'Detalhe Por UC'!$C:$C,'Infos Clientes'!$B84,'Detalhe Por UC'!$R:$R,'Infos Clientes'!AL$2))</f>
        <v>433</v>
      </c>
      <c r="AM84" s="27">
        <f>IF(SUMIFS('Detalhe Por UC'!$AB:$AB,'Detalhe Por UC'!$C:$C,'Infos Clientes'!$B84,'Detalhe Por UC'!$R:$R,'Infos Clientes'!AM$2)=0,"",
SUMIFS('Detalhe Por UC'!$AB:$AB,'Detalhe Por UC'!$C:$C,'Infos Clientes'!$B84,'Detalhe Por UC'!$R:$R,'Infos Clientes'!AM$2)
+SUMIFS('Detalhe Por UC'!$AC:$AC,'Detalhe Por UC'!$C:$C,'Infos Clientes'!$B84,'Detalhe Por UC'!$R:$R,'Infos Clientes'!AM$2))</f>
        <v>286</v>
      </c>
      <c r="AN84" s="27">
        <f>IF(SUMIFS('Detalhe Por UC'!$AB:$AB,'Detalhe Por UC'!$C:$C,'Infos Clientes'!$B84,'Detalhe Por UC'!$R:$R,'Infos Clientes'!AN$2)=0,"",
SUMIFS('Detalhe Por UC'!$AB:$AB,'Detalhe Por UC'!$C:$C,'Infos Clientes'!$B84,'Detalhe Por UC'!$R:$R,'Infos Clientes'!AN$2)
+SUMIFS('Detalhe Por UC'!$AC:$AC,'Detalhe Por UC'!$C:$C,'Infos Clientes'!$B84,'Detalhe Por UC'!$R:$R,'Infos Clientes'!AN$2))</f>
        <v>213</v>
      </c>
      <c r="AO84" s="27">
        <f>IF(SUMIFS('Detalhe Por UC'!$AB:$AB,'Detalhe Por UC'!$C:$C,'Infos Clientes'!$B84,'Detalhe Por UC'!$R:$R,'Infos Clientes'!AO$2)=0,"",
SUMIFS('Detalhe Por UC'!$AB:$AB,'Detalhe Por UC'!$C:$C,'Infos Clientes'!$B84,'Detalhe Por UC'!$R:$R,'Infos Clientes'!AO$2)
+SUMIFS('Detalhe Por UC'!$AC:$AC,'Detalhe Por UC'!$C:$C,'Infos Clientes'!$B84,'Detalhe Por UC'!$R:$R,'Infos Clientes'!AO$2))</f>
        <v>185</v>
      </c>
      <c r="AP84" s="27">
        <f>IF(SUMIFS('Detalhe Por UC'!$AB:$AB,'Detalhe Por UC'!$C:$C,'Infos Clientes'!$B84,'Detalhe Por UC'!$R:$R,'Infos Clientes'!AP$2)=0,"",
SUMIFS('Detalhe Por UC'!$AB:$AB,'Detalhe Por UC'!$C:$C,'Infos Clientes'!$B84,'Detalhe Por UC'!$R:$R,'Infos Clientes'!AP$2)
+SUMIFS('Detalhe Por UC'!$AC:$AC,'Detalhe Por UC'!$C:$C,'Infos Clientes'!$B84,'Detalhe Por UC'!$R:$R,'Infos Clientes'!AP$2))</f>
        <v>139</v>
      </c>
      <c r="AQ84" s="27">
        <f>IF(SUMIFS('Detalhe Por UC'!$AB:$AB,'Detalhe Por UC'!$C:$C,'Infos Clientes'!$B84,'Detalhe Por UC'!$R:$R,'Infos Clientes'!AQ$2)=0,"",
SUMIFS('Detalhe Por UC'!$AB:$AB,'Detalhe Por UC'!$C:$C,'Infos Clientes'!$B84,'Detalhe Por UC'!$R:$R,'Infos Clientes'!AQ$2)
+SUMIFS('Detalhe Por UC'!$AC:$AC,'Detalhe Por UC'!$C:$C,'Infos Clientes'!$B84,'Detalhe Por UC'!$R:$R,'Infos Clientes'!AQ$2))</f>
        <v>176</v>
      </c>
      <c r="AR84" s="27">
        <f>IF(SUMIFS('Detalhe Por UC'!$AB:$AB,'Detalhe Por UC'!$C:$C,'Infos Clientes'!$B84,'Detalhe Por UC'!$R:$R,'Infos Clientes'!AR$2)=0,"",
SUMIFS('Detalhe Por UC'!$AB:$AB,'Detalhe Por UC'!$C:$C,'Infos Clientes'!$B84,'Detalhe Por UC'!$R:$R,'Infos Clientes'!AR$2)
+SUMIFS('Detalhe Por UC'!$AC:$AC,'Detalhe Por UC'!$C:$C,'Infos Clientes'!$B84,'Detalhe Por UC'!$R:$R,'Infos Clientes'!AR$2))</f>
        <v>193</v>
      </c>
      <c r="AS84" s="27">
        <f>IF(SUMIFS('Detalhe Por UC'!$AB:$AB,'Detalhe Por UC'!$C:$C,'Infos Clientes'!$B84,'Detalhe Por UC'!$R:$R,'Infos Clientes'!AS$2)=0,"",
SUMIFS('Detalhe Por UC'!$AB:$AB,'Detalhe Por UC'!$C:$C,'Infos Clientes'!$B84,'Detalhe Por UC'!$R:$R,'Infos Clientes'!AS$2)
+SUMIFS('Detalhe Por UC'!$AC:$AC,'Detalhe Por UC'!$C:$C,'Infos Clientes'!$B84,'Detalhe Por UC'!$R:$R,'Infos Clientes'!AS$2))</f>
        <v>304</v>
      </c>
      <c r="AT84" s="27">
        <f>IF(SUMIFS('Detalhe Por UC'!$AB:$AB,'Detalhe Por UC'!$C:$C,'Infos Clientes'!$B84,'Detalhe Por UC'!$R:$R,'Infos Clientes'!AT$2)=0,"",
SUMIFS('Detalhe Por UC'!$AB:$AB,'Detalhe Por UC'!$C:$C,'Infos Clientes'!$B84,'Detalhe Por UC'!$R:$R,'Infos Clientes'!AT$2)
+SUMIFS('Detalhe Por UC'!$AC:$AC,'Detalhe Por UC'!$C:$C,'Infos Clientes'!$B84,'Detalhe Por UC'!$R:$R,'Infos Clientes'!AT$2))</f>
        <v>217</v>
      </c>
      <c r="AU84" s="27" t="str">
        <f>IF(SUMIFS('Detalhe Por UC'!$AB:$AB,'Detalhe Por UC'!$C:$C,'Infos Clientes'!$B84,'Detalhe Por UC'!$R:$R,'Infos Clientes'!AU$2)=0,"",
SUMIFS('Detalhe Por UC'!$AB:$AB,'Detalhe Por UC'!$C:$C,'Infos Clientes'!$B84,'Detalhe Por UC'!$R:$R,'Infos Clientes'!AU$2)
+SUMIFS('Detalhe Por UC'!$AC:$AC,'Detalhe Por UC'!$C:$C,'Infos Clientes'!$B84,'Detalhe Por UC'!$R:$R,'Infos Clientes'!AU$2))</f>
        <v/>
      </c>
    </row>
    <row r="85" spans="2:47" x14ac:dyDescent="0.3">
      <c r="B85" t="s">
        <v>217</v>
      </c>
      <c r="C85" s="14">
        <f t="shared" si="4"/>
        <v>85</v>
      </c>
      <c r="D85" t="s">
        <v>19</v>
      </c>
      <c r="E85" s="15">
        <v>362</v>
      </c>
      <c r="F85" t="s">
        <v>112</v>
      </c>
      <c r="G85" t="s">
        <v>83</v>
      </c>
      <c r="H85" t="str">
        <f t="shared" si="2"/>
        <v>10/530195-7</v>
      </c>
      <c r="I85" s="31" t="s">
        <v>22</v>
      </c>
      <c r="J85" s="31" t="s">
        <v>23</v>
      </c>
      <c r="K85" s="18" t="s">
        <v>138</v>
      </c>
      <c r="M85" s="32">
        <v>0.25</v>
      </c>
      <c r="Q85" s="22">
        <f>IF(_xlfn.MINIFS('Detalhe Por UC'!R:R,'Detalhe Por UC'!C:C,B85,'Detalhe Por UC'!AD:AD,"&gt;"&amp;0)=0,"",_xlfn.MINIFS('Detalhe Por UC'!R:R,'Detalhe Por UC'!C:C,B85,'Detalhe Por UC'!AD:AD,"&gt;"&amp;0))</f>
        <v>45658</v>
      </c>
      <c r="R85" s="23">
        <f>IF(P85&lt;&gt;"ATIVO",0,
IF(OR(Q85="",Q85=0,O85=0),O85,
O85-ROUND((MAX('Detalhe Por UC'!R:R)
-Q85)/(365/12),0)))</f>
        <v>0</v>
      </c>
      <c r="T85" s="29">
        <v>122.45454545454545</v>
      </c>
      <c r="U85" s="24">
        <f t="shared" si="3"/>
        <v>141.80000000000001</v>
      </c>
      <c r="X85">
        <v>98</v>
      </c>
      <c r="Y85">
        <v>101</v>
      </c>
      <c r="Z85">
        <v>131</v>
      </c>
      <c r="AA85">
        <v>139</v>
      </c>
      <c r="AB85">
        <v>0</v>
      </c>
      <c r="AC85">
        <v>68</v>
      </c>
      <c r="AD85">
        <v>82</v>
      </c>
      <c r="AE85">
        <v>68</v>
      </c>
      <c r="AF85">
        <v>103</v>
      </c>
      <c r="AG85">
        <v>141</v>
      </c>
      <c r="AH85">
        <v>169</v>
      </c>
      <c r="AI85" s="25">
        <v>222</v>
      </c>
      <c r="AJ85" s="27">
        <f>IF(SUMIFS('Detalhe Por UC'!$AB:$AB,'Detalhe Por UC'!$C:$C,'Infos Clientes'!$B85,'Detalhe Por UC'!$R:$R,'Infos Clientes'!AJ$2)=0,"",
SUMIFS('Detalhe Por UC'!$AB:$AB,'Detalhe Por UC'!$C:$C,'Infos Clientes'!$B85,'Detalhe Por UC'!$R:$R,'Infos Clientes'!AJ$2)
+SUMIFS('Detalhe Por UC'!$AC:$AC,'Detalhe Por UC'!$C:$C,'Infos Clientes'!$B85,'Detalhe Por UC'!$R:$R,'Infos Clientes'!AJ$2))</f>
        <v>123</v>
      </c>
      <c r="AK85" s="27">
        <f>IF(SUMIFS('Detalhe Por UC'!$AB:$AB,'Detalhe Por UC'!$C:$C,'Infos Clientes'!$B85,'Detalhe Por UC'!$R:$R,'Infos Clientes'!AK$2)=0,"",
SUMIFS('Detalhe Por UC'!$AB:$AB,'Detalhe Por UC'!$C:$C,'Infos Clientes'!$B85,'Detalhe Por UC'!$R:$R,'Infos Clientes'!AK$2)
+SUMIFS('Detalhe Por UC'!$AC:$AC,'Detalhe Por UC'!$C:$C,'Infos Clientes'!$B85,'Detalhe Por UC'!$R:$R,'Infos Clientes'!AK$2))</f>
        <v>167</v>
      </c>
      <c r="AL85" s="27">
        <f>IF(SUMIFS('Detalhe Por UC'!$AB:$AB,'Detalhe Por UC'!$C:$C,'Infos Clientes'!$B85,'Detalhe Por UC'!$R:$R,'Infos Clientes'!AL$2)=0,"",
SUMIFS('Detalhe Por UC'!$AB:$AB,'Detalhe Por UC'!$C:$C,'Infos Clientes'!$B85,'Detalhe Por UC'!$R:$R,'Infos Clientes'!AL$2)
+SUMIFS('Detalhe Por UC'!$AC:$AC,'Detalhe Por UC'!$C:$C,'Infos Clientes'!$B85,'Detalhe Por UC'!$R:$R,'Infos Clientes'!AL$2))</f>
        <v>231</v>
      </c>
      <c r="AM85" s="27">
        <f>IF(SUMIFS('Detalhe Por UC'!$AB:$AB,'Detalhe Por UC'!$C:$C,'Infos Clientes'!$B85,'Detalhe Por UC'!$R:$R,'Infos Clientes'!AM$2)=0,"",
SUMIFS('Detalhe Por UC'!$AB:$AB,'Detalhe Por UC'!$C:$C,'Infos Clientes'!$B85,'Detalhe Por UC'!$R:$R,'Infos Clientes'!AM$2)
+SUMIFS('Detalhe Por UC'!$AC:$AC,'Detalhe Por UC'!$C:$C,'Infos Clientes'!$B85,'Detalhe Por UC'!$R:$R,'Infos Clientes'!AM$2))</f>
        <v>190</v>
      </c>
      <c r="AN85" s="27">
        <f>IF(SUMIFS('Detalhe Por UC'!$AB:$AB,'Detalhe Por UC'!$C:$C,'Infos Clientes'!$B85,'Detalhe Por UC'!$R:$R,'Infos Clientes'!AN$2)=0,"",
SUMIFS('Detalhe Por UC'!$AB:$AB,'Detalhe Por UC'!$C:$C,'Infos Clientes'!$B85,'Detalhe Por UC'!$R:$R,'Infos Clientes'!AN$2)
+SUMIFS('Detalhe Por UC'!$AC:$AC,'Detalhe Por UC'!$C:$C,'Infos Clientes'!$B85,'Detalhe Por UC'!$R:$R,'Infos Clientes'!AN$2))</f>
        <v>97</v>
      </c>
      <c r="AO85" s="27">
        <f>IF(SUMIFS('Detalhe Por UC'!$AB:$AB,'Detalhe Por UC'!$C:$C,'Infos Clientes'!$B85,'Detalhe Por UC'!$R:$R,'Infos Clientes'!AO$2)=0,"",
SUMIFS('Detalhe Por UC'!$AB:$AB,'Detalhe Por UC'!$C:$C,'Infos Clientes'!$B85,'Detalhe Por UC'!$R:$R,'Infos Clientes'!AO$2)
+SUMIFS('Detalhe Por UC'!$AC:$AC,'Detalhe Por UC'!$C:$C,'Infos Clientes'!$B85,'Detalhe Por UC'!$R:$R,'Infos Clientes'!AO$2))</f>
        <v>104</v>
      </c>
      <c r="AP85" s="27" t="str">
        <f>IF(SUMIFS('Detalhe Por UC'!$AB:$AB,'Detalhe Por UC'!$C:$C,'Infos Clientes'!$B85,'Detalhe Por UC'!$R:$R,'Infos Clientes'!AP$2)=0,"",
SUMIFS('Detalhe Por UC'!$AB:$AB,'Detalhe Por UC'!$C:$C,'Infos Clientes'!$B85,'Detalhe Por UC'!$R:$R,'Infos Clientes'!AP$2)
+SUMIFS('Detalhe Por UC'!$AC:$AC,'Detalhe Por UC'!$C:$C,'Infos Clientes'!$B85,'Detalhe Por UC'!$R:$R,'Infos Clientes'!AP$2))</f>
        <v/>
      </c>
      <c r="AQ85" s="27" t="str">
        <f>IF(SUMIFS('Detalhe Por UC'!$AB:$AB,'Detalhe Por UC'!$C:$C,'Infos Clientes'!$B85,'Detalhe Por UC'!$R:$R,'Infos Clientes'!AQ$2)=0,"",
SUMIFS('Detalhe Por UC'!$AB:$AB,'Detalhe Por UC'!$C:$C,'Infos Clientes'!$B85,'Detalhe Por UC'!$R:$R,'Infos Clientes'!AQ$2)
+SUMIFS('Detalhe Por UC'!$AC:$AC,'Detalhe Por UC'!$C:$C,'Infos Clientes'!$B85,'Detalhe Por UC'!$R:$R,'Infos Clientes'!AQ$2))</f>
        <v/>
      </c>
      <c r="AR85" s="27">
        <f>IF(SUMIFS('Detalhe Por UC'!$AB:$AB,'Detalhe Por UC'!$C:$C,'Infos Clientes'!$B85,'Detalhe Por UC'!$R:$R,'Infos Clientes'!AR$2)=0,"",
SUMIFS('Detalhe Por UC'!$AB:$AB,'Detalhe Por UC'!$C:$C,'Infos Clientes'!$B85,'Detalhe Por UC'!$R:$R,'Infos Clientes'!AR$2)
+SUMIFS('Detalhe Por UC'!$AC:$AC,'Detalhe Por UC'!$C:$C,'Infos Clientes'!$B85,'Detalhe Por UC'!$R:$R,'Infos Clientes'!AR$2))</f>
        <v>63</v>
      </c>
      <c r="AS85" s="27">
        <f>IF(SUMIFS('Detalhe Por UC'!$AB:$AB,'Detalhe Por UC'!$C:$C,'Infos Clientes'!$B85,'Detalhe Por UC'!$R:$R,'Infos Clientes'!AS$2)=0,"",
SUMIFS('Detalhe Por UC'!$AB:$AB,'Detalhe Por UC'!$C:$C,'Infos Clientes'!$B85,'Detalhe Por UC'!$R:$R,'Infos Clientes'!AS$2)
+SUMIFS('Detalhe Por UC'!$AC:$AC,'Detalhe Por UC'!$C:$C,'Infos Clientes'!$B85,'Detalhe Por UC'!$R:$R,'Infos Clientes'!AS$2))</f>
        <v>108</v>
      </c>
      <c r="AT85" s="27">
        <f>IF(SUMIFS('Detalhe Por UC'!$AB:$AB,'Detalhe Por UC'!$C:$C,'Infos Clientes'!$B85,'Detalhe Por UC'!$R:$R,'Infos Clientes'!AT$2)=0,"",
SUMIFS('Detalhe Por UC'!$AB:$AB,'Detalhe Por UC'!$C:$C,'Infos Clientes'!$B85,'Detalhe Por UC'!$R:$R,'Infos Clientes'!AT$2)
+SUMIFS('Detalhe Por UC'!$AC:$AC,'Detalhe Por UC'!$C:$C,'Infos Clientes'!$B85,'Detalhe Por UC'!$R:$R,'Infos Clientes'!AT$2))</f>
        <v>113</v>
      </c>
      <c r="AU85" s="27" t="str">
        <f>IF(SUMIFS('Detalhe Por UC'!$AB:$AB,'Detalhe Por UC'!$C:$C,'Infos Clientes'!$B85,'Detalhe Por UC'!$R:$R,'Infos Clientes'!AU$2)=0,"",
SUMIFS('Detalhe Por UC'!$AB:$AB,'Detalhe Por UC'!$C:$C,'Infos Clientes'!$B85,'Detalhe Por UC'!$R:$R,'Infos Clientes'!AU$2)
+SUMIFS('Detalhe Por UC'!$AC:$AC,'Detalhe Por UC'!$C:$C,'Infos Clientes'!$B85,'Detalhe Por UC'!$R:$R,'Infos Clientes'!AU$2))</f>
        <v/>
      </c>
    </row>
    <row r="86" spans="2:47" x14ac:dyDescent="0.3">
      <c r="B86" t="s">
        <v>218</v>
      </c>
      <c r="C86" s="14">
        <f t="shared" si="4"/>
        <v>86</v>
      </c>
      <c r="D86" t="s">
        <v>19</v>
      </c>
      <c r="E86" s="15">
        <v>319</v>
      </c>
      <c r="F86" t="s">
        <v>184</v>
      </c>
      <c r="H86" t="str">
        <f t="shared" si="2"/>
        <v>10/61344-8</v>
      </c>
      <c r="I86" s="31" t="s">
        <v>22</v>
      </c>
      <c r="J86" s="31" t="s">
        <v>23</v>
      </c>
      <c r="K86" s="18" t="s">
        <v>138</v>
      </c>
      <c r="M86" s="32">
        <v>0.25</v>
      </c>
      <c r="Q86" s="22">
        <f>IF(_xlfn.MINIFS('Detalhe Por UC'!R:R,'Detalhe Por UC'!C:C,B86,'Detalhe Por UC'!AD:AD,"&gt;"&amp;0)=0,"",_xlfn.MINIFS('Detalhe Por UC'!R:R,'Detalhe Por UC'!C:C,B86,'Detalhe Por UC'!AD:AD,"&gt;"&amp;0))</f>
        <v>45658</v>
      </c>
      <c r="R86" s="23">
        <f>IF(P86&lt;&gt;"ATIVO",0,
IF(OR(Q86="",Q86=0,O86=0),O86,
O86-ROUND((MAX('Detalhe Por UC'!R:R)
-Q86)/(365/12),0)))</f>
        <v>0</v>
      </c>
      <c r="T86" s="29">
        <v>806.81818181818187</v>
      </c>
      <c r="U86" s="24">
        <f t="shared" si="3"/>
        <v>684.66666666666663</v>
      </c>
      <c r="X86">
        <v>929</v>
      </c>
      <c r="Y86">
        <v>831</v>
      </c>
      <c r="Z86">
        <v>968</v>
      </c>
      <c r="AA86">
        <v>882</v>
      </c>
      <c r="AB86">
        <v>0</v>
      </c>
      <c r="AC86">
        <v>625</v>
      </c>
      <c r="AD86">
        <v>479</v>
      </c>
      <c r="AE86">
        <v>525</v>
      </c>
      <c r="AF86">
        <v>587</v>
      </c>
      <c r="AG86">
        <v>887</v>
      </c>
      <c r="AH86">
        <v>959</v>
      </c>
      <c r="AI86" s="25">
        <v>960</v>
      </c>
      <c r="AJ86" s="27">
        <f>IF(SUMIFS('Detalhe Por UC'!$AB:$AB,'Detalhe Por UC'!$C:$C,'Infos Clientes'!$B86,'Detalhe Por UC'!$R:$R,'Infos Clientes'!AJ$2)=0,"",
SUMIFS('Detalhe Por UC'!$AB:$AB,'Detalhe Por UC'!$C:$C,'Infos Clientes'!$B86,'Detalhe Por UC'!$R:$R,'Infos Clientes'!AJ$2)
+SUMIFS('Detalhe Por UC'!$AC:$AC,'Detalhe Por UC'!$C:$C,'Infos Clientes'!$B86,'Detalhe Por UC'!$R:$R,'Infos Clientes'!AJ$2))</f>
        <v>1172</v>
      </c>
      <c r="AK86" s="27">
        <f>IF(SUMIFS('Detalhe Por UC'!$AB:$AB,'Detalhe Por UC'!$C:$C,'Infos Clientes'!$B86,'Detalhe Por UC'!$R:$R,'Infos Clientes'!AK$2)=0,"",
SUMIFS('Detalhe Por UC'!$AB:$AB,'Detalhe Por UC'!$C:$C,'Infos Clientes'!$B86,'Detalhe Por UC'!$R:$R,'Infos Clientes'!AK$2)
+SUMIFS('Detalhe Por UC'!$AC:$AC,'Detalhe Por UC'!$C:$C,'Infos Clientes'!$B86,'Detalhe Por UC'!$R:$R,'Infos Clientes'!AK$2))</f>
        <v>1004</v>
      </c>
      <c r="AL86" s="27">
        <f>IF(SUMIFS('Detalhe Por UC'!$AB:$AB,'Detalhe Por UC'!$C:$C,'Infos Clientes'!$B86,'Detalhe Por UC'!$R:$R,'Infos Clientes'!AL$2)=0,"",
SUMIFS('Detalhe Por UC'!$AB:$AB,'Detalhe Por UC'!$C:$C,'Infos Clientes'!$B86,'Detalhe Por UC'!$R:$R,'Infos Clientes'!AL$2)
+SUMIFS('Detalhe Por UC'!$AC:$AC,'Detalhe Por UC'!$C:$C,'Infos Clientes'!$B86,'Detalhe Por UC'!$R:$R,'Infos Clientes'!AL$2))</f>
        <v>850</v>
      </c>
      <c r="AM86" s="27">
        <f>IF(SUMIFS('Detalhe Por UC'!$AB:$AB,'Detalhe Por UC'!$C:$C,'Infos Clientes'!$B86,'Detalhe Por UC'!$R:$R,'Infos Clientes'!AM$2)=0,"",
SUMIFS('Detalhe Por UC'!$AB:$AB,'Detalhe Por UC'!$C:$C,'Infos Clientes'!$B86,'Detalhe Por UC'!$R:$R,'Infos Clientes'!AM$2)
+SUMIFS('Detalhe Por UC'!$AC:$AC,'Detalhe Por UC'!$C:$C,'Infos Clientes'!$B86,'Detalhe Por UC'!$R:$R,'Infos Clientes'!AM$2))</f>
        <v>716</v>
      </c>
      <c r="AN86" s="27">
        <f>IF(SUMIFS('Detalhe Por UC'!$AB:$AB,'Detalhe Por UC'!$C:$C,'Infos Clientes'!$B86,'Detalhe Por UC'!$R:$R,'Infos Clientes'!AN$2)=0,"",
SUMIFS('Detalhe Por UC'!$AB:$AB,'Detalhe Por UC'!$C:$C,'Infos Clientes'!$B86,'Detalhe Por UC'!$R:$R,'Infos Clientes'!AN$2)
+SUMIFS('Detalhe Por UC'!$AC:$AC,'Detalhe Por UC'!$C:$C,'Infos Clientes'!$B86,'Detalhe Por UC'!$R:$R,'Infos Clientes'!AN$2))</f>
        <v>509</v>
      </c>
      <c r="AO86" s="27">
        <f>IF(SUMIFS('Detalhe Por UC'!$AB:$AB,'Detalhe Por UC'!$C:$C,'Infos Clientes'!$B86,'Detalhe Por UC'!$R:$R,'Infos Clientes'!AO$2)=0,"",
SUMIFS('Detalhe Por UC'!$AB:$AB,'Detalhe Por UC'!$C:$C,'Infos Clientes'!$B86,'Detalhe Por UC'!$R:$R,'Infos Clientes'!AO$2)
+SUMIFS('Detalhe Por UC'!$AC:$AC,'Detalhe Por UC'!$C:$C,'Infos Clientes'!$B86,'Detalhe Por UC'!$R:$R,'Infos Clientes'!AO$2))</f>
        <v>465</v>
      </c>
      <c r="AP86" s="27">
        <f>IF(SUMIFS('Detalhe Por UC'!$AB:$AB,'Detalhe Por UC'!$C:$C,'Infos Clientes'!$B86,'Detalhe Por UC'!$R:$R,'Infos Clientes'!AP$2)=0,"",
SUMIFS('Detalhe Por UC'!$AB:$AB,'Detalhe Por UC'!$C:$C,'Infos Clientes'!$B86,'Detalhe Por UC'!$R:$R,'Infos Clientes'!AP$2)
+SUMIFS('Detalhe Por UC'!$AC:$AC,'Detalhe Por UC'!$C:$C,'Infos Clientes'!$B86,'Detalhe Por UC'!$R:$R,'Infos Clientes'!AP$2))</f>
        <v>375</v>
      </c>
      <c r="AQ86" s="27">
        <f>IF(SUMIFS('Detalhe Por UC'!$AB:$AB,'Detalhe Por UC'!$C:$C,'Infos Clientes'!$B86,'Detalhe Por UC'!$R:$R,'Infos Clientes'!AQ$2)=0,"",
SUMIFS('Detalhe Por UC'!$AB:$AB,'Detalhe Por UC'!$C:$C,'Infos Clientes'!$B86,'Detalhe Por UC'!$R:$R,'Infos Clientes'!AQ$2)
+SUMIFS('Detalhe Por UC'!$AC:$AC,'Detalhe Por UC'!$C:$C,'Infos Clientes'!$B86,'Detalhe Por UC'!$R:$R,'Infos Clientes'!AQ$2))</f>
        <v>416</v>
      </c>
      <c r="AR86" s="27">
        <f>IF(SUMIFS('Detalhe Por UC'!$AB:$AB,'Detalhe Por UC'!$C:$C,'Infos Clientes'!$B86,'Detalhe Por UC'!$R:$R,'Infos Clientes'!AR$2)=0,"",
SUMIFS('Detalhe Por UC'!$AB:$AB,'Detalhe Por UC'!$C:$C,'Infos Clientes'!$B86,'Detalhe Por UC'!$R:$R,'Infos Clientes'!AR$2)
+SUMIFS('Detalhe Por UC'!$AC:$AC,'Detalhe Por UC'!$C:$C,'Infos Clientes'!$B86,'Detalhe Por UC'!$R:$R,'Infos Clientes'!AR$2))</f>
        <v>520</v>
      </c>
      <c r="AS86" s="27">
        <f>IF(SUMIFS('Detalhe Por UC'!$AB:$AB,'Detalhe Por UC'!$C:$C,'Infos Clientes'!$B86,'Detalhe Por UC'!$R:$R,'Infos Clientes'!AS$2)=0,"",
SUMIFS('Detalhe Por UC'!$AB:$AB,'Detalhe Por UC'!$C:$C,'Infos Clientes'!$B86,'Detalhe Por UC'!$R:$R,'Infos Clientes'!AS$2)
+SUMIFS('Detalhe Por UC'!$AC:$AC,'Detalhe Por UC'!$C:$C,'Infos Clientes'!$B86,'Detalhe Por UC'!$R:$R,'Infos Clientes'!AS$2))</f>
        <v>602</v>
      </c>
      <c r="AT86" s="27">
        <f>IF(SUMIFS('Detalhe Por UC'!$AB:$AB,'Detalhe Por UC'!$C:$C,'Infos Clientes'!$B86,'Detalhe Por UC'!$R:$R,'Infos Clientes'!AT$2)=0,"",
SUMIFS('Detalhe Por UC'!$AB:$AB,'Detalhe Por UC'!$C:$C,'Infos Clientes'!$B86,'Detalhe Por UC'!$R:$R,'Infos Clientes'!AT$2)
+SUMIFS('Detalhe Por UC'!$AC:$AC,'Detalhe Por UC'!$C:$C,'Infos Clientes'!$B86,'Detalhe Por UC'!$R:$R,'Infos Clientes'!AT$2))</f>
        <v>627</v>
      </c>
      <c r="AU86" s="27" t="str">
        <f>IF(SUMIFS('Detalhe Por UC'!$AB:$AB,'Detalhe Por UC'!$C:$C,'Infos Clientes'!$B86,'Detalhe Por UC'!$R:$R,'Infos Clientes'!AU$2)=0,"",
SUMIFS('Detalhe Por UC'!$AB:$AB,'Detalhe Por UC'!$C:$C,'Infos Clientes'!$B86,'Detalhe Por UC'!$R:$R,'Infos Clientes'!AU$2)
+SUMIFS('Detalhe Por UC'!$AC:$AC,'Detalhe Por UC'!$C:$C,'Infos Clientes'!$B86,'Detalhe Por UC'!$R:$R,'Infos Clientes'!AU$2))</f>
        <v/>
      </c>
    </row>
    <row r="87" spans="2:47" x14ac:dyDescent="0.3">
      <c r="B87" t="s">
        <v>219</v>
      </c>
      <c r="C87" s="14">
        <f t="shared" si="4"/>
        <v>87</v>
      </c>
      <c r="D87" t="s">
        <v>19</v>
      </c>
      <c r="E87" s="15">
        <v>319</v>
      </c>
      <c r="F87" t="s">
        <v>220</v>
      </c>
      <c r="G87" t="s">
        <v>221</v>
      </c>
      <c r="H87" t="str">
        <f t="shared" si="2"/>
        <v>10/63920-3</v>
      </c>
      <c r="I87" s="31" t="s">
        <v>22</v>
      </c>
      <c r="J87" s="31" t="s">
        <v>28</v>
      </c>
      <c r="K87" s="18" t="s">
        <v>138</v>
      </c>
      <c r="M87" s="32">
        <v>0.25</v>
      </c>
      <c r="Q87" s="22">
        <f>IF(_xlfn.MINIFS('Detalhe Por UC'!R:R,'Detalhe Por UC'!C:C,B87,'Detalhe Por UC'!AD:AD,"&gt;"&amp;0)=0,"",_xlfn.MINIFS('Detalhe Por UC'!R:R,'Detalhe Por UC'!C:C,B87,'Detalhe Por UC'!AD:AD,"&gt;"&amp;0))</f>
        <v>45658</v>
      </c>
      <c r="R87" s="23">
        <f>IF(P87&lt;&gt;"ATIVO",0,
IF(OR(Q87="",Q87=0,O87=0),O87,
O87-ROUND((MAX('Detalhe Por UC'!R:R)
-Q87)/(365/12),0)))</f>
        <v>0</v>
      </c>
      <c r="T87" s="29">
        <v>385.63636363636363</v>
      </c>
      <c r="U87" s="24">
        <f t="shared" si="3"/>
        <v>381.66666666666669</v>
      </c>
      <c r="X87">
        <v>285</v>
      </c>
      <c r="Y87">
        <v>467</v>
      </c>
      <c r="Z87">
        <v>452</v>
      </c>
      <c r="AA87">
        <v>421</v>
      </c>
      <c r="AB87">
        <v>0</v>
      </c>
      <c r="AC87">
        <v>306</v>
      </c>
      <c r="AD87">
        <v>334</v>
      </c>
      <c r="AE87">
        <v>353</v>
      </c>
      <c r="AF87">
        <v>327</v>
      </c>
      <c r="AG87">
        <v>423</v>
      </c>
      <c r="AH87">
        <v>376</v>
      </c>
      <c r="AI87" s="25">
        <v>396</v>
      </c>
      <c r="AJ87" s="27">
        <f>IF(SUMIFS('Detalhe Por UC'!$AB:$AB,'Detalhe Por UC'!$C:$C,'Infos Clientes'!$B87,'Detalhe Por UC'!$R:$R,'Infos Clientes'!AJ$2)=0,"",
SUMIFS('Detalhe Por UC'!$AB:$AB,'Detalhe Por UC'!$C:$C,'Infos Clientes'!$B87,'Detalhe Por UC'!$R:$R,'Infos Clientes'!AJ$2)
+SUMIFS('Detalhe Por UC'!$AC:$AC,'Detalhe Por UC'!$C:$C,'Infos Clientes'!$B87,'Detalhe Por UC'!$R:$R,'Infos Clientes'!AJ$2))</f>
        <v>387</v>
      </c>
      <c r="AK87" s="27">
        <f>IF(SUMIFS('Detalhe Por UC'!$AB:$AB,'Detalhe Por UC'!$C:$C,'Infos Clientes'!$B87,'Detalhe Por UC'!$R:$R,'Infos Clientes'!AK$2)=0,"",
SUMIFS('Detalhe Por UC'!$AB:$AB,'Detalhe Por UC'!$C:$C,'Infos Clientes'!$B87,'Detalhe Por UC'!$R:$R,'Infos Clientes'!AK$2)
+SUMIFS('Detalhe Por UC'!$AC:$AC,'Detalhe Por UC'!$C:$C,'Infos Clientes'!$B87,'Detalhe Por UC'!$R:$R,'Infos Clientes'!AK$2))</f>
        <v>462</v>
      </c>
      <c r="AL87" s="27">
        <f>IF(SUMIFS('Detalhe Por UC'!$AB:$AB,'Detalhe Por UC'!$C:$C,'Infos Clientes'!$B87,'Detalhe Por UC'!$R:$R,'Infos Clientes'!AL$2)=0,"",
SUMIFS('Detalhe Por UC'!$AB:$AB,'Detalhe Por UC'!$C:$C,'Infos Clientes'!$B87,'Detalhe Por UC'!$R:$R,'Infos Clientes'!AL$2)
+SUMIFS('Detalhe Por UC'!$AC:$AC,'Detalhe Por UC'!$C:$C,'Infos Clientes'!$B87,'Detalhe Por UC'!$R:$R,'Infos Clientes'!AL$2))</f>
        <v>459</v>
      </c>
      <c r="AM87" s="27">
        <f>IF(SUMIFS('Detalhe Por UC'!$AB:$AB,'Detalhe Por UC'!$C:$C,'Infos Clientes'!$B87,'Detalhe Por UC'!$R:$R,'Infos Clientes'!AM$2)=0,"",
SUMIFS('Detalhe Por UC'!$AB:$AB,'Detalhe Por UC'!$C:$C,'Infos Clientes'!$B87,'Detalhe Por UC'!$R:$R,'Infos Clientes'!AM$2)
+SUMIFS('Detalhe Por UC'!$AC:$AC,'Detalhe Por UC'!$C:$C,'Infos Clientes'!$B87,'Detalhe Por UC'!$R:$R,'Infos Clientes'!AM$2))</f>
        <v>396</v>
      </c>
      <c r="AN87" s="27">
        <f>IF(SUMIFS('Detalhe Por UC'!$AB:$AB,'Detalhe Por UC'!$C:$C,'Infos Clientes'!$B87,'Detalhe Por UC'!$R:$R,'Infos Clientes'!AN$2)=0,"",
SUMIFS('Detalhe Por UC'!$AB:$AB,'Detalhe Por UC'!$C:$C,'Infos Clientes'!$B87,'Detalhe Por UC'!$R:$R,'Infos Clientes'!AN$2)
+SUMIFS('Detalhe Por UC'!$AC:$AC,'Detalhe Por UC'!$C:$C,'Infos Clientes'!$B87,'Detalhe Por UC'!$R:$R,'Infos Clientes'!AN$2))</f>
        <v>411</v>
      </c>
      <c r="AO87" s="27">
        <f>IF(SUMIFS('Detalhe Por UC'!$AB:$AB,'Detalhe Por UC'!$C:$C,'Infos Clientes'!$B87,'Detalhe Por UC'!$R:$R,'Infos Clientes'!AO$2)=0,"",
SUMIFS('Detalhe Por UC'!$AB:$AB,'Detalhe Por UC'!$C:$C,'Infos Clientes'!$B87,'Detalhe Por UC'!$R:$R,'Infos Clientes'!AO$2)
+SUMIFS('Detalhe Por UC'!$AC:$AC,'Detalhe Por UC'!$C:$C,'Infos Clientes'!$B87,'Detalhe Por UC'!$R:$R,'Infos Clientes'!AO$2))</f>
        <v>297</v>
      </c>
      <c r="AP87" s="27">
        <f>IF(SUMIFS('Detalhe Por UC'!$AB:$AB,'Detalhe Por UC'!$C:$C,'Infos Clientes'!$B87,'Detalhe Por UC'!$R:$R,'Infos Clientes'!AP$2)=0,"",
SUMIFS('Detalhe Por UC'!$AB:$AB,'Detalhe Por UC'!$C:$C,'Infos Clientes'!$B87,'Detalhe Por UC'!$R:$R,'Infos Clientes'!AP$2)
+SUMIFS('Detalhe Por UC'!$AC:$AC,'Detalhe Por UC'!$C:$C,'Infos Clientes'!$B87,'Detalhe Por UC'!$R:$R,'Infos Clientes'!AP$2))</f>
        <v>292</v>
      </c>
      <c r="AQ87" s="27">
        <f>IF(SUMIFS('Detalhe Por UC'!$AB:$AB,'Detalhe Por UC'!$C:$C,'Infos Clientes'!$B87,'Detalhe Por UC'!$R:$R,'Infos Clientes'!AQ$2)=0,"",
SUMIFS('Detalhe Por UC'!$AB:$AB,'Detalhe Por UC'!$C:$C,'Infos Clientes'!$B87,'Detalhe Por UC'!$R:$R,'Infos Clientes'!AQ$2)
+SUMIFS('Detalhe Por UC'!$AC:$AC,'Detalhe Por UC'!$C:$C,'Infos Clientes'!$B87,'Detalhe Por UC'!$R:$R,'Infos Clientes'!AQ$2))</f>
        <v>323</v>
      </c>
      <c r="AR87" s="27">
        <f>IF(SUMIFS('Detalhe Por UC'!$AB:$AB,'Detalhe Por UC'!$C:$C,'Infos Clientes'!$B87,'Detalhe Por UC'!$R:$R,'Infos Clientes'!AR$2)=0,"",
SUMIFS('Detalhe Por UC'!$AB:$AB,'Detalhe Por UC'!$C:$C,'Infos Clientes'!$B87,'Detalhe Por UC'!$R:$R,'Infos Clientes'!AR$2)
+SUMIFS('Detalhe Por UC'!$AC:$AC,'Detalhe Por UC'!$C:$C,'Infos Clientes'!$B87,'Detalhe Por UC'!$R:$R,'Infos Clientes'!AR$2))</f>
        <v>346</v>
      </c>
      <c r="AS87" s="27">
        <f>IF(SUMIFS('Detalhe Por UC'!$AB:$AB,'Detalhe Por UC'!$C:$C,'Infos Clientes'!$B87,'Detalhe Por UC'!$R:$R,'Infos Clientes'!AS$2)=0,"",
SUMIFS('Detalhe Por UC'!$AB:$AB,'Detalhe Por UC'!$C:$C,'Infos Clientes'!$B87,'Detalhe Por UC'!$R:$R,'Infos Clientes'!AS$2)
+SUMIFS('Detalhe Por UC'!$AC:$AC,'Detalhe Por UC'!$C:$C,'Infos Clientes'!$B87,'Detalhe Por UC'!$R:$R,'Infos Clientes'!AS$2))</f>
        <v>347</v>
      </c>
      <c r="AT87" s="27">
        <f>IF(SUMIFS('Detalhe Por UC'!$AB:$AB,'Detalhe Por UC'!$C:$C,'Infos Clientes'!$B87,'Detalhe Por UC'!$R:$R,'Infos Clientes'!AT$2)=0,"",
SUMIFS('Detalhe Por UC'!$AB:$AB,'Detalhe Por UC'!$C:$C,'Infos Clientes'!$B87,'Detalhe Por UC'!$R:$R,'Infos Clientes'!AT$2)
+SUMIFS('Detalhe Por UC'!$AC:$AC,'Detalhe Por UC'!$C:$C,'Infos Clientes'!$B87,'Detalhe Por UC'!$R:$R,'Infos Clientes'!AT$2))</f>
        <v>464</v>
      </c>
      <c r="AU87" s="27" t="str">
        <f>IF(SUMIFS('Detalhe Por UC'!$AB:$AB,'Detalhe Por UC'!$C:$C,'Infos Clientes'!$B87,'Detalhe Por UC'!$R:$R,'Infos Clientes'!AU$2)=0,"",
SUMIFS('Detalhe Por UC'!$AB:$AB,'Detalhe Por UC'!$C:$C,'Infos Clientes'!$B87,'Detalhe Por UC'!$R:$R,'Infos Clientes'!AU$2)
+SUMIFS('Detalhe Por UC'!$AC:$AC,'Detalhe Por UC'!$C:$C,'Infos Clientes'!$B87,'Detalhe Por UC'!$R:$R,'Infos Clientes'!AU$2))</f>
        <v/>
      </c>
    </row>
    <row r="88" spans="2:47" x14ac:dyDescent="0.3">
      <c r="B88" s="28" t="s">
        <v>222</v>
      </c>
      <c r="C88" s="14">
        <f t="shared" si="4"/>
        <v>88</v>
      </c>
      <c r="D88" t="s">
        <v>19</v>
      </c>
      <c r="E88" s="15">
        <v>319</v>
      </c>
      <c r="F88" t="s">
        <v>26</v>
      </c>
      <c r="H88" t="str">
        <f t="shared" si="2"/>
        <v>10/69319-2</v>
      </c>
      <c r="I88" s="31" t="s">
        <v>22</v>
      </c>
      <c r="J88" s="31" t="s">
        <v>28</v>
      </c>
      <c r="K88" s="18" t="s">
        <v>138</v>
      </c>
      <c r="M88" s="32">
        <v>0.25</v>
      </c>
      <c r="Q88" s="22">
        <f>IF(_xlfn.MINIFS('Detalhe Por UC'!R:R,'Detalhe Por UC'!C:C,B88,'Detalhe Por UC'!AD:AD,"&gt;"&amp;0)=0,"",_xlfn.MINIFS('Detalhe Por UC'!R:R,'Detalhe Por UC'!C:C,B88,'Detalhe Por UC'!AD:AD,"&gt;"&amp;0))</f>
        <v>45748</v>
      </c>
      <c r="R88" s="23">
        <f>IF(P88&lt;&gt;"ATIVO",0,
IF(OR(Q88="",Q88=0,O88=0),O88,
O88-ROUND((MAX('Detalhe Por UC'!R:R)
-Q88)/(365/12),0)))</f>
        <v>0</v>
      </c>
      <c r="T88" s="29">
        <v>392</v>
      </c>
      <c r="U88" s="24">
        <f t="shared" si="3"/>
        <v>261.5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s="25">
        <v>0</v>
      </c>
      <c r="AJ88" s="27">
        <f>IF(SUMIFS('Detalhe Por UC'!$AB:$AB,'Detalhe Por UC'!$C:$C,'Infos Clientes'!$B88,'Detalhe Por UC'!$R:$R,'Infos Clientes'!AJ$2)=0,"",
SUMIFS('Detalhe Por UC'!$AB:$AB,'Detalhe Por UC'!$C:$C,'Infos Clientes'!$B88,'Detalhe Por UC'!$R:$R,'Infos Clientes'!AJ$2)
+SUMIFS('Detalhe Por UC'!$AC:$AC,'Detalhe Por UC'!$C:$C,'Infos Clientes'!$B88,'Detalhe Por UC'!$R:$R,'Infos Clientes'!AJ$2))</f>
        <v>392</v>
      </c>
      <c r="AK88" s="27">
        <f>IF(SUMIFS('Detalhe Por UC'!$AB:$AB,'Detalhe Por UC'!$C:$C,'Infos Clientes'!$B88,'Detalhe Por UC'!$R:$R,'Infos Clientes'!AK$2)=0,"",
SUMIFS('Detalhe Por UC'!$AB:$AB,'Detalhe Por UC'!$C:$C,'Infos Clientes'!$B88,'Detalhe Por UC'!$R:$R,'Infos Clientes'!AK$2)
+SUMIFS('Detalhe Por UC'!$AC:$AC,'Detalhe Por UC'!$C:$C,'Infos Clientes'!$B88,'Detalhe Por UC'!$R:$R,'Infos Clientes'!AK$2))</f>
        <v>392</v>
      </c>
      <c r="AL88" s="27">
        <f>IF(SUMIFS('Detalhe Por UC'!$AB:$AB,'Detalhe Por UC'!$C:$C,'Infos Clientes'!$B88,'Detalhe Por UC'!$R:$R,'Infos Clientes'!AL$2)=0,"",
SUMIFS('Detalhe Por UC'!$AB:$AB,'Detalhe Por UC'!$C:$C,'Infos Clientes'!$B88,'Detalhe Por UC'!$R:$R,'Infos Clientes'!AL$2)
+SUMIFS('Detalhe Por UC'!$AC:$AC,'Detalhe Por UC'!$C:$C,'Infos Clientes'!$B88,'Detalhe Por UC'!$R:$R,'Infos Clientes'!AL$2))</f>
        <v>477</v>
      </c>
      <c r="AM88" s="27">
        <f>IF(SUMIFS('Detalhe Por UC'!$AB:$AB,'Detalhe Por UC'!$C:$C,'Infos Clientes'!$B88,'Detalhe Por UC'!$R:$R,'Infos Clientes'!AM$2)=0,"",
SUMIFS('Detalhe Por UC'!$AB:$AB,'Detalhe Por UC'!$C:$C,'Infos Clientes'!$B88,'Detalhe Por UC'!$R:$R,'Infos Clientes'!AM$2)
+SUMIFS('Detalhe Por UC'!$AC:$AC,'Detalhe Por UC'!$C:$C,'Infos Clientes'!$B88,'Detalhe Por UC'!$R:$R,'Infos Clientes'!AM$2))</f>
        <v>302</v>
      </c>
      <c r="AN88" s="27">
        <f>IF(SUMIFS('Detalhe Por UC'!$AB:$AB,'Detalhe Por UC'!$C:$C,'Infos Clientes'!$B88,'Detalhe Por UC'!$R:$R,'Infos Clientes'!AN$2)=0,"",
SUMIFS('Detalhe Por UC'!$AB:$AB,'Detalhe Por UC'!$C:$C,'Infos Clientes'!$B88,'Detalhe Por UC'!$R:$R,'Infos Clientes'!AN$2)
+SUMIFS('Detalhe Por UC'!$AC:$AC,'Detalhe Por UC'!$C:$C,'Infos Clientes'!$B88,'Detalhe Por UC'!$R:$R,'Infos Clientes'!AN$2))</f>
        <v>237</v>
      </c>
      <c r="AO88" s="27">
        <f>IF(SUMIFS('Detalhe Por UC'!$AB:$AB,'Detalhe Por UC'!$C:$C,'Infos Clientes'!$B88,'Detalhe Por UC'!$R:$R,'Infos Clientes'!AO$2)=0,"",
SUMIFS('Detalhe Por UC'!$AB:$AB,'Detalhe Por UC'!$C:$C,'Infos Clientes'!$B88,'Detalhe Por UC'!$R:$R,'Infos Clientes'!AO$2)
+SUMIFS('Detalhe Por UC'!$AC:$AC,'Detalhe Por UC'!$C:$C,'Infos Clientes'!$B88,'Detalhe Por UC'!$R:$R,'Infos Clientes'!AO$2))</f>
        <v>202</v>
      </c>
      <c r="AP88" s="27">
        <f>IF(SUMIFS('Detalhe Por UC'!$AB:$AB,'Detalhe Por UC'!$C:$C,'Infos Clientes'!$B88,'Detalhe Por UC'!$R:$R,'Infos Clientes'!AP$2)=0,"",
SUMIFS('Detalhe Por UC'!$AB:$AB,'Detalhe Por UC'!$C:$C,'Infos Clientes'!$B88,'Detalhe Por UC'!$R:$R,'Infos Clientes'!AP$2)
+SUMIFS('Detalhe Por UC'!$AC:$AC,'Detalhe Por UC'!$C:$C,'Infos Clientes'!$B88,'Detalhe Por UC'!$R:$R,'Infos Clientes'!AP$2))</f>
        <v>136</v>
      </c>
      <c r="AQ88" s="27">
        <f>IF(SUMIFS('Detalhe Por UC'!$AB:$AB,'Detalhe Por UC'!$C:$C,'Infos Clientes'!$B88,'Detalhe Por UC'!$R:$R,'Infos Clientes'!AQ$2)=0,"",
SUMIFS('Detalhe Por UC'!$AB:$AB,'Detalhe Por UC'!$C:$C,'Infos Clientes'!$B88,'Detalhe Por UC'!$R:$R,'Infos Clientes'!AQ$2)
+SUMIFS('Detalhe Por UC'!$AC:$AC,'Detalhe Por UC'!$C:$C,'Infos Clientes'!$B88,'Detalhe Por UC'!$R:$R,'Infos Clientes'!AQ$2))</f>
        <v>172</v>
      </c>
      <c r="AR88" s="27">
        <f>IF(SUMIFS('Detalhe Por UC'!$AB:$AB,'Detalhe Por UC'!$C:$C,'Infos Clientes'!$B88,'Detalhe Por UC'!$R:$R,'Infos Clientes'!AR$2)=0,"",
SUMIFS('Detalhe Por UC'!$AB:$AB,'Detalhe Por UC'!$C:$C,'Infos Clientes'!$B88,'Detalhe Por UC'!$R:$R,'Infos Clientes'!AR$2)
+SUMIFS('Detalhe Por UC'!$AC:$AC,'Detalhe Por UC'!$C:$C,'Infos Clientes'!$B88,'Detalhe Por UC'!$R:$R,'Infos Clientes'!AR$2))</f>
        <v>263</v>
      </c>
      <c r="AS88" s="27">
        <f>IF(SUMIFS('Detalhe Por UC'!$AB:$AB,'Detalhe Por UC'!$C:$C,'Infos Clientes'!$B88,'Detalhe Por UC'!$R:$R,'Infos Clientes'!AS$2)=0,"",
SUMIFS('Detalhe Por UC'!$AB:$AB,'Detalhe Por UC'!$C:$C,'Infos Clientes'!$B88,'Detalhe Por UC'!$R:$R,'Infos Clientes'!AS$2)
+SUMIFS('Detalhe Por UC'!$AC:$AC,'Detalhe Por UC'!$C:$C,'Infos Clientes'!$B88,'Detalhe Por UC'!$R:$R,'Infos Clientes'!AS$2))</f>
        <v>301</v>
      </c>
      <c r="AT88" s="27">
        <f>IF(SUMIFS('Detalhe Por UC'!$AB:$AB,'Detalhe Por UC'!$C:$C,'Infos Clientes'!$B88,'Detalhe Por UC'!$R:$R,'Infos Clientes'!AT$2)=0,"",
SUMIFS('Detalhe Por UC'!$AB:$AB,'Detalhe Por UC'!$C:$C,'Infos Clientes'!$B88,'Detalhe Por UC'!$R:$R,'Infos Clientes'!AT$2)
+SUMIFS('Detalhe Por UC'!$AC:$AC,'Detalhe Por UC'!$C:$C,'Infos Clientes'!$B88,'Detalhe Por UC'!$R:$R,'Infos Clientes'!AT$2))</f>
        <v>264</v>
      </c>
      <c r="AU88" s="27" t="str">
        <f>IF(SUMIFS('Detalhe Por UC'!$AB:$AB,'Detalhe Por UC'!$C:$C,'Infos Clientes'!$B88,'Detalhe Por UC'!$R:$R,'Infos Clientes'!AU$2)=0,"",
SUMIFS('Detalhe Por UC'!$AB:$AB,'Detalhe Por UC'!$C:$C,'Infos Clientes'!$B88,'Detalhe Por UC'!$R:$R,'Infos Clientes'!AU$2)
+SUMIFS('Detalhe Por UC'!$AC:$AC,'Detalhe Por UC'!$C:$C,'Infos Clientes'!$B88,'Detalhe Por UC'!$R:$R,'Infos Clientes'!AU$2))</f>
        <v/>
      </c>
    </row>
    <row r="89" spans="2:47" x14ac:dyDescent="0.3">
      <c r="B89" t="s">
        <v>223</v>
      </c>
      <c r="C89" s="14">
        <f t="shared" si="4"/>
        <v>89</v>
      </c>
      <c r="D89" t="s">
        <v>19</v>
      </c>
      <c r="E89" s="15">
        <v>319</v>
      </c>
      <c r="F89" t="s">
        <v>224</v>
      </c>
      <c r="G89" t="s">
        <v>143</v>
      </c>
      <c r="H89" t="str">
        <f t="shared" si="2"/>
        <v>10/72605-9</v>
      </c>
      <c r="I89" s="31" t="s">
        <v>22</v>
      </c>
      <c r="J89" s="31" t="s">
        <v>28</v>
      </c>
      <c r="K89" s="18" t="s">
        <v>138</v>
      </c>
      <c r="M89" s="32">
        <v>0.25</v>
      </c>
      <c r="Q89" s="22">
        <f>IF(_xlfn.MINIFS('Detalhe Por UC'!R:R,'Detalhe Por UC'!C:C,B89,'Detalhe Por UC'!AD:AD,"&gt;"&amp;0)=0,"",_xlfn.MINIFS('Detalhe Por UC'!R:R,'Detalhe Por UC'!C:C,B89,'Detalhe Por UC'!AD:AD,"&gt;"&amp;0))</f>
        <v>45658</v>
      </c>
      <c r="R89" s="23">
        <f>IF(P89&lt;&gt;"ATIVO",0,
IF(OR(Q89="",Q89=0,O89=0),O89,
O89-ROUND((MAX('Detalhe Por UC'!R:R)
-Q89)/(365/12),0)))</f>
        <v>0</v>
      </c>
      <c r="T89" s="29">
        <v>315</v>
      </c>
      <c r="U89" s="24">
        <f t="shared" si="3"/>
        <v>282.08333333333331</v>
      </c>
      <c r="X89">
        <v>260</v>
      </c>
      <c r="Y89">
        <v>398</v>
      </c>
      <c r="Z89">
        <v>420</v>
      </c>
      <c r="AA89">
        <v>382</v>
      </c>
      <c r="AB89">
        <v>0</v>
      </c>
      <c r="AC89">
        <v>121</v>
      </c>
      <c r="AD89">
        <v>193</v>
      </c>
      <c r="AE89">
        <v>176</v>
      </c>
      <c r="AF89">
        <v>226</v>
      </c>
      <c r="AG89">
        <v>426</v>
      </c>
      <c r="AH89">
        <v>422</v>
      </c>
      <c r="AI89" s="25">
        <v>391</v>
      </c>
      <c r="AJ89" s="27">
        <f>IF(SUMIFS('Detalhe Por UC'!$AB:$AB,'Detalhe Por UC'!$C:$C,'Infos Clientes'!$B89,'Detalhe Por UC'!$R:$R,'Infos Clientes'!AJ$2)=0,"",
SUMIFS('Detalhe Por UC'!$AB:$AB,'Detalhe Por UC'!$C:$C,'Infos Clientes'!$B89,'Detalhe Por UC'!$R:$R,'Infos Clientes'!AJ$2)
+SUMIFS('Detalhe Por UC'!$AC:$AC,'Detalhe Por UC'!$C:$C,'Infos Clientes'!$B89,'Detalhe Por UC'!$R:$R,'Infos Clientes'!AJ$2))</f>
        <v>310</v>
      </c>
      <c r="AK89" s="27">
        <f>IF(SUMIFS('Detalhe Por UC'!$AB:$AB,'Detalhe Por UC'!$C:$C,'Infos Clientes'!$B89,'Detalhe Por UC'!$R:$R,'Infos Clientes'!AK$2)=0,"",
SUMIFS('Detalhe Por UC'!$AB:$AB,'Detalhe Por UC'!$C:$C,'Infos Clientes'!$B89,'Detalhe Por UC'!$R:$R,'Infos Clientes'!AK$2)
+SUMIFS('Detalhe Por UC'!$AC:$AC,'Detalhe Por UC'!$C:$C,'Infos Clientes'!$B89,'Detalhe Por UC'!$R:$R,'Infos Clientes'!AK$2))</f>
        <v>444</v>
      </c>
      <c r="AL89" s="27">
        <f>IF(SUMIFS('Detalhe Por UC'!$AB:$AB,'Detalhe Por UC'!$C:$C,'Infos Clientes'!$B89,'Detalhe Por UC'!$R:$R,'Infos Clientes'!AL$2)=0,"",
SUMIFS('Detalhe Por UC'!$AB:$AB,'Detalhe Por UC'!$C:$C,'Infos Clientes'!$B89,'Detalhe Por UC'!$R:$R,'Infos Clientes'!AL$2)
+SUMIFS('Detalhe Por UC'!$AC:$AC,'Detalhe Por UC'!$C:$C,'Infos Clientes'!$B89,'Detalhe Por UC'!$R:$R,'Infos Clientes'!AL$2))</f>
        <v>394</v>
      </c>
      <c r="AM89" s="27">
        <f>IF(SUMIFS('Detalhe Por UC'!$AB:$AB,'Detalhe Por UC'!$C:$C,'Infos Clientes'!$B89,'Detalhe Por UC'!$R:$R,'Infos Clientes'!AM$2)=0,"",
SUMIFS('Detalhe Por UC'!$AB:$AB,'Detalhe Por UC'!$C:$C,'Infos Clientes'!$B89,'Detalhe Por UC'!$R:$R,'Infos Clientes'!AM$2)
+SUMIFS('Detalhe Por UC'!$AC:$AC,'Detalhe Por UC'!$C:$C,'Infos Clientes'!$B89,'Detalhe Por UC'!$R:$R,'Infos Clientes'!AM$2))</f>
        <v>268</v>
      </c>
      <c r="AN89" s="27">
        <f>IF(SUMIFS('Detalhe Por UC'!$AB:$AB,'Detalhe Por UC'!$C:$C,'Infos Clientes'!$B89,'Detalhe Por UC'!$R:$R,'Infos Clientes'!AN$2)=0,"",
SUMIFS('Detalhe Por UC'!$AB:$AB,'Detalhe Por UC'!$C:$C,'Infos Clientes'!$B89,'Detalhe Por UC'!$R:$R,'Infos Clientes'!AN$2)
+SUMIFS('Detalhe Por UC'!$AC:$AC,'Detalhe Por UC'!$C:$C,'Infos Clientes'!$B89,'Detalhe Por UC'!$R:$R,'Infos Clientes'!AN$2))</f>
        <v>268</v>
      </c>
      <c r="AO89" s="27">
        <f>IF(SUMIFS('Detalhe Por UC'!$AB:$AB,'Detalhe Por UC'!$C:$C,'Infos Clientes'!$B89,'Detalhe Por UC'!$R:$R,'Infos Clientes'!AO$2)=0,"",
SUMIFS('Detalhe Por UC'!$AB:$AB,'Detalhe Por UC'!$C:$C,'Infos Clientes'!$B89,'Detalhe Por UC'!$R:$R,'Infos Clientes'!AO$2)
+SUMIFS('Detalhe Por UC'!$AC:$AC,'Detalhe Por UC'!$C:$C,'Infos Clientes'!$B89,'Detalhe Por UC'!$R:$R,'Infos Clientes'!AO$2))</f>
        <v>183</v>
      </c>
      <c r="AP89" s="27">
        <f>IF(SUMIFS('Detalhe Por UC'!$AB:$AB,'Detalhe Por UC'!$C:$C,'Infos Clientes'!$B89,'Detalhe Por UC'!$R:$R,'Infos Clientes'!AP$2)=0,"",
SUMIFS('Detalhe Por UC'!$AB:$AB,'Detalhe Por UC'!$C:$C,'Infos Clientes'!$B89,'Detalhe Por UC'!$R:$R,'Infos Clientes'!AP$2)
+SUMIFS('Detalhe Por UC'!$AC:$AC,'Detalhe Por UC'!$C:$C,'Infos Clientes'!$B89,'Detalhe Por UC'!$R:$R,'Infos Clientes'!AP$2))</f>
        <v>112</v>
      </c>
      <c r="AQ89" s="27">
        <f>IF(SUMIFS('Detalhe Por UC'!$AB:$AB,'Detalhe Por UC'!$C:$C,'Infos Clientes'!$B89,'Detalhe Por UC'!$R:$R,'Infos Clientes'!AQ$2)=0,"",
SUMIFS('Detalhe Por UC'!$AB:$AB,'Detalhe Por UC'!$C:$C,'Infos Clientes'!$B89,'Detalhe Por UC'!$R:$R,'Infos Clientes'!AQ$2)
+SUMIFS('Detalhe Por UC'!$AC:$AC,'Detalhe Por UC'!$C:$C,'Infos Clientes'!$B89,'Detalhe Por UC'!$R:$R,'Infos Clientes'!AQ$2))</f>
        <v>198</v>
      </c>
      <c r="AR89" s="27">
        <f>IF(SUMIFS('Detalhe Por UC'!$AB:$AB,'Detalhe Por UC'!$C:$C,'Infos Clientes'!$B89,'Detalhe Por UC'!$R:$R,'Infos Clientes'!AR$2)=0,"",
SUMIFS('Detalhe Por UC'!$AB:$AB,'Detalhe Por UC'!$C:$C,'Infos Clientes'!$B89,'Detalhe Por UC'!$R:$R,'Infos Clientes'!AR$2)
+SUMIFS('Detalhe Por UC'!$AC:$AC,'Detalhe Por UC'!$C:$C,'Infos Clientes'!$B89,'Detalhe Por UC'!$R:$R,'Infos Clientes'!AR$2))</f>
        <v>174</v>
      </c>
      <c r="AS89" s="27">
        <f>IF(SUMIFS('Detalhe Por UC'!$AB:$AB,'Detalhe Por UC'!$C:$C,'Infos Clientes'!$B89,'Detalhe Por UC'!$R:$R,'Infos Clientes'!AS$2)=0,"",
SUMIFS('Detalhe Por UC'!$AB:$AB,'Detalhe Por UC'!$C:$C,'Infos Clientes'!$B89,'Detalhe Por UC'!$R:$R,'Infos Clientes'!AS$2)
+SUMIFS('Detalhe Por UC'!$AC:$AC,'Detalhe Por UC'!$C:$C,'Infos Clientes'!$B89,'Detalhe Por UC'!$R:$R,'Infos Clientes'!AS$2))</f>
        <v>418</v>
      </c>
      <c r="AT89" s="27">
        <f>IF(SUMIFS('Detalhe Por UC'!$AB:$AB,'Detalhe Por UC'!$C:$C,'Infos Clientes'!$B89,'Detalhe Por UC'!$R:$R,'Infos Clientes'!AT$2)=0,"",
SUMIFS('Detalhe Por UC'!$AB:$AB,'Detalhe Por UC'!$C:$C,'Infos Clientes'!$B89,'Detalhe Por UC'!$R:$R,'Infos Clientes'!AT$2)
+SUMIFS('Detalhe Por UC'!$AC:$AC,'Detalhe Por UC'!$C:$C,'Infos Clientes'!$B89,'Detalhe Por UC'!$R:$R,'Infos Clientes'!AT$2))</f>
        <v>225</v>
      </c>
      <c r="AU89" s="27" t="str">
        <f>IF(SUMIFS('Detalhe Por UC'!$AB:$AB,'Detalhe Por UC'!$C:$C,'Infos Clientes'!$B89,'Detalhe Por UC'!$R:$R,'Infos Clientes'!AU$2)=0,"",
SUMIFS('Detalhe Por UC'!$AB:$AB,'Detalhe Por UC'!$C:$C,'Infos Clientes'!$B89,'Detalhe Por UC'!$R:$R,'Infos Clientes'!AU$2)
+SUMIFS('Detalhe Por UC'!$AC:$AC,'Detalhe Por UC'!$C:$C,'Infos Clientes'!$B89,'Detalhe Por UC'!$R:$R,'Infos Clientes'!AU$2))</f>
        <v/>
      </c>
    </row>
    <row r="90" spans="2:47" x14ac:dyDescent="0.3">
      <c r="B90" t="s">
        <v>225</v>
      </c>
      <c r="C90" s="14">
        <f t="shared" si="4"/>
        <v>90</v>
      </c>
      <c r="D90" t="s">
        <v>19</v>
      </c>
      <c r="E90" s="15">
        <v>302</v>
      </c>
      <c r="F90" t="s">
        <v>226</v>
      </c>
      <c r="G90" t="s">
        <v>227</v>
      </c>
      <c r="H90" t="str">
        <f t="shared" si="2"/>
        <v>10/76927-3</v>
      </c>
      <c r="I90" s="31" t="s">
        <v>22</v>
      </c>
      <c r="J90" s="31" t="s">
        <v>28</v>
      </c>
      <c r="K90" s="18" t="s">
        <v>138</v>
      </c>
      <c r="M90" s="32">
        <v>0.25</v>
      </c>
      <c r="Q90" s="22">
        <f>IF(_xlfn.MINIFS('Detalhe Por UC'!R:R,'Detalhe Por UC'!C:C,B90,'Detalhe Por UC'!AD:AD,"&gt;"&amp;0)=0,"",_xlfn.MINIFS('Detalhe Por UC'!R:R,'Detalhe Por UC'!C:C,B90,'Detalhe Por UC'!AD:AD,"&gt;"&amp;0))</f>
        <v>45658</v>
      </c>
      <c r="R90" s="23">
        <f>IF(P90&lt;&gt;"ATIVO",0,
IF(OR(Q90="",Q90=0,O90=0),O90,
O90-ROUND((MAX('Detalhe Por UC'!R:R)
-Q90)/(365/12),0)))</f>
        <v>0</v>
      </c>
      <c r="T90" s="29">
        <v>352.63636363636363</v>
      </c>
      <c r="U90" s="24">
        <f t="shared" si="3"/>
        <v>359.41666666666669</v>
      </c>
      <c r="X90">
        <v>359</v>
      </c>
      <c r="Y90">
        <v>443</v>
      </c>
      <c r="Z90">
        <v>427</v>
      </c>
      <c r="AA90">
        <v>450</v>
      </c>
      <c r="AB90">
        <v>0</v>
      </c>
      <c r="AC90">
        <v>252</v>
      </c>
      <c r="AD90">
        <v>304</v>
      </c>
      <c r="AE90">
        <v>234</v>
      </c>
      <c r="AF90">
        <v>256</v>
      </c>
      <c r="AG90">
        <v>362</v>
      </c>
      <c r="AH90">
        <v>380</v>
      </c>
      <c r="AI90" s="25">
        <v>416</v>
      </c>
      <c r="AJ90" s="27">
        <f>IF(SUMIFS('Detalhe Por UC'!$AB:$AB,'Detalhe Por UC'!$C:$C,'Infos Clientes'!$B90,'Detalhe Por UC'!$R:$R,'Infos Clientes'!AJ$2)=0,"",
SUMIFS('Detalhe Por UC'!$AB:$AB,'Detalhe Por UC'!$C:$C,'Infos Clientes'!$B90,'Detalhe Por UC'!$R:$R,'Infos Clientes'!AJ$2)
+SUMIFS('Detalhe Por UC'!$AC:$AC,'Detalhe Por UC'!$C:$C,'Infos Clientes'!$B90,'Detalhe Por UC'!$R:$R,'Infos Clientes'!AJ$2))</f>
        <v>355</v>
      </c>
      <c r="AK90" s="27">
        <f>IF(SUMIFS('Detalhe Por UC'!$AB:$AB,'Detalhe Por UC'!$C:$C,'Infos Clientes'!$B90,'Detalhe Por UC'!$R:$R,'Infos Clientes'!AK$2)=0,"",
SUMIFS('Detalhe Por UC'!$AB:$AB,'Detalhe Por UC'!$C:$C,'Infos Clientes'!$B90,'Detalhe Por UC'!$R:$R,'Infos Clientes'!AK$2)
+SUMIFS('Detalhe Por UC'!$AC:$AC,'Detalhe Por UC'!$C:$C,'Infos Clientes'!$B90,'Detalhe Por UC'!$R:$R,'Infos Clientes'!AK$2))</f>
        <v>494</v>
      </c>
      <c r="AL90" s="27">
        <f>IF(SUMIFS('Detalhe Por UC'!$AB:$AB,'Detalhe Por UC'!$C:$C,'Infos Clientes'!$B90,'Detalhe Por UC'!$R:$R,'Infos Clientes'!AL$2)=0,"",
SUMIFS('Detalhe Por UC'!$AB:$AB,'Detalhe Por UC'!$C:$C,'Infos Clientes'!$B90,'Detalhe Por UC'!$R:$R,'Infos Clientes'!AL$2)
+SUMIFS('Detalhe Por UC'!$AC:$AC,'Detalhe Por UC'!$C:$C,'Infos Clientes'!$B90,'Detalhe Por UC'!$R:$R,'Infos Clientes'!AL$2))</f>
        <v>641</v>
      </c>
      <c r="AM90" s="27">
        <f>IF(SUMIFS('Detalhe Por UC'!$AB:$AB,'Detalhe Por UC'!$C:$C,'Infos Clientes'!$B90,'Detalhe Por UC'!$R:$R,'Infos Clientes'!AM$2)=0,"",
SUMIFS('Detalhe Por UC'!$AB:$AB,'Detalhe Por UC'!$C:$C,'Infos Clientes'!$B90,'Detalhe Por UC'!$R:$R,'Infos Clientes'!AM$2)
+SUMIFS('Detalhe Por UC'!$AC:$AC,'Detalhe Por UC'!$C:$C,'Infos Clientes'!$B90,'Detalhe Por UC'!$R:$R,'Infos Clientes'!AM$2))</f>
        <v>405</v>
      </c>
      <c r="AN90" s="27">
        <f>IF(SUMIFS('Detalhe Por UC'!$AB:$AB,'Detalhe Por UC'!$C:$C,'Infos Clientes'!$B90,'Detalhe Por UC'!$R:$R,'Infos Clientes'!AN$2)=0,"",
SUMIFS('Detalhe Por UC'!$AB:$AB,'Detalhe Por UC'!$C:$C,'Infos Clientes'!$B90,'Detalhe Por UC'!$R:$R,'Infos Clientes'!AN$2)
+SUMIFS('Detalhe Por UC'!$AC:$AC,'Detalhe Por UC'!$C:$C,'Infos Clientes'!$B90,'Detalhe Por UC'!$R:$R,'Infos Clientes'!AN$2))</f>
        <v>297</v>
      </c>
      <c r="AO90" s="27">
        <f>IF(SUMIFS('Detalhe Por UC'!$AB:$AB,'Detalhe Por UC'!$C:$C,'Infos Clientes'!$B90,'Detalhe Por UC'!$R:$R,'Infos Clientes'!AO$2)=0,"",
SUMIFS('Detalhe Por UC'!$AB:$AB,'Detalhe Por UC'!$C:$C,'Infos Clientes'!$B90,'Detalhe Por UC'!$R:$R,'Infos Clientes'!AO$2)
+SUMIFS('Detalhe Por UC'!$AC:$AC,'Detalhe Por UC'!$C:$C,'Infos Clientes'!$B90,'Detalhe Por UC'!$R:$R,'Infos Clientes'!AO$2))</f>
        <v>274</v>
      </c>
      <c r="AP90" s="27">
        <f>IF(SUMIFS('Detalhe Por UC'!$AB:$AB,'Detalhe Por UC'!$C:$C,'Infos Clientes'!$B90,'Detalhe Por UC'!$R:$R,'Infos Clientes'!AP$2)=0,"",
SUMIFS('Detalhe Por UC'!$AB:$AB,'Detalhe Por UC'!$C:$C,'Infos Clientes'!$B90,'Detalhe Por UC'!$R:$R,'Infos Clientes'!AP$2)
+SUMIFS('Detalhe Por UC'!$AC:$AC,'Detalhe Por UC'!$C:$C,'Infos Clientes'!$B90,'Detalhe Por UC'!$R:$R,'Infos Clientes'!AP$2))</f>
        <v>158</v>
      </c>
      <c r="AQ90" s="27">
        <f>IF(SUMIFS('Detalhe Por UC'!$AB:$AB,'Detalhe Por UC'!$C:$C,'Infos Clientes'!$B90,'Detalhe Por UC'!$R:$R,'Infos Clientes'!AQ$2)=0,"",
SUMIFS('Detalhe Por UC'!$AB:$AB,'Detalhe Por UC'!$C:$C,'Infos Clientes'!$B90,'Detalhe Por UC'!$R:$R,'Infos Clientes'!AQ$2)
+SUMIFS('Detalhe Por UC'!$AC:$AC,'Detalhe Por UC'!$C:$C,'Infos Clientes'!$B90,'Detalhe Por UC'!$R:$R,'Infos Clientes'!AQ$2))</f>
        <v>199</v>
      </c>
      <c r="AR90" s="27">
        <f>IF(SUMIFS('Detalhe Por UC'!$AB:$AB,'Detalhe Por UC'!$C:$C,'Infos Clientes'!$B90,'Detalhe Por UC'!$R:$R,'Infos Clientes'!AR$2)=0,"",
SUMIFS('Detalhe Por UC'!$AB:$AB,'Detalhe Por UC'!$C:$C,'Infos Clientes'!$B90,'Detalhe Por UC'!$R:$R,'Infos Clientes'!AR$2)
+SUMIFS('Detalhe Por UC'!$AC:$AC,'Detalhe Por UC'!$C:$C,'Infos Clientes'!$B90,'Detalhe Por UC'!$R:$R,'Infos Clientes'!AR$2))</f>
        <v>238</v>
      </c>
      <c r="AS90" s="27">
        <f>IF(SUMIFS('Detalhe Por UC'!$AB:$AB,'Detalhe Por UC'!$C:$C,'Infos Clientes'!$B90,'Detalhe Por UC'!$R:$R,'Infos Clientes'!AS$2)=0,"",
SUMIFS('Detalhe Por UC'!$AB:$AB,'Detalhe Por UC'!$C:$C,'Infos Clientes'!$B90,'Detalhe Por UC'!$R:$R,'Infos Clientes'!AS$2)
+SUMIFS('Detalhe Por UC'!$AC:$AC,'Detalhe Por UC'!$C:$C,'Infos Clientes'!$B90,'Detalhe Por UC'!$R:$R,'Infos Clientes'!AS$2))</f>
        <v>413</v>
      </c>
      <c r="AT90" s="27">
        <f>IF(SUMIFS('Detalhe Por UC'!$AB:$AB,'Detalhe Por UC'!$C:$C,'Infos Clientes'!$B90,'Detalhe Por UC'!$R:$R,'Infos Clientes'!AT$2)=0,"",
SUMIFS('Detalhe Por UC'!$AB:$AB,'Detalhe Por UC'!$C:$C,'Infos Clientes'!$B90,'Detalhe Por UC'!$R:$R,'Infos Clientes'!AT$2)
+SUMIFS('Detalhe Por UC'!$AC:$AC,'Detalhe Por UC'!$C:$C,'Infos Clientes'!$B90,'Detalhe Por UC'!$R:$R,'Infos Clientes'!AT$2))</f>
        <v>423</v>
      </c>
      <c r="AU90" s="27" t="str">
        <f>IF(SUMIFS('Detalhe Por UC'!$AB:$AB,'Detalhe Por UC'!$C:$C,'Infos Clientes'!$B90,'Detalhe Por UC'!$R:$R,'Infos Clientes'!AU$2)=0,"",
SUMIFS('Detalhe Por UC'!$AB:$AB,'Detalhe Por UC'!$C:$C,'Infos Clientes'!$B90,'Detalhe Por UC'!$R:$R,'Infos Clientes'!AU$2)
+SUMIFS('Detalhe Por UC'!$AC:$AC,'Detalhe Por UC'!$C:$C,'Infos Clientes'!$B90,'Detalhe Por UC'!$R:$R,'Infos Clientes'!AU$2))</f>
        <v/>
      </c>
    </row>
    <row r="91" spans="2:47" x14ac:dyDescent="0.3">
      <c r="B91" t="s">
        <v>228</v>
      </c>
      <c r="C91" s="14">
        <f t="shared" si="4"/>
        <v>91</v>
      </c>
      <c r="D91" t="s">
        <v>19</v>
      </c>
      <c r="E91" s="15">
        <v>302</v>
      </c>
      <c r="F91" t="s">
        <v>229</v>
      </c>
      <c r="G91" t="s">
        <v>230</v>
      </c>
      <c r="H91" t="str">
        <f t="shared" si="2"/>
        <v>10/78338-1</v>
      </c>
      <c r="I91" s="31" t="s">
        <v>22</v>
      </c>
      <c r="J91" s="31" t="s">
        <v>28</v>
      </c>
      <c r="K91" s="18" t="s">
        <v>138</v>
      </c>
      <c r="M91" s="32">
        <v>0.25</v>
      </c>
      <c r="Q91" s="22">
        <f>IF(_xlfn.MINIFS('Detalhe Por UC'!R:R,'Detalhe Por UC'!C:C,B91,'Detalhe Por UC'!AD:AD,"&gt;"&amp;0)=0,"",_xlfn.MINIFS('Detalhe Por UC'!R:R,'Detalhe Por UC'!C:C,B91,'Detalhe Por UC'!AD:AD,"&gt;"&amp;0))</f>
        <v>45658</v>
      </c>
      <c r="R91" s="23">
        <f>IF(P91&lt;&gt;"ATIVO",0,
IF(OR(Q91="",Q91=0,O91=0),O91,
O91-ROUND((MAX('Detalhe Por UC'!R:R)
-Q91)/(365/12),0)))</f>
        <v>0</v>
      </c>
      <c r="T91" s="29">
        <v>286.18181818181819</v>
      </c>
      <c r="U91" s="24">
        <f t="shared" si="3"/>
        <v>310.83333333333331</v>
      </c>
      <c r="X91">
        <v>258</v>
      </c>
      <c r="Y91">
        <v>396</v>
      </c>
      <c r="Z91">
        <v>318</v>
      </c>
      <c r="AA91">
        <v>325</v>
      </c>
      <c r="AB91">
        <v>0</v>
      </c>
      <c r="AC91">
        <v>89</v>
      </c>
      <c r="AD91">
        <v>131</v>
      </c>
      <c r="AE91">
        <v>165</v>
      </c>
      <c r="AF91">
        <v>268</v>
      </c>
      <c r="AG91">
        <v>315</v>
      </c>
      <c r="AH91">
        <v>421</v>
      </c>
      <c r="AI91" s="25">
        <v>384</v>
      </c>
      <c r="AJ91" s="27">
        <f>IF(SUMIFS('Detalhe Por UC'!$AB:$AB,'Detalhe Por UC'!$C:$C,'Infos Clientes'!$B91,'Detalhe Por UC'!$R:$R,'Infos Clientes'!AJ$2)=0,"",
SUMIFS('Detalhe Por UC'!$AB:$AB,'Detalhe Por UC'!$C:$C,'Infos Clientes'!$B91,'Detalhe Por UC'!$R:$R,'Infos Clientes'!AJ$2)
+SUMIFS('Detalhe Por UC'!$AC:$AC,'Detalhe Por UC'!$C:$C,'Infos Clientes'!$B91,'Detalhe Por UC'!$R:$R,'Infos Clientes'!AJ$2))</f>
        <v>336</v>
      </c>
      <c r="AK91" s="27">
        <f>IF(SUMIFS('Detalhe Por UC'!$AB:$AB,'Detalhe Por UC'!$C:$C,'Infos Clientes'!$B91,'Detalhe Por UC'!$R:$R,'Infos Clientes'!AK$2)=0,"",
SUMIFS('Detalhe Por UC'!$AB:$AB,'Detalhe Por UC'!$C:$C,'Infos Clientes'!$B91,'Detalhe Por UC'!$R:$R,'Infos Clientes'!AK$2)
+SUMIFS('Detalhe Por UC'!$AC:$AC,'Detalhe Por UC'!$C:$C,'Infos Clientes'!$B91,'Detalhe Por UC'!$R:$R,'Infos Clientes'!AK$2))</f>
        <v>480</v>
      </c>
      <c r="AL91" s="27">
        <f>IF(SUMIFS('Detalhe Por UC'!$AB:$AB,'Detalhe Por UC'!$C:$C,'Infos Clientes'!$B91,'Detalhe Por UC'!$R:$R,'Infos Clientes'!AL$2)=0,"",
SUMIFS('Detalhe Por UC'!$AB:$AB,'Detalhe Por UC'!$C:$C,'Infos Clientes'!$B91,'Detalhe Por UC'!$R:$R,'Infos Clientes'!AL$2)
+SUMIFS('Detalhe Por UC'!$AC:$AC,'Detalhe Por UC'!$C:$C,'Infos Clientes'!$B91,'Detalhe Por UC'!$R:$R,'Infos Clientes'!AL$2))</f>
        <v>386</v>
      </c>
      <c r="AM91" s="27">
        <f>IF(SUMIFS('Detalhe Por UC'!$AB:$AB,'Detalhe Por UC'!$C:$C,'Infos Clientes'!$B91,'Detalhe Por UC'!$R:$R,'Infos Clientes'!AM$2)=0,"",
SUMIFS('Detalhe Por UC'!$AB:$AB,'Detalhe Por UC'!$C:$C,'Infos Clientes'!$B91,'Detalhe Por UC'!$R:$R,'Infos Clientes'!AM$2)
+SUMIFS('Detalhe Por UC'!$AC:$AC,'Detalhe Por UC'!$C:$C,'Infos Clientes'!$B91,'Detalhe Por UC'!$R:$R,'Infos Clientes'!AM$2))</f>
        <v>271</v>
      </c>
      <c r="AN91" s="27">
        <f>IF(SUMIFS('Detalhe Por UC'!$AB:$AB,'Detalhe Por UC'!$C:$C,'Infos Clientes'!$B91,'Detalhe Por UC'!$R:$R,'Infos Clientes'!AN$2)=0,"",
SUMIFS('Detalhe Por UC'!$AB:$AB,'Detalhe Por UC'!$C:$C,'Infos Clientes'!$B91,'Detalhe Por UC'!$R:$R,'Infos Clientes'!AN$2)
+SUMIFS('Detalhe Por UC'!$AC:$AC,'Detalhe Por UC'!$C:$C,'Infos Clientes'!$B91,'Detalhe Por UC'!$R:$R,'Infos Clientes'!AN$2))</f>
        <v>302</v>
      </c>
      <c r="AO91" s="27">
        <f>IF(SUMIFS('Detalhe Por UC'!$AB:$AB,'Detalhe Por UC'!$C:$C,'Infos Clientes'!$B91,'Detalhe Por UC'!$R:$R,'Infos Clientes'!AO$2)=0,"",
SUMIFS('Detalhe Por UC'!$AB:$AB,'Detalhe Por UC'!$C:$C,'Infos Clientes'!$B91,'Detalhe Por UC'!$R:$R,'Infos Clientes'!AO$2)
+SUMIFS('Detalhe Por UC'!$AC:$AC,'Detalhe Por UC'!$C:$C,'Infos Clientes'!$B91,'Detalhe Por UC'!$R:$R,'Infos Clientes'!AO$2))</f>
        <v>245</v>
      </c>
      <c r="AP91" s="27">
        <f>IF(SUMIFS('Detalhe Por UC'!$AB:$AB,'Detalhe Por UC'!$C:$C,'Infos Clientes'!$B91,'Detalhe Por UC'!$R:$R,'Infos Clientes'!AP$2)=0,"",
SUMIFS('Detalhe Por UC'!$AB:$AB,'Detalhe Por UC'!$C:$C,'Infos Clientes'!$B91,'Detalhe Por UC'!$R:$R,'Infos Clientes'!AP$2)
+SUMIFS('Detalhe Por UC'!$AC:$AC,'Detalhe Por UC'!$C:$C,'Infos Clientes'!$B91,'Detalhe Por UC'!$R:$R,'Infos Clientes'!AP$2))</f>
        <v>164</v>
      </c>
      <c r="AQ91" s="27">
        <f>IF(SUMIFS('Detalhe Por UC'!$AB:$AB,'Detalhe Por UC'!$C:$C,'Infos Clientes'!$B91,'Detalhe Por UC'!$R:$R,'Infos Clientes'!AQ$2)=0,"",
SUMIFS('Detalhe Por UC'!$AB:$AB,'Detalhe Por UC'!$C:$C,'Infos Clientes'!$B91,'Detalhe Por UC'!$R:$R,'Infos Clientes'!AQ$2)
+SUMIFS('Detalhe Por UC'!$AC:$AC,'Detalhe Por UC'!$C:$C,'Infos Clientes'!$B91,'Detalhe Por UC'!$R:$R,'Infos Clientes'!AQ$2))</f>
        <v>184</v>
      </c>
      <c r="AR91" s="27">
        <f>IF(SUMIFS('Detalhe Por UC'!$AB:$AB,'Detalhe Por UC'!$C:$C,'Infos Clientes'!$B91,'Detalhe Por UC'!$R:$R,'Infos Clientes'!AR$2)=0,"",
SUMIFS('Detalhe Por UC'!$AB:$AB,'Detalhe Por UC'!$C:$C,'Infos Clientes'!$B91,'Detalhe Por UC'!$R:$R,'Infos Clientes'!AR$2)
+SUMIFS('Detalhe Por UC'!$AC:$AC,'Detalhe Por UC'!$C:$C,'Infos Clientes'!$B91,'Detalhe Por UC'!$R:$R,'Infos Clientes'!AR$2))</f>
        <v>265</v>
      </c>
      <c r="AS91" s="27">
        <f>IF(SUMIFS('Detalhe Por UC'!$AB:$AB,'Detalhe Por UC'!$C:$C,'Infos Clientes'!$B91,'Detalhe Por UC'!$R:$R,'Infos Clientes'!AS$2)=0,"",
SUMIFS('Detalhe Por UC'!$AB:$AB,'Detalhe Por UC'!$C:$C,'Infos Clientes'!$B91,'Detalhe Por UC'!$R:$R,'Infos Clientes'!AS$2)
+SUMIFS('Detalhe Por UC'!$AC:$AC,'Detalhe Por UC'!$C:$C,'Infos Clientes'!$B91,'Detalhe Por UC'!$R:$R,'Infos Clientes'!AS$2))</f>
        <v>330</v>
      </c>
      <c r="AT91" s="27">
        <f>IF(SUMIFS('Detalhe Por UC'!$AB:$AB,'Detalhe Por UC'!$C:$C,'Infos Clientes'!$B91,'Detalhe Por UC'!$R:$R,'Infos Clientes'!AT$2)=0,"",
SUMIFS('Detalhe Por UC'!$AB:$AB,'Detalhe Por UC'!$C:$C,'Infos Clientes'!$B91,'Detalhe Por UC'!$R:$R,'Infos Clientes'!AT$2)
+SUMIFS('Detalhe Por UC'!$AC:$AC,'Detalhe Por UC'!$C:$C,'Infos Clientes'!$B91,'Detalhe Por UC'!$R:$R,'Infos Clientes'!AT$2))</f>
        <v>383</v>
      </c>
      <c r="AU91" s="27" t="str">
        <f>IF(SUMIFS('Detalhe Por UC'!$AB:$AB,'Detalhe Por UC'!$C:$C,'Infos Clientes'!$B91,'Detalhe Por UC'!$R:$R,'Infos Clientes'!AU$2)=0,"",
SUMIFS('Detalhe Por UC'!$AB:$AB,'Detalhe Por UC'!$C:$C,'Infos Clientes'!$B91,'Detalhe Por UC'!$R:$R,'Infos Clientes'!AU$2)
+SUMIFS('Detalhe Por UC'!$AC:$AC,'Detalhe Por UC'!$C:$C,'Infos Clientes'!$B91,'Detalhe Por UC'!$R:$R,'Infos Clientes'!AU$2))</f>
        <v/>
      </c>
    </row>
    <row r="92" spans="2:47" x14ac:dyDescent="0.3">
      <c r="B92" t="s">
        <v>231</v>
      </c>
      <c r="C92" s="14">
        <f t="shared" si="4"/>
        <v>92</v>
      </c>
      <c r="D92" t="s">
        <v>19</v>
      </c>
      <c r="E92" s="15">
        <v>302</v>
      </c>
      <c r="F92" t="s">
        <v>232</v>
      </c>
      <c r="G92" t="s">
        <v>233</v>
      </c>
      <c r="H92" t="str">
        <f t="shared" si="2"/>
        <v>10/81222-2</v>
      </c>
      <c r="I92" s="31" t="s">
        <v>22</v>
      </c>
      <c r="J92" s="31" t="s">
        <v>28</v>
      </c>
      <c r="K92" s="18" t="s">
        <v>138</v>
      </c>
      <c r="M92" s="32">
        <v>0.25</v>
      </c>
      <c r="Q92" s="22">
        <f>IF(_xlfn.MINIFS('Detalhe Por UC'!R:R,'Detalhe Por UC'!C:C,B92,'Detalhe Por UC'!AD:AD,"&gt;"&amp;0)=0,"",_xlfn.MINIFS('Detalhe Por UC'!R:R,'Detalhe Por UC'!C:C,B92,'Detalhe Por UC'!AD:AD,"&gt;"&amp;0))</f>
        <v>45658</v>
      </c>
      <c r="R92" s="23">
        <f>IF(P92&lt;&gt;"ATIVO",0,
IF(OR(Q92="",Q92=0,O92=0),O92,
O92-ROUND((MAX('Detalhe Por UC'!R:R)
-Q92)/(365/12),0)))</f>
        <v>0</v>
      </c>
      <c r="T92" s="29">
        <v>461.45454545454544</v>
      </c>
      <c r="U92" s="24">
        <f t="shared" si="3"/>
        <v>450.16666666666669</v>
      </c>
      <c r="X92">
        <v>584</v>
      </c>
      <c r="Y92">
        <v>539</v>
      </c>
      <c r="Z92">
        <v>659</v>
      </c>
      <c r="AA92">
        <v>545</v>
      </c>
      <c r="AB92">
        <v>0</v>
      </c>
      <c r="AC92">
        <v>266</v>
      </c>
      <c r="AD92">
        <v>250</v>
      </c>
      <c r="AE92">
        <v>261</v>
      </c>
      <c r="AF92">
        <v>316</v>
      </c>
      <c r="AG92">
        <v>604</v>
      </c>
      <c r="AH92">
        <v>510</v>
      </c>
      <c r="AI92" s="25">
        <v>462</v>
      </c>
      <c r="AJ92" s="27">
        <f>IF(SUMIFS('Detalhe Por UC'!$AB:$AB,'Detalhe Por UC'!$C:$C,'Infos Clientes'!$B92,'Detalhe Por UC'!$R:$R,'Infos Clientes'!AJ$2)=0,"",
SUMIFS('Detalhe Por UC'!$AB:$AB,'Detalhe Por UC'!$C:$C,'Infos Clientes'!$B92,'Detalhe Por UC'!$R:$R,'Infos Clientes'!AJ$2)
+SUMIFS('Detalhe Por UC'!$AC:$AC,'Detalhe Por UC'!$C:$C,'Infos Clientes'!$B92,'Detalhe Por UC'!$R:$R,'Infos Clientes'!AJ$2))</f>
        <v>664</v>
      </c>
      <c r="AK92" s="27">
        <f>IF(SUMIFS('Detalhe Por UC'!$AB:$AB,'Detalhe Por UC'!$C:$C,'Infos Clientes'!$B92,'Detalhe Por UC'!$R:$R,'Infos Clientes'!AK$2)=0,"",
SUMIFS('Detalhe Por UC'!$AB:$AB,'Detalhe Por UC'!$C:$C,'Infos Clientes'!$B92,'Detalhe Por UC'!$R:$R,'Infos Clientes'!AK$2)
+SUMIFS('Detalhe Por UC'!$AC:$AC,'Detalhe Por UC'!$C:$C,'Infos Clientes'!$B92,'Detalhe Por UC'!$R:$R,'Infos Clientes'!AK$2))</f>
        <v>570</v>
      </c>
      <c r="AL92" s="27">
        <f>IF(SUMIFS('Detalhe Por UC'!$AB:$AB,'Detalhe Por UC'!$C:$C,'Infos Clientes'!$B92,'Detalhe Por UC'!$R:$R,'Infos Clientes'!AL$2)=0,"",
SUMIFS('Detalhe Por UC'!$AB:$AB,'Detalhe Por UC'!$C:$C,'Infos Clientes'!$B92,'Detalhe Por UC'!$R:$R,'Infos Clientes'!AL$2)
+SUMIFS('Detalhe Por UC'!$AC:$AC,'Detalhe Por UC'!$C:$C,'Infos Clientes'!$B92,'Detalhe Por UC'!$R:$R,'Infos Clientes'!AL$2))</f>
        <v>539</v>
      </c>
      <c r="AM92" s="27">
        <f>IF(SUMIFS('Detalhe Por UC'!$AB:$AB,'Detalhe Por UC'!$C:$C,'Infos Clientes'!$B92,'Detalhe Por UC'!$R:$R,'Infos Clientes'!AM$2)=0,"",
SUMIFS('Detalhe Por UC'!$AB:$AB,'Detalhe Por UC'!$C:$C,'Infos Clientes'!$B92,'Detalhe Por UC'!$R:$R,'Infos Clientes'!AM$2)
+SUMIFS('Detalhe Por UC'!$AC:$AC,'Detalhe Por UC'!$C:$C,'Infos Clientes'!$B92,'Detalhe Por UC'!$R:$R,'Infos Clientes'!AM$2))</f>
        <v>369</v>
      </c>
      <c r="AN92" s="27">
        <f>IF(SUMIFS('Detalhe Por UC'!$AB:$AB,'Detalhe Por UC'!$C:$C,'Infos Clientes'!$B92,'Detalhe Por UC'!$R:$R,'Infos Clientes'!AN$2)=0,"",
SUMIFS('Detalhe Por UC'!$AB:$AB,'Detalhe Por UC'!$C:$C,'Infos Clientes'!$B92,'Detalhe Por UC'!$R:$R,'Infos Clientes'!AN$2)
+SUMIFS('Detalhe Por UC'!$AC:$AC,'Detalhe Por UC'!$C:$C,'Infos Clientes'!$B92,'Detalhe Por UC'!$R:$R,'Infos Clientes'!AN$2))</f>
        <v>347</v>
      </c>
      <c r="AO92" s="27">
        <f>IF(SUMIFS('Detalhe Por UC'!$AB:$AB,'Detalhe Por UC'!$C:$C,'Infos Clientes'!$B92,'Detalhe Por UC'!$R:$R,'Infos Clientes'!AO$2)=0,"",
SUMIFS('Detalhe Por UC'!$AB:$AB,'Detalhe Por UC'!$C:$C,'Infos Clientes'!$B92,'Detalhe Por UC'!$R:$R,'Infos Clientes'!AO$2)
+SUMIFS('Detalhe Por UC'!$AC:$AC,'Detalhe Por UC'!$C:$C,'Infos Clientes'!$B92,'Detalhe Por UC'!$R:$R,'Infos Clientes'!AO$2))</f>
        <v>300</v>
      </c>
      <c r="AP92" s="27">
        <f>IF(SUMIFS('Detalhe Por UC'!$AB:$AB,'Detalhe Por UC'!$C:$C,'Infos Clientes'!$B92,'Detalhe Por UC'!$R:$R,'Infos Clientes'!AP$2)=0,"",
SUMIFS('Detalhe Por UC'!$AB:$AB,'Detalhe Por UC'!$C:$C,'Infos Clientes'!$B92,'Detalhe Por UC'!$R:$R,'Infos Clientes'!AP$2)
+SUMIFS('Detalhe Por UC'!$AC:$AC,'Detalhe Por UC'!$C:$C,'Infos Clientes'!$B92,'Detalhe Por UC'!$R:$R,'Infos Clientes'!AP$2))</f>
        <v>210</v>
      </c>
      <c r="AQ92" s="27">
        <f>IF(SUMIFS('Detalhe Por UC'!$AB:$AB,'Detalhe Por UC'!$C:$C,'Infos Clientes'!$B92,'Detalhe Por UC'!$R:$R,'Infos Clientes'!AQ$2)=0,"",
SUMIFS('Detalhe Por UC'!$AB:$AB,'Detalhe Por UC'!$C:$C,'Infos Clientes'!$B92,'Detalhe Por UC'!$R:$R,'Infos Clientes'!AQ$2)
+SUMIFS('Detalhe Por UC'!$AC:$AC,'Detalhe Por UC'!$C:$C,'Infos Clientes'!$B92,'Detalhe Por UC'!$R:$R,'Infos Clientes'!AQ$2))</f>
        <v>273</v>
      </c>
      <c r="AR92" s="27">
        <f>IF(SUMIFS('Detalhe Por UC'!$AB:$AB,'Detalhe Por UC'!$C:$C,'Infos Clientes'!$B92,'Detalhe Por UC'!$R:$R,'Infos Clientes'!AR$2)=0,"",
SUMIFS('Detalhe Por UC'!$AB:$AB,'Detalhe Por UC'!$C:$C,'Infos Clientes'!$B92,'Detalhe Por UC'!$R:$R,'Infos Clientes'!AR$2)
+SUMIFS('Detalhe Por UC'!$AC:$AC,'Detalhe Por UC'!$C:$C,'Infos Clientes'!$B92,'Detalhe Por UC'!$R:$R,'Infos Clientes'!AR$2))</f>
        <v>464</v>
      </c>
      <c r="AS92" s="27">
        <f>IF(SUMIFS('Detalhe Por UC'!$AB:$AB,'Detalhe Por UC'!$C:$C,'Infos Clientes'!$B92,'Detalhe Por UC'!$R:$R,'Infos Clientes'!AS$2)=0,"",
SUMIFS('Detalhe Por UC'!$AB:$AB,'Detalhe Por UC'!$C:$C,'Infos Clientes'!$B92,'Detalhe Por UC'!$R:$R,'Infos Clientes'!AS$2)
+SUMIFS('Detalhe Por UC'!$AC:$AC,'Detalhe Por UC'!$C:$C,'Infos Clientes'!$B92,'Detalhe Por UC'!$R:$R,'Infos Clientes'!AS$2))</f>
        <v>591</v>
      </c>
      <c r="AT92" s="27">
        <f>IF(SUMIFS('Detalhe Por UC'!$AB:$AB,'Detalhe Por UC'!$C:$C,'Infos Clientes'!$B92,'Detalhe Por UC'!$R:$R,'Infos Clientes'!AT$2)=0,"",
SUMIFS('Detalhe Por UC'!$AB:$AB,'Detalhe Por UC'!$C:$C,'Infos Clientes'!$B92,'Detalhe Por UC'!$R:$R,'Infos Clientes'!AT$2)
+SUMIFS('Detalhe Por UC'!$AC:$AC,'Detalhe Por UC'!$C:$C,'Infos Clientes'!$B92,'Detalhe Por UC'!$R:$R,'Infos Clientes'!AT$2))</f>
        <v>613</v>
      </c>
      <c r="AU92" s="27" t="str">
        <f>IF(SUMIFS('Detalhe Por UC'!$AB:$AB,'Detalhe Por UC'!$C:$C,'Infos Clientes'!$B92,'Detalhe Por UC'!$R:$R,'Infos Clientes'!AU$2)=0,"",
SUMIFS('Detalhe Por UC'!$AB:$AB,'Detalhe Por UC'!$C:$C,'Infos Clientes'!$B92,'Detalhe Por UC'!$R:$R,'Infos Clientes'!AU$2)
+SUMIFS('Detalhe Por UC'!$AC:$AC,'Detalhe Por UC'!$C:$C,'Infos Clientes'!$B92,'Detalhe Por UC'!$R:$R,'Infos Clientes'!AU$2))</f>
        <v/>
      </c>
    </row>
    <row r="93" spans="2:47" x14ac:dyDescent="0.3">
      <c r="B93" t="s">
        <v>234</v>
      </c>
      <c r="C93" s="14">
        <f t="shared" si="4"/>
        <v>93</v>
      </c>
      <c r="D93" t="s">
        <v>19</v>
      </c>
      <c r="E93" s="15">
        <v>302</v>
      </c>
      <c r="F93" t="s">
        <v>235</v>
      </c>
      <c r="G93" t="s">
        <v>236</v>
      </c>
      <c r="H93" t="str">
        <f t="shared" si="2"/>
        <v>10/8777-5</v>
      </c>
      <c r="I93" s="31" t="s">
        <v>22</v>
      </c>
      <c r="J93" s="31" t="s">
        <v>28</v>
      </c>
      <c r="K93" s="18" t="s">
        <v>138</v>
      </c>
      <c r="M93" s="32">
        <v>0.25</v>
      </c>
      <c r="Q93" s="22">
        <f>IF(_xlfn.MINIFS('Detalhe Por UC'!R:R,'Detalhe Por UC'!C:C,B93,'Detalhe Por UC'!AD:AD,"&gt;"&amp;0)=0,"",_xlfn.MINIFS('Detalhe Por UC'!R:R,'Detalhe Por UC'!C:C,B93,'Detalhe Por UC'!AD:AD,"&gt;"&amp;0))</f>
        <v>45658</v>
      </c>
      <c r="R93" s="23">
        <f>IF(P93&lt;&gt;"ATIVO",0,
IF(OR(Q93="",Q93=0,O93=0),O93,
O93-ROUND((MAX('Detalhe Por UC'!R:R)
-Q93)/(365/12),0)))</f>
        <v>0</v>
      </c>
      <c r="T93" s="29">
        <v>426.36363636363637</v>
      </c>
      <c r="U93" s="24">
        <f t="shared" si="3"/>
        <v>507.83333333333331</v>
      </c>
      <c r="X93">
        <v>646</v>
      </c>
      <c r="Y93">
        <v>545</v>
      </c>
      <c r="Z93">
        <v>630</v>
      </c>
      <c r="AA93">
        <v>516</v>
      </c>
      <c r="AB93">
        <v>0</v>
      </c>
      <c r="AC93">
        <v>250</v>
      </c>
      <c r="AD93">
        <v>180</v>
      </c>
      <c r="AE93">
        <v>244</v>
      </c>
      <c r="AF93">
        <v>261</v>
      </c>
      <c r="AG93">
        <v>563</v>
      </c>
      <c r="AH93">
        <v>393</v>
      </c>
      <c r="AI93" s="25">
        <v>469</v>
      </c>
      <c r="AJ93" s="27">
        <f>IF(SUMIFS('Detalhe Por UC'!$AB:$AB,'Detalhe Por UC'!$C:$C,'Infos Clientes'!$B93,'Detalhe Por UC'!$R:$R,'Infos Clientes'!AJ$2)=0,"",
SUMIFS('Detalhe Por UC'!$AB:$AB,'Detalhe Por UC'!$C:$C,'Infos Clientes'!$B93,'Detalhe Por UC'!$R:$R,'Infos Clientes'!AJ$2)
+SUMIFS('Detalhe Por UC'!$AC:$AC,'Detalhe Por UC'!$C:$C,'Infos Clientes'!$B93,'Detalhe Por UC'!$R:$R,'Infos Clientes'!AJ$2))</f>
        <v>639</v>
      </c>
      <c r="AK93" s="27">
        <f>IF(SUMIFS('Detalhe Por UC'!$AB:$AB,'Detalhe Por UC'!$C:$C,'Infos Clientes'!$B93,'Detalhe Por UC'!$R:$R,'Infos Clientes'!AK$2)=0,"",
SUMIFS('Detalhe Por UC'!$AB:$AB,'Detalhe Por UC'!$C:$C,'Infos Clientes'!$B93,'Detalhe Por UC'!$R:$R,'Infos Clientes'!AK$2)
+SUMIFS('Detalhe Por UC'!$AC:$AC,'Detalhe Por UC'!$C:$C,'Infos Clientes'!$B93,'Detalhe Por UC'!$R:$R,'Infos Clientes'!AK$2))</f>
        <v>592</v>
      </c>
      <c r="AL93" s="27">
        <f>IF(SUMIFS('Detalhe Por UC'!$AB:$AB,'Detalhe Por UC'!$C:$C,'Infos Clientes'!$B93,'Detalhe Por UC'!$R:$R,'Infos Clientes'!AL$2)=0,"",
SUMIFS('Detalhe Por UC'!$AB:$AB,'Detalhe Por UC'!$C:$C,'Infos Clientes'!$B93,'Detalhe Por UC'!$R:$R,'Infos Clientes'!AL$2)
+SUMIFS('Detalhe Por UC'!$AC:$AC,'Detalhe Por UC'!$C:$C,'Infos Clientes'!$B93,'Detalhe Por UC'!$R:$R,'Infos Clientes'!AL$2))</f>
        <v>717</v>
      </c>
      <c r="AM93" s="27">
        <f>IF(SUMIFS('Detalhe Por UC'!$AB:$AB,'Detalhe Por UC'!$C:$C,'Infos Clientes'!$B93,'Detalhe Por UC'!$R:$R,'Infos Clientes'!AM$2)=0,"",
SUMIFS('Detalhe Por UC'!$AB:$AB,'Detalhe Por UC'!$C:$C,'Infos Clientes'!$B93,'Detalhe Por UC'!$R:$R,'Infos Clientes'!AM$2)
+SUMIFS('Detalhe Por UC'!$AC:$AC,'Detalhe Por UC'!$C:$C,'Infos Clientes'!$B93,'Detalhe Por UC'!$R:$R,'Infos Clientes'!AM$2))</f>
        <v>600</v>
      </c>
      <c r="AN93" s="27">
        <f>IF(SUMIFS('Detalhe Por UC'!$AB:$AB,'Detalhe Por UC'!$C:$C,'Infos Clientes'!$B93,'Detalhe Por UC'!$R:$R,'Infos Clientes'!AN$2)=0,"",
SUMIFS('Detalhe Por UC'!$AB:$AB,'Detalhe Por UC'!$C:$C,'Infos Clientes'!$B93,'Detalhe Por UC'!$R:$R,'Infos Clientes'!AN$2)
+SUMIFS('Detalhe Por UC'!$AC:$AC,'Detalhe Por UC'!$C:$C,'Infos Clientes'!$B93,'Detalhe Por UC'!$R:$R,'Infos Clientes'!AN$2))</f>
        <v>478</v>
      </c>
      <c r="AO93" s="27">
        <f>IF(SUMIFS('Detalhe Por UC'!$AB:$AB,'Detalhe Por UC'!$C:$C,'Infos Clientes'!$B93,'Detalhe Por UC'!$R:$R,'Infos Clientes'!AO$2)=0,"",
SUMIFS('Detalhe Por UC'!$AB:$AB,'Detalhe Por UC'!$C:$C,'Infos Clientes'!$B93,'Detalhe Por UC'!$R:$R,'Infos Clientes'!AO$2)
+SUMIFS('Detalhe Por UC'!$AC:$AC,'Detalhe Por UC'!$C:$C,'Infos Clientes'!$B93,'Detalhe Por UC'!$R:$R,'Infos Clientes'!AO$2))</f>
        <v>365</v>
      </c>
      <c r="AP93" s="27">
        <f>IF(SUMIFS('Detalhe Por UC'!$AB:$AB,'Detalhe Por UC'!$C:$C,'Infos Clientes'!$B93,'Detalhe Por UC'!$R:$R,'Infos Clientes'!AP$2)=0,"",
SUMIFS('Detalhe Por UC'!$AB:$AB,'Detalhe Por UC'!$C:$C,'Infos Clientes'!$B93,'Detalhe Por UC'!$R:$R,'Infos Clientes'!AP$2)
+SUMIFS('Detalhe Por UC'!$AC:$AC,'Detalhe Por UC'!$C:$C,'Infos Clientes'!$B93,'Detalhe Por UC'!$R:$R,'Infos Clientes'!AP$2))</f>
        <v>273</v>
      </c>
      <c r="AQ93" s="27">
        <f>IF(SUMIFS('Detalhe Por UC'!$AB:$AB,'Detalhe Por UC'!$C:$C,'Infos Clientes'!$B93,'Detalhe Por UC'!$R:$R,'Infos Clientes'!AQ$2)=0,"",
SUMIFS('Detalhe Por UC'!$AB:$AB,'Detalhe Por UC'!$C:$C,'Infos Clientes'!$B93,'Detalhe Por UC'!$R:$R,'Infos Clientes'!AQ$2)
+SUMIFS('Detalhe Por UC'!$AC:$AC,'Detalhe Por UC'!$C:$C,'Infos Clientes'!$B93,'Detalhe Por UC'!$R:$R,'Infos Clientes'!AQ$2))</f>
        <v>498</v>
      </c>
      <c r="AR93" s="27">
        <f>IF(SUMIFS('Detalhe Por UC'!$AB:$AB,'Detalhe Por UC'!$C:$C,'Infos Clientes'!$B93,'Detalhe Por UC'!$R:$R,'Infos Clientes'!AR$2)=0,"",
SUMIFS('Detalhe Por UC'!$AB:$AB,'Detalhe Por UC'!$C:$C,'Infos Clientes'!$B93,'Detalhe Por UC'!$R:$R,'Infos Clientes'!AR$2)
+SUMIFS('Detalhe Por UC'!$AC:$AC,'Detalhe Por UC'!$C:$C,'Infos Clientes'!$B93,'Detalhe Por UC'!$R:$R,'Infos Clientes'!AR$2))</f>
        <v>460</v>
      </c>
      <c r="AS93" s="27">
        <f>IF(SUMIFS('Detalhe Por UC'!$AB:$AB,'Detalhe Por UC'!$C:$C,'Infos Clientes'!$B93,'Detalhe Por UC'!$R:$R,'Infos Clientes'!AS$2)=0,"",
SUMIFS('Detalhe Por UC'!$AB:$AB,'Detalhe Por UC'!$C:$C,'Infos Clientes'!$B93,'Detalhe Por UC'!$R:$R,'Infos Clientes'!AS$2)
+SUMIFS('Detalhe Por UC'!$AC:$AC,'Detalhe Por UC'!$C:$C,'Infos Clientes'!$B93,'Detalhe Por UC'!$R:$R,'Infos Clientes'!AS$2))</f>
        <v>510</v>
      </c>
      <c r="AT93" s="27">
        <f>IF(SUMIFS('Detalhe Por UC'!$AB:$AB,'Detalhe Por UC'!$C:$C,'Infos Clientes'!$B93,'Detalhe Por UC'!$R:$R,'Infos Clientes'!AT$2)=0,"",
SUMIFS('Detalhe Por UC'!$AB:$AB,'Detalhe Por UC'!$C:$C,'Infos Clientes'!$B93,'Detalhe Por UC'!$R:$R,'Infos Clientes'!AT$2)
+SUMIFS('Detalhe Por UC'!$AC:$AC,'Detalhe Por UC'!$C:$C,'Infos Clientes'!$B93,'Detalhe Por UC'!$R:$R,'Infos Clientes'!AT$2))</f>
        <v>493</v>
      </c>
      <c r="AU93" s="27" t="str">
        <f>IF(SUMIFS('Detalhe Por UC'!$AB:$AB,'Detalhe Por UC'!$C:$C,'Infos Clientes'!$B93,'Detalhe Por UC'!$R:$R,'Infos Clientes'!AU$2)=0,"",
SUMIFS('Detalhe Por UC'!$AB:$AB,'Detalhe Por UC'!$C:$C,'Infos Clientes'!$B93,'Detalhe Por UC'!$R:$R,'Infos Clientes'!AU$2)
+SUMIFS('Detalhe Por UC'!$AC:$AC,'Detalhe Por UC'!$C:$C,'Infos Clientes'!$B93,'Detalhe Por UC'!$R:$R,'Infos Clientes'!AU$2))</f>
        <v/>
      </c>
    </row>
    <row r="94" spans="2:47" x14ac:dyDescent="0.3">
      <c r="B94" s="28" t="s">
        <v>237</v>
      </c>
      <c r="C94" s="14">
        <v>53</v>
      </c>
      <c r="D94" t="s">
        <v>19</v>
      </c>
      <c r="E94" s="15">
        <v>319</v>
      </c>
      <c r="F94" t="s">
        <v>95</v>
      </c>
      <c r="G94" t="s">
        <v>96</v>
      </c>
      <c r="H94" t="str">
        <f t="shared" si="2"/>
        <v>10/925970-6</v>
      </c>
      <c r="I94" s="31" t="s">
        <v>22</v>
      </c>
      <c r="J94" s="31" t="s">
        <v>28</v>
      </c>
      <c r="K94" s="18" t="s">
        <v>138</v>
      </c>
      <c r="M94" s="32">
        <v>0.25</v>
      </c>
      <c r="Q94" s="22">
        <f>IF(_xlfn.MINIFS('Detalhe Por UC'!R:R,'Detalhe Por UC'!C:C,B94,'Detalhe Por UC'!AD:AD,"&gt;"&amp;0)=0,"",_xlfn.MINIFS('Detalhe Por UC'!R:R,'Detalhe Por UC'!C:C,B94,'Detalhe Por UC'!AD:AD,"&gt;"&amp;0))</f>
        <v>45717</v>
      </c>
      <c r="R94" s="23">
        <f>IF(P94&lt;&gt;"ATIVO",0,
IF(OR(Q94="",Q94=0,O94=0),O94,
O94-ROUND((MAX('Detalhe Por UC'!R:R)
-Q94)/(365/12),0)))</f>
        <v>0</v>
      </c>
      <c r="T94" s="29">
        <v>790</v>
      </c>
      <c r="U94" s="24">
        <f t="shared" si="3"/>
        <v>535.20000000000005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s="25">
        <v>0</v>
      </c>
      <c r="AJ94" s="27">
        <f>IF(SUMIFS('Detalhe Por UC'!$AB:$AB,'Detalhe Por UC'!$C:$C,'Infos Clientes'!$B94,'Detalhe Por UC'!$R:$R,'Infos Clientes'!AJ$2)=0,"",
SUMIFS('Detalhe Por UC'!$AB:$AB,'Detalhe Por UC'!$C:$C,'Infos Clientes'!$B94,'Detalhe Por UC'!$R:$R,'Infos Clientes'!AJ$2)
+SUMIFS('Detalhe Por UC'!$AC:$AC,'Detalhe Por UC'!$C:$C,'Infos Clientes'!$B94,'Detalhe Por UC'!$R:$R,'Infos Clientes'!AJ$2))</f>
        <v>790</v>
      </c>
      <c r="AK94" s="27">
        <f>IF(SUMIFS('Detalhe Por UC'!$AB:$AB,'Detalhe Por UC'!$C:$C,'Infos Clientes'!$B94,'Detalhe Por UC'!$R:$R,'Infos Clientes'!AK$2)=0,"",
SUMIFS('Detalhe Por UC'!$AB:$AB,'Detalhe Por UC'!$C:$C,'Infos Clientes'!$B94,'Detalhe Por UC'!$R:$R,'Infos Clientes'!AK$2)
+SUMIFS('Detalhe Por UC'!$AC:$AC,'Detalhe Por UC'!$C:$C,'Infos Clientes'!$B94,'Detalhe Por UC'!$R:$R,'Infos Clientes'!AK$2))</f>
        <v>965</v>
      </c>
      <c r="AL94" s="27">
        <f>IF(SUMIFS('Detalhe Por UC'!$AB:$AB,'Detalhe Por UC'!$C:$C,'Infos Clientes'!$B94,'Detalhe Por UC'!$R:$R,'Infos Clientes'!AL$2)=0,"",
SUMIFS('Detalhe Por UC'!$AB:$AB,'Detalhe Por UC'!$C:$C,'Infos Clientes'!$B94,'Detalhe Por UC'!$R:$R,'Infos Clientes'!AL$2)
+SUMIFS('Detalhe Por UC'!$AC:$AC,'Detalhe Por UC'!$C:$C,'Infos Clientes'!$B94,'Detalhe Por UC'!$R:$R,'Infos Clientes'!AL$2))</f>
        <v>994</v>
      </c>
      <c r="AM94" s="27">
        <f>IF(SUMIFS('Detalhe Por UC'!$AB:$AB,'Detalhe Por UC'!$C:$C,'Infos Clientes'!$B94,'Detalhe Por UC'!$R:$R,'Infos Clientes'!AM$2)=0,"",
SUMIFS('Detalhe Por UC'!$AB:$AB,'Detalhe Por UC'!$C:$C,'Infos Clientes'!$B94,'Detalhe Por UC'!$R:$R,'Infos Clientes'!AM$2)
+SUMIFS('Detalhe Por UC'!$AC:$AC,'Detalhe Por UC'!$C:$C,'Infos Clientes'!$B94,'Detalhe Por UC'!$R:$R,'Infos Clientes'!AM$2))</f>
        <v>631</v>
      </c>
      <c r="AN94" s="27">
        <f>IF(SUMIFS('Detalhe Por UC'!$AB:$AB,'Detalhe Por UC'!$C:$C,'Infos Clientes'!$B94,'Detalhe Por UC'!$R:$R,'Infos Clientes'!AN$2)=0,"",
SUMIFS('Detalhe Por UC'!$AB:$AB,'Detalhe Por UC'!$C:$C,'Infos Clientes'!$B94,'Detalhe Por UC'!$R:$R,'Infos Clientes'!AN$2)
+SUMIFS('Detalhe Por UC'!$AC:$AC,'Detalhe Por UC'!$C:$C,'Infos Clientes'!$B94,'Detalhe Por UC'!$R:$R,'Infos Clientes'!AN$2))</f>
        <v>449</v>
      </c>
      <c r="AO94" s="27">
        <f>IF(SUMIFS('Detalhe Por UC'!$AB:$AB,'Detalhe Por UC'!$C:$C,'Infos Clientes'!$B94,'Detalhe Por UC'!$R:$R,'Infos Clientes'!AO$2)=0,"",
SUMIFS('Detalhe Por UC'!$AB:$AB,'Detalhe Por UC'!$C:$C,'Infos Clientes'!$B94,'Detalhe Por UC'!$R:$R,'Infos Clientes'!AO$2)
+SUMIFS('Detalhe Por UC'!$AC:$AC,'Detalhe Por UC'!$C:$C,'Infos Clientes'!$B94,'Detalhe Por UC'!$R:$R,'Infos Clientes'!AO$2))</f>
        <v>278</v>
      </c>
      <c r="AP94" s="27" t="str">
        <f>IF(SUMIFS('Detalhe Por UC'!$AB:$AB,'Detalhe Por UC'!$C:$C,'Infos Clientes'!$B94,'Detalhe Por UC'!$R:$R,'Infos Clientes'!AP$2)=0,"",
SUMIFS('Detalhe Por UC'!$AB:$AB,'Detalhe Por UC'!$C:$C,'Infos Clientes'!$B94,'Detalhe Por UC'!$R:$R,'Infos Clientes'!AP$2)
+SUMIFS('Detalhe Por UC'!$AC:$AC,'Detalhe Por UC'!$C:$C,'Infos Clientes'!$B94,'Detalhe Por UC'!$R:$R,'Infos Clientes'!AP$2))</f>
        <v/>
      </c>
      <c r="AQ94" s="27">
        <f>IF(SUMIFS('Detalhe Por UC'!$AB:$AB,'Detalhe Por UC'!$C:$C,'Infos Clientes'!$B94,'Detalhe Por UC'!$R:$R,'Infos Clientes'!AQ$2)=0,"",
SUMIFS('Detalhe Por UC'!$AB:$AB,'Detalhe Por UC'!$C:$C,'Infos Clientes'!$B94,'Detalhe Por UC'!$R:$R,'Infos Clientes'!AQ$2)
+SUMIFS('Detalhe Por UC'!$AC:$AC,'Detalhe Por UC'!$C:$C,'Infos Clientes'!$B94,'Detalhe Por UC'!$R:$R,'Infos Clientes'!AQ$2))</f>
        <v>315</v>
      </c>
      <c r="AR94" s="27" t="str">
        <f>IF(SUMIFS('Detalhe Por UC'!$AB:$AB,'Detalhe Por UC'!$C:$C,'Infos Clientes'!$B94,'Detalhe Por UC'!$R:$R,'Infos Clientes'!AR$2)=0,"",
SUMIFS('Detalhe Por UC'!$AB:$AB,'Detalhe Por UC'!$C:$C,'Infos Clientes'!$B94,'Detalhe Por UC'!$R:$R,'Infos Clientes'!AR$2)
+SUMIFS('Detalhe Por UC'!$AC:$AC,'Detalhe Por UC'!$C:$C,'Infos Clientes'!$B94,'Detalhe Por UC'!$R:$R,'Infos Clientes'!AR$2))</f>
        <v/>
      </c>
      <c r="AS94" s="27">
        <f>IF(SUMIFS('Detalhe Por UC'!$AB:$AB,'Detalhe Por UC'!$C:$C,'Infos Clientes'!$B94,'Detalhe Por UC'!$R:$R,'Infos Clientes'!AS$2)=0,"",
SUMIFS('Detalhe Por UC'!$AB:$AB,'Detalhe Por UC'!$C:$C,'Infos Clientes'!$B94,'Detalhe Por UC'!$R:$R,'Infos Clientes'!AS$2)
+SUMIFS('Detalhe Por UC'!$AC:$AC,'Detalhe Por UC'!$C:$C,'Infos Clientes'!$B94,'Detalhe Por UC'!$R:$R,'Infos Clientes'!AS$2))</f>
        <v>511</v>
      </c>
      <c r="AT94" s="27">
        <f>IF(SUMIFS('Detalhe Por UC'!$AB:$AB,'Detalhe Por UC'!$C:$C,'Infos Clientes'!$B94,'Detalhe Por UC'!$R:$R,'Infos Clientes'!AT$2)=0,"",
SUMIFS('Detalhe Por UC'!$AB:$AB,'Detalhe Por UC'!$C:$C,'Infos Clientes'!$B94,'Detalhe Por UC'!$R:$R,'Infos Clientes'!AT$2)
+SUMIFS('Detalhe Por UC'!$AC:$AC,'Detalhe Por UC'!$C:$C,'Infos Clientes'!$B94,'Detalhe Por UC'!$R:$R,'Infos Clientes'!AT$2))</f>
        <v>419</v>
      </c>
      <c r="AU94" s="27" t="str">
        <f>IF(SUMIFS('Detalhe Por UC'!$AB:$AB,'Detalhe Por UC'!$C:$C,'Infos Clientes'!$B94,'Detalhe Por UC'!$R:$R,'Infos Clientes'!AU$2)=0,"",
SUMIFS('Detalhe Por UC'!$AB:$AB,'Detalhe Por UC'!$C:$C,'Infos Clientes'!$B94,'Detalhe Por UC'!$R:$R,'Infos Clientes'!AU$2)
+SUMIFS('Detalhe Por UC'!$AC:$AC,'Detalhe Por UC'!$C:$C,'Infos Clientes'!$B94,'Detalhe Por UC'!$R:$R,'Infos Clientes'!AU$2))</f>
        <v/>
      </c>
    </row>
    <row r="95" spans="2:47" x14ac:dyDescent="0.3">
      <c r="B95" t="s">
        <v>238</v>
      </c>
      <c r="C95" s="14">
        <f t="shared" si="4"/>
        <v>95</v>
      </c>
      <c r="D95" t="s">
        <v>19</v>
      </c>
      <c r="E95" s="15">
        <v>360</v>
      </c>
      <c r="F95" t="s">
        <v>239</v>
      </c>
      <c r="G95" t="s">
        <v>149</v>
      </c>
      <c r="H95" t="str">
        <f t="shared" si="2"/>
        <v>10/952579-1</v>
      </c>
      <c r="I95" s="31" t="s">
        <v>22</v>
      </c>
      <c r="J95" s="31" t="s">
        <v>23</v>
      </c>
      <c r="K95" s="18" t="s">
        <v>138</v>
      </c>
      <c r="M95" s="32">
        <v>0.25</v>
      </c>
      <c r="Q95" s="22">
        <f>IF(_xlfn.MINIFS('Detalhe Por UC'!R:R,'Detalhe Por UC'!C:C,B95,'Detalhe Por UC'!AD:AD,"&gt;"&amp;0)=0,"",_xlfn.MINIFS('Detalhe Por UC'!R:R,'Detalhe Por UC'!C:C,B95,'Detalhe Por UC'!AD:AD,"&gt;"&amp;0))</f>
        <v>45658</v>
      </c>
      <c r="R95" s="23">
        <f>IF(P95&lt;&gt;"ATIVO",0,
IF(OR(Q95="",Q95=0,O95=0),O95,
O95-ROUND((MAX('Detalhe Por UC'!R:R)
-Q95)/(365/12),0)))</f>
        <v>0</v>
      </c>
      <c r="T95" s="29">
        <v>162.36363636363637</v>
      </c>
      <c r="U95" s="24">
        <f t="shared" si="3"/>
        <v>231.5</v>
      </c>
      <c r="X95">
        <v>242</v>
      </c>
      <c r="Y95">
        <v>223</v>
      </c>
      <c r="Z95">
        <v>261</v>
      </c>
      <c r="AA95">
        <v>224</v>
      </c>
      <c r="AB95">
        <v>0</v>
      </c>
      <c r="AC95">
        <v>154</v>
      </c>
      <c r="AD95">
        <v>119</v>
      </c>
      <c r="AE95">
        <v>90</v>
      </c>
      <c r="AF95">
        <v>141</v>
      </c>
      <c r="AG95">
        <v>242</v>
      </c>
      <c r="AH95">
        <v>99</v>
      </c>
      <c r="AI95" s="25">
        <v>138</v>
      </c>
      <c r="AJ95" s="27">
        <f>IF(SUMIFS('Detalhe Por UC'!$AB:$AB,'Detalhe Por UC'!$C:$C,'Infos Clientes'!$B95,'Detalhe Por UC'!$R:$R,'Infos Clientes'!AJ$2)=0,"",
SUMIFS('Detalhe Por UC'!$AB:$AB,'Detalhe Por UC'!$C:$C,'Infos Clientes'!$B95,'Detalhe Por UC'!$R:$R,'Infos Clientes'!AJ$2)
+SUMIFS('Detalhe Por UC'!$AC:$AC,'Detalhe Por UC'!$C:$C,'Infos Clientes'!$B95,'Detalhe Por UC'!$R:$R,'Infos Clientes'!AJ$2))</f>
        <v>95</v>
      </c>
      <c r="AK95" s="27">
        <f>IF(SUMIFS('Detalhe Por UC'!$AB:$AB,'Detalhe Por UC'!$C:$C,'Infos Clientes'!$B95,'Detalhe Por UC'!$R:$R,'Infos Clientes'!AK$2)=0,"",
SUMIFS('Detalhe Por UC'!$AB:$AB,'Detalhe Por UC'!$C:$C,'Infos Clientes'!$B95,'Detalhe Por UC'!$R:$R,'Infos Clientes'!AK$2)
+SUMIFS('Detalhe Por UC'!$AC:$AC,'Detalhe Por UC'!$C:$C,'Infos Clientes'!$B95,'Detalhe Por UC'!$R:$R,'Infos Clientes'!AK$2))</f>
        <v>138</v>
      </c>
      <c r="AL95" s="27">
        <f>IF(SUMIFS('Detalhe Por UC'!$AB:$AB,'Detalhe Por UC'!$C:$C,'Infos Clientes'!$B95,'Detalhe Por UC'!$R:$R,'Infos Clientes'!AL$2)=0,"",
SUMIFS('Detalhe Por UC'!$AB:$AB,'Detalhe Por UC'!$C:$C,'Infos Clientes'!$B95,'Detalhe Por UC'!$R:$R,'Infos Clientes'!AL$2)
+SUMIFS('Detalhe Por UC'!$AC:$AC,'Detalhe Por UC'!$C:$C,'Infos Clientes'!$B95,'Detalhe Por UC'!$R:$R,'Infos Clientes'!AL$2))</f>
        <v>125</v>
      </c>
      <c r="AM95" s="27">
        <f>IF(SUMIFS('Detalhe Por UC'!$AB:$AB,'Detalhe Por UC'!$C:$C,'Infos Clientes'!$B95,'Detalhe Por UC'!$R:$R,'Infos Clientes'!AM$2)=0,"",
SUMIFS('Detalhe Por UC'!$AB:$AB,'Detalhe Por UC'!$C:$C,'Infos Clientes'!$B95,'Detalhe Por UC'!$R:$R,'Infos Clientes'!AM$2)
+SUMIFS('Detalhe Por UC'!$AC:$AC,'Detalhe Por UC'!$C:$C,'Infos Clientes'!$B95,'Detalhe Por UC'!$R:$R,'Infos Clientes'!AM$2))</f>
        <v>151</v>
      </c>
      <c r="AN95" s="27">
        <f>IF(SUMIFS('Detalhe Por UC'!$AB:$AB,'Detalhe Por UC'!$C:$C,'Infos Clientes'!$B95,'Detalhe Por UC'!$R:$R,'Infos Clientes'!AN$2)=0,"",
SUMIFS('Detalhe Por UC'!$AB:$AB,'Detalhe Por UC'!$C:$C,'Infos Clientes'!$B95,'Detalhe Por UC'!$R:$R,'Infos Clientes'!AN$2)
+SUMIFS('Detalhe Por UC'!$AC:$AC,'Detalhe Por UC'!$C:$C,'Infos Clientes'!$B95,'Detalhe Por UC'!$R:$R,'Infos Clientes'!AN$2))</f>
        <v>198</v>
      </c>
      <c r="AO95" s="27">
        <f>IF(SUMIFS('Detalhe Por UC'!$AB:$AB,'Detalhe Por UC'!$C:$C,'Infos Clientes'!$B95,'Detalhe Por UC'!$R:$R,'Infos Clientes'!AO$2)=0,"",
SUMIFS('Detalhe Por UC'!$AB:$AB,'Detalhe Por UC'!$C:$C,'Infos Clientes'!$B95,'Detalhe Por UC'!$R:$R,'Infos Clientes'!AO$2)
+SUMIFS('Detalhe Por UC'!$AC:$AC,'Detalhe Por UC'!$C:$C,'Infos Clientes'!$B95,'Detalhe Por UC'!$R:$R,'Infos Clientes'!AO$2))</f>
        <v>146</v>
      </c>
      <c r="AP95" s="27">
        <f>IF(SUMIFS('Detalhe Por UC'!$AB:$AB,'Detalhe Por UC'!$C:$C,'Infos Clientes'!$B95,'Detalhe Por UC'!$R:$R,'Infos Clientes'!AP$2)=0,"",
SUMIFS('Detalhe Por UC'!$AB:$AB,'Detalhe Por UC'!$C:$C,'Infos Clientes'!$B95,'Detalhe Por UC'!$R:$R,'Infos Clientes'!AP$2)
+SUMIFS('Detalhe Por UC'!$AC:$AC,'Detalhe Por UC'!$C:$C,'Infos Clientes'!$B95,'Detalhe Por UC'!$R:$R,'Infos Clientes'!AP$2))</f>
        <v>130</v>
      </c>
      <c r="AQ95" s="27">
        <f>IF(SUMIFS('Detalhe Por UC'!$AB:$AB,'Detalhe Por UC'!$C:$C,'Infos Clientes'!$B95,'Detalhe Por UC'!$R:$R,'Infos Clientes'!AQ$2)=0,"",
SUMIFS('Detalhe Por UC'!$AB:$AB,'Detalhe Por UC'!$C:$C,'Infos Clientes'!$B95,'Detalhe Por UC'!$R:$R,'Infos Clientes'!AQ$2)
+SUMIFS('Detalhe Por UC'!$AC:$AC,'Detalhe Por UC'!$C:$C,'Infos Clientes'!$B95,'Detalhe Por UC'!$R:$R,'Infos Clientes'!AQ$2))</f>
        <v>120</v>
      </c>
      <c r="AR95" s="27">
        <f>IF(SUMIFS('Detalhe Por UC'!$AB:$AB,'Detalhe Por UC'!$C:$C,'Infos Clientes'!$B95,'Detalhe Por UC'!$R:$R,'Infos Clientes'!AR$2)=0,"",
SUMIFS('Detalhe Por UC'!$AB:$AB,'Detalhe Por UC'!$C:$C,'Infos Clientes'!$B95,'Detalhe Por UC'!$R:$R,'Infos Clientes'!AR$2)
+SUMIFS('Detalhe Por UC'!$AC:$AC,'Detalhe Por UC'!$C:$C,'Infos Clientes'!$B95,'Detalhe Por UC'!$R:$R,'Infos Clientes'!AR$2))</f>
        <v>534</v>
      </c>
      <c r="AS95" s="27">
        <f>IF(SUMIFS('Detalhe Por UC'!$AB:$AB,'Detalhe Por UC'!$C:$C,'Infos Clientes'!$B95,'Detalhe Por UC'!$R:$R,'Infos Clientes'!AS$2)=0,"",
SUMIFS('Detalhe Por UC'!$AB:$AB,'Detalhe Por UC'!$C:$C,'Infos Clientes'!$B95,'Detalhe Por UC'!$R:$R,'Infos Clientes'!AS$2)
+SUMIFS('Detalhe Por UC'!$AC:$AC,'Detalhe Por UC'!$C:$C,'Infos Clientes'!$B95,'Detalhe Por UC'!$R:$R,'Infos Clientes'!AS$2))</f>
        <v>521</v>
      </c>
      <c r="AT95" s="27">
        <f>IF(SUMIFS('Detalhe Por UC'!$AB:$AB,'Detalhe Por UC'!$C:$C,'Infos Clientes'!$B95,'Detalhe Por UC'!$R:$R,'Infos Clientes'!AT$2)=0,"",
SUMIFS('Detalhe Por UC'!$AB:$AB,'Detalhe Por UC'!$C:$C,'Infos Clientes'!$B95,'Detalhe Por UC'!$R:$R,'Infos Clientes'!AT$2)
+SUMIFS('Detalhe Por UC'!$AC:$AC,'Detalhe Por UC'!$C:$C,'Infos Clientes'!$B95,'Detalhe Por UC'!$R:$R,'Infos Clientes'!AT$2))</f>
        <v>482</v>
      </c>
      <c r="AU95" s="27" t="str">
        <f>IF(SUMIFS('Detalhe Por UC'!$AB:$AB,'Detalhe Por UC'!$C:$C,'Infos Clientes'!$B95,'Detalhe Por UC'!$R:$R,'Infos Clientes'!AU$2)=0,"",
SUMIFS('Detalhe Por UC'!$AB:$AB,'Detalhe Por UC'!$C:$C,'Infos Clientes'!$B95,'Detalhe Por UC'!$R:$R,'Infos Clientes'!AU$2)
+SUMIFS('Detalhe Por UC'!$AC:$AC,'Detalhe Por UC'!$C:$C,'Infos Clientes'!$B95,'Detalhe Por UC'!$R:$R,'Infos Clientes'!AU$2))</f>
        <v/>
      </c>
    </row>
    <row r="96" spans="2:47" x14ac:dyDescent="0.3">
      <c r="B96" t="s">
        <v>240</v>
      </c>
      <c r="C96" s="14">
        <f t="shared" si="4"/>
        <v>96</v>
      </c>
      <c r="D96" t="s">
        <v>19</v>
      </c>
      <c r="E96" s="15">
        <v>360</v>
      </c>
      <c r="F96" t="s">
        <v>104</v>
      </c>
      <c r="G96" t="s">
        <v>241</v>
      </c>
      <c r="H96" t="str">
        <f t="shared" si="2"/>
        <v>10/260761-2</v>
      </c>
      <c r="I96" s="31" t="s">
        <v>22</v>
      </c>
      <c r="J96" s="31" t="s">
        <v>28</v>
      </c>
      <c r="K96" s="18" t="s">
        <v>138</v>
      </c>
      <c r="M96" s="32">
        <v>0.25</v>
      </c>
      <c r="Q96" s="22">
        <f>IF(_xlfn.MINIFS('Detalhe Por UC'!R:R,'Detalhe Por UC'!C:C,B96,'Detalhe Por UC'!AD:AD,"&gt;"&amp;0)=0,"",_xlfn.MINIFS('Detalhe Por UC'!R:R,'Detalhe Por UC'!C:C,B96,'Detalhe Por UC'!AD:AD,"&gt;"&amp;0))</f>
        <v>45658</v>
      </c>
      <c r="R96" s="23">
        <f>IF(P96&lt;&gt;"ATIVO",0,
IF(OR(Q96="",Q96=0,O96=0),O96,
O96-ROUND((MAX('Detalhe Por UC'!R:R)
-Q96)/(365/12),0)))</f>
        <v>0</v>
      </c>
      <c r="T96" s="29">
        <v>413.36363636363637</v>
      </c>
      <c r="U96" s="24">
        <f t="shared" si="3"/>
        <v>408</v>
      </c>
      <c r="X96">
        <v>945</v>
      </c>
      <c r="Y96">
        <v>543</v>
      </c>
      <c r="Z96">
        <v>582</v>
      </c>
      <c r="AA96">
        <v>521</v>
      </c>
      <c r="AB96">
        <v>0</v>
      </c>
      <c r="AC96">
        <v>312</v>
      </c>
      <c r="AD96">
        <v>270</v>
      </c>
      <c r="AE96">
        <v>223</v>
      </c>
      <c r="AF96">
        <v>375</v>
      </c>
      <c r="AG96">
        <v>513</v>
      </c>
      <c r="AH96">
        <v>381</v>
      </c>
      <c r="AI96" s="25">
        <v>513</v>
      </c>
      <c r="AJ96" s="27">
        <f>IF(SUMIFS('Detalhe Por UC'!$AB:$AB,'Detalhe Por UC'!$C:$C,'Infos Clientes'!$B96,'Detalhe Por UC'!$R:$R,'Infos Clientes'!AJ$2)=0,"",
SUMIFS('Detalhe Por UC'!$AB:$AB,'Detalhe Por UC'!$C:$C,'Infos Clientes'!$B96,'Detalhe Por UC'!$R:$R,'Infos Clientes'!AJ$2)
+SUMIFS('Detalhe Por UC'!$AC:$AC,'Detalhe Por UC'!$C:$C,'Infos Clientes'!$B96,'Detalhe Por UC'!$R:$R,'Infos Clientes'!AJ$2))</f>
        <v>314</v>
      </c>
      <c r="AK96" s="27">
        <f>IF(SUMIFS('Detalhe Por UC'!$AB:$AB,'Detalhe Por UC'!$C:$C,'Infos Clientes'!$B96,'Detalhe Por UC'!$R:$R,'Infos Clientes'!AK$2)=0,"",
SUMIFS('Detalhe Por UC'!$AB:$AB,'Detalhe Por UC'!$C:$C,'Infos Clientes'!$B96,'Detalhe Por UC'!$R:$R,'Infos Clientes'!AK$2)
+SUMIFS('Detalhe Por UC'!$AC:$AC,'Detalhe Por UC'!$C:$C,'Infos Clientes'!$B96,'Detalhe Por UC'!$R:$R,'Infos Clientes'!AK$2))</f>
        <v>437</v>
      </c>
      <c r="AL96" s="27">
        <f>IF(SUMIFS('Detalhe Por UC'!$AB:$AB,'Detalhe Por UC'!$C:$C,'Infos Clientes'!$B96,'Detalhe Por UC'!$R:$R,'Infos Clientes'!AL$2)=0,"",
SUMIFS('Detalhe Por UC'!$AB:$AB,'Detalhe Por UC'!$C:$C,'Infos Clientes'!$B96,'Detalhe Por UC'!$R:$R,'Infos Clientes'!AL$2)
+SUMIFS('Detalhe Por UC'!$AC:$AC,'Detalhe Por UC'!$C:$C,'Infos Clientes'!$B96,'Detalhe Por UC'!$R:$R,'Infos Clientes'!AL$2))</f>
        <v>520</v>
      </c>
      <c r="AM96" s="27">
        <f>IF(SUMIFS('Detalhe Por UC'!$AB:$AB,'Detalhe Por UC'!$C:$C,'Infos Clientes'!$B96,'Detalhe Por UC'!$R:$R,'Infos Clientes'!AM$2)=0,"",
SUMIFS('Detalhe Por UC'!$AB:$AB,'Detalhe Por UC'!$C:$C,'Infos Clientes'!$B96,'Detalhe Por UC'!$R:$R,'Infos Clientes'!AM$2)
+SUMIFS('Detalhe Por UC'!$AC:$AC,'Detalhe Por UC'!$C:$C,'Infos Clientes'!$B96,'Detalhe Por UC'!$R:$R,'Infos Clientes'!AM$2))</f>
        <v>432</v>
      </c>
      <c r="AN96" s="27">
        <f>IF(SUMIFS('Detalhe Por UC'!$AB:$AB,'Detalhe Por UC'!$C:$C,'Infos Clientes'!$B96,'Detalhe Por UC'!$R:$R,'Infos Clientes'!AN$2)=0,"",
SUMIFS('Detalhe Por UC'!$AB:$AB,'Detalhe Por UC'!$C:$C,'Infos Clientes'!$B96,'Detalhe Por UC'!$R:$R,'Infos Clientes'!AN$2)
+SUMIFS('Detalhe Por UC'!$AC:$AC,'Detalhe Por UC'!$C:$C,'Infos Clientes'!$B96,'Detalhe Por UC'!$R:$R,'Infos Clientes'!AN$2))</f>
        <v>455</v>
      </c>
      <c r="AO96" s="27">
        <f>IF(SUMIFS('Detalhe Por UC'!$AB:$AB,'Detalhe Por UC'!$C:$C,'Infos Clientes'!$B96,'Detalhe Por UC'!$R:$R,'Infos Clientes'!AO$2)=0,"",
SUMIFS('Detalhe Por UC'!$AB:$AB,'Detalhe Por UC'!$C:$C,'Infos Clientes'!$B96,'Detalhe Por UC'!$R:$R,'Infos Clientes'!AO$2)
+SUMIFS('Detalhe Por UC'!$AC:$AC,'Detalhe Por UC'!$C:$C,'Infos Clientes'!$B96,'Detalhe Por UC'!$R:$R,'Infos Clientes'!AO$2))</f>
        <v>347</v>
      </c>
      <c r="AP96" s="27">
        <f>IF(SUMIFS('Detalhe Por UC'!$AB:$AB,'Detalhe Por UC'!$C:$C,'Infos Clientes'!$B96,'Detalhe Por UC'!$R:$R,'Infos Clientes'!AP$2)=0,"",
SUMIFS('Detalhe Por UC'!$AB:$AB,'Detalhe Por UC'!$C:$C,'Infos Clientes'!$B96,'Detalhe Por UC'!$R:$R,'Infos Clientes'!AP$2)
+SUMIFS('Detalhe Por UC'!$AC:$AC,'Detalhe Por UC'!$C:$C,'Infos Clientes'!$B96,'Detalhe Por UC'!$R:$R,'Infos Clientes'!AP$2))</f>
        <v>559</v>
      </c>
      <c r="AQ96" s="27">
        <f>IF(SUMIFS('Detalhe Por UC'!$AB:$AB,'Detalhe Por UC'!$C:$C,'Infos Clientes'!$B96,'Detalhe Por UC'!$R:$R,'Infos Clientes'!AQ$2)=0,"",
SUMIFS('Detalhe Por UC'!$AB:$AB,'Detalhe Por UC'!$C:$C,'Infos Clientes'!$B96,'Detalhe Por UC'!$R:$R,'Infos Clientes'!AQ$2)
+SUMIFS('Detalhe Por UC'!$AC:$AC,'Detalhe Por UC'!$C:$C,'Infos Clientes'!$B96,'Detalhe Por UC'!$R:$R,'Infos Clientes'!AQ$2))</f>
        <v>362</v>
      </c>
      <c r="AR96" s="27">
        <f>IF(SUMIFS('Detalhe Por UC'!$AB:$AB,'Detalhe Por UC'!$C:$C,'Infos Clientes'!$B96,'Detalhe Por UC'!$R:$R,'Infos Clientes'!AR$2)=0,"",
SUMIFS('Detalhe Por UC'!$AB:$AB,'Detalhe Por UC'!$C:$C,'Infos Clientes'!$B96,'Detalhe Por UC'!$R:$R,'Infos Clientes'!AR$2)
+SUMIFS('Detalhe Por UC'!$AC:$AC,'Detalhe Por UC'!$C:$C,'Infos Clientes'!$B96,'Detalhe Por UC'!$R:$R,'Infos Clientes'!AR$2))</f>
        <v>264</v>
      </c>
      <c r="AS96" s="27">
        <f>IF(SUMIFS('Detalhe Por UC'!$AB:$AB,'Detalhe Por UC'!$C:$C,'Infos Clientes'!$B96,'Detalhe Por UC'!$R:$R,'Infos Clientes'!AS$2)=0,"",
SUMIFS('Detalhe Por UC'!$AB:$AB,'Detalhe Por UC'!$C:$C,'Infos Clientes'!$B96,'Detalhe Por UC'!$R:$R,'Infos Clientes'!AS$2)
+SUMIFS('Detalhe Por UC'!$AC:$AC,'Detalhe Por UC'!$C:$C,'Infos Clientes'!$B96,'Detalhe Por UC'!$R:$R,'Infos Clientes'!AS$2))</f>
        <v>428</v>
      </c>
      <c r="AT96" s="27">
        <f>IF(SUMIFS('Detalhe Por UC'!$AB:$AB,'Detalhe Por UC'!$C:$C,'Infos Clientes'!$B96,'Detalhe Por UC'!$R:$R,'Infos Clientes'!AT$2)=0,"",
SUMIFS('Detalhe Por UC'!$AB:$AB,'Detalhe Por UC'!$C:$C,'Infos Clientes'!$B96,'Detalhe Por UC'!$R:$R,'Infos Clientes'!AT$2)
+SUMIFS('Detalhe Por UC'!$AC:$AC,'Detalhe Por UC'!$C:$C,'Infos Clientes'!$B96,'Detalhe Por UC'!$R:$R,'Infos Clientes'!AT$2))</f>
        <v>265</v>
      </c>
      <c r="AU96" s="27" t="str">
        <f>IF(SUMIFS('Detalhe Por UC'!$AB:$AB,'Detalhe Por UC'!$C:$C,'Infos Clientes'!$B96,'Detalhe Por UC'!$R:$R,'Infos Clientes'!AU$2)=0,"",
SUMIFS('Detalhe Por UC'!$AB:$AB,'Detalhe Por UC'!$C:$C,'Infos Clientes'!$B96,'Detalhe Por UC'!$R:$R,'Infos Clientes'!AU$2)
+SUMIFS('Detalhe Por UC'!$AC:$AC,'Detalhe Por UC'!$C:$C,'Infos Clientes'!$B96,'Detalhe Por UC'!$R:$R,'Infos Clientes'!AU$2))</f>
        <v/>
      </c>
    </row>
    <row r="97" spans="2:47" x14ac:dyDescent="0.3">
      <c r="B97" t="s">
        <v>242</v>
      </c>
      <c r="C97" s="14">
        <f t="shared" si="4"/>
        <v>97</v>
      </c>
      <c r="D97" t="s">
        <v>19</v>
      </c>
      <c r="E97" s="15">
        <v>371</v>
      </c>
      <c r="F97" t="s">
        <v>243</v>
      </c>
      <c r="G97" t="s">
        <v>244</v>
      </c>
      <c r="H97" t="str">
        <f t="shared" si="2"/>
        <v>10/908866-7</v>
      </c>
      <c r="I97" s="31" t="s">
        <v>22</v>
      </c>
      <c r="J97" s="31" t="s">
        <v>28</v>
      </c>
      <c r="K97" s="18" t="s">
        <v>138</v>
      </c>
      <c r="M97" s="32">
        <v>0.25</v>
      </c>
      <c r="Q97" s="22">
        <f>IF(_xlfn.MINIFS('Detalhe Por UC'!R:R,'Detalhe Por UC'!C:C,B97,'Detalhe Por UC'!AD:AD,"&gt;"&amp;0)=0,"",_xlfn.MINIFS('Detalhe Por UC'!R:R,'Detalhe Por UC'!C:C,B97,'Detalhe Por UC'!AD:AD,"&gt;"&amp;0))</f>
        <v>45658</v>
      </c>
      <c r="R97" s="23">
        <f>IF(P97&lt;&gt;"ATIVO",0,
IF(OR(Q97="",Q97=0,O97=0),O97,
O97-ROUND((MAX('Detalhe Por UC'!R:R)
-Q97)/(365/12),0)))</f>
        <v>0</v>
      </c>
      <c r="T97" s="29">
        <v>175.90909090909091</v>
      </c>
      <c r="U97" s="24">
        <f t="shared" si="3"/>
        <v>149.30000000000001</v>
      </c>
      <c r="X97">
        <v>191</v>
      </c>
      <c r="Y97">
        <v>231</v>
      </c>
      <c r="Z97">
        <v>207</v>
      </c>
      <c r="AA97">
        <v>210</v>
      </c>
      <c r="AB97">
        <v>0</v>
      </c>
      <c r="AC97">
        <v>120</v>
      </c>
      <c r="AD97">
        <v>109</v>
      </c>
      <c r="AE97">
        <v>123</v>
      </c>
      <c r="AF97">
        <v>119</v>
      </c>
      <c r="AG97">
        <v>227</v>
      </c>
      <c r="AH97">
        <v>223</v>
      </c>
      <c r="AI97" s="25">
        <v>194</v>
      </c>
      <c r="AJ97" s="27">
        <f>IF(SUMIFS('Detalhe Por UC'!$AB:$AB,'Detalhe Por UC'!$C:$C,'Infos Clientes'!$B97,'Detalhe Por UC'!$R:$R,'Infos Clientes'!AJ$2)=0,"",
SUMIFS('Detalhe Por UC'!$AB:$AB,'Detalhe Por UC'!$C:$C,'Infos Clientes'!$B97,'Detalhe Por UC'!$R:$R,'Infos Clientes'!AJ$2)
+SUMIFS('Detalhe Por UC'!$AC:$AC,'Detalhe Por UC'!$C:$C,'Infos Clientes'!$B97,'Detalhe Por UC'!$R:$R,'Infos Clientes'!AJ$2))</f>
        <v>172</v>
      </c>
      <c r="AK97" s="27">
        <f>IF(SUMIFS('Detalhe Por UC'!$AB:$AB,'Detalhe Por UC'!$C:$C,'Infos Clientes'!$B97,'Detalhe Por UC'!$R:$R,'Infos Clientes'!AK$2)=0,"",
SUMIFS('Detalhe Por UC'!$AB:$AB,'Detalhe Por UC'!$C:$C,'Infos Clientes'!$B97,'Detalhe Por UC'!$R:$R,'Infos Clientes'!AK$2)
+SUMIFS('Detalhe Por UC'!$AC:$AC,'Detalhe Por UC'!$C:$C,'Infos Clientes'!$B97,'Detalhe Por UC'!$R:$R,'Infos Clientes'!AK$2))</f>
        <v>175</v>
      </c>
      <c r="AL97" s="27">
        <f>IF(SUMIFS('Detalhe Por UC'!$AB:$AB,'Detalhe Por UC'!$C:$C,'Infos Clientes'!$B97,'Detalhe Por UC'!$R:$R,'Infos Clientes'!AL$2)=0,"",
SUMIFS('Detalhe Por UC'!$AB:$AB,'Detalhe Por UC'!$C:$C,'Infos Clientes'!$B97,'Detalhe Por UC'!$R:$R,'Infos Clientes'!AL$2)
+SUMIFS('Detalhe Por UC'!$AC:$AC,'Detalhe Por UC'!$C:$C,'Infos Clientes'!$B97,'Detalhe Por UC'!$R:$R,'Infos Clientes'!AL$2))</f>
        <v>187</v>
      </c>
      <c r="AM97" s="27">
        <f>IF(SUMIFS('Detalhe Por UC'!$AB:$AB,'Detalhe Por UC'!$C:$C,'Infos Clientes'!$B97,'Detalhe Por UC'!$R:$R,'Infos Clientes'!AM$2)=0,"",
SUMIFS('Detalhe Por UC'!$AB:$AB,'Detalhe Por UC'!$C:$C,'Infos Clientes'!$B97,'Detalhe Por UC'!$R:$R,'Infos Clientes'!AM$2)
+SUMIFS('Detalhe Por UC'!$AC:$AC,'Detalhe Por UC'!$C:$C,'Infos Clientes'!$B97,'Detalhe Por UC'!$R:$R,'Infos Clientes'!AM$2))</f>
        <v>126</v>
      </c>
      <c r="AN97" s="27">
        <f>IF(SUMIFS('Detalhe Por UC'!$AB:$AB,'Detalhe Por UC'!$C:$C,'Infos Clientes'!$B97,'Detalhe Por UC'!$R:$R,'Infos Clientes'!AN$2)=0,"",
SUMIFS('Detalhe Por UC'!$AB:$AB,'Detalhe Por UC'!$C:$C,'Infos Clientes'!$B97,'Detalhe Por UC'!$R:$R,'Infos Clientes'!AN$2)
+SUMIFS('Detalhe Por UC'!$AC:$AC,'Detalhe Por UC'!$C:$C,'Infos Clientes'!$B97,'Detalhe Por UC'!$R:$R,'Infos Clientes'!AN$2))</f>
        <v>112</v>
      </c>
      <c r="AO97" s="27" t="str">
        <f>IF(SUMIFS('Detalhe Por UC'!$AB:$AB,'Detalhe Por UC'!$C:$C,'Infos Clientes'!$B97,'Detalhe Por UC'!$R:$R,'Infos Clientes'!AO$2)=0,"",
SUMIFS('Detalhe Por UC'!$AB:$AB,'Detalhe Por UC'!$C:$C,'Infos Clientes'!$B97,'Detalhe Por UC'!$R:$R,'Infos Clientes'!AO$2)
+SUMIFS('Detalhe Por UC'!$AC:$AC,'Detalhe Por UC'!$C:$C,'Infos Clientes'!$B97,'Detalhe Por UC'!$R:$R,'Infos Clientes'!AO$2))</f>
        <v/>
      </c>
      <c r="AP97" s="27" t="str">
        <f>IF(SUMIFS('Detalhe Por UC'!$AB:$AB,'Detalhe Por UC'!$C:$C,'Infos Clientes'!$B97,'Detalhe Por UC'!$R:$R,'Infos Clientes'!AP$2)=0,"",
SUMIFS('Detalhe Por UC'!$AB:$AB,'Detalhe Por UC'!$C:$C,'Infos Clientes'!$B97,'Detalhe Por UC'!$R:$R,'Infos Clientes'!AP$2)
+SUMIFS('Detalhe Por UC'!$AC:$AC,'Detalhe Por UC'!$C:$C,'Infos Clientes'!$B97,'Detalhe Por UC'!$R:$R,'Infos Clientes'!AP$2))</f>
        <v/>
      </c>
      <c r="AQ97" s="27">
        <f>IF(SUMIFS('Detalhe Por UC'!$AB:$AB,'Detalhe Por UC'!$C:$C,'Infos Clientes'!$B97,'Detalhe Por UC'!$R:$R,'Infos Clientes'!AQ$2)=0,"",
SUMIFS('Detalhe Por UC'!$AB:$AB,'Detalhe Por UC'!$C:$C,'Infos Clientes'!$B97,'Detalhe Por UC'!$R:$R,'Infos Clientes'!AQ$2)
+SUMIFS('Detalhe Por UC'!$AC:$AC,'Detalhe Por UC'!$C:$C,'Infos Clientes'!$B97,'Detalhe Por UC'!$R:$R,'Infos Clientes'!AQ$2))</f>
        <v>100</v>
      </c>
      <c r="AR97" s="27">
        <f>IF(SUMIFS('Detalhe Por UC'!$AB:$AB,'Detalhe Por UC'!$C:$C,'Infos Clientes'!$B97,'Detalhe Por UC'!$R:$R,'Infos Clientes'!AR$2)=0,"",
SUMIFS('Detalhe Por UC'!$AB:$AB,'Detalhe Por UC'!$C:$C,'Infos Clientes'!$B97,'Detalhe Por UC'!$R:$R,'Infos Clientes'!AR$2)
+SUMIFS('Detalhe Por UC'!$AC:$AC,'Detalhe Por UC'!$C:$C,'Infos Clientes'!$B97,'Detalhe Por UC'!$R:$R,'Infos Clientes'!AR$2))</f>
        <v>123</v>
      </c>
      <c r="AS97" s="27">
        <f>IF(SUMIFS('Detalhe Por UC'!$AB:$AB,'Detalhe Por UC'!$C:$C,'Infos Clientes'!$B97,'Detalhe Por UC'!$R:$R,'Infos Clientes'!AS$2)=0,"",
SUMIFS('Detalhe Por UC'!$AB:$AB,'Detalhe Por UC'!$C:$C,'Infos Clientes'!$B97,'Detalhe Por UC'!$R:$R,'Infos Clientes'!AS$2)
+SUMIFS('Detalhe Por UC'!$AC:$AC,'Detalhe Por UC'!$C:$C,'Infos Clientes'!$B97,'Detalhe Por UC'!$R:$R,'Infos Clientes'!AS$2))</f>
        <v>138</v>
      </c>
      <c r="AT97" s="27">
        <f>IF(SUMIFS('Detalhe Por UC'!$AB:$AB,'Detalhe Por UC'!$C:$C,'Infos Clientes'!$B97,'Detalhe Por UC'!$R:$R,'Infos Clientes'!AT$2)=0,"",
SUMIFS('Detalhe Por UC'!$AB:$AB,'Detalhe Por UC'!$C:$C,'Infos Clientes'!$B97,'Detalhe Por UC'!$R:$R,'Infos Clientes'!AT$2)
+SUMIFS('Detalhe Por UC'!$AC:$AC,'Detalhe Por UC'!$C:$C,'Infos Clientes'!$B97,'Detalhe Por UC'!$R:$R,'Infos Clientes'!AT$2))</f>
        <v>166</v>
      </c>
      <c r="AU97" s="27" t="str">
        <f>IF(SUMIFS('Detalhe Por UC'!$AB:$AB,'Detalhe Por UC'!$C:$C,'Infos Clientes'!$B97,'Detalhe Por UC'!$R:$R,'Infos Clientes'!AU$2)=0,"",
SUMIFS('Detalhe Por UC'!$AB:$AB,'Detalhe Por UC'!$C:$C,'Infos Clientes'!$B97,'Detalhe Por UC'!$R:$R,'Infos Clientes'!AU$2)
+SUMIFS('Detalhe Por UC'!$AC:$AC,'Detalhe Por UC'!$C:$C,'Infos Clientes'!$B97,'Detalhe Por UC'!$R:$R,'Infos Clientes'!AU$2))</f>
        <v/>
      </c>
    </row>
    <row r="98" spans="2:47" x14ac:dyDescent="0.3">
      <c r="B98" s="28" t="s">
        <v>245</v>
      </c>
      <c r="C98" s="14">
        <f t="shared" si="4"/>
        <v>98</v>
      </c>
      <c r="D98" t="s">
        <v>19</v>
      </c>
      <c r="E98" s="15">
        <v>0</v>
      </c>
      <c r="F98" t="s">
        <v>220</v>
      </c>
      <c r="H98" t="str">
        <f t="shared" si="2"/>
        <v>10/2344751-9</v>
      </c>
      <c r="I98" s="31" t="s">
        <v>22</v>
      </c>
      <c r="J98" s="31"/>
      <c r="K98" s="18" t="s">
        <v>138</v>
      </c>
      <c r="M98" s="32">
        <v>0.25</v>
      </c>
      <c r="Q98" s="22" t="str">
        <f>IF(_xlfn.MINIFS('Detalhe Por UC'!R:R,'Detalhe Por UC'!C:C,B98,'Detalhe Por UC'!AD:AD,"&gt;"&amp;0)=0,"",_xlfn.MINIFS('Detalhe Por UC'!R:R,'Detalhe Por UC'!C:C,B98,'Detalhe Por UC'!AD:AD,"&gt;"&amp;0))</f>
        <v/>
      </c>
      <c r="R98" s="23">
        <f>IF(P98&lt;&gt;"ATIVO",0,
IF(OR(Q98="",Q98=0,O98=0),O98,
O98-ROUND((MAX('Detalhe Por UC'!R:R)
-Q98)/(365/12),0)))</f>
        <v>0</v>
      </c>
      <c r="T98" s="29"/>
      <c r="U98" s="24">
        <f t="shared" si="3"/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s="25">
        <v>0</v>
      </c>
      <c r="AJ98" s="27" t="str">
        <f>IF(SUMIFS('Detalhe Por UC'!$AB:$AB,'Detalhe Por UC'!$C:$C,'Infos Clientes'!$B98,'Detalhe Por UC'!$R:$R,'Infos Clientes'!AJ$2)=0,"",
SUMIFS('Detalhe Por UC'!$AB:$AB,'Detalhe Por UC'!$C:$C,'Infos Clientes'!$B98,'Detalhe Por UC'!$R:$R,'Infos Clientes'!AJ$2)
+SUMIFS('Detalhe Por UC'!$AC:$AC,'Detalhe Por UC'!$C:$C,'Infos Clientes'!$B98,'Detalhe Por UC'!$R:$R,'Infos Clientes'!AJ$2))</f>
        <v/>
      </c>
      <c r="AK98" s="27" t="str">
        <f>IF(SUMIFS('Detalhe Por UC'!$AB:$AB,'Detalhe Por UC'!$C:$C,'Infos Clientes'!$B98,'Detalhe Por UC'!$R:$R,'Infos Clientes'!AK$2)=0,"",
SUMIFS('Detalhe Por UC'!$AB:$AB,'Detalhe Por UC'!$C:$C,'Infos Clientes'!$B98,'Detalhe Por UC'!$R:$R,'Infos Clientes'!AK$2)
+SUMIFS('Detalhe Por UC'!$AC:$AC,'Detalhe Por UC'!$C:$C,'Infos Clientes'!$B98,'Detalhe Por UC'!$R:$R,'Infos Clientes'!AK$2))</f>
        <v/>
      </c>
      <c r="AL98" s="27" t="str">
        <f>IF(SUMIFS('Detalhe Por UC'!$AB:$AB,'Detalhe Por UC'!$C:$C,'Infos Clientes'!$B98,'Detalhe Por UC'!$R:$R,'Infos Clientes'!AL$2)=0,"",
SUMIFS('Detalhe Por UC'!$AB:$AB,'Detalhe Por UC'!$C:$C,'Infos Clientes'!$B98,'Detalhe Por UC'!$R:$R,'Infos Clientes'!AL$2)
+SUMIFS('Detalhe Por UC'!$AC:$AC,'Detalhe Por UC'!$C:$C,'Infos Clientes'!$B98,'Detalhe Por UC'!$R:$R,'Infos Clientes'!AL$2))</f>
        <v/>
      </c>
      <c r="AM98" s="27" t="str">
        <f>IF(SUMIFS('Detalhe Por UC'!$AB:$AB,'Detalhe Por UC'!$C:$C,'Infos Clientes'!$B98,'Detalhe Por UC'!$R:$R,'Infos Clientes'!AM$2)=0,"",
SUMIFS('Detalhe Por UC'!$AB:$AB,'Detalhe Por UC'!$C:$C,'Infos Clientes'!$B98,'Detalhe Por UC'!$R:$R,'Infos Clientes'!AM$2)
+SUMIFS('Detalhe Por UC'!$AC:$AC,'Detalhe Por UC'!$C:$C,'Infos Clientes'!$B98,'Detalhe Por UC'!$R:$R,'Infos Clientes'!AM$2))</f>
        <v/>
      </c>
      <c r="AN98" s="27" t="str">
        <f>IF(SUMIFS('Detalhe Por UC'!$AB:$AB,'Detalhe Por UC'!$C:$C,'Infos Clientes'!$B98,'Detalhe Por UC'!$R:$R,'Infos Clientes'!AN$2)=0,"",
SUMIFS('Detalhe Por UC'!$AB:$AB,'Detalhe Por UC'!$C:$C,'Infos Clientes'!$B98,'Detalhe Por UC'!$R:$R,'Infos Clientes'!AN$2)
+SUMIFS('Detalhe Por UC'!$AC:$AC,'Detalhe Por UC'!$C:$C,'Infos Clientes'!$B98,'Detalhe Por UC'!$R:$R,'Infos Clientes'!AN$2))</f>
        <v/>
      </c>
      <c r="AO98" s="27" t="str">
        <f>IF(SUMIFS('Detalhe Por UC'!$AB:$AB,'Detalhe Por UC'!$C:$C,'Infos Clientes'!$B98,'Detalhe Por UC'!$R:$R,'Infos Clientes'!AO$2)=0,"",
SUMIFS('Detalhe Por UC'!$AB:$AB,'Detalhe Por UC'!$C:$C,'Infos Clientes'!$B98,'Detalhe Por UC'!$R:$R,'Infos Clientes'!AO$2)
+SUMIFS('Detalhe Por UC'!$AC:$AC,'Detalhe Por UC'!$C:$C,'Infos Clientes'!$B98,'Detalhe Por UC'!$R:$R,'Infos Clientes'!AO$2))</f>
        <v/>
      </c>
      <c r="AP98" s="27" t="str">
        <f>IF(SUMIFS('Detalhe Por UC'!$AB:$AB,'Detalhe Por UC'!$C:$C,'Infos Clientes'!$B98,'Detalhe Por UC'!$R:$R,'Infos Clientes'!AP$2)=0,"",
SUMIFS('Detalhe Por UC'!$AB:$AB,'Detalhe Por UC'!$C:$C,'Infos Clientes'!$B98,'Detalhe Por UC'!$R:$R,'Infos Clientes'!AP$2)
+SUMIFS('Detalhe Por UC'!$AC:$AC,'Detalhe Por UC'!$C:$C,'Infos Clientes'!$B98,'Detalhe Por UC'!$R:$R,'Infos Clientes'!AP$2))</f>
        <v/>
      </c>
      <c r="AQ98" s="27" t="str">
        <f>IF(SUMIFS('Detalhe Por UC'!$AB:$AB,'Detalhe Por UC'!$C:$C,'Infos Clientes'!$B98,'Detalhe Por UC'!$R:$R,'Infos Clientes'!AQ$2)=0,"",
SUMIFS('Detalhe Por UC'!$AB:$AB,'Detalhe Por UC'!$C:$C,'Infos Clientes'!$B98,'Detalhe Por UC'!$R:$R,'Infos Clientes'!AQ$2)
+SUMIFS('Detalhe Por UC'!$AC:$AC,'Detalhe Por UC'!$C:$C,'Infos Clientes'!$B98,'Detalhe Por UC'!$R:$R,'Infos Clientes'!AQ$2))</f>
        <v/>
      </c>
      <c r="AR98" s="27" t="str">
        <f>IF(SUMIFS('Detalhe Por UC'!$AB:$AB,'Detalhe Por UC'!$C:$C,'Infos Clientes'!$B98,'Detalhe Por UC'!$R:$R,'Infos Clientes'!AR$2)=0,"",
SUMIFS('Detalhe Por UC'!$AB:$AB,'Detalhe Por UC'!$C:$C,'Infos Clientes'!$B98,'Detalhe Por UC'!$R:$R,'Infos Clientes'!AR$2)
+SUMIFS('Detalhe Por UC'!$AC:$AC,'Detalhe Por UC'!$C:$C,'Infos Clientes'!$B98,'Detalhe Por UC'!$R:$R,'Infos Clientes'!AR$2))</f>
        <v/>
      </c>
      <c r="AS98" s="27" t="str">
        <f>IF(SUMIFS('Detalhe Por UC'!$AB:$AB,'Detalhe Por UC'!$C:$C,'Infos Clientes'!$B98,'Detalhe Por UC'!$R:$R,'Infos Clientes'!AS$2)=0,"",
SUMIFS('Detalhe Por UC'!$AB:$AB,'Detalhe Por UC'!$C:$C,'Infos Clientes'!$B98,'Detalhe Por UC'!$R:$R,'Infos Clientes'!AS$2)
+SUMIFS('Detalhe Por UC'!$AC:$AC,'Detalhe Por UC'!$C:$C,'Infos Clientes'!$B98,'Detalhe Por UC'!$R:$R,'Infos Clientes'!AS$2))</f>
        <v/>
      </c>
      <c r="AT98" s="27" t="str">
        <f>IF(SUMIFS('Detalhe Por UC'!$AB:$AB,'Detalhe Por UC'!$C:$C,'Infos Clientes'!$B98,'Detalhe Por UC'!$R:$R,'Infos Clientes'!AT$2)=0,"",
SUMIFS('Detalhe Por UC'!$AB:$AB,'Detalhe Por UC'!$C:$C,'Infos Clientes'!$B98,'Detalhe Por UC'!$R:$R,'Infos Clientes'!AT$2)
+SUMIFS('Detalhe Por UC'!$AC:$AC,'Detalhe Por UC'!$C:$C,'Infos Clientes'!$B98,'Detalhe Por UC'!$R:$R,'Infos Clientes'!AT$2))</f>
        <v/>
      </c>
      <c r="AU98" s="27" t="str">
        <f>IF(SUMIFS('Detalhe Por UC'!$AB:$AB,'Detalhe Por UC'!$C:$C,'Infos Clientes'!$B98,'Detalhe Por UC'!$R:$R,'Infos Clientes'!AU$2)=0,"",
SUMIFS('Detalhe Por UC'!$AB:$AB,'Detalhe Por UC'!$C:$C,'Infos Clientes'!$B98,'Detalhe Por UC'!$R:$R,'Infos Clientes'!AU$2)
+SUMIFS('Detalhe Por UC'!$AC:$AC,'Detalhe Por UC'!$C:$C,'Infos Clientes'!$B98,'Detalhe Por UC'!$R:$R,'Infos Clientes'!AU$2))</f>
        <v/>
      </c>
    </row>
    <row r="99" spans="2:47" x14ac:dyDescent="0.3">
      <c r="B99" s="28" t="s">
        <v>246</v>
      </c>
      <c r="C99" s="14">
        <f t="shared" si="4"/>
        <v>99</v>
      </c>
      <c r="D99" t="s">
        <v>19</v>
      </c>
      <c r="E99" s="15">
        <v>0</v>
      </c>
      <c r="F99" t="s">
        <v>55</v>
      </c>
      <c r="H99" t="str">
        <f t="shared" si="2"/>
        <v>10/2338577-6</v>
      </c>
      <c r="I99" s="31" t="s">
        <v>22</v>
      </c>
      <c r="J99" s="31"/>
      <c r="K99" s="18" t="s">
        <v>138</v>
      </c>
      <c r="M99" s="32">
        <v>0.25</v>
      </c>
      <c r="Q99" s="22" t="str">
        <f>IF(_xlfn.MINIFS('Detalhe Por UC'!R:R,'Detalhe Por UC'!C:C,B99,'Detalhe Por UC'!AD:AD,"&gt;"&amp;0)=0,"",_xlfn.MINIFS('Detalhe Por UC'!R:R,'Detalhe Por UC'!C:C,B99,'Detalhe Por UC'!AD:AD,"&gt;"&amp;0))</f>
        <v/>
      </c>
      <c r="R99" s="23">
        <f>IF(P99&lt;&gt;"ATIVO",0,
IF(OR(Q99="",Q99=0,O99=0),O99,
O99-ROUND((MAX('Detalhe Por UC'!R:R)
-Q99)/(365/12),0)))</f>
        <v>0</v>
      </c>
      <c r="T99" s="29"/>
      <c r="U99" s="24">
        <f t="shared" si="3"/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s="25">
        <v>0</v>
      </c>
      <c r="AJ99" s="27" t="str">
        <f>IF(SUMIFS('Detalhe Por UC'!$AB:$AB,'Detalhe Por UC'!$C:$C,'Infos Clientes'!$B99,'Detalhe Por UC'!$R:$R,'Infos Clientes'!AJ$2)=0,"",
SUMIFS('Detalhe Por UC'!$AB:$AB,'Detalhe Por UC'!$C:$C,'Infos Clientes'!$B99,'Detalhe Por UC'!$R:$R,'Infos Clientes'!AJ$2)
+SUMIFS('Detalhe Por UC'!$AC:$AC,'Detalhe Por UC'!$C:$C,'Infos Clientes'!$B99,'Detalhe Por UC'!$R:$R,'Infos Clientes'!AJ$2))</f>
        <v/>
      </c>
      <c r="AK99" s="27" t="str">
        <f>IF(SUMIFS('Detalhe Por UC'!$AB:$AB,'Detalhe Por UC'!$C:$C,'Infos Clientes'!$B99,'Detalhe Por UC'!$R:$R,'Infos Clientes'!AK$2)=0,"",
SUMIFS('Detalhe Por UC'!$AB:$AB,'Detalhe Por UC'!$C:$C,'Infos Clientes'!$B99,'Detalhe Por UC'!$R:$R,'Infos Clientes'!AK$2)
+SUMIFS('Detalhe Por UC'!$AC:$AC,'Detalhe Por UC'!$C:$C,'Infos Clientes'!$B99,'Detalhe Por UC'!$R:$R,'Infos Clientes'!AK$2))</f>
        <v/>
      </c>
      <c r="AL99" s="27" t="str">
        <f>IF(SUMIFS('Detalhe Por UC'!$AB:$AB,'Detalhe Por UC'!$C:$C,'Infos Clientes'!$B99,'Detalhe Por UC'!$R:$R,'Infos Clientes'!AL$2)=0,"",
SUMIFS('Detalhe Por UC'!$AB:$AB,'Detalhe Por UC'!$C:$C,'Infos Clientes'!$B99,'Detalhe Por UC'!$R:$R,'Infos Clientes'!AL$2)
+SUMIFS('Detalhe Por UC'!$AC:$AC,'Detalhe Por UC'!$C:$C,'Infos Clientes'!$B99,'Detalhe Por UC'!$R:$R,'Infos Clientes'!AL$2))</f>
        <v/>
      </c>
      <c r="AM99" s="27" t="str">
        <f>IF(SUMIFS('Detalhe Por UC'!$AB:$AB,'Detalhe Por UC'!$C:$C,'Infos Clientes'!$B99,'Detalhe Por UC'!$R:$R,'Infos Clientes'!AM$2)=0,"",
SUMIFS('Detalhe Por UC'!$AB:$AB,'Detalhe Por UC'!$C:$C,'Infos Clientes'!$B99,'Detalhe Por UC'!$R:$R,'Infos Clientes'!AM$2)
+SUMIFS('Detalhe Por UC'!$AC:$AC,'Detalhe Por UC'!$C:$C,'Infos Clientes'!$B99,'Detalhe Por UC'!$R:$R,'Infos Clientes'!AM$2))</f>
        <v/>
      </c>
      <c r="AN99" s="27" t="str">
        <f>IF(SUMIFS('Detalhe Por UC'!$AB:$AB,'Detalhe Por UC'!$C:$C,'Infos Clientes'!$B99,'Detalhe Por UC'!$R:$R,'Infos Clientes'!AN$2)=0,"",
SUMIFS('Detalhe Por UC'!$AB:$AB,'Detalhe Por UC'!$C:$C,'Infos Clientes'!$B99,'Detalhe Por UC'!$R:$R,'Infos Clientes'!AN$2)
+SUMIFS('Detalhe Por UC'!$AC:$AC,'Detalhe Por UC'!$C:$C,'Infos Clientes'!$B99,'Detalhe Por UC'!$R:$R,'Infos Clientes'!AN$2))</f>
        <v/>
      </c>
      <c r="AO99" s="27" t="str">
        <f>IF(SUMIFS('Detalhe Por UC'!$AB:$AB,'Detalhe Por UC'!$C:$C,'Infos Clientes'!$B99,'Detalhe Por UC'!$R:$R,'Infos Clientes'!AO$2)=0,"",
SUMIFS('Detalhe Por UC'!$AB:$AB,'Detalhe Por UC'!$C:$C,'Infos Clientes'!$B99,'Detalhe Por UC'!$R:$R,'Infos Clientes'!AO$2)
+SUMIFS('Detalhe Por UC'!$AC:$AC,'Detalhe Por UC'!$C:$C,'Infos Clientes'!$B99,'Detalhe Por UC'!$R:$R,'Infos Clientes'!AO$2))</f>
        <v/>
      </c>
      <c r="AP99" s="27" t="str">
        <f>IF(SUMIFS('Detalhe Por UC'!$AB:$AB,'Detalhe Por UC'!$C:$C,'Infos Clientes'!$B99,'Detalhe Por UC'!$R:$R,'Infos Clientes'!AP$2)=0,"",
SUMIFS('Detalhe Por UC'!$AB:$AB,'Detalhe Por UC'!$C:$C,'Infos Clientes'!$B99,'Detalhe Por UC'!$R:$R,'Infos Clientes'!AP$2)
+SUMIFS('Detalhe Por UC'!$AC:$AC,'Detalhe Por UC'!$C:$C,'Infos Clientes'!$B99,'Detalhe Por UC'!$R:$R,'Infos Clientes'!AP$2))</f>
        <v/>
      </c>
      <c r="AQ99" s="27" t="str">
        <f>IF(SUMIFS('Detalhe Por UC'!$AB:$AB,'Detalhe Por UC'!$C:$C,'Infos Clientes'!$B99,'Detalhe Por UC'!$R:$R,'Infos Clientes'!AQ$2)=0,"",
SUMIFS('Detalhe Por UC'!$AB:$AB,'Detalhe Por UC'!$C:$C,'Infos Clientes'!$B99,'Detalhe Por UC'!$R:$R,'Infos Clientes'!AQ$2)
+SUMIFS('Detalhe Por UC'!$AC:$AC,'Detalhe Por UC'!$C:$C,'Infos Clientes'!$B99,'Detalhe Por UC'!$R:$R,'Infos Clientes'!AQ$2))</f>
        <v/>
      </c>
      <c r="AR99" s="27" t="str">
        <f>IF(SUMIFS('Detalhe Por UC'!$AB:$AB,'Detalhe Por UC'!$C:$C,'Infos Clientes'!$B99,'Detalhe Por UC'!$R:$R,'Infos Clientes'!AR$2)=0,"",
SUMIFS('Detalhe Por UC'!$AB:$AB,'Detalhe Por UC'!$C:$C,'Infos Clientes'!$B99,'Detalhe Por UC'!$R:$R,'Infos Clientes'!AR$2)
+SUMIFS('Detalhe Por UC'!$AC:$AC,'Detalhe Por UC'!$C:$C,'Infos Clientes'!$B99,'Detalhe Por UC'!$R:$R,'Infos Clientes'!AR$2))</f>
        <v/>
      </c>
      <c r="AS99" s="27" t="str">
        <f>IF(SUMIFS('Detalhe Por UC'!$AB:$AB,'Detalhe Por UC'!$C:$C,'Infos Clientes'!$B99,'Detalhe Por UC'!$R:$R,'Infos Clientes'!AS$2)=0,"",
SUMIFS('Detalhe Por UC'!$AB:$AB,'Detalhe Por UC'!$C:$C,'Infos Clientes'!$B99,'Detalhe Por UC'!$R:$R,'Infos Clientes'!AS$2)
+SUMIFS('Detalhe Por UC'!$AC:$AC,'Detalhe Por UC'!$C:$C,'Infos Clientes'!$B99,'Detalhe Por UC'!$R:$R,'Infos Clientes'!AS$2))</f>
        <v/>
      </c>
      <c r="AT99" s="27" t="str">
        <f>IF(SUMIFS('Detalhe Por UC'!$AB:$AB,'Detalhe Por UC'!$C:$C,'Infos Clientes'!$B99,'Detalhe Por UC'!$R:$R,'Infos Clientes'!AT$2)=0,"",
SUMIFS('Detalhe Por UC'!$AB:$AB,'Detalhe Por UC'!$C:$C,'Infos Clientes'!$B99,'Detalhe Por UC'!$R:$R,'Infos Clientes'!AT$2)
+SUMIFS('Detalhe Por UC'!$AC:$AC,'Detalhe Por UC'!$C:$C,'Infos Clientes'!$B99,'Detalhe Por UC'!$R:$R,'Infos Clientes'!AT$2))</f>
        <v/>
      </c>
      <c r="AU99" s="27" t="str">
        <f>IF(SUMIFS('Detalhe Por UC'!$AB:$AB,'Detalhe Por UC'!$C:$C,'Infos Clientes'!$B99,'Detalhe Por UC'!$R:$R,'Infos Clientes'!AU$2)=0,"",
SUMIFS('Detalhe Por UC'!$AB:$AB,'Detalhe Por UC'!$C:$C,'Infos Clientes'!$B99,'Detalhe Por UC'!$R:$R,'Infos Clientes'!AU$2)
+SUMIFS('Detalhe Por UC'!$AC:$AC,'Detalhe Por UC'!$C:$C,'Infos Clientes'!$B99,'Detalhe Por UC'!$R:$R,'Infos Clientes'!AU$2))</f>
        <v/>
      </c>
    </row>
    <row r="100" spans="2:47" x14ac:dyDescent="0.3">
      <c r="B100" s="28" t="s">
        <v>247</v>
      </c>
      <c r="C100" s="14">
        <f t="shared" si="4"/>
        <v>100</v>
      </c>
      <c r="D100" t="s">
        <v>19</v>
      </c>
      <c r="E100" s="15">
        <v>359</v>
      </c>
      <c r="F100" t="s">
        <v>248</v>
      </c>
      <c r="G100" t="s">
        <v>249</v>
      </c>
      <c r="H100" t="str">
        <f t="shared" si="2"/>
        <v>10/3170252-5</v>
      </c>
      <c r="I100" s="31" t="s">
        <v>22</v>
      </c>
      <c r="J100" s="31" t="s">
        <v>28</v>
      </c>
      <c r="K100" s="18" t="s">
        <v>138</v>
      </c>
      <c r="M100" s="32">
        <v>0.25</v>
      </c>
      <c r="Q100" s="22">
        <f>IF(_xlfn.MINIFS('Detalhe Por UC'!R:R,'Detalhe Por UC'!C:C,B100,'Detalhe Por UC'!AD:AD,"&gt;"&amp;0)=0,"",_xlfn.MINIFS('Detalhe Por UC'!R:R,'Detalhe Por UC'!C:C,B100,'Detalhe Por UC'!AD:AD,"&gt;"&amp;0))</f>
        <v>45658</v>
      </c>
      <c r="R100" s="23">
        <f>IF(P100&lt;&gt;"ATIVO",0,
IF(OR(Q100="",Q100=0,O100=0),O100,
O100-ROUND((MAX('Detalhe Por UC'!R:R)
-Q100)/(365/12),0)))</f>
        <v>0</v>
      </c>
      <c r="T100" s="29">
        <v>883.5454545454545</v>
      </c>
      <c r="U100" s="24">
        <f t="shared" si="3"/>
        <v>1001.25</v>
      </c>
      <c r="X100">
        <v>2409</v>
      </c>
      <c r="Y100">
        <v>2205</v>
      </c>
      <c r="Z100">
        <v>432</v>
      </c>
      <c r="AA100">
        <v>927</v>
      </c>
      <c r="AB100">
        <v>0</v>
      </c>
      <c r="AC100">
        <v>487</v>
      </c>
      <c r="AD100">
        <v>327</v>
      </c>
      <c r="AE100">
        <v>435</v>
      </c>
      <c r="AF100">
        <v>609</v>
      </c>
      <c r="AG100">
        <v>1101</v>
      </c>
      <c r="AH100">
        <v>834</v>
      </c>
      <c r="AI100" s="25">
        <v>1243</v>
      </c>
      <c r="AJ100" s="27">
        <f>IF(SUMIFS('Detalhe Por UC'!$AB:$AB,'Detalhe Por UC'!$C:$C,'Infos Clientes'!$B100,'Detalhe Por UC'!$R:$R,'Infos Clientes'!AJ$2)=0,"",
SUMIFS('Detalhe Por UC'!$AB:$AB,'Detalhe Por UC'!$C:$C,'Infos Clientes'!$B100,'Detalhe Por UC'!$R:$R,'Infos Clientes'!AJ$2)
+SUMIFS('Detalhe Por UC'!$AC:$AC,'Detalhe Por UC'!$C:$C,'Infos Clientes'!$B100,'Detalhe Por UC'!$R:$R,'Infos Clientes'!AJ$2))</f>
        <v>1119</v>
      </c>
      <c r="AK100" s="27">
        <f>IF(SUMIFS('Detalhe Por UC'!$AB:$AB,'Detalhe Por UC'!$C:$C,'Infos Clientes'!$B100,'Detalhe Por UC'!$R:$R,'Infos Clientes'!AK$2)=0,"",
SUMIFS('Detalhe Por UC'!$AB:$AB,'Detalhe Por UC'!$C:$C,'Infos Clientes'!$B100,'Detalhe Por UC'!$R:$R,'Infos Clientes'!AK$2)
+SUMIFS('Detalhe Por UC'!$AC:$AC,'Detalhe Por UC'!$C:$C,'Infos Clientes'!$B100,'Detalhe Por UC'!$R:$R,'Infos Clientes'!AK$2))</f>
        <v>849</v>
      </c>
      <c r="AL100" s="27">
        <f>IF(SUMIFS('Detalhe Por UC'!$AB:$AB,'Detalhe Por UC'!$C:$C,'Infos Clientes'!$B100,'Detalhe Por UC'!$R:$R,'Infos Clientes'!AL$2)=0,"",
SUMIFS('Detalhe Por UC'!$AB:$AB,'Detalhe Por UC'!$C:$C,'Infos Clientes'!$B100,'Detalhe Por UC'!$R:$R,'Infos Clientes'!AL$2)
+SUMIFS('Detalhe Por UC'!$AC:$AC,'Detalhe Por UC'!$C:$C,'Infos Clientes'!$B100,'Detalhe Por UC'!$R:$R,'Infos Clientes'!AL$2))</f>
        <v>1313</v>
      </c>
      <c r="AM100" s="27">
        <f>IF(SUMIFS('Detalhe Por UC'!$AB:$AB,'Detalhe Por UC'!$C:$C,'Infos Clientes'!$B100,'Detalhe Por UC'!$R:$R,'Infos Clientes'!AM$2)=0,"",
SUMIFS('Detalhe Por UC'!$AB:$AB,'Detalhe Por UC'!$C:$C,'Infos Clientes'!$B100,'Detalhe Por UC'!$R:$R,'Infos Clientes'!AM$2)
+SUMIFS('Detalhe Por UC'!$AC:$AC,'Detalhe Por UC'!$C:$C,'Infos Clientes'!$B100,'Detalhe Por UC'!$R:$R,'Infos Clientes'!AM$2))</f>
        <v>1208</v>
      </c>
      <c r="AN100" s="27">
        <f>IF(SUMIFS('Detalhe Por UC'!$AB:$AB,'Detalhe Por UC'!$C:$C,'Infos Clientes'!$B100,'Detalhe Por UC'!$R:$R,'Infos Clientes'!AN$2)=0,"",
SUMIFS('Detalhe Por UC'!$AB:$AB,'Detalhe Por UC'!$C:$C,'Infos Clientes'!$B100,'Detalhe Por UC'!$R:$R,'Infos Clientes'!AN$2)
+SUMIFS('Detalhe Por UC'!$AC:$AC,'Detalhe Por UC'!$C:$C,'Infos Clientes'!$B100,'Detalhe Por UC'!$R:$R,'Infos Clientes'!AN$2))</f>
        <v>800</v>
      </c>
      <c r="AO100" s="27">
        <f>IF(SUMIFS('Detalhe Por UC'!$AB:$AB,'Detalhe Por UC'!$C:$C,'Infos Clientes'!$B100,'Detalhe Por UC'!$R:$R,'Infos Clientes'!AO$2)=0,"",
SUMIFS('Detalhe Por UC'!$AB:$AB,'Detalhe Por UC'!$C:$C,'Infos Clientes'!$B100,'Detalhe Por UC'!$R:$R,'Infos Clientes'!AO$2)
+SUMIFS('Detalhe Por UC'!$AC:$AC,'Detalhe Por UC'!$C:$C,'Infos Clientes'!$B100,'Detalhe Por UC'!$R:$R,'Infos Clientes'!AO$2))</f>
        <v>645</v>
      </c>
      <c r="AP100" s="27" t="str">
        <f>IF(SUMIFS('Detalhe Por UC'!$AB:$AB,'Detalhe Por UC'!$C:$C,'Infos Clientes'!$B100,'Detalhe Por UC'!$R:$R,'Infos Clientes'!AP$2)=0,"",
SUMIFS('Detalhe Por UC'!$AB:$AB,'Detalhe Por UC'!$C:$C,'Infos Clientes'!$B100,'Detalhe Por UC'!$R:$R,'Infos Clientes'!AP$2)
+SUMIFS('Detalhe Por UC'!$AC:$AC,'Detalhe Por UC'!$C:$C,'Infos Clientes'!$B100,'Detalhe Por UC'!$R:$R,'Infos Clientes'!AP$2))</f>
        <v/>
      </c>
      <c r="AQ100" s="27" t="str">
        <f>IF(SUMIFS('Detalhe Por UC'!$AB:$AB,'Detalhe Por UC'!$C:$C,'Infos Clientes'!$B100,'Detalhe Por UC'!$R:$R,'Infos Clientes'!AQ$2)=0,"",
SUMIFS('Detalhe Por UC'!$AB:$AB,'Detalhe Por UC'!$C:$C,'Infos Clientes'!$B100,'Detalhe Por UC'!$R:$R,'Infos Clientes'!AQ$2)
+SUMIFS('Detalhe Por UC'!$AC:$AC,'Detalhe Por UC'!$C:$C,'Infos Clientes'!$B100,'Detalhe Por UC'!$R:$R,'Infos Clientes'!AQ$2))</f>
        <v/>
      </c>
      <c r="AR100" s="27" t="str">
        <f>IF(SUMIFS('Detalhe Por UC'!$AB:$AB,'Detalhe Por UC'!$C:$C,'Infos Clientes'!$B100,'Detalhe Por UC'!$R:$R,'Infos Clientes'!AR$2)=0,"",
SUMIFS('Detalhe Por UC'!$AB:$AB,'Detalhe Por UC'!$C:$C,'Infos Clientes'!$B100,'Detalhe Por UC'!$R:$R,'Infos Clientes'!AR$2)
+SUMIFS('Detalhe Por UC'!$AC:$AC,'Detalhe Por UC'!$C:$C,'Infos Clientes'!$B100,'Detalhe Por UC'!$R:$R,'Infos Clientes'!AR$2))</f>
        <v/>
      </c>
      <c r="AS100" s="27">
        <f>IF(SUMIFS('Detalhe Por UC'!$AB:$AB,'Detalhe Por UC'!$C:$C,'Infos Clientes'!$B100,'Detalhe Por UC'!$R:$R,'Infos Clientes'!AS$2)=0,"",
SUMIFS('Detalhe Por UC'!$AB:$AB,'Detalhe Por UC'!$C:$C,'Infos Clientes'!$B100,'Detalhe Por UC'!$R:$R,'Infos Clientes'!AS$2)
+SUMIFS('Detalhe Por UC'!$AC:$AC,'Detalhe Por UC'!$C:$C,'Infos Clientes'!$B100,'Detalhe Por UC'!$R:$R,'Infos Clientes'!AS$2))</f>
        <v>833</v>
      </c>
      <c r="AT100" s="27" t="str">
        <f>IF(SUMIFS('Detalhe Por UC'!$AB:$AB,'Detalhe Por UC'!$C:$C,'Infos Clientes'!$B100,'Detalhe Por UC'!$R:$R,'Infos Clientes'!AT$2)=0,"",
SUMIFS('Detalhe Por UC'!$AB:$AB,'Detalhe Por UC'!$C:$C,'Infos Clientes'!$B100,'Detalhe Por UC'!$R:$R,'Infos Clientes'!AT$2)
+SUMIFS('Detalhe Por UC'!$AC:$AC,'Detalhe Por UC'!$C:$C,'Infos Clientes'!$B100,'Detalhe Por UC'!$R:$R,'Infos Clientes'!AT$2))</f>
        <v/>
      </c>
      <c r="AU100" s="27" t="str">
        <f>IF(SUMIFS('Detalhe Por UC'!$AB:$AB,'Detalhe Por UC'!$C:$C,'Infos Clientes'!$B100,'Detalhe Por UC'!$R:$R,'Infos Clientes'!AU$2)=0,"",
SUMIFS('Detalhe Por UC'!$AB:$AB,'Detalhe Por UC'!$C:$C,'Infos Clientes'!$B100,'Detalhe Por UC'!$R:$R,'Infos Clientes'!AU$2)
+SUMIFS('Detalhe Por UC'!$AC:$AC,'Detalhe Por UC'!$C:$C,'Infos Clientes'!$B100,'Detalhe Por UC'!$R:$R,'Infos Clientes'!AU$2))</f>
        <v/>
      </c>
    </row>
    <row r="101" spans="2:47" x14ac:dyDescent="0.3">
      <c r="B101" t="s">
        <v>250</v>
      </c>
      <c r="C101" s="14">
        <f t="shared" si="4"/>
        <v>101</v>
      </c>
      <c r="D101" t="s">
        <v>19</v>
      </c>
      <c r="E101" s="15">
        <v>319</v>
      </c>
      <c r="F101" t="s">
        <v>251</v>
      </c>
      <c r="H101" t="s">
        <v>250</v>
      </c>
      <c r="I101" s="31"/>
      <c r="J101" s="31" t="s">
        <v>23</v>
      </c>
      <c r="K101" s="18" t="s">
        <v>24</v>
      </c>
      <c r="M101" s="32">
        <v>0.25</v>
      </c>
      <c r="Q101" s="22">
        <f>IF(_xlfn.MINIFS('Detalhe Por UC'!R:R,'Detalhe Por UC'!C:C,B101,'Detalhe Por UC'!AD:AD,"&gt;"&amp;0)=0,"",_xlfn.MINIFS('Detalhe Por UC'!R:R,'Detalhe Por UC'!C:C,B101,'Detalhe Por UC'!AD:AD,"&gt;"&amp;0))</f>
        <v>45839</v>
      </c>
      <c r="R101" s="23">
        <f>IF(P101&lt;&gt;"ATIVO",0,
IF(OR(Q101="",Q101=0,O101=0),O101,
O101-ROUND((MAX('Detalhe Por UC'!R:R)
-Q101)/(365/12),0)))</f>
        <v>0</v>
      </c>
      <c r="T101">
        <v>325</v>
      </c>
      <c r="U101" s="24">
        <f t="shared" si="3"/>
        <v>228.8</v>
      </c>
      <c r="AJ101" s="27" t="str">
        <f>IF(SUMIFS('Detalhe Por UC'!$AB:$AB,'Detalhe Por UC'!$C:$C,'Infos Clientes'!$B101,'Detalhe Por UC'!$R:$R,'Infos Clientes'!AJ$2)=0,"",
SUMIFS('Detalhe Por UC'!$AB:$AB,'Detalhe Por UC'!$C:$C,'Infos Clientes'!$B101,'Detalhe Por UC'!$R:$R,'Infos Clientes'!AJ$2)
+SUMIFS('Detalhe Por UC'!$AC:$AC,'Detalhe Por UC'!$C:$C,'Infos Clientes'!$B101,'Detalhe Por UC'!$R:$R,'Infos Clientes'!AJ$2))</f>
        <v/>
      </c>
      <c r="AK101" s="27" t="str">
        <f>IF(SUMIFS('Detalhe Por UC'!$AB:$AB,'Detalhe Por UC'!$C:$C,'Infos Clientes'!$B101,'Detalhe Por UC'!$R:$R,'Infos Clientes'!AK$2)=0,"",
SUMIFS('Detalhe Por UC'!$AB:$AB,'Detalhe Por UC'!$C:$C,'Infos Clientes'!$B101,'Detalhe Por UC'!$R:$R,'Infos Clientes'!AK$2)
+SUMIFS('Detalhe Por UC'!$AC:$AC,'Detalhe Por UC'!$C:$C,'Infos Clientes'!$B101,'Detalhe Por UC'!$R:$R,'Infos Clientes'!AK$2))</f>
        <v/>
      </c>
      <c r="AL101" s="27" t="str">
        <f>IF(SUMIFS('Detalhe Por UC'!$AB:$AB,'Detalhe Por UC'!$C:$C,'Infos Clientes'!$B101,'Detalhe Por UC'!$R:$R,'Infos Clientes'!AL$2)=0,"",
SUMIFS('Detalhe Por UC'!$AB:$AB,'Detalhe Por UC'!$C:$C,'Infos Clientes'!$B101,'Detalhe Por UC'!$R:$R,'Infos Clientes'!AL$2)
+SUMIFS('Detalhe Por UC'!$AC:$AC,'Detalhe Por UC'!$C:$C,'Infos Clientes'!$B101,'Detalhe Por UC'!$R:$R,'Infos Clientes'!AL$2))</f>
        <v/>
      </c>
      <c r="AM101" s="27" t="str">
        <f>IF(SUMIFS('Detalhe Por UC'!$AB:$AB,'Detalhe Por UC'!$C:$C,'Infos Clientes'!$B101,'Detalhe Por UC'!$R:$R,'Infos Clientes'!AM$2)=0,"",
SUMIFS('Detalhe Por UC'!$AB:$AB,'Detalhe Por UC'!$C:$C,'Infos Clientes'!$B101,'Detalhe Por UC'!$R:$R,'Infos Clientes'!AM$2)
+SUMIFS('Detalhe Por UC'!$AC:$AC,'Detalhe Por UC'!$C:$C,'Infos Clientes'!$B101,'Detalhe Por UC'!$R:$R,'Infos Clientes'!AM$2))</f>
        <v/>
      </c>
      <c r="AN101" s="27" t="str">
        <f>IF(SUMIFS('Detalhe Por UC'!$AB:$AB,'Detalhe Por UC'!$C:$C,'Infos Clientes'!$B101,'Detalhe Por UC'!$R:$R,'Infos Clientes'!AN$2)=0,"",
SUMIFS('Detalhe Por UC'!$AB:$AB,'Detalhe Por UC'!$C:$C,'Infos Clientes'!$B101,'Detalhe Por UC'!$R:$R,'Infos Clientes'!AN$2)
+SUMIFS('Detalhe Por UC'!$AC:$AC,'Detalhe Por UC'!$C:$C,'Infos Clientes'!$B101,'Detalhe Por UC'!$R:$R,'Infos Clientes'!AN$2))</f>
        <v/>
      </c>
      <c r="AO101" s="27" t="str">
        <f>IF(SUMIFS('Detalhe Por UC'!$AB:$AB,'Detalhe Por UC'!$C:$C,'Infos Clientes'!$B101,'Detalhe Por UC'!$R:$R,'Infos Clientes'!AO$2)=0,"",
SUMIFS('Detalhe Por UC'!$AB:$AB,'Detalhe Por UC'!$C:$C,'Infos Clientes'!$B101,'Detalhe Por UC'!$R:$R,'Infos Clientes'!AO$2)
+SUMIFS('Detalhe Por UC'!$AC:$AC,'Detalhe Por UC'!$C:$C,'Infos Clientes'!$B101,'Detalhe Por UC'!$R:$R,'Infos Clientes'!AO$2))</f>
        <v/>
      </c>
      <c r="AP101" s="27">
        <f>IF(SUMIFS('Detalhe Por UC'!$AB:$AB,'Detalhe Por UC'!$C:$C,'Infos Clientes'!$B101,'Detalhe Por UC'!$R:$R,'Infos Clientes'!AP$2)=0,"",
SUMIFS('Detalhe Por UC'!$AB:$AB,'Detalhe Por UC'!$C:$C,'Infos Clientes'!$B101,'Detalhe Por UC'!$R:$R,'Infos Clientes'!AP$2)
+SUMIFS('Detalhe Por UC'!$AC:$AC,'Detalhe Por UC'!$C:$C,'Infos Clientes'!$B101,'Detalhe Por UC'!$R:$R,'Infos Clientes'!AP$2))</f>
        <v>255</v>
      </c>
      <c r="AQ101" s="27">
        <f>IF(SUMIFS('Detalhe Por UC'!$AB:$AB,'Detalhe Por UC'!$C:$C,'Infos Clientes'!$B101,'Detalhe Por UC'!$R:$R,'Infos Clientes'!AQ$2)=0,"",
SUMIFS('Detalhe Por UC'!$AB:$AB,'Detalhe Por UC'!$C:$C,'Infos Clientes'!$B101,'Detalhe Por UC'!$R:$R,'Infos Clientes'!AQ$2)
+SUMIFS('Detalhe Por UC'!$AC:$AC,'Detalhe Por UC'!$C:$C,'Infos Clientes'!$B101,'Detalhe Por UC'!$R:$R,'Infos Clientes'!AQ$2))</f>
        <v>156</v>
      </c>
      <c r="AR101" s="27">
        <f>IF(SUMIFS('Detalhe Por UC'!$AB:$AB,'Detalhe Por UC'!$C:$C,'Infos Clientes'!$B101,'Detalhe Por UC'!$R:$R,'Infos Clientes'!AR$2)=0,"",
SUMIFS('Detalhe Por UC'!$AB:$AB,'Detalhe Por UC'!$C:$C,'Infos Clientes'!$B101,'Detalhe Por UC'!$R:$R,'Infos Clientes'!AR$2)
+SUMIFS('Detalhe Por UC'!$AC:$AC,'Detalhe Por UC'!$C:$C,'Infos Clientes'!$B101,'Detalhe Por UC'!$R:$R,'Infos Clientes'!AR$2))</f>
        <v>195</v>
      </c>
      <c r="AS101" s="27">
        <f>IF(SUMIFS('Detalhe Por UC'!$AB:$AB,'Detalhe Por UC'!$C:$C,'Infos Clientes'!$B101,'Detalhe Por UC'!$R:$R,'Infos Clientes'!AS$2)=0,"",
SUMIFS('Detalhe Por UC'!$AB:$AB,'Detalhe Por UC'!$C:$C,'Infos Clientes'!$B101,'Detalhe Por UC'!$R:$R,'Infos Clientes'!AS$2)
+SUMIFS('Detalhe Por UC'!$AC:$AC,'Detalhe Por UC'!$C:$C,'Infos Clientes'!$B101,'Detalhe Por UC'!$R:$R,'Infos Clientes'!AS$2))</f>
        <v>304</v>
      </c>
      <c r="AT101" s="27">
        <f>IF(SUMIFS('Detalhe Por UC'!$AB:$AB,'Detalhe Por UC'!$C:$C,'Infos Clientes'!$B101,'Detalhe Por UC'!$R:$R,'Infos Clientes'!AT$2)=0,"",
SUMIFS('Detalhe Por UC'!$AB:$AB,'Detalhe Por UC'!$C:$C,'Infos Clientes'!$B101,'Detalhe Por UC'!$R:$R,'Infos Clientes'!AT$2)
+SUMIFS('Detalhe Por UC'!$AC:$AC,'Detalhe Por UC'!$C:$C,'Infos Clientes'!$B101,'Detalhe Por UC'!$R:$R,'Infos Clientes'!AT$2))</f>
        <v>234</v>
      </c>
      <c r="AU101" s="27" t="str">
        <f>IF(SUMIFS('Detalhe Por UC'!$AB:$AB,'Detalhe Por UC'!$C:$C,'Infos Clientes'!$B101,'Detalhe Por UC'!$R:$R,'Infos Clientes'!AU$2)=0,"",
SUMIFS('Detalhe Por UC'!$AB:$AB,'Detalhe Por UC'!$C:$C,'Infos Clientes'!$B101,'Detalhe Por UC'!$R:$R,'Infos Clientes'!AU$2)
+SUMIFS('Detalhe Por UC'!$AC:$AC,'Detalhe Por UC'!$C:$C,'Infos Clientes'!$B101,'Detalhe Por UC'!$R:$R,'Infos Clientes'!AU$2))</f>
        <v/>
      </c>
    </row>
    <row r="102" spans="2:47" x14ac:dyDescent="0.3">
      <c r="B102" t="s">
        <v>252</v>
      </c>
      <c r="C102" s="14">
        <f t="shared" si="4"/>
        <v>102</v>
      </c>
      <c r="D102" t="s">
        <v>19</v>
      </c>
      <c r="E102" s="15"/>
      <c r="H102" t="s">
        <v>252</v>
      </c>
      <c r="I102" s="31" t="s">
        <v>22</v>
      </c>
      <c r="J102" s="31" t="s">
        <v>23</v>
      </c>
      <c r="K102" s="18" t="s">
        <v>24</v>
      </c>
      <c r="M102" s="32">
        <v>0.25</v>
      </c>
      <c r="Q102" s="22">
        <f>IF(_xlfn.MINIFS('Detalhe Por UC'!R:R,'Detalhe Por UC'!C:C,B102,'Detalhe Por UC'!AD:AD,"&gt;"&amp;0)=0,"",_xlfn.MINIFS('Detalhe Por UC'!R:R,'Detalhe Por UC'!C:C,B102,'Detalhe Por UC'!AD:AD,"&gt;"&amp;0))</f>
        <v>45839</v>
      </c>
      <c r="R102" s="23">
        <f>IF(P102&lt;&gt;"ATIVO",0,
IF(OR(Q102="",Q102=0,O102=0),O102,
O102-ROUND((MAX('Detalhe Por UC'!R:R)
-Q102)/(365/12),0)))</f>
        <v>0</v>
      </c>
      <c r="U102" s="24">
        <f t="shared" si="3"/>
        <v>263.33333333333331</v>
      </c>
      <c r="AJ102" s="27" t="str">
        <f>IF(SUMIFS('Detalhe Por UC'!$AB:$AB,'Detalhe Por UC'!$C:$C,'Infos Clientes'!$B102,'Detalhe Por UC'!$R:$R,'Infos Clientes'!AJ$2)=0,"",
SUMIFS('Detalhe Por UC'!$AB:$AB,'Detalhe Por UC'!$C:$C,'Infos Clientes'!$B102,'Detalhe Por UC'!$R:$R,'Infos Clientes'!AJ$2)
+SUMIFS('Detalhe Por UC'!$AC:$AC,'Detalhe Por UC'!$C:$C,'Infos Clientes'!$B102,'Detalhe Por UC'!$R:$R,'Infos Clientes'!AJ$2))</f>
        <v/>
      </c>
      <c r="AK102" s="27" t="str">
        <f>IF(SUMIFS('Detalhe Por UC'!$AB:$AB,'Detalhe Por UC'!$C:$C,'Infos Clientes'!$B102,'Detalhe Por UC'!$R:$R,'Infos Clientes'!AK$2)=0,"",
SUMIFS('Detalhe Por UC'!$AB:$AB,'Detalhe Por UC'!$C:$C,'Infos Clientes'!$B102,'Detalhe Por UC'!$R:$R,'Infos Clientes'!AK$2)
+SUMIFS('Detalhe Por UC'!$AC:$AC,'Detalhe Por UC'!$C:$C,'Infos Clientes'!$B102,'Detalhe Por UC'!$R:$R,'Infos Clientes'!AK$2))</f>
        <v/>
      </c>
      <c r="AL102" s="27" t="str">
        <f>IF(SUMIFS('Detalhe Por UC'!$AB:$AB,'Detalhe Por UC'!$C:$C,'Infos Clientes'!$B102,'Detalhe Por UC'!$R:$R,'Infos Clientes'!AL$2)=0,"",
SUMIFS('Detalhe Por UC'!$AB:$AB,'Detalhe Por UC'!$C:$C,'Infos Clientes'!$B102,'Detalhe Por UC'!$R:$R,'Infos Clientes'!AL$2)
+SUMIFS('Detalhe Por UC'!$AC:$AC,'Detalhe Por UC'!$C:$C,'Infos Clientes'!$B102,'Detalhe Por UC'!$R:$R,'Infos Clientes'!AL$2))</f>
        <v/>
      </c>
      <c r="AM102" s="27" t="str">
        <f>IF(SUMIFS('Detalhe Por UC'!$AB:$AB,'Detalhe Por UC'!$C:$C,'Infos Clientes'!$B102,'Detalhe Por UC'!$R:$R,'Infos Clientes'!AM$2)=0,"",
SUMIFS('Detalhe Por UC'!$AB:$AB,'Detalhe Por UC'!$C:$C,'Infos Clientes'!$B102,'Detalhe Por UC'!$R:$R,'Infos Clientes'!AM$2)
+SUMIFS('Detalhe Por UC'!$AC:$AC,'Detalhe Por UC'!$C:$C,'Infos Clientes'!$B102,'Detalhe Por UC'!$R:$R,'Infos Clientes'!AM$2))</f>
        <v/>
      </c>
      <c r="AN102" s="27" t="str">
        <f>IF(SUMIFS('Detalhe Por UC'!$AB:$AB,'Detalhe Por UC'!$C:$C,'Infos Clientes'!$B102,'Detalhe Por UC'!$R:$R,'Infos Clientes'!AN$2)=0,"",
SUMIFS('Detalhe Por UC'!$AB:$AB,'Detalhe Por UC'!$C:$C,'Infos Clientes'!$B102,'Detalhe Por UC'!$R:$R,'Infos Clientes'!AN$2)
+SUMIFS('Detalhe Por UC'!$AC:$AC,'Detalhe Por UC'!$C:$C,'Infos Clientes'!$B102,'Detalhe Por UC'!$R:$R,'Infos Clientes'!AN$2))</f>
        <v/>
      </c>
      <c r="AO102" s="27" t="str">
        <f>IF(SUMIFS('Detalhe Por UC'!$AB:$AB,'Detalhe Por UC'!$C:$C,'Infos Clientes'!$B102,'Detalhe Por UC'!$R:$R,'Infos Clientes'!AO$2)=0,"",
SUMIFS('Detalhe Por UC'!$AB:$AB,'Detalhe Por UC'!$C:$C,'Infos Clientes'!$B102,'Detalhe Por UC'!$R:$R,'Infos Clientes'!AO$2)
+SUMIFS('Detalhe Por UC'!$AC:$AC,'Detalhe Por UC'!$C:$C,'Infos Clientes'!$B102,'Detalhe Por UC'!$R:$R,'Infos Clientes'!AO$2))</f>
        <v/>
      </c>
      <c r="AP102" s="27">
        <f>IF(SUMIFS('Detalhe Por UC'!$AB:$AB,'Detalhe Por UC'!$C:$C,'Infos Clientes'!$B102,'Detalhe Por UC'!$R:$R,'Infos Clientes'!AP$2)=0,"",
SUMIFS('Detalhe Por UC'!$AB:$AB,'Detalhe Por UC'!$C:$C,'Infos Clientes'!$B102,'Detalhe Por UC'!$R:$R,'Infos Clientes'!AP$2)
+SUMIFS('Detalhe Por UC'!$AC:$AC,'Detalhe Por UC'!$C:$C,'Infos Clientes'!$B102,'Detalhe Por UC'!$R:$R,'Infos Clientes'!AP$2))</f>
        <v>226</v>
      </c>
      <c r="AQ102" s="27" t="str">
        <f>IF(SUMIFS('Detalhe Por UC'!$AB:$AB,'Detalhe Por UC'!$C:$C,'Infos Clientes'!$B102,'Detalhe Por UC'!$R:$R,'Infos Clientes'!AQ$2)=0,"",
SUMIFS('Detalhe Por UC'!$AB:$AB,'Detalhe Por UC'!$C:$C,'Infos Clientes'!$B102,'Detalhe Por UC'!$R:$R,'Infos Clientes'!AQ$2)
+SUMIFS('Detalhe Por UC'!$AC:$AC,'Detalhe Por UC'!$C:$C,'Infos Clientes'!$B102,'Detalhe Por UC'!$R:$R,'Infos Clientes'!AQ$2))</f>
        <v/>
      </c>
      <c r="AR102" s="27" t="str">
        <f>IF(SUMIFS('Detalhe Por UC'!$AB:$AB,'Detalhe Por UC'!$C:$C,'Infos Clientes'!$B102,'Detalhe Por UC'!$R:$R,'Infos Clientes'!AR$2)=0,"",
SUMIFS('Detalhe Por UC'!$AB:$AB,'Detalhe Por UC'!$C:$C,'Infos Clientes'!$B102,'Detalhe Por UC'!$R:$R,'Infos Clientes'!AR$2)
+SUMIFS('Detalhe Por UC'!$AC:$AC,'Detalhe Por UC'!$C:$C,'Infos Clientes'!$B102,'Detalhe Por UC'!$R:$R,'Infos Clientes'!AR$2))</f>
        <v/>
      </c>
      <c r="AS102" s="27">
        <f>IF(SUMIFS('Detalhe Por UC'!$AB:$AB,'Detalhe Por UC'!$C:$C,'Infos Clientes'!$B102,'Detalhe Por UC'!$R:$R,'Infos Clientes'!AS$2)=0,"",
SUMIFS('Detalhe Por UC'!$AB:$AB,'Detalhe Por UC'!$C:$C,'Infos Clientes'!$B102,'Detalhe Por UC'!$R:$R,'Infos Clientes'!AS$2)
+SUMIFS('Detalhe Por UC'!$AC:$AC,'Detalhe Por UC'!$C:$C,'Infos Clientes'!$B102,'Detalhe Por UC'!$R:$R,'Infos Clientes'!AS$2))</f>
        <v>367</v>
      </c>
      <c r="AT102" s="27">
        <f>IF(SUMIFS('Detalhe Por UC'!$AB:$AB,'Detalhe Por UC'!$C:$C,'Infos Clientes'!$B102,'Detalhe Por UC'!$R:$R,'Infos Clientes'!AT$2)=0,"",
SUMIFS('Detalhe Por UC'!$AB:$AB,'Detalhe Por UC'!$C:$C,'Infos Clientes'!$B102,'Detalhe Por UC'!$R:$R,'Infos Clientes'!AT$2)
+SUMIFS('Detalhe Por UC'!$AC:$AC,'Detalhe Por UC'!$C:$C,'Infos Clientes'!$B102,'Detalhe Por UC'!$R:$R,'Infos Clientes'!AT$2))</f>
        <v>197</v>
      </c>
      <c r="AU102" s="27" t="str">
        <f>IF(SUMIFS('Detalhe Por UC'!$AB:$AB,'Detalhe Por UC'!$C:$C,'Infos Clientes'!$B102,'Detalhe Por UC'!$R:$R,'Infos Clientes'!AU$2)=0,"",
SUMIFS('Detalhe Por UC'!$AB:$AB,'Detalhe Por UC'!$C:$C,'Infos Clientes'!$B102,'Detalhe Por UC'!$R:$R,'Infos Clientes'!AU$2)
+SUMIFS('Detalhe Por UC'!$AC:$AC,'Detalhe Por UC'!$C:$C,'Infos Clientes'!$B102,'Detalhe Por UC'!$R:$R,'Infos Clientes'!AU$2))</f>
        <v/>
      </c>
    </row>
    <row r="106" spans="2:47" x14ac:dyDescent="0.3">
      <c r="E106"/>
      <c r="M106"/>
      <c r="N106"/>
      <c r="O106"/>
    </row>
  </sheetData>
  <autoFilter ref="B2:AR102" xr:uid="{F51179B5-A9B9-4CD2-90E1-C197ECDD69ED}"/>
  <conditionalFormatting sqref="B44:B45">
    <cfRule type="expression" dxfId="45" priority="18">
      <formula>#REF!=1</formula>
    </cfRule>
    <cfRule type="expression" dxfId="44" priority="19">
      <formula>#REF!=2</formula>
    </cfRule>
  </conditionalFormatting>
  <conditionalFormatting sqref="B46">
    <cfRule type="duplicateValues" dxfId="43" priority="17"/>
  </conditionalFormatting>
  <conditionalFormatting sqref="B47:B100">
    <cfRule type="expression" dxfId="42" priority="4">
      <formula>$AL47=1</formula>
    </cfRule>
    <cfRule type="expression" dxfId="41" priority="5">
      <formula>$AL47=2</formula>
    </cfRule>
    <cfRule type="expression" dxfId="40" priority="8">
      <formula>#REF!=1</formula>
    </cfRule>
    <cfRule type="expression" dxfId="39" priority="9">
      <formula>#REF!=2</formula>
    </cfRule>
  </conditionalFormatting>
  <conditionalFormatting sqref="B102">
    <cfRule type="duplicateValues" dxfId="38" priority="2"/>
  </conditionalFormatting>
  <conditionalFormatting sqref="B107:B1048576 B101 B1:B45 B103:B105">
    <cfRule type="duplicateValues" dxfId="37" priority="22"/>
  </conditionalFormatting>
  <conditionalFormatting sqref="B3:D45 G44:G46 F3:H43 M3:M43">
    <cfRule type="expression" dxfId="36" priority="23">
      <formula>#REF!=1</formula>
    </cfRule>
  </conditionalFormatting>
  <conditionalFormatting sqref="C46:D102">
    <cfRule type="expression" dxfId="35" priority="15">
      <formula>#REF!=1</formula>
    </cfRule>
    <cfRule type="expression" dxfId="34" priority="16">
      <formula>#REF!=2</formula>
    </cfRule>
  </conditionalFormatting>
  <conditionalFormatting sqref="F46:G46">
    <cfRule type="expression" dxfId="33" priority="13">
      <formula>#REF!=1</formula>
    </cfRule>
    <cfRule type="expression" dxfId="32" priority="14">
      <formula>#REF!=2</formula>
    </cfRule>
  </conditionalFormatting>
  <conditionalFormatting sqref="F3:H43 M3:M43 B3:D45 G44:G46">
    <cfRule type="expression" dxfId="31" priority="24">
      <formula>#REF!=2</formula>
    </cfRule>
  </conditionalFormatting>
  <conditionalFormatting sqref="H3:H100">
    <cfRule type="duplicateValues" dxfId="30" priority="27"/>
  </conditionalFormatting>
  <conditionalFormatting sqref="H46">
    <cfRule type="duplicateValues" dxfId="29" priority="12"/>
  </conditionalFormatting>
  <conditionalFormatting sqref="H101">
    <cfRule type="duplicateValues" dxfId="28" priority="3"/>
  </conditionalFormatting>
  <conditionalFormatting sqref="H102">
    <cfRule type="duplicateValues" dxfId="27" priority="1"/>
  </conditionalFormatting>
  <conditionalFormatting sqref="M46">
    <cfRule type="expression" dxfId="26" priority="10">
      <formula>#REF!=1</formula>
    </cfRule>
    <cfRule type="expression" dxfId="25" priority="11">
      <formula>#REF!=2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F733-27C0-4272-BA45-D5322B2A23F7}">
  <sheetPr codeName="Planilha1" filterMode="1">
    <tabColor rgb="FF323941"/>
  </sheetPr>
  <dimension ref="A1:CG1122"/>
  <sheetViews>
    <sheetView showGridLines="0" tabSelected="1" topLeftCell="C8" zoomScale="85" zoomScaleNormal="85" workbookViewId="0">
      <pane xSplit="16" ySplit="1" topLeftCell="AV1008" activePane="bottomRight" state="frozen"/>
      <selection activeCell="R8" sqref="R8"/>
      <selection pane="topRight" activeCell="R8" sqref="R8"/>
      <selection pane="bottomLeft" activeCell="R8" sqref="R8"/>
      <selection pane="bottomRight" activeCell="AV8" sqref="AV8"/>
    </sheetView>
  </sheetViews>
  <sheetFormatPr defaultColWidth="8.5546875" defaultRowHeight="16.2" customHeight="1" outlineLevelRow="1" outlineLevelCol="1" x14ac:dyDescent="0.3"/>
  <cols>
    <col min="1" max="1" width="39.6640625" hidden="1" customWidth="1" outlineLevel="1"/>
    <col min="2" max="2" width="19.5546875" hidden="1" customWidth="1" outlineLevel="1"/>
    <col min="3" max="3" width="16.44140625" bestFit="1" customWidth="1" collapsed="1"/>
    <col min="4" max="4" width="24.5546875" style="31" hidden="1" customWidth="1" outlineLevel="1"/>
    <col min="5" max="5" width="27.33203125" style="31" hidden="1" customWidth="1" outlineLevel="1"/>
    <col min="6" max="6" width="14.44140625" hidden="1" customWidth="1" outlineLevel="1"/>
    <col min="7" max="7" width="16.33203125" hidden="1" customWidth="1" outlineLevel="1"/>
    <col min="8" max="8" width="14.6640625" customWidth="1" collapsed="1"/>
    <col min="9" max="9" width="13" customWidth="1"/>
    <col min="10" max="10" width="19.33203125" customWidth="1"/>
    <col min="11" max="11" width="17.6640625" hidden="1" customWidth="1" outlineLevel="1"/>
    <col min="12" max="12" width="15.6640625" hidden="1" customWidth="1" outlineLevel="1"/>
    <col min="13" max="13" width="19.33203125" hidden="1" customWidth="1" outlineLevel="1"/>
    <col min="14" max="14" width="21.33203125" hidden="1" customWidth="1" outlineLevel="1"/>
    <col min="15" max="15" width="17.44140625" hidden="1" customWidth="1" outlineLevel="1"/>
    <col min="16" max="16" width="5.33203125" hidden="1" customWidth="1" outlineLevel="1"/>
    <col min="17" max="17" width="16.44140625" hidden="1" customWidth="1" outlineLevel="1"/>
    <col min="18" max="18" width="16.44140625" bestFit="1" customWidth="1" collapsed="1"/>
    <col min="19" max="19" width="14.33203125" customWidth="1"/>
    <col min="20" max="21" width="17.33203125" customWidth="1"/>
    <col min="22" max="22" width="20.33203125" customWidth="1"/>
    <col min="23" max="24" width="34.6640625" customWidth="1"/>
    <col min="25" max="25" width="30.33203125" customWidth="1"/>
    <col min="26" max="26" width="36.33203125" customWidth="1"/>
    <col min="27" max="27" width="32" customWidth="1"/>
    <col min="28" max="28" width="39.6640625" customWidth="1"/>
    <col min="29" max="29" width="35.5546875" customWidth="1"/>
    <col min="30" max="30" width="41.44140625" customWidth="1"/>
    <col min="31" max="31" width="37.33203125" customWidth="1"/>
    <col min="32" max="32" width="42.44140625" customWidth="1"/>
    <col min="33" max="33" width="38.33203125" customWidth="1"/>
    <col min="34" max="34" width="32.6640625" customWidth="1"/>
    <col min="35" max="35" width="33.44140625" customWidth="1"/>
    <col min="36" max="36" width="26" customWidth="1"/>
    <col min="37" max="37" width="24.6640625" customWidth="1"/>
    <col min="38" max="38" width="20.6640625" customWidth="1"/>
    <col min="39" max="39" width="22.6640625" customWidth="1"/>
    <col min="40" max="41" width="24.5546875" customWidth="1" outlineLevel="1"/>
    <col min="42" max="42" width="14.6640625" customWidth="1" outlineLevel="1"/>
    <col min="43" max="43" width="21.44140625" customWidth="1" outlineLevel="1"/>
    <col min="44" max="44" width="17.44140625" customWidth="1" outlineLevel="1"/>
    <col min="45" max="46" width="20.33203125" customWidth="1"/>
    <col min="47" max="47" width="19.6640625" customWidth="1"/>
    <col min="48" max="48" width="27.33203125" customWidth="1"/>
    <col min="49" max="49" width="22.6640625" customWidth="1"/>
    <col min="50" max="50" width="21.44140625" hidden="1" customWidth="1" outlineLevel="1"/>
    <col min="51" max="51" width="21.44140625" customWidth="1" collapsed="1"/>
    <col min="52" max="52" width="20.6640625" style="49" customWidth="1"/>
    <col min="53" max="53" width="21.6640625" style="49" customWidth="1"/>
    <col min="54" max="54" width="24.44140625" style="49" customWidth="1"/>
    <col min="55" max="55" width="19.33203125" customWidth="1"/>
    <col min="56" max="56" width="16.6640625" customWidth="1"/>
    <col min="57" max="57" width="21" customWidth="1"/>
    <col min="58" max="58" width="21.6640625" bestFit="1" customWidth="1" outlineLevel="1"/>
    <col min="59" max="59" width="17.33203125" bestFit="1" customWidth="1" outlineLevel="1"/>
    <col min="60" max="60" width="22.6640625" bestFit="1" customWidth="1" outlineLevel="1"/>
    <col min="61" max="61" width="20" bestFit="1" customWidth="1" outlineLevel="1"/>
    <col min="62" max="62" width="17.33203125" bestFit="1" customWidth="1" outlineLevel="1"/>
    <col min="63" max="63" width="21" bestFit="1" customWidth="1"/>
    <col min="64" max="64" width="27.44140625" bestFit="1" customWidth="1"/>
    <col min="65" max="65" width="22.33203125" bestFit="1" customWidth="1"/>
    <col min="66" max="66" width="13.33203125" bestFit="1" customWidth="1"/>
    <col min="67" max="67" width="24.5546875" bestFit="1" customWidth="1"/>
    <col min="68" max="69" width="18.44140625" bestFit="1" customWidth="1"/>
    <col min="70" max="70" width="16.6640625" bestFit="1" customWidth="1"/>
    <col min="71" max="71" width="21.6640625" bestFit="1" customWidth="1"/>
    <col min="72" max="72" width="15.5546875" bestFit="1" customWidth="1"/>
    <col min="73" max="73" width="19.5546875" bestFit="1" customWidth="1"/>
    <col min="74" max="74" width="15.5546875" bestFit="1" customWidth="1"/>
    <col min="75" max="75" width="21.33203125" bestFit="1" customWidth="1"/>
    <col min="76" max="76" width="22.33203125" bestFit="1" customWidth="1" outlineLevel="1"/>
    <col min="77" max="77" width="18.33203125" bestFit="1" customWidth="1"/>
    <col min="78" max="78" width="22.33203125" bestFit="1" customWidth="1"/>
    <col min="79" max="79" width="19.33203125" bestFit="1" customWidth="1"/>
    <col min="80" max="80" width="17.33203125" bestFit="1" customWidth="1"/>
    <col min="81" max="81" width="132.5546875" customWidth="1"/>
    <col min="82" max="82" width="60.33203125" bestFit="1" customWidth="1"/>
    <col min="83" max="83" width="14.33203125" bestFit="1" customWidth="1"/>
    <col min="84" max="84" width="18.33203125" style="1" bestFit="1" customWidth="1"/>
    <col min="85" max="85" width="150" bestFit="1" customWidth="1"/>
    <col min="90" max="90" width="11.5546875" customWidth="1"/>
    <col min="91" max="91" width="13.6640625" customWidth="1"/>
  </cols>
  <sheetData>
    <row r="1" spans="1:85" s="40" customFormat="1" ht="16.2" hidden="1" customHeight="1" outlineLevel="1" x14ac:dyDescent="0.3">
      <c r="A1" s="33">
        <v>45874</v>
      </c>
      <c r="B1" t="s">
        <v>253</v>
      </c>
      <c r="C1" s="3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s="34"/>
      <c r="V1" s="18" t="s">
        <v>254</v>
      </c>
      <c r="W1" s="35" t="s">
        <v>255</v>
      </c>
      <c r="X1" s="35" t="s">
        <v>255</v>
      </c>
      <c r="Y1" s="36" t="s">
        <v>256</v>
      </c>
      <c r="Z1" s="35" t="s">
        <v>257</v>
      </c>
      <c r="AA1" s="35" t="s">
        <v>258</v>
      </c>
      <c r="AB1" s="35" t="s">
        <v>259</v>
      </c>
      <c r="AC1" s="35" t="s">
        <v>260</v>
      </c>
      <c r="AD1" s="35" t="s">
        <v>261</v>
      </c>
      <c r="AE1" s="35" t="s">
        <v>262</v>
      </c>
      <c r="AF1" s="37" t="s">
        <v>263</v>
      </c>
      <c r="AG1" s="37" t="s">
        <v>264</v>
      </c>
      <c r="AH1" s="38" t="s">
        <v>265</v>
      </c>
      <c r="AI1" s="37" t="s">
        <v>266</v>
      </c>
      <c r="AJ1" s="37" t="s">
        <v>267</v>
      </c>
      <c r="AK1" s="37" t="s">
        <v>268</v>
      </c>
      <c r="AL1" s="37" t="s">
        <v>269</v>
      </c>
      <c r="AM1" s="37" t="s">
        <v>270</v>
      </c>
      <c r="AN1" s="18"/>
      <c r="AO1" s="18"/>
      <c r="AP1" s="18"/>
      <c r="AQ1" s="18"/>
      <c r="AR1" s="18"/>
      <c r="AS1" s="38"/>
      <c r="AT1" s="39" t="s">
        <v>271</v>
      </c>
      <c r="AU1"/>
      <c r="AV1"/>
      <c r="AW1"/>
      <c r="AX1"/>
      <c r="AY1"/>
      <c r="AZ1"/>
      <c r="BA1"/>
      <c r="BB1"/>
      <c r="BC1"/>
      <c r="BD1" s="18"/>
      <c r="BE1" s="18"/>
      <c r="BF1" s="18"/>
      <c r="BG1" s="18"/>
      <c r="BH1" s="18"/>
      <c r="BI1" s="18"/>
      <c r="BN1" s="41"/>
      <c r="BO1" s="42"/>
      <c r="BP1" s="42"/>
      <c r="BQ1" s="42"/>
      <c r="BR1" s="41"/>
      <c r="BS1" s="41"/>
      <c r="BT1" s="42"/>
      <c r="BU1" s="42"/>
      <c r="BV1"/>
      <c r="CE1" s="39" t="s">
        <v>271</v>
      </c>
      <c r="CF1" s="43"/>
    </row>
    <row r="2" spans="1:85" s="40" customFormat="1" ht="16.2" hidden="1" customHeight="1" outlineLevel="1" x14ac:dyDescent="0.3">
      <c r="A2" s="33">
        <v>45841</v>
      </c>
      <c r="B2" t="s">
        <v>272</v>
      </c>
      <c r="C2" s="44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s="34"/>
      <c r="V2" s="45" t="e">
        <f>INDEX([1]Worksheet!$A:$IX,MATCH($C2,[1]Worksheet!$B:$B,0),(MATCH(V$1,[1]Worksheet!$A$1:$IX$1,0)))</f>
        <v>#N/A</v>
      </c>
      <c r="W2" s="18"/>
      <c r="X2" s="18"/>
      <c r="Y2" s="46"/>
      <c r="Z2" s="18"/>
      <c r="AA2" s="18"/>
      <c r="AB2" s="18"/>
      <c r="AC2" s="18"/>
      <c r="AD2" s="18"/>
      <c r="AE2" s="18"/>
      <c r="AF2" s="35" t="s">
        <v>262</v>
      </c>
      <c r="AG2" s="18"/>
      <c r="AH2" s="38" t="s">
        <v>273</v>
      </c>
      <c r="AI2"/>
      <c r="AJ2"/>
      <c r="AK2"/>
      <c r="AL2"/>
      <c r="AM2"/>
      <c r="AN2" s="18"/>
      <c r="AO2" s="18"/>
      <c r="AP2" s="18"/>
      <c r="AQ2" s="18"/>
      <c r="AR2" s="18"/>
      <c r="AS2" s="38"/>
      <c r="AT2"/>
      <c r="AU2"/>
      <c r="AV2"/>
      <c r="AW2"/>
      <c r="AX2"/>
      <c r="AY2"/>
      <c r="AZ2"/>
      <c r="BA2"/>
      <c r="BB2"/>
      <c r="BC2"/>
      <c r="BD2" s="18"/>
      <c r="BE2" s="18"/>
      <c r="BF2" s="18"/>
      <c r="BG2" s="18"/>
      <c r="BH2" s="18"/>
      <c r="BI2" s="18"/>
      <c r="BN2" s="41"/>
      <c r="BO2" s="42"/>
      <c r="BP2" s="42"/>
      <c r="BQ2" s="42"/>
      <c r="BR2" s="41"/>
      <c r="BS2" s="41"/>
      <c r="BT2" s="42"/>
      <c r="BU2" s="42"/>
      <c r="BV2"/>
    </row>
    <row r="3" spans="1:85" s="40" customFormat="1" ht="16.2" hidden="1" customHeight="1" outlineLevel="1" x14ac:dyDescent="0.3">
      <c r="A3" s="33">
        <v>45793</v>
      </c>
      <c r="B3" t="s">
        <v>274</v>
      </c>
      <c r="C3" s="31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s="34"/>
      <c r="V3" s="45" t="e">
        <f>INDEX([2]Worksheet!$A:$IX,MATCH($C3,[2]Worksheet!$B:$B,0),(MATCH(V$1,[2]Worksheet!$A$1:$IX$1,0)))</f>
        <v>#N/A</v>
      </c>
      <c r="W3" s="18"/>
      <c r="X3" s="18"/>
      <c r="Y3" s="46"/>
      <c r="Z3" s="18"/>
      <c r="AA3" s="18"/>
      <c r="AB3" s="18"/>
      <c r="AC3" s="18"/>
      <c r="AD3" s="18"/>
      <c r="AE3" s="18"/>
      <c r="AF3" s="18"/>
      <c r="AG3" s="18"/>
      <c r="AH3" s="38" t="s">
        <v>275</v>
      </c>
      <c r="AI3"/>
      <c r="AJ3"/>
      <c r="AK3"/>
      <c r="AL3"/>
      <c r="AM3"/>
      <c r="AN3" s="18"/>
      <c r="AO3" s="18"/>
      <c r="AP3" s="18"/>
      <c r="AQ3" s="18"/>
      <c r="AR3" s="18"/>
      <c r="AS3" s="38"/>
      <c r="AT3"/>
      <c r="AU3"/>
      <c r="AV3"/>
      <c r="AW3"/>
      <c r="AX3"/>
      <c r="AY3"/>
      <c r="AZ3"/>
      <c r="BA3"/>
      <c r="BB3"/>
      <c r="BC3"/>
      <c r="BD3" s="18"/>
      <c r="BE3" s="18"/>
      <c r="BF3" s="18"/>
      <c r="BG3" s="18"/>
      <c r="BH3" s="18"/>
      <c r="BI3" s="18"/>
      <c r="BN3" s="41"/>
      <c r="BO3" s="42"/>
      <c r="BP3" s="42"/>
      <c r="BQ3" s="42"/>
      <c r="BR3" s="41"/>
      <c r="BS3" s="41"/>
      <c r="BT3" s="42"/>
      <c r="BU3" s="42"/>
      <c r="BV3"/>
    </row>
    <row r="4" spans="1:85" s="40" customFormat="1" ht="16.2" hidden="1" customHeight="1" outlineLevel="1" x14ac:dyDescent="0.3">
      <c r="A4"/>
      <c r="B4"/>
      <c r="C4" s="31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s="34"/>
      <c r="V4" s="45" t="e">
        <f>INDEX([3]Worksheet!$A:$IX,MATCH($C4,[3]Worksheet!$B:$B,0),(MATCH(V$1,[3]Worksheet!$A$1:$IX$1,0)))</f>
        <v>#N/A</v>
      </c>
      <c r="W4" s="18"/>
      <c r="X4" s="18"/>
      <c r="Y4" s="46"/>
      <c r="Z4" s="18"/>
      <c r="AA4" s="18"/>
      <c r="AB4" s="18"/>
      <c r="AC4" s="18"/>
      <c r="AD4" s="18"/>
      <c r="AE4" s="18"/>
      <c r="AF4" s="18"/>
      <c r="AG4" s="18"/>
      <c r="AH4" s="38"/>
      <c r="AI4"/>
      <c r="AJ4"/>
      <c r="AK4"/>
      <c r="AL4"/>
      <c r="AM4"/>
      <c r="AN4" s="18"/>
      <c r="AO4" s="18"/>
      <c r="AP4" s="18"/>
      <c r="AQ4" s="18"/>
      <c r="AR4" s="18"/>
      <c r="AS4" s="38"/>
      <c r="AT4"/>
      <c r="AU4"/>
      <c r="AV4"/>
      <c r="AW4"/>
      <c r="AX4"/>
      <c r="AY4"/>
      <c r="AZ4"/>
      <c r="BA4"/>
      <c r="BB4"/>
      <c r="BC4"/>
      <c r="BD4" s="18"/>
      <c r="BE4" s="18"/>
      <c r="BF4" s="18"/>
      <c r="BG4" s="18"/>
      <c r="BH4" s="18"/>
      <c r="BI4" s="18"/>
      <c r="BN4" s="41"/>
      <c r="BO4" s="42"/>
      <c r="BP4" s="42"/>
      <c r="BQ4" s="42"/>
      <c r="BR4" s="41"/>
      <c r="BS4" s="41"/>
      <c r="BT4" s="42"/>
      <c r="BU4" s="42"/>
      <c r="BV4"/>
    </row>
    <row r="5" spans="1:85" s="40" customFormat="1" ht="16.2" hidden="1" customHeight="1" outlineLevel="1" x14ac:dyDescent="0.3">
      <c r="A5" s="18"/>
      <c r="B5"/>
      <c r="C5" s="31"/>
      <c r="D5"/>
      <c r="E5"/>
      <c r="F5"/>
      <c r="G5" t="s">
        <v>276</v>
      </c>
      <c r="H5" s="47" t="e">
        <f>HYPERLINK("https://geraebcsp.sharepoint.com/sites/gestao.gdc/Shared Documents/EGS/2- Faturas/"&amp; TEXT($R5,"AAA") &amp;"/"&amp; TEXT($R5,"MM") &amp;"."&amp; TEXT($R5,"AAA") &amp;"/"&amp;"_10-"&amp; RIGHT($C5,LEN($C5)-3) &amp;"_" &amp; TEXT($R5,"AAAA") &amp;"-"&amp; TEXT($R5,"MM") &amp;".pdf","GIROSSOL II")</f>
        <v>#VALUE!</v>
      </c>
      <c r="I5" t="s">
        <v>276</v>
      </c>
      <c r="J5"/>
      <c r="K5"/>
      <c r="L5"/>
      <c r="M5"/>
      <c r="N5"/>
      <c r="O5"/>
      <c r="P5"/>
      <c r="Q5"/>
      <c r="R5"/>
      <c r="S5"/>
      <c r="T5"/>
      <c r="U5" s="34" t="s">
        <v>276</v>
      </c>
      <c r="V5" s="45" t="e">
        <f>INDEX([4]Worksheet!$A:$IX,MATCH($C5,[4]Worksheet!$B:$B,0),(MATCH(V$1,[4]Worksheet!$A$1:$IX$1,0)))</f>
        <v>#N/A</v>
      </c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 t="s">
        <v>276</v>
      </c>
      <c r="AH5" s="48" t="e">
        <f>INDEX([4]Worksheet!$A:$IX,MATCH($C5,[4]Worksheet!$B:$B,0),(MATCH(AH$1,[4]Worksheet!$A$1:$IX$1,0)))+
INDEX([4]Worksheet!$A:$IX,MATCH($C5,[4]Worksheet!$B:$B,0),(MATCH(AH$2,[4]Worksheet!$A$1:$IX$1,0)))+
INDEX([4]Worksheet!$A:$IX,MATCH($C5,[4]Worksheet!$B:$B,0),(MATCH(AH$3,[4]Worksheet!$A$1:$IX$1,0)))</f>
        <v>#N/A</v>
      </c>
      <c r="AI5"/>
      <c r="AJ5"/>
      <c r="AK5"/>
      <c r="AL5"/>
      <c r="AM5"/>
      <c r="AN5" s="18"/>
      <c r="AO5" s="18"/>
      <c r="AP5" s="18"/>
      <c r="AQ5" s="18"/>
      <c r="AR5" s="18"/>
      <c r="AS5" s="38"/>
      <c r="AT5"/>
      <c r="AU5"/>
      <c r="AV5"/>
      <c r="AW5"/>
      <c r="AX5"/>
      <c r="AY5"/>
      <c r="AZ5"/>
      <c r="BA5" s="49"/>
      <c r="BB5"/>
      <c r="BC5"/>
      <c r="BD5" s="18"/>
      <c r="BE5" s="18"/>
      <c r="BF5" s="18"/>
      <c r="BG5" s="18"/>
      <c r="BH5" s="18"/>
      <c r="BI5" s="18"/>
      <c r="BN5" s="41"/>
      <c r="BO5" s="42"/>
      <c r="BP5" s="42"/>
      <c r="BQ5" s="42"/>
      <c r="BR5" s="41"/>
      <c r="BS5" s="41"/>
      <c r="BT5" s="42"/>
      <c r="BU5" s="42"/>
      <c r="BV5"/>
    </row>
    <row r="6" spans="1:85" s="40" customFormat="1" ht="14.4" hidden="1" outlineLevel="1" x14ac:dyDescent="0.3">
      <c r="A6" s="18"/>
      <c r="B6" s="50"/>
      <c r="C6" s="31"/>
      <c r="D6" s="18"/>
      <c r="E6" s="18"/>
      <c r="F6" s="18"/>
      <c r="G6" s="18"/>
      <c r="H6" s="47" t="e">
        <f>HYPERLINK("https://geraebcsp.sharepoint.com/sites/gestao.gdc/Shared Documents/EGS/2- Faturas/"&amp; TEXT($R6,"AAA") &amp;"/"&amp; TEXT($R6,"MM") &amp;"."&amp; TEXT($R6,"AAA") &amp;"/"&amp;"_10-"&amp; RIGHT($C6,LEN($C6)-3) &amp;"_" &amp; TEXT($R6,"AAAA") &amp;"-"&amp; TEXT($R6,"MM") &amp;".pdf","GIROSSOL III")</f>
        <v>#VALUE!</v>
      </c>
      <c r="I6" s="18"/>
      <c r="J6" s="51"/>
      <c r="K6" s="51"/>
      <c r="L6" s="51"/>
      <c r="M6" s="51"/>
      <c r="N6" s="51"/>
      <c r="O6" s="51"/>
      <c r="P6" s="51"/>
      <c r="Q6"/>
      <c r="R6" s="34"/>
      <c r="S6" s="18"/>
      <c r="T6" s="34"/>
      <c r="U6" s="34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48"/>
      <c r="AI6" s="18"/>
      <c r="AJ6" s="18"/>
      <c r="AK6" s="18"/>
      <c r="AL6" s="18"/>
      <c r="AM6" s="18"/>
      <c r="AN6" s="18"/>
      <c r="AO6" s="18"/>
      <c r="AP6" s="18"/>
      <c r="AQ6"/>
      <c r="AR6" s="18"/>
      <c r="AS6" s="38"/>
      <c r="AT6"/>
      <c r="AU6"/>
      <c r="AV6"/>
      <c r="AW6"/>
      <c r="AX6"/>
      <c r="AY6"/>
      <c r="AZ6"/>
      <c r="BA6" s="49"/>
      <c r="BB6" s="43" t="e" cm="1">
        <f t="array" ref="BB6">_xlfn.XLOOKUP(1,($C6=[5]Faturamento!$B:$B)*($R6=[5]Faturamento!$D:$D)*("Aprovado"=[5]Faturamento!$H:$H)*("Pago"=[5]Faturamento!$O:$O),[5]Faturamento!$P:$P)</f>
        <v>#N/A</v>
      </c>
      <c r="BC6"/>
      <c r="BD6" s="18"/>
      <c r="BE6" s="18"/>
      <c r="BF6" s="18"/>
      <c r="BG6" s="18"/>
      <c r="BH6" s="18"/>
      <c r="BI6" s="18"/>
      <c r="BN6" s="41"/>
      <c r="BO6" s="42"/>
      <c r="BP6" s="42"/>
      <c r="BQ6" s="42"/>
      <c r="BR6" s="41"/>
      <c r="BS6" s="41"/>
      <c r="BT6" s="42"/>
      <c r="BU6" s="42"/>
      <c r="BV6"/>
      <c r="CE6" s="18"/>
      <c r="CG6"/>
    </row>
    <row r="7" spans="1:85" s="40" customFormat="1" ht="15.6" hidden="1" outlineLevel="1" x14ac:dyDescent="0.3">
      <c r="A7" s="52" t="e">
        <f>INDEX('Infos Clientes'!$D:$D,MATCH('Detalhe Por UC'!C7,'Infos Clientes'!B:B,0))</f>
        <v>#N/A</v>
      </c>
      <c r="B7" s="53" t="e">
        <f>INDEX('Infos Clientes'!$F:$F,MATCH('Detalhe Por UC'!C7,'Infos Clientes'!B:B,0))</f>
        <v>#N/A</v>
      </c>
      <c r="C7" s="54"/>
      <c r="D7" s="55"/>
      <c r="E7" s="55"/>
      <c r="F7" s="56" t="e">
        <f>INDEX('Infos Clientes'!$I:$I,MATCH('Detalhe Por UC'!C7,'Infos Clientes'!B:B,0))</f>
        <v>#N/A</v>
      </c>
      <c r="G7" s="56" t="e">
        <f>INDEX('Infos Clientes'!$J:$J,MATCH('Detalhe Por UC'!C7,'Infos Clientes'!B:B,0))</f>
        <v>#N/A</v>
      </c>
      <c r="H7" s="57"/>
      <c r="I7" s="58" t="e">
        <f>VLOOKUP(C7,'Infos Clientes'!B:E,4,)</f>
        <v>#N/A</v>
      </c>
      <c r="J7" s="18"/>
      <c r="K7" s="59" t="e">
        <f>INDEX('Infos Clientes'!$M:$M,MATCH('Detalhe Por UC'!C7,'Infos Clientes'!B:B,0))</f>
        <v>#N/A</v>
      </c>
      <c r="L7" s="60"/>
      <c r="M7" s="56" t="e">
        <f>INDEX('Infos Clientes'!$N:$N,MATCH('Detalhe Por UC'!C7,'Infos Clientes'!B:B,0))</f>
        <v>#N/A</v>
      </c>
      <c r="N7" s="56">
        <f>COUNTIFS(C:C,C7,J:J,L7)</f>
        <v>0</v>
      </c>
      <c r="O7" s="56">
        <f>COUNTIFS(C:C,C7,AD:AD,"&gt;0")</f>
        <v>0</v>
      </c>
      <c r="P7" s="56" t="e">
        <f t="shared" ref="P7" si="0">M7-N7</f>
        <v>#N/A</v>
      </c>
      <c r="Q7" s="61" t="str">
        <f>IFERROR(IFERROR(INDEX('Infos Clientes'!$A$2:$V$9884,MATCH($C7,'Infos Clientes'!$B$2:$B$9884,0),MATCH(Q$8,'Infos Clientes'!$A$2:$V$2,0)),"")
+IF(OR(INDEX('Infos Clientes'!$A$2:$V$9884,MATCH($C7,'Infos Clientes'!$B$2:$B$9884,0),MATCH("Tempo de Fidelidade (meses)",'Infos Clientes'!$A$2:$V$2,0))=0,R7&gt;=MAX(R:R)),0,
ROUND((MAX(R:R)-R7)/(365/12),0)),"")</f>
        <v/>
      </c>
      <c r="R7" s="62"/>
      <c r="S7" s="63"/>
      <c r="T7" s="64" t="str">
        <f>IF($H7="GIROSSOL II",AP7/INDEX('Resumo Operacional'!$A$1:$P$1103,17,MATCH('Detalhe Por UC'!$R7,'Resumo Operacional'!$A$1:$P$1,0)),
IF($H7="GIROSSOL II e III",AP7/INDEX('Resumo Operacional'!$A$1:$P$1103,17,MATCH('Detalhe Por UC'!$R7,'Resumo Operacional'!$A$1:$P$1,0)),
""))</f>
        <v/>
      </c>
      <c r="U7" s="64" t="str">
        <f>IF($H7="GIROSSOL III",AP7/INDEX('Resumo Operacional'!$A$1:$P$1103,53,MATCH('Detalhe Por UC'!$R7,'Resumo Operacional'!$A$1:$P$1,0)),
IF($H7="GIROSSOL II e III",AP7/INDEX('Resumo Operacional'!$A$1:$P$1103,53,MATCH('Detalhe Por UC'!$R7,'Resumo Operacional'!$A$1:$P$1,0)),
""))</f>
        <v/>
      </c>
      <c r="V7" s="63"/>
      <c r="W7" s="65"/>
      <c r="X7" s="38"/>
      <c r="Y7" s="46"/>
      <c r="Z7" s="66"/>
      <c r="AA7" s="67"/>
      <c r="AB7" s="68"/>
      <c r="AC7" s="69"/>
      <c r="AD7" s="18"/>
      <c r="AE7" s="69"/>
      <c r="AF7" s="69"/>
      <c r="AG7" s="69"/>
      <c r="AH7" s="16"/>
      <c r="AI7" s="16"/>
      <c r="AJ7" s="16"/>
      <c r="AK7" s="70"/>
      <c r="AL7" s="70"/>
      <c r="AM7" s="70"/>
      <c r="AN7" s="71" t="str">
        <f>IF(X7="","",AF7-SUMIFS(AF:AF,$C:$C,$C7,$R:$R,EDATE($R7,-1)))</f>
        <v/>
      </c>
      <c r="AO7" s="71" t="str">
        <f>IF(X7="","",AG7-SUMIFS(AG:AG,$H:$H,$H7,$C:$C,$C7,$R:$R,EDATE($R7,-1)))</f>
        <v/>
      </c>
      <c r="AP7" s="71" t="b">
        <f>IFERROR(IF(D7="CRÉD. CONSUMIDO",SUM(AD7,AE7,AN7,AO7),IF(D7="GERADO",AQ7)),"")</f>
        <v>0</v>
      </c>
      <c r="AQ7" s="72" t="e">
        <f>IF(OR($H7="GIROSSOL II",$H7="GIROSSOL II e III"),INDEX('Resumo Operacional'!$A$1:$P$1103,MATCH("Energia Injetada prevista total Fatura da Usina (TUSD)",'Resumo Operacional'!$B$1:$B$1103,0),MATCH('Detalhe Por UC'!$R7,'Resumo Operacional'!$A$1:$P$1,0))*$S7,INDEX('Resumo Operacional'!$A$1:$P$1103,53,MATCH('Detalhe Por UC'!$R7,'Resumo Operacional'!$A$1:$P$1,0))*$S7)</f>
        <v>#N/A</v>
      </c>
      <c r="AR7" s="71" t="str">
        <f>IF(X7="","",AP7-AQ7)</f>
        <v/>
      </c>
      <c r="AS7" s="73" t="str">
        <f>IFERROR((X7*AB7-Z7*AD7+Y7*AC7-AA7*AE7)+AH7+
IF(F7&lt;&gt;"BT",0,
IF(AND(G7="trifasico",AD7=0,AB7&lt;100),X7*(100-(AB7-AD7)),
IF(AND(G7="bifasico",AD7=0,AB7&lt;50),X7*(50-(AB7-AD7)),
IF(AND(G7="monofasico",AD7=0,AB7&lt;30),X7*(30-(AB7-AD7)),0)))),"")</f>
        <v/>
      </c>
      <c r="AT7" s="74" t="str">
        <f>IFERROR(AS7+AI7+AJ7,"")</f>
        <v/>
      </c>
      <c r="AU7" s="74" t="str">
        <f>IFERROR((Z7*AD7+AA7*AE7)/(AD7+AE7)-((X7-Z7)*AD7+(Y7-AA7)*AE7)/(AD7+AE7),"")</f>
        <v/>
      </c>
      <c r="AV7" s="74" t="str">
        <f>IFERROR(IF(AND(E7="FINAL-Ñ.COMP",D7="CRÉD. CONSUMIDO"),(X7*(1-J7)-(X7-Z7))*AD7+(Y7*(1-J7)-(Y7-AA7))*AE7,
IF(AND(E7="T.COMP",D7="CRÉD. CONSUMIDO"),Z7*(1-J7)*AD7+AA7*(1-J7)*AE7,
IF(AND(E7="T.S.IMP",D7="CRÉD. CONSUMIDO"),V7*(1-J7)*AD7+W7*(1-J7)*AE7,
IF(AND(E7="T.S.IMP",D7="GERADO"),V7*(1-J7)*AQ7+W7*(1-J7)*AQ7,
IF(AND(E7="T.COMP",D7="GERADO"),AU7*(1-J7)*AQ7,
IF(AND(E7="FINAL-Ñ.COMP",D7="GERADO"),(AU7*(1-J7)-(X7-Z7))*AQ7,"ERRO")))))),"")</f>
        <v>ERRO</v>
      </c>
      <c r="AW7" s="74">
        <f>IF(45658=R7,0,IF(
SUMIFS($BA:$BA,$C:$C,$C7,$R:$R,EDATE($R7,-1))
&gt;=0,
SUMIFS(AY:AY,$C:$C,$C7,$R:$R,EDATE($R7,-1))-SUMIFS(BA:BA,$C:$C,$C7,$R:$R,EDATE($R7,-1)),0))</f>
        <v>0</v>
      </c>
      <c r="AX7" s="74"/>
      <c r="AY7" s="74" t="str">
        <f>IF(AV7=0,IF(AW7=0,"",AW7),IFERROR(ROUND(IF(SUMIFS($BA:$BA,$C:$C,$C7,$R:$R,EDATE($R7,-1))&gt;0,AV7+AW7,AV7),2),""))</f>
        <v/>
      </c>
      <c r="AZ7" s="75"/>
      <c r="BA7" s="76"/>
      <c r="BB7" s="76"/>
      <c r="BC7" s="73" t="str">
        <f t="shared" ref="BC7" si="1">IF(BB7&gt;BA7,BB7-BA7,"")</f>
        <v/>
      </c>
      <c r="BD7" s="73" t="e">
        <f>IF(AB7&gt;0,X7*AB7+Y7*AC7+AH7,AH7+
IF(AND(G7="trifasico",AB7-AD7=0),X7*(100-(AB7-AD7)),
IF(AND(G7="bifasico",AB7-AD7=0),X7*(50-(AB7-AD7)),
IF(AND(G7="monofasico",AB7-AD7=0),X7*(30-(AB7-AD7)),0))))</f>
        <v>#N/A</v>
      </c>
      <c r="BE7" s="73" t="str">
        <f>IFERROR(AS7+AV7,"")</f>
        <v/>
      </c>
      <c r="BF7" s="77" t="e">
        <f t="shared" ref="BF7" si="2">ROUND(BD7-BE7,2)</f>
        <v>#N/A</v>
      </c>
      <c r="BG7" s="77" t="e">
        <f t="shared" ref="BG7" si="3">BF7*0.3</f>
        <v>#N/A</v>
      </c>
      <c r="BH7" s="77">
        <f>(X7*AD7)-((X7-Z7)*AD7)</f>
        <v>0</v>
      </c>
      <c r="BI7" s="78">
        <f>IFERROR(ROUND(IFERROR(IF(BF7=0,"",BF7/(AY7+Z7*J7*AD7+AA7*J7*AE7)),0),2),"")</f>
        <v>0</v>
      </c>
      <c r="BJ7" s="79" t="str">
        <f t="shared" ref="BJ7" si="4">IFERROR(BF7/BD7,"")</f>
        <v/>
      </c>
      <c r="BK7" s="80" t="str">
        <f>IFERROR(AS7+AY7,"")</f>
        <v/>
      </c>
      <c r="BL7" s="80" t="str">
        <f t="shared" ref="BL7" si="5">IFERROR(BD7-BK7,"")</f>
        <v/>
      </c>
      <c r="BM7" s="79" t="str">
        <f t="shared" ref="BM7" si="6">IFERROR(IF(BL7=0,"",BL7/BD7),"")</f>
        <v/>
      </c>
      <c r="BN7" s="81" t="str">
        <f>IFERROR(IF(AD7="","",AY7/(AD7+AE7)),"")</f>
        <v/>
      </c>
      <c r="BO7" s="82" t="str">
        <f>IF(OR(BN7="",BN7=0),"",BN7*(AD7+AE7))</f>
        <v/>
      </c>
      <c r="BP7" s="81" t="str">
        <f>IFERROR(IF(AD7="","",AY7/AD7),"")</f>
        <v/>
      </c>
      <c r="BQ7" s="81" t="str">
        <f>IFERROR(BP7+(X7-Z7),"")</f>
        <v/>
      </c>
      <c r="BR7" s="81" t="str">
        <f>IFERROR(IF(AD7="","",(X7*AD7+Y7*AE7)/(AD7+AE7)),"")</f>
        <v/>
      </c>
      <c r="BS7" s="82">
        <f>IFERROR(IF(D7="gerado",AQ7,AD7),"")</f>
        <v>0</v>
      </c>
      <c r="BT7" s="82" t="str">
        <f>IF(OR(BR7="",BR7=0),"",BR7*(AD7+AE7))</f>
        <v/>
      </c>
      <c r="BU7" s="82">
        <f>IFERROR(BS7*Z7,"")</f>
        <v>0</v>
      </c>
      <c r="BV7"/>
      <c r="BW7" s="82" t="str">
        <f>IFERROR(INDEX('Infos Clientes'!$T:$T,MATCH('Detalhe Por UC'!$C7,'Infos Clientes'!B:B,0)),"")</f>
        <v/>
      </c>
      <c r="BX7" s="83" t="str">
        <f>IFERROR(BW7*Q7,"")</f>
        <v/>
      </c>
      <c r="BY7" s="84" t="str">
        <f>IFERROR((X7-BQ7)/X7,"")</f>
        <v/>
      </c>
      <c r="BZ7" s="85" t="str">
        <f>IF(_xlfn.MINIFS('Detalhe Por UC'!R:R,'Detalhe Por UC'!C:C,C7,'Detalhe Por UC'!AD:AD,"&gt;"&amp;0)=0,"",_xlfn.MINIFS('Detalhe Por UC'!R:R,'Detalhe Por UC'!C:C,C7,'Detalhe Por UC'!AD:AD,"&gt;"&amp;0))</f>
        <v/>
      </c>
      <c r="CA7" s="86" t="str">
        <f ca="1">IF(OR(S7&gt;0,AD7&gt;0),IFERROR(
SUMIFS(INDIRECT("'Infos Clientes'!$AD"&amp;INDEX('Infos Clientes'!$C:$C,MATCH(C7,'Infos Clientes'!$H:$H,0))&amp;":$CZ"&amp;INDEX('Infos Clientes'!$C:$C,MATCH(C7,'Infos Clientes'!$H:$H,0))),'Infos Clientes'!$W$2:$CG$2,"&gt;"&amp;$R7-365,'Infos Clientes'!$W$2:$CG$2,"&lt;="&amp;$R7)/
COUNTIFS(INDIRECT("'Infos Clientes'!$AD"&amp;INDEX('Infos Clientes'!$C:$C,MATCH(C7,'Infos Clientes'!$H:$H,0))&amp;":$CZ"&amp;INDEX('Infos Clientes'!$C:$C,MATCH(C7,'Infos Clientes'!$H:$H,0))),"&gt;="&amp;0,'Infos Clientes'!$W$2:$CG$2,"&gt;"&amp;$R7-365,'Infos Clientes'!$W$2:$CG$2,"&lt;="&amp;$R7),""),"")</f>
        <v/>
      </c>
      <c r="CB7" s="87" t="e">
        <f>VLOOKUP(C7,'Infos Clientes'!B:L,11,0)</f>
        <v>#N/A</v>
      </c>
      <c r="CC7" s="88" t="e">
        <f>"A Unidade Consumidora "&amp;C7&amp;" economizou R$"&amp;BF7&amp;" na fatura referente à "&amp;TEXT(R7,"mmm/aaaa")&amp;"  consumindo "&amp;AD7&amp;" kWh em créditos de energia renovável conforme fatura de energia. A economia foi de 25% em relação ao que seria pago para a Energisa considerando os créditos consumidos. Atenção: Mantenha as contas da Energisa em dia para evitar cortes."</f>
        <v>#N/A</v>
      </c>
      <c r="CD7" s="40" t="e">
        <f>VLOOKUP(C7,'Infos Clientes'!B:G,6,)</f>
        <v>#N/A</v>
      </c>
      <c r="CE7" s="43" t="e">
        <f>INDEX([4]Worksheet!$A:$IX,MATCH($C7,[4]Worksheet!$B:$B,0),(MATCH(CE$1,[4]Worksheet!$A$1:$IX$1,0)))</f>
        <v>#N/A</v>
      </c>
      <c r="CF7" s="43" t="e">
        <f>CE7-AT7</f>
        <v>#N/A</v>
      </c>
      <c r="CG7"/>
    </row>
    <row r="8" spans="1:85" s="104" customFormat="1" ht="69.599999999999994" collapsed="1" x14ac:dyDescent="0.3">
      <c r="A8" s="9" t="s">
        <v>2</v>
      </c>
      <c r="B8" s="89" t="s">
        <v>4</v>
      </c>
      <c r="C8" s="6" t="s">
        <v>277</v>
      </c>
      <c r="D8" s="6" t="s">
        <v>278</v>
      </c>
      <c r="E8" s="6" t="s">
        <v>279</v>
      </c>
      <c r="F8" s="6" t="s">
        <v>6</v>
      </c>
      <c r="G8" s="6" t="s">
        <v>7</v>
      </c>
      <c r="H8" s="6" t="s">
        <v>8</v>
      </c>
      <c r="I8" s="6" t="s">
        <v>3</v>
      </c>
      <c r="J8" s="90" t="s">
        <v>280</v>
      </c>
      <c r="K8" s="90" t="s">
        <v>281</v>
      </c>
      <c r="L8" s="90" t="s">
        <v>282</v>
      </c>
      <c r="M8" s="90" t="s">
        <v>283</v>
      </c>
      <c r="N8" s="90" t="s">
        <v>284</v>
      </c>
      <c r="O8" s="10" t="s">
        <v>285</v>
      </c>
      <c r="P8" s="10"/>
      <c r="Q8" s="10" t="s">
        <v>12</v>
      </c>
      <c r="R8" s="91" t="s">
        <v>286</v>
      </c>
      <c r="S8" s="6" t="s">
        <v>287</v>
      </c>
      <c r="T8" s="91" t="s">
        <v>288</v>
      </c>
      <c r="U8" s="91" t="s">
        <v>289</v>
      </c>
      <c r="V8" s="10" t="s">
        <v>290</v>
      </c>
      <c r="W8" s="10" t="s">
        <v>291</v>
      </c>
      <c r="X8" s="10" t="s">
        <v>292</v>
      </c>
      <c r="Y8" s="92" t="s">
        <v>293</v>
      </c>
      <c r="Z8" s="10" t="s">
        <v>294</v>
      </c>
      <c r="AA8" s="10" t="s">
        <v>295</v>
      </c>
      <c r="AB8" s="10" t="s">
        <v>296</v>
      </c>
      <c r="AC8" s="10" t="s">
        <v>297</v>
      </c>
      <c r="AD8" s="10" t="s">
        <v>298</v>
      </c>
      <c r="AE8" s="10" t="s">
        <v>299</v>
      </c>
      <c r="AF8" s="6" t="s">
        <v>300</v>
      </c>
      <c r="AG8" s="6" t="s">
        <v>301</v>
      </c>
      <c r="AH8" s="10" t="s">
        <v>302</v>
      </c>
      <c r="AI8" s="10" t="s">
        <v>303</v>
      </c>
      <c r="AJ8" s="10" t="s">
        <v>304</v>
      </c>
      <c r="AK8" s="11" t="s">
        <v>305</v>
      </c>
      <c r="AL8" s="11" t="s">
        <v>306</v>
      </c>
      <c r="AM8" s="11" t="s">
        <v>307</v>
      </c>
      <c r="AN8" s="93" t="s">
        <v>308</v>
      </c>
      <c r="AO8" s="93" t="s">
        <v>309</v>
      </c>
      <c r="AP8" s="93" t="s">
        <v>310</v>
      </c>
      <c r="AQ8" s="93" t="s">
        <v>311</v>
      </c>
      <c r="AR8" s="93" t="s">
        <v>312</v>
      </c>
      <c r="AS8" s="6" t="s">
        <v>313</v>
      </c>
      <c r="AT8" s="6" t="s">
        <v>314</v>
      </c>
      <c r="AU8" s="6" t="s">
        <v>315</v>
      </c>
      <c r="AV8" s="10" t="s">
        <v>316</v>
      </c>
      <c r="AW8" s="10" t="s">
        <v>317</v>
      </c>
      <c r="AX8" s="6" t="s">
        <v>318</v>
      </c>
      <c r="AY8" s="6" t="s">
        <v>319</v>
      </c>
      <c r="AZ8" s="94" t="s">
        <v>320</v>
      </c>
      <c r="BA8" s="95" t="s">
        <v>321</v>
      </c>
      <c r="BB8" s="96" t="s">
        <v>322</v>
      </c>
      <c r="BC8" s="11" t="s">
        <v>323</v>
      </c>
      <c r="BD8" s="97" t="s">
        <v>324</v>
      </c>
      <c r="BE8" s="97" t="s">
        <v>325</v>
      </c>
      <c r="BF8" s="98" t="s">
        <v>326</v>
      </c>
      <c r="BG8" s="98" t="s">
        <v>327</v>
      </c>
      <c r="BH8" s="98" t="s">
        <v>328</v>
      </c>
      <c r="BI8" s="99" t="s">
        <v>329</v>
      </c>
      <c r="BJ8" s="98" t="s">
        <v>330</v>
      </c>
      <c r="BK8" s="97" t="s">
        <v>331</v>
      </c>
      <c r="BL8" s="98" t="s">
        <v>332</v>
      </c>
      <c r="BM8" s="100" t="s">
        <v>333</v>
      </c>
      <c r="BN8" s="100" t="s">
        <v>334</v>
      </c>
      <c r="BO8" s="101" t="s">
        <v>335</v>
      </c>
      <c r="BP8" s="101" t="s">
        <v>334</v>
      </c>
      <c r="BQ8" s="101" t="s">
        <v>336</v>
      </c>
      <c r="BR8" s="101" t="s">
        <v>337</v>
      </c>
      <c r="BS8" s="101" t="s">
        <v>338</v>
      </c>
      <c r="BT8" s="101" t="s">
        <v>339</v>
      </c>
      <c r="BU8" s="101" t="s">
        <v>340</v>
      </c>
      <c r="BV8" s="101" t="s">
        <v>341</v>
      </c>
      <c r="BW8" s="101" t="s">
        <v>342</v>
      </c>
      <c r="BX8" s="101" t="s">
        <v>343</v>
      </c>
      <c r="BY8" s="102" t="s">
        <v>344</v>
      </c>
      <c r="BZ8" s="101" t="s">
        <v>345</v>
      </c>
      <c r="CA8" s="101" t="s">
        <v>346</v>
      </c>
      <c r="CB8" s="6" t="s">
        <v>9</v>
      </c>
      <c r="CC8" s="6" t="s">
        <v>347</v>
      </c>
      <c r="CD8" s="6" t="s">
        <v>5</v>
      </c>
      <c r="CE8" s="103" t="s">
        <v>348</v>
      </c>
      <c r="CF8" s="103" t="s">
        <v>349</v>
      </c>
      <c r="CG8" s="103" t="s">
        <v>350</v>
      </c>
    </row>
    <row r="9" spans="1:85" s="40" customFormat="1" ht="16.2" hidden="1" customHeight="1" x14ac:dyDescent="0.3">
      <c r="A9" s="105" t="str">
        <f>INDEX('Infos Clientes'!$D:$D,MATCH('Detalhe Por UC'!C9,'Infos Clientes'!B:B,0))</f>
        <v>IGREJA DO EVANGELHO QUADRANGULAR</v>
      </c>
      <c r="B9" s="106" t="str">
        <f>INDEX('Infos Clientes'!$F:$F,MATCH('Detalhe Por UC'!C9,'Infos Clientes'!B:B,0))</f>
        <v>62.955.505/3932-07</v>
      </c>
      <c r="C9" s="107" t="s">
        <v>18</v>
      </c>
      <c r="D9" t="s">
        <v>351</v>
      </c>
      <c r="E9" s="1" t="s">
        <v>352</v>
      </c>
      <c r="F9" s="56" t="str">
        <f>INDEX('Infos Clientes'!$I:$I,MATCH('Detalhe Por UC'!C9,'Infos Clientes'!B:B,0))</f>
        <v>BT</v>
      </c>
      <c r="G9" s="56" t="str">
        <f>INDEX('Infos Clientes'!$J:$J,MATCH('Detalhe Por UC'!C9,'Infos Clientes'!B:B,0))</f>
        <v>bifasico</v>
      </c>
      <c r="H9" s="108" t="s">
        <v>353</v>
      </c>
      <c r="I9" s="58">
        <f>IFERROR(VLOOKUP(C9,'Infos Clientes'!B:E,4,),"")</f>
        <v>302</v>
      </c>
      <c r="J9" s="109">
        <v>0.25</v>
      </c>
      <c r="K9" s="59">
        <f>INDEX('Infos Clientes'!$M:$M,MATCH('Detalhe Por UC'!C9,'Infos Clientes'!B:B,0))</f>
        <v>0.25</v>
      </c>
      <c r="L9" s="110">
        <v>0</v>
      </c>
      <c r="M9" s="56">
        <f>INDEX('Infos Clientes'!$N:$N,MATCH('Detalhe Por UC'!C9,'Infos Clientes'!B:B,0))</f>
        <v>0</v>
      </c>
      <c r="N9" s="56">
        <f t="shared" ref="N9:N72" si="7">COUNTIFS(C:C,C9,J:J,L9)</f>
        <v>0</v>
      </c>
      <c r="O9" s="56">
        <f t="shared" ref="O9:O72" si="8">COUNTIFS(C:C,C9,AD:AD,"&gt;0")</f>
        <v>12</v>
      </c>
      <c r="P9" s="56">
        <f t="shared" ref="P9:P72" si="9">M9-N9</f>
        <v>0</v>
      </c>
      <c r="Q9" s="61">
        <f>IFERROR(IFERROR(INDEX('Infos Clientes'!$A$2:$V$9884,MATCH($C9,'Infos Clientes'!$B$2:$B$9884,0),MATCH(Q$8,'Infos Clientes'!$A$2:$V$2,0)),"")
+IF(OR(INDEX('Infos Clientes'!$A$2:$V$9884,MATCH($C9,'Infos Clientes'!$B$2:$B$9884,0),MATCH("Tempo de Fidelidade (meses)",'Infos Clientes'!$A$2:$V$2,0))=0,R9&gt;=MAX(R:R)),0,
ROUND((MAX(R:R)-R9)/(365/12),0)),"")</f>
        <v>0</v>
      </c>
      <c r="R9" s="111">
        <v>45658</v>
      </c>
      <c r="S9" s="112">
        <v>5.0000000000000001E-3</v>
      </c>
      <c r="T9" s="113">
        <f>IF($H9="GIROSSOL II",AP9/INDEX('Resumo Operacional'!$A$1:$P$1103,17,MATCH('Detalhe Por UC'!$R9,'Resumo Operacional'!$A$1:$P$1,0)),
IF($H9="GIROSSOL II e III",AP9/INDEX('Resumo Operacional'!$A$1:$P$1103,17,MATCH('Detalhe Por UC'!$R9,'Resumo Operacional'!$A$1:$P$1,0)),
""))</f>
        <v>1.5856998702609197E-2</v>
      </c>
      <c r="U9" s="113">
        <f>IF($H9="GIROSSOL III",AP9/INDEX('Resumo Operacional'!$A$1:$P$1103,53,MATCH('Detalhe Por UC'!$R9,'Resumo Operacional'!$A$1:$P$1,0)),
IF($H9="GIROSSOL II e III",AP9/INDEX('Resumo Operacional'!$A$1:$P$1103,53,MATCH('Detalhe Por UC'!$R9,'Resumo Operacional'!$A$1:$P$1,0)),
""))</f>
        <v>1.333575801660908E-2</v>
      </c>
      <c r="V9" s="67"/>
      <c r="W9" s="67"/>
      <c r="X9" s="35">
        <v>1.1162365591397849</v>
      </c>
      <c r="Y9" s="35">
        <v>0</v>
      </c>
      <c r="Z9" s="35">
        <v>1.0655555555555554</v>
      </c>
      <c r="AA9" s="35">
        <v>0</v>
      </c>
      <c r="AB9" s="35">
        <v>93</v>
      </c>
      <c r="AC9" s="35">
        <v>0</v>
      </c>
      <c r="AD9" s="35">
        <v>45</v>
      </c>
      <c r="AE9" s="35">
        <v>0</v>
      </c>
      <c r="AF9" s="35">
        <v>757</v>
      </c>
      <c r="AG9" s="35">
        <v>0</v>
      </c>
      <c r="AH9" s="35">
        <v>17.16</v>
      </c>
      <c r="AI9" s="35">
        <v>0</v>
      </c>
      <c r="AJ9" s="35">
        <v>0</v>
      </c>
      <c r="AK9" s="21"/>
      <c r="AL9"/>
      <c r="AM9" s="1"/>
      <c r="AN9" s="71">
        <f t="shared" ref="AN9:AN72" si="10">IF(X9="","",AF9-SUMIFS(AF:AF,$C:$C,$C9,$R:$R,EDATE($R9,-1)))</f>
        <v>175</v>
      </c>
      <c r="AO9" s="71">
        <f t="shared" ref="AO9:AO72" si="11">IF(X9="","",AG9-SUMIFS(AG:AG,$H:$H,$H9,$C:$C,$C9,$R:$R,EDATE($R9,-1)))</f>
        <v>0</v>
      </c>
      <c r="AP9" s="71">
        <f t="shared" ref="AP9:AP72" si="12">IFERROR(IF(D9="CRÉD. CONSUMIDO",SUM(AD9,AE9,AN9,AO9),IF(D9="GERADO",AQ9)),"")</f>
        <v>220</v>
      </c>
      <c r="AQ9" s="72">
        <f>IF(OR($H9="GIROSSOL II",$H9="GIROSSOL II e III"),INDEX('Resumo Operacional'!$A$1:$P$1103,MATCH("Energia Injetada prevista total Fatura da Usina (TUSD)",'Resumo Operacional'!$B$1:$B$1103,0),MATCH('Detalhe Por UC'!$R9,'Resumo Operacional'!$A$1:$P$1,0))*$S9,INDEX('Resumo Operacional'!$A$1:$P$1103,53,MATCH('Detalhe Por UC'!$R9,'Resumo Operacional'!$A$1:$P$1,0))*$S9)</f>
        <v>69.37</v>
      </c>
      <c r="AR9" s="71">
        <f t="shared" ref="AR9:AR72" si="13">IF(X9="","",AP9-AQ9)</f>
        <v>150.63</v>
      </c>
      <c r="AS9" s="73">
        <f t="shared" ref="AS9:AS72" si="14">IFERROR((X9*AB9-Z9*AD9+Y9*AC9-AA9*AE9)+AH9+
IF(F9&lt;&gt;"BT",0,
IF(AND(G9="trifasico",AD9=0,AB9&lt;100),X9*(100-(AB9-AD9)),
IF(AND(G9="bifasico",AD9=0,AB9&lt;50),X9*(50-(AB9-AD9)),
IF(AND(G9="monofasico",AD9=0,AB9&lt;30),X9*(30-(AB9-AD9)),0)))),"")</f>
        <v>73.02000000000001</v>
      </c>
      <c r="AT9" s="74">
        <f t="shared" ref="AT9:AT72" si="15">IFERROR(AS9+AI9+AJ9,"")</f>
        <v>73.02000000000001</v>
      </c>
      <c r="AU9" s="74">
        <f t="shared" ref="AU9:AU72" si="16">IFERROR((Z9*AD9+AA9*AE9)/(AD9+AE9)-((X9-Z9)*AD9+(Y9-AA9)*AE9)/(AD9+AE9),"")</f>
        <v>1.0148745519713258</v>
      </c>
      <c r="AV9" s="74">
        <f t="shared" ref="AV9:AV72" si="17">IFERROR(IF(AND(E9="FINAL-Ñ.COMP",D9="CRÉD. CONSUMIDO"),(X9*(1-J9)-(X9-Z9))*AD9+(Y9*(1-J9)-(Y9-AA9))*AE9,
IF(AND(E9="T.COMP",D9="CRÉD. CONSUMIDO"),Z9*(1-J9)*AD9+AA9*(1-J9)*AE9,
IF(AND(E9="T.S.IMP",D9="CRÉD. CONSUMIDO"),V9*(1-J9)*AD9+W9*(1-J9)*AE9,
IF(AND(E9="T.S.IMP",D9="GERADO"),V9*(1-J9)*AQ9+W9*(1-J9)*AQ9,
IF(AND(E9="T.COMP",D9="GERADO"),AU9*(1-J9)*AQ9,
IF(AND(E9="FINAL-Ñ.COMP",D9="GERADO"),(AU9*(1-J9)-(X9-Z9))*AQ9,"ERRO")))))),"")</f>
        <v>35.962499999999999</v>
      </c>
      <c r="AW9" s="74">
        <f t="shared" ref="AW9:AW72" si="18">IF(45658=R9,0,IF(
SUMIFS($BA:$BA,$C:$C,$C9,$R:$R,EDATE($R9,-1))
&gt;=0,
SUMIFS(AY:AY,$C:$C,$C9,$R:$R,EDATE($R9,-1))-SUMIFS(BA:BA,$C:$C,$C9,$R:$R,EDATE($R9,-1)),0))</f>
        <v>0</v>
      </c>
      <c r="AX9" s="74">
        <f t="shared" ref="AX9:AX72" si="19">IFERROR(IF(AND(E9="FINAL-Ñ.COMP",D9="CRÉD. CONSUMIDO"),(X9-(X9-Z9))*AD9+(Y9-(Y9-AA9))*AE9,
IF(AND(E9="T.COMP",D9="CRÉD. CONSUMIDO"),Z9*AD9+AA9*AE9,
IF(AND(E9="T.S.IMP",D9="CRÉD. CONSUMIDO"),V9*AD9+W9*AE9,
IF(AND(E9="T.S.IMP",D9="GERADO"),V9*AQ9+W9*AQ9,
IF(AND(E9="T.COMP",D9="GERADO"),AU9*AQ9,
IF(AND(E9="FINAL-Ñ.COMP",D9="GERADO"),(AU9-(X9-Z9))*AQ9,"ERRO"))))))+AW9,"")</f>
        <v>47.949999999999989</v>
      </c>
      <c r="AY9" s="74">
        <f t="shared" ref="AY9:AY72" si="20">IF(AV9=0,IF(AW9=0,"",AW9),IFERROR(ROUND(IF(SUMIFS($BA:$BA,$C:$C,$C9,$R:$R,EDATE($R9,-1))&gt;0,AV9+AW9,AV9),2),""))</f>
        <v>35.96</v>
      </c>
      <c r="AZ9" s="49">
        <v>35.96</v>
      </c>
      <c r="BA9" s="49">
        <v>35.96</v>
      </c>
      <c r="BB9" s="49">
        <v>35.96</v>
      </c>
      <c r="BC9" s="73" t="str">
        <f t="shared" ref="BC9:BC72" si="21">IF(BB9&gt;BA9,BB9-BA9,"")</f>
        <v/>
      </c>
      <c r="BD9" s="73">
        <f t="shared" ref="BD9:BD72" si="22">IF(AB9&gt;0,X9*AB9+Y9*AC9+AH9,AH9+
IF(AND(G9="trifasico",AB9-AD9=0),X9*(100-(AB9-AD9)),
IF(AND(G9="bifasico",AB9-AD9=0),X9*(50-(AB9-AD9)),
IF(AND(G9="monofasico",AB9-AD9=0),X9*(30-(AB9-AD9)),0))))</f>
        <v>120.97</v>
      </c>
      <c r="BE9" s="73">
        <f t="shared" ref="BE9:BE72" si="23">IFERROR(AS9+AV9,"")</f>
        <v>108.98250000000002</v>
      </c>
      <c r="BF9" s="77">
        <f t="shared" ref="BF9:BF72" si="24">ROUND(BD9-BE9,2)</f>
        <v>11.99</v>
      </c>
      <c r="BG9" s="77">
        <f t="shared" ref="BG9:BG72" si="25">BF9*0.3</f>
        <v>3.597</v>
      </c>
      <c r="BH9" s="77">
        <f t="shared" ref="BH9:BH72" si="26">(X9*AD9)-((X9-Z9)*AD9)</f>
        <v>47.949999999999989</v>
      </c>
      <c r="BI9" s="78">
        <f t="shared" ref="BI9:BI72" si="27">IFERROR(ROUND(IFERROR(IF(BF9=0,"",BF9/(AY9+Z9*J9*AD9+AA9*J9*AE9)),0),2),"")</f>
        <v>0.25</v>
      </c>
      <c r="BJ9" s="79">
        <f t="shared" ref="BJ9:BJ72" si="28">IFERROR(BF9/BD9,"")</f>
        <v>9.9115483177647359E-2</v>
      </c>
      <c r="BK9" s="80">
        <f t="shared" ref="BK9:BK72" si="29">IFERROR(AS9+AY9,"")</f>
        <v>108.98000000000002</v>
      </c>
      <c r="BL9" s="80">
        <f t="shared" ref="BL9:BL72" si="30">IFERROR(BD9-BK9,"")</f>
        <v>11.989999999999981</v>
      </c>
      <c r="BM9" s="79">
        <f t="shared" ref="BM9:BM72" si="31">IFERROR(IF(BL9=0,"",BL9/BD9),"")</f>
        <v>9.9115483177647193E-2</v>
      </c>
      <c r="BN9" s="81">
        <f t="shared" ref="BN9:BN72" si="32">IFERROR(IF(AD9="","",AY9/(AD9+AE9)),"")</f>
        <v>0.79911111111111111</v>
      </c>
      <c r="BO9" s="82">
        <f t="shared" ref="BO9:BO72" si="33">IF(OR(BN9="",BN9=0),"",BN9*(AD9+AE9))</f>
        <v>35.96</v>
      </c>
      <c r="BP9" s="81">
        <f t="shared" ref="BP9:BP72" si="34">IFERROR(IF(AD9="","",AY9/AD9),"")</f>
        <v>0.79911111111111111</v>
      </c>
      <c r="BQ9" s="81">
        <f t="shared" ref="BQ9:BQ72" si="35">IFERROR(BP9+(X9-Z9),"")</f>
        <v>0.84979211469534066</v>
      </c>
      <c r="BR9" s="81">
        <f t="shared" ref="BR9:BR72" si="36">IFERROR(IF(AD9="","",(X9*AD9+Y9*AE9)/(AD9+AE9)),"")</f>
        <v>1.1162365591397849</v>
      </c>
      <c r="BS9" s="82">
        <f t="shared" ref="BS9:BS72" si="37">IFERROR(IF(D9="gerado",AQ9,AD9),"")</f>
        <v>45</v>
      </c>
      <c r="BT9" s="82">
        <f t="shared" ref="BT9:BT72" si="38">IF(OR(BR9="",BR9=0),"",BR9*(AD9+AE9))</f>
        <v>50.230645161290319</v>
      </c>
      <c r="BU9" s="82">
        <f t="shared" ref="BU9:BU72" si="39">IFERROR(BS9*Z9,"")</f>
        <v>47.949999999999989</v>
      </c>
      <c r="BV9"/>
      <c r="BW9" s="82">
        <f>IFERROR(INDEX('Infos Clientes'!$T:$T,MATCH('Detalhe Por UC'!$C9,'Infos Clientes'!B:B,0)),"")</f>
        <v>99.833333333333329</v>
      </c>
      <c r="BX9" s="83">
        <f t="shared" ref="BX9:BX72" si="40">IFERROR(BW9*Q9,"")</f>
        <v>0</v>
      </c>
      <c r="BY9" s="84">
        <f t="shared" ref="BY9:BY72" si="41">IFERROR((X9-BQ9)/X9,"")</f>
        <v>0.23869890505089411</v>
      </c>
      <c r="BZ9" s="85">
        <f>IF(_xlfn.MINIFS('Detalhe Por UC'!R:R,'Detalhe Por UC'!C:C,C9,'Detalhe Por UC'!AD:AD,"&gt;"&amp;0)=0,"",_xlfn.MINIFS('Detalhe Por UC'!R:R,'Detalhe Por UC'!C:C,C9,'Detalhe Por UC'!AD:AD,"&gt;"&amp;0))</f>
        <v>45627</v>
      </c>
      <c r="CA9" s="114">
        <f ca="1">IF(OR(S9&gt;0,AD9&gt;0),IFERROR(
SUMIFS(INDIRECT("'Infos Clientes'!$W"&amp;INDEX('Infos Clientes'!$C:$C,MATCH(C9,'Infos Clientes'!$H:$H,0))&amp;":$CZ"&amp;INDEX('Infos Clientes'!$C:$C,MATCH(C9,'Infos Clientes'!$H:$H,0))),'Infos Clientes'!$W$2:$CZ$2,"&gt;"&amp;$R9-365,'Infos Clientes'!$W$2:$CZ$2,"&lt;="&amp;$R9)/
COUNTIFS(INDIRECT("'Infos Clientes'!$W"&amp;INDEX('Infos Clientes'!$C:$C,MATCH(C9,'Infos Clientes'!$H:$H,0))&amp;":$CZ"&amp;INDEX('Infos Clientes'!$C:$C,MATCH(C9,'Infos Clientes'!$H:$H,0))),"&gt;="&amp;0,'Infos Clientes'!$W$2:$CZ$2,"&gt;"&amp;$R9-365,'Infos Clientes'!$W$2:$CZ$2,"&lt;="&amp;$R9),""),"")</f>
        <v>99.833333333333329</v>
      </c>
      <c r="CB9" s="87">
        <f>VLOOKUP(C9,'Infos Clientes'!B:L,11,0)</f>
        <v>0</v>
      </c>
      <c r="CC9" s="88" t="str">
        <f t="shared" ref="CC9:CC72" si="42">"A Unidade Consumidora "&amp;C9&amp;" economizou R$"&amp;BF9&amp;" na fatura referente à "&amp;TEXT(R9,"mmm/aaaa")&amp;"  consumindo "&amp;AD9&amp;" kWh em créditos de energia renovável conforme fatura de energia. A economia foi de "&amp;$J9*100&amp;"% em relação ao que seria pago para a Energisa considerando os créditos consumidos. Atenção: Mantenha as contas da Energisa em dia para evitar cortes."</f>
        <v>A Unidade Consumidora 10/10232-7 economizou R$11,99 na fatura referente à jan/2025  consumindo 45 kWh em créditos de energia renovável conforme fatura de energia. A economia foi de 25% em relação ao que seria pago para a Energisa considerando os créditos consumidos. Atenção: Mantenha as contas da Energisa em dia para evitar cortes.</v>
      </c>
      <c r="CD9" s="40" t="s">
        <v>21</v>
      </c>
      <c r="CF9" s="115">
        <f t="shared" ref="CF9:CF72" si="43">CE9-AT9</f>
        <v>-73.02000000000001</v>
      </c>
    </row>
    <row r="10" spans="1:85" s="40" customFormat="1" ht="16.2" hidden="1" customHeight="1" x14ac:dyDescent="0.3">
      <c r="A10" s="105" t="str">
        <f>INDEX('Infos Clientes'!$D:$D,MATCH('Detalhe Por UC'!C10,'Infos Clientes'!B:B,0))</f>
        <v>IGREJA DO EVANGELHO QUADRANGULAR</v>
      </c>
      <c r="B10" s="106" t="str">
        <f>INDEX('Infos Clientes'!$F:$F,MATCH('Detalhe Por UC'!C10,'Infos Clientes'!B:B,0))</f>
        <v>62.955.505/1822-57</v>
      </c>
      <c r="C10" s="107" t="s">
        <v>25</v>
      </c>
      <c r="D10" t="s">
        <v>351</v>
      </c>
      <c r="E10" s="1" t="s">
        <v>352</v>
      </c>
      <c r="F10" s="56" t="str">
        <f>INDEX('Infos Clientes'!$I:$I,MATCH('Detalhe Por UC'!C10,'Infos Clientes'!B:B,0))</f>
        <v>BT</v>
      </c>
      <c r="G10" s="56" t="str">
        <f>INDEX('Infos Clientes'!$J:$J,MATCH('Detalhe Por UC'!C10,'Infos Clientes'!B:B,0))</f>
        <v>trifasico</v>
      </c>
      <c r="H10" s="108" t="s">
        <v>353</v>
      </c>
      <c r="I10" s="58">
        <f>IFERROR(VLOOKUP(C10,'Infos Clientes'!B:E,4,),"")</f>
        <v>319</v>
      </c>
      <c r="J10" s="109">
        <v>0.25</v>
      </c>
      <c r="K10" s="59">
        <f>INDEX('Infos Clientes'!$M:$M,MATCH('Detalhe Por UC'!C10,'Infos Clientes'!B:B,0))</f>
        <v>0.25</v>
      </c>
      <c r="L10" s="110">
        <v>0</v>
      </c>
      <c r="M10" s="56">
        <f>INDEX('Infos Clientes'!$N:$N,MATCH('Detalhe Por UC'!C10,'Infos Clientes'!B:B,0))</f>
        <v>0</v>
      </c>
      <c r="N10" s="56">
        <f t="shared" si="7"/>
        <v>0</v>
      </c>
      <c r="O10" s="56">
        <f t="shared" si="8"/>
        <v>12</v>
      </c>
      <c r="P10" s="56">
        <f t="shared" si="9"/>
        <v>0</v>
      </c>
      <c r="Q10" s="61">
        <f>IFERROR(IFERROR(INDEX('Infos Clientes'!$A$2:$V$9884,MATCH($C10,'Infos Clientes'!$B$2:$B$9884,0),MATCH(Q$8,'Infos Clientes'!$A$2:$V$2,0)),"")
+IF(OR(INDEX('Infos Clientes'!$A$2:$V$9884,MATCH($C10,'Infos Clientes'!$B$2:$B$9884,0),MATCH("Tempo de Fidelidade (meses)",'Infos Clientes'!$A$2:$V$2,0))=0,R10&gt;=MAX(R:R)),0,
ROUND((MAX(R:R)-R10)/(365/12),0)),"")</f>
        <v>0</v>
      </c>
      <c r="R10" s="111">
        <v>45658</v>
      </c>
      <c r="S10" s="112">
        <v>0.06</v>
      </c>
      <c r="T10" s="113">
        <f>IF($H10="GIROSSOL II",AP10/INDEX('Resumo Operacional'!$A$1:$P$1103,17,MATCH('Detalhe Por UC'!$R10,'Resumo Operacional'!$A$1:$P$1,0)),
IF($H10="GIROSSOL II e III",AP10/INDEX('Resumo Operacional'!$A$1:$P$1103,17,MATCH('Detalhe Por UC'!$R10,'Resumo Operacional'!$A$1:$P$1,0)),
""))</f>
        <v>9.124981980683293E-2</v>
      </c>
      <c r="U10" s="113">
        <f>IF($H10="GIROSSOL III",AP10/INDEX('Resumo Operacional'!$A$1:$P$1103,53,MATCH('Detalhe Por UC'!$R10,'Resumo Operacional'!$A$1:$P$1,0)),
IF($H10="GIROSSOL II e III",AP10/INDEX('Resumo Operacional'!$A$1:$P$1103,53,MATCH('Detalhe Por UC'!$R10,'Resumo Operacional'!$A$1:$P$1,0)),
""))</f>
        <v>7.6741225677395886E-2</v>
      </c>
      <c r="V10" s="67"/>
      <c r="W10" s="67"/>
      <c r="X10" s="35">
        <v>1.1162592592592593</v>
      </c>
      <c r="Y10" s="35">
        <v>0</v>
      </c>
      <c r="Z10" s="35">
        <v>1.0151509054325956</v>
      </c>
      <c r="AA10" s="35">
        <v>0</v>
      </c>
      <c r="AB10" s="35">
        <v>540</v>
      </c>
      <c r="AC10" s="35">
        <v>0</v>
      </c>
      <c r="AD10" s="35">
        <v>497</v>
      </c>
      <c r="AE10" s="35"/>
      <c r="AF10" s="35">
        <v>769</v>
      </c>
      <c r="AG10" s="35">
        <v>0</v>
      </c>
      <c r="AH10" s="35">
        <v>83.240000000000009</v>
      </c>
      <c r="AI10" s="35">
        <v>0</v>
      </c>
      <c r="AJ10" s="35">
        <v>0</v>
      </c>
      <c r="AK10" s="21"/>
      <c r="AL10" s="38"/>
      <c r="AM10" s="1"/>
      <c r="AN10" s="71">
        <f t="shared" si="10"/>
        <v>769</v>
      </c>
      <c r="AO10" s="71">
        <f t="shared" si="11"/>
        <v>0</v>
      </c>
      <c r="AP10" s="71">
        <f t="shared" si="12"/>
        <v>1266</v>
      </c>
      <c r="AQ10" s="72">
        <f>IF(OR($H10="GIROSSOL II",$H10="GIROSSOL II e III"),INDEX('Resumo Operacional'!$A$1:$P$1103,MATCH("Energia Injetada prevista total Fatura da Usina (TUSD)",'Resumo Operacional'!$B$1:$B$1103,0),MATCH('Detalhe Por UC'!$R10,'Resumo Operacional'!$A$1:$P$1,0))*$S10,INDEX('Resumo Operacional'!$A$1:$P$1103,53,MATCH('Detalhe Por UC'!$R10,'Resumo Operacional'!$A$1:$P$1,0))*$S10)</f>
        <v>832.43999999999994</v>
      </c>
      <c r="AR10" s="71">
        <f t="shared" si="13"/>
        <v>433.56000000000006</v>
      </c>
      <c r="AS10" s="73">
        <f t="shared" si="14"/>
        <v>181.49</v>
      </c>
      <c r="AT10" s="74">
        <f t="shared" si="15"/>
        <v>181.49</v>
      </c>
      <c r="AU10" s="74">
        <f t="shared" si="16"/>
        <v>0.91404255160593184</v>
      </c>
      <c r="AV10" s="74">
        <f t="shared" si="17"/>
        <v>378.39749999999998</v>
      </c>
      <c r="AW10" s="74">
        <f t="shared" si="18"/>
        <v>0</v>
      </c>
      <c r="AX10" s="74">
        <f t="shared" si="19"/>
        <v>504.53</v>
      </c>
      <c r="AY10" s="74">
        <f t="shared" si="20"/>
        <v>378.4</v>
      </c>
      <c r="AZ10" s="49">
        <v>378.4</v>
      </c>
      <c r="BA10" s="49">
        <v>378.4</v>
      </c>
      <c r="BB10" s="49">
        <v>378.4</v>
      </c>
      <c r="BC10" s="73" t="str">
        <f t="shared" si="21"/>
        <v/>
      </c>
      <c r="BD10" s="73">
        <f t="shared" si="22"/>
        <v>686.02</v>
      </c>
      <c r="BE10" s="73">
        <f t="shared" si="23"/>
        <v>559.88750000000005</v>
      </c>
      <c r="BF10" s="77">
        <f t="shared" si="24"/>
        <v>126.13</v>
      </c>
      <c r="BG10" s="77">
        <f t="shared" si="25"/>
        <v>37.838999999999999</v>
      </c>
      <c r="BH10" s="77">
        <f t="shared" si="26"/>
        <v>504.53</v>
      </c>
      <c r="BI10" s="78">
        <f t="shared" si="27"/>
        <v>0.25</v>
      </c>
      <c r="BJ10" s="79">
        <f t="shared" si="28"/>
        <v>0.18385761348065655</v>
      </c>
      <c r="BK10" s="80">
        <f t="shared" si="29"/>
        <v>559.89</v>
      </c>
      <c r="BL10" s="80">
        <f t="shared" si="30"/>
        <v>126.13</v>
      </c>
      <c r="BM10" s="79">
        <f t="shared" si="31"/>
        <v>0.18385761348065655</v>
      </c>
      <c r="BN10" s="81">
        <f t="shared" si="32"/>
        <v>0.76136820925553317</v>
      </c>
      <c r="BO10" s="82">
        <f t="shared" si="33"/>
        <v>378.4</v>
      </c>
      <c r="BP10" s="81">
        <f t="shared" si="34"/>
        <v>0.76136820925553317</v>
      </c>
      <c r="BQ10" s="81">
        <f t="shared" si="35"/>
        <v>0.86247656308219689</v>
      </c>
      <c r="BR10" s="81">
        <f t="shared" si="36"/>
        <v>1.1162592592592593</v>
      </c>
      <c r="BS10" s="82">
        <f t="shared" si="37"/>
        <v>497</v>
      </c>
      <c r="BT10" s="82">
        <f t="shared" si="38"/>
        <v>554.78085185185182</v>
      </c>
      <c r="BU10" s="82">
        <f t="shared" si="39"/>
        <v>504.53</v>
      </c>
      <c r="BV10"/>
      <c r="BW10" s="82">
        <f>IFERROR(INDEX('Infos Clientes'!$T:$T,MATCH('Detalhe Por UC'!$C10,'Infos Clientes'!B:B,0)),"")</f>
        <v>453.58333333333331</v>
      </c>
      <c r="BX10" s="83">
        <f t="shared" si="40"/>
        <v>0</v>
      </c>
      <c r="BY10" s="84">
        <f t="shared" si="41"/>
        <v>0.2273510334377612</v>
      </c>
      <c r="BZ10" s="85">
        <f>IF(_xlfn.MINIFS('Detalhe Por UC'!R:R,'Detalhe Por UC'!C:C,C10,'Detalhe Por UC'!AD:AD,"&gt;"&amp;0)=0,"",_xlfn.MINIFS('Detalhe Por UC'!R:R,'Detalhe Por UC'!C:C,C10,'Detalhe Por UC'!AD:AD,"&gt;"&amp;0))</f>
        <v>45627</v>
      </c>
      <c r="CA10" s="114">
        <f ca="1">IF(OR(S10&gt;0,AD10&gt;0),IFERROR(
SUMIFS(INDIRECT("'Infos Clientes'!$W"&amp;INDEX('Infos Clientes'!$C:$C,MATCH(C10,'Infos Clientes'!$H:$H,0))&amp;":$CZ"&amp;INDEX('Infos Clientes'!$C:$C,MATCH(C10,'Infos Clientes'!$H:$H,0))),'Infos Clientes'!$W$2:$CZ$2,"&gt;"&amp;$R10-365,'Infos Clientes'!$W$2:$CZ$2,"&lt;="&amp;$R10)/
COUNTIFS(INDIRECT("'Infos Clientes'!$W"&amp;INDEX('Infos Clientes'!$C:$C,MATCH(C10,'Infos Clientes'!$H:$H,0))&amp;":$CZ"&amp;INDEX('Infos Clientes'!$C:$C,MATCH(C10,'Infos Clientes'!$H:$H,0))),"&gt;="&amp;0,'Infos Clientes'!$W$2:$CZ$2,"&gt;"&amp;$R10-365,'Infos Clientes'!$W$2:$CZ$2,"&lt;="&amp;$R10),""),"")</f>
        <v>453.58333333333331</v>
      </c>
      <c r="CB10" s="87">
        <f>VLOOKUP(C10,'Infos Clientes'!B:L,11,0)</f>
        <v>0</v>
      </c>
      <c r="CC10" s="88" t="str">
        <f t="shared" si="42"/>
        <v>A Unidade Consumidora 10/1035655-8 economizou R$126,13 na fatura referente à jan/2025  consumindo 497 kWh em créditos de energia renovável conforme fatura de energia. A economia foi de 25% em relação ao que seria pago para a Energisa considerando os créditos consumidos. Atenção: Mantenha as contas da Energisa em dia para evitar cortes.</v>
      </c>
      <c r="CD10" s="40" t="s">
        <v>27</v>
      </c>
      <c r="CF10" s="115">
        <f t="shared" si="43"/>
        <v>-181.49</v>
      </c>
    </row>
    <row r="11" spans="1:85" s="104" customFormat="1" ht="16.2" hidden="1" customHeight="1" x14ac:dyDescent="0.3">
      <c r="A11" s="105" t="str">
        <f>INDEX('Infos Clientes'!$D:$D,MATCH('Detalhe Por UC'!C11,'Infos Clientes'!B:B,0))</f>
        <v>IGREJA DO EVANGELHO QUADRANGULAR</v>
      </c>
      <c r="B11" s="106" t="str">
        <f>INDEX('Infos Clientes'!$F:$F,MATCH('Detalhe Por UC'!C11,'Infos Clientes'!B:B,0))</f>
        <v>62.955.505/8921-14</v>
      </c>
      <c r="C11" s="107" t="s">
        <v>29</v>
      </c>
      <c r="D11" t="s">
        <v>351</v>
      </c>
      <c r="E11" s="1" t="s">
        <v>352</v>
      </c>
      <c r="F11" s="56" t="str">
        <f>INDEX('Infos Clientes'!$I:$I,MATCH('Detalhe Por UC'!C11,'Infos Clientes'!B:B,0))</f>
        <v>BT</v>
      </c>
      <c r="G11" s="56" t="str">
        <f>INDEX('Infos Clientes'!$J:$J,MATCH('Detalhe Por UC'!C11,'Infos Clientes'!B:B,0))</f>
        <v>trifasico</v>
      </c>
      <c r="H11" s="108" t="s">
        <v>353</v>
      </c>
      <c r="I11" s="58">
        <f>IFERROR(VLOOKUP(C11,'Infos Clientes'!B:E,4,),"")</f>
        <v>362</v>
      </c>
      <c r="J11" s="109">
        <v>0.25</v>
      </c>
      <c r="K11" s="59">
        <f>INDEX('Infos Clientes'!$M:$M,MATCH('Detalhe Por UC'!C11,'Infos Clientes'!B:B,0))</f>
        <v>0.25</v>
      </c>
      <c r="L11" s="110">
        <v>0</v>
      </c>
      <c r="M11" s="56">
        <f>INDEX('Infos Clientes'!$N:$N,MATCH('Detalhe Por UC'!C11,'Infos Clientes'!B:B,0))</f>
        <v>0</v>
      </c>
      <c r="N11" s="56">
        <f t="shared" si="7"/>
        <v>0</v>
      </c>
      <c r="O11" s="56">
        <f t="shared" si="8"/>
        <v>12</v>
      </c>
      <c r="P11" s="56">
        <f t="shared" si="9"/>
        <v>0</v>
      </c>
      <c r="Q11" s="61">
        <f>IFERROR(IFERROR(INDEX('Infos Clientes'!$A$2:$V$9884,MATCH($C11,'Infos Clientes'!$B$2:$B$9884,0),MATCH(Q$8,'Infos Clientes'!$A$2:$V$2,0)),"")
+IF(OR(INDEX('Infos Clientes'!$A$2:$V$9884,MATCH($C11,'Infos Clientes'!$B$2:$B$9884,0),MATCH("Tempo de Fidelidade (meses)",'Infos Clientes'!$A$2:$V$2,0))=0,R11&gt;=MAX(R:R)),0,
ROUND((MAX(R:R)-R11)/(365/12),0)),"")</f>
        <v>0</v>
      </c>
      <c r="R11" s="111">
        <v>45658</v>
      </c>
      <c r="S11" s="112">
        <v>5.0000000000000001E-3</v>
      </c>
      <c r="T11" s="113">
        <f>IF($H11="GIROSSOL II",AP11/INDEX('Resumo Operacional'!$A$1:$P$1103,17,MATCH('Detalhe Por UC'!$R11,'Resumo Operacional'!$A$1:$P$1,0)),
IF($H11="GIROSSOL II e III",AP11/INDEX('Resumo Operacional'!$A$1:$P$1103,17,MATCH('Detalhe Por UC'!$R11,'Resumo Operacional'!$A$1:$P$1,0)),
""))</f>
        <v>1.5856998702609197E-2</v>
      </c>
      <c r="U11" s="113">
        <f>IF($H11="GIROSSOL III",AP11/INDEX('Resumo Operacional'!$A$1:$P$1103,53,MATCH('Detalhe Por UC'!$R11,'Resumo Operacional'!$A$1:$P$1,0)),
IF($H11="GIROSSOL II e III",AP11/INDEX('Resumo Operacional'!$A$1:$P$1103,53,MATCH('Detalhe Por UC'!$R11,'Resumo Operacional'!$A$1:$P$1,0)),
""))</f>
        <v>1.333575801660908E-2</v>
      </c>
      <c r="V11" s="12"/>
      <c r="W11" s="12"/>
      <c r="X11" s="35">
        <v>1.1162411347517729</v>
      </c>
      <c r="Y11" s="35">
        <v>0</v>
      </c>
      <c r="Z11" s="35">
        <v>1.0662694300518134</v>
      </c>
      <c r="AA11" s="35">
        <v>0</v>
      </c>
      <c r="AB11" s="35">
        <v>282</v>
      </c>
      <c r="AC11" s="35">
        <v>0</v>
      </c>
      <c r="AD11" s="35">
        <v>193</v>
      </c>
      <c r="AE11" s="35"/>
      <c r="AF11" s="35">
        <v>438</v>
      </c>
      <c r="AG11" s="35">
        <v>0</v>
      </c>
      <c r="AH11" s="35">
        <v>45.19</v>
      </c>
      <c r="AI11" s="35">
        <v>0</v>
      </c>
      <c r="AJ11" s="35">
        <v>0</v>
      </c>
      <c r="AK11" s="12"/>
      <c r="AL11" s="38"/>
      <c r="AM11" s="1"/>
      <c r="AN11" s="71">
        <f t="shared" si="10"/>
        <v>27</v>
      </c>
      <c r="AO11" s="71">
        <f t="shared" si="11"/>
        <v>0</v>
      </c>
      <c r="AP11" s="71">
        <f t="shared" si="12"/>
        <v>220</v>
      </c>
      <c r="AQ11" s="72">
        <f>IF(OR($H11="GIROSSOL II",$H11="GIROSSOL II e III"),INDEX('Resumo Operacional'!$A$1:$P$1103,MATCH("Energia Injetada prevista total Fatura da Usina (TUSD)",'Resumo Operacional'!$B$1:$B$1103,0),MATCH('Detalhe Por UC'!$R11,'Resumo Operacional'!$A$1:$P$1,0))*$S11,INDEX('Resumo Operacional'!$A$1:$P$1103,53,MATCH('Detalhe Por UC'!$R11,'Resumo Operacional'!$A$1:$P$1,0))*$S11)</f>
        <v>69.37</v>
      </c>
      <c r="AR11" s="71">
        <f t="shared" si="13"/>
        <v>150.63</v>
      </c>
      <c r="AS11" s="73">
        <f t="shared" si="14"/>
        <v>154.17999999999998</v>
      </c>
      <c r="AT11" s="74">
        <f t="shared" si="15"/>
        <v>154.17999999999998</v>
      </c>
      <c r="AU11" s="74">
        <f t="shared" si="16"/>
        <v>1.0162977253518539</v>
      </c>
      <c r="AV11" s="74">
        <f t="shared" si="17"/>
        <v>154.3425</v>
      </c>
      <c r="AW11" s="74">
        <f t="shared" si="18"/>
        <v>0</v>
      </c>
      <c r="AX11" s="74">
        <f t="shared" si="19"/>
        <v>205.79</v>
      </c>
      <c r="AY11" s="74">
        <f t="shared" si="20"/>
        <v>154.34</v>
      </c>
      <c r="AZ11" s="49">
        <v>154.34</v>
      </c>
      <c r="BA11" s="49">
        <v>154.34</v>
      </c>
      <c r="BB11" s="49">
        <v>154.34</v>
      </c>
      <c r="BC11" s="73" t="str">
        <f t="shared" si="21"/>
        <v/>
      </c>
      <c r="BD11" s="73">
        <f t="shared" si="22"/>
        <v>359.96999999999997</v>
      </c>
      <c r="BE11" s="73">
        <f t="shared" si="23"/>
        <v>308.52249999999998</v>
      </c>
      <c r="BF11" s="77">
        <f t="shared" si="24"/>
        <v>51.45</v>
      </c>
      <c r="BG11" s="77">
        <f t="shared" si="25"/>
        <v>15.435</v>
      </c>
      <c r="BH11" s="77">
        <f t="shared" si="26"/>
        <v>205.78999999999996</v>
      </c>
      <c r="BI11" s="78">
        <f t="shared" si="27"/>
        <v>0.25</v>
      </c>
      <c r="BJ11" s="79">
        <f t="shared" si="28"/>
        <v>0.14292857738144849</v>
      </c>
      <c r="BK11" s="80">
        <f t="shared" si="29"/>
        <v>308.52</v>
      </c>
      <c r="BL11" s="80">
        <f t="shared" si="30"/>
        <v>51.449999999999989</v>
      </c>
      <c r="BM11" s="79">
        <f t="shared" si="31"/>
        <v>0.14292857738144843</v>
      </c>
      <c r="BN11" s="81">
        <f t="shared" si="32"/>
        <v>0.79968911917098451</v>
      </c>
      <c r="BO11" s="82">
        <f t="shared" si="33"/>
        <v>154.34</v>
      </c>
      <c r="BP11" s="81">
        <f t="shared" si="34"/>
        <v>0.79968911917098451</v>
      </c>
      <c r="BQ11" s="81">
        <f t="shared" si="35"/>
        <v>0.84966082387094399</v>
      </c>
      <c r="BR11" s="81">
        <f t="shared" si="36"/>
        <v>1.1162411347517729</v>
      </c>
      <c r="BS11" s="82">
        <f t="shared" si="37"/>
        <v>193</v>
      </c>
      <c r="BT11" s="82">
        <f t="shared" si="38"/>
        <v>215.43453900709216</v>
      </c>
      <c r="BU11" s="82">
        <f t="shared" si="39"/>
        <v>205.79</v>
      </c>
      <c r="BV11"/>
      <c r="BW11" s="82">
        <f>IFERROR(INDEX('Infos Clientes'!$T:$T,MATCH('Detalhe Por UC'!$C11,'Infos Clientes'!B:B,0)),"")</f>
        <v>178.41666666666666</v>
      </c>
      <c r="BX11" s="83">
        <f t="shared" si="40"/>
        <v>0</v>
      </c>
      <c r="BY11" s="84">
        <f t="shared" si="41"/>
        <v>0.23881964441322118</v>
      </c>
      <c r="BZ11" s="85">
        <f>IF(_xlfn.MINIFS('Detalhe Por UC'!R:R,'Detalhe Por UC'!C:C,C11,'Detalhe Por UC'!AD:AD,"&gt;"&amp;0)=0,"",_xlfn.MINIFS('Detalhe Por UC'!R:R,'Detalhe Por UC'!C:C,C11,'Detalhe Por UC'!AD:AD,"&gt;"&amp;0))</f>
        <v>45627</v>
      </c>
      <c r="CA11" s="114">
        <f ca="1">IF(OR(S11&gt;0,AD11&gt;0),IFERROR(
SUMIFS(INDIRECT("'Infos Clientes'!$W"&amp;INDEX('Infos Clientes'!$C:$C,MATCH(C11,'Infos Clientes'!$H:$H,0))&amp;":$CZ"&amp;INDEX('Infos Clientes'!$C:$C,MATCH(C11,'Infos Clientes'!$H:$H,0))),'Infos Clientes'!$W$2:$CZ$2,"&gt;"&amp;$R11-365,'Infos Clientes'!$W$2:$CZ$2,"&lt;="&amp;$R11)/
COUNTIFS(INDIRECT("'Infos Clientes'!$W"&amp;INDEX('Infos Clientes'!$C:$C,MATCH(C11,'Infos Clientes'!$H:$H,0))&amp;":$CZ"&amp;INDEX('Infos Clientes'!$C:$C,MATCH(C11,'Infos Clientes'!$H:$H,0))),"&gt;="&amp;0,'Infos Clientes'!$W$2:$CZ$2,"&gt;"&amp;$R11-365,'Infos Clientes'!$W$2:$CZ$2,"&lt;="&amp;$R11),""),"")</f>
        <v>178.41666666666666</v>
      </c>
      <c r="CB11" s="87">
        <f>VLOOKUP(C11,'Infos Clientes'!B:L,11,0)</f>
        <v>0</v>
      </c>
      <c r="CC11" s="88" t="str">
        <f t="shared" si="42"/>
        <v>A Unidade Consumidora 10/1117293-9 economizou R$51,45 na fatura referente à jan/2025  consumindo 193 kWh em créditos de energia renovável conforme fatura de energia. A economia foi de 25% em relação ao que seria pago para a Energisa considerando os créditos consumidos. Atenção: Mantenha as contas da Energisa em dia para evitar cortes.</v>
      </c>
      <c r="CD11" s="40" t="s">
        <v>31</v>
      </c>
      <c r="CF11" s="115">
        <f t="shared" si="43"/>
        <v>-154.17999999999998</v>
      </c>
    </row>
    <row r="12" spans="1:85" s="104" customFormat="1" ht="16.2" hidden="1" customHeight="1" x14ac:dyDescent="0.3">
      <c r="A12" s="105" t="str">
        <f>INDEX('Infos Clientes'!$D:$D,MATCH('Detalhe Por UC'!C12,'Infos Clientes'!B:B,0))</f>
        <v>IGREJA DO EVANGELHO QUADRANGULAR</v>
      </c>
      <c r="B12" s="106" t="str">
        <f>INDEX('Infos Clientes'!$F:$F,MATCH('Detalhe Por UC'!C12,'Infos Clientes'!B:B,0))</f>
        <v>62.955.505/0156-01</v>
      </c>
      <c r="C12" s="31" t="s">
        <v>32</v>
      </c>
      <c r="D12" t="s">
        <v>351</v>
      </c>
      <c r="E12" s="1" t="s">
        <v>352</v>
      </c>
      <c r="F12" s="56" t="str">
        <f>INDEX('Infos Clientes'!$I:$I,MATCH('Detalhe Por UC'!C12,'Infos Clientes'!B:B,0))</f>
        <v>BT</v>
      </c>
      <c r="G12" s="56" t="str">
        <f>INDEX('Infos Clientes'!$J:$J,MATCH('Detalhe Por UC'!C12,'Infos Clientes'!B:B,0))</f>
        <v>trifasico</v>
      </c>
      <c r="H12" s="108" t="s">
        <v>24</v>
      </c>
      <c r="I12" s="58">
        <f>IFERROR(VLOOKUP(C12,'Infos Clientes'!B:E,4,),"")</f>
        <v>319</v>
      </c>
      <c r="J12" s="109">
        <v>0.25</v>
      </c>
      <c r="K12" s="59">
        <f>INDEX('Infos Clientes'!$M:$M,MATCH('Detalhe Por UC'!C12,'Infos Clientes'!B:B,0))</f>
        <v>0.25</v>
      </c>
      <c r="L12" s="110">
        <v>0</v>
      </c>
      <c r="M12" s="56">
        <f>INDEX('Infos Clientes'!$N:$N,MATCH('Detalhe Por UC'!C12,'Infos Clientes'!B:B,0))</f>
        <v>0</v>
      </c>
      <c r="N12" s="56">
        <f t="shared" si="7"/>
        <v>0</v>
      </c>
      <c r="O12" s="56">
        <f t="shared" si="8"/>
        <v>9</v>
      </c>
      <c r="P12" s="56">
        <f t="shared" si="9"/>
        <v>0</v>
      </c>
      <c r="Q12" s="61">
        <f>IFERROR(IFERROR(INDEX('Infos Clientes'!$A$2:$V$9884,MATCH($C12,'Infos Clientes'!$B$2:$B$9884,0),MATCH(Q$8,'Infos Clientes'!$A$2:$V$2,0)),"")
+IF(OR(INDEX('Infos Clientes'!$A$2:$V$9884,MATCH($C12,'Infos Clientes'!$B$2:$B$9884,0),MATCH("Tempo de Fidelidade (meses)",'Infos Clientes'!$A$2:$V$2,0))=0,R12&gt;=MAX(R:R)),0,
ROUND((MAX(R:R)-R12)/(365/12),0)),"")</f>
        <v>0</v>
      </c>
      <c r="R12" s="111">
        <v>45658</v>
      </c>
      <c r="S12" s="112">
        <v>0</v>
      </c>
      <c r="T12" s="113">
        <f>IF($H12="GIROSSOL II",AP12/INDEX('Resumo Operacional'!$A$1:$P$1103,17,MATCH('Detalhe Por UC'!$R12,'Resumo Operacional'!$A$1:$P$1,0)),
IF($H12="GIROSSOL II e III",AP12/INDEX('Resumo Operacional'!$A$1:$P$1103,17,MATCH('Detalhe Por UC'!$R12,'Resumo Operacional'!$A$1:$P$1,0)),
""))</f>
        <v>8.8655038200951414E-3</v>
      </c>
      <c r="U12" s="113" t="str">
        <f>IF($H12="GIROSSOL III",AP12/INDEX('Resumo Operacional'!$A$1:$P$1103,53,MATCH('Detalhe Por UC'!$R12,'Resumo Operacional'!$A$1:$P$1,0)),
IF($H12="GIROSSOL II e III",AP12/INDEX('Resumo Operacional'!$A$1:$P$1103,53,MATCH('Detalhe Por UC'!$R12,'Resumo Operacional'!$A$1:$P$1,0)),
""))</f>
        <v/>
      </c>
      <c r="V12" s="12"/>
      <c r="W12" s="12"/>
      <c r="X12" s="35">
        <v>1.1162450592885376</v>
      </c>
      <c r="Y12" s="35">
        <v>0</v>
      </c>
      <c r="Z12" s="35">
        <v>1.1162601626016262</v>
      </c>
      <c r="AA12" s="35">
        <v>0</v>
      </c>
      <c r="AB12" s="35">
        <v>253</v>
      </c>
      <c r="AC12" s="35">
        <v>0</v>
      </c>
      <c r="AD12" s="35">
        <v>123</v>
      </c>
      <c r="AE12" s="35"/>
      <c r="AF12" s="35">
        <v>0</v>
      </c>
      <c r="AG12" s="35">
        <v>0</v>
      </c>
      <c r="AH12" s="35">
        <v>27.75</v>
      </c>
      <c r="AI12" s="35">
        <v>0</v>
      </c>
      <c r="AJ12" s="35">
        <v>0</v>
      </c>
      <c r="AK12" s="12"/>
      <c r="AL12" s="38"/>
      <c r="AM12" s="1"/>
      <c r="AN12" s="71">
        <f t="shared" si="10"/>
        <v>0</v>
      </c>
      <c r="AO12" s="71">
        <f t="shared" si="11"/>
        <v>0</v>
      </c>
      <c r="AP12" s="71">
        <f t="shared" si="12"/>
        <v>123</v>
      </c>
      <c r="AQ12" s="72">
        <f>IF(OR($H12="GIROSSOL II",$H12="GIROSSOL II e III"),INDEX('Resumo Operacional'!$A$1:$P$1103,MATCH("Energia Injetada prevista total Fatura da Usina (TUSD)",'Resumo Operacional'!$B$1:$B$1103,0),MATCH('Detalhe Por UC'!$R12,'Resumo Operacional'!$A$1:$P$1,0))*$S12,INDEX('Resumo Operacional'!$A$1:$P$1103,53,MATCH('Detalhe Por UC'!$R12,'Resumo Operacional'!$A$1:$P$1,0))*$S12)</f>
        <v>0</v>
      </c>
      <c r="AR12" s="71">
        <f t="shared" si="13"/>
        <v>123</v>
      </c>
      <c r="AS12" s="73">
        <f t="shared" si="14"/>
        <v>172.86</v>
      </c>
      <c r="AT12" s="74">
        <f t="shared" si="15"/>
        <v>172.86</v>
      </c>
      <c r="AU12" s="74">
        <f t="shared" si="16"/>
        <v>1.1162752659147148</v>
      </c>
      <c r="AV12" s="74">
        <f t="shared" si="17"/>
        <v>102.97500000000002</v>
      </c>
      <c r="AW12" s="74">
        <f t="shared" si="18"/>
        <v>0</v>
      </c>
      <c r="AX12" s="74">
        <f t="shared" si="19"/>
        <v>137.30000000000001</v>
      </c>
      <c r="AY12" s="74">
        <f t="shared" si="20"/>
        <v>102.98</v>
      </c>
      <c r="AZ12" s="49">
        <v>102.98</v>
      </c>
      <c r="BA12" s="49">
        <v>102.98</v>
      </c>
      <c r="BB12" s="49">
        <v>102.98</v>
      </c>
      <c r="BC12" s="73" t="str">
        <f t="shared" si="21"/>
        <v/>
      </c>
      <c r="BD12" s="73">
        <f t="shared" si="22"/>
        <v>310.16000000000003</v>
      </c>
      <c r="BE12" s="73">
        <f t="shared" si="23"/>
        <v>275.83500000000004</v>
      </c>
      <c r="BF12" s="77">
        <f t="shared" si="24"/>
        <v>34.33</v>
      </c>
      <c r="BG12" s="77">
        <f t="shared" si="25"/>
        <v>10.298999999999999</v>
      </c>
      <c r="BH12" s="77">
        <f t="shared" si="26"/>
        <v>137.30000000000004</v>
      </c>
      <c r="BI12" s="78">
        <f t="shared" si="27"/>
        <v>0.25</v>
      </c>
      <c r="BJ12" s="79">
        <f t="shared" si="28"/>
        <v>0.11068480784111424</v>
      </c>
      <c r="BK12" s="80">
        <f t="shared" si="29"/>
        <v>275.84000000000003</v>
      </c>
      <c r="BL12" s="80">
        <f t="shared" si="30"/>
        <v>34.319999999999993</v>
      </c>
      <c r="BM12" s="79">
        <f t="shared" si="31"/>
        <v>0.11065256641733295</v>
      </c>
      <c r="BN12" s="81">
        <f t="shared" si="32"/>
        <v>0.83723577235772362</v>
      </c>
      <c r="BO12" s="82">
        <f t="shared" si="33"/>
        <v>102.98</v>
      </c>
      <c r="BP12" s="81">
        <f t="shared" si="34"/>
        <v>0.83723577235772362</v>
      </c>
      <c r="BQ12" s="81">
        <f t="shared" si="35"/>
        <v>0.83722066904463499</v>
      </c>
      <c r="BR12" s="81">
        <f t="shared" si="36"/>
        <v>1.1162450592885376</v>
      </c>
      <c r="BS12" s="82">
        <f t="shared" si="37"/>
        <v>123</v>
      </c>
      <c r="BT12" s="82">
        <f t="shared" si="38"/>
        <v>137.29814229249013</v>
      </c>
      <c r="BU12" s="82">
        <f t="shared" si="39"/>
        <v>137.30000000000001</v>
      </c>
      <c r="BV12"/>
      <c r="BW12" s="82">
        <f>IFERROR(INDEX('Infos Clientes'!$T:$T,MATCH('Detalhe Por UC'!$C12,'Infos Clientes'!B:B,0)),"")</f>
        <v>236.08333333333334</v>
      </c>
      <c r="BX12" s="83">
        <f t="shared" si="40"/>
        <v>0</v>
      </c>
      <c r="BY12" s="84">
        <f t="shared" si="41"/>
        <v>0.24996696551718195</v>
      </c>
      <c r="BZ12" s="85">
        <f>IF(_xlfn.MINIFS('Detalhe Por UC'!R:R,'Detalhe Por UC'!C:C,C12,'Detalhe Por UC'!AD:AD,"&gt;"&amp;0)=0,"",_xlfn.MINIFS('Detalhe Por UC'!R:R,'Detalhe Por UC'!C:C,C12,'Detalhe Por UC'!AD:AD,"&gt;"&amp;0))</f>
        <v>45627</v>
      </c>
      <c r="CA12" s="114">
        <f ca="1">IF(OR(S12&gt;0,AD12&gt;0),IFERROR(
SUMIFS(INDIRECT("'Infos Clientes'!$W"&amp;INDEX('Infos Clientes'!$C:$C,MATCH(C12,'Infos Clientes'!$H:$H,0))&amp;":$CZ"&amp;INDEX('Infos Clientes'!$C:$C,MATCH(C12,'Infos Clientes'!$H:$H,0))),'Infos Clientes'!$W$2:$CZ$2,"&gt;"&amp;$R12-365,'Infos Clientes'!$W$2:$CZ$2,"&lt;="&amp;$R12)/
COUNTIFS(INDIRECT("'Infos Clientes'!$W"&amp;INDEX('Infos Clientes'!$C:$C,MATCH(C12,'Infos Clientes'!$H:$H,0))&amp;":$CZ"&amp;INDEX('Infos Clientes'!$C:$C,MATCH(C12,'Infos Clientes'!$H:$H,0))),"&gt;="&amp;0,'Infos Clientes'!$W$2:$CZ$2,"&gt;"&amp;$R12-365,'Infos Clientes'!$W$2:$CZ$2,"&lt;="&amp;$R12),""),"")</f>
        <v>236.08333333333334</v>
      </c>
      <c r="CB12" s="87">
        <f>VLOOKUP(C12,'Infos Clientes'!B:L,11,0)</f>
        <v>0</v>
      </c>
      <c r="CC12" s="88" t="str">
        <f t="shared" si="42"/>
        <v>A Unidade Consumidora 10/113971-6 economizou R$34,33 na fatura referente à jan/2025  consumindo 123 kWh em créditos de energia renovável conforme fatura de energia. A economia foi de 25% em relação ao que seria pago para a Energisa considerando os créditos consumidos. Atenção: Mantenha as contas da Energisa em dia para evitar cortes.</v>
      </c>
      <c r="CD12" s="40" t="s">
        <v>34</v>
      </c>
      <c r="CF12" s="115">
        <f t="shared" si="43"/>
        <v>-172.86</v>
      </c>
    </row>
    <row r="13" spans="1:85" s="104" customFormat="1" ht="16.2" hidden="1" customHeight="1" x14ac:dyDescent="0.3">
      <c r="A13" s="105" t="str">
        <f>INDEX('Infos Clientes'!$D:$D,MATCH('Detalhe Por UC'!C13,'Infos Clientes'!B:B,0))</f>
        <v>IGREJA DO EVANGELHO QUADRANGULAR</v>
      </c>
      <c r="B13" s="106" t="str">
        <f>INDEX('Infos Clientes'!$F:$F,MATCH('Detalhe Por UC'!C13,'Infos Clientes'!B:B,0))</f>
        <v>62.955.505/1490-47</v>
      </c>
      <c r="C13" s="31" t="s">
        <v>35</v>
      </c>
      <c r="D13" t="s">
        <v>351</v>
      </c>
      <c r="E13" s="1" t="s">
        <v>352</v>
      </c>
      <c r="F13" s="56" t="str">
        <f>INDEX('Infos Clientes'!$I:$I,MATCH('Detalhe Por UC'!C13,'Infos Clientes'!B:B,0))</f>
        <v>BT</v>
      </c>
      <c r="G13" s="56" t="str">
        <f>INDEX('Infos Clientes'!$J:$J,MATCH('Detalhe Por UC'!C13,'Infos Clientes'!B:B,0))</f>
        <v>trifasico</v>
      </c>
      <c r="H13" s="108" t="s">
        <v>24</v>
      </c>
      <c r="I13" s="58">
        <f>IFERROR(VLOOKUP(C13,'Infos Clientes'!B:E,4,),"")</f>
        <v>319</v>
      </c>
      <c r="J13" s="109">
        <v>0.25</v>
      </c>
      <c r="K13" s="59">
        <f>INDEX('Infos Clientes'!$M:$M,MATCH('Detalhe Por UC'!C13,'Infos Clientes'!B:B,0))</f>
        <v>0.25</v>
      </c>
      <c r="L13" s="110">
        <v>0</v>
      </c>
      <c r="M13" s="56">
        <f>INDEX('Infos Clientes'!$N:$N,MATCH('Detalhe Por UC'!C13,'Infos Clientes'!B:B,0))</f>
        <v>0</v>
      </c>
      <c r="N13" s="56">
        <f t="shared" si="7"/>
        <v>0</v>
      </c>
      <c r="O13" s="56">
        <f t="shared" si="8"/>
        <v>12</v>
      </c>
      <c r="P13" s="56">
        <f t="shared" si="9"/>
        <v>0</v>
      </c>
      <c r="Q13" s="61">
        <f>IFERROR(IFERROR(INDEX('Infos Clientes'!$A$2:$V$9884,MATCH($C13,'Infos Clientes'!$B$2:$B$9884,0),MATCH(Q$8,'Infos Clientes'!$A$2:$V$2,0)),"")
+IF(OR(INDEX('Infos Clientes'!$A$2:$V$9884,MATCH($C13,'Infos Clientes'!$B$2:$B$9884,0),MATCH("Tempo de Fidelidade (meses)",'Infos Clientes'!$A$2:$V$2,0))=0,R13&gt;=MAX(R:R)),0,
ROUND((MAX(R:R)-R13)/(365/12),0)),"")</f>
        <v>0</v>
      </c>
      <c r="R13" s="111">
        <v>45658</v>
      </c>
      <c r="S13" s="112">
        <v>0.01</v>
      </c>
      <c r="T13" s="113">
        <f>IF($H13="GIROSSOL II",AP13/INDEX('Resumo Operacional'!$A$1:$P$1103,17,MATCH('Detalhe Por UC'!$R13,'Resumo Operacional'!$A$1:$P$1,0)),
IF($H13="GIROSSOL II e III",AP13/INDEX('Resumo Operacional'!$A$1:$P$1103,17,MATCH('Detalhe Por UC'!$R13,'Resumo Operacional'!$A$1:$P$1,0)),
""))</f>
        <v>8.8655038200951414E-3</v>
      </c>
      <c r="U13" s="113" t="str">
        <f>IF($H13="GIROSSOL III",AP13/INDEX('Resumo Operacional'!$A$1:$P$1103,53,MATCH('Detalhe Por UC'!$R13,'Resumo Operacional'!$A$1:$P$1,0)),
IF($H13="GIROSSOL II e III",AP13/INDEX('Resumo Operacional'!$A$1:$P$1103,53,MATCH('Detalhe Por UC'!$R13,'Resumo Operacional'!$A$1:$P$1,0)),
""))</f>
        <v/>
      </c>
      <c r="V13" s="12"/>
      <c r="W13" s="12"/>
      <c r="X13" s="35">
        <v>1.11625</v>
      </c>
      <c r="Y13" s="35">
        <v>0</v>
      </c>
      <c r="Z13" s="35">
        <v>1.1161764705882353</v>
      </c>
      <c r="AA13" s="35">
        <v>0</v>
      </c>
      <c r="AB13" s="35">
        <v>168</v>
      </c>
      <c r="AC13" s="35">
        <v>0</v>
      </c>
      <c r="AD13" s="35">
        <v>68</v>
      </c>
      <c r="AE13" s="35"/>
      <c r="AF13" s="35">
        <v>338</v>
      </c>
      <c r="AG13" s="35">
        <v>0</v>
      </c>
      <c r="AH13" s="35">
        <v>42.15</v>
      </c>
      <c r="AI13" s="35">
        <v>0</v>
      </c>
      <c r="AJ13" s="35">
        <v>0</v>
      </c>
      <c r="AK13" s="12"/>
      <c r="AL13" s="38"/>
      <c r="AM13" s="1"/>
      <c r="AN13" s="71">
        <f t="shared" si="10"/>
        <v>55</v>
      </c>
      <c r="AO13" s="71">
        <f t="shared" si="11"/>
        <v>0</v>
      </c>
      <c r="AP13" s="71">
        <f t="shared" si="12"/>
        <v>123</v>
      </c>
      <c r="AQ13" s="72">
        <f>IF(OR($H13="GIROSSOL II",$H13="GIROSSOL II e III"),INDEX('Resumo Operacional'!$A$1:$P$1103,MATCH("Energia Injetada prevista total Fatura da Usina (TUSD)",'Resumo Operacional'!$B$1:$B$1103,0),MATCH('Detalhe Por UC'!$R13,'Resumo Operacional'!$A$1:$P$1,0))*$S13,INDEX('Resumo Operacional'!$A$1:$P$1103,53,MATCH('Detalhe Por UC'!$R13,'Resumo Operacional'!$A$1:$P$1,0))*$S13)</f>
        <v>138.74</v>
      </c>
      <c r="AR13" s="71">
        <f t="shared" si="13"/>
        <v>-15.740000000000009</v>
      </c>
      <c r="AS13" s="73">
        <f t="shared" si="14"/>
        <v>153.78</v>
      </c>
      <c r="AT13" s="74">
        <f t="shared" si="15"/>
        <v>153.78</v>
      </c>
      <c r="AU13" s="74">
        <f t="shared" si="16"/>
        <v>1.1161029411764707</v>
      </c>
      <c r="AV13" s="74">
        <f t="shared" si="17"/>
        <v>56.925000000000004</v>
      </c>
      <c r="AW13" s="74">
        <f t="shared" si="18"/>
        <v>0</v>
      </c>
      <c r="AX13" s="74">
        <f t="shared" si="19"/>
        <v>75.900000000000006</v>
      </c>
      <c r="AY13" s="74">
        <f t="shared" si="20"/>
        <v>56.93</v>
      </c>
      <c r="AZ13" s="49">
        <v>56.93</v>
      </c>
      <c r="BA13" s="49">
        <v>56.93</v>
      </c>
      <c r="BB13" s="49">
        <v>56.93</v>
      </c>
      <c r="BC13" s="73" t="str">
        <f t="shared" si="21"/>
        <v/>
      </c>
      <c r="BD13" s="73">
        <f t="shared" si="22"/>
        <v>229.68</v>
      </c>
      <c r="BE13" s="73">
        <f t="shared" si="23"/>
        <v>210.70500000000001</v>
      </c>
      <c r="BF13" s="77">
        <f t="shared" si="24"/>
        <v>18.98</v>
      </c>
      <c r="BG13" s="77">
        <f t="shared" si="25"/>
        <v>5.694</v>
      </c>
      <c r="BH13" s="77">
        <f t="shared" si="26"/>
        <v>75.900000000000006</v>
      </c>
      <c r="BI13" s="78">
        <f t="shared" si="27"/>
        <v>0.25</v>
      </c>
      <c r="BJ13" s="79">
        <f t="shared" si="28"/>
        <v>8.2636711947056768E-2</v>
      </c>
      <c r="BK13" s="80">
        <f t="shared" si="29"/>
        <v>210.71</v>
      </c>
      <c r="BL13" s="80">
        <f t="shared" si="30"/>
        <v>18.97</v>
      </c>
      <c r="BM13" s="79">
        <f t="shared" si="31"/>
        <v>8.2593173110414489E-2</v>
      </c>
      <c r="BN13" s="81">
        <f t="shared" si="32"/>
        <v>0.83720588235294113</v>
      </c>
      <c r="BO13" s="82">
        <f t="shared" si="33"/>
        <v>56.93</v>
      </c>
      <c r="BP13" s="81">
        <f t="shared" si="34"/>
        <v>0.83720588235294113</v>
      </c>
      <c r="BQ13" s="81">
        <f t="shared" si="35"/>
        <v>0.83727941176470577</v>
      </c>
      <c r="BR13" s="81">
        <f t="shared" si="36"/>
        <v>1.11625</v>
      </c>
      <c r="BS13" s="82">
        <f t="shared" si="37"/>
        <v>68</v>
      </c>
      <c r="BT13" s="82">
        <f t="shared" si="38"/>
        <v>75.905000000000001</v>
      </c>
      <c r="BU13" s="82">
        <f t="shared" si="39"/>
        <v>75.900000000000006</v>
      </c>
      <c r="BV13"/>
      <c r="BW13" s="82">
        <f>IFERROR(INDEX('Infos Clientes'!$T:$T,MATCH('Detalhe Por UC'!$C13,'Infos Clientes'!B:B,0)),"")</f>
        <v>182.25</v>
      </c>
      <c r="BX13" s="83">
        <f t="shared" si="40"/>
        <v>0</v>
      </c>
      <c r="BY13" s="84">
        <f t="shared" si="41"/>
        <v>0.24991766023318629</v>
      </c>
      <c r="BZ13" s="85">
        <f>IF(_xlfn.MINIFS('Detalhe Por UC'!R:R,'Detalhe Por UC'!C:C,C13,'Detalhe Por UC'!AD:AD,"&gt;"&amp;0)=0,"",_xlfn.MINIFS('Detalhe Por UC'!R:R,'Detalhe Por UC'!C:C,C13,'Detalhe Por UC'!AD:AD,"&gt;"&amp;0))</f>
        <v>45627</v>
      </c>
      <c r="CA13" s="114">
        <f ca="1">IF(OR(S13&gt;0,AD13&gt;0),IFERROR(
SUMIFS(INDIRECT("'Infos Clientes'!$W"&amp;INDEX('Infos Clientes'!$C:$C,MATCH(C13,'Infos Clientes'!$H:$H,0))&amp;":$CZ"&amp;INDEX('Infos Clientes'!$C:$C,MATCH(C13,'Infos Clientes'!$H:$H,0))),'Infos Clientes'!$W$2:$CZ$2,"&gt;"&amp;$R13-365,'Infos Clientes'!$W$2:$CZ$2,"&lt;="&amp;$R13)/
COUNTIFS(INDIRECT("'Infos Clientes'!$W"&amp;INDEX('Infos Clientes'!$C:$C,MATCH(C13,'Infos Clientes'!$H:$H,0))&amp;":$CZ"&amp;INDEX('Infos Clientes'!$C:$C,MATCH(C13,'Infos Clientes'!$H:$H,0))),"&gt;="&amp;0,'Infos Clientes'!$W$2:$CZ$2,"&gt;"&amp;$R13-365,'Infos Clientes'!$W$2:$CZ$2,"&lt;="&amp;$R13),""),"")</f>
        <v>182.25</v>
      </c>
      <c r="CB13" s="87">
        <f>VLOOKUP(C13,'Infos Clientes'!B:L,11,0)</f>
        <v>0</v>
      </c>
      <c r="CC13" s="88" t="str">
        <f t="shared" si="42"/>
        <v>A Unidade Consumidora 10/1184751-4 economizou R$18,98 na fatura referente à jan/2025  consumindo 68 kWh em créditos de energia renovável conforme fatura de energia. A economia foi de 25% em relação ao que seria pago para a Energisa considerando os créditos consumidos. Atenção: Mantenha as contas da Energisa em dia para evitar cortes.</v>
      </c>
      <c r="CD13" s="40" t="s">
        <v>37</v>
      </c>
      <c r="CF13" s="115">
        <f t="shared" si="43"/>
        <v>-153.78</v>
      </c>
    </row>
    <row r="14" spans="1:85" s="104" customFormat="1" ht="16.2" hidden="1" customHeight="1" x14ac:dyDescent="0.3">
      <c r="A14" s="105" t="str">
        <f>INDEX('Infos Clientes'!$D:$D,MATCH('Detalhe Por UC'!C14,'Infos Clientes'!B:B,0))</f>
        <v>IGREJA DO EVANGELHO QUADRANGULAR</v>
      </c>
      <c r="B14" s="106" t="str">
        <f>INDEX('Infos Clientes'!$F:$F,MATCH('Detalhe Por UC'!C14,'Infos Clientes'!B:B,0))</f>
        <v>62.955.505/0800-98</v>
      </c>
      <c r="C14" s="107" t="s">
        <v>38</v>
      </c>
      <c r="D14" t="s">
        <v>351</v>
      </c>
      <c r="E14" s="1" t="s">
        <v>352</v>
      </c>
      <c r="F14" s="56" t="str">
        <f>INDEX('Infos Clientes'!$I:$I,MATCH('Detalhe Por UC'!C14,'Infos Clientes'!B:B,0))</f>
        <v>BT</v>
      </c>
      <c r="G14" s="56" t="str">
        <f>INDEX('Infos Clientes'!$J:$J,MATCH('Detalhe Por UC'!C14,'Infos Clientes'!B:B,0))</f>
        <v>trifasico</v>
      </c>
      <c r="H14" s="108" t="s">
        <v>138</v>
      </c>
      <c r="I14" s="58">
        <f>IFERROR(VLOOKUP(C14,'Infos Clientes'!B:E,4,),"")</f>
        <v>351</v>
      </c>
      <c r="J14" s="109">
        <v>0.25</v>
      </c>
      <c r="K14" s="59">
        <f>INDEX('Infos Clientes'!$M:$M,MATCH('Detalhe Por UC'!C14,'Infos Clientes'!B:B,0))</f>
        <v>0.25</v>
      </c>
      <c r="L14" s="110">
        <v>0</v>
      </c>
      <c r="M14" s="56">
        <f>INDEX('Infos Clientes'!$N:$N,MATCH('Detalhe Por UC'!C14,'Infos Clientes'!B:B,0))</f>
        <v>0</v>
      </c>
      <c r="N14" s="56">
        <f t="shared" si="7"/>
        <v>0</v>
      </c>
      <c r="O14" s="56">
        <f t="shared" si="8"/>
        <v>7</v>
      </c>
      <c r="P14" s="56">
        <f t="shared" si="9"/>
        <v>0</v>
      </c>
      <c r="Q14" s="61">
        <f>IFERROR(IFERROR(INDEX('Infos Clientes'!$A$2:$V$9884,MATCH($C14,'Infos Clientes'!$B$2:$B$9884,0),MATCH(Q$8,'Infos Clientes'!$A$2:$V$2,0)),"")
+IF(OR(INDEX('Infos Clientes'!$A$2:$V$9884,MATCH($C14,'Infos Clientes'!$B$2:$B$9884,0),MATCH("Tempo de Fidelidade (meses)",'Infos Clientes'!$A$2:$V$2,0))=0,R14&gt;=MAX(R:R)),0,
ROUND((MAX(R:R)-R14)/(365/12),0)),"")</f>
        <v>0</v>
      </c>
      <c r="R14" s="111">
        <v>45658</v>
      </c>
      <c r="S14" s="112">
        <v>3.0000000000000001E-3</v>
      </c>
      <c r="T14" s="113" t="str">
        <f>IF($H14="GIROSSOL II",AP14/INDEX('Resumo Operacional'!$A$1:$P$1103,17,MATCH('Detalhe Por UC'!$R14,'Resumo Operacional'!$A$1:$P$1,0)),
IF($H14="GIROSSOL II e III",AP14/INDEX('Resumo Operacional'!$A$1:$P$1103,17,MATCH('Detalhe Por UC'!$R14,'Resumo Operacional'!$A$1:$P$1,0)),
""))</f>
        <v/>
      </c>
      <c r="U14" s="113">
        <f>IF($H14="GIROSSOL III",AP14/INDEX('Resumo Operacional'!$A$1:$P$1103,53,MATCH('Detalhe Por UC'!$R14,'Resumo Operacional'!$A$1:$P$1,0)),
IF($H14="GIROSSOL II e III",AP14/INDEX('Resumo Operacional'!$A$1:$P$1103,53,MATCH('Detalhe Por UC'!$R14,'Resumo Operacional'!$A$1:$P$1,0)),
""))</f>
        <v>7.4559010729223496E-3</v>
      </c>
      <c r="V14" s="12"/>
      <c r="W14" s="12"/>
      <c r="X14" s="35">
        <v>1.1162000000000001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/>
      <c r="AF14" s="35">
        <v>855</v>
      </c>
      <c r="AG14" s="35">
        <v>0</v>
      </c>
      <c r="AH14" s="35">
        <v>0</v>
      </c>
      <c r="AI14" s="35">
        <v>0</v>
      </c>
      <c r="AJ14" s="35">
        <v>0</v>
      </c>
      <c r="AK14" s="12"/>
      <c r="AL14" s="38"/>
      <c r="AM14" s="1"/>
      <c r="AN14" s="71">
        <f t="shared" si="10"/>
        <v>123</v>
      </c>
      <c r="AO14" s="71">
        <f t="shared" si="11"/>
        <v>0</v>
      </c>
      <c r="AP14" s="71">
        <f t="shared" si="12"/>
        <v>123</v>
      </c>
      <c r="AQ14" s="72">
        <f>IF(OR($H14="GIROSSOL II",$H14="GIROSSOL II e III"),INDEX('Resumo Operacional'!$A$1:$P$1103,MATCH("Energia Injetada prevista total Fatura da Usina (TUSD)",'Resumo Operacional'!$B$1:$B$1103,0),MATCH('Detalhe Por UC'!$R14,'Resumo Operacional'!$A$1:$P$1,0))*$S14,INDEX('Resumo Operacional'!$A$1:$P$1103,53,MATCH('Detalhe Por UC'!$R14,'Resumo Operacional'!$A$1:$P$1,0))*$S14)</f>
        <v>49.491</v>
      </c>
      <c r="AR14" s="71">
        <f t="shared" si="13"/>
        <v>73.509</v>
      </c>
      <c r="AS14" s="73">
        <f t="shared" si="14"/>
        <v>111.62</v>
      </c>
      <c r="AT14" s="74">
        <f t="shared" si="15"/>
        <v>111.62</v>
      </c>
      <c r="AU14" s="74" t="str">
        <f t="shared" si="16"/>
        <v/>
      </c>
      <c r="AV14" s="74">
        <f t="shared" si="17"/>
        <v>0</v>
      </c>
      <c r="AW14" s="74">
        <f t="shared" si="18"/>
        <v>0</v>
      </c>
      <c r="AX14" s="74">
        <f t="shared" si="19"/>
        <v>0</v>
      </c>
      <c r="AY14" s="74" t="str">
        <f t="shared" si="20"/>
        <v/>
      </c>
      <c r="AZ14" s="49"/>
      <c r="BA14" s="49"/>
      <c r="BB14" s="49"/>
      <c r="BC14" s="73" t="str">
        <f t="shared" si="21"/>
        <v/>
      </c>
      <c r="BD14" s="73">
        <f t="shared" si="22"/>
        <v>111.62</v>
      </c>
      <c r="BE14" s="73">
        <f t="shared" si="23"/>
        <v>111.62</v>
      </c>
      <c r="BF14" s="77">
        <f t="shared" si="24"/>
        <v>0</v>
      </c>
      <c r="BG14" s="77">
        <f t="shared" si="25"/>
        <v>0</v>
      </c>
      <c r="BH14" s="77">
        <f t="shared" si="26"/>
        <v>0</v>
      </c>
      <c r="BI14" s="78" t="str">
        <f t="shared" si="27"/>
        <v/>
      </c>
      <c r="BJ14" s="79">
        <f t="shared" si="28"/>
        <v>0</v>
      </c>
      <c r="BK14" s="80" t="str">
        <f t="shared" si="29"/>
        <v/>
      </c>
      <c r="BL14" s="80" t="str">
        <f t="shared" si="30"/>
        <v/>
      </c>
      <c r="BM14" s="79" t="str">
        <f t="shared" si="31"/>
        <v/>
      </c>
      <c r="BN14" s="81" t="str">
        <f t="shared" si="32"/>
        <v/>
      </c>
      <c r="BO14" s="82" t="str">
        <f t="shared" si="33"/>
        <v/>
      </c>
      <c r="BP14" s="81" t="str">
        <f t="shared" si="34"/>
        <v/>
      </c>
      <c r="BQ14" s="81" t="str">
        <f t="shared" si="35"/>
        <v/>
      </c>
      <c r="BR14" s="81" t="str">
        <f t="shared" si="36"/>
        <v/>
      </c>
      <c r="BS14" s="82">
        <f t="shared" si="37"/>
        <v>0</v>
      </c>
      <c r="BT14" s="82" t="str">
        <f t="shared" si="38"/>
        <v/>
      </c>
      <c r="BU14" s="82">
        <f t="shared" si="39"/>
        <v>0</v>
      </c>
      <c r="BV14"/>
      <c r="BW14" s="82">
        <f>IFERROR(INDEX('Infos Clientes'!$T:$T,MATCH('Detalhe Por UC'!$C14,'Infos Clientes'!B:B,0)),"")</f>
        <v>134.36363636363637</v>
      </c>
      <c r="BX14" s="83">
        <f t="shared" si="40"/>
        <v>0</v>
      </c>
      <c r="BY14" s="84" t="str">
        <f t="shared" si="41"/>
        <v/>
      </c>
      <c r="BZ14" s="85">
        <f>IF(_xlfn.MINIFS('Detalhe Por UC'!R:R,'Detalhe Por UC'!C:C,C14,'Detalhe Por UC'!AD:AD,"&gt;"&amp;0)=0,"",_xlfn.MINIFS('Detalhe Por UC'!R:R,'Detalhe Por UC'!C:C,C14,'Detalhe Por UC'!AD:AD,"&gt;"&amp;0))</f>
        <v>45627</v>
      </c>
      <c r="CA14" s="114">
        <f ca="1">IF(OR(S14&gt;0,AD14&gt;0),IFERROR(
SUMIFS(INDIRECT("'Infos Clientes'!$W"&amp;INDEX('Infos Clientes'!$C:$C,MATCH(C14,'Infos Clientes'!$H:$H,0))&amp;":$CZ"&amp;INDEX('Infos Clientes'!$C:$C,MATCH(C14,'Infos Clientes'!$H:$H,0))),'Infos Clientes'!$W$2:$CZ$2,"&gt;"&amp;$R14-365,'Infos Clientes'!$W$2:$CZ$2,"&lt;="&amp;$R14)/
COUNTIFS(INDIRECT("'Infos Clientes'!$W"&amp;INDEX('Infos Clientes'!$C:$C,MATCH(C14,'Infos Clientes'!$H:$H,0))&amp;":$CZ"&amp;INDEX('Infos Clientes'!$C:$C,MATCH(C14,'Infos Clientes'!$H:$H,0))),"&gt;="&amp;0,'Infos Clientes'!$W$2:$CZ$2,"&gt;"&amp;$R14-365,'Infos Clientes'!$W$2:$CZ$2,"&lt;="&amp;$R14),""),"")</f>
        <v>134.36363636363637</v>
      </c>
      <c r="CB14" s="87">
        <f>VLOOKUP(C14,'Infos Clientes'!B:L,11,0)</f>
        <v>0</v>
      </c>
      <c r="CC14" s="88" t="str">
        <f t="shared" si="42"/>
        <v>A Unidade Consumidora 10/135237-6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4" s="40" t="s">
        <v>40</v>
      </c>
      <c r="CF14" s="115">
        <f t="shared" si="43"/>
        <v>-111.62</v>
      </c>
    </row>
    <row r="15" spans="1:85" s="104" customFormat="1" ht="16.2" hidden="1" customHeight="1" x14ac:dyDescent="0.3">
      <c r="A15" s="105" t="str">
        <f>INDEX('Infos Clientes'!$D:$D,MATCH('Detalhe Por UC'!C15,'Infos Clientes'!B:B,0))</f>
        <v>IGREJA DO EVANGELHO QUADRANGULAR</v>
      </c>
      <c r="B15" s="106" t="str">
        <f>INDEX('Infos Clientes'!$F:$F,MATCH('Detalhe Por UC'!C15,'Infos Clientes'!B:B,0))</f>
        <v>62.955.505/0847-51</v>
      </c>
      <c r="C15" s="31" t="s">
        <v>41</v>
      </c>
      <c r="D15" t="s">
        <v>351</v>
      </c>
      <c r="E15" s="1" t="s">
        <v>352</v>
      </c>
      <c r="F15" s="56" t="str">
        <f>INDEX('Infos Clientes'!$I:$I,MATCH('Detalhe Por UC'!C15,'Infos Clientes'!B:B,0))</f>
        <v>BT</v>
      </c>
      <c r="G15" s="56" t="str">
        <f>INDEX('Infos Clientes'!$J:$J,MATCH('Detalhe Por UC'!C15,'Infos Clientes'!B:B,0))</f>
        <v>monofasico</v>
      </c>
      <c r="H15" s="108" t="s">
        <v>353</v>
      </c>
      <c r="I15" s="58">
        <f>IFERROR(VLOOKUP(C15,'Infos Clientes'!B:E,4,),"")</f>
        <v>349</v>
      </c>
      <c r="J15" s="109">
        <v>0.25</v>
      </c>
      <c r="K15" s="59">
        <f>INDEX('Infos Clientes'!$M:$M,MATCH('Detalhe Por UC'!C15,'Infos Clientes'!B:B,0))</f>
        <v>0.25</v>
      </c>
      <c r="L15" s="110">
        <v>0</v>
      </c>
      <c r="M15" s="56">
        <f>INDEX('Infos Clientes'!$N:$N,MATCH('Detalhe Por UC'!C15,'Infos Clientes'!B:B,0))</f>
        <v>0</v>
      </c>
      <c r="N15" s="56">
        <f t="shared" si="7"/>
        <v>0</v>
      </c>
      <c r="O15" s="56">
        <f t="shared" si="8"/>
        <v>12</v>
      </c>
      <c r="P15" s="56">
        <f t="shared" si="9"/>
        <v>0</v>
      </c>
      <c r="Q15" s="61">
        <f>IFERROR(IFERROR(INDEX('Infos Clientes'!$A$2:$V$9884,MATCH($C15,'Infos Clientes'!$B$2:$B$9884,0),MATCH(Q$8,'Infos Clientes'!$A$2:$V$2,0)),"")
+IF(OR(INDEX('Infos Clientes'!$A$2:$V$9884,MATCH($C15,'Infos Clientes'!$B$2:$B$9884,0),MATCH("Tempo de Fidelidade (meses)",'Infos Clientes'!$A$2:$V$2,0))=0,R15&gt;=MAX(R:R)),0,
ROUND((MAX(R:R)-R15)/(365/12),0)),"")</f>
        <v>0</v>
      </c>
      <c r="R15" s="111">
        <v>45658</v>
      </c>
      <c r="S15" s="112">
        <v>0.01</v>
      </c>
      <c r="T15" s="113">
        <f>IF($H15="GIROSSOL II",AP15/INDEX('Resumo Operacional'!$A$1:$P$1103,17,MATCH('Detalhe Por UC'!$R15,'Resumo Operacional'!$A$1:$P$1,0)),
IF($H15="GIROSSOL II e III",AP15/INDEX('Resumo Operacional'!$A$1:$P$1103,17,MATCH('Detalhe Por UC'!$R15,'Resumo Operacional'!$A$1:$P$1,0)),
""))</f>
        <v>2.1767334582672625E-2</v>
      </c>
      <c r="U15" s="113">
        <f>IF($H15="GIROSSOL III",AP15/INDEX('Resumo Operacional'!$A$1:$P$1103,53,MATCH('Detalhe Por UC'!$R15,'Resumo Operacional'!$A$1:$P$1,0)),
IF($H15="GIROSSOL II e III",AP15/INDEX('Resumo Operacional'!$A$1:$P$1103,53,MATCH('Detalhe Por UC'!$R15,'Resumo Operacional'!$A$1:$P$1,0)),
""))</f>
        <v>1.8306358731890647E-2</v>
      </c>
      <c r="V15" s="12"/>
      <c r="W15" s="12"/>
      <c r="X15" s="35">
        <v>1.1162573099415205</v>
      </c>
      <c r="Y15" s="35">
        <v>0</v>
      </c>
      <c r="Z15" s="35">
        <v>1.0478289473684212</v>
      </c>
      <c r="AA15" s="35">
        <v>0</v>
      </c>
      <c r="AB15" s="35">
        <v>171</v>
      </c>
      <c r="AC15" s="35">
        <v>0</v>
      </c>
      <c r="AD15" s="35">
        <v>152</v>
      </c>
      <c r="AE15" s="35"/>
      <c r="AF15" s="35">
        <v>186</v>
      </c>
      <c r="AG15" s="35">
        <v>0</v>
      </c>
      <c r="AH15" s="35">
        <v>73.069999999999993</v>
      </c>
      <c r="AI15" s="35">
        <v>0</v>
      </c>
      <c r="AJ15" s="35">
        <v>0</v>
      </c>
      <c r="AK15" s="12"/>
      <c r="AL15" s="38"/>
      <c r="AM15" s="1"/>
      <c r="AN15" s="71">
        <f t="shared" si="10"/>
        <v>150</v>
      </c>
      <c r="AO15" s="71">
        <f t="shared" si="11"/>
        <v>0</v>
      </c>
      <c r="AP15" s="71">
        <f t="shared" si="12"/>
        <v>302</v>
      </c>
      <c r="AQ15" s="72">
        <f>IF(OR($H15="GIROSSOL II",$H15="GIROSSOL II e III"),INDEX('Resumo Operacional'!$A$1:$P$1103,MATCH("Energia Injetada prevista total Fatura da Usina (TUSD)",'Resumo Operacional'!$B$1:$B$1103,0),MATCH('Detalhe Por UC'!$R15,'Resumo Operacional'!$A$1:$P$1,0))*$S15,INDEX('Resumo Operacional'!$A$1:$P$1103,53,MATCH('Detalhe Por UC'!$R15,'Resumo Operacional'!$A$1:$P$1,0))*$S15)</f>
        <v>138.74</v>
      </c>
      <c r="AR15" s="71">
        <f t="shared" si="13"/>
        <v>163.26</v>
      </c>
      <c r="AS15" s="73">
        <f t="shared" si="14"/>
        <v>104.67999999999995</v>
      </c>
      <c r="AT15" s="74">
        <f t="shared" si="15"/>
        <v>104.67999999999995</v>
      </c>
      <c r="AU15" s="74">
        <f t="shared" si="16"/>
        <v>0.97940058479532199</v>
      </c>
      <c r="AV15" s="74">
        <f t="shared" si="17"/>
        <v>119.45250000000003</v>
      </c>
      <c r="AW15" s="74">
        <f t="shared" si="18"/>
        <v>0</v>
      </c>
      <c r="AX15" s="74">
        <f t="shared" si="19"/>
        <v>159.27000000000004</v>
      </c>
      <c r="AY15" s="74">
        <f t="shared" si="20"/>
        <v>119.45</v>
      </c>
      <c r="AZ15" s="49">
        <v>119.45</v>
      </c>
      <c r="BA15" s="49">
        <v>119.45</v>
      </c>
      <c r="BB15" s="49">
        <v>119.45</v>
      </c>
      <c r="BC15" s="73" t="str">
        <f t="shared" si="21"/>
        <v/>
      </c>
      <c r="BD15" s="73">
        <f t="shared" si="22"/>
        <v>263.95</v>
      </c>
      <c r="BE15" s="73">
        <f t="shared" si="23"/>
        <v>224.13249999999999</v>
      </c>
      <c r="BF15" s="77">
        <f t="shared" si="24"/>
        <v>39.82</v>
      </c>
      <c r="BG15" s="77">
        <f t="shared" si="25"/>
        <v>11.946</v>
      </c>
      <c r="BH15" s="77">
        <f t="shared" si="26"/>
        <v>159.27000000000004</v>
      </c>
      <c r="BI15" s="78">
        <f t="shared" si="27"/>
        <v>0.25</v>
      </c>
      <c r="BJ15" s="79">
        <f t="shared" si="28"/>
        <v>0.15086190566395152</v>
      </c>
      <c r="BK15" s="80">
        <f t="shared" si="29"/>
        <v>224.12999999999994</v>
      </c>
      <c r="BL15" s="80">
        <f t="shared" si="30"/>
        <v>39.82000000000005</v>
      </c>
      <c r="BM15" s="79">
        <f t="shared" si="31"/>
        <v>0.15086190566395169</v>
      </c>
      <c r="BN15" s="81">
        <f t="shared" si="32"/>
        <v>0.78585526315789478</v>
      </c>
      <c r="BO15" s="82">
        <f t="shared" si="33"/>
        <v>119.45</v>
      </c>
      <c r="BP15" s="81">
        <f t="shared" si="34"/>
        <v>0.78585526315789478</v>
      </c>
      <c r="BQ15" s="81">
        <f t="shared" si="35"/>
        <v>0.85428362573099403</v>
      </c>
      <c r="BR15" s="81">
        <f t="shared" si="36"/>
        <v>1.1162573099415205</v>
      </c>
      <c r="BS15" s="82">
        <f t="shared" si="37"/>
        <v>152</v>
      </c>
      <c r="BT15" s="82">
        <f t="shared" si="38"/>
        <v>169.67111111111112</v>
      </c>
      <c r="BU15" s="82">
        <f t="shared" si="39"/>
        <v>159.27000000000004</v>
      </c>
      <c r="BV15"/>
      <c r="BW15" s="82">
        <f>IFERROR(INDEX('Infos Clientes'!$T:$T,MATCH('Detalhe Por UC'!$C15,'Infos Clientes'!B:B,0)),"")</f>
        <v>156.25</v>
      </c>
      <c r="BX15" s="83">
        <f t="shared" si="40"/>
        <v>0</v>
      </c>
      <c r="BY15" s="84">
        <f t="shared" si="41"/>
        <v>0.23468933361274111</v>
      </c>
      <c r="BZ15" s="85">
        <f>IF(_xlfn.MINIFS('Detalhe Por UC'!R:R,'Detalhe Por UC'!C:C,C15,'Detalhe Por UC'!AD:AD,"&gt;"&amp;0)=0,"",_xlfn.MINIFS('Detalhe Por UC'!R:R,'Detalhe Por UC'!C:C,C15,'Detalhe Por UC'!AD:AD,"&gt;"&amp;0))</f>
        <v>45627</v>
      </c>
      <c r="CA15" s="114">
        <f ca="1">IF(OR(S15&gt;0,AD15&gt;0),IFERROR(
SUMIFS(INDIRECT("'Infos Clientes'!$W"&amp;INDEX('Infos Clientes'!$C:$C,MATCH(C15,'Infos Clientes'!$H:$H,0))&amp;":$CZ"&amp;INDEX('Infos Clientes'!$C:$C,MATCH(C15,'Infos Clientes'!$H:$H,0))),'Infos Clientes'!$W$2:$CZ$2,"&gt;"&amp;$R15-365,'Infos Clientes'!$W$2:$CZ$2,"&lt;="&amp;$R15)/
COUNTIFS(INDIRECT("'Infos Clientes'!$W"&amp;INDEX('Infos Clientes'!$C:$C,MATCH(C15,'Infos Clientes'!$H:$H,0))&amp;":$CZ"&amp;INDEX('Infos Clientes'!$C:$C,MATCH(C15,'Infos Clientes'!$H:$H,0))),"&gt;="&amp;0,'Infos Clientes'!$W$2:$CZ$2,"&gt;"&amp;$R15-365,'Infos Clientes'!$W$2:$CZ$2,"&lt;="&amp;$R15),""),"")</f>
        <v>156.25</v>
      </c>
      <c r="CB15" s="87">
        <f>VLOOKUP(C15,'Infos Clientes'!B:L,11,0)</f>
        <v>0</v>
      </c>
      <c r="CC15" s="88" t="str">
        <f t="shared" si="42"/>
        <v>A Unidade Consumidora 10/1548741-6 economizou R$39,82 na fatura referente à jan/2025  consumindo 152 kWh em créditos de energia renovável conforme fatura de energia. A economia foi de 25% em relação ao que seria pago para a Energisa considerando os créditos consumidos. Atenção: Mantenha as contas da Energisa em dia para evitar cortes.</v>
      </c>
      <c r="CD15" s="40" t="s">
        <v>43</v>
      </c>
      <c r="CF15" s="115">
        <f t="shared" si="43"/>
        <v>-104.67999999999995</v>
      </c>
    </row>
    <row r="16" spans="1:85" s="104" customFormat="1" ht="16.2" hidden="1" customHeight="1" x14ac:dyDescent="0.3">
      <c r="A16" s="105" t="str">
        <f>INDEX('Infos Clientes'!$D:$D,MATCH('Detalhe Por UC'!C16,'Infos Clientes'!B:B,0))</f>
        <v>IGREJA DO EVANGELHO QUADRANGULAR</v>
      </c>
      <c r="B16" s="106" t="str">
        <f>INDEX('Infos Clientes'!$F:$F,MATCH('Detalhe Por UC'!C16,'Infos Clientes'!B:B,0))</f>
        <v>62.955.505/0153-50</v>
      </c>
      <c r="C16" s="31" t="s">
        <v>45</v>
      </c>
      <c r="D16" t="s">
        <v>351</v>
      </c>
      <c r="E16" s="1" t="s">
        <v>352</v>
      </c>
      <c r="F16" s="56" t="str">
        <f>INDEX('Infos Clientes'!$I:$I,MATCH('Detalhe Por UC'!C16,'Infos Clientes'!B:B,0))</f>
        <v>BT</v>
      </c>
      <c r="G16" s="56" t="str">
        <f>INDEX('Infos Clientes'!$J:$J,MATCH('Detalhe Por UC'!C16,'Infos Clientes'!B:B,0))</f>
        <v>trifasico</v>
      </c>
      <c r="H16" s="108" t="s">
        <v>24</v>
      </c>
      <c r="I16" s="58">
        <f>IFERROR(VLOOKUP(C16,'Infos Clientes'!B:E,4,),"")</f>
        <v>994</v>
      </c>
      <c r="J16" s="109">
        <v>0.25</v>
      </c>
      <c r="K16" s="59">
        <f>INDEX('Infos Clientes'!$M:$M,MATCH('Detalhe Por UC'!C16,'Infos Clientes'!B:B,0))</f>
        <v>0.25</v>
      </c>
      <c r="L16" s="110">
        <v>0</v>
      </c>
      <c r="M16" s="56">
        <f>INDEX('Infos Clientes'!$N:$N,MATCH('Detalhe Por UC'!C16,'Infos Clientes'!B:B,0))</f>
        <v>0</v>
      </c>
      <c r="N16" s="56">
        <f t="shared" si="7"/>
        <v>0</v>
      </c>
      <c r="O16" s="56">
        <f t="shared" si="8"/>
        <v>12</v>
      </c>
      <c r="P16" s="56">
        <f t="shared" si="9"/>
        <v>0</v>
      </c>
      <c r="Q16" s="61">
        <f>IFERROR(IFERROR(INDEX('Infos Clientes'!$A$2:$V$9884,MATCH($C16,'Infos Clientes'!$B$2:$B$9884,0),MATCH(Q$8,'Infos Clientes'!$A$2:$V$2,0)),"")
+IF(OR(INDEX('Infos Clientes'!$A$2:$V$9884,MATCH($C16,'Infos Clientes'!$B$2:$B$9884,0),MATCH("Tempo de Fidelidade (meses)",'Infos Clientes'!$A$2:$V$2,0))=0,R16&gt;=MAX(R:R)),0,
ROUND((MAX(R:R)-R16)/(365/12),0)),"")</f>
        <v>0</v>
      </c>
      <c r="R16" s="111">
        <v>45658</v>
      </c>
      <c r="S16" s="112">
        <v>0.02</v>
      </c>
      <c r="T16" s="113">
        <f>IF($H16="GIROSSOL II",AP16/INDEX('Resumo Operacional'!$A$1:$P$1103,17,MATCH('Detalhe Por UC'!$R16,'Resumo Operacional'!$A$1:$P$1,0)),
IF($H16="GIROSSOL II e III",AP16/INDEX('Resumo Operacional'!$A$1:$P$1103,17,MATCH('Detalhe Por UC'!$R16,'Resumo Operacional'!$A$1:$P$1,0)),
""))</f>
        <v>1.7731007640190283E-2</v>
      </c>
      <c r="U16" s="113" t="str">
        <f>IF($H16="GIROSSOL III",AP16/INDEX('Resumo Operacional'!$A$1:$P$1103,53,MATCH('Detalhe Por UC'!$R16,'Resumo Operacional'!$A$1:$P$1,0)),
IF($H16="GIROSSOL II e III",AP16/INDEX('Resumo Operacional'!$A$1:$P$1103,53,MATCH('Detalhe Por UC'!$R16,'Resumo Operacional'!$A$1:$P$1,0)),
""))</f>
        <v/>
      </c>
      <c r="V16" s="12"/>
      <c r="W16" s="12"/>
      <c r="X16" s="35">
        <v>1.1162626262626263</v>
      </c>
      <c r="Y16" s="35">
        <v>0</v>
      </c>
      <c r="Z16" s="35">
        <v>1.1162162162162161</v>
      </c>
      <c r="AA16" s="35">
        <v>0</v>
      </c>
      <c r="AB16" s="35">
        <v>396</v>
      </c>
      <c r="AC16" s="35">
        <v>0</v>
      </c>
      <c r="AD16" s="35">
        <v>296</v>
      </c>
      <c r="AE16" s="35"/>
      <c r="AF16" s="35">
        <v>101</v>
      </c>
      <c r="AG16" s="35">
        <v>0</v>
      </c>
      <c r="AH16" s="35">
        <v>71.490000000000009</v>
      </c>
      <c r="AI16" s="35">
        <v>0</v>
      </c>
      <c r="AJ16" s="35">
        <v>0</v>
      </c>
      <c r="AK16" s="12"/>
      <c r="AL16" s="38"/>
      <c r="AM16" s="1"/>
      <c r="AN16" s="71">
        <f t="shared" si="10"/>
        <v>-50</v>
      </c>
      <c r="AO16" s="71">
        <f t="shared" si="11"/>
        <v>0</v>
      </c>
      <c r="AP16" s="71">
        <f t="shared" si="12"/>
        <v>246</v>
      </c>
      <c r="AQ16" s="72">
        <f>IF(OR($H16="GIROSSOL II",$H16="GIROSSOL II e III"),INDEX('Resumo Operacional'!$A$1:$P$1103,MATCH("Energia Injetada prevista total Fatura da Usina (TUSD)",'Resumo Operacional'!$B$1:$B$1103,0),MATCH('Detalhe Por UC'!$R16,'Resumo Operacional'!$A$1:$P$1,0))*$S16,INDEX('Resumo Operacional'!$A$1:$P$1103,53,MATCH('Detalhe Por UC'!$R16,'Resumo Operacional'!$A$1:$P$1,0))*$S16)</f>
        <v>277.48</v>
      </c>
      <c r="AR16" s="71">
        <f t="shared" si="13"/>
        <v>-31.480000000000018</v>
      </c>
      <c r="AS16" s="73">
        <f t="shared" si="14"/>
        <v>183.13000000000005</v>
      </c>
      <c r="AT16" s="74">
        <f t="shared" si="15"/>
        <v>183.13000000000005</v>
      </c>
      <c r="AU16" s="74">
        <f t="shared" si="16"/>
        <v>1.116169806169806</v>
      </c>
      <c r="AV16" s="74">
        <f t="shared" si="17"/>
        <v>247.79999999999998</v>
      </c>
      <c r="AW16" s="74">
        <f t="shared" si="18"/>
        <v>0</v>
      </c>
      <c r="AX16" s="74">
        <f t="shared" si="19"/>
        <v>330.4</v>
      </c>
      <c r="AY16" s="74">
        <f t="shared" si="20"/>
        <v>247.8</v>
      </c>
      <c r="AZ16" s="49">
        <v>247.8</v>
      </c>
      <c r="BA16" s="49">
        <v>247.8</v>
      </c>
      <c r="BB16" s="49">
        <v>247.8</v>
      </c>
      <c r="BC16" s="73" t="str">
        <f t="shared" si="21"/>
        <v/>
      </c>
      <c r="BD16" s="73">
        <f t="shared" si="22"/>
        <v>513.53</v>
      </c>
      <c r="BE16" s="73">
        <f t="shared" si="23"/>
        <v>430.93000000000006</v>
      </c>
      <c r="BF16" s="77">
        <f t="shared" si="24"/>
        <v>82.6</v>
      </c>
      <c r="BG16" s="77">
        <f t="shared" si="25"/>
        <v>24.779999999999998</v>
      </c>
      <c r="BH16" s="77">
        <f t="shared" si="26"/>
        <v>330.4</v>
      </c>
      <c r="BI16" s="78">
        <f t="shared" si="27"/>
        <v>0.25</v>
      </c>
      <c r="BJ16" s="79">
        <f t="shared" si="28"/>
        <v>0.16084746752867407</v>
      </c>
      <c r="BK16" s="80">
        <f t="shared" si="29"/>
        <v>430.93000000000006</v>
      </c>
      <c r="BL16" s="80">
        <f t="shared" si="30"/>
        <v>82.599999999999909</v>
      </c>
      <c r="BM16" s="79">
        <f t="shared" si="31"/>
        <v>0.1608474675286739</v>
      </c>
      <c r="BN16" s="81">
        <f t="shared" si="32"/>
        <v>0.83716216216216222</v>
      </c>
      <c r="BO16" s="82">
        <f t="shared" si="33"/>
        <v>247.8</v>
      </c>
      <c r="BP16" s="81">
        <f t="shared" si="34"/>
        <v>0.83716216216216222</v>
      </c>
      <c r="BQ16" s="81">
        <f t="shared" si="35"/>
        <v>0.83720857220857237</v>
      </c>
      <c r="BR16" s="81">
        <f t="shared" si="36"/>
        <v>1.1162626262626263</v>
      </c>
      <c r="BS16" s="82">
        <f t="shared" si="37"/>
        <v>296</v>
      </c>
      <c r="BT16" s="82">
        <f t="shared" si="38"/>
        <v>330.41373737373738</v>
      </c>
      <c r="BU16" s="82">
        <f t="shared" si="39"/>
        <v>330.4</v>
      </c>
      <c r="BV16"/>
      <c r="BW16" s="82">
        <f>IFERROR(INDEX('Infos Clientes'!$T:$T,MATCH('Detalhe Por UC'!$C16,'Infos Clientes'!B:B,0)),"")</f>
        <v>362.41666666666669</v>
      </c>
      <c r="BX16" s="83">
        <f t="shared" si="40"/>
        <v>0</v>
      </c>
      <c r="BY16" s="84">
        <f t="shared" si="41"/>
        <v>0.24998960593024466</v>
      </c>
      <c r="BZ16" s="85">
        <f>IF(_xlfn.MINIFS('Detalhe Por UC'!R:R,'Detalhe Por UC'!C:C,C16,'Detalhe Por UC'!AD:AD,"&gt;"&amp;0)=0,"",_xlfn.MINIFS('Detalhe Por UC'!R:R,'Detalhe Por UC'!C:C,C16,'Detalhe Por UC'!AD:AD,"&gt;"&amp;0))</f>
        <v>45627</v>
      </c>
      <c r="CA16" s="114">
        <f ca="1">IF(OR(S16&gt;0,AD16&gt;0),IFERROR(
SUMIFS(INDIRECT("'Infos Clientes'!$W"&amp;INDEX('Infos Clientes'!$C:$C,MATCH(C16,'Infos Clientes'!$H:$H,0))&amp;":$CZ"&amp;INDEX('Infos Clientes'!$C:$C,MATCH(C16,'Infos Clientes'!$H:$H,0))),'Infos Clientes'!$W$2:$CZ$2,"&gt;"&amp;$R16-365,'Infos Clientes'!$W$2:$CZ$2,"&lt;="&amp;$R16)/
COUNTIFS(INDIRECT("'Infos Clientes'!$W"&amp;INDEX('Infos Clientes'!$C:$C,MATCH(C16,'Infos Clientes'!$H:$H,0))&amp;":$CZ"&amp;INDEX('Infos Clientes'!$C:$C,MATCH(C16,'Infos Clientes'!$H:$H,0))),"&gt;="&amp;0,'Infos Clientes'!$W$2:$CZ$2,"&gt;"&amp;$R16-365,'Infos Clientes'!$W$2:$CZ$2,"&lt;="&amp;$R16),""),"")</f>
        <v>362.41666666666669</v>
      </c>
      <c r="CB16" s="87">
        <f>VLOOKUP(C16,'Infos Clientes'!B:L,11,0)</f>
        <v>0</v>
      </c>
      <c r="CC16" s="88" t="str">
        <f t="shared" si="42"/>
        <v>A Unidade Consumidora 10/156956-5 economizou R$82,6 na fatura referente à jan/2025  consumindo 296 kWh em créditos de energia renovável conforme fatura de energia. A economia foi de 25% em relação ao que seria pago para a Energisa considerando os créditos consumidos. Atenção: Mantenha as contas da Energisa em dia para evitar cortes.</v>
      </c>
      <c r="CD16" s="40" t="s">
        <v>47</v>
      </c>
      <c r="CF16" s="115">
        <f t="shared" si="43"/>
        <v>-183.13000000000005</v>
      </c>
    </row>
    <row r="17" spans="1:84" s="104" customFormat="1" ht="16.2" hidden="1" customHeight="1" x14ac:dyDescent="0.3">
      <c r="A17" s="105" t="str">
        <f>INDEX('Infos Clientes'!$D:$D,MATCH('Detalhe Por UC'!C17,'Infos Clientes'!B:B,0))</f>
        <v>IGREJA DO EVANGELHO QUADRANGULAR</v>
      </c>
      <c r="B17" s="106" t="str">
        <f>INDEX('Infos Clientes'!$F:$F,MATCH('Detalhe Por UC'!C17,'Infos Clientes'!B:B,0))</f>
        <v>62.955.505/0151-99</v>
      </c>
      <c r="C17" s="31" t="s">
        <v>48</v>
      </c>
      <c r="D17" t="s">
        <v>351</v>
      </c>
      <c r="E17" s="1" t="s">
        <v>352</v>
      </c>
      <c r="F17" s="56" t="str">
        <f>INDEX('Infos Clientes'!$I:$I,MATCH('Detalhe Por UC'!C17,'Infos Clientes'!B:B,0))</f>
        <v>BT</v>
      </c>
      <c r="G17" s="56" t="str">
        <f>INDEX('Infos Clientes'!$J:$J,MATCH('Detalhe Por UC'!C17,'Infos Clientes'!B:B,0))</f>
        <v>trifasico</v>
      </c>
      <c r="H17" s="108" t="s">
        <v>138</v>
      </c>
      <c r="I17" s="58">
        <f>IFERROR(VLOOKUP(C17,'Infos Clientes'!B:E,4,),"")</f>
        <v>306</v>
      </c>
      <c r="J17" s="109">
        <v>0.25</v>
      </c>
      <c r="K17" s="59">
        <f>INDEX('Infos Clientes'!$M:$M,MATCH('Detalhe Por UC'!C17,'Infos Clientes'!B:B,0))</f>
        <v>0.25</v>
      </c>
      <c r="L17" s="110">
        <v>0</v>
      </c>
      <c r="M17" s="56">
        <f>INDEX('Infos Clientes'!$N:$N,MATCH('Detalhe Por UC'!C17,'Infos Clientes'!B:B,0))</f>
        <v>0</v>
      </c>
      <c r="N17" s="56">
        <f t="shared" si="7"/>
        <v>0</v>
      </c>
      <c r="O17" s="56">
        <f t="shared" si="8"/>
        <v>9</v>
      </c>
      <c r="P17" s="56">
        <f t="shared" si="9"/>
        <v>0</v>
      </c>
      <c r="Q17" s="61">
        <f>IFERROR(IFERROR(INDEX('Infos Clientes'!$A$2:$V$9884,MATCH($C17,'Infos Clientes'!$B$2:$B$9884,0),MATCH(Q$8,'Infos Clientes'!$A$2:$V$2,0)),"")
+IF(OR(INDEX('Infos Clientes'!$A$2:$V$9884,MATCH($C17,'Infos Clientes'!$B$2:$B$9884,0),MATCH("Tempo de Fidelidade (meses)",'Infos Clientes'!$A$2:$V$2,0))=0,R17&gt;=MAX(R:R)),0,
ROUND((MAX(R:R)-R17)/(365/12),0)),"")</f>
        <v>0</v>
      </c>
      <c r="R17" s="111">
        <v>45658</v>
      </c>
      <c r="S17" s="112">
        <v>0.01</v>
      </c>
      <c r="T17" s="113" t="str">
        <f>IF($H17="GIROSSOL II",AP17/INDEX('Resumo Operacional'!$A$1:$P$1103,17,MATCH('Detalhe Por UC'!$R17,'Resumo Operacional'!$A$1:$P$1,0)),
IF($H17="GIROSSOL II e III",AP17/INDEX('Resumo Operacional'!$A$1:$P$1103,17,MATCH('Detalhe Por UC'!$R17,'Resumo Operacional'!$A$1:$P$1,0)),
""))</f>
        <v/>
      </c>
      <c r="U17" s="113">
        <f>IF($H17="GIROSSOL III",AP17/INDEX('Resumo Operacional'!$A$1:$P$1103,53,MATCH('Detalhe Por UC'!$R17,'Resumo Operacional'!$A$1:$P$1,0)),
IF($H17="GIROSSOL II e III",AP17/INDEX('Resumo Operacional'!$A$1:$P$1103,53,MATCH('Detalhe Por UC'!$R17,'Resumo Operacional'!$A$1:$P$1,0)),
""))</f>
        <v>9.9412014305631322E-3</v>
      </c>
      <c r="V17" s="12"/>
      <c r="W17" s="12"/>
      <c r="X17" s="35">
        <v>1.1162626262626261</v>
      </c>
      <c r="Y17" s="35">
        <v>0</v>
      </c>
      <c r="Z17" s="35">
        <v>0.98225609756097565</v>
      </c>
      <c r="AA17" s="35">
        <v>0</v>
      </c>
      <c r="AB17" s="35">
        <v>495</v>
      </c>
      <c r="AC17" s="35">
        <v>0</v>
      </c>
      <c r="AD17" s="35">
        <v>164</v>
      </c>
      <c r="AE17" s="35"/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12"/>
      <c r="AL17" s="38"/>
      <c r="AM17" s="1"/>
      <c r="AN17" s="71">
        <f t="shared" si="10"/>
        <v>0</v>
      </c>
      <c r="AO17" s="71">
        <f t="shared" si="11"/>
        <v>0</v>
      </c>
      <c r="AP17" s="71">
        <f t="shared" si="12"/>
        <v>164</v>
      </c>
      <c r="AQ17" s="72">
        <f>IF(OR($H17="GIROSSOL II",$H17="GIROSSOL II e III"),INDEX('Resumo Operacional'!$A$1:$P$1103,MATCH("Energia Injetada prevista total Fatura da Usina (TUSD)",'Resumo Operacional'!$B$1:$B$1103,0),MATCH('Detalhe Por UC'!$R17,'Resumo Operacional'!$A$1:$P$1,0))*$S17,INDEX('Resumo Operacional'!$A$1:$P$1103,53,MATCH('Detalhe Por UC'!$R17,'Resumo Operacional'!$A$1:$P$1,0))*$S17)</f>
        <v>164.97</v>
      </c>
      <c r="AR17" s="71">
        <f t="shared" si="13"/>
        <v>-0.96999999999999886</v>
      </c>
      <c r="AS17" s="73">
        <f t="shared" si="14"/>
        <v>391.45999999999992</v>
      </c>
      <c r="AT17" s="74">
        <f t="shared" si="15"/>
        <v>391.45999999999992</v>
      </c>
      <c r="AU17" s="74">
        <f t="shared" si="16"/>
        <v>0.84824956885932523</v>
      </c>
      <c r="AV17" s="74">
        <f t="shared" si="17"/>
        <v>120.8175</v>
      </c>
      <c r="AW17" s="74">
        <f t="shared" si="18"/>
        <v>0</v>
      </c>
      <c r="AX17" s="74">
        <f t="shared" si="19"/>
        <v>161.09</v>
      </c>
      <c r="AY17" s="74">
        <f t="shared" si="20"/>
        <v>120.82</v>
      </c>
      <c r="AZ17" s="49">
        <v>120.82</v>
      </c>
      <c r="BA17" s="49">
        <v>120.82</v>
      </c>
      <c r="BB17" s="49">
        <v>120.82</v>
      </c>
      <c r="BC17" s="73" t="str">
        <f t="shared" si="21"/>
        <v/>
      </c>
      <c r="BD17" s="73">
        <f t="shared" si="22"/>
        <v>552.54999999999995</v>
      </c>
      <c r="BE17" s="73">
        <f t="shared" si="23"/>
        <v>512.27749999999992</v>
      </c>
      <c r="BF17" s="77">
        <f t="shared" si="24"/>
        <v>40.270000000000003</v>
      </c>
      <c r="BG17" s="77">
        <f t="shared" si="25"/>
        <v>12.081000000000001</v>
      </c>
      <c r="BH17" s="77">
        <f t="shared" si="26"/>
        <v>161.09</v>
      </c>
      <c r="BI17" s="78">
        <f t="shared" si="27"/>
        <v>0.25</v>
      </c>
      <c r="BJ17" s="79">
        <f t="shared" si="28"/>
        <v>7.2880282327391202E-2</v>
      </c>
      <c r="BK17" s="80">
        <f t="shared" si="29"/>
        <v>512.28</v>
      </c>
      <c r="BL17" s="80">
        <f t="shared" si="30"/>
        <v>40.269999999999982</v>
      </c>
      <c r="BM17" s="79">
        <f t="shared" si="31"/>
        <v>7.288028232739116E-2</v>
      </c>
      <c r="BN17" s="81">
        <f t="shared" si="32"/>
        <v>0.73670731707317072</v>
      </c>
      <c r="BO17" s="82">
        <f t="shared" si="33"/>
        <v>120.82</v>
      </c>
      <c r="BP17" s="81">
        <f t="shared" si="34"/>
        <v>0.73670731707317072</v>
      </c>
      <c r="BQ17" s="81">
        <f t="shared" si="35"/>
        <v>0.87071384577482114</v>
      </c>
      <c r="BR17" s="81">
        <f t="shared" si="36"/>
        <v>1.1162626262626261</v>
      </c>
      <c r="BS17" s="82">
        <f t="shared" si="37"/>
        <v>164</v>
      </c>
      <c r="BT17" s="82">
        <f t="shared" si="38"/>
        <v>183.06707070707068</v>
      </c>
      <c r="BU17" s="82">
        <f t="shared" si="39"/>
        <v>161.09</v>
      </c>
      <c r="BV17"/>
      <c r="BW17" s="82">
        <f>IFERROR(INDEX('Infos Clientes'!$T:$T,MATCH('Detalhe Por UC'!$C17,'Infos Clientes'!B:B,0)),"")</f>
        <v>286.5</v>
      </c>
      <c r="BX17" s="83">
        <f t="shared" si="40"/>
        <v>0</v>
      </c>
      <c r="BY17" s="84">
        <f t="shared" si="41"/>
        <v>0.21997402287840642</v>
      </c>
      <c r="BZ17" s="85">
        <f>IF(_xlfn.MINIFS('Detalhe Por UC'!R:R,'Detalhe Por UC'!C:C,C17,'Detalhe Por UC'!AD:AD,"&gt;"&amp;0)=0,"",_xlfn.MINIFS('Detalhe Por UC'!R:R,'Detalhe Por UC'!C:C,C17,'Detalhe Por UC'!AD:AD,"&gt;"&amp;0))</f>
        <v>45658</v>
      </c>
      <c r="CA17" s="114">
        <f ca="1">IF(OR(S17&gt;0,AD17&gt;0),IFERROR(
SUMIFS(INDIRECT("'Infos Clientes'!$W"&amp;INDEX('Infos Clientes'!$C:$C,MATCH(C17,'Infos Clientes'!$H:$H,0))&amp;":$CZ"&amp;INDEX('Infos Clientes'!$C:$C,MATCH(C17,'Infos Clientes'!$H:$H,0))),'Infos Clientes'!$W$2:$CZ$2,"&gt;"&amp;$R17-365,'Infos Clientes'!$W$2:$CZ$2,"&lt;="&amp;$R17)/
COUNTIFS(INDIRECT("'Infos Clientes'!$W"&amp;INDEX('Infos Clientes'!$C:$C,MATCH(C17,'Infos Clientes'!$H:$H,0))&amp;":$CZ"&amp;INDEX('Infos Clientes'!$C:$C,MATCH(C17,'Infos Clientes'!$H:$H,0))),"&gt;="&amp;0,'Infos Clientes'!$W$2:$CZ$2,"&gt;"&amp;$R17-365,'Infos Clientes'!$W$2:$CZ$2,"&lt;="&amp;$R17),""),"")</f>
        <v>286.5</v>
      </c>
      <c r="CB17" s="87">
        <f>VLOOKUP(C17,'Infos Clientes'!B:L,11,0)</f>
        <v>0</v>
      </c>
      <c r="CC17" s="88" t="str">
        <f t="shared" si="42"/>
        <v>A Unidade Consumidora 10/2794432-1 economizou R$40,27 na fatura referente à jan/2025  consumindo 164 kWh em créditos de energia renovável conforme fatura de energia. A economia foi de 25% em relação ao que seria pago para a Energisa considerando os créditos consumidos. Atenção: Mantenha as contas da Energisa em dia para evitar cortes.</v>
      </c>
      <c r="CD17" s="40" t="s">
        <v>50</v>
      </c>
      <c r="CF17" s="115">
        <f t="shared" si="43"/>
        <v>-391.45999999999992</v>
      </c>
    </row>
    <row r="18" spans="1:84" s="104" customFormat="1" ht="16.2" hidden="1" customHeight="1" x14ac:dyDescent="0.3">
      <c r="A18" s="105" t="str">
        <f>INDEX('Infos Clientes'!$D:$D,MATCH('Detalhe Por UC'!C18,'Infos Clientes'!B:B,0))</f>
        <v>IGREJA DO EVANGELHO QUADRANGULAR</v>
      </c>
      <c r="B18" s="106" t="str">
        <f>INDEX('Infos Clientes'!$F:$F,MATCH('Detalhe Por UC'!C18,'Infos Clientes'!B:B,0))</f>
        <v>62.955.505/1973-60</v>
      </c>
      <c r="C18" s="31" t="s">
        <v>51</v>
      </c>
      <c r="D18" t="s">
        <v>351</v>
      </c>
      <c r="E18" s="1" t="s">
        <v>352</v>
      </c>
      <c r="F18" s="56" t="str">
        <f>INDEX('Infos Clientes'!$I:$I,MATCH('Detalhe Por UC'!C18,'Infos Clientes'!B:B,0))</f>
        <v>BT</v>
      </c>
      <c r="G18" s="56" t="str">
        <f>INDEX('Infos Clientes'!$J:$J,MATCH('Detalhe Por UC'!C18,'Infos Clientes'!B:B,0))</f>
        <v>trifasico</v>
      </c>
      <c r="H18" s="108" t="s">
        <v>24</v>
      </c>
      <c r="I18" s="58">
        <f>IFERROR(VLOOKUP(C18,'Infos Clientes'!B:E,4,),"")</f>
        <v>360</v>
      </c>
      <c r="J18" s="109">
        <v>0.25</v>
      </c>
      <c r="K18" s="59">
        <f>INDEX('Infos Clientes'!$M:$M,MATCH('Detalhe Por UC'!C18,'Infos Clientes'!B:B,0))</f>
        <v>0.25</v>
      </c>
      <c r="L18" s="110">
        <v>0</v>
      </c>
      <c r="M18" s="56">
        <f>INDEX('Infos Clientes'!$N:$N,MATCH('Detalhe Por UC'!C18,'Infos Clientes'!B:B,0))</f>
        <v>0</v>
      </c>
      <c r="N18" s="56">
        <f t="shared" si="7"/>
        <v>0</v>
      </c>
      <c r="O18" s="56">
        <f t="shared" si="8"/>
        <v>9</v>
      </c>
      <c r="P18" s="56">
        <f t="shared" si="9"/>
        <v>0</v>
      </c>
      <c r="Q18" s="61">
        <f>IFERROR(IFERROR(INDEX('Infos Clientes'!$A$2:$V$9884,MATCH($C18,'Infos Clientes'!$B$2:$B$9884,0),MATCH(Q$8,'Infos Clientes'!$A$2:$V$2,0)),"")
+IF(OR(INDEX('Infos Clientes'!$A$2:$V$9884,MATCH($C18,'Infos Clientes'!$B$2:$B$9884,0),MATCH("Tempo de Fidelidade (meses)",'Infos Clientes'!$A$2:$V$2,0))=0,R18&gt;=MAX(R:R)),0,
ROUND((MAX(R:R)-R18)/(365/12),0)),"")</f>
        <v>0</v>
      </c>
      <c r="R18" s="111">
        <v>45658</v>
      </c>
      <c r="S18" s="112">
        <v>0.01</v>
      </c>
      <c r="T18" s="113">
        <f>IF($H18="GIROSSOL II",AP18/INDEX('Resumo Operacional'!$A$1:$P$1103,17,MATCH('Detalhe Por UC'!$R18,'Resumo Operacional'!$A$1:$P$1,0)),
IF($H18="GIROSSOL II e III",AP18/INDEX('Resumo Operacional'!$A$1:$P$1103,17,MATCH('Detalhe Por UC'!$R18,'Resumo Operacional'!$A$1:$P$1,0)),
""))</f>
        <v>8.8655038200951414E-3</v>
      </c>
      <c r="U18" s="113" t="str">
        <f>IF($H18="GIROSSOL III",AP18/INDEX('Resumo Operacional'!$A$1:$P$1103,53,MATCH('Detalhe Por UC'!$R18,'Resumo Operacional'!$A$1:$P$1,0)),
IF($H18="GIROSSOL II e III",AP18/INDEX('Resumo Operacional'!$A$1:$P$1103,53,MATCH('Detalhe Por UC'!$R18,'Resumo Operacional'!$A$1:$P$1,0)),
""))</f>
        <v/>
      </c>
      <c r="V18" s="12"/>
      <c r="W18" s="12"/>
      <c r="X18" s="35">
        <v>1.1162650602409638</v>
      </c>
      <c r="Y18" s="35">
        <v>0</v>
      </c>
      <c r="Z18" s="35">
        <v>1.1161637931034485</v>
      </c>
      <c r="AA18" s="35">
        <v>0</v>
      </c>
      <c r="AB18" s="35">
        <v>332</v>
      </c>
      <c r="AC18" s="35">
        <v>0</v>
      </c>
      <c r="AD18" s="35">
        <v>232</v>
      </c>
      <c r="AE18" s="35"/>
      <c r="AF18" s="35">
        <v>268</v>
      </c>
      <c r="AG18" s="35">
        <v>0</v>
      </c>
      <c r="AH18" s="35">
        <v>76.660000000000011</v>
      </c>
      <c r="AI18" s="35">
        <v>0</v>
      </c>
      <c r="AJ18" s="35">
        <v>0</v>
      </c>
      <c r="AK18" s="12"/>
      <c r="AL18" s="38"/>
      <c r="AM18" s="1"/>
      <c r="AN18" s="71">
        <f t="shared" si="10"/>
        <v>-109</v>
      </c>
      <c r="AO18" s="71">
        <f t="shared" si="11"/>
        <v>0</v>
      </c>
      <c r="AP18" s="71">
        <f t="shared" si="12"/>
        <v>123</v>
      </c>
      <c r="AQ18" s="72">
        <f>IF(OR($H18="GIROSSOL II",$H18="GIROSSOL II e III"),INDEX('Resumo Operacional'!$A$1:$P$1103,MATCH("Energia Injetada prevista total Fatura da Usina (TUSD)",'Resumo Operacional'!$B$1:$B$1103,0),MATCH('Detalhe Por UC'!$R18,'Resumo Operacional'!$A$1:$P$1,0))*$S18,INDEX('Resumo Operacional'!$A$1:$P$1103,53,MATCH('Detalhe Por UC'!$R18,'Resumo Operacional'!$A$1:$P$1,0))*$S18)</f>
        <v>138.74</v>
      </c>
      <c r="AR18" s="71">
        <f t="shared" si="13"/>
        <v>-15.740000000000009</v>
      </c>
      <c r="AS18" s="73">
        <f t="shared" si="14"/>
        <v>188.30999999999995</v>
      </c>
      <c r="AT18" s="74">
        <f t="shared" si="15"/>
        <v>188.30999999999995</v>
      </c>
      <c r="AU18" s="74">
        <f t="shared" si="16"/>
        <v>1.1160625259659331</v>
      </c>
      <c r="AV18" s="74">
        <f t="shared" si="17"/>
        <v>194.21250000000003</v>
      </c>
      <c r="AW18" s="74">
        <f t="shared" si="18"/>
        <v>0</v>
      </c>
      <c r="AX18" s="74">
        <f t="shared" si="19"/>
        <v>258.95000000000005</v>
      </c>
      <c r="AY18" s="74">
        <f t="shared" si="20"/>
        <v>194.21</v>
      </c>
      <c r="AZ18" s="49">
        <v>194.21</v>
      </c>
      <c r="BA18" s="49">
        <v>194.21</v>
      </c>
      <c r="BB18" s="49"/>
      <c r="BC18" s="73" t="str">
        <f t="shared" si="21"/>
        <v/>
      </c>
      <c r="BD18" s="73">
        <f t="shared" si="22"/>
        <v>447.26</v>
      </c>
      <c r="BE18" s="73">
        <f t="shared" si="23"/>
        <v>382.52249999999998</v>
      </c>
      <c r="BF18" s="77">
        <f t="shared" si="24"/>
        <v>64.739999999999995</v>
      </c>
      <c r="BG18" s="77">
        <f t="shared" si="25"/>
        <v>19.421999999999997</v>
      </c>
      <c r="BH18" s="77">
        <f t="shared" si="26"/>
        <v>258.9500000000001</v>
      </c>
      <c r="BI18" s="78">
        <f t="shared" si="27"/>
        <v>0.25</v>
      </c>
      <c r="BJ18" s="79">
        <f t="shared" si="28"/>
        <v>0.14474802128515851</v>
      </c>
      <c r="BK18" s="80">
        <f t="shared" si="29"/>
        <v>382.52</v>
      </c>
      <c r="BL18" s="80">
        <f t="shared" si="30"/>
        <v>64.740000000000009</v>
      </c>
      <c r="BM18" s="79">
        <f t="shared" si="31"/>
        <v>0.14474802128515854</v>
      </c>
      <c r="BN18" s="81">
        <f t="shared" si="32"/>
        <v>0.83711206896551726</v>
      </c>
      <c r="BO18" s="82">
        <f t="shared" si="33"/>
        <v>194.21</v>
      </c>
      <c r="BP18" s="81">
        <f t="shared" si="34"/>
        <v>0.83711206896551726</v>
      </c>
      <c r="BQ18" s="81">
        <f t="shared" si="35"/>
        <v>0.83721333610303261</v>
      </c>
      <c r="BR18" s="81">
        <f t="shared" si="36"/>
        <v>1.1162650602409641</v>
      </c>
      <c r="BS18" s="82">
        <f t="shared" si="37"/>
        <v>232</v>
      </c>
      <c r="BT18" s="82">
        <f t="shared" si="38"/>
        <v>258.97349397590364</v>
      </c>
      <c r="BU18" s="82">
        <f t="shared" si="39"/>
        <v>258.95000000000005</v>
      </c>
      <c r="BV18"/>
      <c r="BW18" s="82">
        <f>IFERROR(INDEX('Infos Clientes'!$T:$T,MATCH('Detalhe Por UC'!$C18,'Infos Clientes'!B:B,0)),"")</f>
        <v>185.66666666666666</v>
      </c>
      <c r="BX18" s="83">
        <f t="shared" si="40"/>
        <v>0</v>
      </c>
      <c r="BY18" s="84">
        <f t="shared" si="41"/>
        <v>0.24998697359361352</v>
      </c>
      <c r="BZ18" s="85">
        <f>IF(_xlfn.MINIFS('Detalhe Por UC'!R:R,'Detalhe Por UC'!C:C,C18,'Detalhe Por UC'!AD:AD,"&gt;"&amp;0)=0,"",_xlfn.MINIFS('Detalhe Por UC'!R:R,'Detalhe Por UC'!C:C,C18,'Detalhe Por UC'!AD:AD,"&gt;"&amp;0))</f>
        <v>45627</v>
      </c>
      <c r="CA18" s="114">
        <f ca="1">IF(OR(S18&gt;0,AD18&gt;0),IFERROR(
SUMIFS(INDIRECT("'Infos Clientes'!$W"&amp;INDEX('Infos Clientes'!$C:$C,MATCH(C18,'Infos Clientes'!$H:$H,0))&amp;":$CZ"&amp;INDEX('Infos Clientes'!$C:$C,MATCH(C18,'Infos Clientes'!$H:$H,0))),'Infos Clientes'!$W$2:$CZ$2,"&gt;"&amp;$R18-365,'Infos Clientes'!$W$2:$CZ$2,"&lt;="&amp;$R18)/
COUNTIFS(INDIRECT("'Infos Clientes'!$W"&amp;INDEX('Infos Clientes'!$C:$C,MATCH(C18,'Infos Clientes'!$H:$H,0))&amp;":$CZ"&amp;INDEX('Infos Clientes'!$C:$C,MATCH(C18,'Infos Clientes'!$H:$H,0))),"&gt;="&amp;0,'Infos Clientes'!$W$2:$CZ$2,"&gt;"&amp;$R18-365,'Infos Clientes'!$W$2:$CZ$2,"&lt;="&amp;$R18),""),"")</f>
        <v>185.66666666666666</v>
      </c>
      <c r="CB18" s="87">
        <f>VLOOKUP(C18,'Infos Clientes'!B:L,11,0)</f>
        <v>0</v>
      </c>
      <c r="CC18" s="88" t="str">
        <f t="shared" si="42"/>
        <v>A Unidade Consumidora 10/162736-3 economizou R$64,74 na fatura referente à jan/2025  consumindo 232 kWh em créditos de energia renovável conforme fatura de energia. A economia foi de 25% em relação ao que seria pago para a Energisa considerando os créditos consumidos. Atenção: Mantenha as contas da Energisa em dia para evitar cortes.</v>
      </c>
      <c r="CD18" s="40" t="s">
        <v>53</v>
      </c>
      <c r="CF18" s="115">
        <f t="shared" si="43"/>
        <v>-188.30999999999995</v>
      </c>
    </row>
    <row r="19" spans="1:84" s="104" customFormat="1" ht="16.2" hidden="1" customHeight="1" x14ac:dyDescent="0.3">
      <c r="A19" s="105" t="str">
        <f>INDEX('Infos Clientes'!$D:$D,MATCH('Detalhe Por UC'!C19,'Infos Clientes'!B:B,0))</f>
        <v>IGREJA DO EVANGELHO QUADRANGULAR</v>
      </c>
      <c r="B19" s="106" t="str">
        <f>INDEX('Infos Clientes'!$F:$F,MATCH('Detalhe Por UC'!C19,'Infos Clientes'!B:B,0))</f>
        <v>62.955.505/0172-13</v>
      </c>
      <c r="C19" s="31" t="s">
        <v>54</v>
      </c>
      <c r="D19" t="s">
        <v>351</v>
      </c>
      <c r="E19" s="1" t="s">
        <v>352</v>
      </c>
      <c r="F19" s="56" t="str">
        <f>INDEX('Infos Clientes'!$I:$I,MATCH('Detalhe Por UC'!C19,'Infos Clientes'!B:B,0))</f>
        <v>BT</v>
      </c>
      <c r="G19" s="56" t="str">
        <f>INDEX('Infos Clientes'!$J:$J,MATCH('Detalhe Por UC'!C19,'Infos Clientes'!B:B,0))</f>
        <v>trifasico</v>
      </c>
      <c r="H19" s="108" t="s">
        <v>24</v>
      </c>
      <c r="I19" s="58">
        <f>IFERROR(VLOOKUP(C19,'Infos Clientes'!B:E,4,),"")</f>
        <v>371</v>
      </c>
      <c r="J19" s="109">
        <v>0.25</v>
      </c>
      <c r="K19" s="59">
        <f>INDEX('Infos Clientes'!$M:$M,MATCH('Detalhe Por UC'!C19,'Infos Clientes'!B:B,0))</f>
        <v>0.25</v>
      </c>
      <c r="L19" s="110">
        <v>0</v>
      </c>
      <c r="M19" s="56">
        <f>INDEX('Infos Clientes'!$N:$N,MATCH('Detalhe Por UC'!C19,'Infos Clientes'!B:B,0))</f>
        <v>0</v>
      </c>
      <c r="N19" s="56">
        <f t="shared" si="7"/>
        <v>0</v>
      </c>
      <c r="O19" s="56">
        <f t="shared" si="8"/>
        <v>12</v>
      </c>
      <c r="P19" s="56">
        <f t="shared" si="9"/>
        <v>0</v>
      </c>
      <c r="Q19" s="61">
        <f>IFERROR(IFERROR(INDEX('Infos Clientes'!$A$2:$V$9884,MATCH($C19,'Infos Clientes'!$B$2:$B$9884,0),MATCH(Q$8,'Infos Clientes'!$A$2:$V$2,0)),"")
+IF(OR(INDEX('Infos Clientes'!$A$2:$V$9884,MATCH($C19,'Infos Clientes'!$B$2:$B$9884,0),MATCH("Tempo de Fidelidade (meses)",'Infos Clientes'!$A$2:$V$2,0))=0,R19&gt;=MAX(R:R)),0,
ROUND((MAX(R:R)-R19)/(365/12),0)),"")</f>
        <v>0</v>
      </c>
      <c r="R19" s="111">
        <v>45658</v>
      </c>
      <c r="S19" s="112">
        <v>5.0000000000000001E-3</v>
      </c>
      <c r="T19" s="113">
        <f>IF($H19="GIROSSOL II",AP19/INDEX('Resumo Operacional'!$A$1:$P$1103,17,MATCH('Detalhe Por UC'!$R19,'Resumo Operacional'!$A$1:$P$1,0)),
IF($H19="GIROSSOL II e III",AP19/INDEX('Resumo Operacional'!$A$1:$P$1103,17,MATCH('Detalhe Por UC'!$R19,'Resumo Operacional'!$A$1:$P$1,0)),
""))</f>
        <v>8.8655038200951414E-3</v>
      </c>
      <c r="U19" s="113" t="str">
        <f>IF($H19="GIROSSOL III",AP19/INDEX('Resumo Operacional'!$A$1:$P$1103,53,MATCH('Detalhe Por UC'!$R19,'Resumo Operacional'!$A$1:$P$1,0)),
IF($H19="GIROSSOL II e III",AP19/INDEX('Resumo Operacional'!$A$1:$P$1103,53,MATCH('Detalhe Por UC'!$R19,'Resumo Operacional'!$A$1:$P$1,0)),
""))</f>
        <v/>
      </c>
      <c r="V19" s="12"/>
      <c r="W19" s="12"/>
      <c r="X19" s="35">
        <v>1.1162382445141066</v>
      </c>
      <c r="Y19" s="35">
        <v>0</v>
      </c>
      <c r="Z19" s="35">
        <v>1.116255707762557</v>
      </c>
      <c r="AA19" s="35">
        <v>0</v>
      </c>
      <c r="AB19" s="35">
        <v>319</v>
      </c>
      <c r="AC19" s="35">
        <v>0</v>
      </c>
      <c r="AD19" s="35">
        <v>219</v>
      </c>
      <c r="AE19" s="35"/>
      <c r="AF19" s="35">
        <v>3819</v>
      </c>
      <c r="AG19" s="35">
        <v>0</v>
      </c>
      <c r="AH19" s="35">
        <v>42.9</v>
      </c>
      <c r="AI19" s="35">
        <v>0</v>
      </c>
      <c r="AJ19" s="35">
        <v>0</v>
      </c>
      <c r="AK19" s="12"/>
      <c r="AL19" s="38"/>
      <c r="AM19" s="1"/>
      <c r="AN19" s="71">
        <f t="shared" si="10"/>
        <v>-96</v>
      </c>
      <c r="AO19" s="71">
        <f t="shared" si="11"/>
        <v>0</v>
      </c>
      <c r="AP19" s="71">
        <f t="shared" si="12"/>
        <v>123</v>
      </c>
      <c r="AQ19" s="72">
        <f>IF(OR($H19="GIROSSOL II",$H19="GIROSSOL II e III"),INDEX('Resumo Operacional'!$A$1:$P$1103,MATCH("Energia Injetada prevista total Fatura da Usina (TUSD)",'Resumo Operacional'!$B$1:$B$1103,0),MATCH('Detalhe Por UC'!$R19,'Resumo Operacional'!$A$1:$P$1,0))*$S19,INDEX('Resumo Operacional'!$A$1:$P$1103,53,MATCH('Detalhe Por UC'!$R19,'Resumo Operacional'!$A$1:$P$1,0))*$S19)</f>
        <v>69.37</v>
      </c>
      <c r="AR19" s="71">
        <f t="shared" si="13"/>
        <v>53.629999999999995</v>
      </c>
      <c r="AS19" s="73">
        <f t="shared" si="14"/>
        <v>154.52000000000001</v>
      </c>
      <c r="AT19" s="74">
        <f t="shared" si="15"/>
        <v>154.52000000000001</v>
      </c>
      <c r="AU19" s="74">
        <f t="shared" si="16"/>
        <v>1.1162731710110074</v>
      </c>
      <c r="AV19" s="74">
        <f t="shared" si="17"/>
        <v>183.345</v>
      </c>
      <c r="AW19" s="74">
        <f t="shared" si="18"/>
        <v>0</v>
      </c>
      <c r="AX19" s="74">
        <f t="shared" si="19"/>
        <v>244.45999999999998</v>
      </c>
      <c r="AY19" s="74">
        <f t="shared" si="20"/>
        <v>183.35</v>
      </c>
      <c r="AZ19" s="49">
        <v>183.35</v>
      </c>
      <c r="BA19" s="49">
        <v>183.35</v>
      </c>
      <c r="BB19" s="49">
        <v>183.35</v>
      </c>
      <c r="BC19" s="73" t="str">
        <f t="shared" si="21"/>
        <v/>
      </c>
      <c r="BD19" s="73">
        <f t="shared" si="22"/>
        <v>398.97999999999996</v>
      </c>
      <c r="BE19" s="73">
        <f t="shared" si="23"/>
        <v>337.86500000000001</v>
      </c>
      <c r="BF19" s="77">
        <f t="shared" si="24"/>
        <v>61.12</v>
      </c>
      <c r="BG19" s="77">
        <f t="shared" si="25"/>
        <v>18.335999999999999</v>
      </c>
      <c r="BH19" s="77">
        <f t="shared" si="26"/>
        <v>244.45999999999998</v>
      </c>
      <c r="BI19" s="78">
        <f t="shared" si="27"/>
        <v>0.25</v>
      </c>
      <c r="BJ19" s="79">
        <f t="shared" si="28"/>
        <v>0.1531906361221114</v>
      </c>
      <c r="BK19" s="80">
        <f t="shared" si="29"/>
        <v>337.87</v>
      </c>
      <c r="BL19" s="80">
        <f t="shared" si="30"/>
        <v>61.109999999999957</v>
      </c>
      <c r="BM19" s="79">
        <f t="shared" si="31"/>
        <v>0.15316557220913318</v>
      </c>
      <c r="BN19" s="81">
        <f t="shared" si="32"/>
        <v>0.83721461187214608</v>
      </c>
      <c r="BO19" s="82">
        <f t="shared" si="33"/>
        <v>183.35</v>
      </c>
      <c r="BP19" s="81">
        <f t="shared" si="34"/>
        <v>0.83721461187214608</v>
      </c>
      <c r="BQ19" s="81">
        <f t="shared" si="35"/>
        <v>0.83719714862369565</v>
      </c>
      <c r="BR19" s="81">
        <f t="shared" si="36"/>
        <v>1.1162382445141066</v>
      </c>
      <c r="BS19" s="82">
        <f t="shared" si="37"/>
        <v>219</v>
      </c>
      <c r="BT19" s="82">
        <f t="shared" si="38"/>
        <v>244.45617554858933</v>
      </c>
      <c r="BU19" s="82">
        <f t="shared" si="39"/>
        <v>244.45999999999998</v>
      </c>
      <c r="BV19"/>
      <c r="BW19" s="82">
        <f>IFERROR(INDEX('Infos Clientes'!$T:$T,MATCH('Detalhe Por UC'!$C19,'Infos Clientes'!B:B,0)),"")</f>
        <v>418.16666666666669</v>
      </c>
      <c r="BX19" s="83">
        <f t="shared" si="40"/>
        <v>0</v>
      </c>
      <c r="BY19" s="84">
        <f t="shared" si="41"/>
        <v>0.24998345761918975</v>
      </c>
      <c r="BZ19" s="85">
        <f>IF(_xlfn.MINIFS('Detalhe Por UC'!R:R,'Detalhe Por UC'!C:C,C19,'Detalhe Por UC'!AD:AD,"&gt;"&amp;0)=0,"",_xlfn.MINIFS('Detalhe Por UC'!R:R,'Detalhe Por UC'!C:C,C19,'Detalhe Por UC'!AD:AD,"&gt;"&amp;0))</f>
        <v>45627</v>
      </c>
      <c r="CA19" s="114">
        <f ca="1">IF(OR(S19&gt;0,AD19&gt;0),IFERROR(
SUMIFS(INDIRECT("'Infos Clientes'!$W"&amp;INDEX('Infos Clientes'!$C:$C,MATCH(C19,'Infos Clientes'!$H:$H,0))&amp;":$CZ"&amp;INDEX('Infos Clientes'!$C:$C,MATCH(C19,'Infos Clientes'!$H:$H,0))),'Infos Clientes'!$W$2:$CZ$2,"&gt;"&amp;$R19-365,'Infos Clientes'!$W$2:$CZ$2,"&lt;="&amp;$R19)/
COUNTIFS(INDIRECT("'Infos Clientes'!$W"&amp;INDEX('Infos Clientes'!$C:$C,MATCH(C19,'Infos Clientes'!$H:$H,0))&amp;":$CZ"&amp;INDEX('Infos Clientes'!$C:$C,MATCH(C19,'Infos Clientes'!$H:$H,0))),"&gt;="&amp;0,'Infos Clientes'!$W$2:$CZ$2,"&gt;"&amp;$R19-365,'Infos Clientes'!$W$2:$CZ$2,"&lt;="&amp;$R19),""),"")</f>
        <v>418.16666666666669</v>
      </c>
      <c r="CB19" s="87">
        <f>VLOOKUP(C19,'Infos Clientes'!B:L,11,0)</f>
        <v>0</v>
      </c>
      <c r="CC19" s="88" t="str">
        <f t="shared" si="42"/>
        <v>A Unidade Consumidora 10/1672452-8 economizou R$61,12 na fatura referente à jan/2025  consumindo 219 kWh em créditos de energia renovável conforme fatura de energia. A economia foi de 25% em relação ao que seria pago para a Energisa considerando os créditos consumidos. Atenção: Mantenha as contas da Energisa em dia para evitar cortes.</v>
      </c>
      <c r="CD19" s="40" t="s">
        <v>56</v>
      </c>
      <c r="CF19" s="115">
        <f t="shared" si="43"/>
        <v>-154.52000000000001</v>
      </c>
    </row>
    <row r="20" spans="1:84" s="104" customFormat="1" ht="16.2" hidden="1" customHeight="1" x14ac:dyDescent="0.3">
      <c r="A20" s="105" t="str">
        <f>INDEX('Infos Clientes'!$D:$D,MATCH('Detalhe Por UC'!C20,'Infos Clientes'!B:B,0))</f>
        <v>IGREJA DO EVANGELHO QUADRANGULAR</v>
      </c>
      <c r="B20" s="106" t="str">
        <f>INDEX('Infos Clientes'!$F:$F,MATCH('Detalhe Por UC'!C20,'Infos Clientes'!B:B,0))</f>
        <v>62.955.505/4612-10</v>
      </c>
      <c r="C20" s="31" t="s">
        <v>57</v>
      </c>
      <c r="D20" t="s">
        <v>351</v>
      </c>
      <c r="E20" s="1" t="s">
        <v>352</v>
      </c>
      <c r="F20" s="56" t="str">
        <f>INDEX('Infos Clientes'!$I:$I,MATCH('Detalhe Por UC'!C20,'Infos Clientes'!B:B,0))</f>
        <v>BT</v>
      </c>
      <c r="G20" s="56" t="str">
        <f>INDEX('Infos Clientes'!$J:$J,MATCH('Detalhe Por UC'!C20,'Infos Clientes'!B:B,0))</f>
        <v>trifasico</v>
      </c>
      <c r="H20" s="108" t="s">
        <v>24</v>
      </c>
      <c r="I20" s="58">
        <f>IFERROR(VLOOKUP(C20,'Infos Clientes'!B:E,4,),"")</f>
        <v>306</v>
      </c>
      <c r="J20" s="109">
        <v>0.25</v>
      </c>
      <c r="K20" s="59">
        <f>INDEX('Infos Clientes'!$M:$M,MATCH('Detalhe Por UC'!C20,'Infos Clientes'!B:B,0))</f>
        <v>0.25</v>
      </c>
      <c r="L20" s="110">
        <v>0</v>
      </c>
      <c r="M20" s="56">
        <f>INDEX('Infos Clientes'!$N:$N,MATCH('Detalhe Por UC'!C20,'Infos Clientes'!B:B,0))</f>
        <v>0</v>
      </c>
      <c r="N20" s="56">
        <f t="shared" si="7"/>
        <v>0</v>
      </c>
      <c r="O20" s="56">
        <f t="shared" si="8"/>
        <v>12</v>
      </c>
      <c r="P20" s="56">
        <f t="shared" si="9"/>
        <v>0</v>
      </c>
      <c r="Q20" s="61">
        <f>IFERROR(IFERROR(INDEX('Infos Clientes'!$A$2:$V$9884,MATCH($C20,'Infos Clientes'!$B$2:$B$9884,0),MATCH(Q$8,'Infos Clientes'!$A$2:$V$2,0)),"")
+IF(OR(INDEX('Infos Clientes'!$A$2:$V$9884,MATCH($C20,'Infos Clientes'!$B$2:$B$9884,0),MATCH("Tempo de Fidelidade (meses)",'Infos Clientes'!$A$2:$V$2,0))=0,R20&gt;=MAX(R:R)),0,
ROUND((MAX(R:R)-R20)/(365/12),0)),"")</f>
        <v>0</v>
      </c>
      <c r="R20" s="111">
        <v>45658</v>
      </c>
      <c r="S20" s="112">
        <v>6.0000000000000001E-3</v>
      </c>
      <c r="T20" s="113">
        <f>IF($H20="GIROSSOL II",AP20/INDEX('Resumo Operacional'!$A$1:$P$1103,17,MATCH('Detalhe Por UC'!$R20,'Resumo Operacional'!$A$1:$P$1,0)),
IF($H20="GIROSSOL II e III",AP20/INDEX('Resumo Operacional'!$A$1:$P$1103,17,MATCH('Detalhe Por UC'!$R20,'Resumo Operacional'!$A$1:$P$1,0)),
""))</f>
        <v>1.7731007640190283E-2</v>
      </c>
      <c r="U20" s="113" t="str">
        <f>IF($H20="GIROSSOL III",AP20/INDEX('Resumo Operacional'!$A$1:$P$1103,53,MATCH('Detalhe Por UC'!$R20,'Resumo Operacional'!$A$1:$P$1,0)),
IF($H20="GIROSSOL II e III",AP20/INDEX('Resumo Operacional'!$A$1:$P$1103,53,MATCH('Detalhe Por UC'!$R20,'Resumo Operacional'!$A$1:$P$1,0)),
""))</f>
        <v/>
      </c>
      <c r="V20" s="12"/>
      <c r="W20" s="12"/>
      <c r="X20" s="35">
        <v>1.1162665066026412</v>
      </c>
      <c r="Y20" s="35">
        <v>0</v>
      </c>
      <c r="Z20" s="35">
        <v>1.1162601626016262</v>
      </c>
      <c r="AA20" s="35">
        <v>0</v>
      </c>
      <c r="AB20" s="35">
        <v>833</v>
      </c>
      <c r="AC20" s="35">
        <v>0</v>
      </c>
      <c r="AD20" s="35">
        <v>246</v>
      </c>
      <c r="AE20" s="35"/>
      <c r="AF20" s="35">
        <v>0</v>
      </c>
      <c r="AG20" s="35">
        <v>0</v>
      </c>
      <c r="AH20" s="35">
        <v>90.43</v>
      </c>
      <c r="AI20" s="35">
        <v>0</v>
      </c>
      <c r="AJ20" s="35">
        <v>0</v>
      </c>
      <c r="AK20" s="12"/>
      <c r="AL20" s="38"/>
      <c r="AM20" s="1"/>
      <c r="AN20" s="71">
        <f t="shared" si="10"/>
        <v>0</v>
      </c>
      <c r="AO20" s="71">
        <f t="shared" si="11"/>
        <v>0</v>
      </c>
      <c r="AP20" s="71">
        <f t="shared" si="12"/>
        <v>246</v>
      </c>
      <c r="AQ20" s="72">
        <f>IF(OR($H20="GIROSSOL II",$H20="GIROSSOL II e III"),INDEX('Resumo Operacional'!$A$1:$P$1103,MATCH("Energia Injetada prevista total Fatura da Usina (TUSD)",'Resumo Operacional'!$B$1:$B$1103,0),MATCH('Detalhe Por UC'!$R20,'Resumo Operacional'!$A$1:$P$1,0))*$S20,INDEX('Resumo Operacional'!$A$1:$P$1103,53,MATCH('Detalhe Por UC'!$R20,'Resumo Operacional'!$A$1:$P$1,0))*$S20)</f>
        <v>83.244</v>
      </c>
      <c r="AR20" s="71">
        <f t="shared" si="13"/>
        <v>162.756</v>
      </c>
      <c r="AS20" s="73">
        <f t="shared" si="14"/>
        <v>745.68000000000006</v>
      </c>
      <c r="AT20" s="74">
        <f t="shared" si="15"/>
        <v>745.68000000000006</v>
      </c>
      <c r="AU20" s="74">
        <f t="shared" si="16"/>
        <v>1.1162538186006112</v>
      </c>
      <c r="AV20" s="74">
        <f t="shared" si="17"/>
        <v>205.95000000000005</v>
      </c>
      <c r="AW20" s="74">
        <f t="shared" si="18"/>
        <v>0</v>
      </c>
      <c r="AX20" s="74">
        <f t="shared" si="19"/>
        <v>274.60000000000002</v>
      </c>
      <c r="AY20" s="74">
        <f t="shared" si="20"/>
        <v>205.95</v>
      </c>
      <c r="AZ20" s="49">
        <v>205.95</v>
      </c>
      <c r="BA20" s="49">
        <v>205.95</v>
      </c>
      <c r="BB20" s="49">
        <v>205.95</v>
      </c>
      <c r="BC20" s="73" t="str">
        <f t="shared" si="21"/>
        <v/>
      </c>
      <c r="BD20" s="73">
        <f t="shared" si="22"/>
        <v>1020.28</v>
      </c>
      <c r="BE20" s="73">
        <f t="shared" si="23"/>
        <v>951.63000000000011</v>
      </c>
      <c r="BF20" s="77">
        <f t="shared" si="24"/>
        <v>68.650000000000006</v>
      </c>
      <c r="BG20" s="77">
        <f t="shared" si="25"/>
        <v>20.595000000000002</v>
      </c>
      <c r="BH20" s="77">
        <f t="shared" si="26"/>
        <v>274.60000000000002</v>
      </c>
      <c r="BI20" s="78">
        <f t="shared" si="27"/>
        <v>0.25</v>
      </c>
      <c r="BJ20" s="79">
        <f t="shared" si="28"/>
        <v>6.7285451052652226E-2</v>
      </c>
      <c r="BK20" s="80">
        <f t="shared" si="29"/>
        <v>951.63000000000011</v>
      </c>
      <c r="BL20" s="80">
        <f t="shared" si="30"/>
        <v>68.649999999999864</v>
      </c>
      <c r="BM20" s="79">
        <f t="shared" si="31"/>
        <v>6.7285451052652087E-2</v>
      </c>
      <c r="BN20" s="81">
        <f t="shared" si="32"/>
        <v>0.83719512195121948</v>
      </c>
      <c r="BO20" s="82">
        <f t="shared" si="33"/>
        <v>205.95</v>
      </c>
      <c r="BP20" s="81">
        <f t="shared" si="34"/>
        <v>0.83719512195121948</v>
      </c>
      <c r="BQ20" s="81">
        <f t="shared" si="35"/>
        <v>0.83720146595223444</v>
      </c>
      <c r="BR20" s="81">
        <f t="shared" si="36"/>
        <v>1.1162665066026412</v>
      </c>
      <c r="BS20" s="82">
        <f t="shared" si="37"/>
        <v>246</v>
      </c>
      <c r="BT20" s="82">
        <f t="shared" si="38"/>
        <v>274.60156062424971</v>
      </c>
      <c r="BU20" s="82">
        <f t="shared" si="39"/>
        <v>274.60000000000002</v>
      </c>
      <c r="BV20"/>
      <c r="BW20" s="82">
        <f>IFERROR(INDEX('Infos Clientes'!$T:$T,MATCH('Detalhe Por UC'!$C20,'Infos Clientes'!B:B,0)),"")</f>
        <v>511.41666666666669</v>
      </c>
      <c r="BX20" s="83">
        <f t="shared" si="40"/>
        <v>0</v>
      </c>
      <c r="BY20" s="84">
        <f t="shared" si="41"/>
        <v>0.24999857919211568</v>
      </c>
      <c r="BZ20" s="85">
        <f>IF(_xlfn.MINIFS('Detalhe Por UC'!R:R,'Detalhe Por UC'!C:C,C20,'Detalhe Por UC'!AD:AD,"&gt;"&amp;0)=0,"",_xlfn.MINIFS('Detalhe Por UC'!R:R,'Detalhe Por UC'!C:C,C20,'Detalhe Por UC'!AD:AD,"&gt;"&amp;0))</f>
        <v>45627</v>
      </c>
      <c r="CA20" s="114">
        <f ca="1">IF(OR(S20&gt;0,AD20&gt;0),IFERROR(
SUMIFS(INDIRECT("'Infos Clientes'!$W"&amp;INDEX('Infos Clientes'!$C:$C,MATCH(C20,'Infos Clientes'!$H:$H,0))&amp;":$CZ"&amp;INDEX('Infos Clientes'!$C:$C,MATCH(C20,'Infos Clientes'!$H:$H,0))),'Infos Clientes'!$W$2:$CZ$2,"&gt;"&amp;$R20-365,'Infos Clientes'!$W$2:$CZ$2,"&lt;="&amp;$R20)/
COUNTIFS(INDIRECT("'Infos Clientes'!$W"&amp;INDEX('Infos Clientes'!$C:$C,MATCH(C20,'Infos Clientes'!$H:$H,0))&amp;":$CZ"&amp;INDEX('Infos Clientes'!$C:$C,MATCH(C20,'Infos Clientes'!$H:$H,0))),"&gt;="&amp;0,'Infos Clientes'!$W$2:$CZ$2,"&gt;"&amp;$R20-365,'Infos Clientes'!$W$2:$CZ$2,"&lt;="&amp;$R20),""),"")</f>
        <v>511.41666666666669</v>
      </c>
      <c r="CB20" s="87">
        <f>VLOOKUP(C20,'Infos Clientes'!B:L,11,0)</f>
        <v>0</v>
      </c>
      <c r="CC20" s="88" t="str">
        <f t="shared" si="42"/>
        <v>A Unidade Consumidora 10/1695011-5 economizou R$68,65 na fatura referente à jan/2025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20" s="40" t="s">
        <v>59</v>
      </c>
      <c r="CF20" s="115">
        <f t="shared" si="43"/>
        <v>-745.68000000000006</v>
      </c>
    </row>
    <row r="21" spans="1:84" s="104" customFormat="1" ht="16.2" hidden="1" customHeight="1" x14ac:dyDescent="0.3">
      <c r="A21" s="105" t="str">
        <f>INDEX('Infos Clientes'!$D:$D,MATCH('Detalhe Por UC'!C21,'Infos Clientes'!B:B,0))</f>
        <v>IGREJA DO EVANGELHO QUADRANGULAR</v>
      </c>
      <c r="B21" s="106" t="str">
        <f>INDEX('Infos Clientes'!$F:$F,MATCH('Detalhe Por UC'!C21,'Infos Clientes'!B:B,0))</f>
        <v>62.955.505/4612-10</v>
      </c>
      <c r="C21" s="31" t="s">
        <v>60</v>
      </c>
      <c r="D21" t="s">
        <v>351</v>
      </c>
      <c r="E21" s="1" t="s">
        <v>352</v>
      </c>
      <c r="F21" s="56" t="str">
        <f>INDEX('Infos Clientes'!$I:$I,MATCH('Detalhe Por UC'!C21,'Infos Clientes'!B:B,0))</f>
        <v>BT</v>
      </c>
      <c r="G21" s="56" t="str">
        <f>INDEX('Infos Clientes'!$J:$J,MATCH('Detalhe Por UC'!C21,'Infos Clientes'!B:B,0))</f>
        <v>trifasico</v>
      </c>
      <c r="H21" s="108" t="s">
        <v>24</v>
      </c>
      <c r="I21" s="58">
        <f>IFERROR(VLOOKUP(C21,'Infos Clientes'!B:E,4,),"")</f>
        <v>306</v>
      </c>
      <c r="J21" s="109">
        <v>0.25</v>
      </c>
      <c r="K21" s="59">
        <f>INDEX('Infos Clientes'!$M:$M,MATCH('Detalhe Por UC'!C21,'Infos Clientes'!B:B,0))</f>
        <v>0.25</v>
      </c>
      <c r="L21" s="110">
        <v>0</v>
      </c>
      <c r="M21" s="56">
        <f>INDEX('Infos Clientes'!$N:$N,MATCH('Detalhe Por UC'!C21,'Infos Clientes'!B:B,0))</f>
        <v>0</v>
      </c>
      <c r="N21" s="56">
        <f t="shared" si="7"/>
        <v>0</v>
      </c>
      <c r="O21" s="56">
        <f t="shared" si="8"/>
        <v>12</v>
      </c>
      <c r="P21" s="56">
        <f t="shared" si="9"/>
        <v>0</v>
      </c>
      <c r="Q21" s="61">
        <f>IFERROR(IFERROR(INDEX('Infos Clientes'!$A$2:$V$9884,MATCH($C21,'Infos Clientes'!$B$2:$B$9884,0),MATCH(Q$8,'Infos Clientes'!$A$2:$V$2,0)),"")
+IF(OR(INDEX('Infos Clientes'!$A$2:$V$9884,MATCH($C21,'Infos Clientes'!$B$2:$B$9884,0),MATCH("Tempo de Fidelidade (meses)",'Infos Clientes'!$A$2:$V$2,0))=0,R21&gt;=MAX(R:R)),0,
ROUND((MAX(R:R)-R21)/(365/12),0)),"")</f>
        <v>0</v>
      </c>
      <c r="R21" s="111">
        <v>45658</v>
      </c>
      <c r="S21" s="112">
        <v>0.01</v>
      </c>
      <c r="T21" s="113">
        <f>IF($H21="GIROSSOL II",AP21/INDEX('Resumo Operacional'!$A$1:$P$1103,17,MATCH('Detalhe Por UC'!$R21,'Resumo Operacional'!$A$1:$P$1,0)),
IF($H21="GIROSSOL II e III",AP21/INDEX('Resumo Operacional'!$A$1:$P$1103,17,MATCH('Detalhe Por UC'!$R21,'Resumo Operacional'!$A$1:$P$1,0)),
""))</f>
        <v>8.8655038200951414E-3</v>
      </c>
      <c r="U21" s="113" t="str">
        <f>IF($H21="GIROSSOL III",AP21/INDEX('Resumo Operacional'!$A$1:$P$1103,53,MATCH('Detalhe Por UC'!$R21,'Resumo Operacional'!$A$1:$P$1,0)),
IF($H21="GIROSSOL II e III",AP21/INDEX('Resumo Operacional'!$A$1:$P$1103,53,MATCH('Detalhe Por UC'!$R21,'Resumo Operacional'!$A$1:$P$1,0)),
""))</f>
        <v/>
      </c>
      <c r="V21" s="12"/>
      <c r="W21" s="12"/>
      <c r="X21" s="35">
        <v>1.1162536873156343</v>
      </c>
      <c r="Y21" s="35">
        <v>0</v>
      </c>
      <c r="Z21" s="35">
        <v>1.1162343096234308</v>
      </c>
      <c r="AA21" s="35">
        <v>0</v>
      </c>
      <c r="AB21" s="35">
        <v>339</v>
      </c>
      <c r="AC21" s="35">
        <v>0</v>
      </c>
      <c r="AD21" s="35">
        <v>239</v>
      </c>
      <c r="AE21" s="35"/>
      <c r="AF21" s="35">
        <v>41</v>
      </c>
      <c r="AG21" s="35">
        <v>0</v>
      </c>
      <c r="AH21" s="35">
        <v>79.67</v>
      </c>
      <c r="AI21" s="35">
        <v>0</v>
      </c>
      <c r="AJ21" s="35">
        <v>0</v>
      </c>
      <c r="AK21" s="12"/>
      <c r="AL21" s="38"/>
      <c r="AM21" s="1"/>
      <c r="AN21" s="71">
        <f t="shared" si="10"/>
        <v>-116</v>
      </c>
      <c r="AO21" s="71">
        <f t="shared" si="11"/>
        <v>0</v>
      </c>
      <c r="AP21" s="71">
        <f t="shared" si="12"/>
        <v>123</v>
      </c>
      <c r="AQ21" s="72">
        <f>IF(OR($H21="GIROSSOL II",$H21="GIROSSOL II e III"),INDEX('Resumo Operacional'!$A$1:$P$1103,MATCH("Energia Injetada prevista total Fatura da Usina (TUSD)",'Resumo Operacional'!$B$1:$B$1103,0),MATCH('Detalhe Por UC'!$R21,'Resumo Operacional'!$A$1:$P$1,0))*$S21,INDEX('Resumo Operacional'!$A$1:$P$1103,53,MATCH('Detalhe Por UC'!$R21,'Resumo Operacional'!$A$1:$P$1,0))*$S21)</f>
        <v>138.74</v>
      </c>
      <c r="AR21" s="71">
        <f t="shared" si="13"/>
        <v>-15.740000000000009</v>
      </c>
      <c r="AS21" s="73">
        <f t="shared" si="14"/>
        <v>191.30000000000007</v>
      </c>
      <c r="AT21" s="74">
        <f t="shared" si="15"/>
        <v>191.30000000000007</v>
      </c>
      <c r="AU21" s="74">
        <f t="shared" si="16"/>
        <v>1.1162149319312273</v>
      </c>
      <c r="AV21" s="74">
        <f t="shared" si="17"/>
        <v>200.08499999999998</v>
      </c>
      <c r="AW21" s="74">
        <f t="shared" si="18"/>
        <v>0</v>
      </c>
      <c r="AX21" s="74">
        <f t="shared" si="19"/>
        <v>266.77999999999997</v>
      </c>
      <c r="AY21" s="74">
        <f t="shared" si="20"/>
        <v>200.09</v>
      </c>
      <c r="AZ21" s="49">
        <v>200.09</v>
      </c>
      <c r="BA21" s="49">
        <v>200.09</v>
      </c>
      <c r="BB21" s="49">
        <v>200.09</v>
      </c>
      <c r="BC21" s="73" t="str">
        <f t="shared" si="21"/>
        <v/>
      </c>
      <c r="BD21" s="73">
        <f t="shared" si="22"/>
        <v>458.08000000000004</v>
      </c>
      <c r="BE21" s="73">
        <f t="shared" si="23"/>
        <v>391.38500000000005</v>
      </c>
      <c r="BF21" s="77">
        <f t="shared" si="24"/>
        <v>66.7</v>
      </c>
      <c r="BG21" s="77">
        <f t="shared" si="25"/>
        <v>20.010000000000002</v>
      </c>
      <c r="BH21" s="77">
        <f t="shared" si="26"/>
        <v>266.77999999999997</v>
      </c>
      <c r="BI21" s="78">
        <f t="shared" si="27"/>
        <v>0.25</v>
      </c>
      <c r="BJ21" s="79">
        <f t="shared" si="28"/>
        <v>0.14560775410408661</v>
      </c>
      <c r="BK21" s="80">
        <f t="shared" si="29"/>
        <v>391.3900000000001</v>
      </c>
      <c r="BL21" s="80">
        <f t="shared" si="30"/>
        <v>66.689999999999941</v>
      </c>
      <c r="BM21" s="79">
        <f t="shared" si="31"/>
        <v>0.14558592385609487</v>
      </c>
      <c r="BN21" s="81">
        <f t="shared" si="32"/>
        <v>0.83719665271966526</v>
      </c>
      <c r="BO21" s="82">
        <f t="shared" si="33"/>
        <v>200.09</v>
      </c>
      <c r="BP21" s="81">
        <f t="shared" si="34"/>
        <v>0.83719665271966526</v>
      </c>
      <c r="BQ21" s="81">
        <f t="shared" si="35"/>
        <v>0.83721603041186876</v>
      </c>
      <c r="BR21" s="81">
        <f t="shared" si="36"/>
        <v>1.1162536873156343</v>
      </c>
      <c r="BS21" s="82">
        <f t="shared" si="37"/>
        <v>239</v>
      </c>
      <c r="BT21" s="82">
        <f t="shared" si="38"/>
        <v>266.78463126843661</v>
      </c>
      <c r="BU21" s="82">
        <f t="shared" si="39"/>
        <v>266.77999999999997</v>
      </c>
      <c r="BV21"/>
      <c r="BW21" s="82">
        <f>IFERROR(INDEX('Infos Clientes'!$T:$T,MATCH('Detalhe Por UC'!$C21,'Infos Clientes'!B:B,0)),"")</f>
        <v>279.08333333333331</v>
      </c>
      <c r="BX21" s="83">
        <f t="shared" si="40"/>
        <v>0</v>
      </c>
      <c r="BY21" s="84">
        <f t="shared" si="41"/>
        <v>0.24997691839638625</v>
      </c>
      <c r="BZ21" s="85">
        <f>IF(_xlfn.MINIFS('Detalhe Por UC'!R:R,'Detalhe Por UC'!C:C,C21,'Detalhe Por UC'!AD:AD,"&gt;"&amp;0)=0,"",_xlfn.MINIFS('Detalhe Por UC'!R:R,'Detalhe Por UC'!C:C,C21,'Detalhe Por UC'!AD:AD,"&gt;"&amp;0))</f>
        <v>45627</v>
      </c>
      <c r="CA21" s="114">
        <f ca="1">IF(OR(S21&gt;0,AD21&gt;0),IFERROR(
SUMIFS(INDIRECT("'Infos Clientes'!$W"&amp;INDEX('Infos Clientes'!$C:$C,MATCH(C21,'Infos Clientes'!$H:$H,0))&amp;":$CZ"&amp;INDEX('Infos Clientes'!$C:$C,MATCH(C21,'Infos Clientes'!$H:$H,0))),'Infos Clientes'!$W$2:$CZ$2,"&gt;"&amp;$R21-365,'Infos Clientes'!$W$2:$CZ$2,"&lt;="&amp;$R21)/
COUNTIFS(INDIRECT("'Infos Clientes'!$W"&amp;INDEX('Infos Clientes'!$C:$C,MATCH(C21,'Infos Clientes'!$H:$H,0))&amp;":$CZ"&amp;INDEX('Infos Clientes'!$C:$C,MATCH(C21,'Infos Clientes'!$H:$H,0))),"&gt;="&amp;0,'Infos Clientes'!$W$2:$CZ$2,"&gt;"&amp;$R21-365,'Infos Clientes'!$W$2:$CZ$2,"&lt;="&amp;$R21),""),"")</f>
        <v>279.08333333333331</v>
      </c>
      <c r="CB21" s="87">
        <f>VLOOKUP(C21,'Infos Clientes'!B:L,11,0)</f>
        <v>0</v>
      </c>
      <c r="CC21" s="88" t="str">
        <f t="shared" si="42"/>
        <v>A Unidade Consumidora 10/1698130-0 economizou R$66,7 na fatura referente à jan/2025  consumindo 239 kWh em créditos de energia renovável conforme fatura de energia. A economia foi de 25% em relação ao que seria pago para a Energisa considerando os créditos consumidos. Atenção: Mantenha as contas da Energisa em dia para evitar cortes.</v>
      </c>
      <c r="CD21" s="40" t="s">
        <v>59</v>
      </c>
      <c r="CF21" s="115">
        <f t="shared" si="43"/>
        <v>-191.30000000000007</v>
      </c>
    </row>
    <row r="22" spans="1:84" s="104" customFormat="1" ht="16.2" hidden="1" customHeight="1" x14ac:dyDescent="0.3">
      <c r="A22" s="105" t="str">
        <f>INDEX('Infos Clientes'!$D:$D,MATCH('Detalhe Por UC'!C22,'Infos Clientes'!B:B,0))</f>
        <v>IGREJA DO EVANGELHO QUADRANGULAR</v>
      </c>
      <c r="B22" s="106" t="str">
        <f>INDEX('Infos Clientes'!$F:$F,MATCH('Detalhe Por UC'!C22,'Infos Clientes'!B:B,0))</f>
        <v>62.955.505/0160-80</v>
      </c>
      <c r="C22" s="31" t="s">
        <v>61</v>
      </c>
      <c r="D22" t="s">
        <v>351</v>
      </c>
      <c r="E22" s="1" t="s">
        <v>352</v>
      </c>
      <c r="F22" s="56" t="str">
        <f>INDEX('Infos Clientes'!$I:$I,MATCH('Detalhe Por UC'!C22,'Infos Clientes'!B:B,0))</f>
        <v>BT</v>
      </c>
      <c r="G22" s="56" t="str">
        <f>INDEX('Infos Clientes'!$J:$J,MATCH('Detalhe Por UC'!C22,'Infos Clientes'!B:B,0))</f>
        <v>trifasico</v>
      </c>
      <c r="H22" s="108" t="s">
        <v>353</v>
      </c>
      <c r="I22" s="58">
        <f>IFERROR(VLOOKUP(C22,'Infos Clientes'!B:E,4,),"")</f>
        <v>357</v>
      </c>
      <c r="J22" s="109">
        <v>0.25</v>
      </c>
      <c r="K22" s="59">
        <f>INDEX('Infos Clientes'!$M:$M,MATCH('Detalhe Por UC'!C22,'Infos Clientes'!B:B,0))</f>
        <v>0.25</v>
      </c>
      <c r="L22" s="110">
        <v>0</v>
      </c>
      <c r="M22" s="56">
        <f>INDEX('Infos Clientes'!$N:$N,MATCH('Detalhe Por UC'!C22,'Infos Clientes'!B:B,0))</f>
        <v>0</v>
      </c>
      <c r="N22" s="56">
        <f t="shared" si="7"/>
        <v>0</v>
      </c>
      <c r="O22" s="56">
        <f t="shared" si="8"/>
        <v>11</v>
      </c>
      <c r="P22" s="56">
        <f t="shared" si="9"/>
        <v>0</v>
      </c>
      <c r="Q22" s="61">
        <f>IFERROR(IFERROR(INDEX('Infos Clientes'!$A$2:$V$9884,MATCH($C22,'Infos Clientes'!$B$2:$B$9884,0),MATCH(Q$8,'Infos Clientes'!$A$2:$V$2,0)),"")
+IF(OR(INDEX('Infos Clientes'!$A$2:$V$9884,MATCH($C22,'Infos Clientes'!$B$2:$B$9884,0),MATCH("Tempo de Fidelidade (meses)",'Infos Clientes'!$A$2:$V$2,0))=0,R22&gt;=MAX(R:R)),0,
ROUND((MAX(R:R)-R22)/(365/12),0)),"")</f>
        <v>0</v>
      </c>
      <c r="R22" s="111">
        <v>45658</v>
      </c>
      <c r="S22" s="112">
        <v>0.02</v>
      </c>
      <c r="T22" s="113">
        <f>IF($H22="GIROSSOL II",AP22/INDEX('Resumo Operacional'!$A$1:$P$1103,17,MATCH('Detalhe Por UC'!$R22,'Resumo Operacional'!$A$1:$P$1,0)),
IF($H22="GIROSSOL II e III",AP22/INDEX('Resumo Operacional'!$A$1:$P$1103,17,MATCH('Detalhe Por UC'!$R22,'Resumo Operacional'!$A$1:$P$1,0)),
""))</f>
        <v>8.3681706789678539E-2</v>
      </c>
      <c r="U22" s="113">
        <f>IF($H22="GIROSSOL III",AP22/INDEX('Resumo Operacional'!$A$1:$P$1103,53,MATCH('Detalhe Por UC'!$R22,'Resumo Operacional'!$A$1:$P$1,0)),
IF($H22="GIROSSOL II e III",AP22/INDEX('Resumo Operacional'!$A$1:$P$1103,53,MATCH('Detalhe Por UC'!$R22,'Resumo Operacional'!$A$1:$P$1,0)),
""))</f>
        <v>7.0376432078559745E-2</v>
      </c>
      <c r="V22" s="12"/>
      <c r="W22" s="12"/>
      <c r="X22" s="35">
        <v>1.1162588792423047</v>
      </c>
      <c r="Y22" s="35">
        <v>0</v>
      </c>
      <c r="Z22" s="35">
        <v>1.0795607235142117</v>
      </c>
      <c r="AA22" s="35">
        <v>0</v>
      </c>
      <c r="AB22" s="35">
        <v>1267</v>
      </c>
      <c r="AC22" s="35">
        <v>0</v>
      </c>
      <c r="AD22" s="35">
        <v>1161</v>
      </c>
      <c r="AE22" s="35"/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12"/>
      <c r="AL22" s="38"/>
      <c r="AM22" s="1"/>
      <c r="AN22" s="71">
        <f t="shared" si="10"/>
        <v>0</v>
      </c>
      <c r="AO22" s="71">
        <f t="shared" si="11"/>
        <v>0</v>
      </c>
      <c r="AP22" s="71">
        <f t="shared" si="12"/>
        <v>1161</v>
      </c>
      <c r="AQ22" s="72">
        <f>IF(OR($H22="GIROSSOL II",$H22="GIROSSOL II e III"),INDEX('Resumo Operacional'!$A$1:$P$1103,MATCH("Energia Injetada prevista total Fatura da Usina (TUSD)",'Resumo Operacional'!$B$1:$B$1103,0),MATCH('Detalhe Por UC'!$R22,'Resumo Operacional'!$A$1:$P$1,0))*$S22,INDEX('Resumo Operacional'!$A$1:$P$1103,53,MATCH('Detalhe Por UC'!$R22,'Resumo Operacional'!$A$1:$P$1,0))*$S22)</f>
        <v>277.48</v>
      </c>
      <c r="AR22" s="71">
        <f t="shared" si="13"/>
        <v>883.52</v>
      </c>
      <c r="AS22" s="73">
        <f t="shared" si="14"/>
        <v>160.93000000000029</v>
      </c>
      <c r="AT22" s="74">
        <f t="shared" si="15"/>
        <v>160.93000000000029</v>
      </c>
      <c r="AU22" s="74">
        <f t="shared" si="16"/>
        <v>1.0428625677861187</v>
      </c>
      <c r="AV22" s="74">
        <f t="shared" si="17"/>
        <v>940.0274999999998</v>
      </c>
      <c r="AW22" s="74">
        <f t="shared" si="18"/>
        <v>0</v>
      </c>
      <c r="AX22" s="74">
        <f t="shared" si="19"/>
        <v>1253.3699999999999</v>
      </c>
      <c r="AY22" s="74">
        <f t="shared" si="20"/>
        <v>940.03</v>
      </c>
      <c r="AZ22" s="49">
        <v>940.03</v>
      </c>
      <c r="BA22" s="49">
        <v>940.03</v>
      </c>
      <c r="BB22" s="49">
        <v>940.03</v>
      </c>
      <c r="BC22" s="73" t="str">
        <f t="shared" si="21"/>
        <v/>
      </c>
      <c r="BD22" s="73">
        <f t="shared" si="22"/>
        <v>1414.3000000000002</v>
      </c>
      <c r="BE22" s="73">
        <f t="shared" si="23"/>
        <v>1100.9575</v>
      </c>
      <c r="BF22" s="77">
        <f t="shared" si="24"/>
        <v>313.33999999999997</v>
      </c>
      <c r="BG22" s="77">
        <f t="shared" si="25"/>
        <v>94.001999999999995</v>
      </c>
      <c r="BH22" s="77">
        <f t="shared" si="26"/>
        <v>1253.3699999999999</v>
      </c>
      <c r="BI22" s="78">
        <f t="shared" si="27"/>
        <v>0.25</v>
      </c>
      <c r="BJ22" s="79">
        <f t="shared" si="28"/>
        <v>0.22155129746164176</v>
      </c>
      <c r="BK22" s="80">
        <f t="shared" si="29"/>
        <v>1100.9600000000003</v>
      </c>
      <c r="BL22" s="80">
        <f t="shared" si="30"/>
        <v>313.33999999999992</v>
      </c>
      <c r="BM22" s="79">
        <f t="shared" si="31"/>
        <v>0.22155129746164171</v>
      </c>
      <c r="BN22" s="81">
        <f t="shared" si="32"/>
        <v>0.80967269595176572</v>
      </c>
      <c r="BO22" s="82">
        <f t="shared" si="33"/>
        <v>940.03</v>
      </c>
      <c r="BP22" s="81">
        <f t="shared" si="34"/>
        <v>0.80967269595176572</v>
      </c>
      <c r="BQ22" s="81">
        <f t="shared" si="35"/>
        <v>0.8463708516798587</v>
      </c>
      <c r="BR22" s="81">
        <f t="shared" si="36"/>
        <v>1.1162588792423047</v>
      </c>
      <c r="BS22" s="82">
        <f t="shared" si="37"/>
        <v>1161</v>
      </c>
      <c r="BT22" s="82">
        <f t="shared" si="38"/>
        <v>1295.9765588003158</v>
      </c>
      <c r="BU22" s="82">
        <f t="shared" si="39"/>
        <v>1253.3699999999999</v>
      </c>
      <c r="BV22"/>
      <c r="BW22" s="82">
        <f>IFERROR(INDEX('Infos Clientes'!$T:$T,MATCH('Detalhe Por UC'!$C22,'Infos Clientes'!B:B,0)),"")</f>
        <v>958.25</v>
      </c>
      <c r="BX22" s="83">
        <f t="shared" si="40"/>
        <v>0</v>
      </c>
      <c r="BY22" s="84">
        <f t="shared" si="41"/>
        <v>0.24177906449948319</v>
      </c>
      <c r="BZ22" s="85">
        <f>IF(_xlfn.MINIFS('Detalhe Por UC'!R:R,'Detalhe Por UC'!C:C,C22,'Detalhe Por UC'!AD:AD,"&gt;"&amp;0)=0,"",_xlfn.MINIFS('Detalhe Por UC'!R:R,'Detalhe Por UC'!C:C,C22,'Detalhe Por UC'!AD:AD,"&gt;"&amp;0))</f>
        <v>45627</v>
      </c>
      <c r="CA22" s="114">
        <f ca="1">IF(OR(S22&gt;0,AD22&gt;0),IFERROR(
SUMIFS(INDIRECT("'Infos Clientes'!$W"&amp;INDEX('Infos Clientes'!$C:$C,MATCH(C22,'Infos Clientes'!$H:$H,0))&amp;":$CZ"&amp;INDEX('Infos Clientes'!$C:$C,MATCH(C22,'Infos Clientes'!$H:$H,0))),'Infos Clientes'!$W$2:$CZ$2,"&gt;"&amp;$R22-365,'Infos Clientes'!$W$2:$CZ$2,"&lt;="&amp;$R22)/
COUNTIFS(INDIRECT("'Infos Clientes'!$W"&amp;INDEX('Infos Clientes'!$C:$C,MATCH(C22,'Infos Clientes'!$H:$H,0))&amp;":$CZ"&amp;INDEX('Infos Clientes'!$C:$C,MATCH(C22,'Infos Clientes'!$H:$H,0))),"&gt;="&amp;0,'Infos Clientes'!$W$2:$CZ$2,"&gt;"&amp;$R22-365,'Infos Clientes'!$W$2:$CZ$2,"&lt;="&amp;$R22),""),"")</f>
        <v>958.25</v>
      </c>
      <c r="CB22" s="87">
        <f>VLOOKUP(C22,'Infos Clientes'!B:L,11,0)</f>
        <v>0</v>
      </c>
      <c r="CC22" s="88" t="str">
        <f t="shared" si="42"/>
        <v>A Unidade Consumidora 10/18015-8 economizou R$313,34 na fatura referente à jan/2025  consumindo 1161 kWh em créditos de energia renovável conforme fatura de energia. A economia foi de 25% em relação ao que seria pago para a Energisa considerando os créditos consumidos. Atenção: Mantenha as contas da Energisa em dia para evitar cortes.</v>
      </c>
      <c r="CD22" s="40" t="s">
        <v>63</v>
      </c>
      <c r="CF22" s="115">
        <f t="shared" si="43"/>
        <v>-160.93000000000029</v>
      </c>
    </row>
    <row r="23" spans="1:84" s="104" customFormat="1" ht="16.2" hidden="1" customHeight="1" x14ac:dyDescent="0.3">
      <c r="A23" s="105" t="str">
        <f>INDEX('Infos Clientes'!$D:$D,MATCH('Detalhe Por UC'!C23,'Infos Clientes'!B:B,0))</f>
        <v>IGREJA DO EVANGELHO QUADRANGULAR</v>
      </c>
      <c r="B23" s="106" t="str">
        <f>INDEX('Infos Clientes'!$F:$F,MATCH('Detalhe Por UC'!C23,'Infos Clientes'!B:B,0))</f>
        <v>62.955.505/2157-91</v>
      </c>
      <c r="C23" s="31" t="s">
        <v>64</v>
      </c>
      <c r="D23" t="s">
        <v>351</v>
      </c>
      <c r="E23" s="1" t="s">
        <v>352</v>
      </c>
      <c r="F23" s="56" t="str">
        <f>INDEX('Infos Clientes'!$I:$I,MATCH('Detalhe Por UC'!C23,'Infos Clientes'!B:B,0))</f>
        <v>BT</v>
      </c>
      <c r="G23" s="56" t="str">
        <f>INDEX('Infos Clientes'!$J:$J,MATCH('Detalhe Por UC'!C23,'Infos Clientes'!B:B,0))</f>
        <v>trifasico</v>
      </c>
      <c r="H23" s="108" t="s">
        <v>24</v>
      </c>
      <c r="I23" s="58">
        <f>IFERROR(VLOOKUP(C23,'Infos Clientes'!B:E,4,),"")</f>
        <v>349</v>
      </c>
      <c r="J23" s="109">
        <v>0.25</v>
      </c>
      <c r="K23" s="59">
        <f>INDEX('Infos Clientes'!$M:$M,MATCH('Detalhe Por UC'!C23,'Infos Clientes'!B:B,0))</f>
        <v>0.25</v>
      </c>
      <c r="L23" s="110">
        <v>0</v>
      </c>
      <c r="M23" s="56">
        <f>INDEX('Infos Clientes'!$N:$N,MATCH('Detalhe Por UC'!C23,'Infos Clientes'!B:B,0))</f>
        <v>0</v>
      </c>
      <c r="N23" s="56">
        <f t="shared" si="7"/>
        <v>0</v>
      </c>
      <c r="O23" s="56">
        <f t="shared" si="8"/>
        <v>12</v>
      </c>
      <c r="P23" s="56">
        <f t="shared" si="9"/>
        <v>0</v>
      </c>
      <c r="Q23" s="61">
        <f>IFERROR(IFERROR(INDEX('Infos Clientes'!$A$2:$V$9884,MATCH($C23,'Infos Clientes'!$B$2:$B$9884,0),MATCH(Q$8,'Infos Clientes'!$A$2:$V$2,0)),"")
+IF(OR(INDEX('Infos Clientes'!$A$2:$V$9884,MATCH($C23,'Infos Clientes'!$B$2:$B$9884,0),MATCH("Tempo de Fidelidade (meses)",'Infos Clientes'!$A$2:$V$2,0))=0,R23&gt;=MAX(R:R)),0,
ROUND((MAX(R:R)-R23)/(365/12),0)),"")</f>
        <v>0</v>
      </c>
      <c r="R23" s="111">
        <v>45658</v>
      </c>
      <c r="S23" s="112">
        <v>0.01</v>
      </c>
      <c r="T23" s="113">
        <f>IF($H23="GIROSSOL II",AP23/INDEX('Resumo Operacional'!$A$1:$P$1103,17,MATCH('Detalhe Por UC'!$R23,'Resumo Operacional'!$A$1:$P$1,0)),
IF($H23="GIROSSOL II e III",AP23/INDEX('Resumo Operacional'!$A$1:$P$1103,17,MATCH('Detalhe Por UC'!$R23,'Resumo Operacional'!$A$1:$P$1,0)),
""))</f>
        <v>5.1751477583970015E-2</v>
      </c>
      <c r="U23" s="113" t="str">
        <f>IF($H23="GIROSSOL III",AP23/INDEX('Resumo Operacional'!$A$1:$P$1103,53,MATCH('Detalhe Por UC'!$R23,'Resumo Operacional'!$A$1:$P$1,0)),
IF($H23="GIROSSOL II e III",AP23/INDEX('Resumo Operacional'!$A$1:$P$1103,53,MATCH('Detalhe Por UC'!$R23,'Resumo Operacional'!$A$1:$P$1,0)),
""))</f>
        <v/>
      </c>
      <c r="V23" s="12"/>
      <c r="W23" s="12"/>
      <c r="X23" s="35">
        <v>1.116255707762557</v>
      </c>
      <c r="Y23" s="35">
        <v>0</v>
      </c>
      <c r="Z23" s="35">
        <v>1.0851810584958219</v>
      </c>
      <c r="AA23" s="35">
        <v>0</v>
      </c>
      <c r="AB23" s="35">
        <v>876</v>
      </c>
      <c r="AC23" s="35">
        <v>0</v>
      </c>
      <c r="AD23" s="35">
        <v>718</v>
      </c>
      <c r="AE23" s="35"/>
      <c r="AF23" s="35">
        <v>0</v>
      </c>
      <c r="AG23" s="35">
        <v>0</v>
      </c>
      <c r="AH23" s="35">
        <v>196.12</v>
      </c>
      <c r="AI23" s="35">
        <v>0</v>
      </c>
      <c r="AJ23" s="35">
        <v>0</v>
      </c>
      <c r="AK23" s="12"/>
      <c r="AL23" s="38"/>
      <c r="AM23" s="1"/>
      <c r="AN23" s="71">
        <f t="shared" si="10"/>
        <v>0</v>
      </c>
      <c r="AO23" s="71">
        <f t="shared" si="11"/>
        <v>0</v>
      </c>
      <c r="AP23" s="71">
        <f t="shared" si="12"/>
        <v>718</v>
      </c>
      <c r="AQ23" s="72">
        <f>IF(OR($H23="GIROSSOL II",$H23="GIROSSOL II e III"),INDEX('Resumo Operacional'!$A$1:$P$1103,MATCH("Energia Injetada prevista total Fatura da Usina (TUSD)",'Resumo Operacional'!$B$1:$B$1103,0),MATCH('Detalhe Por UC'!$R23,'Resumo Operacional'!$A$1:$P$1,0))*$S23,INDEX('Resumo Operacional'!$A$1:$P$1103,53,MATCH('Detalhe Por UC'!$R23,'Resumo Operacional'!$A$1:$P$1,0))*$S23)</f>
        <v>138.74</v>
      </c>
      <c r="AR23" s="71">
        <f t="shared" si="13"/>
        <v>579.26</v>
      </c>
      <c r="AS23" s="73">
        <f t="shared" si="14"/>
        <v>394.79999999999984</v>
      </c>
      <c r="AT23" s="74">
        <f t="shared" si="15"/>
        <v>394.79999999999984</v>
      </c>
      <c r="AU23" s="74">
        <f t="shared" si="16"/>
        <v>1.0541064092290868</v>
      </c>
      <c r="AV23" s="74">
        <f t="shared" si="17"/>
        <v>584.37000000000012</v>
      </c>
      <c r="AW23" s="74">
        <f t="shared" si="18"/>
        <v>0</v>
      </c>
      <c r="AX23" s="74">
        <f t="shared" si="19"/>
        <v>779.16000000000008</v>
      </c>
      <c r="AY23" s="74">
        <f t="shared" si="20"/>
        <v>584.37</v>
      </c>
      <c r="AZ23" s="49">
        <v>584.37</v>
      </c>
      <c r="BA23" s="49">
        <v>584.37</v>
      </c>
      <c r="BB23" s="49">
        <v>584.37</v>
      </c>
      <c r="BC23" s="73" t="str">
        <f t="shared" si="21"/>
        <v/>
      </c>
      <c r="BD23" s="73">
        <f t="shared" si="22"/>
        <v>1173.96</v>
      </c>
      <c r="BE23" s="73">
        <f t="shared" si="23"/>
        <v>979.17</v>
      </c>
      <c r="BF23" s="77">
        <f t="shared" si="24"/>
        <v>194.79</v>
      </c>
      <c r="BG23" s="77">
        <f t="shared" si="25"/>
        <v>58.436999999999998</v>
      </c>
      <c r="BH23" s="77">
        <f t="shared" si="26"/>
        <v>779.16000000000008</v>
      </c>
      <c r="BI23" s="78">
        <f t="shared" si="27"/>
        <v>0.25</v>
      </c>
      <c r="BJ23" s="79">
        <f t="shared" si="28"/>
        <v>0.16592558519881426</v>
      </c>
      <c r="BK23" s="80">
        <f t="shared" si="29"/>
        <v>979.16999999999985</v>
      </c>
      <c r="BL23" s="80">
        <f t="shared" si="30"/>
        <v>194.79000000000019</v>
      </c>
      <c r="BM23" s="79">
        <f t="shared" si="31"/>
        <v>0.16592558519881442</v>
      </c>
      <c r="BN23" s="81">
        <f t="shared" si="32"/>
        <v>0.81388579387186633</v>
      </c>
      <c r="BO23" s="82">
        <f t="shared" si="33"/>
        <v>584.37</v>
      </c>
      <c r="BP23" s="81">
        <f t="shared" si="34"/>
        <v>0.81388579387186633</v>
      </c>
      <c r="BQ23" s="81">
        <f t="shared" si="35"/>
        <v>0.84496044313860141</v>
      </c>
      <c r="BR23" s="81">
        <f t="shared" si="36"/>
        <v>1.116255707762557</v>
      </c>
      <c r="BS23" s="82">
        <f t="shared" si="37"/>
        <v>718</v>
      </c>
      <c r="BT23" s="82">
        <f t="shared" si="38"/>
        <v>801.47159817351587</v>
      </c>
      <c r="BU23" s="82">
        <f t="shared" si="39"/>
        <v>779.16000000000008</v>
      </c>
      <c r="BV23"/>
      <c r="BW23" s="82">
        <f>IFERROR(INDEX('Infos Clientes'!$T:$T,MATCH('Detalhe Por UC'!$C23,'Infos Clientes'!B:B,0)),"")</f>
        <v>802.5</v>
      </c>
      <c r="BX23" s="83">
        <f t="shared" si="40"/>
        <v>0</v>
      </c>
      <c r="BY23" s="84">
        <f t="shared" si="41"/>
        <v>0.24304042768815462</v>
      </c>
      <c r="BZ23" s="85">
        <f>IF(_xlfn.MINIFS('Detalhe Por UC'!R:R,'Detalhe Por UC'!C:C,C23,'Detalhe Por UC'!AD:AD,"&gt;"&amp;0)=0,"",_xlfn.MINIFS('Detalhe Por UC'!R:R,'Detalhe Por UC'!C:C,C23,'Detalhe Por UC'!AD:AD,"&gt;"&amp;0))</f>
        <v>45627</v>
      </c>
      <c r="CA23" s="114">
        <f ca="1">IF(OR(S23&gt;0,AD23&gt;0),IFERROR(
SUMIFS(INDIRECT("'Infos Clientes'!$W"&amp;INDEX('Infos Clientes'!$C:$C,MATCH(C23,'Infos Clientes'!$H:$H,0))&amp;":$CZ"&amp;INDEX('Infos Clientes'!$C:$C,MATCH(C23,'Infos Clientes'!$H:$H,0))),'Infos Clientes'!$W$2:$CZ$2,"&gt;"&amp;$R23-365,'Infos Clientes'!$W$2:$CZ$2,"&lt;="&amp;$R23)/
COUNTIFS(INDIRECT("'Infos Clientes'!$W"&amp;INDEX('Infos Clientes'!$C:$C,MATCH(C23,'Infos Clientes'!$H:$H,0))&amp;":$CZ"&amp;INDEX('Infos Clientes'!$C:$C,MATCH(C23,'Infos Clientes'!$H:$H,0))),"&gt;="&amp;0,'Infos Clientes'!$W$2:$CZ$2,"&gt;"&amp;$R23-365,'Infos Clientes'!$W$2:$CZ$2,"&lt;="&amp;$R23),""),"")</f>
        <v>802.5</v>
      </c>
      <c r="CB23" s="87">
        <f>VLOOKUP(C23,'Infos Clientes'!B:L,11,0)</f>
        <v>0</v>
      </c>
      <c r="CC23" s="88" t="str">
        <f t="shared" si="42"/>
        <v>A Unidade Consumidora 10/191945-5 economizou R$194,79 na fatura referente à jan/2025  consumindo 718 kWh em créditos de energia renovável conforme fatura de energia. A economia foi de 25% em relação ao que seria pago para a Energisa considerando os créditos consumidos. Atenção: Mantenha as contas da Energisa em dia para evitar cortes.</v>
      </c>
      <c r="CD23" s="40" t="s">
        <v>66</v>
      </c>
      <c r="CF23" s="115">
        <f t="shared" si="43"/>
        <v>-394.79999999999984</v>
      </c>
    </row>
    <row r="24" spans="1:84" s="104" customFormat="1" ht="16.2" hidden="1" customHeight="1" x14ac:dyDescent="0.3">
      <c r="A24" s="105" t="str">
        <f>INDEX('Infos Clientes'!$D:$D,MATCH('Detalhe Por UC'!C24,'Infos Clientes'!B:B,0))</f>
        <v>IGREJA DO EVANGELHO QUADRANGULAR</v>
      </c>
      <c r="B24" s="106" t="str">
        <f>INDEX('Infos Clientes'!$F:$F,MATCH('Detalhe Por UC'!C24,'Infos Clientes'!B:B,0))</f>
        <v>62.955.505/4194-43</v>
      </c>
      <c r="C24" s="31" t="s">
        <v>67</v>
      </c>
      <c r="D24" t="s">
        <v>351</v>
      </c>
      <c r="E24" s="1" t="s">
        <v>352</v>
      </c>
      <c r="F24" s="56" t="str">
        <f>INDEX('Infos Clientes'!$I:$I,MATCH('Detalhe Por UC'!C24,'Infos Clientes'!B:B,0))</f>
        <v>BT</v>
      </c>
      <c r="G24" s="56" t="str">
        <f>INDEX('Infos Clientes'!$J:$J,MATCH('Detalhe Por UC'!C24,'Infos Clientes'!B:B,0))</f>
        <v>bifasico</v>
      </c>
      <c r="H24" s="108" t="s">
        <v>24</v>
      </c>
      <c r="I24" s="58">
        <f>IFERROR(VLOOKUP(C24,'Infos Clientes'!B:E,4,),"")</f>
        <v>331</v>
      </c>
      <c r="J24" s="109">
        <v>0.25</v>
      </c>
      <c r="K24" s="59">
        <f>INDEX('Infos Clientes'!$M:$M,MATCH('Detalhe Por UC'!C24,'Infos Clientes'!B:B,0))</f>
        <v>0.25</v>
      </c>
      <c r="L24" s="110">
        <v>0</v>
      </c>
      <c r="M24" s="56">
        <f>INDEX('Infos Clientes'!$N:$N,MATCH('Detalhe Por UC'!C24,'Infos Clientes'!B:B,0))</f>
        <v>0</v>
      </c>
      <c r="N24" s="56">
        <f t="shared" si="7"/>
        <v>0</v>
      </c>
      <c r="O24" s="56">
        <f t="shared" si="8"/>
        <v>12</v>
      </c>
      <c r="P24" s="56">
        <f t="shared" si="9"/>
        <v>0</v>
      </c>
      <c r="Q24" s="61">
        <f>IFERROR(IFERROR(INDEX('Infos Clientes'!$A$2:$V$9884,MATCH($C24,'Infos Clientes'!$B$2:$B$9884,0),MATCH(Q$8,'Infos Clientes'!$A$2:$V$2,0)),"")
+IF(OR(INDEX('Infos Clientes'!$A$2:$V$9884,MATCH($C24,'Infos Clientes'!$B$2:$B$9884,0),MATCH("Tempo de Fidelidade (meses)",'Infos Clientes'!$A$2:$V$2,0))=0,R24&gt;=MAX(R:R)),0,
ROUND((MAX(R:R)-R24)/(365/12),0)),"")</f>
        <v>0</v>
      </c>
      <c r="R24" s="111">
        <v>45658</v>
      </c>
      <c r="S24" s="112">
        <v>0.02</v>
      </c>
      <c r="T24" s="113">
        <f>IF($H24="GIROSSOL II",AP24/INDEX('Resumo Operacional'!$A$1:$P$1103,17,MATCH('Detalhe Por UC'!$R24,'Resumo Operacional'!$A$1:$P$1,0)),
IF($H24="GIROSSOL II e III",AP24/INDEX('Resumo Operacional'!$A$1:$P$1103,17,MATCH('Detalhe Por UC'!$R24,'Resumo Operacional'!$A$1:$P$1,0)),
""))</f>
        <v>1.7731007640190283E-2</v>
      </c>
      <c r="U24" s="113" t="str">
        <f>IF($H24="GIROSSOL III",AP24/INDEX('Resumo Operacional'!$A$1:$P$1103,53,MATCH('Detalhe Por UC'!$R24,'Resumo Operacional'!$A$1:$P$1,0)),
IF($H24="GIROSSOL II e III",AP24/INDEX('Resumo Operacional'!$A$1:$P$1103,53,MATCH('Detalhe Por UC'!$R24,'Resumo Operacional'!$A$1:$P$1,0)),
""))</f>
        <v/>
      </c>
      <c r="V24" s="12"/>
      <c r="W24" s="12"/>
      <c r="X24" s="35">
        <v>1.1162435233160621</v>
      </c>
      <c r="Y24" s="35">
        <v>0</v>
      </c>
      <c r="Z24" s="35">
        <v>1.116220238095238</v>
      </c>
      <c r="AA24" s="35">
        <v>0</v>
      </c>
      <c r="AB24" s="35">
        <v>386</v>
      </c>
      <c r="AC24" s="35">
        <v>0</v>
      </c>
      <c r="AD24" s="35">
        <v>336</v>
      </c>
      <c r="AE24" s="35"/>
      <c r="AF24" s="35">
        <v>303</v>
      </c>
      <c r="AG24" s="35">
        <v>0</v>
      </c>
      <c r="AH24" s="35">
        <v>-3.93</v>
      </c>
      <c r="AI24" s="35">
        <v>0</v>
      </c>
      <c r="AJ24" s="35">
        <v>0</v>
      </c>
      <c r="AK24" s="12"/>
      <c r="AL24" s="38"/>
      <c r="AM24" s="1"/>
      <c r="AN24" s="71">
        <f t="shared" si="10"/>
        <v>-90</v>
      </c>
      <c r="AO24" s="71">
        <f t="shared" si="11"/>
        <v>0</v>
      </c>
      <c r="AP24" s="71">
        <f t="shared" si="12"/>
        <v>246</v>
      </c>
      <c r="AQ24" s="72">
        <f>IF(OR($H24="GIROSSOL II",$H24="GIROSSOL II e III"),INDEX('Resumo Operacional'!$A$1:$P$1103,MATCH("Energia Injetada prevista total Fatura da Usina (TUSD)",'Resumo Operacional'!$B$1:$B$1103,0),MATCH('Detalhe Por UC'!$R24,'Resumo Operacional'!$A$1:$P$1,0))*$S24,INDEX('Resumo Operacional'!$A$1:$P$1103,53,MATCH('Detalhe Por UC'!$R24,'Resumo Operacional'!$A$1:$P$1,0))*$S24)</f>
        <v>277.48</v>
      </c>
      <c r="AR24" s="71">
        <f t="shared" si="13"/>
        <v>-31.480000000000018</v>
      </c>
      <c r="AS24" s="73">
        <f t="shared" si="14"/>
        <v>51.89000000000005</v>
      </c>
      <c r="AT24" s="74">
        <f t="shared" si="15"/>
        <v>51.89000000000005</v>
      </c>
      <c r="AU24" s="74">
        <f t="shared" si="16"/>
        <v>1.1161969528744138</v>
      </c>
      <c r="AV24" s="74">
        <f t="shared" si="17"/>
        <v>281.28749999999997</v>
      </c>
      <c r="AW24" s="74">
        <f t="shared" si="18"/>
        <v>0</v>
      </c>
      <c r="AX24" s="74">
        <f t="shared" si="19"/>
        <v>375.04999999999995</v>
      </c>
      <c r="AY24" s="74">
        <f t="shared" si="20"/>
        <v>281.29000000000002</v>
      </c>
      <c r="AZ24" s="49">
        <v>281.29000000000002</v>
      </c>
      <c r="BA24" s="49">
        <v>281.29000000000002</v>
      </c>
      <c r="BB24" s="49">
        <v>281.29000000000002</v>
      </c>
      <c r="BC24" s="73" t="str">
        <f t="shared" si="21"/>
        <v/>
      </c>
      <c r="BD24" s="73">
        <f t="shared" si="22"/>
        <v>426.94</v>
      </c>
      <c r="BE24" s="73">
        <f t="shared" si="23"/>
        <v>333.17750000000001</v>
      </c>
      <c r="BF24" s="77">
        <f t="shared" si="24"/>
        <v>93.76</v>
      </c>
      <c r="BG24" s="77">
        <f t="shared" si="25"/>
        <v>28.128</v>
      </c>
      <c r="BH24" s="77">
        <f t="shared" si="26"/>
        <v>375.04999999999995</v>
      </c>
      <c r="BI24" s="78">
        <f t="shared" si="27"/>
        <v>0.25</v>
      </c>
      <c r="BJ24" s="79">
        <f t="shared" si="28"/>
        <v>0.21960931278399776</v>
      </c>
      <c r="BK24" s="80">
        <f t="shared" si="29"/>
        <v>333.18000000000006</v>
      </c>
      <c r="BL24" s="80">
        <f t="shared" si="30"/>
        <v>93.759999999999934</v>
      </c>
      <c r="BM24" s="79">
        <f t="shared" si="31"/>
        <v>0.21960931278399759</v>
      </c>
      <c r="BN24" s="81">
        <f t="shared" si="32"/>
        <v>0.83717261904761908</v>
      </c>
      <c r="BO24" s="82">
        <f t="shared" si="33"/>
        <v>281.29000000000002</v>
      </c>
      <c r="BP24" s="81">
        <f t="shared" si="34"/>
        <v>0.83717261904761908</v>
      </c>
      <c r="BQ24" s="81">
        <f t="shared" si="35"/>
        <v>0.83719590426844326</v>
      </c>
      <c r="BR24" s="81">
        <f t="shared" si="36"/>
        <v>1.1162435233160621</v>
      </c>
      <c r="BS24" s="82">
        <f t="shared" si="37"/>
        <v>336</v>
      </c>
      <c r="BT24" s="82">
        <f t="shared" si="38"/>
        <v>375.05782383419688</v>
      </c>
      <c r="BU24" s="82">
        <f t="shared" si="39"/>
        <v>375.04999999999995</v>
      </c>
      <c r="BV24"/>
      <c r="BW24" s="82">
        <f>IFERROR(INDEX('Infos Clientes'!$T:$T,MATCH('Detalhe Por UC'!$C24,'Infos Clientes'!B:B,0)),"")</f>
        <v>372.25</v>
      </c>
      <c r="BX24" s="83">
        <f t="shared" si="40"/>
        <v>0</v>
      </c>
      <c r="BY24" s="84">
        <f t="shared" si="41"/>
        <v>0.24998811927583933</v>
      </c>
      <c r="BZ24" s="85">
        <f>IF(_xlfn.MINIFS('Detalhe Por UC'!R:R,'Detalhe Por UC'!C:C,C24,'Detalhe Por UC'!AD:AD,"&gt;"&amp;0)=0,"",_xlfn.MINIFS('Detalhe Por UC'!R:R,'Detalhe Por UC'!C:C,C24,'Detalhe Por UC'!AD:AD,"&gt;"&amp;0))</f>
        <v>45627</v>
      </c>
      <c r="CA24" s="114">
        <f ca="1">IF(OR(S24&gt;0,AD24&gt;0),IFERROR(
SUMIFS(INDIRECT("'Infos Clientes'!$W"&amp;INDEX('Infos Clientes'!$C:$C,MATCH(C24,'Infos Clientes'!$H:$H,0))&amp;":$CZ"&amp;INDEX('Infos Clientes'!$C:$C,MATCH(C24,'Infos Clientes'!$H:$H,0))),'Infos Clientes'!$W$2:$CZ$2,"&gt;"&amp;$R24-365,'Infos Clientes'!$W$2:$CZ$2,"&lt;="&amp;$R24)/
COUNTIFS(INDIRECT("'Infos Clientes'!$W"&amp;INDEX('Infos Clientes'!$C:$C,MATCH(C24,'Infos Clientes'!$H:$H,0))&amp;":$CZ"&amp;INDEX('Infos Clientes'!$C:$C,MATCH(C24,'Infos Clientes'!$H:$H,0))),"&gt;="&amp;0,'Infos Clientes'!$W$2:$CZ$2,"&gt;"&amp;$R24-365,'Infos Clientes'!$W$2:$CZ$2,"&lt;="&amp;$R24),""),"")</f>
        <v>372.25</v>
      </c>
      <c r="CB24" s="87">
        <f>VLOOKUP(C24,'Infos Clientes'!B:L,11,0)</f>
        <v>0</v>
      </c>
      <c r="CC24" s="88" t="str">
        <f t="shared" si="42"/>
        <v>A Unidade Consumidora 10/1939035-0 economizou R$93,76 na fatura referente à jan/2025  consumindo 336 kWh em créditos de energia renovável conforme fatura de energia. A economia foi de 25% em relação ao que seria pago para a Energisa considerando os créditos consumidos. Atenção: Mantenha as contas da Energisa em dia para evitar cortes.</v>
      </c>
      <c r="CD24" s="40" t="s">
        <v>69</v>
      </c>
      <c r="CF24" s="115">
        <f t="shared" si="43"/>
        <v>-51.89000000000005</v>
      </c>
    </row>
    <row r="25" spans="1:84" s="104" customFormat="1" ht="16.2" hidden="1" customHeight="1" x14ac:dyDescent="0.3">
      <c r="A25" s="105" t="str">
        <f>INDEX('Infos Clientes'!$D:$D,MATCH('Detalhe Por UC'!C25,'Infos Clientes'!B:B,0))</f>
        <v>IGREJA DO EVANGELHO QUADRANGULAR</v>
      </c>
      <c r="B25" s="106" t="str">
        <f>INDEX('Infos Clientes'!$F:$F,MATCH('Detalhe Por UC'!C25,'Infos Clientes'!B:B,0))</f>
        <v>62.955.505/0164-03</v>
      </c>
      <c r="C25" s="31" t="s">
        <v>70</v>
      </c>
      <c r="D25" t="s">
        <v>351</v>
      </c>
      <c r="E25" s="1" t="s">
        <v>352</v>
      </c>
      <c r="F25" s="56" t="str">
        <f>INDEX('Infos Clientes'!$I:$I,MATCH('Detalhe Por UC'!C25,'Infos Clientes'!B:B,0))</f>
        <v>BT</v>
      </c>
      <c r="G25" s="56" t="str">
        <f>INDEX('Infos Clientes'!$J:$J,MATCH('Detalhe Por UC'!C25,'Infos Clientes'!B:B,0))</f>
        <v>trifasico</v>
      </c>
      <c r="H25" s="108" t="s">
        <v>24</v>
      </c>
      <c r="I25" s="58">
        <f>IFERROR(VLOOKUP(C25,'Infos Clientes'!B:E,4,),"")</f>
        <v>371</v>
      </c>
      <c r="J25" s="109">
        <v>0.25</v>
      </c>
      <c r="K25" s="59">
        <f>INDEX('Infos Clientes'!$M:$M,MATCH('Detalhe Por UC'!C25,'Infos Clientes'!B:B,0))</f>
        <v>0.25</v>
      </c>
      <c r="L25" s="110">
        <v>0</v>
      </c>
      <c r="M25" s="56">
        <f>INDEX('Infos Clientes'!$N:$N,MATCH('Detalhe Por UC'!C25,'Infos Clientes'!B:B,0))</f>
        <v>0</v>
      </c>
      <c r="N25" s="56">
        <f t="shared" si="7"/>
        <v>0</v>
      </c>
      <c r="O25" s="56">
        <f t="shared" si="8"/>
        <v>12</v>
      </c>
      <c r="P25" s="56">
        <f t="shared" si="9"/>
        <v>0</v>
      </c>
      <c r="Q25" s="61">
        <f>IFERROR(IFERROR(INDEX('Infos Clientes'!$A$2:$V$9884,MATCH($C25,'Infos Clientes'!$B$2:$B$9884,0),MATCH(Q$8,'Infos Clientes'!$A$2:$V$2,0)),"")
+IF(OR(INDEX('Infos Clientes'!$A$2:$V$9884,MATCH($C25,'Infos Clientes'!$B$2:$B$9884,0),MATCH("Tempo de Fidelidade (meses)",'Infos Clientes'!$A$2:$V$2,0))=0,R25&gt;=MAX(R:R)),0,
ROUND((MAX(R:R)-R25)/(365/12),0)),"")</f>
        <v>0</v>
      </c>
      <c r="R25" s="111">
        <v>45658</v>
      </c>
      <c r="S25" s="112">
        <v>4.2000000000000003E-2</v>
      </c>
      <c r="T25" s="113">
        <f>IF($H25="GIROSSOL II",AP25/INDEX('Resumo Operacional'!$A$1:$P$1103,17,MATCH('Detalhe Por UC'!$R25,'Resumo Operacional'!$A$1:$P$1,0)),
IF($H25="GIROSSOL II e III",AP25/INDEX('Resumo Operacional'!$A$1:$P$1103,17,MATCH('Detalhe Por UC'!$R25,'Resumo Operacional'!$A$1:$P$1,0)),
""))</f>
        <v>2.6596511460285428E-2</v>
      </c>
      <c r="U25" s="113" t="str">
        <f>IF($H25="GIROSSOL III",AP25/INDEX('Resumo Operacional'!$A$1:$P$1103,53,MATCH('Detalhe Por UC'!$R25,'Resumo Operacional'!$A$1:$P$1,0)),
IF($H25="GIROSSOL II e III",AP25/INDEX('Resumo Operacional'!$A$1:$P$1103,53,MATCH('Detalhe Por UC'!$R25,'Resumo Operacional'!$A$1:$P$1,0)),
""))</f>
        <v/>
      </c>
      <c r="V25" s="12"/>
      <c r="W25" s="12"/>
      <c r="X25" s="35">
        <v>1.1162613636363636</v>
      </c>
      <c r="Y25" s="35">
        <v>0</v>
      </c>
      <c r="Z25" s="35">
        <v>1.116260162601626</v>
      </c>
      <c r="AA25" s="35">
        <v>0</v>
      </c>
      <c r="AB25" s="35">
        <v>880</v>
      </c>
      <c r="AC25" s="35">
        <v>0</v>
      </c>
      <c r="AD25" s="35">
        <v>369</v>
      </c>
      <c r="AE25" s="35"/>
      <c r="AF25" s="35">
        <v>0</v>
      </c>
      <c r="AG25" s="35">
        <v>0</v>
      </c>
      <c r="AH25" s="35">
        <v>193.41</v>
      </c>
      <c r="AI25" s="35">
        <v>0</v>
      </c>
      <c r="AJ25" s="35">
        <v>0</v>
      </c>
      <c r="AK25" s="12"/>
      <c r="AL25" s="38"/>
      <c r="AM25" s="1"/>
      <c r="AN25" s="71">
        <f t="shared" si="10"/>
        <v>0</v>
      </c>
      <c r="AO25" s="71">
        <f t="shared" si="11"/>
        <v>0</v>
      </c>
      <c r="AP25" s="71">
        <f t="shared" si="12"/>
        <v>369</v>
      </c>
      <c r="AQ25" s="72">
        <f>IF(OR($H25="GIROSSOL II",$H25="GIROSSOL II e III"),INDEX('Resumo Operacional'!$A$1:$P$1103,MATCH("Energia Injetada prevista total Fatura da Usina (TUSD)",'Resumo Operacional'!$B$1:$B$1103,0),MATCH('Detalhe Por UC'!$R25,'Resumo Operacional'!$A$1:$P$1,0))*$S25,INDEX('Resumo Operacional'!$A$1:$P$1103,53,MATCH('Detalhe Por UC'!$R25,'Resumo Operacional'!$A$1:$P$1,0))*$S25)</f>
        <v>582.70800000000008</v>
      </c>
      <c r="AR25" s="71">
        <f t="shared" si="13"/>
        <v>-213.70800000000008</v>
      </c>
      <c r="AS25" s="73">
        <f t="shared" si="14"/>
        <v>763.81999999999994</v>
      </c>
      <c r="AT25" s="74">
        <f t="shared" si="15"/>
        <v>763.81999999999994</v>
      </c>
      <c r="AU25" s="74">
        <f t="shared" si="16"/>
        <v>1.1162589615668883</v>
      </c>
      <c r="AV25" s="74">
        <f t="shared" si="17"/>
        <v>308.92500000000001</v>
      </c>
      <c r="AW25" s="74">
        <f t="shared" si="18"/>
        <v>0</v>
      </c>
      <c r="AX25" s="74">
        <f t="shared" si="19"/>
        <v>411.9</v>
      </c>
      <c r="AY25" s="74">
        <f t="shared" si="20"/>
        <v>308.93</v>
      </c>
      <c r="AZ25" s="49">
        <v>308.93</v>
      </c>
      <c r="BA25" s="49">
        <v>308.93</v>
      </c>
      <c r="BB25" s="49">
        <v>308.93</v>
      </c>
      <c r="BC25" s="73" t="str">
        <f t="shared" si="21"/>
        <v/>
      </c>
      <c r="BD25" s="73">
        <f t="shared" si="22"/>
        <v>1175.72</v>
      </c>
      <c r="BE25" s="73">
        <f t="shared" si="23"/>
        <v>1072.7449999999999</v>
      </c>
      <c r="BF25" s="77">
        <f t="shared" si="24"/>
        <v>102.98</v>
      </c>
      <c r="BG25" s="77">
        <f t="shared" si="25"/>
        <v>30.893999999999998</v>
      </c>
      <c r="BH25" s="77">
        <f t="shared" si="26"/>
        <v>411.9</v>
      </c>
      <c r="BI25" s="78">
        <f t="shared" si="27"/>
        <v>0.25</v>
      </c>
      <c r="BJ25" s="79">
        <f t="shared" si="28"/>
        <v>8.7588881706528773E-2</v>
      </c>
      <c r="BK25" s="80">
        <f t="shared" si="29"/>
        <v>1072.75</v>
      </c>
      <c r="BL25" s="80">
        <f t="shared" si="30"/>
        <v>102.97000000000003</v>
      </c>
      <c r="BM25" s="79">
        <f t="shared" si="31"/>
        <v>8.7580376280066707E-2</v>
      </c>
      <c r="BN25" s="81">
        <f t="shared" si="32"/>
        <v>0.8372086720867209</v>
      </c>
      <c r="BO25" s="82">
        <f t="shared" si="33"/>
        <v>308.93</v>
      </c>
      <c r="BP25" s="81">
        <f t="shared" si="34"/>
        <v>0.8372086720867209</v>
      </c>
      <c r="BQ25" s="81">
        <f t="shared" si="35"/>
        <v>0.83720987312145856</v>
      </c>
      <c r="BR25" s="81">
        <f t="shared" si="36"/>
        <v>1.1162613636363636</v>
      </c>
      <c r="BS25" s="82">
        <f t="shared" si="37"/>
        <v>369</v>
      </c>
      <c r="BT25" s="82">
        <f t="shared" si="38"/>
        <v>411.90044318181816</v>
      </c>
      <c r="BU25" s="82">
        <f t="shared" si="39"/>
        <v>411.9</v>
      </c>
      <c r="BV25"/>
      <c r="BW25" s="82">
        <f>IFERROR(INDEX('Infos Clientes'!$T:$T,MATCH('Detalhe Por UC'!$C25,'Infos Clientes'!B:B,0)),"")</f>
        <v>796.66666666666663</v>
      </c>
      <c r="BX25" s="83">
        <f t="shared" si="40"/>
        <v>0</v>
      </c>
      <c r="BY25" s="84">
        <f t="shared" si="41"/>
        <v>0.24998759215839852</v>
      </c>
      <c r="BZ25" s="85">
        <f>IF(_xlfn.MINIFS('Detalhe Por UC'!R:R,'Detalhe Por UC'!C:C,C25,'Detalhe Por UC'!AD:AD,"&gt;"&amp;0)=0,"",_xlfn.MINIFS('Detalhe Por UC'!R:R,'Detalhe Por UC'!C:C,C25,'Detalhe Por UC'!AD:AD,"&gt;"&amp;0))</f>
        <v>45627</v>
      </c>
      <c r="CA25" s="114">
        <f ca="1">IF(OR(S25&gt;0,AD25&gt;0),IFERROR(
SUMIFS(INDIRECT("'Infos Clientes'!$W"&amp;INDEX('Infos Clientes'!$C:$C,MATCH(C25,'Infos Clientes'!$H:$H,0))&amp;":$CZ"&amp;INDEX('Infos Clientes'!$C:$C,MATCH(C25,'Infos Clientes'!$H:$H,0))),'Infos Clientes'!$W$2:$CZ$2,"&gt;"&amp;$R25-365,'Infos Clientes'!$W$2:$CZ$2,"&lt;="&amp;$R25)/
COUNTIFS(INDIRECT("'Infos Clientes'!$W"&amp;INDEX('Infos Clientes'!$C:$C,MATCH(C25,'Infos Clientes'!$H:$H,0))&amp;":$CZ"&amp;INDEX('Infos Clientes'!$C:$C,MATCH(C25,'Infos Clientes'!$H:$H,0))),"&gt;="&amp;0,'Infos Clientes'!$W$2:$CZ$2,"&gt;"&amp;$R25-365,'Infos Clientes'!$W$2:$CZ$2,"&lt;="&amp;$R25),""),"")</f>
        <v>796.66666666666663</v>
      </c>
      <c r="CB25" s="87">
        <f>VLOOKUP(C25,'Infos Clientes'!B:L,11,0)</f>
        <v>0</v>
      </c>
      <c r="CC25" s="88" t="str">
        <f t="shared" si="42"/>
        <v>A Unidade Consumidora 10/202838-9 economizou R$102,98 na fatura referente à jan/2025  consumindo 369 kWh em créditos de energia renovável conforme fatura de energia. A economia foi de 25% em relação ao que seria pago para a Energisa considerando os créditos consumidos. Atenção: Mantenha as contas da Energisa em dia para evitar cortes.</v>
      </c>
      <c r="CD25" s="40" t="s">
        <v>72</v>
      </c>
      <c r="CF25" s="115">
        <f t="shared" si="43"/>
        <v>-763.81999999999994</v>
      </c>
    </row>
    <row r="26" spans="1:84" s="104" customFormat="1" ht="16.2" hidden="1" customHeight="1" x14ac:dyDescent="0.3">
      <c r="A26" s="105" t="str">
        <f>INDEX('Infos Clientes'!$D:$D,MATCH('Detalhe Por UC'!C26,'Infos Clientes'!B:B,0))</f>
        <v>IGREJA DO EVANGELHO QUADRANGULAR</v>
      </c>
      <c r="B26" s="106" t="str">
        <f>INDEX('Infos Clientes'!$F:$F,MATCH('Detalhe Por UC'!C26,'Infos Clientes'!B:B,0))</f>
        <v>62.955.505/0170-51</v>
      </c>
      <c r="C26" s="31" t="s">
        <v>73</v>
      </c>
      <c r="D26" t="s">
        <v>351</v>
      </c>
      <c r="E26" s="1" t="s">
        <v>352</v>
      </c>
      <c r="F26" s="56" t="str">
        <f>INDEX('Infos Clientes'!$I:$I,MATCH('Detalhe Por UC'!C26,'Infos Clientes'!B:B,0))</f>
        <v>BT</v>
      </c>
      <c r="G26" s="56" t="str">
        <f>INDEX('Infos Clientes'!$J:$J,MATCH('Detalhe Por UC'!C26,'Infos Clientes'!B:B,0))</f>
        <v>bifasico</v>
      </c>
      <c r="H26" s="108" t="s">
        <v>353</v>
      </c>
      <c r="I26" s="58">
        <f>IFERROR(VLOOKUP(C26,'Infos Clientes'!B:E,4,),"")</f>
        <v>306</v>
      </c>
      <c r="J26" s="109">
        <v>0.25</v>
      </c>
      <c r="K26" s="59">
        <f>INDEX('Infos Clientes'!$M:$M,MATCH('Detalhe Por UC'!C26,'Infos Clientes'!B:B,0))</f>
        <v>0.25</v>
      </c>
      <c r="L26" s="110">
        <v>0</v>
      </c>
      <c r="M26" s="56">
        <f>INDEX('Infos Clientes'!$N:$N,MATCH('Detalhe Por UC'!C26,'Infos Clientes'!B:B,0))</f>
        <v>0</v>
      </c>
      <c r="N26" s="56">
        <f t="shared" si="7"/>
        <v>0</v>
      </c>
      <c r="O26" s="56">
        <f t="shared" si="8"/>
        <v>12</v>
      </c>
      <c r="P26" s="56">
        <f t="shared" si="9"/>
        <v>0</v>
      </c>
      <c r="Q26" s="61">
        <f>IFERROR(IFERROR(INDEX('Infos Clientes'!$A$2:$V$9884,MATCH($C26,'Infos Clientes'!$B$2:$B$9884,0),MATCH(Q$8,'Infos Clientes'!$A$2:$V$2,0)),"")
+IF(OR(INDEX('Infos Clientes'!$A$2:$V$9884,MATCH($C26,'Infos Clientes'!$B$2:$B$9884,0),MATCH("Tempo de Fidelidade (meses)",'Infos Clientes'!$A$2:$V$2,0))=0,R26&gt;=MAX(R:R)),0,
ROUND((MAX(R:R)-R26)/(365/12),0)),"")</f>
        <v>0</v>
      </c>
      <c r="R26" s="111">
        <v>45658</v>
      </c>
      <c r="S26" s="112">
        <v>0.01</v>
      </c>
      <c r="T26" s="113">
        <f>IF($H26="GIROSSOL II",AP26/INDEX('Resumo Operacional'!$A$1:$P$1103,17,MATCH('Detalhe Por UC'!$R26,'Resumo Operacional'!$A$1:$P$1,0)),
IF($H26="GIROSSOL II e III",AP26/INDEX('Resumo Operacional'!$A$1:$P$1103,17,MATCH('Detalhe Por UC'!$R26,'Resumo Operacional'!$A$1:$P$1,0)),
""))</f>
        <v>8.8655038200951414E-3</v>
      </c>
      <c r="U26" s="113">
        <f>IF($H26="GIROSSOL III",AP26/INDEX('Resumo Operacional'!$A$1:$P$1103,53,MATCH('Detalhe Por UC'!$R26,'Resumo Operacional'!$A$1:$P$1,0)),
IF($H26="GIROSSOL II e III",AP26/INDEX('Resumo Operacional'!$A$1:$P$1103,53,MATCH('Detalhe Por UC'!$R26,'Resumo Operacional'!$A$1:$P$1,0)),
""))</f>
        <v>7.4559010729223496E-3</v>
      </c>
      <c r="V26" s="12"/>
      <c r="W26" s="12"/>
      <c r="X26" s="35">
        <v>1.1162162162162161</v>
      </c>
      <c r="Y26" s="35">
        <v>0</v>
      </c>
      <c r="Z26" s="35">
        <v>1.116122448979592</v>
      </c>
      <c r="AA26" s="35">
        <v>0</v>
      </c>
      <c r="AB26" s="35">
        <v>148</v>
      </c>
      <c r="AC26" s="35">
        <v>0</v>
      </c>
      <c r="AD26" s="35">
        <v>98</v>
      </c>
      <c r="AE26" s="35"/>
      <c r="AF26" s="35">
        <v>120</v>
      </c>
      <c r="AG26" s="35">
        <v>0</v>
      </c>
      <c r="AH26" s="35">
        <v>-6.1400000000000023</v>
      </c>
      <c r="AI26" s="35">
        <v>0</v>
      </c>
      <c r="AJ26" s="35">
        <v>0</v>
      </c>
      <c r="AK26" s="12"/>
      <c r="AL26" s="38"/>
      <c r="AM26" s="1"/>
      <c r="AN26" s="71">
        <f t="shared" si="10"/>
        <v>25</v>
      </c>
      <c r="AO26" s="71">
        <f t="shared" si="11"/>
        <v>0</v>
      </c>
      <c r="AP26" s="71">
        <f t="shared" si="12"/>
        <v>123</v>
      </c>
      <c r="AQ26" s="72">
        <f>IF(OR($H26="GIROSSOL II",$H26="GIROSSOL II e III"),INDEX('Resumo Operacional'!$A$1:$P$1103,MATCH("Energia Injetada prevista total Fatura da Usina (TUSD)",'Resumo Operacional'!$B$1:$B$1103,0),MATCH('Detalhe Por UC'!$R26,'Resumo Operacional'!$A$1:$P$1,0))*$S26,INDEX('Resumo Operacional'!$A$1:$P$1103,53,MATCH('Detalhe Por UC'!$R26,'Resumo Operacional'!$A$1:$P$1,0))*$S26)</f>
        <v>138.74</v>
      </c>
      <c r="AR26" s="71">
        <f t="shared" si="13"/>
        <v>-15.740000000000009</v>
      </c>
      <c r="AS26" s="73">
        <f t="shared" si="14"/>
        <v>49.679999999999964</v>
      </c>
      <c r="AT26" s="74">
        <f t="shared" si="15"/>
        <v>49.679999999999964</v>
      </c>
      <c r="AU26" s="74">
        <f t="shared" si="16"/>
        <v>1.1160286817429679</v>
      </c>
      <c r="AV26" s="74">
        <f t="shared" si="17"/>
        <v>82.035000000000011</v>
      </c>
      <c r="AW26" s="74">
        <f t="shared" si="18"/>
        <v>0</v>
      </c>
      <c r="AX26" s="74">
        <f t="shared" si="19"/>
        <v>109.38000000000002</v>
      </c>
      <c r="AY26" s="74">
        <f t="shared" si="20"/>
        <v>82.04</v>
      </c>
      <c r="AZ26" s="49">
        <v>82.04</v>
      </c>
      <c r="BA26" s="49">
        <v>82.04</v>
      </c>
      <c r="BB26" s="49">
        <v>82.04</v>
      </c>
      <c r="BC26" s="73" t="str">
        <f t="shared" si="21"/>
        <v/>
      </c>
      <c r="BD26" s="73">
        <f t="shared" si="22"/>
        <v>159.05999999999997</v>
      </c>
      <c r="BE26" s="73">
        <f t="shared" si="23"/>
        <v>131.71499999999997</v>
      </c>
      <c r="BF26" s="77">
        <f t="shared" si="24"/>
        <v>27.35</v>
      </c>
      <c r="BG26" s="77">
        <f t="shared" si="25"/>
        <v>8.2050000000000001</v>
      </c>
      <c r="BH26" s="77">
        <f t="shared" si="26"/>
        <v>109.38000000000002</v>
      </c>
      <c r="BI26" s="78">
        <f t="shared" si="27"/>
        <v>0.25</v>
      </c>
      <c r="BJ26" s="79">
        <f t="shared" si="28"/>
        <v>0.17194769269458071</v>
      </c>
      <c r="BK26" s="80">
        <f t="shared" si="29"/>
        <v>131.71999999999997</v>
      </c>
      <c r="BL26" s="80">
        <f t="shared" si="30"/>
        <v>27.340000000000003</v>
      </c>
      <c r="BM26" s="79">
        <f t="shared" si="31"/>
        <v>0.17188482333710556</v>
      </c>
      <c r="BN26" s="81">
        <f t="shared" si="32"/>
        <v>0.83714285714285719</v>
      </c>
      <c r="BO26" s="82">
        <f t="shared" si="33"/>
        <v>82.04</v>
      </c>
      <c r="BP26" s="81">
        <f t="shared" si="34"/>
        <v>0.83714285714285719</v>
      </c>
      <c r="BQ26" s="81">
        <f t="shared" si="35"/>
        <v>0.83723662437948132</v>
      </c>
      <c r="BR26" s="81">
        <f t="shared" si="36"/>
        <v>1.1162162162162161</v>
      </c>
      <c r="BS26" s="82">
        <f t="shared" si="37"/>
        <v>98</v>
      </c>
      <c r="BT26" s="82">
        <f t="shared" si="38"/>
        <v>109.38918918918918</v>
      </c>
      <c r="BU26" s="82">
        <f t="shared" si="39"/>
        <v>109.38000000000002</v>
      </c>
      <c r="BV26"/>
      <c r="BW26" s="82">
        <f>IFERROR(INDEX('Infos Clientes'!$T:$T,MATCH('Detalhe Por UC'!$C26,'Infos Clientes'!B:B,0)),"")</f>
        <v>153.91666666666666</v>
      </c>
      <c r="BX26" s="83">
        <f t="shared" si="40"/>
        <v>0</v>
      </c>
      <c r="BY26" s="84">
        <f t="shared" si="41"/>
        <v>0.24993329050748642</v>
      </c>
      <c r="BZ26" s="85">
        <f>IF(_xlfn.MINIFS('Detalhe Por UC'!R:R,'Detalhe Por UC'!C:C,C26,'Detalhe Por UC'!AD:AD,"&gt;"&amp;0)=0,"",_xlfn.MINIFS('Detalhe Por UC'!R:R,'Detalhe Por UC'!C:C,C26,'Detalhe Por UC'!AD:AD,"&gt;"&amp;0))</f>
        <v>45627</v>
      </c>
      <c r="CA26" s="114">
        <f ca="1">IF(OR(S26&gt;0,AD26&gt;0),IFERROR(
SUMIFS(INDIRECT("'Infos Clientes'!$W"&amp;INDEX('Infos Clientes'!$C:$C,MATCH(C26,'Infos Clientes'!$H:$H,0))&amp;":$CZ"&amp;INDEX('Infos Clientes'!$C:$C,MATCH(C26,'Infos Clientes'!$H:$H,0))),'Infos Clientes'!$W$2:$CZ$2,"&gt;"&amp;$R26-365,'Infos Clientes'!$W$2:$CZ$2,"&lt;="&amp;$R26)/
COUNTIFS(INDIRECT("'Infos Clientes'!$W"&amp;INDEX('Infos Clientes'!$C:$C,MATCH(C26,'Infos Clientes'!$H:$H,0))&amp;":$CZ"&amp;INDEX('Infos Clientes'!$C:$C,MATCH(C26,'Infos Clientes'!$H:$H,0))),"&gt;="&amp;0,'Infos Clientes'!$W$2:$CZ$2,"&gt;"&amp;$R26-365,'Infos Clientes'!$W$2:$CZ$2,"&lt;="&amp;$R26),""),"")</f>
        <v>153.91666666666666</v>
      </c>
      <c r="CB26" s="87">
        <f>VLOOKUP(C26,'Infos Clientes'!B:L,11,0)</f>
        <v>0</v>
      </c>
      <c r="CC26" s="88" t="str">
        <f t="shared" si="42"/>
        <v>A Unidade Consumidora 10/218777-1 economizou R$27,35 na fatura referente à jan/2025  consumindo 98 kWh em créditos de energia renovável conforme fatura de energia. A economia foi de 25% em relação ao que seria pago para a Energisa considerando os créditos consumidos. Atenção: Mantenha as contas da Energisa em dia para evitar cortes.</v>
      </c>
      <c r="CD26" s="40" t="s">
        <v>75</v>
      </c>
      <c r="CF26" s="115">
        <f t="shared" si="43"/>
        <v>-49.679999999999964</v>
      </c>
    </row>
    <row r="27" spans="1:84" s="104" customFormat="1" ht="16.2" hidden="1" customHeight="1" x14ac:dyDescent="0.3">
      <c r="A27" s="105" t="str">
        <f>INDEX('Infos Clientes'!$D:$D,MATCH('Detalhe Por UC'!C27,'Infos Clientes'!B:B,0))</f>
        <v>IGREJA DO EVANGELHO QUADRANGULAR</v>
      </c>
      <c r="B27" s="106" t="str">
        <f>INDEX('Infos Clientes'!$F:$F,MATCH('Detalhe Por UC'!C27,'Infos Clientes'!B:B,0))</f>
        <v>62.955.505/0408-94</v>
      </c>
      <c r="C27" s="31" t="s">
        <v>76</v>
      </c>
      <c r="D27" t="s">
        <v>351</v>
      </c>
      <c r="E27" s="1" t="s">
        <v>352</v>
      </c>
      <c r="F27" s="56" t="str">
        <f>INDEX('Infos Clientes'!$I:$I,MATCH('Detalhe Por UC'!C27,'Infos Clientes'!B:B,0))</f>
        <v>BT</v>
      </c>
      <c r="G27" s="56" t="str">
        <f>INDEX('Infos Clientes'!$J:$J,MATCH('Detalhe Por UC'!C27,'Infos Clientes'!B:B,0))</f>
        <v>bifasico</v>
      </c>
      <c r="H27" s="108" t="s">
        <v>24</v>
      </c>
      <c r="I27" s="58">
        <f>IFERROR(VLOOKUP(C27,'Infos Clientes'!B:E,4,),"")</f>
        <v>371</v>
      </c>
      <c r="J27" s="109">
        <v>0.25</v>
      </c>
      <c r="K27" s="59">
        <f>INDEX('Infos Clientes'!$M:$M,MATCH('Detalhe Por UC'!C27,'Infos Clientes'!B:B,0))</f>
        <v>0.25</v>
      </c>
      <c r="L27" s="110">
        <v>0</v>
      </c>
      <c r="M27" s="56">
        <f>INDEX('Infos Clientes'!$N:$N,MATCH('Detalhe Por UC'!C27,'Infos Clientes'!B:B,0))</f>
        <v>0</v>
      </c>
      <c r="N27" s="56">
        <f t="shared" si="7"/>
        <v>0</v>
      </c>
      <c r="O27" s="56">
        <f t="shared" si="8"/>
        <v>11</v>
      </c>
      <c r="P27" s="56">
        <f t="shared" si="9"/>
        <v>0</v>
      </c>
      <c r="Q27" s="61">
        <f>IFERROR(IFERROR(INDEX('Infos Clientes'!$A$2:$V$9884,MATCH($C27,'Infos Clientes'!$B$2:$B$9884,0),MATCH(Q$8,'Infos Clientes'!$A$2:$V$2,0)),"")
+IF(OR(INDEX('Infos Clientes'!$A$2:$V$9884,MATCH($C27,'Infos Clientes'!$B$2:$B$9884,0),MATCH("Tempo de Fidelidade (meses)",'Infos Clientes'!$A$2:$V$2,0))=0,R27&gt;=MAX(R:R)),0,
ROUND((MAX(R:R)-R27)/(365/12),0)),"")</f>
        <v>0</v>
      </c>
      <c r="R27" s="111">
        <v>45658</v>
      </c>
      <c r="S27" s="112">
        <v>0.01</v>
      </c>
      <c r="T27" s="113">
        <f>IF($H27="GIROSSOL II",AP27/INDEX('Resumo Operacional'!$A$1:$P$1103,17,MATCH('Detalhe Por UC'!$R27,'Resumo Operacional'!$A$1:$P$1,0)),
IF($H27="GIROSSOL II e III",AP27/INDEX('Resumo Operacional'!$A$1:$P$1103,17,MATCH('Detalhe Por UC'!$R27,'Resumo Operacional'!$A$1:$P$1,0)),
""))</f>
        <v>8.8655038200951414E-3</v>
      </c>
      <c r="U27" s="113" t="str">
        <f>IF($H27="GIROSSOL III",AP27/INDEX('Resumo Operacional'!$A$1:$P$1103,53,MATCH('Detalhe Por UC'!$R27,'Resumo Operacional'!$A$1:$P$1,0)),
IF($H27="GIROSSOL II e III",AP27/INDEX('Resumo Operacional'!$A$1:$P$1103,53,MATCH('Detalhe Por UC'!$R27,'Resumo Operacional'!$A$1:$P$1,0)),
""))</f>
        <v/>
      </c>
      <c r="V27" s="12"/>
      <c r="W27" s="12"/>
      <c r="X27" s="35">
        <v>1.1162162162162161</v>
      </c>
      <c r="Y27" s="35">
        <v>0</v>
      </c>
      <c r="Z27" s="35">
        <v>1.1162222222222222</v>
      </c>
      <c r="AA27" s="35">
        <v>0</v>
      </c>
      <c r="AB27" s="35">
        <v>185</v>
      </c>
      <c r="AC27" s="35">
        <v>0</v>
      </c>
      <c r="AD27" s="35">
        <v>135</v>
      </c>
      <c r="AE27" s="35"/>
      <c r="AF27" s="35">
        <v>124</v>
      </c>
      <c r="AG27" s="35">
        <v>0</v>
      </c>
      <c r="AH27" s="35">
        <v>42.9</v>
      </c>
      <c r="AI27" s="35">
        <v>0</v>
      </c>
      <c r="AJ27" s="35">
        <v>0</v>
      </c>
      <c r="AK27" s="12"/>
      <c r="AL27" s="38"/>
      <c r="AM27" s="1"/>
      <c r="AN27" s="71">
        <f t="shared" si="10"/>
        <v>-12</v>
      </c>
      <c r="AO27" s="71">
        <f t="shared" si="11"/>
        <v>0</v>
      </c>
      <c r="AP27" s="71">
        <f t="shared" si="12"/>
        <v>123</v>
      </c>
      <c r="AQ27" s="72">
        <f>IF(OR($H27="GIROSSOL II",$H27="GIROSSOL II e III"),INDEX('Resumo Operacional'!$A$1:$P$1103,MATCH("Energia Injetada prevista total Fatura da Usina (TUSD)",'Resumo Operacional'!$B$1:$B$1103,0),MATCH('Detalhe Por UC'!$R27,'Resumo Operacional'!$A$1:$P$1,0))*$S27,INDEX('Resumo Operacional'!$A$1:$P$1103,53,MATCH('Detalhe Por UC'!$R27,'Resumo Operacional'!$A$1:$P$1,0))*$S27)</f>
        <v>138.74</v>
      </c>
      <c r="AR27" s="71">
        <f t="shared" si="13"/>
        <v>-15.740000000000009</v>
      </c>
      <c r="AS27" s="73">
        <f t="shared" si="14"/>
        <v>98.710000000000008</v>
      </c>
      <c r="AT27" s="74">
        <f t="shared" si="15"/>
        <v>98.710000000000008</v>
      </c>
      <c r="AU27" s="74">
        <f t="shared" si="16"/>
        <v>1.1162282282282283</v>
      </c>
      <c r="AV27" s="74">
        <f t="shared" si="17"/>
        <v>113.0175</v>
      </c>
      <c r="AW27" s="74">
        <f t="shared" si="18"/>
        <v>0</v>
      </c>
      <c r="AX27" s="74">
        <f t="shared" si="19"/>
        <v>150.69</v>
      </c>
      <c r="AY27" s="74">
        <f t="shared" si="20"/>
        <v>113.02</v>
      </c>
      <c r="AZ27" s="49">
        <v>113.02</v>
      </c>
      <c r="BA27" s="49">
        <v>113.02</v>
      </c>
      <c r="BB27" s="49">
        <v>113.02</v>
      </c>
      <c r="BC27" s="73" t="str">
        <f t="shared" si="21"/>
        <v/>
      </c>
      <c r="BD27" s="73">
        <f t="shared" si="22"/>
        <v>249.4</v>
      </c>
      <c r="BE27" s="73">
        <f t="shared" si="23"/>
        <v>211.72750000000002</v>
      </c>
      <c r="BF27" s="77">
        <f t="shared" si="24"/>
        <v>37.67</v>
      </c>
      <c r="BG27" s="77">
        <f t="shared" si="25"/>
        <v>11.301</v>
      </c>
      <c r="BH27" s="77">
        <f t="shared" si="26"/>
        <v>150.69</v>
      </c>
      <c r="BI27" s="78">
        <f t="shared" si="27"/>
        <v>0.25</v>
      </c>
      <c r="BJ27" s="79">
        <f t="shared" si="28"/>
        <v>0.15104250200481156</v>
      </c>
      <c r="BK27" s="80">
        <f t="shared" si="29"/>
        <v>211.73000000000002</v>
      </c>
      <c r="BL27" s="80">
        <f t="shared" si="30"/>
        <v>37.669999999999987</v>
      </c>
      <c r="BM27" s="79">
        <f t="shared" si="31"/>
        <v>0.15104250200481151</v>
      </c>
      <c r="BN27" s="81">
        <f t="shared" si="32"/>
        <v>0.83718518518518514</v>
      </c>
      <c r="BO27" s="82">
        <f t="shared" si="33"/>
        <v>113.02</v>
      </c>
      <c r="BP27" s="81">
        <f t="shared" si="34"/>
        <v>0.83718518518518514</v>
      </c>
      <c r="BQ27" s="81">
        <f t="shared" si="35"/>
        <v>0.83717917917917906</v>
      </c>
      <c r="BR27" s="81">
        <f t="shared" si="36"/>
        <v>1.1162162162162161</v>
      </c>
      <c r="BS27" s="82">
        <f t="shared" si="37"/>
        <v>135</v>
      </c>
      <c r="BT27" s="82">
        <f t="shared" si="38"/>
        <v>150.68918918918916</v>
      </c>
      <c r="BU27" s="82">
        <f t="shared" si="39"/>
        <v>150.69</v>
      </c>
      <c r="BV27"/>
      <c r="BW27" s="82">
        <f>IFERROR(INDEX('Infos Clientes'!$T:$T,MATCH('Detalhe Por UC'!$C27,'Infos Clientes'!B:B,0)),"")</f>
        <v>157.66666666666666</v>
      </c>
      <c r="BX27" s="83">
        <f t="shared" si="40"/>
        <v>0</v>
      </c>
      <c r="BY27" s="84">
        <f t="shared" si="41"/>
        <v>0.24998475473051751</v>
      </c>
      <c r="BZ27" s="85">
        <f>IF(_xlfn.MINIFS('Detalhe Por UC'!R:R,'Detalhe Por UC'!C:C,C27,'Detalhe Por UC'!AD:AD,"&gt;"&amp;0)=0,"",_xlfn.MINIFS('Detalhe Por UC'!R:R,'Detalhe Por UC'!C:C,C27,'Detalhe Por UC'!AD:AD,"&gt;"&amp;0))</f>
        <v>45627</v>
      </c>
      <c r="CA27" s="114">
        <f ca="1">IF(OR(S27&gt;0,AD27&gt;0),IFERROR(
SUMIFS(INDIRECT("'Infos Clientes'!$W"&amp;INDEX('Infos Clientes'!$C:$C,MATCH(C27,'Infos Clientes'!$H:$H,0))&amp;":$CZ"&amp;INDEX('Infos Clientes'!$C:$C,MATCH(C27,'Infos Clientes'!$H:$H,0))),'Infos Clientes'!$W$2:$CZ$2,"&gt;"&amp;$R27-365,'Infos Clientes'!$W$2:$CZ$2,"&lt;="&amp;$R27)/
COUNTIFS(INDIRECT("'Infos Clientes'!$W"&amp;INDEX('Infos Clientes'!$C:$C,MATCH(C27,'Infos Clientes'!$H:$H,0))&amp;":$CZ"&amp;INDEX('Infos Clientes'!$C:$C,MATCH(C27,'Infos Clientes'!$H:$H,0))),"&gt;="&amp;0,'Infos Clientes'!$W$2:$CZ$2,"&gt;"&amp;$R27-365,'Infos Clientes'!$W$2:$CZ$2,"&lt;="&amp;$R27),""),"")</f>
        <v>157.66666666666666</v>
      </c>
      <c r="CB27" s="87">
        <f>VLOOKUP(C27,'Infos Clientes'!B:L,11,0)</f>
        <v>0</v>
      </c>
      <c r="CC27" s="88" t="str">
        <f t="shared" si="42"/>
        <v>A Unidade Consumidora 10/226667-4 economizou R$37,67 na fatura referente à jan/2025  consumindo 135 kWh em créditos de energia renovável conforme fatura de energia. A economia foi de 25% em relação ao que seria pago para a Energisa considerando os créditos consumidos. Atenção: Mantenha as contas da Energisa em dia para evitar cortes.</v>
      </c>
      <c r="CD27" s="40" t="s">
        <v>78</v>
      </c>
      <c r="CF27" s="115">
        <f t="shared" si="43"/>
        <v>-98.710000000000008</v>
      </c>
    </row>
    <row r="28" spans="1:84" s="104" customFormat="1" ht="16.2" hidden="1" customHeight="1" x14ac:dyDescent="0.3">
      <c r="A28" s="105" t="str">
        <f>INDEX('Infos Clientes'!$D:$D,MATCH('Detalhe Por UC'!C28,'Infos Clientes'!B:B,0))</f>
        <v>IGREJA DO EVANGELHO QUADRANGULAR</v>
      </c>
      <c r="B28" s="106" t="str">
        <f>INDEX('Infos Clientes'!$F:$F,MATCH('Detalhe Por UC'!C28,'Infos Clientes'!B:B,0))</f>
        <v>62.955.505/0172-13</v>
      </c>
      <c r="C28" s="31" t="s">
        <v>79</v>
      </c>
      <c r="D28" t="s">
        <v>351</v>
      </c>
      <c r="E28" s="1" t="s">
        <v>352</v>
      </c>
      <c r="F28" s="56" t="str">
        <f>INDEX('Infos Clientes'!$I:$I,MATCH('Detalhe Por UC'!C28,'Infos Clientes'!B:B,0))</f>
        <v>BT</v>
      </c>
      <c r="G28" s="56" t="str">
        <f>INDEX('Infos Clientes'!$J:$J,MATCH('Detalhe Por UC'!C28,'Infos Clientes'!B:B,0))</f>
        <v>trifasico</v>
      </c>
      <c r="H28" s="108" t="s">
        <v>24</v>
      </c>
      <c r="I28" s="58">
        <f>IFERROR(VLOOKUP(C28,'Infos Clientes'!B:E,4,),"")</f>
        <v>371</v>
      </c>
      <c r="J28" s="109">
        <v>0.25</v>
      </c>
      <c r="K28" s="59">
        <f>INDEX('Infos Clientes'!$M:$M,MATCH('Detalhe Por UC'!C28,'Infos Clientes'!B:B,0))</f>
        <v>0.25</v>
      </c>
      <c r="L28" s="110">
        <v>0</v>
      </c>
      <c r="M28" s="56">
        <f>INDEX('Infos Clientes'!$N:$N,MATCH('Detalhe Por UC'!C28,'Infos Clientes'!B:B,0))</f>
        <v>0</v>
      </c>
      <c r="N28" s="56">
        <f t="shared" si="7"/>
        <v>0</v>
      </c>
      <c r="O28" s="56">
        <f t="shared" si="8"/>
        <v>8</v>
      </c>
      <c r="P28" s="56">
        <f t="shared" si="9"/>
        <v>0</v>
      </c>
      <c r="Q28" s="61">
        <f>IFERROR(IFERROR(INDEX('Infos Clientes'!$A$2:$V$9884,MATCH($C28,'Infos Clientes'!$B$2:$B$9884,0),MATCH(Q$8,'Infos Clientes'!$A$2:$V$2,0)),"")
+IF(OR(INDEX('Infos Clientes'!$A$2:$V$9884,MATCH($C28,'Infos Clientes'!$B$2:$B$9884,0),MATCH("Tempo de Fidelidade (meses)",'Infos Clientes'!$A$2:$V$2,0))=0,R28&gt;=MAX(R:R)),0,
ROUND((MAX(R:R)-R28)/(365/12),0)),"")</f>
        <v>0</v>
      </c>
      <c r="R28" s="111">
        <v>45658</v>
      </c>
      <c r="S28" s="112">
        <v>6.0000000000000001E-3</v>
      </c>
      <c r="T28" s="113">
        <f>IF($H28="GIROSSOL II",AP28/INDEX('Resumo Operacional'!$A$1:$P$1103,17,MATCH('Detalhe Por UC'!$R28,'Resumo Operacional'!$A$1:$P$1,0)),
IF($H28="GIROSSOL II e III",AP28/INDEX('Resumo Operacional'!$A$1:$P$1103,17,MATCH('Detalhe Por UC'!$R28,'Resumo Operacional'!$A$1:$P$1,0)),
""))</f>
        <v>8.8655038200951414E-3</v>
      </c>
      <c r="U28" s="113" t="str">
        <f>IF($H28="GIROSSOL III",AP28/INDEX('Resumo Operacional'!$A$1:$P$1103,53,MATCH('Detalhe Por UC'!$R28,'Resumo Operacional'!$A$1:$P$1,0)),
IF($H28="GIROSSOL II e III",AP28/INDEX('Resumo Operacional'!$A$1:$P$1103,53,MATCH('Detalhe Por UC'!$R28,'Resumo Operacional'!$A$1:$P$1,0)),
""))</f>
        <v/>
      </c>
      <c r="V28" s="12"/>
      <c r="W28" s="12"/>
      <c r="X28" s="35">
        <v>1.1162453531598513</v>
      </c>
      <c r="Y28" s="35">
        <v>0</v>
      </c>
      <c r="Z28" s="35">
        <v>1.1162130177514793</v>
      </c>
      <c r="AA28" s="35">
        <v>0</v>
      </c>
      <c r="AB28" s="35">
        <v>269</v>
      </c>
      <c r="AC28" s="35">
        <v>0</v>
      </c>
      <c r="AD28" s="35">
        <v>169</v>
      </c>
      <c r="AE28" s="35"/>
      <c r="AF28" s="35">
        <v>271</v>
      </c>
      <c r="AG28" s="35">
        <v>0</v>
      </c>
      <c r="AH28" s="35">
        <v>29.770000000000003</v>
      </c>
      <c r="AI28" s="35">
        <v>0</v>
      </c>
      <c r="AJ28" s="35">
        <v>0</v>
      </c>
      <c r="AK28" s="12"/>
      <c r="AL28" s="38"/>
      <c r="AM28" s="1"/>
      <c r="AN28" s="71">
        <f t="shared" si="10"/>
        <v>-46</v>
      </c>
      <c r="AO28" s="71">
        <f t="shared" si="11"/>
        <v>0</v>
      </c>
      <c r="AP28" s="71">
        <f t="shared" si="12"/>
        <v>123</v>
      </c>
      <c r="AQ28" s="72">
        <f>IF(OR($H28="GIROSSOL II",$H28="GIROSSOL II e III"),INDEX('Resumo Operacional'!$A$1:$P$1103,MATCH("Energia Injetada prevista total Fatura da Usina (TUSD)",'Resumo Operacional'!$B$1:$B$1103,0),MATCH('Detalhe Por UC'!$R28,'Resumo Operacional'!$A$1:$P$1,0))*$S28,INDEX('Resumo Operacional'!$A$1:$P$1103,53,MATCH('Detalhe Por UC'!$R28,'Resumo Operacional'!$A$1:$P$1,0))*$S28)</f>
        <v>83.244</v>
      </c>
      <c r="AR28" s="71">
        <f t="shared" si="13"/>
        <v>39.756</v>
      </c>
      <c r="AS28" s="73">
        <f t="shared" si="14"/>
        <v>141.39999999999998</v>
      </c>
      <c r="AT28" s="74">
        <f t="shared" si="15"/>
        <v>141.39999999999998</v>
      </c>
      <c r="AU28" s="74">
        <f t="shared" si="16"/>
        <v>1.1161806823431073</v>
      </c>
      <c r="AV28" s="74">
        <f t="shared" si="17"/>
        <v>141.47999999999999</v>
      </c>
      <c r="AW28" s="74">
        <f t="shared" si="18"/>
        <v>0</v>
      </c>
      <c r="AX28" s="74">
        <f t="shared" si="19"/>
        <v>188.64000000000001</v>
      </c>
      <c r="AY28" s="74">
        <f t="shared" si="20"/>
        <v>141.47999999999999</v>
      </c>
      <c r="AZ28" s="49">
        <v>141.47999999999999</v>
      </c>
      <c r="BA28" s="49">
        <v>141.47999999999999</v>
      </c>
      <c r="BB28" s="49">
        <v>141.47999999999999</v>
      </c>
      <c r="BC28" s="73" t="str">
        <f t="shared" si="21"/>
        <v/>
      </c>
      <c r="BD28" s="73">
        <f t="shared" si="22"/>
        <v>330.03999999999996</v>
      </c>
      <c r="BE28" s="73">
        <f t="shared" si="23"/>
        <v>282.88</v>
      </c>
      <c r="BF28" s="77">
        <f t="shared" si="24"/>
        <v>47.16</v>
      </c>
      <c r="BG28" s="77">
        <f t="shared" si="25"/>
        <v>14.147999999999998</v>
      </c>
      <c r="BH28" s="77">
        <f t="shared" si="26"/>
        <v>188.64000000000001</v>
      </c>
      <c r="BI28" s="78">
        <f t="shared" si="27"/>
        <v>0.25</v>
      </c>
      <c r="BJ28" s="79">
        <f t="shared" si="28"/>
        <v>0.1428917706944613</v>
      </c>
      <c r="BK28" s="80">
        <f t="shared" si="29"/>
        <v>282.88</v>
      </c>
      <c r="BL28" s="80">
        <f t="shared" si="30"/>
        <v>47.159999999999968</v>
      </c>
      <c r="BM28" s="79">
        <f t="shared" si="31"/>
        <v>0.14289177069446118</v>
      </c>
      <c r="BN28" s="81">
        <f t="shared" si="32"/>
        <v>0.83715976331360942</v>
      </c>
      <c r="BO28" s="82">
        <f t="shared" si="33"/>
        <v>141.47999999999999</v>
      </c>
      <c r="BP28" s="81">
        <f t="shared" si="34"/>
        <v>0.83715976331360942</v>
      </c>
      <c r="BQ28" s="81">
        <f t="shared" si="35"/>
        <v>0.83719209872198141</v>
      </c>
      <c r="BR28" s="81">
        <f t="shared" si="36"/>
        <v>1.1162453531598513</v>
      </c>
      <c r="BS28" s="82">
        <f t="shared" si="37"/>
        <v>169</v>
      </c>
      <c r="BT28" s="82">
        <f t="shared" si="38"/>
        <v>188.64546468401488</v>
      </c>
      <c r="BU28" s="82">
        <f t="shared" si="39"/>
        <v>188.64000000000001</v>
      </c>
      <c r="BV28"/>
      <c r="BW28" s="82">
        <f>IFERROR(INDEX('Infos Clientes'!$T:$T,MATCH('Detalhe Por UC'!$C28,'Infos Clientes'!B:B,0)),"")</f>
        <v>166.66666666666666</v>
      </c>
      <c r="BX28" s="83">
        <f t="shared" si="40"/>
        <v>0</v>
      </c>
      <c r="BY28" s="84">
        <f t="shared" si="41"/>
        <v>0.24999275799709261</v>
      </c>
      <c r="BZ28" s="85">
        <f>IF(_xlfn.MINIFS('Detalhe Por UC'!R:R,'Detalhe Por UC'!C:C,C28,'Detalhe Por UC'!AD:AD,"&gt;"&amp;0)=0,"",_xlfn.MINIFS('Detalhe Por UC'!R:R,'Detalhe Por UC'!C:C,C28,'Detalhe Por UC'!AD:AD,"&gt;"&amp;0))</f>
        <v>45627</v>
      </c>
      <c r="CA28" s="114">
        <f ca="1">IF(OR(S28&gt;0,AD28&gt;0),IFERROR(
SUMIFS(INDIRECT("'Infos Clientes'!$W"&amp;INDEX('Infos Clientes'!$C:$C,MATCH(C28,'Infos Clientes'!$H:$H,0))&amp;":$CZ"&amp;INDEX('Infos Clientes'!$C:$C,MATCH(C28,'Infos Clientes'!$H:$H,0))),'Infos Clientes'!$W$2:$CZ$2,"&gt;"&amp;$R28-365,'Infos Clientes'!$W$2:$CZ$2,"&lt;="&amp;$R28)/
COUNTIFS(INDIRECT("'Infos Clientes'!$W"&amp;INDEX('Infos Clientes'!$C:$C,MATCH(C28,'Infos Clientes'!$H:$H,0))&amp;":$CZ"&amp;INDEX('Infos Clientes'!$C:$C,MATCH(C28,'Infos Clientes'!$H:$H,0))),"&gt;="&amp;0,'Infos Clientes'!$W$2:$CZ$2,"&gt;"&amp;$R28-365,'Infos Clientes'!$W$2:$CZ$2,"&lt;="&amp;$R28),""),"")</f>
        <v>166.66666666666666</v>
      </c>
      <c r="CB28" s="87">
        <f>VLOOKUP(C28,'Infos Clientes'!B:L,11,0)</f>
        <v>0</v>
      </c>
      <c r="CC28" s="88" t="str">
        <f t="shared" si="42"/>
        <v>A Unidade Consumidora 10/237441-1 economizou R$47,16 na fatura referente à jan/2025  consumindo 169 kWh em créditos de energia renovável conforme fatura de energia. A economia foi de 25% em relação ao que seria pago para a Energisa considerando os créditos consumidos. Atenção: Mantenha as contas da Energisa em dia para evitar cortes.</v>
      </c>
      <c r="CD28" s="40" t="s">
        <v>80</v>
      </c>
      <c r="CF28" s="115">
        <f t="shared" si="43"/>
        <v>-141.39999999999998</v>
      </c>
    </row>
    <row r="29" spans="1:84" s="104" customFormat="1" ht="16.2" hidden="1" customHeight="1" x14ac:dyDescent="0.3">
      <c r="A29" s="105" t="str">
        <f>INDEX('Infos Clientes'!$D:$D,MATCH('Detalhe Por UC'!C29,'Infos Clientes'!B:B,0))</f>
        <v>IGREJA DO EVANGELHO QUADRANGULAR</v>
      </c>
      <c r="B29" s="106" t="str">
        <f>INDEX('Infos Clientes'!$F:$F,MATCH('Detalhe Por UC'!C29,'Infos Clientes'!B:B,0))</f>
        <v>62.955.505/1821-76</v>
      </c>
      <c r="C29" s="31" t="s">
        <v>81</v>
      </c>
      <c r="D29" t="s">
        <v>351</v>
      </c>
      <c r="E29" s="1" t="s">
        <v>352</v>
      </c>
      <c r="F29" s="56" t="str">
        <f>INDEX('Infos Clientes'!$I:$I,MATCH('Detalhe Por UC'!C29,'Infos Clientes'!B:B,0))</f>
        <v>BT</v>
      </c>
      <c r="G29" s="56" t="str">
        <f>INDEX('Infos Clientes'!$J:$J,MATCH('Detalhe Por UC'!C29,'Infos Clientes'!B:B,0))</f>
        <v>bifasico</v>
      </c>
      <c r="H29" s="108" t="s">
        <v>24</v>
      </c>
      <c r="I29" s="58">
        <f>IFERROR(VLOOKUP(C29,'Infos Clientes'!B:E,4,),"")</f>
        <v>362</v>
      </c>
      <c r="J29" s="109">
        <v>0.25</v>
      </c>
      <c r="K29" s="59">
        <f>INDEX('Infos Clientes'!$M:$M,MATCH('Detalhe Por UC'!C29,'Infos Clientes'!B:B,0))</f>
        <v>0.25</v>
      </c>
      <c r="L29" s="110">
        <v>0</v>
      </c>
      <c r="M29" s="56">
        <f>INDEX('Infos Clientes'!$N:$N,MATCH('Detalhe Por UC'!C29,'Infos Clientes'!B:B,0))</f>
        <v>0</v>
      </c>
      <c r="N29" s="56">
        <f t="shared" si="7"/>
        <v>0</v>
      </c>
      <c r="O29" s="56">
        <f t="shared" si="8"/>
        <v>12</v>
      </c>
      <c r="P29" s="56">
        <f t="shared" si="9"/>
        <v>0</v>
      </c>
      <c r="Q29" s="61">
        <f>IFERROR(IFERROR(INDEX('Infos Clientes'!$A$2:$V$9884,MATCH($C29,'Infos Clientes'!$B$2:$B$9884,0),MATCH(Q$8,'Infos Clientes'!$A$2:$V$2,0)),"")
+IF(OR(INDEX('Infos Clientes'!$A$2:$V$9884,MATCH($C29,'Infos Clientes'!$B$2:$B$9884,0),MATCH("Tempo de Fidelidade (meses)",'Infos Clientes'!$A$2:$V$2,0))=0,R29&gt;=MAX(R:R)),0,
ROUND((MAX(R:R)-R29)/(365/12),0)),"")</f>
        <v>0</v>
      </c>
      <c r="R29" s="111">
        <v>45658</v>
      </c>
      <c r="S29" s="112">
        <v>5.0000000000000001E-3</v>
      </c>
      <c r="T29" s="113">
        <f>IF($H29="GIROSSOL II",AP29/INDEX('Resumo Operacional'!$A$1:$P$1103,17,MATCH('Detalhe Por UC'!$R29,'Resumo Operacional'!$A$1:$P$1,0)),
IF($H29="GIROSSOL II e III",AP29/INDEX('Resumo Operacional'!$A$1:$P$1103,17,MATCH('Detalhe Por UC'!$R29,'Resumo Operacional'!$A$1:$P$1,0)),
""))</f>
        <v>8.8655038200951414E-3</v>
      </c>
      <c r="U29" s="113" t="str">
        <f>IF($H29="GIROSSOL III",AP29/INDEX('Resumo Operacional'!$A$1:$P$1103,53,MATCH('Detalhe Por UC'!$R29,'Resumo Operacional'!$A$1:$P$1,0)),
IF($H29="GIROSSOL II e III",AP29/INDEX('Resumo Operacional'!$A$1:$P$1103,53,MATCH('Detalhe Por UC'!$R29,'Resumo Operacional'!$A$1:$P$1,0)),
""))</f>
        <v/>
      </c>
      <c r="V29" s="12"/>
      <c r="W29" s="12"/>
      <c r="X29" s="35">
        <v>1.11625</v>
      </c>
      <c r="Y29" s="35">
        <v>0</v>
      </c>
      <c r="Z29" s="35">
        <v>1.1162121212121212</v>
      </c>
      <c r="AA29" s="35">
        <v>0</v>
      </c>
      <c r="AB29" s="35">
        <v>248</v>
      </c>
      <c r="AC29" s="35">
        <v>0</v>
      </c>
      <c r="AD29" s="35">
        <v>198</v>
      </c>
      <c r="AE29" s="35"/>
      <c r="AF29" s="35">
        <v>113</v>
      </c>
      <c r="AG29" s="35">
        <v>0</v>
      </c>
      <c r="AH29" s="35">
        <v>21.270000000000003</v>
      </c>
      <c r="AI29" s="35">
        <v>0</v>
      </c>
      <c r="AJ29" s="35">
        <v>0</v>
      </c>
      <c r="AK29" s="12"/>
      <c r="AL29" s="38"/>
      <c r="AM29" s="1"/>
      <c r="AN29" s="71">
        <f t="shared" si="10"/>
        <v>-75</v>
      </c>
      <c r="AO29" s="71">
        <f t="shared" si="11"/>
        <v>0</v>
      </c>
      <c r="AP29" s="71">
        <f t="shared" si="12"/>
        <v>123</v>
      </c>
      <c r="AQ29" s="72">
        <f>IF(OR($H29="GIROSSOL II",$H29="GIROSSOL II e III"),INDEX('Resumo Operacional'!$A$1:$P$1103,MATCH("Energia Injetada prevista total Fatura da Usina (TUSD)",'Resumo Operacional'!$B$1:$B$1103,0),MATCH('Detalhe Por UC'!$R29,'Resumo Operacional'!$A$1:$P$1,0))*$S29,INDEX('Resumo Operacional'!$A$1:$P$1103,53,MATCH('Detalhe Por UC'!$R29,'Resumo Operacional'!$A$1:$P$1,0))*$S29)</f>
        <v>69.37</v>
      </c>
      <c r="AR29" s="71">
        <f t="shared" si="13"/>
        <v>53.629999999999995</v>
      </c>
      <c r="AS29" s="73">
        <f t="shared" si="14"/>
        <v>77.09</v>
      </c>
      <c r="AT29" s="74">
        <f t="shared" si="15"/>
        <v>77.09</v>
      </c>
      <c r="AU29" s="74">
        <f t="shared" si="16"/>
        <v>1.1161742424242425</v>
      </c>
      <c r="AV29" s="74">
        <f t="shared" si="17"/>
        <v>165.75749999999999</v>
      </c>
      <c r="AW29" s="74">
        <f t="shared" si="18"/>
        <v>0</v>
      </c>
      <c r="AX29" s="74">
        <f t="shared" si="19"/>
        <v>221.01</v>
      </c>
      <c r="AY29" s="74">
        <f t="shared" si="20"/>
        <v>165.76</v>
      </c>
      <c r="AZ29" s="49">
        <v>165.76</v>
      </c>
      <c r="BA29" s="49">
        <v>165.76</v>
      </c>
      <c r="BB29" s="49"/>
      <c r="BC29" s="73" t="str">
        <f t="shared" si="21"/>
        <v/>
      </c>
      <c r="BD29" s="73">
        <f t="shared" si="22"/>
        <v>298.09999999999997</v>
      </c>
      <c r="BE29" s="73">
        <f t="shared" si="23"/>
        <v>242.8475</v>
      </c>
      <c r="BF29" s="77">
        <f t="shared" si="24"/>
        <v>55.25</v>
      </c>
      <c r="BG29" s="77">
        <f t="shared" si="25"/>
        <v>16.574999999999999</v>
      </c>
      <c r="BH29" s="77">
        <f t="shared" si="26"/>
        <v>221.01</v>
      </c>
      <c r="BI29" s="78">
        <f t="shared" si="27"/>
        <v>0.25</v>
      </c>
      <c r="BJ29" s="79">
        <f t="shared" si="28"/>
        <v>0.18534048976853407</v>
      </c>
      <c r="BK29" s="80">
        <f t="shared" si="29"/>
        <v>242.85</v>
      </c>
      <c r="BL29" s="80">
        <f t="shared" si="30"/>
        <v>55.249999999999972</v>
      </c>
      <c r="BM29" s="79">
        <f t="shared" si="31"/>
        <v>0.18534048976853398</v>
      </c>
      <c r="BN29" s="81">
        <f t="shared" si="32"/>
        <v>0.83717171717171712</v>
      </c>
      <c r="BO29" s="82">
        <f t="shared" si="33"/>
        <v>165.76</v>
      </c>
      <c r="BP29" s="81">
        <f t="shared" si="34"/>
        <v>0.83717171717171712</v>
      </c>
      <c r="BQ29" s="81">
        <f t="shared" si="35"/>
        <v>0.83720959595959588</v>
      </c>
      <c r="BR29" s="81">
        <f t="shared" si="36"/>
        <v>1.11625</v>
      </c>
      <c r="BS29" s="82">
        <f t="shared" si="37"/>
        <v>198</v>
      </c>
      <c r="BT29" s="82">
        <f t="shared" si="38"/>
        <v>221.01749999999998</v>
      </c>
      <c r="BU29" s="82">
        <f t="shared" si="39"/>
        <v>221.01</v>
      </c>
      <c r="BV29"/>
      <c r="BW29" s="82">
        <f>IFERROR(INDEX('Infos Clientes'!$T:$T,MATCH('Detalhe Por UC'!$C29,'Infos Clientes'!B:B,0)),"")</f>
        <v>153.91666666666666</v>
      </c>
      <c r="BX29" s="83">
        <f t="shared" si="40"/>
        <v>0</v>
      </c>
      <c r="BY29" s="84">
        <f t="shared" si="41"/>
        <v>0.2499802051873721</v>
      </c>
      <c r="BZ29" s="85">
        <f>IF(_xlfn.MINIFS('Detalhe Por UC'!R:R,'Detalhe Por UC'!C:C,C29,'Detalhe Por UC'!AD:AD,"&gt;"&amp;0)=0,"",_xlfn.MINIFS('Detalhe Por UC'!R:R,'Detalhe Por UC'!C:C,C29,'Detalhe Por UC'!AD:AD,"&gt;"&amp;0))</f>
        <v>45627</v>
      </c>
      <c r="CA29" s="114">
        <f ca="1">IF(OR(S29&gt;0,AD29&gt;0),IFERROR(
SUMIFS(INDIRECT("'Infos Clientes'!$W"&amp;INDEX('Infos Clientes'!$C:$C,MATCH(C29,'Infos Clientes'!$H:$H,0))&amp;":$CZ"&amp;INDEX('Infos Clientes'!$C:$C,MATCH(C29,'Infos Clientes'!$H:$H,0))),'Infos Clientes'!$W$2:$CZ$2,"&gt;"&amp;$R29-365,'Infos Clientes'!$W$2:$CZ$2,"&lt;="&amp;$R29)/
COUNTIFS(INDIRECT("'Infos Clientes'!$W"&amp;INDEX('Infos Clientes'!$C:$C,MATCH(C29,'Infos Clientes'!$H:$H,0))&amp;":$CZ"&amp;INDEX('Infos Clientes'!$C:$C,MATCH(C29,'Infos Clientes'!$H:$H,0))),"&gt;="&amp;0,'Infos Clientes'!$W$2:$CZ$2,"&gt;"&amp;$R29-365,'Infos Clientes'!$W$2:$CZ$2,"&lt;="&amp;$R29),""),"")</f>
        <v>153.91666666666666</v>
      </c>
      <c r="CB29" s="87">
        <f>VLOOKUP(C29,'Infos Clientes'!B:L,11,0)</f>
        <v>0</v>
      </c>
      <c r="CC29" s="88" t="str">
        <f t="shared" si="42"/>
        <v>A Unidade Consumidora 10/257864-9 economizou R$55,25 na fatura referente à jan/2025  consumindo 198 kWh em créditos de energia renovável conforme fatura de energia. A economia foi de 25% em relação ao que seria pago para a Energisa considerando os créditos consumidos. Atenção: Mantenha as contas da Energisa em dia para evitar cortes.</v>
      </c>
      <c r="CD29" s="40" t="s">
        <v>83</v>
      </c>
      <c r="CF29" s="115">
        <f t="shared" si="43"/>
        <v>-77.09</v>
      </c>
    </row>
    <row r="30" spans="1:84" s="104" customFormat="1" ht="16.2" hidden="1" customHeight="1" x14ac:dyDescent="0.3">
      <c r="A30" s="105" t="str">
        <f>INDEX('Infos Clientes'!$D:$D,MATCH('Detalhe Por UC'!C30,'Infos Clientes'!B:B,0))</f>
        <v>IGREJA DO EVANGELHO QUADRANGULAR</v>
      </c>
      <c r="B30" s="106" t="str">
        <f>INDEX('Infos Clientes'!$F:$F,MATCH('Detalhe Por UC'!C30,'Infos Clientes'!B:B,0))</f>
        <v>62.955.505/3793-95</v>
      </c>
      <c r="C30" s="31" t="s">
        <v>84</v>
      </c>
      <c r="D30" t="s">
        <v>351</v>
      </c>
      <c r="E30" s="1" t="s">
        <v>352</v>
      </c>
      <c r="F30" s="56" t="str">
        <f>INDEX('Infos Clientes'!$I:$I,MATCH('Detalhe Por UC'!C30,'Infos Clientes'!B:B,0))</f>
        <v>BT</v>
      </c>
      <c r="G30" s="56" t="str">
        <f>INDEX('Infos Clientes'!$J:$J,MATCH('Detalhe Por UC'!C30,'Infos Clientes'!B:B,0))</f>
        <v>trifasico</v>
      </c>
      <c r="H30" s="108" t="s">
        <v>24</v>
      </c>
      <c r="I30" s="58">
        <f>IFERROR(VLOOKUP(C30,'Infos Clientes'!B:E,4,),"")</f>
        <v>302</v>
      </c>
      <c r="J30" s="109">
        <v>0.25</v>
      </c>
      <c r="K30" s="59">
        <f>INDEX('Infos Clientes'!$M:$M,MATCH('Detalhe Por UC'!C30,'Infos Clientes'!B:B,0))</f>
        <v>0.25</v>
      </c>
      <c r="L30" s="110">
        <v>0</v>
      </c>
      <c r="M30" s="56">
        <f>INDEX('Infos Clientes'!$N:$N,MATCH('Detalhe Por UC'!C30,'Infos Clientes'!B:B,0))</f>
        <v>0</v>
      </c>
      <c r="N30" s="56">
        <f t="shared" si="7"/>
        <v>0</v>
      </c>
      <c r="O30" s="56">
        <f t="shared" si="8"/>
        <v>12</v>
      </c>
      <c r="P30" s="56">
        <f t="shared" si="9"/>
        <v>0</v>
      </c>
      <c r="Q30" s="61">
        <f>IFERROR(IFERROR(INDEX('Infos Clientes'!$A$2:$V$9884,MATCH($C30,'Infos Clientes'!$B$2:$B$9884,0),MATCH(Q$8,'Infos Clientes'!$A$2:$V$2,0)),"")
+IF(OR(INDEX('Infos Clientes'!$A$2:$V$9884,MATCH($C30,'Infos Clientes'!$B$2:$B$9884,0),MATCH("Tempo de Fidelidade (meses)",'Infos Clientes'!$A$2:$V$2,0))=0,R30&gt;=MAX(R:R)),0,
ROUND((MAX(R:R)-R30)/(365/12),0)),"")</f>
        <v>0</v>
      </c>
      <c r="R30" s="111">
        <v>45658</v>
      </c>
      <c r="S30" s="112">
        <v>0.06</v>
      </c>
      <c r="T30" s="113">
        <f>IF($H30="GIROSSOL II",AP30/INDEX('Resumo Operacional'!$A$1:$P$1103,17,MATCH('Detalhe Por UC'!$R30,'Resumo Operacional'!$A$1:$P$1,0)),
IF($H30="GIROSSOL II e III",AP30/INDEX('Resumo Operacional'!$A$1:$P$1103,17,MATCH('Detalhe Por UC'!$R30,'Resumo Operacional'!$A$1:$P$1,0)),
""))</f>
        <v>3.5534092547210606E-2</v>
      </c>
      <c r="U30" s="113" t="str">
        <f>IF($H30="GIROSSOL III",AP30/INDEX('Resumo Operacional'!$A$1:$P$1103,53,MATCH('Detalhe Por UC'!$R30,'Resumo Operacional'!$A$1:$P$1,0)),
IF($H30="GIROSSOL II e III",AP30/INDEX('Resumo Operacional'!$A$1:$P$1103,53,MATCH('Detalhe Por UC'!$R30,'Resumo Operacional'!$A$1:$P$1,0)),
""))</f>
        <v/>
      </c>
      <c r="V30" s="12"/>
      <c r="W30" s="12"/>
      <c r="X30" s="35">
        <v>1.1162647444298821</v>
      </c>
      <c r="Y30" s="35">
        <v>0</v>
      </c>
      <c r="Z30" s="35">
        <v>1.1162474645030425</v>
      </c>
      <c r="AA30" s="35">
        <v>0</v>
      </c>
      <c r="AB30" s="35">
        <v>763</v>
      </c>
      <c r="AC30" s="35">
        <v>0</v>
      </c>
      <c r="AD30" s="35">
        <v>493</v>
      </c>
      <c r="AE30" s="35"/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12"/>
      <c r="AL30" s="38"/>
      <c r="AM30" s="1"/>
      <c r="AN30" s="71">
        <f t="shared" si="10"/>
        <v>0</v>
      </c>
      <c r="AO30" s="71">
        <f t="shared" si="11"/>
        <v>0</v>
      </c>
      <c r="AP30" s="71">
        <f t="shared" si="12"/>
        <v>493</v>
      </c>
      <c r="AQ30" s="72">
        <f>IF(OR($H30="GIROSSOL II",$H30="GIROSSOL II e III"),INDEX('Resumo Operacional'!$A$1:$P$1103,MATCH("Energia Injetada prevista total Fatura da Usina (TUSD)",'Resumo Operacional'!$B$1:$B$1103,0),MATCH('Detalhe Por UC'!$R30,'Resumo Operacional'!$A$1:$P$1,0))*$S30,INDEX('Resumo Operacional'!$A$1:$P$1103,53,MATCH('Detalhe Por UC'!$R30,'Resumo Operacional'!$A$1:$P$1,0))*$S30)</f>
        <v>832.43999999999994</v>
      </c>
      <c r="AR30" s="71">
        <f t="shared" si="13"/>
        <v>-339.43999999999994</v>
      </c>
      <c r="AS30" s="73">
        <f t="shared" si="14"/>
        <v>301.40000000000009</v>
      </c>
      <c r="AT30" s="74">
        <f t="shared" si="15"/>
        <v>301.40000000000009</v>
      </c>
      <c r="AU30" s="74">
        <f t="shared" si="16"/>
        <v>1.1162301845762028</v>
      </c>
      <c r="AV30" s="74">
        <f t="shared" si="17"/>
        <v>412.7324999999999</v>
      </c>
      <c r="AW30" s="74">
        <f t="shared" si="18"/>
        <v>0</v>
      </c>
      <c r="AX30" s="74">
        <f t="shared" si="19"/>
        <v>550.30999999999995</v>
      </c>
      <c r="AY30" s="74">
        <f t="shared" si="20"/>
        <v>412.73</v>
      </c>
      <c r="AZ30" s="49">
        <v>412.73</v>
      </c>
      <c r="BA30" s="49">
        <v>412.73</v>
      </c>
      <c r="BB30" s="49">
        <v>412.73</v>
      </c>
      <c r="BC30" s="73" t="str">
        <f t="shared" si="21"/>
        <v/>
      </c>
      <c r="BD30" s="73">
        <f t="shared" si="22"/>
        <v>851.71</v>
      </c>
      <c r="BE30" s="73">
        <f t="shared" si="23"/>
        <v>714.13249999999994</v>
      </c>
      <c r="BF30" s="77">
        <f t="shared" si="24"/>
        <v>137.58000000000001</v>
      </c>
      <c r="BG30" s="77">
        <f t="shared" si="25"/>
        <v>41.274000000000001</v>
      </c>
      <c r="BH30" s="77">
        <f t="shared" si="26"/>
        <v>550.30999999999995</v>
      </c>
      <c r="BI30" s="78">
        <f t="shared" si="27"/>
        <v>0.25</v>
      </c>
      <c r="BJ30" s="79">
        <f t="shared" si="28"/>
        <v>0.16153385542027215</v>
      </c>
      <c r="BK30" s="80">
        <f t="shared" si="29"/>
        <v>714.13000000000011</v>
      </c>
      <c r="BL30" s="80">
        <f t="shared" si="30"/>
        <v>137.57999999999993</v>
      </c>
      <c r="BM30" s="79">
        <f t="shared" si="31"/>
        <v>0.16153385542027207</v>
      </c>
      <c r="BN30" s="81">
        <f t="shared" si="32"/>
        <v>0.83718052738336712</v>
      </c>
      <c r="BO30" s="82">
        <f t="shared" si="33"/>
        <v>412.73</v>
      </c>
      <c r="BP30" s="81">
        <f t="shared" si="34"/>
        <v>0.83718052738336712</v>
      </c>
      <c r="BQ30" s="81">
        <f t="shared" si="35"/>
        <v>0.83719780731020677</v>
      </c>
      <c r="BR30" s="81">
        <f t="shared" si="36"/>
        <v>1.1162647444298821</v>
      </c>
      <c r="BS30" s="82">
        <f t="shared" si="37"/>
        <v>493</v>
      </c>
      <c r="BT30" s="82">
        <f t="shared" si="38"/>
        <v>550.3185190039319</v>
      </c>
      <c r="BU30" s="82">
        <f t="shared" si="39"/>
        <v>550.30999999999995</v>
      </c>
      <c r="BV30"/>
      <c r="BW30" s="82">
        <f>IFERROR(INDEX('Infos Clientes'!$T:$T,MATCH('Detalhe Por UC'!$C30,'Infos Clientes'!B:B,0)),"")</f>
        <v>818</v>
      </c>
      <c r="BX30" s="83">
        <f t="shared" si="40"/>
        <v>0</v>
      </c>
      <c r="BY30" s="84">
        <f t="shared" si="41"/>
        <v>0.25000067279040084</v>
      </c>
      <c r="BZ30" s="85">
        <f>IF(_xlfn.MINIFS('Detalhe Por UC'!R:R,'Detalhe Por UC'!C:C,C30,'Detalhe Por UC'!AD:AD,"&gt;"&amp;0)=0,"",_xlfn.MINIFS('Detalhe Por UC'!R:R,'Detalhe Por UC'!C:C,C30,'Detalhe Por UC'!AD:AD,"&gt;"&amp;0))</f>
        <v>45627</v>
      </c>
      <c r="CA30" s="114">
        <f ca="1">IF(OR(S30&gt;0,AD30&gt;0),IFERROR(
SUMIFS(INDIRECT("'Infos Clientes'!$W"&amp;INDEX('Infos Clientes'!$C:$C,MATCH(C30,'Infos Clientes'!$H:$H,0))&amp;":$CZ"&amp;INDEX('Infos Clientes'!$C:$C,MATCH(C30,'Infos Clientes'!$H:$H,0))),'Infos Clientes'!$W$2:$CZ$2,"&gt;"&amp;$R30-365,'Infos Clientes'!$W$2:$CZ$2,"&lt;="&amp;$R30)/
COUNTIFS(INDIRECT("'Infos Clientes'!$W"&amp;INDEX('Infos Clientes'!$C:$C,MATCH(C30,'Infos Clientes'!$H:$H,0))&amp;":$CZ"&amp;INDEX('Infos Clientes'!$C:$C,MATCH(C30,'Infos Clientes'!$H:$H,0))),"&gt;="&amp;0,'Infos Clientes'!$W$2:$CZ$2,"&gt;"&amp;$R30-365,'Infos Clientes'!$W$2:$CZ$2,"&lt;="&amp;$R30),""),"")</f>
        <v>818</v>
      </c>
      <c r="CB30" s="87">
        <f>VLOOKUP(C30,'Infos Clientes'!B:L,11,0)</f>
        <v>0</v>
      </c>
      <c r="CC30" s="88" t="str">
        <f t="shared" si="42"/>
        <v>A Unidade Consumidora 10/2599101-9 economizou R$137,58 na fatura referente à jan/2025  consumindo 493 kWh em créditos de energia renovável conforme fatura de energia. A economia foi de 25% em relação ao que seria pago para a Energisa considerando os créditos consumidos. Atenção: Mantenha as contas da Energisa em dia para evitar cortes.</v>
      </c>
      <c r="CD30" s="40" t="s">
        <v>86</v>
      </c>
      <c r="CF30" s="115">
        <f t="shared" si="43"/>
        <v>-301.40000000000009</v>
      </c>
    </row>
    <row r="31" spans="1:84" s="104" customFormat="1" ht="16.2" hidden="1" customHeight="1" x14ac:dyDescent="0.3">
      <c r="A31" s="105" t="str">
        <f>INDEX('Infos Clientes'!$D:$D,MATCH('Detalhe Por UC'!C31,'Infos Clientes'!B:B,0))</f>
        <v>IGREJA DO EVANGELHO QUADRANGULAR</v>
      </c>
      <c r="B31" s="106" t="str">
        <f>INDEX('Infos Clientes'!$F:$F,MATCH('Detalhe Por UC'!C31,'Infos Clientes'!B:B,0))</f>
        <v>62.955.505/0172-13</v>
      </c>
      <c r="C31" s="31" t="s">
        <v>87</v>
      </c>
      <c r="D31" t="s">
        <v>351</v>
      </c>
      <c r="E31" s="1" t="s">
        <v>352</v>
      </c>
      <c r="F31" s="56" t="str">
        <f>INDEX('Infos Clientes'!$I:$I,MATCH('Detalhe Por UC'!C31,'Infos Clientes'!B:B,0))</f>
        <v>BT</v>
      </c>
      <c r="G31" s="56" t="str">
        <f>INDEX('Infos Clientes'!$J:$J,MATCH('Detalhe Por UC'!C31,'Infos Clientes'!B:B,0))</f>
        <v>trifasico</v>
      </c>
      <c r="H31" s="108" t="s">
        <v>353</v>
      </c>
      <c r="I31" s="58">
        <f>IFERROR(VLOOKUP(C31,'Infos Clientes'!B:E,4,),"")</f>
        <v>371</v>
      </c>
      <c r="J31" s="109">
        <v>0.25</v>
      </c>
      <c r="K31" s="59">
        <f>INDEX('Infos Clientes'!$M:$M,MATCH('Detalhe Por UC'!C31,'Infos Clientes'!B:B,0))</f>
        <v>0.25</v>
      </c>
      <c r="L31" s="110">
        <v>0</v>
      </c>
      <c r="M31" s="56">
        <f>INDEX('Infos Clientes'!$N:$N,MATCH('Detalhe Por UC'!C31,'Infos Clientes'!B:B,0))</f>
        <v>0</v>
      </c>
      <c r="N31" s="56">
        <f t="shared" si="7"/>
        <v>0</v>
      </c>
      <c r="O31" s="56">
        <f t="shared" si="8"/>
        <v>12</v>
      </c>
      <c r="P31" s="56">
        <f t="shared" si="9"/>
        <v>0</v>
      </c>
      <c r="Q31" s="61">
        <f>IFERROR(IFERROR(INDEX('Infos Clientes'!$A$2:$V$9884,MATCH($C31,'Infos Clientes'!$B$2:$B$9884,0),MATCH(Q$8,'Infos Clientes'!$A$2:$V$2,0)),"")
+IF(OR(INDEX('Infos Clientes'!$A$2:$V$9884,MATCH($C31,'Infos Clientes'!$B$2:$B$9884,0),MATCH("Tempo de Fidelidade (meses)",'Infos Clientes'!$A$2:$V$2,0))=0,R31&gt;=MAX(R:R)),0,
ROUND((MAX(R:R)-R31)/(365/12),0)),"")</f>
        <v>0</v>
      </c>
      <c r="R31" s="111">
        <v>45658</v>
      </c>
      <c r="S31" s="112">
        <v>0.06</v>
      </c>
      <c r="T31" s="113">
        <f>IF($H31="GIROSSOL II",AP31/INDEX('Resumo Operacional'!$A$1:$P$1103,17,MATCH('Detalhe Por UC'!$R31,'Resumo Operacional'!$A$1:$P$1,0)),
IF($H31="GIROSSOL II e III",AP31/INDEX('Resumo Operacional'!$A$1:$P$1103,17,MATCH('Detalhe Por UC'!$R31,'Resumo Operacional'!$A$1:$P$1,0)),
""))</f>
        <v>0.12123396280813031</v>
      </c>
      <c r="U31" s="113">
        <f>IF($H31="GIROSSOL III",AP31/INDEX('Resumo Operacional'!$A$1:$P$1103,53,MATCH('Detalhe Por UC'!$R31,'Resumo Operacional'!$A$1:$P$1,0)),
IF($H31="GIROSSOL II e III",AP31/INDEX('Resumo Operacional'!$A$1:$P$1103,53,MATCH('Detalhe Por UC'!$R31,'Resumo Operacional'!$A$1:$P$1,0)),
""))</f>
        <v>0.10195793174516579</v>
      </c>
      <c r="V31" s="12"/>
      <c r="W31" s="12"/>
      <c r="X31" s="35">
        <v>1.1162652705061082</v>
      </c>
      <c r="Y31" s="35">
        <v>0</v>
      </c>
      <c r="Z31" s="35">
        <v>1.0362663495838289</v>
      </c>
      <c r="AA31" s="35">
        <v>0</v>
      </c>
      <c r="AB31" s="35">
        <v>1719</v>
      </c>
      <c r="AC31" s="35">
        <v>0</v>
      </c>
      <c r="AD31" s="35">
        <v>1682</v>
      </c>
      <c r="AE31" s="35"/>
      <c r="AF31" s="35">
        <v>0</v>
      </c>
      <c r="AG31" s="35">
        <v>0</v>
      </c>
      <c r="AH31" s="35">
        <v>110.32</v>
      </c>
      <c r="AI31" s="35">
        <v>0</v>
      </c>
      <c r="AJ31" s="35">
        <v>0</v>
      </c>
      <c r="AK31" s="12"/>
      <c r="AL31" s="38"/>
      <c r="AM31" s="1"/>
      <c r="AN31" s="71">
        <f t="shared" si="10"/>
        <v>0</v>
      </c>
      <c r="AO31" s="71">
        <f t="shared" si="11"/>
        <v>0</v>
      </c>
      <c r="AP31" s="71">
        <f t="shared" si="12"/>
        <v>1682</v>
      </c>
      <c r="AQ31" s="72">
        <f>IF(OR($H31="GIROSSOL II",$H31="GIROSSOL II e III"),INDEX('Resumo Operacional'!$A$1:$P$1103,MATCH("Energia Injetada prevista total Fatura da Usina (TUSD)",'Resumo Operacional'!$B$1:$B$1103,0),MATCH('Detalhe Por UC'!$R31,'Resumo Operacional'!$A$1:$P$1,0))*$S31,INDEX('Resumo Operacional'!$A$1:$P$1103,53,MATCH('Detalhe Por UC'!$R31,'Resumo Operacional'!$A$1:$P$1,0))*$S31)</f>
        <v>832.43999999999994</v>
      </c>
      <c r="AR31" s="71">
        <f t="shared" si="13"/>
        <v>849.56000000000006</v>
      </c>
      <c r="AS31" s="73">
        <f t="shared" si="14"/>
        <v>286.17999999999989</v>
      </c>
      <c r="AT31" s="74">
        <f t="shared" si="15"/>
        <v>286.17999999999989</v>
      </c>
      <c r="AU31" s="74">
        <f t="shared" si="16"/>
        <v>0.95626742866154957</v>
      </c>
      <c r="AV31" s="74">
        <f t="shared" si="17"/>
        <v>1307.2500000000002</v>
      </c>
      <c r="AW31" s="74">
        <f t="shared" si="18"/>
        <v>0</v>
      </c>
      <c r="AX31" s="74">
        <f t="shared" si="19"/>
        <v>1743.0000000000002</v>
      </c>
      <c r="AY31" s="74">
        <f t="shared" si="20"/>
        <v>1307.25</v>
      </c>
      <c r="AZ31" s="49">
        <v>1307.25</v>
      </c>
      <c r="BA31" s="49">
        <v>1307.25</v>
      </c>
      <c r="BB31" s="49">
        <v>1307.25</v>
      </c>
      <c r="BC31" s="73" t="str">
        <f t="shared" si="21"/>
        <v/>
      </c>
      <c r="BD31" s="73">
        <f t="shared" si="22"/>
        <v>2029.18</v>
      </c>
      <c r="BE31" s="73">
        <f t="shared" si="23"/>
        <v>1593.43</v>
      </c>
      <c r="BF31" s="77">
        <f t="shared" si="24"/>
        <v>435.75</v>
      </c>
      <c r="BG31" s="77">
        <f t="shared" si="25"/>
        <v>130.72499999999999</v>
      </c>
      <c r="BH31" s="77">
        <f t="shared" si="26"/>
        <v>1743.0000000000005</v>
      </c>
      <c r="BI31" s="78">
        <f t="shared" si="27"/>
        <v>0.25</v>
      </c>
      <c r="BJ31" s="79">
        <f t="shared" si="28"/>
        <v>0.21474191545353294</v>
      </c>
      <c r="BK31" s="80">
        <f t="shared" si="29"/>
        <v>1593.4299999999998</v>
      </c>
      <c r="BL31" s="80">
        <f t="shared" si="30"/>
        <v>435.75000000000023</v>
      </c>
      <c r="BM31" s="79">
        <f t="shared" si="31"/>
        <v>0.21474191545353305</v>
      </c>
      <c r="BN31" s="81">
        <f t="shared" si="32"/>
        <v>0.77719976218787157</v>
      </c>
      <c r="BO31" s="82">
        <f t="shared" si="33"/>
        <v>1307.25</v>
      </c>
      <c r="BP31" s="81">
        <f t="shared" si="34"/>
        <v>0.77719976218787157</v>
      </c>
      <c r="BQ31" s="81">
        <f t="shared" si="35"/>
        <v>0.85719868311015091</v>
      </c>
      <c r="BR31" s="81">
        <f t="shared" si="36"/>
        <v>1.1162652705061082</v>
      </c>
      <c r="BS31" s="82">
        <f t="shared" si="37"/>
        <v>1682</v>
      </c>
      <c r="BT31" s="82">
        <f t="shared" si="38"/>
        <v>1877.5581849912742</v>
      </c>
      <c r="BU31" s="82">
        <f t="shared" si="39"/>
        <v>1743.0000000000002</v>
      </c>
      <c r="BV31"/>
      <c r="BW31" s="82">
        <f>IFERROR(INDEX('Infos Clientes'!$T:$T,MATCH('Detalhe Por UC'!$C31,'Infos Clientes'!B:B,0)),"")</f>
        <v>1056.1666666666667</v>
      </c>
      <c r="BX31" s="83">
        <f t="shared" si="40"/>
        <v>0</v>
      </c>
      <c r="BY31" s="84">
        <f t="shared" si="41"/>
        <v>0.23208335351909501</v>
      </c>
      <c r="BZ31" s="85">
        <f>IF(_xlfn.MINIFS('Detalhe Por UC'!R:R,'Detalhe Por UC'!C:C,C31,'Detalhe Por UC'!AD:AD,"&gt;"&amp;0)=0,"",_xlfn.MINIFS('Detalhe Por UC'!R:R,'Detalhe Por UC'!C:C,C31,'Detalhe Por UC'!AD:AD,"&gt;"&amp;0))</f>
        <v>45627</v>
      </c>
      <c r="CA31" s="114">
        <f ca="1">IF(OR(S31&gt;0,AD31&gt;0),IFERROR(
SUMIFS(INDIRECT("'Infos Clientes'!$W"&amp;INDEX('Infos Clientes'!$C:$C,MATCH(C31,'Infos Clientes'!$H:$H,0))&amp;":$CZ"&amp;INDEX('Infos Clientes'!$C:$C,MATCH(C31,'Infos Clientes'!$H:$H,0))),'Infos Clientes'!$W$2:$CZ$2,"&gt;"&amp;$R31-365,'Infos Clientes'!$W$2:$CZ$2,"&lt;="&amp;$R31)/
COUNTIFS(INDIRECT("'Infos Clientes'!$W"&amp;INDEX('Infos Clientes'!$C:$C,MATCH(C31,'Infos Clientes'!$H:$H,0))&amp;":$CZ"&amp;INDEX('Infos Clientes'!$C:$C,MATCH(C31,'Infos Clientes'!$H:$H,0))),"&gt;="&amp;0,'Infos Clientes'!$W$2:$CZ$2,"&gt;"&amp;$R31-365,'Infos Clientes'!$W$2:$CZ$2,"&lt;="&amp;$R31),""),"")</f>
        <v>1056.1666666666667</v>
      </c>
      <c r="CB31" s="87">
        <f>VLOOKUP(C31,'Infos Clientes'!B:L,11,0)</f>
        <v>0</v>
      </c>
      <c r="CC31" s="88" t="str">
        <f t="shared" si="42"/>
        <v>A Unidade Consumidora 10/2605731-5 economizou R$435,75 na fatura referente à jan/2025  consumindo 1682 kWh em créditos de energia renovável conforme fatura de energia. A economia foi de 25% em relação ao que seria pago para a Energisa considerando os créditos consumidos. Atenção: Mantenha as contas da Energisa em dia para evitar cortes.</v>
      </c>
      <c r="CD31" s="40" t="s">
        <v>56</v>
      </c>
      <c r="CF31" s="115">
        <f t="shared" si="43"/>
        <v>-286.17999999999989</v>
      </c>
    </row>
    <row r="32" spans="1:84" s="104" customFormat="1" ht="16.2" hidden="1" customHeight="1" x14ac:dyDescent="0.3">
      <c r="A32" s="105" t="str">
        <f>INDEX('Infos Clientes'!$D:$D,MATCH('Detalhe Por UC'!C32,'Infos Clientes'!B:B,0))</f>
        <v>IGREJA DO EVANGELHO QUADRANGULAR</v>
      </c>
      <c r="B32" s="106" t="str">
        <f>INDEX('Infos Clientes'!$F:$F,MATCH('Detalhe Por UC'!C32,'Infos Clientes'!B:B,0))</f>
        <v>62.955.505/0884-04</v>
      </c>
      <c r="C32" s="107" t="s">
        <v>88</v>
      </c>
      <c r="D32" t="s">
        <v>351</v>
      </c>
      <c r="E32" s="1" t="s">
        <v>352</v>
      </c>
      <c r="F32" s="56" t="str">
        <f>INDEX('Infos Clientes'!$I:$I,MATCH('Detalhe Por UC'!C32,'Infos Clientes'!B:B,0))</f>
        <v>BT</v>
      </c>
      <c r="G32" s="56" t="str">
        <f>INDEX('Infos Clientes'!$J:$J,MATCH('Detalhe Por UC'!C32,'Infos Clientes'!B:B,0))</f>
        <v>trifasico</v>
      </c>
      <c r="H32" s="108" t="s">
        <v>353</v>
      </c>
      <c r="I32" s="58">
        <f>IFERROR(VLOOKUP(C32,'Infos Clientes'!B:E,4,),"")</f>
        <v>994</v>
      </c>
      <c r="J32" s="109">
        <v>0.25</v>
      </c>
      <c r="K32" s="59">
        <f>INDEX('Infos Clientes'!$M:$M,MATCH('Detalhe Por UC'!C32,'Infos Clientes'!B:B,0))</f>
        <v>0.25</v>
      </c>
      <c r="L32" s="110">
        <v>0</v>
      </c>
      <c r="M32" s="56">
        <f>INDEX('Infos Clientes'!$N:$N,MATCH('Detalhe Por UC'!C32,'Infos Clientes'!B:B,0))</f>
        <v>0</v>
      </c>
      <c r="N32" s="56">
        <f t="shared" si="7"/>
        <v>0</v>
      </c>
      <c r="O32" s="56">
        <f t="shared" si="8"/>
        <v>12</v>
      </c>
      <c r="P32" s="56">
        <f t="shared" si="9"/>
        <v>0</v>
      </c>
      <c r="Q32" s="61">
        <f>IFERROR(IFERROR(INDEX('Infos Clientes'!$A$2:$V$9884,MATCH($C32,'Infos Clientes'!$B$2:$B$9884,0),MATCH(Q$8,'Infos Clientes'!$A$2:$V$2,0)),"")
+IF(OR(INDEX('Infos Clientes'!$A$2:$V$9884,MATCH($C32,'Infos Clientes'!$B$2:$B$9884,0),MATCH("Tempo de Fidelidade (meses)",'Infos Clientes'!$A$2:$V$2,0))=0,R32&gt;=MAX(R:R)),0,
ROUND((MAX(R:R)-R32)/(365/12),0)),"")</f>
        <v>0</v>
      </c>
      <c r="R32" s="111">
        <v>45658</v>
      </c>
      <c r="S32" s="112">
        <v>0.02</v>
      </c>
      <c r="T32" s="113">
        <f>IF($H32="GIROSSOL II",AP32/INDEX('Resumo Operacional'!$A$1:$P$1103,17,MATCH('Detalhe Por UC'!$R32,'Resumo Operacional'!$A$1:$P$1,0)),
IF($H32="GIROSSOL II e III",AP32/INDEX('Resumo Operacional'!$A$1:$P$1103,17,MATCH('Detalhe Por UC'!$R32,'Resumo Operacional'!$A$1:$P$1,0)),
""))</f>
        <v>4.3678823699005331E-2</v>
      </c>
      <c r="U32" s="113">
        <f>IF($H32="GIROSSOL III",AP32/INDEX('Resumo Operacional'!$A$1:$P$1103,53,MATCH('Detalhe Por UC'!$R32,'Resumo Operacional'!$A$1:$P$1,0)),
IF($H32="GIROSSOL II e III",AP32/INDEX('Resumo Operacional'!$A$1:$P$1103,53,MATCH('Detalhe Por UC'!$R32,'Resumo Operacional'!$A$1:$P$1,0)),
""))</f>
        <v>3.6733951627568651E-2</v>
      </c>
      <c r="V32" s="12"/>
      <c r="W32" s="12"/>
      <c r="X32" s="35">
        <v>1.116265625</v>
      </c>
      <c r="Y32" s="35">
        <v>0</v>
      </c>
      <c r="Z32" s="35">
        <v>1.0434465195246181</v>
      </c>
      <c r="AA32" s="35">
        <v>0</v>
      </c>
      <c r="AB32" s="35">
        <v>640</v>
      </c>
      <c r="AC32" s="35">
        <v>0</v>
      </c>
      <c r="AD32" s="35">
        <v>589</v>
      </c>
      <c r="AE32" s="35"/>
      <c r="AF32" s="35">
        <v>852</v>
      </c>
      <c r="AG32" s="35">
        <v>0</v>
      </c>
      <c r="AH32" s="35">
        <v>122.57999999999998</v>
      </c>
      <c r="AI32" s="35">
        <v>0</v>
      </c>
      <c r="AJ32" s="35">
        <v>0</v>
      </c>
      <c r="AK32" s="12"/>
      <c r="AL32" s="38"/>
      <c r="AM32" s="1"/>
      <c r="AN32" s="71">
        <f t="shared" si="10"/>
        <v>17</v>
      </c>
      <c r="AO32" s="71">
        <f t="shared" si="11"/>
        <v>0</v>
      </c>
      <c r="AP32" s="71">
        <f t="shared" si="12"/>
        <v>606</v>
      </c>
      <c r="AQ32" s="72">
        <f>IF(OR($H32="GIROSSOL II",$H32="GIROSSOL II e III"),INDEX('Resumo Operacional'!$A$1:$P$1103,MATCH("Energia Injetada prevista total Fatura da Usina (TUSD)",'Resumo Operacional'!$B$1:$B$1103,0),MATCH('Detalhe Por UC'!$R32,'Resumo Operacional'!$A$1:$P$1,0))*$S32,INDEX('Resumo Operacional'!$A$1:$P$1103,53,MATCH('Detalhe Por UC'!$R32,'Resumo Operacional'!$A$1:$P$1,0))*$S32)</f>
        <v>277.48</v>
      </c>
      <c r="AR32" s="71">
        <f t="shared" si="13"/>
        <v>328.52</v>
      </c>
      <c r="AS32" s="73">
        <f t="shared" si="14"/>
        <v>222.40000000000003</v>
      </c>
      <c r="AT32" s="74">
        <f t="shared" si="15"/>
        <v>222.40000000000003</v>
      </c>
      <c r="AU32" s="74">
        <f t="shared" si="16"/>
        <v>0.97062741404923614</v>
      </c>
      <c r="AV32" s="74">
        <f t="shared" si="17"/>
        <v>460.9425</v>
      </c>
      <c r="AW32" s="74">
        <f t="shared" si="18"/>
        <v>0</v>
      </c>
      <c r="AX32" s="74">
        <f t="shared" si="19"/>
        <v>614.59</v>
      </c>
      <c r="AY32" s="74">
        <f t="shared" si="20"/>
        <v>460.94</v>
      </c>
      <c r="AZ32" s="49">
        <v>460.94</v>
      </c>
      <c r="BA32" s="49">
        <v>460.94</v>
      </c>
      <c r="BB32" s="49">
        <v>460.94</v>
      </c>
      <c r="BC32" s="73" t="str">
        <f t="shared" si="21"/>
        <v/>
      </c>
      <c r="BD32" s="73">
        <f t="shared" si="22"/>
        <v>836.99</v>
      </c>
      <c r="BE32" s="73">
        <f t="shared" si="23"/>
        <v>683.34249999999997</v>
      </c>
      <c r="BF32" s="77">
        <f t="shared" si="24"/>
        <v>153.65</v>
      </c>
      <c r="BG32" s="77">
        <f t="shared" si="25"/>
        <v>46.094999999999999</v>
      </c>
      <c r="BH32" s="77">
        <f t="shared" si="26"/>
        <v>614.59</v>
      </c>
      <c r="BI32" s="78">
        <f t="shared" si="27"/>
        <v>0.25</v>
      </c>
      <c r="BJ32" s="79">
        <f t="shared" si="28"/>
        <v>0.18357447520281006</v>
      </c>
      <c r="BK32" s="80">
        <f t="shared" si="29"/>
        <v>683.34</v>
      </c>
      <c r="BL32" s="80">
        <f t="shared" si="30"/>
        <v>153.64999999999998</v>
      </c>
      <c r="BM32" s="79">
        <f t="shared" si="31"/>
        <v>0.18357447520281003</v>
      </c>
      <c r="BN32" s="81">
        <f t="shared" si="32"/>
        <v>0.78258064516129033</v>
      </c>
      <c r="BO32" s="82">
        <f t="shared" si="33"/>
        <v>460.94</v>
      </c>
      <c r="BP32" s="81">
        <f t="shared" si="34"/>
        <v>0.78258064516129033</v>
      </c>
      <c r="BQ32" s="81">
        <f t="shared" si="35"/>
        <v>0.85539975063667228</v>
      </c>
      <c r="BR32" s="81">
        <f t="shared" si="36"/>
        <v>1.116265625</v>
      </c>
      <c r="BS32" s="82">
        <f t="shared" si="37"/>
        <v>589</v>
      </c>
      <c r="BT32" s="82">
        <f t="shared" si="38"/>
        <v>657.48045312500005</v>
      </c>
      <c r="BU32" s="82">
        <f t="shared" si="39"/>
        <v>614.59</v>
      </c>
      <c r="BV32"/>
      <c r="BW32" s="82">
        <f>IFERROR(INDEX('Infos Clientes'!$T:$T,MATCH('Detalhe Por UC'!$C32,'Infos Clientes'!B:B,0)),"")</f>
        <v>335.75</v>
      </c>
      <c r="BX32" s="83">
        <f t="shared" si="40"/>
        <v>0</v>
      </c>
      <c r="BY32" s="84">
        <f t="shared" si="41"/>
        <v>0.23369516047161959</v>
      </c>
      <c r="BZ32" s="85">
        <f>IF(_xlfn.MINIFS('Detalhe Por UC'!R:R,'Detalhe Por UC'!C:C,C32,'Detalhe Por UC'!AD:AD,"&gt;"&amp;0)=0,"",_xlfn.MINIFS('Detalhe Por UC'!R:R,'Detalhe Por UC'!C:C,C32,'Detalhe Por UC'!AD:AD,"&gt;"&amp;0))</f>
        <v>45627</v>
      </c>
      <c r="CA32" s="114">
        <f ca="1">IF(OR(S32&gt;0,AD32&gt;0),IFERROR(
SUMIFS(INDIRECT("'Infos Clientes'!$W"&amp;INDEX('Infos Clientes'!$C:$C,MATCH(C32,'Infos Clientes'!$H:$H,0))&amp;":$CZ"&amp;INDEX('Infos Clientes'!$C:$C,MATCH(C32,'Infos Clientes'!$H:$H,0))),'Infos Clientes'!$W$2:$CZ$2,"&gt;"&amp;$R32-365,'Infos Clientes'!$W$2:$CZ$2,"&lt;="&amp;$R32)/
COUNTIFS(INDIRECT("'Infos Clientes'!$W"&amp;INDEX('Infos Clientes'!$C:$C,MATCH(C32,'Infos Clientes'!$H:$H,0))&amp;":$CZ"&amp;INDEX('Infos Clientes'!$C:$C,MATCH(C32,'Infos Clientes'!$H:$H,0))),"&gt;="&amp;0,'Infos Clientes'!$W$2:$CZ$2,"&gt;"&amp;$R32-365,'Infos Clientes'!$W$2:$CZ$2,"&lt;="&amp;$R32),""),"")</f>
        <v>335.75</v>
      </c>
      <c r="CB32" s="87">
        <f>VLOOKUP(C32,'Infos Clientes'!B:L,11,0)</f>
        <v>0</v>
      </c>
      <c r="CC32" s="88" t="str">
        <f t="shared" si="42"/>
        <v>A Unidade Consumidora 10/276283-9 economizou R$153,65 na fatura referente à jan/2025  consumindo 589 kWh em créditos de energia renovável conforme fatura de energia. A economia foi de 25% em relação ao que seria pago para a Energisa considerando os créditos consumidos. Atenção: Mantenha as contas da Energisa em dia para evitar cortes.</v>
      </c>
      <c r="CD32" s="40" t="s">
        <v>90</v>
      </c>
      <c r="CF32" s="115">
        <f t="shared" si="43"/>
        <v>-222.40000000000003</v>
      </c>
    </row>
    <row r="33" spans="1:84" s="104" customFormat="1" ht="16.2" hidden="1" customHeight="1" x14ac:dyDescent="0.3">
      <c r="A33" s="105" t="str">
        <f>INDEX('Infos Clientes'!$D:$D,MATCH('Detalhe Por UC'!C33,'Infos Clientes'!B:B,0))</f>
        <v>IGREJA DO EVANGELHO QUADRANGULAR</v>
      </c>
      <c r="B33" s="106" t="str">
        <f>INDEX('Infos Clientes'!$F:$F,MATCH('Detalhe Por UC'!C33,'Infos Clientes'!B:B,0))</f>
        <v>62.955.505/0676-60</v>
      </c>
      <c r="C33" s="31" t="s">
        <v>91</v>
      </c>
      <c r="D33" t="s">
        <v>351</v>
      </c>
      <c r="E33" s="1" t="s">
        <v>352</v>
      </c>
      <c r="F33" s="56" t="str">
        <f>INDEX('Infos Clientes'!$I:$I,MATCH('Detalhe Por UC'!C33,'Infos Clientes'!B:B,0))</f>
        <v>BT</v>
      </c>
      <c r="G33" s="56" t="str">
        <f>INDEX('Infos Clientes'!$J:$J,MATCH('Detalhe Por UC'!C33,'Infos Clientes'!B:B,0))</f>
        <v>trifasico</v>
      </c>
      <c r="H33" s="108" t="s">
        <v>24</v>
      </c>
      <c r="I33" s="58">
        <f>IFERROR(VLOOKUP(C33,'Infos Clientes'!B:E,4,),"")</f>
        <v>357</v>
      </c>
      <c r="J33" s="109">
        <v>0.25</v>
      </c>
      <c r="K33" s="59">
        <f>INDEX('Infos Clientes'!$M:$M,MATCH('Detalhe Por UC'!C33,'Infos Clientes'!B:B,0))</f>
        <v>0.25</v>
      </c>
      <c r="L33" s="110">
        <v>0</v>
      </c>
      <c r="M33" s="56">
        <f>INDEX('Infos Clientes'!$N:$N,MATCH('Detalhe Por UC'!C33,'Infos Clientes'!B:B,0))</f>
        <v>0</v>
      </c>
      <c r="N33" s="56">
        <f t="shared" si="7"/>
        <v>0</v>
      </c>
      <c r="O33" s="56">
        <f t="shared" si="8"/>
        <v>12</v>
      </c>
      <c r="P33" s="56">
        <f t="shared" si="9"/>
        <v>0</v>
      </c>
      <c r="Q33" s="61">
        <f>IFERROR(IFERROR(INDEX('Infos Clientes'!$A$2:$V$9884,MATCH($C33,'Infos Clientes'!$B$2:$B$9884,0),MATCH(Q$8,'Infos Clientes'!$A$2:$V$2,0)),"")
+IF(OR(INDEX('Infos Clientes'!$A$2:$V$9884,MATCH($C33,'Infos Clientes'!$B$2:$B$9884,0),MATCH("Tempo de Fidelidade (meses)",'Infos Clientes'!$A$2:$V$2,0))=0,R33&gt;=MAX(R:R)),0,
ROUND((MAX(R:R)-R33)/(365/12),0)),"")</f>
        <v>0</v>
      </c>
      <c r="R33" s="111">
        <v>45658</v>
      </c>
      <c r="S33" s="112">
        <v>0.04</v>
      </c>
      <c r="T33" s="113">
        <f>IF($H33="GIROSSOL II",AP33/INDEX('Resumo Operacional'!$A$1:$P$1103,17,MATCH('Detalhe Por UC'!$R33,'Resumo Operacional'!$A$1:$P$1,0)),
IF($H33="GIROSSOL II e III",AP33/INDEX('Resumo Operacional'!$A$1:$P$1103,17,MATCH('Detalhe Por UC'!$R33,'Resumo Operacional'!$A$1:$P$1,0)),
""))</f>
        <v>3.5534092547210606E-2</v>
      </c>
      <c r="U33" s="113" t="str">
        <f>IF($H33="GIROSSOL III",AP33/INDEX('Resumo Operacional'!$A$1:$P$1103,53,MATCH('Detalhe Por UC'!$R33,'Resumo Operacional'!$A$1:$P$1,0)),
IF($H33="GIROSSOL II e III",AP33/INDEX('Resumo Operacional'!$A$1:$P$1103,53,MATCH('Detalhe Por UC'!$R33,'Resumo Operacional'!$A$1:$P$1,0)),
""))</f>
        <v/>
      </c>
      <c r="V33" s="12"/>
      <c r="W33" s="12"/>
      <c r="X33" s="35">
        <v>1.1162547770700637</v>
      </c>
      <c r="Y33" s="35">
        <v>0</v>
      </c>
      <c r="Z33" s="35">
        <v>1.116234003656307</v>
      </c>
      <c r="AA33" s="35">
        <v>0</v>
      </c>
      <c r="AB33" s="35">
        <v>785</v>
      </c>
      <c r="AC33" s="35">
        <v>0</v>
      </c>
      <c r="AD33" s="35">
        <v>547</v>
      </c>
      <c r="AE33" s="35"/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12"/>
      <c r="AL33" s="38"/>
      <c r="AM33" s="1"/>
      <c r="AN33" s="71">
        <f t="shared" si="10"/>
        <v>-54</v>
      </c>
      <c r="AO33" s="71">
        <f t="shared" si="11"/>
        <v>0</v>
      </c>
      <c r="AP33" s="71">
        <f t="shared" si="12"/>
        <v>493</v>
      </c>
      <c r="AQ33" s="72">
        <f>IF(OR($H33="GIROSSOL II",$H33="GIROSSOL II e III"),INDEX('Resumo Operacional'!$A$1:$P$1103,MATCH("Energia Injetada prevista total Fatura da Usina (TUSD)",'Resumo Operacional'!$B$1:$B$1103,0),MATCH('Detalhe Por UC'!$R33,'Resumo Operacional'!$A$1:$P$1,0))*$S33,INDEX('Resumo Operacional'!$A$1:$P$1103,53,MATCH('Detalhe Por UC'!$R33,'Resumo Operacional'!$A$1:$P$1,0))*$S33)</f>
        <v>554.96</v>
      </c>
      <c r="AR33" s="71">
        <f t="shared" si="13"/>
        <v>-61.960000000000036</v>
      </c>
      <c r="AS33" s="73">
        <f t="shared" si="14"/>
        <v>265.68000000000006</v>
      </c>
      <c r="AT33" s="74">
        <f t="shared" si="15"/>
        <v>265.68000000000006</v>
      </c>
      <c r="AU33" s="74">
        <f t="shared" si="16"/>
        <v>1.1162132302425503</v>
      </c>
      <c r="AV33" s="74">
        <f t="shared" si="17"/>
        <v>457.93499999999995</v>
      </c>
      <c r="AW33" s="74">
        <f t="shared" si="18"/>
        <v>0</v>
      </c>
      <c r="AX33" s="74">
        <f t="shared" si="19"/>
        <v>610.57999999999993</v>
      </c>
      <c r="AY33" s="74">
        <f t="shared" si="20"/>
        <v>457.94</v>
      </c>
      <c r="AZ33" s="49">
        <v>457.94</v>
      </c>
      <c r="BA33" s="49">
        <v>457.94</v>
      </c>
      <c r="BB33" s="49">
        <v>457.94</v>
      </c>
      <c r="BC33" s="73" t="str">
        <f t="shared" si="21"/>
        <v/>
      </c>
      <c r="BD33" s="73">
        <f t="shared" si="22"/>
        <v>876.26</v>
      </c>
      <c r="BE33" s="73">
        <f t="shared" si="23"/>
        <v>723.61500000000001</v>
      </c>
      <c r="BF33" s="77">
        <f t="shared" si="24"/>
        <v>152.65</v>
      </c>
      <c r="BG33" s="77">
        <f t="shared" si="25"/>
        <v>45.795000000000002</v>
      </c>
      <c r="BH33" s="77">
        <f t="shared" si="26"/>
        <v>610.57999999999993</v>
      </c>
      <c r="BI33" s="78">
        <f t="shared" si="27"/>
        <v>0.25</v>
      </c>
      <c r="BJ33" s="79">
        <f t="shared" si="28"/>
        <v>0.17420628580558284</v>
      </c>
      <c r="BK33" s="80">
        <f t="shared" si="29"/>
        <v>723.62000000000012</v>
      </c>
      <c r="BL33" s="80">
        <f t="shared" si="30"/>
        <v>152.63999999999987</v>
      </c>
      <c r="BM33" s="79">
        <f t="shared" si="31"/>
        <v>0.17419487366763275</v>
      </c>
      <c r="BN33" s="81">
        <f t="shared" si="32"/>
        <v>0.83718464351005484</v>
      </c>
      <c r="BO33" s="82">
        <f t="shared" si="33"/>
        <v>457.94</v>
      </c>
      <c r="BP33" s="81">
        <f t="shared" si="34"/>
        <v>0.83718464351005484</v>
      </c>
      <c r="BQ33" s="81">
        <f t="shared" si="35"/>
        <v>0.83720541692381156</v>
      </c>
      <c r="BR33" s="81">
        <f t="shared" si="36"/>
        <v>1.1162547770700637</v>
      </c>
      <c r="BS33" s="82">
        <f t="shared" si="37"/>
        <v>547</v>
      </c>
      <c r="BT33" s="82">
        <f t="shared" si="38"/>
        <v>610.59136305732488</v>
      </c>
      <c r="BU33" s="82">
        <f t="shared" si="39"/>
        <v>610.57999999999993</v>
      </c>
      <c r="BV33"/>
      <c r="BW33" s="82">
        <f>IFERROR(INDEX('Infos Clientes'!$T:$T,MATCH('Detalhe Por UC'!$C33,'Infos Clientes'!B:B,0)),"")</f>
        <v>708</v>
      </c>
      <c r="BX33" s="83">
        <f t="shared" si="40"/>
        <v>0</v>
      </c>
      <c r="BY33" s="84">
        <f t="shared" si="41"/>
        <v>0.24998715873691363</v>
      </c>
      <c r="BZ33" s="85">
        <f>IF(_xlfn.MINIFS('Detalhe Por UC'!R:R,'Detalhe Por UC'!C:C,C33,'Detalhe Por UC'!AD:AD,"&gt;"&amp;0)=0,"",_xlfn.MINIFS('Detalhe Por UC'!R:R,'Detalhe Por UC'!C:C,C33,'Detalhe Por UC'!AD:AD,"&gt;"&amp;0))</f>
        <v>45627</v>
      </c>
      <c r="CA33" s="114">
        <f ca="1">IF(OR(S33&gt;0,AD33&gt;0),IFERROR(
SUMIFS(INDIRECT("'Infos Clientes'!$W"&amp;INDEX('Infos Clientes'!$C:$C,MATCH(C33,'Infos Clientes'!$H:$H,0))&amp;":$CZ"&amp;INDEX('Infos Clientes'!$C:$C,MATCH(C33,'Infos Clientes'!$H:$H,0))),'Infos Clientes'!$W$2:$CZ$2,"&gt;"&amp;$R33-365,'Infos Clientes'!$W$2:$CZ$2,"&lt;="&amp;$R33)/
COUNTIFS(INDIRECT("'Infos Clientes'!$W"&amp;INDEX('Infos Clientes'!$C:$C,MATCH(C33,'Infos Clientes'!$H:$H,0))&amp;":$CZ"&amp;INDEX('Infos Clientes'!$C:$C,MATCH(C33,'Infos Clientes'!$H:$H,0))),"&gt;="&amp;0,'Infos Clientes'!$W$2:$CZ$2,"&gt;"&amp;$R33-365,'Infos Clientes'!$W$2:$CZ$2,"&lt;="&amp;$R33),""),"")</f>
        <v>708</v>
      </c>
      <c r="CB33" s="87">
        <f>VLOOKUP(C33,'Infos Clientes'!B:L,11,0)</f>
        <v>0</v>
      </c>
      <c r="CC33" s="88" t="str">
        <f t="shared" si="42"/>
        <v>A Unidade Consumidora 10/29964-4 economizou R$152,65 na fatura referente à jan/2025  consumindo 547 kWh em créditos de energia renovável conforme fatura de energia. A economia foi de 25% em relação ao que seria pago para a Energisa considerando os créditos consumidos. Atenção: Mantenha as contas da Energisa em dia para evitar cortes.</v>
      </c>
      <c r="CD33" s="40" t="s">
        <v>93</v>
      </c>
      <c r="CF33" s="115">
        <f t="shared" si="43"/>
        <v>-265.68000000000006</v>
      </c>
    </row>
    <row r="34" spans="1:84" s="104" customFormat="1" ht="16.2" hidden="1" customHeight="1" x14ac:dyDescent="0.3">
      <c r="A34" s="105" t="str">
        <f>INDEX('Infos Clientes'!$D:$D,MATCH('Detalhe Por UC'!C34,'Infos Clientes'!B:B,0))</f>
        <v>IGREJA DO EVANGELHO QUADRANGULAR</v>
      </c>
      <c r="B34" s="106" t="str">
        <f>INDEX('Infos Clientes'!$F:$F,MATCH('Detalhe Por UC'!C34,'Infos Clientes'!B:B,0))</f>
        <v>62.955.505/0577-89</v>
      </c>
      <c r="C34" s="107" t="s">
        <v>94</v>
      </c>
      <c r="D34" t="s">
        <v>351</v>
      </c>
      <c r="E34" s="1" t="s">
        <v>352</v>
      </c>
      <c r="F34" s="56" t="str">
        <f>INDEX('Infos Clientes'!$I:$I,MATCH('Detalhe Por UC'!C34,'Infos Clientes'!B:B,0))</f>
        <v>BT</v>
      </c>
      <c r="G34" s="56" t="str">
        <f>INDEX('Infos Clientes'!$J:$J,MATCH('Detalhe Por UC'!C34,'Infos Clientes'!B:B,0))</f>
        <v>bifasico</v>
      </c>
      <c r="H34" s="108" t="s">
        <v>138</v>
      </c>
      <c r="I34" s="58">
        <f>IFERROR(VLOOKUP(C34,'Infos Clientes'!B:E,4,),"")</f>
        <v>319</v>
      </c>
      <c r="J34" s="109">
        <v>0.25</v>
      </c>
      <c r="K34" s="59">
        <f>INDEX('Infos Clientes'!$M:$M,MATCH('Detalhe Por UC'!C34,'Infos Clientes'!B:B,0))</f>
        <v>0.25</v>
      </c>
      <c r="L34" s="110">
        <v>0</v>
      </c>
      <c r="M34" s="56">
        <f>INDEX('Infos Clientes'!$N:$N,MATCH('Detalhe Por UC'!C34,'Infos Clientes'!B:B,0))</f>
        <v>0</v>
      </c>
      <c r="N34" s="56">
        <f t="shared" si="7"/>
        <v>0</v>
      </c>
      <c r="O34" s="56">
        <f t="shared" si="8"/>
        <v>10</v>
      </c>
      <c r="P34" s="56">
        <f t="shared" si="9"/>
        <v>0</v>
      </c>
      <c r="Q34" s="61">
        <f>IFERROR(IFERROR(INDEX('Infos Clientes'!$A$2:$V$9884,MATCH($C34,'Infos Clientes'!$B$2:$B$9884,0),MATCH(Q$8,'Infos Clientes'!$A$2:$V$2,0)),"")
+IF(OR(INDEX('Infos Clientes'!$A$2:$V$9884,MATCH($C34,'Infos Clientes'!$B$2:$B$9884,0),MATCH("Tempo de Fidelidade (meses)",'Infos Clientes'!$A$2:$V$2,0))=0,R34&gt;=MAX(R:R)),0,
ROUND((MAX(R:R)-R34)/(365/12),0)),"")</f>
        <v>0</v>
      </c>
      <c r="R34" s="111">
        <v>45658</v>
      </c>
      <c r="S34" s="112">
        <v>0.02</v>
      </c>
      <c r="T34" s="113" t="str">
        <f>IF($H34="GIROSSOL II",AP34/INDEX('Resumo Operacional'!$A$1:$P$1103,17,MATCH('Detalhe Por UC'!$R34,'Resumo Operacional'!$A$1:$P$1,0)),
IF($H34="GIROSSOL II e III",AP34/INDEX('Resumo Operacional'!$A$1:$P$1103,17,MATCH('Detalhe Por UC'!$R34,'Resumo Operacional'!$A$1:$P$1,0)),
""))</f>
        <v/>
      </c>
      <c r="U34" s="113">
        <f>IF($H34="GIROSSOL III",AP34/INDEX('Resumo Operacional'!$A$1:$P$1103,53,MATCH('Detalhe Por UC'!$R34,'Resumo Operacional'!$A$1:$P$1,0)),
IF($H34="GIROSSOL II e III",AP34/INDEX('Resumo Operacional'!$A$1:$P$1103,53,MATCH('Detalhe Por UC'!$R34,'Resumo Operacional'!$A$1:$P$1,0)),
""))</f>
        <v>0</v>
      </c>
      <c r="V34" s="12"/>
      <c r="W34" s="12"/>
      <c r="X34" s="35">
        <v>1.1162622950819672</v>
      </c>
      <c r="Y34" s="35">
        <v>0</v>
      </c>
      <c r="Z34" s="35">
        <v>0</v>
      </c>
      <c r="AA34" s="35">
        <v>0</v>
      </c>
      <c r="AB34" s="35">
        <v>305</v>
      </c>
      <c r="AC34" s="35">
        <v>0</v>
      </c>
      <c r="AD34" s="35">
        <v>0</v>
      </c>
      <c r="AE34" s="35"/>
      <c r="AF34" s="35">
        <v>0</v>
      </c>
      <c r="AG34" s="35">
        <v>0</v>
      </c>
      <c r="AH34" s="35">
        <v>24.1</v>
      </c>
      <c r="AI34" s="35">
        <v>0</v>
      </c>
      <c r="AJ34" s="35">
        <v>0</v>
      </c>
      <c r="AK34" s="12"/>
      <c r="AL34" s="38"/>
      <c r="AM34" s="1"/>
      <c r="AN34" s="71">
        <f t="shared" si="10"/>
        <v>0</v>
      </c>
      <c r="AO34" s="71">
        <f t="shared" si="11"/>
        <v>0</v>
      </c>
      <c r="AP34" s="71">
        <f t="shared" si="12"/>
        <v>0</v>
      </c>
      <c r="AQ34" s="72">
        <f>IF(OR($H34="GIROSSOL II",$H34="GIROSSOL II e III"),INDEX('Resumo Operacional'!$A$1:$P$1103,MATCH("Energia Injetada prevista total Fatura da Usina (TUSD)",'Resumo Operacional'!$B$1:$B$1103,0),MATCH('Detalhe Por UC'!$R34,'Resumo Operacional'!$A$1:$P$1,0))*$S34,INDEX('Resumo Operacional'!$A$1:$P$1103,53,MATCH('Detalhe Por UC'!$R34,'Resumo Operacional'!$A$1:$P$1,0))*$S34)</f>
        <v>329.94</v>
      </c>
      <c r="AR34" s="71">
        <f t="shared" si="13"/>
        <v>-329.94</v>
      </c>
      <c r="AS34" s="73">
        <f t="shared" si="14"/>
        <v>364.56</v>
      </c>
      <c r="AT34" s="74">
        <f t="shared" si="15"/>
        <v>364.56</v>
      </c>
      <c r="AU34" s="74" t="str">
        <f t="shared" si="16"/>
        <v/>
      </c>
      <c r="AV34" s="74">
        <f t="shared" si="17"/>
        <v>0</v>
      </c>
      <c r="AW34" s="74">
        <f t="shared" si="18"/>
        <v>0</v>
      </c>
      <c r="AX34" s="74">
        <f t="shared" si="19"/>
        <v>0</v>
      </c>
      <c r="AY34" s="74" t="str">
        <f t="shared" si="20"/>
        <v/>
      </c>
      <c r="AZ34" s="49"/>
      <c r="BA34" s="49"/>
      <c r="BB34" s="49"/>
      <c r="BC34" s="73" t="str">
        <f t="shared" si="21"/>
        <v/>
      </c>
      <c r="BD34" s="73">
        <f t="shared" si="22"/>
        <v>364.56</v>
      </c>
      <c r="BE34" s="73">
        <f t="shared" si="23"/>
        <v>364.56</v>
      </c>
      <c r="BF34" s="77">
        <f t="shared" si="24"/>
        <v>0</v>
      </c>
      <c r="BG34" s="77">
        <f t="shared" si="25"/>
        <v>0</v>
      </c>
      <c r="BH34" s="77">
        <f t="shared" si="26"/>
        <v>0</v>
      </c>
      <c r="BI34" s="78" t="str">
        <f t="shared" si="27"/>
        <v/>
      </c>
      <c r="BJ34" s="79">
        <f t="shared" si="28"/>
        <v>0</v>
      </c>
      <c r="BK34" s="80" t="str">
        <f t="shared" si="29"/>
        <v/>
      </c>
      <c r="BL34" s="80" t="str">
        <f t="shared" si="30"/>
        <v/>
      </c>
      <c r="BM34" s="79" t="str">
        <f t="shared" si="31"/>
        <v/>
      </c>
      <c r="BN34" s="81" t="str">
        <f t="shared" si="32"/>
        <v/>
      </c>
      <c r="BO34" s="82" t="str">
        <f t="shared" si="33"/>
        <v/>
      </c>
      <c r="BP34" s="81" t="str">
        <f t="shared" si="34"/>
        <v/>
      </c>
      <c r="BQ34" s="81" t="str">
        <f t="shared" si="35"/>
        <v/>
      </c>
      <c r="BR34" s="81" t="str">
        <f t="shared" si="36"/>
        <v/>
      </c>
      <c r="BS34" s="82">
        <f t="shared" si="37"/>
        <v>0</v>
      </c>
      <c r="BT34" s="82" t="str">
        <f t="shared" si="38"/>
        <v/>
      </c>
      <c r="BU34" s="82">
        <f t="shared" si="39"/>
        <v>0</v>
      </c>
      <c r="BV34"/>
      <c r="BW34" s="82">
        <f>IFERROR(INDEX('Infos Clientes'!$T:$T,MATCH('Detalhe Por UC'!$C34,'Infos Clientes'!B:B,0)),"")</f>
        <v>55.25</v>
      </c>
      <c r="BX34" s="83">
        <f t="shared" si="40"/>
        <v>0</v>
      </c>
      <c r="BY34" s="84" t="str">
        <f t="shared" si="41"/>
        <v/>
      </c>
      <c r="BZ34" s="85">
        <f>IF(_xlfn.MINIFS('Detalhe Por UC'!R:R,'Detalhe Por UC'!C:C,C34,'Detalhe Por UC'!AD:AD,"&gt;"&amp;0)=0,"",_xlfn.MINIFS('Detalhe Por UC'!R:R,'Detalhe Por UC'!C:C,C34,'Detalhe Por UC'!AD:AD,"&gt;"&amp;0))</f>
        <v>45689</v>
      </c>
      <c r="CA34" s="114">
        <f ca="1">IF(OR(S34&gt;0,AD34&gt;0),IFERROR(
SUMIFS(INDIRECT("'Infos Clientes'!$W"&amp;INDEX('Infos Clientes'!$C:$C,MATCH(C34,'Infos Clientes'!$H:$H,0))&amp;":$CZ"&amp;INDEX('Infos Clientes'!$C:$C,MATCH(C34,'Infos Clientes'!$H:$H,0))),'Infos Clientes'!$W$2:$CZ$2,"&gt;"&amp;$R34-365,'Infos Clientes'!$W$2:$CZ$2,"&lt;="&amp;$R34)/
COUNTIFS(INDIRECT("'Infos Clientes'!$W"&amp;INDEX('Infos Clientes'!$C:$C,MATCH(C34,'Infos Clientes'!$H:$H,0))&amp;":$CZ"&amp;INDEX('Infos Clientes'!$C:$C,MATCH(C34,'Infos Clientes'!$H:$H,0))),"&gt;="&amp;0,'Infos Clientes'!$W$2:$CZ$2,"&gt;"&amp;$R34-365,'Infos Clientes'!$W$2:$CZ$2,"&lt;="&amp;$R34),""),"")</f>
        <v>55.25</v>
      </c>
      <c r="CB34" s="87">
        <f>VLOOKUP(C34,'Infos Clientes'!B:L,11,0)</f>
        <v>0</v>
      </c>
      <c r="CC34" s="88" t="str">
        <f t="shared" si="42"/>
        <v>A Unidade Consumidora 10/3005226-0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4" s="40" t="s">
        <v>96</v>
      </c>
      <c r="CF34" s="115">
        <f t="shared" si="43"/>
        <v>-364.56</v>
      </c>
    </row>
    <row r="35" spans="1:84" s="104" customFormat="1" ht="16.2" hidden="1" customHeight="1" x14ac:dyDescent="0.3">
      <c r="A35" s="105" t="str">
        <f>INDEX('Infos Clientes'!$D:$D,MATCH('Detalhe Por UC'!C35,'Infos Clientes'!B:B,0))</f>
        <v>IGREJA DO EVANGELHO QUADRANGULAR</v>
      </c>
      <c r="B35" s="106" t="str">
        <f>INDEX('Infos Clientes'!$F:$F,MATCH('Detalhe Por UC'!C35,'Infos Clientes'!B:B,0))</f>
        <v>62.955.505/0160-80</v>
      </c>
      <c r="C35" s="31" t="s">
        <v>97</v>
      </c>
      <c r="D35" t="s">
        <v>351</v>
      </c>
      <c r="E35" s="1" t="s">
        <v>352</v>
      </c>
      <c r="F35" s="56" t="str">
        <f>INDEX('Infos Clientes'!$I:$I,MATCH('Detalhe Por UC'!C35,'Infos Clientes'!B:B,0))</f>
        <v>BT</v>
      </c>
      <c r="G35" s="56" t="str">
        <f>INDEX('Infos Clientes'!$J:$J,MATCH('Detalhe Por UC'!C35,'Infos Clientes'!B:B,0))</f>
        <v>trifasico</v>
      </c>
      <c r="H35" s="108" t="s">
        <v>24</v>
      </c>
      <c r="I35" s="58">
        <f>IFERROR(VLOOKUP(C35,'Infos Clientes'!B:E,4,),"")</f>
        <v>357</v>
      </c>
      <c r="J35" s="109">
        <v>0.25</v>
      </c>
      <c r="K35" s="59">
        <f>INDEX('Infos Clientes'!$M:$M,MATCH('Detalhe Por UC'!C35,'Infos Clientes'!B:B,0))</f>
        <v>0.25</v>
      </c>
      <c r="L35" s="110">
        <v>0</v>
      </c>
      <c r="M35" s="56">
        <f>INDEX('Infos Clientes'!$N:$N,MATCH('Detalhe Por UC'!C35,'Infos Clientes'!B:B,0))</f>
        <v>0</v>
      </c>
      <c r="N35" s="56">
        <f t="shared" si="7"/>
        <v>0</v>
      </c>
      <c r="O35" s="56">
        <f t="shared" si="8"/>
        <v>11</v>
      </c>
      <c r="P35" s="56">
        <f t="shared" si="9"/>
        <v>0</v>
      </c>
      <c r="Q35" s="61">
        <f>IFERROR(IFERROR(INDEX('Infos Clientes'!$A$2:$V$9884,MATCH($C35,'Infos Clientes'!$B$2:$B$9884,0),MATCH(Q$8,'Infos Clientes'!$A$2:$V$2,0)),"")
+IF(OR(INDEX('Infos Clientes'!$A$2:$V$9884,MATCH($C35,'Infos Clientes'!$B$2:$B$9884,0),MATCH("Tempo de Fidelidade (meses)",'Infos Clientes'!$A$2:$V$2,0))=0,R35&gt;=MAX(R:R)),0,
ROUND((MAX(R:R)-R35)/(365/12),0)),"")</f>
        <v>0</v>
      </c>
      <c r="R35" s="111">
        <v>45658</v>
      </c>
      <c r="S35" s="112">
        <v>0.02</v>
      </c>
      <c r="T35" s="113">
        <f>IF($H35="GIROSSOL II",AP35/INDEX('Resumo Operacional'!$A$1:$P$1103,17,MATCH('Detalhe Por UC'!$R35,'Resumo Operacional'!$A$1:$P$1,0)),
IF($H35="GIROSSOL II e III",AP35/INDEX('Resumo Operacional'!$A$1:$P$1103,17,MATCH('Detalhe Por UC'!$R35,'Resumo Operacional'!$A$1:$P$1,0)),
""))</f>
        <v>1.9028398443131037E-2</v>
      </c>
      <c r="U35" s="113" t="str">
        <f>IF($H35="GIROSSOL III",AP35/INDEX('Resumo Operacional'!$A$1:$P$1103,53,MATCH('Detalhe Por UC'!$R35,'Resumo Operacional'!$A$1:$P$1,0)),
IF($H35="GIROSSOL II e III",AP35/INDEX('Resumo Operacional'!$A$1:$P$1103,53,MATCH('Detalhe Por UC'!$R35,'Resumo Operacional'!$A$1:$P$1,0)),
""))</f>
        <v/>
      </c>
      <c r="V35" s="12"/>
      <c r="W35" s="12"/>
      <c r="X35" s="35">
        <v>1.116256880733945</v>
      </c>
      <c r="Y35" s="35">
        <v>0</v>
      </c>
      <c r="Z35" s="35">
        <v>1.1162471910112359</v>
      </c>
      <c r="AA35" s="35">
        <v>0</v>
      </c>
      <c r="AB35" s="35">
        <v>545</v>
      </c>
      <c r="AC35" s="35">
        <v>0</v>
      </c>
      <c r="AD35" s="35">
        <v>445</v>
      </c>
      <c r="AE35" s="35"/>
      <c r="AF35" s="35">
        <v>200</v>
      </c>
      <c r="AG35" s="35">
        <v>0</v>
      </c>
      <c r="AH35" s="35">
        <v>73.540000000000006</v>
      </c>
      <c r="AI35" s="35">
        <v>0</v>
      </c>
      <c r="AJ35" s="35">
        <v>0</v>
      </c>
      <c r="AK35" s="12"/>
      <c r="AL35" s="38"/>
      <c r="AM35" s="1"/>
      <c r="AN35" s="71">
        <f t="shared" si="10"/>
        <v>-181</v>
      </c>
      <c r="AO35" s="71">
        <f t="shared" si="11"/>
        <v>0</v>
      </c>
      <c r="AP35" s="71">
        <f t="shared" si="12"/>
        <v>264</v>
      </c>
      <c r="AQ35" s="72">
        <f>IF(OR($H35="GIROSSOL II",$H35="GIROSSOL II e III"),INDEX('Resumo Operacional'!$A$1:$P$1103,MATCH("Energia Injetada prevista total Fatura da Usina (TUSD)",'Resumo Operacional'!$B$1:$B$1103,0),MATCH('Detalhe Por UC'!$R35,'Resumo Operacional'!$A$1:$P$1,0))*$S35,INDEX('Resumo Operacional'!$A$1:$P$1103,53,MATCH('Detalhe Por UC'!$R35,'Resumo Operacional'!$A$1:$P$1,0))*$S35)</f>
        <v>277.48</v>
      </c>
      <c r="AR35" s="71">
        <f t="shared" si="13"/>
        <v>-13.480000000000018</v>
      </c>
      <c r="AS35" s="73">
        <f t="shared" si="14"/>
        <v>185.17000000000007</v>
      </c>
      <c r="AT35" s="74">
        <f t="shared" si="15"/>
        <v>185.17000000000007</v>
      </c>
      <c r="AU35" s="74">
        <f t="shared" si="16"/>
        <v>1.1162375012885268</v>
      </c>
      <c r="AV35" s="74">
        <f t="shared" si="17"/>
        <v>372.54750000000001</v>
      </c>
      <c r="AW35" s="74">
        <f t="shared" si="18"/>
        <v>0</v>
      </c>
      <c r="AX35" s="74">
        <f t="shared" si="19"/>
        <v>496.72999999999996</v>
      </c>
      <c r="AY35" s="74">
        <f t="shared" si="20"/>
        <v>372.55</v>
      </c>
      <c r="AZ35" s="49">
        <v>372.55</v>
      </c>
      <c r="BA35" s="49">
        <v>372.55</v>
      </c>
      <c r="BB35" s="49">
        <v>372.55</v>
      </c>
      <c r="BC35" s="73" t="str">
        <f t="shared" si="21"/>
        <v/>
      </c>
      <c r="BD35" s="73">
        <f t="shared" si="22"/>
        <v>681.9</v>
      </c>
      <c r="BE35" s="73">
        <f t="shared" si="23"/>
        <v>557.71750000000009</v>
      </c>
      <c r="BF35" s="77">
        <f t="shared" si="24"/>
        <v>124.18</v>
      </c>
      <c r="BG35" s="77">
        <f t="shared" si="25"/>
        <v>37.253999999999998</v>
      </c>
      <c r="BH35" s="77">
        <f t="shared" si="26"/>
        <v>496.72999999999996</v>
      </c>
      <c r="BI35" s="78">
        <f t="shared" si="27"/>
        <v>0.25</v>
      </c>
      <c r="BJ35" s="79">
        <f t="shared" si="28"/>
        <v>0.18210881360903361</v>
      </c>
      <c r="BK35" s="80">
        <f t="shared" si="29"/>
        <v>557.72</v>
      </c>
      <c r="BL35" s="80">
        <f t="shared" si="30"/>
        <v>124.17999999999995</v>
      </c>
      <c r="BM35" s="79">
        <f t="shared" si="31"/>
        <v>0.18210881360903353</v>
      </c>
      <c r="BN35" s="81">
        <f t="shared" si="32"/>
        <v>0.83719101123595507</v>
      </c>
      <c r="BO35" s="82">
        <f t="shared" si="33"/>
        <v>372.55</v>
      </c>
      <c r="BP35" s="81">
        <f t="shared" si="34"/>
        <v>0.83719101123595507</v>
      </c>
      <c r="BQ35" s="81">
        <f t="shared" si="35"/>
        <v>0.83720070095866417</v>
      </c>
      <c r="BR35" s="81">
        <f t="shared" si="36"/>
        <v>1.116256880733945</v>
      </c>
      <c r="BS35" s="82">
        <f t="shared" si="37"/>
        <v>445</v>
      </c>
      <c r="BT35" s="82">
        <f t="shared" si="38"/>
        <v>496.73431192660553</v>
      </c>
      <c r="BU35" s="82">
        <f t="shared" si="39"/>
        <v>496.72999999999996</v>
      </c>
      <c r="BV35"/>
      <c r="BW35" s="82">
        <f>IFERROR(INDEX('Infos Clientes'!$T:$T,MATCH('Detalhe Por UC'!$C35,'Infos Clientes'!B:B,0)),"")</f>
        <v>468.66666666666669</v>
      </c>
      <c r="BX35" s="83">
        <f t="shared" si="40"/>
        <v>0</v>
      </c>
      <c r="BY35" s="84">
        <f t="shared" si="41"/>
        <v>0.24999279699113691</v>
      </c>
      <c r="BZ35" s="85">
        <f>IF(_xlfn.MINIFS('Detalhe Por UC'!R:R,'Detalhe Por UC'!C:C,C35,'Detalhe Por UC'!AD:AD,"&gt;"&amp;0)=0,"",_xlfn.MINIFS('Detalhe Por UC'!R:R,'Detalhe Por UC'!C:C,C35,'Detalhe Por UC'!AD:AD,"&gt;"&amp;0))</f>
        <v>45627</v>
      </c>
      <c r="CA35" s="114">
        <f ca="1">IF(OR(S35&gt;0,AD35&gt;0),IFERROR(
SUMIFS(INDIRECT("'Infos Clientes'!$W"&amp;INDEX('Infos Clientes'!$C:$C,MATCH(C35,'Infos Clientes'!$H:$H,0))&amp;":$CZ"&amp;INDEX('Infos Clientes'!$C:$C,MATCH(C35,'Infos Clientes'!$H:$H,0))),'Infos Clientes'!$W$2:$CZ$2,"&gt;"&amp;$R35-365,'Infos Clientes'!$W$2:$CZ$2,"&lt;="&amp;$R35)/
COUNTIFS(INDIRECT("'Infos Clientes'!$W"&amp;INDEX('Infos Clientes'!$C:$C,MATCH(C35,'Infos Clientes'!$H:$H,0))&amp;":$CZ"&amp;INDEX('Infos Clientes'!$C:$C,MATCH(C35,'Infos Clientes'!$H:$H,0))),"&gt;="&amp;0,'Infos Clientes'!$W$2:$CZ$2,"&gt;"&amp;$R35-365,'Infos Clientes'!$W$2:$CZ$2,"&lt;="&amp;$R35),""),"")</f>
        <v>468.66666666666669</v>
      </c>
      <c r="CB35" s="87">
        <f>VLOOKUP(C35,'Infos Clientes'!B:L,11,0)</f>
        <v>0</v>
      </c>
      <c r="CC35" s="88" t="str">
        <f t="shared" si="42"/>
        <v>A Unidade Consumidora 10/3030784-7 economizou R$124,18 na fatura referente à jan/2025  consumindo 445 kWh em créditos de energia renovável conforme fatura de energia. A economia foi de 25% em relação ao que seria pago para a Energisa considerando os créditos consumidos. Atenção: Mantenha as contas da Energisa em dia para evitar cortes.</v>
      </c>
      <c r="CD35" s="40" t="s">
        <v>98</v>
      </c>
      <c r="CF35" s="115">
        <f t="shared" si="43"/>
        <v>-185.17000000000007</v>
      </c>
    </row>
    <row r="36" spans="1:84" s="104" customFormat="1" ht="16.2" hidden="1" customHeight="1" x14ac:dyDescent="0.3">
      <c r="A36" s="105" t="str">
        <f>INDEX('Infos Clientes'!$D:$D,MATCH('Detalhe Por UC'!C36,'Infos Clientes'!B:B,0))</f>
        <v>IGREJA DO EVANGELHO QUADRANGULAR</v>
      </c>
      <c r="B36" s="106" t="str">
        <f>INDEX('Infos Clientes'!$F:$F,MATCH('Detalhe Por UC'!C36,'Infos Clientes'!B:B,0))</f>
        <v>62.955.505/4194-43</v>
      </c>
      <c r="C36" s="31" t="s">
        <v>99</v>
      </c>
      <c r="D36" t="s">
        <v>351</v>
      </c>
      <c r="E36" s="1" t="s">
        <v>352</v>
      </c>
      <c r="F36" s="56" t="str">
        <f>INDEX('Infos Clientes'!$I:$I,MATCH('Detalhe Por UC'!C36,'Infos Clientes'!B:B,0))</f>
        <v>BT</v>
      </c>
      <c r="G36" s="56" t="str">
        <f>INDEX('Infos Clientes'!$J:$J,MATCH('Detalhe Por UC'!C36,'Infos Clientes'!B:B,0))</f>
        <v>trifasico</v>
      </c>
      <c r="H36" s="108" t="s">
        <v>24</v>
      </c>
      <c r="I36" s="58">
        <f>IFERROR(VLOOKUP(C36,'Infos Clientes'!B:E,4,),"")</f>
        <v>331</v>
      </c>
      <c r="J36" s="109">
        <v>0.25</v>
      </c>
      <c r="K36" s="59">
        <f>INDEX('Infos Clientes'!$M:$M,MATCH('Detalhe Por UC'!C36,'Infos Clientes'!B:B,0))</f>
        <v>0.25</v>
      </c>
      <c r="L36" s="110">
        <v>0</v>
      </c>
      <c r="M36" s="56">
        <f>INDEX('Infos Clientes'!$N:$N,MATCH('Detalhe Por UC'!C36,'Infos Clientes'!B:B,0))</f>
        <v>0</v>
      </c>
      <c r="N36" s="56">
        <f t="shared" si="7"/>
        <v>0</v>
      </c>
      <c r="O36" s="56">
        <f t="shared" si="8"/>
        <v>12</v>
      </c>
      <c r="P36" s="56">
        <f t="shared" si="9"/>
        <v>0</v>
      </c>
      <c r="Q36" s="61">
        <f>IFERROR(IFERROR(INDEX('Infos Clientes'!$A$2:$V$9884,MATCH($C36,'Infos Clientes'!$B$2:$B$9884,0),MATCH(Q$8,'Infos Clientes'!$A$2:$V$2,0)),"")
+IF(OR(INDEX('Infos Clientes'!$A$2:$V$9884,MATCH($C36,'Infos Clientes'!$B$2:$B$9884,0),MATCH("Tempo de Fidelidade (meses)",'Infos Clientes'!$A$2:$V$2,0))=0,R36&gt;=MAX(R:R)),0,
ROUND((MAX(R:R)-R36)/(365/12),0)),"")</f>
        <v>0</v>
      </c>
      <c r="R36" s="111">
        <v>45658</v>
      </c>
      <c r="S36" s="112">
        <v>0.02</v>
      </c>
      <c r="T36" s="113">
        <f>IF($H36="GIROSSOL II",AP36/INDEX('Resumo Operacional'!$A$1:$P$1103,17,MATCH('Detalhe Por UC'!$R36,'Resumo Operacional'!$A$1:$P$1,0)),
IF($H36="GIROSSOL II e III",AP36/INDEX('Resumo Operacional'!$A$1:$P$1103,17,MATCH('Detalhe Por UC'!$R36,'Resumo Operacional'!$A$1:$P$1,0)),
""))</f>
        <v>1.7731007640190283E-2</v>
      </c>
      <c r="U36" s="113" t="str">
        <f>IF($H36="GIROSSOL III",AP36/INDEX('Resumo Operacional'!$A$1:$P$1103,53,MATCH('Detalhe Por UC'!$R36,'Resumo Operacional'!$A$1:$P$1,0)),
IF($H36="GIROSSOL II e III",AP36/INDEX('Resumo Operacional'!$A$1:$P$1103,53,MATCH('Detalhe Por UC'!$R36,'Resumo Operacional'!$A$1:$P$1,0)),
""))</f>
        <v/>
      </c>
      <c r="V36" s="12"/>
      <c r="W36" s="12"/>
      <c r="X36" s="35">
        <v>1.1162650602409638</v>
      </c>
      <c r="Y36" s="35">
        <v>0</v>
      </c>
      <c r="Z36" s="35">
        <v>1.1162601626016262</v>
      </c>
      <c r="AA36" s="35">
        <v>0</v>
      </c>
      <c r="AB36" s="35">
        <v>415</v>
      </c>
      <c r="AC36" s="35">
        <v>0</v>
      </c>
      <c r="AD36" s="35">
        <v>246</v>
      </c>
      <c r="AE36" s="35"/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12"/>
      <c r="AL36" s="38"/>
      <c r="AM36" s="1"/>
      <c r="AN36" s="71">
        <f t="shared" si="10"/>
        <v>0</v>
      </c>
      <c r="AO36" s="71">
        <f t="shared" si="11"/>
        <v>0</v>
      </c>
      <c r="AP36" s="71">
        <f t="shared" si="12"/>
        <v>246</v>
      </c>
      <c r="AQ36" s="72">
        <f>IF(OR($H36="GIROSSOL II",$H36="GIROSSOL II e III"),INDEX('Resumo Operacional'!$A$1:$P$1103,MATCH("Energia Injetada prevista total Fatura da Usina (TUSD)",'Resumo Operacional'!$B$1:$B$1103,0),MATCH('Detalhe Por UC'!$R36,'Resumo Operacional'!$A$1:$P$1,0))*$S36,INDEX('Resumo Operacional'!$A$1:$P$1103,53,MATCH('Detalhe Por UC'!$R36,'Resumo Operacional'!$A$1:$P$1,0))*$S36)</f>
        <v>277.48</v>
      </c>
      <c r="AR36" s="71">
        <f t="shared" si="13"/>
        <v>-31.480000000000018</v>
      </c>
      <c r="AS36" s="73">
        <f t="shared" si="14"/>
        <v>188.64999999999998</v>
      </c>
      <c r="AT36" s="74">
        <f t="shared" si="15"/>
        <v>188.64999999999998</v>
      </c>
      <c r="AU36" s="74">
        <f t="shared" si="16"/>
        <v>1.1162552649622886</v>
      </c>
      <c r="AV36" s="74">
        <f t="shared" si="17"/>
        <v>205.95000000000005</v>
      </c>
      <c r="AW36" s="74">
        <f t="shared" si="18"/>
        <v>0</v>
      </c>
      <c r="AX36" s="74">
        <f t="shared" si="19"/>
        <v>274.60000000000002</v>
      </c>
      <c r="AY36" s="74">
        <f t="shared" si="20"/>
        <v>205.95</v>
      </c>
      <c r="AZ36" s="49">
        <v>205.95</v>
      </c>
      <c r="BA36" s="49">
        <v>205.95</v>
      </c>
      <c r="BB36" s="49">
        <v>205.95</v>
      </c>
      <c r="BC36" s="73" t="str">
        <f t="shared" si="21"/>
        <v/>
      </c>
      <c r="BD36" s="73">
        <f t="shared" si="22"/>
        <v>463.25</v>
      </c>
      <c r="BE36" s="73">
        <f t="shared" si="23"/>
        <v>394.6</v>
      </c>
      <c r="BF36" s="77">
        <f t="shared" si="24"/>
        <v>68.650000000000006</v>
      </c>
      <c r="BG36" s="77">
        <f t="shared" si="25"/>
        <v>20.595000000000002</v>
      </c>
      <c r="BH36" s="77">
        <f t="shared" si="26"/>
        <v>274.60000000000002</v>
      </c>
      <c r="BI36" s="78">
        <f t="shared" si="27"/>
        <v>0.25</v>
      </c>
      <c r="BJ36" s="79">
        <f t="shared" si="28"/>
        <v>0.14819212088505129</v>
      </c>
      <c r="BK36" s="80">
        <f t="shared" si="29"/>
        <v>394.59999999999997</v>
      </c>
      <c r="BL36" s="80">
        <f t="shared" si="30"/>
        <v>68.650000000000034</v>
      </c>
      <c r="BM36" s="79">
        <f t="shared" si="31"/>
        <v>0.14819212088505135</v>
      </c>
      <c r="BN36" s="81">
        <f t="shared" si="32"/>
        <v>0.83719512195121948</v>
      </c>
      <c r="BO36" s="82">
        <f t="shared" si="33"/>
        <v>205.95</v>
      </c>
      <c r="BP36" s="81">
        <f t="shared" si="34"/>
        <v>0.83719512195121948</v>
      </c>
      <c r="BQ36" s="81">
        <f t="shared" si="35"/>
        <v>0.83720001959055712</v>
      </c>
      <c r="BR36" s="81">
        <f t="shared" si="36"/>
        <v>1.1162650602409638</v>
      </c>
      <c r="BS36" s="82">
        <f t="shared" si="37"/>
        <v>246</v>
      </c>
      <c r="BT36" s="82">
        <f t="shared" si="38"/>
        <v>274.60120481927709</v>
      </c>
      <c r="BU36" s="82">
        <f t="shared" si="39"/>
        <v>274.60000000000002</v>
      </c>
      <c r="BV36"/>
      <c r="BW36" s="82">
        <f>IFERROR(INDEX('Infos Clientes'!$T:$T,MATCH('Detalhe Por UC'!$C36,'Infos Clientes'!B:B,0)),"")</f>
        <v>433.16666666666669</v>
      </c>
      <c r="BX36" s="83">
        <f t="shared" si="40"/>
        <v>0</v>
      </c>
      <c r="BY36" s="84">
        <f t="shared" si="41"/>
        <v>0.24999890311909076</v>
      </c>
      <c r="BZ36" s="85">
        <f>IF(_xlfn.MINIFS('Detalhe Por UC'!R:R,'Detalhe Por UC'!C:C,C36,'Detalhe Por UC'!AD:AD,"&gt;"&amp;0)=0,"",_xlfn.MINIFS('Detalhe Por UC'!R:R,'Detalhe Por UC'!C:C,C36,'Detalhe Por UC'!AD:AD,"&gt;"&amp;0))</f>
        <v>45627</v>
      </c>
      <c r="CA36" s="114">
        <f ca="1">IF(OR(S36&gt;0,AD36&gt;0),IFERROR(
SUMIFS(INDIRECT("'Infos Clientes'!$W"&amp;INDEX('Infos Clientes'!$C:$C,MATCH(C36,'Infos Clientes'!$H:$H,0))&amp;":$CZ"&amp;INDEX('Infos Clientes'!$C:$C,MATCH(C36,'Infos Clientes'!$H:$H,0))),'Infos Clientes'!$W$2:$CZ$2,"&gt;"&amp;$R36-365,'Infos Clientes'!$W$2:$CZ$2,"&lt;="&amp;$R36)/
COUNTIFS(INDIRECT("'Infos Clientes'!$W"&amp;INDEX('Infos Clientes'!$C:$C,MATCH(C36,'Infos Clientes'!$H:$H,0))&amp;":$CZ"&amp;INDEX('Infos Clientes'!$C:$C,MATCH(C36,'Infos Clientes'!$H:$H,0))),"&gt;="&amp;0,'Infos Clientes'!$W$2:$CZ$2,"&gt;"&amp;$R36-365,'Infos Clientes'!$W$2:$CZ$2,"&lt;="&amp;$R36),""),"")</f>
        <v>433.16666666666669</v>
      </c>
      <c r="CB36" s="87">
        <f>VLOOKUP(C36,'Infos Clientes'!B:L,11,0)</f>
        <v>0</v>
      </c>
      <c r="CC36" s="88" t="str">
        <f t="shared" si="42"/>
        <v>A Unidade Consumidora 10/3092868-3 economizou R$68,65 na fatura referente à jan/2025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36" s="40" t="s">
        <v>100</v>
      </c>
      <c r="CF36" s="115">
        <f t="shared" si="43"/>
        <v>-188.64999999999998</v>
      </c>
    </row>
    <row r="37" spans="1:84" s="104" customFormat="1" ht="16.2" hidden="1" customHeight="1" x14ac:dyDescent="0.3">
      <c r="A37" s="105" t="str">
        <f>INDEX('Infos Clientes'!$D:$D,MATCH('Detalhe Por UC'!C37,'Infos Clientes'!B:B,0))</f>
        <v>IGREJA DO EVANGELHO QUADRANGULAR</v>
      </c>
      <c r="B37" s="106" t="str">
        <f>INDEX('Infos Clientes'!$F:$F,MATCH('Detalhe Por UC'!C37,'Infos Clientes'!B:B,0))</f>
        <v>62.955.505/0170-51</v>
      </c>
      <c r="C37" s="107" t="s">
        <v>101</v>
      </c>
      <c r="D37" t="s">
        <v>351</v>
      </c>
      <c r="E37" s="1" t="s">
        <v>352</v>
      </c>
      <c r="F37" s="56" t="str">
        <f>INDEX('Infos Clientes'!$I:$I,MATCH('Detalhe Por UC'!C37,'Infos Clientes'!B:B,0))</f>
        <v>BT</v>
      </c>
      <c r="G37" s="56" t="str">
        <f>INDEX('Infos Clientes'!$J:$J,MATCH('Detalhe Por UC'!C37,'Infos Clientes'!B:B,0))</f>
        <v>bifasico</v>
      </c>
      <c r="H37" s="108" t="s">
        <v>138</v>
      </c>
      <c r="I37" s="58">
        <f>IFERROR(VLOOKUP(C37,'Infos Clientes'!B:E,4,),"")</f>
        <v>306</v>
      </c>
      <c r="J37" s="109">
        <v>0.25</v>
      </c>
      <c r="K37" s="59">
        <f>INDEX('Infos Clientes'!$M:$M,MATCH('Detalhe Por UC'!C37,'Infos Clientes'!B:B,0))</f>
        <v>0.25</v>
      </c>
      <c r="L37" s="110">
        <v>0</v>
      </c>
      <c r="M37" s="56">
        <f>INDEX('Infos Clientes'!$N:$N,MATCH('Detalhe Por UC'!C37,'Infos Clientes'!B:B,0))</f>
        <v>0</v>
      </c>
      <c r="N37" s="56">
        <f t="shared" si="7"/>
        <v>0</v>
      </c>
      <c r="O37" s="56">
        <f t="shared" si="8"/>
        <v>0</v>
      </c>
      <c r="P37" s="56">
        <f t="shared" si="9"/>
        <v>0</v>
      </c>
      <c r="Q37" s="61">
        <f>IFERROR(IFERROR(INDEX('Infos Clientes'!$A$2:$V$9884,MATCH($C37,'Infos Clientes'!$B$2:$B$9884,0),MATCH(Q$8,'Infos Clientes'!$A$2:$V$2,0)),"")
+IF(OR(INDEX('Infos Clientes'!$A$2:$V$9884,MATCH($C37,'Infos Clientes'!$B$2:$B$9884,0),MATCH("Tempo de Fidelidade (meses)",'Infos Clientes'!$A$2:$V$2,0))=0,R37&gt;=MAX(R:R)),0,
ROUND((MAX(R:R)-R37)/(365/12),0)),"")</f>
        <v>0</v>
      </c>
      <c r="R37" s="111">
        <v>45658</v>
      </c>
      <c r="S37" s="112">
        <v>0</v>
      </c>
      <c r="T37" s="113" t="str">
        <f>IF($H37="GIROSSOL II",AP37/INDEX('Resumo Operacional'!$A$1:$P$1103,17,MATCH('Detalhe Por UC'!$R37,'Resumo Operacional'!$A$1:$P$1,0)),
IF($H37="GIROSSOL II e III",AP37/INDEX('Resumo Operacional'!$A$1:$P$1103,17,MATCH('Detalhe Por UC'!$R37,'Resumo Operacional'!$A$1:$P$1,0)),
""))</f>
        <v/>
      </c>
      <c r="U37" s="113">
        <f>IF($H37="GIROSSOL III",AP37/INDEX('Resumo Operacional'!$A$1:$P$1103,53,MATCH('Detalhe Por UC'!$R37,'Resumo Operacional'!$A$1:$P$1,0)),
IF($H37="GIROSSOL II e III",AP37/INDEX('Resumo Operacional'!$A$1:$P$1103,53,MATCH('Detalhe Por UC'!$R37,'Resumo Operacional'!$A$1:$P$1,0)),
""))</f>
        <v>0</v>
      </c>
      <c r="V37" s="12"/>
      <c r="W37" s="12"/>
      <c r="X37" s="35">
        <v>1.1162372881355933</v>
      </c>
      <c r="Y37" s="35">
        <v>0</v>
      </c>
      <c r="Z37" s="35">
        <v>0</v>
      </c>
      <c r="AA37" s="35">
        <v>0</v>
      </c>
      <c r="AB37" s="35">
        <v>295</v>
      </c>
      <c r="AC37" s="35">
        <v>0</v>
      </c>
      <c r="AD37" s="35">
        <v>0</v>
      </c>
      <c r="AE37" s="35"/>
      <c r="AF37" s="35">
        <v>0</v>
      </c>
      <c r="AG37" s="35">
        <v>0</v>
      </c>
      <c r="AH37" s="35">
        <v>12.399999999999999</v>
      </c>
      <c r="AI37" s="35">
        <v>0</v>
      </c>
      <c r="AJ37" s="35">
        <v>0</v>
      </c>
      <c r="AK37" s="12"/>
      <c r="AL37" s="38"/>
      <c r="AM37" s="1"/>
      <c r="AN37" s="71">
        <f t="shared" si="10"/>
        <v>0</v>
      </c>
      <c r="AO37" s="71">
        <f t="shared" si="11"/>
        <v>0</v>
      </c>
      <c r="AP37" s="71">
        <f t="shared" si="12"/>
        <v>0</v>
      </c>
      <c r="AQ37" s="72">
        <f>IF(OR($H37="GIROSSOL II",$H37="GIROSSOL II e III"),INDEX('Resumo Operacional'!$A$1:$P$1103,MATCH("Energia Injetada prevista total Fatura da Usina (TUSD)",'Resumo Operacional'!$B$1:$B$1103,0),MATCH('Detalhe Por UC'!$R37,'Resumo Operacional'!$A$1:$P$1,0))*$S37,INDEX('Resumo Operacional'!$A$1:$P$1103,53,MATCH('Detalhe Por UC'!$R37,'Resumo Operacional'!$A$1:$P$1,0))*$S37)</f>
        <v>0</v>
      </c>
      <c r="AR37" s="71">
        <f t="shared" si="13"/>
        <v>0</v>
      </c>
      <c r="AS37" s="73">
        <f t="shared" si="14"/>
        <v>341.69</v>
      </c>
      <c r="AT37" s="74">
        <f t="shared" si="15"/>
        <v>341.69</v>
      </c>
      <c r="AU37" s="74" t="str">
        <f t="shared" si="16"/>
        <v/>
      </c>
      <c r="AV37" s="74">
        <f t="shared" si="17"/>
        <v>0</v>
      </c>
      <c r="AW37" s="74">
        <f t="shared" si="18"/>
        <v>0</v>
      </c>
      <c r="AX37" s="74">
        <f t="shared" si="19"/>
        <v>0</v>
      </c>
      <c r="AY37" s="74" t="str">
        <f t="shared" si="20"/>
        <v/>
      </c>
      <c r="AZ37" s="49"/>
      <c r="BA37" s="49"/>
      <c r="BB37" s="49"/>
      <c r="BC37" s="73" t="str">
        <f t="shared" si="21"/>
        <v/>
      </c>
      <c r="BD37" s="73">
        <f t="shared" si="22"/>
        <v>341.69</v>
      </c>
      <c r="BE37" s="73">
        <f t="shared" si="23"/>
        <v>341.69</v>
      </c>
      <c r="BF37" s="77">
        <f t="shared" si="24"/>
        <v>0</v>
      </c>
      <c r="BG37" s="77">
        <f t="shared" si="25"/>
        <v>0</v>
      </c>
      <c r="BH37" s="77">
        <f t="shared" si="26"/>
        <v>0</v>
      </c>
      <c r="BI37" s="78" t="str">
        <f t="shared" si="27"/>
        <v/>
      </c>
      <c r="BJ37" s="79">
        <f t="shared" si="28"/>
        <v>0</v>
      </c>
      <c r="BK37" s="80" t="str">
        <f t="shared" si="29"/>
        <v/>
      </c>
      <c r="BL37" s="80" t="str">
        <f t="shared" si="30"/>
        <v/>
      </c>
      <c r="BM37" s="79" t="str">
        <f t="shared" si="31"/>
        <v/>
      </c>
      <c r="BN37" s="81" t="str">
        <f t="shared" si="32"/>
        <v/>
      </c>
      <c r="BO37" s="82" t="str">
        <f t="shared" si="33"/>
        <v/>
      </c>
      <c r="BP37" s="81" t="str">
        <f t="shared" si="34"/>
        <v/>
      </c>
      <c r="BQ37" s="81" t="str">
        <f t="shared" si="35"/>
        <v/>
      </c>
      <c r="BR37" s="81" t="str">
        <f t="shared" si="36"/>
        <v/>
      </c>
      <c r="BS37" s="82">
        <f t="shared" si="37"/>
        <v>0</v>
      </c>
      <c r="BT37" s="82" t="str">
        <f t="shared" si="38"/>
        <v/>
      </c>
      <c r="BU37" s="82">
        <f t="shared" si="39"/>
        <v>0</v>
      </c>
      <c r="BV37"/>
      <c r="BW37" s="82">
        <f>IFERROR(INDEX('Infos Clientes'!$T:$T,MATCH('Detalhe Por UC'!$C37,'Infos Clientes'!B:B,0)),"")</f>
        <v>49.5</v>
      </c>
      <c r="BX37" s="83">
        <f t="shared" si="40"/>
        <v>0</v>
      </c>
      <c r="BY37" s="84" t="str">
        <f t="shared" si="41"/>
        <v/>
      </c>
      <c r="BZ37" s="85" t="str">
        <f>IF(_xlfn.MINIFS('Detalhe Por UC'!R:R,'Detalhe Por UC'!C:C,C37,'Detalhe Por UC'!AD:AD,"&gt;"&amp;0)=0,"",_xlfn.MINIFS('Detalhe Por UC'!R:R,'Detalhe Por UC'!C:C,C37,'Detalhe Por UC'!AD:AD,"&gt;"&amp;0))</f>
        <v/>
      </c>
      <c r="CA37" s="114" t="str">
        <f ca="1">IF(OR(S37&gt;0,AD37&gt;0),IFERROR(
SUMIFS(INDIRECT("'Infos Clientes'!$W"&amp;INDEX('Infos Clientes'!$C:$C,MATCH(C37,'Infos Clientes'!$H:$H,0))&amp;":$CZ"&amp;INDEX('Infos Clientes'!$C:$C,MATCH(C37,'Infos Clientes'!$H:$H,0))),'Infos Clientes'!$W$2:$CZ$2,"&gt;"&amp;$R37-365,'Infos Clientes'!$W$2:$CZ$2,"&lt;="&amp;$R37)/
COUNTIFS(INDIRECT("'Infos Clientes'!$W"&amp;INDEX('Infos Clientes'!$C:$C,MATCH(C37,'Infos Clientes'!$H:$H,0))&amp;":$CZ"&amp;INDEX('Infos Clientes'!$C:$C,MATCH(C37,'Infos Clientes'!$H:$H,0))),"&gt;="&amp;0,'Infos Clientes'!$W$2:$CZ$2,"&gt;"&amp;$R37-365,'Infos Clientes'!$W$2:$CZ$2,"&lt;="&amp;$R37),""),"")</f>
        <v/>
      </c>
      <c r="CB37" s="87">
        <f>VLOOKUP(C37,'Infos Clientes'!B:L,11,0)</f>
        <v>0</v>
      </c>
      <c r="CC37" s="88" t="str">
        <f t="shared" si="42"/>
        <v>A Unidade Consumidora 10/3214521-1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7" s="40" t="s">
        <v>75</v>
      </c>
      <c r="CF37" s="115">
        <f t="shared" si="43"/>
        <v>-341.69</v>
      </c>
    </row>
    <row r="38" spans="1:84" s="104" customFormat="1" ht="16.2" hidden="1" customHeight="1" x14ac:dyDescent="0.3">
      <c r="A38" s="105" t="str">
        <f>INDEX('Infos Clientes'!$D:$D,MATCH('Detalhe Por UC'!C38,'Infos Clientes'!B:B,0))</f>
        <v>IGREJA DO EVANGELHO QUADRANGULAR</v>
      </c>
      <c r="B38" s="106" t="str">
        <f>INDEX('Infos Clientes'!$F:$F,MATCH('Detalhe Por UC'!C38,'Infos Clientes'!B:B,0))</f>
        <v>62.955.505/0151-99</v>
      </c>
      <c r="C38" s="31" t="s">
        <v>102</v>
      </c>
      <c r="D38" t="s">
        <v>351</v>
      </c>
      <c r="E38" s="1" t="s">
        <v>352</v>
      </c>
      <c r="F38" s="56" t="str">
        <f>INDEX('Infos Clientes'!$I:$I,MATCH('Detalhe Por UC'!C38,'Infos Clientes'!B:B,0))</f>
        <v>BT</v>
      </c>
      <c r="G38" s="56" t="str">
        <f>INDEX('Infos Clientes'!$J:$J,MATCH('Detalhe Por UC'!C38,'Infos Clientes'!B:B,0))</f>
        <v>trifasico</v>
      </c>
      <c r="H38" s="108" t="s">
        <v>24</v>
      </c>
      <c r="I38" s="58">
        <f>IFERROR(VLOOKUP(C38,'Infos Clientes'!B:E,4,),"")</f>
        <v>306</v>
      </c>
      <c r="J38" s="109">
        <v>0.25</v>
      </c>
      <c r="K38" s="59">
        <f>INDEX('Infos Clientes'!$M:$M,MATCH('Detalhe Por UC'!C38,'Infos Clientes'!B:B,0))</f>
        <v>0.25</v>
      </c>
      <c r="L38" s="110">
        <v>0</v>
      </c>
      <c r="M38" s="56">
        <f>INDEX('Infos Clientes'!$N:$N,MATCH('Detalhe Por UC'!C38,'Infos Clientes'!B:B,0))</f>
        <v>0</v>
      </c>
      <c r="N38" s="56">
        <f t="shared" si="7"/>
        <v>0</v>
      </c>
      <c r="O38" s="56">
        <f t="shared" si="8"/>
        <v>12</v>
      </c>
      <c r="P38" s="56">
        <f t="shared" si="9"/>
        <v>0</v>
      </c>
      <c r="Q38" s="61">
        <f>IFERROR(IFERROR(INDEX('Infos Clientes'!$A$2:$V$9884,MATCH($C38,'Infos Clientes'!$B$2:$B$9884,0),MATCH(Q$8,'Infos Clientes'!$A$2:$V$2,0)),"")
+IF(OR(INDEX('Infos Clientes'!$A$2:$V$9884,MATCH($C38,'Infos Clientes'!$B$2:$B$9884,0),MATCH("Tempo de Fidelidade (meses)",'Infos Clientes'!$A$2:$V$2,0))=0,R38&gt;=MAX(R:R)),0,
ROUND((MAX(R:R)-R38)/(365/12),0)),"")</f>
        <v>0</v>
      </c>
      <c r="R38" s="111">
        <v>45658</v>
      </c>
      <c r="S38" s="112">
        <v>0.21</v>
      </c>
      <c r="T38" s="113">
        <f>IF($H38="GIROSSOL II",AP38/INDEX('Resumo Operacional'!$A$1:$P$1103,17,MATCH('Detalhe Por UC'!$R38,'Resumo Operacional'!$A$1:$P$1,0)),
IF($H38="GIROSSOL II e III",AP38/INDEX('Resumo Operacional'!$A$1:$P$1103,17,MATCH('Detalhe Por UC'!$R38,'Resumo Operacional'!$A$1:$P$1,0)),
""))</f>
        <v>0.17774254000288309</v>
      </c>
      <c r="U38" s="113" t="str">
        <f>IF($H38="GIROSSOL III",AP38/INDEX('Resumo Operacional'!$A$1:$P$1103,53,MATCH('Detalhe Por UC'!$R38,'Resumo Operacional'!$A$1:$P$1,0)),
IF($H38="GIROSSOL II e III",AP38/INDEX('Resumo Operacional'!$A$1:$P$1103,53,MATCH('Detalhe Por UC'!$R38,'Resumo Operacional'!$A$1:$P$1,0)),
""))</f>
        <v/>
      </c>
      <c r="V38" s="12"/>
      <c r="W38" s="12"/>
      <c r="X38" s="35">
        <v>1.1162636947487723</v>
      </c>
      <c r="Y38" s="35">
        <v>0</v>
      </c>
      <c r="Z38" s="35">
        <v>1.1162641815235008</v>
      </c>
      <c r="AA38" s="35">
        <v>0</v>
      </c>
      <c r="AB38" s="35">
        <v>2647</v>
      </c>
      <c r="AC38" s="35">
        <v>0</v>
      </c>
      <c r="AD38" s="35">
        <v>2468</v>
      </c>
      <c r="AE38" s="35"/>
      <c r="AF38" s="35">
        <v>0</v>
      </c>
      <c r="AG38" s="35">
        <v>0</v>
      </c>
      <c r="AH38" s="35">
        <v>4.8599999999999994</v>
      </c>
      <c r="AI38" s="35">
        <v>0</v>
      </c>
      <c r="AJ38" s="35">
        <v>0</v>
      </c>
      <c r="AK38" s="12"/>
      <c r="AL38" s="38"/>
      <c r="AM38" s="1"/>
      <c r="AN38" s="71">
        <f t="shared" si="10"/>
        <v>-2</v>
      </c>
      <c r="AO38" s="71">
        <f t="shared" si="11"/>
        <v>0</v>
      </c>
      <c r="AP38" s="71">
        <f t="shared" si="12"/>
        <v>2466</v>
      </c>
      <c r="AQ38" s="72">
        <f>IF(OR($H38="GIROSSOL II",$H38="GIROSSOL II e III"),INDEX('Resumo Operacional'!$A$1:$P$1103,MATCH("Energia Injetada prevista total Fatura da Usina (TUSD)",'Resumo Operacional'!$B$1:$B$1103,0),MATCH('Detalhe Por UC'!$R38,'Resumo Operacional'!$A$1:$P$1,0))*$S38,INDEX('Resumo Operacional'!$A$1:$P$1103,53,MATCH('Detalhe Por UC'!$R38,'Resumo Operacional'!$A$1:$P$1,0))*$S38)</f>
        <v>2913.54</v>
      </c>
      <c r="AR38" s="71">
        <f t="shared" si="13"/>
        <v>-447.53999999999996</v>
      </c>
      <c r="AS38" s="73">
        <f t="shared" si="14"/>
        <v>204.67000000000041</v>
      </c>
      <c r="AT38" s="74">
        <f t="shared" si="15"/>
        <v>204.67000000000041</v>
      </c>
      <c r="AU38" s="74">
        <f t="shared" si="16"/>
        <v>1.1162646682982293</v>
      </c>
      <c r="AV38" s="74">
        <f t="shared" si="17"/>
        <v>2066.2049999999999</v>
      </c>
      <c r="AW38" s="74">
        <f t="shared" si="18"/>
        <v>0</v>
      </c>
      <c r="AX38" s="74">
        <f t="shared" si="19"/>
        <v>2754.94</v>
      </c>
      <c r="AY38" s="74">
        <f t="shared" si="20"/>
        <v>2066.21</v>
      </c>
      <c r="AZ38" s="49">
        <v>2066.21</v>
      </c>
      <c r="BA38" s="49">
        <v>2066.21</v>
      </c>
      <c r="BB38" s="49">
        <v>2066.21</v>
      </c>
      <c r="BC38" s="73" t="str">
        <f t="shared" si="21"/>
        <v/>
      </c>
      <c r="BD38" s="73">
        <f t="shared" si="22"/>
        <v>2959.6100000000006</v>
      </c>
      <c r="BE38" s="73">
        <f t="shared" si="23"/>
        <v>2270.8750000000005</v>
      </c>
      <c r="BF38" s="77">
        <f t="shared" si="24"/>
        <v>688.74</v>
      </c>
      <c r="BG38" s="77">
        <f t="shared" si="25"/>
        <v>206.62199999999999</v>
      </c>
      <c r="BH38" s="77">
        <f t="shared" si="26"/>
        <v>2754.94</v>
      </c>
      <c r="BI38" s="78">
        <f t="shared" si="27"/>
        <v>0.25</v>
      </c>
      <c r="BJ38" s="79">
        <f t="shared" si="28"/>
        <v>0.23271309395494671</v>
      </c>
      <c r="BK38" s="80">
        <f t="shared" si="29"/>
        <v>2270.8800000000006</v>
      </c>
      <c r="BL38" s="80">
        <f t="shared" si="30"/>
        <v>688.73</v>
      </c>
      <c r="BM38" s="79">
        <f t="shared" si="31"/>
        <v>0.23270971513138552</v>
      </c>
      <c r="BN38" s="81">
        <f t="shared" si="32"/>
        <v>0.83720016207455428</v>
      </c>
      <c r="BO38" s="82">
        <f t="shared" si="33"/>
        <v>2066.21</v>
      </c>
      <c r="BP38" s="81">
        <f t="shared" si="34"/>
        <v>0.83720016207455428</v>
      </c>
      <c r="BQ38" s="81">
        <f t="shared" si="35"/>
        <v>0.83719967529982575</v>
      </c>
      <c r="BR38" s="81">
        <f t="shared" si="36"/>
        <v>1.1162636947487723</v>
      </c>
      <c r="BS38" s="82">
        <f t="shared" si="37"/>
        <v>2468</v>
      </c>
      <c r="BT38" s="82">
        <f t="shared" si="38"/>
        <v>2754.9387986399702</v>
      </c>
      <c r="BU38" s="82">
        <f t="shared" si="39"/>
        <v>2754.94</v>
      </c>
      <c r="BV38"/>
      <c r="BW38" s="82">
        <f>IFERROR(INDEX('Infos Clientes'!$T:$T,MATCH('Detalhe Por UC'!$C38,'Infos Clientes'!B:B,0)),"")</f>
        <v>2675.750833333333</v>
      </c>
      <c r="BX38" s="83">
        <f t="shared" si="40"/>
        <v>0</v>
      </c>
      <c r="BY38" s="84">
        <f t="shared" si="41"/>
        <v>0.24999829409640797</v>
      </c>
      <c r="BZ38" s="85">
        <f>IF(_xlfn.MINIFS('Detalhe Por UC'!R:R,'Detalhe Por UC'!C:C,C38,'Detalhe Por UC'!AD:AD,"&gt;"&amp;0)=0,"",_xlfn.MINIFS('Detalhe Por UC'!R:R,'Detalhe Por UC'!C:C,C38,'Detalhe Por UC'!AD:AD,"&gt;"&amp;0))</f>
        <v>45627</v>
      </c>
      <c r="CA38" s="114">
        <f ca="1">IF(OR(S38&gt;0,AD38&gt;0),IFERROR(
SUMIFS(INDIRECT("'Infos Clientes'!$W"&amp;INDEX('Infos Clientes'!$C:$C,MATCH(C38,'Infos Clientes'!$H:$H,0))&amp;":$CZ"&amp;INDEX('Infos Clientes'!$C:$C,MATCH(C38,'Infos Clientes'!$H:$H,0))),'Infos Clientes'!$W$2:$CZ$2,"&gt;"&amp;$R38-365,'Infos Clientes'!$W$2:$CZ$2,"&lt;="&amp;$R38)/
COUNTIFS(INDIRECT("'Infos Clientes'!$W"&amp;INDEX('Infos Clientes'!$C:$C,MATCH(C38,'Infos Clientes'!$H:$H,0))&amp;":$CZ"&amp;INDEX('Infos Clientes'!$C:$C,MATCH(C38,'Infos Clientes'!$H:$H,0))),"&gt;="&amp;0,'Infos Clientes'!$W$2:$CZ$2,"&gt;"&amp;$R38-365,'Infos Clientes'!$W$2:$CZ$2,"&lt;="&amp;$R38),""),"")</f>
        <v>2675.750833333333</v>
      </c>
      <c r="CB38" s="87">
        <f>VLOOKUP(C38,'Infos Clientes'!B:L,11,0)</f>
        <v>0</v>
      </c>
      <c r="CC38" s="88" t="str">
        <f t="shared" si="42"/>
        <v>A Unidade Consumidora 10/364440-8 economizou R$688,74 na fatura referente à jan/2025  consumindo 2468 kWh em créditos de energia renovável conforme fatura de energia. A economia foi de 25% em relação ao que seria pago para a Energisa considerando os créditos consumidos. Atenção: Mantenha as contas da Energisa em dia para evitar cortes.</v>
      </c>
      <c r="CD38" s="40" t="s">
        <v>86</v>
      </c>
      <c r="CF38" s="115">
        <f t="shared" si="43"/>
        <v>-204.67000000000041</v>
      </c>
    </row>
    <row r="39" spans="1:84" s="104" customFormat="1" ht="16.2" hidden="1" customHeight="1" x14ac:dyDescent="0.3">
      <c r="A39" s="105" t="str">
        <f>INDEX('Infos Clientes'!$D:$D,MATCH('Detalhe Por UC'!C39,'Infos Clientes'!B:B,0))</f>
        <v>IGREJA DO EVANGELHO QUADRANGULAR</v>
      </c>
      <c r="B39" s="106" t="str">
        <f>INDEX('Infos Clientes'!$F:$F,MATCH('Detalhe Por UC'!C39,'Infos Clientes'!B:B,0))</f>
        <v>62.955.505/0001-67</v>
      </c>
      <c r="C39" s="31" t="s">
        <v>103</v>
      </c>
      <c r="D39" t="s">
        <v>351</v>
      </c>
      <c r="E39" s="1" t="s">
        <v>352</v>
      </c>
      <c r="F39" s="56" t="str">
        <f>INDEX('Infos Clientes'!$I:$I,MATCH('Detalhe Por UC'!C39,'Infos Clientes'!B:B,0))</f>
        <v>BT</v>
      </c>
      <c r="G39" s="56" t="str">
        <f>INDEX('Infos Clientes'!$J:$J,MATCH('Detalhe Por UC'!C39,'Infos Clientes'!B:B,0))</f>
        <v>monofasico</v>
      </c>
      <c r="H39" s="108" t="s">
        <v>24</v>
      </c>
      <c r="I39" s="58">
        <f>IFERROR(VLOOKUP(C39,'Infos Clientes'!B:E,4,),"")</f>
        <v>306</v>
      </c>
      <c r="J39" s="109">
        <v>0.25</v>
      </c>
      <c r="K39" s="59">
        <f>INDEX('Infos Clientes'!$M:$M,MATCH('Detalhe Por UC'!C39,'Infos Clientes'!B:B,0))</f>
        <v>0.25</v>
      </c>
      <c r="L39" s="110">
        <v>0</v>
      </c>
      <c r="M39" s="56">
        <f>INDEX('Infos Clientes'!$N:$N,MATCH('Detalhe Por UC'!C39,'Infos Clientes'!B:B,0))</f>
        <v>0</v>
      </c>
      <c r="N39" s="56">
        <f t="shared" si="7"/>
        <v>0</v>
      </c>
      <c r="O39" s="56">
        <f t="shared" si="8"/>
        <v>12</v>
      </c>
      <c r="P39" s="56">
        <f t="shared" si="9"/>
        <v>0</v>
      </c>
      <c r="Q39" s="61">
        <f>IFERROR(IFERROR(INDEX('Infos Clientes'!$A$2:$V$9884,MATCH($C39,'Infos Clientes'!$B$2:$B$9884,0),MATCH(Q$8,'Infos Clientes'!$A$2:$V$2,0)),"")
+IF(OR(INDEX('Infos Clientes'!$A$2:$V$9884,MATCH($C39,'Infos Clientes'!$B$2:$B$9884,0),MATCH("Tempo de Fidelidade (meses)",'Infos Clientes'!$A$2:$V$2,0))=0,R39&gt;=MAX(R:R)),0,
ROUND((MAX(R:R)-R39)/(365/12),0)),"")</f>
        <v>0</v>
      </c>
      <c r="R39" s="111">
        <v>45658</v>
      </c>
      <c r="S39" s="112">
        <v>7.0000000000000001E-3</v>
      </c>
      <c r="T39" s="113">
        <f>IF($H39="GIROSSOL II",AP39/INDEX('Resumo Operacional'!$A$1:$P$1103,17,MATCH('Detalhe Por UC'!$R39,'Resumo Operacional'!$A$1:$P$1,0)),
IF($H39="GIROSSOL II e III",AP39/INDEX('Resumo Operacional'!$A$1:$P$1103,17,MATCH('Detalhe Por UC'!$R39,'Resumo Operacional'!$A$1:$P$1,0)),
""))</f>
        <v>8.8655038200951414E-3</v>
      </c>
      <c r="U39" s="113" t="str">
        <f>IF($H39="GIROSSOL III",AP39/INDEX('Resumo Operacional'!$A$1:$P$1103,53,MATCH('Detalhe Por UC'!$R39,'Resumo Operacional'!$A$1:$P$1,0)),
IF($H39="GIROSSOL II e III",AP39/INDEX('Resumo Operacional'!$A$1:$P$1103,53,MATCH('Detalhe Por UC'!$R39,'Resumo Operacional'!$A$1:$P$1,0)),
""))</f>
        <v/>
      </c>
      <c r="V39" s="12"/>
      <c r="W39" s="12"/>
      <c r="X39" s="35">
        <v>1.116235294117647</v>
      </c>
      <c r="Y39" s="35">
        <v>0</v>
      </c>
      <c r="Z39" s="35">
        <v>1.1159999999999999</v>
      </c>
      <c r="AA39" s="35">
        <v>0</v>
      </c>
      <c r="AB39" s="35">
        <v>85</v>
      </c>
      <c r="AC39" s="35">
        <v>0</v>
      </c>
      <c r="AD39" s="35">
        <v>55</v>
      </c>
      <c r="AE39" s="35"/>
      <c r="AF39" s="35">
        <v>340</v>
      </c>
      <c r="AG39" s="35">
        <v>0</v>
      </c>
      <c r="AH39" s="35">
        <v>0.75000000000000011</v>
      </c>
      <c r="AI39" s="35">
        <v>0</v>
      </c>
      <c r="AJ39" s="35">
        <v>0</v>
      </c>
      <c r="AK39" s="12"/>
      <c r="AL39" s="38"/>
      <c r="AM39" s="1"/>
      <c r="AN39" s="71">
        <f t="shared" si="10"/>
        <v>68</v>
      </c>
      <c r="AO39" s="71">
        <f t="shared" si="11"/>
        <v>0</v>
      </c>
      <c r="AP39" s="71">
        <f t="shared" si="12"/>
        <v>123</v>
      </c>
      <c r="AQ39" s="72">
        <f>IF(OR($H39="GIROSSOL II",$H39="GIROSSOL II e III"),INDEX('Resumo Operacional'!$A$1:$P$1103,MATCH("Energia Injetada prevista total Fatura da Usina (TUSD)",'Resumo Operacional'!$B$1:$B$1103,0),MATCH('Detalhe Por UC'!$R39,'Resumo Operacional'!$A$1:$P$1,0))*$S39,INDEX('Resumo Operacional'!$A$1:$P$1103,53,MATCH('Detalhe Por UC'!$R39,'Resumo Operacional'!$A$1:$P$1,0))*$S39)</f>
        <v>97.117999999999995</v>
      </c>
      <c r="AR39" s="71">
        <f t="shared" si="13"/>
        <v>25.882000000000005</v>
      </c>
      <c r="AS39" s="73">
        <f t="shared" si="14"/>
        <v>34.25</v>
      </c>
      <c r="AT39" s="74">
        <f t="shared" si="15"/>
        <v>34.25</v>
      </c>
      <c r="AU39" s="74">
        <f t="shared" si="16"/>
        <v>1.1157647058823528</v>
      </c>
      <c r="AV39" s="74">
        <f t="shared" si="17"/>
        <v>46.034999999999997</v>
      </c>
      <c r="AW39" s="74">
        <f t="shared" si="18"/>
        <v>0</v>
      </c>
      <c r="AX39" s="74">
        <f t="shared" si="19"/>
        <v>61.379999999999995</v>
      </c>
      <c r="AY39" s="74">
        <f t="shared" si="20"/>
        <v>46.04</v>
      </c>
      <c r="AZ39" s="49">
        <v>46.04</v>
      </c>
      <c r="BA39" s="49">
        <v>46.04</v>
      </c>
      <c r="BB39" s="49">
        <v>46.04</v>
      </c>
      <c r="BC39" s="73" t="str">
        <f t="shared" si="21"/>
        <v/>
      </c>
      <c r="BD39" s="73">
        <f t="shared" si="22"/>
        <v>95.63</v>
      </c>
      <c r="BE39" s="73">
        <f t="shared" si="23"/>
        <v>80.284999999999997</v>
      </c>
      <c r="BF39" s="77">
        <f t="shared" si="24"/>
        <v>15.35</v>
      </c>
      <c r="BG39" s="77">
        <f t="shared" si="25"/>
        <v>4.6049999999999995</v>
      </c>
      <c r="BH39" s="77">
        <f t="shared" si="26"/>
        <v>61.379999999999995</v>
      </c>
      <c r="BI39" s="78">
        <f t="shared" si="27"/>
        <v>0.25</v>
      </c>
      <c r="BJ39" s="79">
        <f t="shared" si="28"/>
        <v>0.16051448290285475</v>
      </c>
      <c r="BK39" s="80">
        <f t="shared" si="29"/>
        <v>80.289999999999992</v>
      </c>
      <c r="BL39" s="80">
        <f t="shared" si="30"/>
        <v>15.340000000000003</v>
      </c>
      <c r="BM39" s="79">
        <f t="shared" si="31"/>
        <v>0.16040991320715262</v>
      </c>
      <c r="BN39" s="81">
        <f t="shared" si="32"/>
        <v>0.83709090909090911</v>
      </c>
      <c r="BO39" s="82">
        <f t="shared" si="33"/>
        <v>46.04</v>
      </c>
      <c r="BP39" s="81">
        <f t="shared" si="34"/>
        <v>0.83709090909090911</v>
      </c>
      <c r="BQ39" s="81">
        <f t="shared" si="35"/>
        <v>0.83732620320855622</v>
      </c>
      <c r="BR39" s="81">
        <f t="shared" si="36"/>
        <v>1.116235294117647</v>
      </c>
      <c r="BS39" s="82">
        <f t="shared" si="37"/>
        <v>55</v>
      </c>
      <c r="BT39" s="82">
        <f t="shared" si="38"/>
        <v>61.392941176470586</v>
      </c>
      <c r="BU39" s="82">
        <f t="shared" si="39"/>
        <v>61.379999999999995</v>
      </c>
      <c r="BV39"/>
      <c r="BW39" s="82">
        <f>IFERROR(INDEX('Infos Clientes'!$T:$T,MATCH('Detalhe Por UC'!$C39,'Infos Clientes'!B:B,0)),"")</f>
        <v>144</v>
      </c>
      <c r="BX39" s="83">
        <f t="shared" si="40"/>
        <v>0</v>
      </c>
      <c r="BY39" s="84">
        <f t="shared" si="41"/>
        <v>0.24986585926720822</v>
      </c>
      <c r="BZ39" s="85">
        <f>IF(_xlfn.MINIFS('Detalhe Por UC'!R:R,'Detalhe Por UC'!C:C,C39,'Detalhe Por UC'!AD:AD,"&gt;"&amp;0)=0,"",_xlfn.MINIFS('Detalhe Por UC'!R:R,'Detalhe Por UC'!C:C,C39,'Detalhe Por UC'!AD:AD,"&gt;"&amp;0))</f>
        <v>45627</v>
      </c>
      <c r="CA39" s="114">
        <f ca="1">IF(OR(S39&gt;0,AD39&gt;0),IFERROR(
SUMIFS(INDIRECT("'Infos Clientes'!$W"&amp;INDEX('Infos Clientes'!$C:$C,MATCH(C39,'Infos Clientes'!$H:$H,0))&amp;":$CZ"&amp;INDEX('Infos Clientes'!$C:$C,MATCH(C39,'Infos Clientes'!$H:$H,0))),'Infos Clientes'!$W$2:$CZ$2,"&gt;"&amp;$R39-365,'Infos Clientes'!$W$2:$CZ$2,"&lt;="&amp;$R39)/
COUNTIFS(INDIRECT("'Infos Clientes'!$W"&amp;INDEX('Infos Clientes'!$C:$C,MATCH(C39,'Infos Clientes'!$H:$H,0))&amp;":$CZ"&amp;INDEX('Infos Clientes'!$C:$C,MATCH(C39,'Infos Clientes'!$H:$H,0))),"&gt;="&amp;0,'Infos Clientes'!$W$2:$CZ$2,"&gt;"&amp;$R39-365,'Infos Clientes'!$W$2:$CZ$2,"&lt;="&amp;$R39),""),"")</f>
        <v>144</v>
      </c>
      <c r="CB39" s="87">
        <f>VLOOKUP(C39,'Infos Clientes'!B:L,11,0)</f>
        <v>0</v>
      </c>
      <c r="CC39" s="88" t="str">
        <f t="shared" si="42"/>
        <v>A Unidade Consumidora 10/384823-1 economizou R$15,35 na fatura referente à jan/2025  consumindo 55 kWh em créditos de energia renovável conforme fatura de energia. A economia foi de 25% em relação ao que seria pago para a Energisa considerando os créditos consumidos. Atenção: Mantenha as contas da Energisa em dia para evitar cortes.</v>
      </c>
      <c r="CD39" s="40" t="s">
        <v>105</v>
      </c>
      <c r="CF39" s="115">
        <f t="shared" si="43"/>
        <v>-34.25</v>
      </c>
    </row>
    <row r="40" spans="1:84" s="104" customFormat="1" ht="16.2" hidden="1" customHeight="1" x14ac:dyDescent="0.3">
      <c r="A40" s="105" t="str">
        <f>INDEX('Infos Clientes'!$D:$D,MATCH('Detalhe Por UC'!C40,'Infos Clientes'!B:B,0))</f>
        <v>IGREJA DO EVANGELHO QUADRANGULAR</v>
      </c>
      <c r="B40" s="106" t="str">
        <f>INDEX('Infos Clientes'!$F:$F,MATCH('Detalhe Por UC'!C40,'Infos Clientes'!B:B,0))</f>
        <v>62.955.505/0001-67</v>
      </c>
      <c r="C40" s="107" t="s">
        <v>106</v>
      </c>
      <c r="D40" t="s">
        <v>351</v>
      </c>
      <c r="E40" s="1" t="s">
        <v>352</v>
      </c>
      <c r="F40" s="56" t="str">
        <f>INDEX('Infos Clientes'!$I:$I,MATCH('Detalhe Por UC'!C40,'Infos Clientes'!B:B,0))</f>
        <v>BT</v>
      </c>
      <c r="G40" s="56" t="str">
        <f>INDEX('Infos Clientes'!$J:$J,MATCH('Detalhe Por UC'!C40,'Infos Clientes'!B:B,0))</f>
        <v>bifasico</v>
      </c>
      <c r="H40" s="108" t="s">
        <v>353</v>
      </c>
      <c r="I40" s="58">
        <f>IFERROR(VLOOKUP(C40,'Infos Clientes'!B:E,4,),"")</f>
        <v>302</v>
      </c>
      <c r="J40" s="109">
        <v>0.25</v>
      </c>
      <c r="K40" s="59">
        <f>INDEX('Infos Clientes'!$M:$M,MATCH('Detalhe Por UC'!C40,'Infos Clientes'!B:B,0))</f>
        <v>0.25</v>
      </c>
      <c r="L40" s="110">
        <v>0</v>
      </c>
      <c r="M40" s="56">
        <f>INDEX('Infos Clientes'!$N:$N,MATCH('Detalhe Por UC'!C40,'Infos Clientes'!B:B,0))</f>
        <v>0</v>
      </c>
      <c r="N40" s="56">
        <f t="shared" si="7"/>
        <v>0</v>
      </c>
      <c r="O40" s="56">
        <f t="shared" si="8"/>
        <v>11</v>
      </c>
      <c r="P40" s="56">
        <f t="shared" si="9"/>
        <v>0</v>
      </c>
      <c r="Q40" s="61">
        <f>IFERROR(IFERROR(INDEX('Infos Clientes'!$A$2:$V$9884,MATCH($C40,'Infos Clientes'!$B$2:$B$9884,0),MATCH(Q$8,'Infos Clientes'!$A$2:$V$2,0)),"")
+IF(OR(INDEX('Infos Clientes'!$A$2:$V$9884,MATCH($C40,'Infos Clientes'!$B$2:$B$9884,0),MATCH("Tempo de Fidelidade (meses)",'Infos Clientes'!$A$2:$V$2,0))=0,R40&gt;=MAX(R:R)),0,
ROUND((MAX(R:R)-R40)/(365/12),0)),"")</f>
        <v>0</v>
      </c>
      <c r="R40" s="111">
        <v>45658</v>
      </c>
      <c r="S40" s="112">
        <v>5.0000000000000001E-3</v>
      </c>
      <c r="T40" s="113">
        <f>IF($H40="GIROSSOL II",AP40/INDEX('Resumo Operacional'!$A$1:$P$1103,17,MATCH('Detalhe Por UC'!$R40,'Resumo Operacional'!$A$1:$P$1,0)),
IF($H40="GIROSSOL II e III",AP40/INDEX('Resumo Operacional'!$A$1:$P$1103,17,MATCH('Detalhe Por UC'!$R40,'Resumo Operacional'!$A$1:$P$1,0)),
""))</f>
        <v>1.5856998702609197E-2</v>
      </c>
      <c r="U40" s="113">
        <f>IF($H40="GIROSSOL III",AP40/INDEX('Resumo Operacional'!$A$1:$P$1103,53,MATCH('Detalhe Por UC'!$R40,'Resumo Operacional'!$A$1:$P$1,0)),
IF($H40="GIROSSOL II e III",AP40/INDEX('Resumo Operacional'!$A$1:$P$1103,53,MATCH('Detalhe Por UC'!$R40,'Resumo Operacional'!$A$1:$P$1,0)),
""))</f>
        <v>1.333575801660908E-2</v>
      </c>
      <c r="V40" s="12"/>
      <c r="W40" s="12"/>
      <c r="X40" s="35">
        <v>1.11625</v>
      </c>
      <c r="Y40" s="35">
        <v>0</v>
      </c>
      <c r="Z40" s="35">
        <v>1.0657232704402515</v>
      </c>
      <c r="AA40" s="35">
        <v>0</v>
      </c>
      <c r="AB40" s="35">
        <v>200</v>
      </c>
      <c r="AC40" s="35">
        <v>0</v>
      </c>
      <c r="AD40" s="35">
        <v>159</v>
      </c>
      <c r="AE40" s="35"/>
      <c r="AF40" s="35">
        <v>462</v>
      </c>
      <c r="AG40" s="35">
        <v>0</v>
      </c>
      <c r="AH40" s="35">
        <v>0</v>
      </c>
      <c r="AI40" s="35">
        <v>0</v>
      </c>
      <c r="AJ40" s="35">
        <v>0</v>
      </c>
      <c r="AK40" s="12"/>
      <c r="AL40" s="38"/>
      <c r="AM40" s="1"/>
      <c r="AN40" s="71">
        <f t="shared" si="10"/>
        <v>61</v>
      </c>
      <c r="AO40" s="71">
        <f t="shared" si="11"/>
        <v>0</v>
      </c>
      <c r="AP40" s="71">
        <f t="shared" si="12"/>
        <v>220</v>
      </c>
      <c r="AQ40" s="72">
        <f>IF(OR($H40="GIROSSOL II",$H40="GIROSSOL II e III"),INDEX('Resumo Operacional'!$A$1:$P$1103,MATCH("Energia Injetada prevista total Fatura da Usina (TUSD)",'Resumo Operacional'!$B$1:$B$1103,0),MATCH('Detalhe Por UC'!$R40,'Resumo Operacional'!$A$1:$P$1,0))*$S40,INDEX('Resumo Operacional'!$A$1:$P$1103,53,MATCH('Detalhe Por UC'!$R40,'Resumo Operacional'!$A$1:$P$1,0))*$S40)</f>
        <v>69.37</v>
      </c>
      <c r="AR40" s="71">
        <f t="shared" si="13"/>
        <v>150.63</v>
      </c>
      <c r="AS40" s="73">
        <f t="shared" si="14"/>
        <v>53.800000000000011</v>
      </c>
      <c r="AT40" s="74">
        <f t="shared" si="15"/>
        <v>53.800000000000011</v>
      </c>
      <c r="AU40" s="74">
        <f t="shared" si="16"/>
        <v>1.015196540880503</v>
      </c>
      <c r="AV40" s="74">
        <f t="shared" si="17"/>
        <v>127.08749999999998</v>
      </c>
      <c r="AW40" s="74">
        <f t="shared" si="18"/>
        <v>0</v>
      </c>
      <c r="AX40" s="74">
        <f t="shared" si="19"/>
        <v>169.45</v>
      </c>
      <c r="AY40" s="74">
        <f t="shared" si="20"/>
        <v>127.09</v>
      </c>
      <c r="AZ40" s="49">
        <v>127.09</v>
      </c>
      <c r="BA40" s="49">
        <v>127.09</v>
      </c>
      <c r="BB40" s="49">
        <v>127.09</v>
      </c>
      <c r="BC40" s="73" t="str">
        <f t="shared" si="21"/>
        <v/>
      </c>
      <c r="BD40" s="73">
        <f t="shared" si="22"/>
        <v>223.25</v>
      </c>
      <c r="BE40" s="73">
        <f t="shared" si="23"/>
        <v>180.88749999999999</v>
      </c>
      <c r="BF40" s="77">
        <f t="shared" si="24"/>
        <v>42.36</v>
      </c>
      <c r="BG40" s="77">
        <f t="shared" si="25"/>
        <v>12.708</v>
      </c>
      <c r="BH40" s="77">
        <f t="shared" si="26"/>
        <v>169.45</v>
      </c>
      <c r="BI40" s="78">
        <f t="shared" si="27"/>
        <v>0.25</v>
      </c>
      <c r="BJ40" s="79">
        <f t="shared" si="28"/>
        <v>0.1897424412094065</v>
      </c>
      <c r="BK40" s="80">
        <f t="shared" si="29"/>
        <v>180.89000000000001</v>
      </c>
      <c r="BL40" s="80">
        <f t="shared" si="30"/>
        <v>42.359999999999985</v>
      </c>
      <c r="BM40" s="79">
        <f t="shared" si="31"/>
        <v>0.18974244120940642</v>
      </c>
      <c r="BN40" s="81">
        <f t="shared" si="32"/>
        <v>0.79930817610062899</v>
      </c>
      <c r="BO40" s="82">
        <f t="shared" si="33"/>
        <v>127.09</v>
      </c>
      <c r="BP40" s="81">
        <f t="shared" si="34"/>
        <v>0.79930817610062899</v>
      </c>
      <c r="BQ40" s="81">
        <f t="shared" si="35"/>
        <v>0.84983490566037745</v>
      </c>
      <c r="BR40" s="81">
        <f t="shared" si="36"/>
        <v>1.11625</v>
      </c>
      <c r="BS40" s="82">
        <f t="shared" si="37"/>
        <v>159</v>
      </c>
      <c r="BT40" s="82">
        <f t="shared" si="38"/>
        <v>177.48374999999999</v>
      </c>
      <c r="BU40" s="82">
        <f t="shared" si="39"/>
        <v>169.45</v>
      </c>
      <c r="BV40"/>
      <c r="BW40" s="82">
        <f>IFERROR(INDEX('Infos Clientes'!$T:$T,MATCH('Detalhe Por UC'!$C40,'Infos Clientes'!B:B,0)),"")</f>
        <v>147.33333333333334</v>
      </c>
      <c r="BX40" s="83">
        <f t="shared" si="40"/>
        <v>0</v>
      </c>
      <c r="BY40" s="84">
        <f t="shared" si="41"/>
        <v>0.23866973737032254</v>
      </c>
      <c r="BZ40" s="85">
        <f>IF(_xlfn.MINIFS('Detalhe Por UC'!R:R,'Detalhe Por UC'!C:C,C40,'Detalhe Por UC'!AD:AD,"&gt;"&amp;0)=0,"",_xlfn.MINIFS('Detalhe Por UC'!R:R,'Detalhe Por UC'!C:C,C40,'Detalhe Por UC'!AD:AD,"&gt;"&amp;0))</f>
        <v>45627</v>
      </c>
      <c r="CA40" s="114">
        <f ca="1">IF(OR(S40&gt;0,AD40&gt;0),IFERROR(
SUMIFS(INDIRECT("'Infos Clientes'!$W"&amp;INDEX('Infos Clientes'!$C:$C,MATCH(C40,'Infos Clientes'!$H:$H,0))&amp;":$CZ"&amp;INDEX('Infos Clientes'!$C:$C,MATCH(C40,'Infos Clientes'!$H:$H,0))),'Infos Clientes'!$W$2:$CZ$2,"&gt;"&amp;$R40-365,'Infos Clientes'!$W$2:$CZ$2,"&lt;="&amp;$R40)/
COUNTIFS(INDIRECT("'Infos Clientes'!$W"&amp;INDEX('Infos Clientes'!$C:$C,MATCH(C40,'Infos Clientes'!$H:$H,0))&amp;":$CZ"&amp;INDEX('Infos Clientes'!$C:$C,MATCH(C40,'Infos Clientes'!$H:$H,0))),"&gt;="&amp;0,'Infos Clientes'!$W$2:$CZ$2,"&gt;"&amp;$R40-365,'Infos Clientes'!$W$2:$CZ$2,"&lt;="&amp;$R40),""),"")</f>
        <v>147.33333333333334</v>
      </c>
      <c r="CB40" s="87">
        <f>VLOOKUP(C40,'Infos Clientes'!B:L,11,0)</f>
        <v>0</v>
      </c>
      <c r="CC40" s="88" t="str">
        <f t="shared" si="42"/>
        <v>A Unidade Consumidora 10/452884-0 economizou R$42,36 na fatura referente à jan/2025  consumindo 159 kWh em créditos de energia renovável conforme fatura de energia. A economia foi de 25% em relação ao que seria pago para a Energisa considerando os créditos consumidos. Atenção: Mantenha as contas da Energisa em dia para evitar cortes.</v>
      </c>
      <c r="CD40" s="40" t="s">
        <v>107</v>
      </c>
      <c r="CF40" s="115">
        <f t="shared" si="43"/>
        <v>-53.800000000000011</v>
      </c>
    </row>
    <row r="41" spans="1:84" s="104" customFormat="1" ht="16.2" hidden="1" customHeight="1" x14ac:dyDescent="0.3">
      <c r="A41" s="105" t="str">
        <f>INDEX('Infos Clientes'!$D:$D,MATCH('Detalhe Por UC'!C41,'Infos Clientes'!B:B,0))</f>
        <v>IGREJA DO EVANGELHO QUADRANGULAR</v>
      </c>
      <c r="B41" s="106" t="str">
        <f>INDEX('Infos Clientes'!$F:$F,MATCH('Detalhe Por UC'!C41,'Infos Clientes'!B:B,0))</f>
        <v>62.955.505/2730-58</v>
      </c>
      <c r="C41" s="31" t="s">
        <v>108</v>
      </c>
      <c r="D41" t="s">
        <v>351</v>
      </c>
      <c r="E41" s="1" t="s">
        <v>352</v>
      </c>
      <c r="F41" s="56" t="str">
        <f>INDEX('Infos Clientes'!$I:$I,MATCH('Detalhe Por UC'!C41,'Infos Clientes'!B:B,0))</f>
        <v>BT</v>
      </c>
      <c r="G41" s="56" t="str">
        <f>INDEX('Infos Clientes'!$J:$J,MATCH('Detalhe Por UC'!C41,'Infos Clientes'!B:B,0))</f>
        <v>trifasico</v>
      </c>
      <c r="H41" s="108" t="s">
        <v>24</v>
      </c>
      <c r="I41" s="58">
        <f>IFERROR(VLOOKUP(C41,'Infos Clientes'!B:E,4,),"")</f>
        <v>306</v>
      </c>
      <c r="J41" s="109">
        <v>0.25</v>
      </c>
      <c r="K41" s="59">
        <f>INDEX('Infos Clientes'!$M:$M,MATCH('Detalhe Por UC'!C41,'Infos Clientes'!B:B,0))</f>
        <v>0.25</v>
      </c>
      <c r="L41" s="110">
        <v>0</v>
      </c>
      <c r="M41" s="56">
        <f>INDEX('Infos Clientes'!$N:$N,MATCH('Detalhe Por UC'!C41,'Infos Clientes'!B:B,0))</f>
        <v>0</v>
      </c>
      <c r="N41" s="56">
        <f t="shared" si="7"/>
        <v>0</v>
      </c>
      <c r="O41" s="56">
        <f t="shared" si="8"/>
        <v>12</v>
      </c>
      <c r="P41" s="56">
        <f t="shared" si="9"/>
        <v>0</v>
      </c>
      <c r="Q41" s="61">
        <f>IFERROR(IFERROR(INDEX('Infos Clientes'!$A$2:$V$9884,MATCH($C41,'Infos Clientes'!$B$2:$B$9884,0),MATCH(Q$8,'Infos Clientes'!$A$2:$V$2,0)),"")
+IF(OR(INDEX('Infos Clientes'!$A$2:$V$9884,MATCH($C41,'Infos Clientes'!$B$2:$B$9884,0),MATCH("Tempo de Fidelidade (meses)",'Infos Clientes'!$A$2:$V$2,0))=0,R41&gt;=MAX(R:R)),0,
ROUND((MAX(R:R)-R41)/(365/12),0)),"")</f>
        <v>0</v>
      </c>
      <c r="R41" s="111">
        <v>45658</v>
      </c>
      <c r="S41" s="112">
        <v>6.0000000000000001E-3</v>
      </c>
      <c r="T41" s="113">
        <f>IF($H41="GIROSSOL II",AP41/INDEX('Resumo Operacional'!$A$1:$P$1103,17,MATCH('Detalhe Por UC'!$R41,'Resumo Operacional'!$A$1:$P$1,0)),
IF($H41="GIROSSOL II e III",AP41/INDEX('Resumo Operacional'!$A$1:$P$1103,17,MATCH('Detalhe Por UC'!$R41,'Resumo Operacional'!$A$1:$P$1,0)),
""))</f>
        <v>8.8655038200951414E-3</v>
      </c>
      <c r="U41" s="113" t="str">
        <f>IF($H41="GIROSSOL III",AP41/INDEX('Resumo Operacional'!$A$1:$P$1103,53,MATCH('Detalhe Por UC'!$R41,'Resumo Operacional'!$A$1:$P$1,0)),
IF($H41="GIROSSOL II e III",AP41/INDEX('Resumo Operacional'!$A$1:$P$1103,53,MATCH('Detalhe Por UC'!$R41,'Resumo Operacional'!$A$1:$P$1,0)),
""))</f>
        <v/>
      </c>
      <c r="V41" s="12"/>
      <c r="W41" s="12"/>
      <c r="X41" s="35">
        <v>1.1162000000000001</v>
      </c>
      <c r="Y41" s="35">
        <v>0</v>
      </c>
      <c r="Z41" s="35">
        <v>1.1162000000000001</v>
      </c>
      <c r="AA41" s="35">
        <v>0</v>
      </c>
      <c r="AB41" s="35">
        <v>150</v>
      </c>
      <c r="AC41" s="35">
        <v>0</v>
      </c>
      <c r="AD41" s="35">
        <v>50</v>
      </c>
      <c r="AE41" s="35"/>
      <c r="AF41" s="35">
        <v>354</v>
      </c>
      <c r="AG41" s="35">
        <v>0</v>
      </c>
      <c r="AH41" s="35">
        <v>2.37</v>
      </c>
      <c r="AI41" s="35">
        <v>0</v>
      </c>
      <c r="AJ41" s="35">
        <v>0</v>
      </c>
      <c r="AK41" s="12"/>
      <c r="AL41" s="38"/>
      <c r="AM41" s="1"/>
      <c r="AN41" s="71">
        <f t="shared" si="10"/>
        <v>73</v>
      </c>
      <c r="AO41" s="71">
        <f t="shared" si="11"/>
        <v>0</v>
      </c>
      <c r="AP41" s="71">
        <f t="shared" si="12"/>
        <v>123</v>
      </c>
      <c r="AQ41" s="72">
        <f>IF(OR($H41="GIROSSOL II",$H41="GIROSSOL II e III"),INDEX('Resumo Operacional'!$A$1:$P$1103,MATCH("Energia Injetada prevista total Fatura da Usina (TUSD)",'Resumo Operacional'!$B$1:$B$1103,0),MATCH('Detalhe Por UC'!$R41,'Resumo Operacional'!$A$1:$P$1,0))*$S41,INDEX('Resumo Operacional'!$A$1:$P$1103,53,MATCH('Detalhe Por UC'!$R41,'Resumo Operacional'!$A$1:$P$1,0))*$S41)</f>
        <v>83.244</v>
      </c>
      <c r="AR41" s="71">
        <f t="shared" si="13"/>
        <v>39.756</v>
      </c>
      <c r="AS41" s="73">
        <f t="shared" si="14"/>
        <v>113.99000000000001</v>
      </c>
      <c r="AT41" s="74">
        <f t="shared" si="15"/>
        <v>113.99000000000001</v>
      </c>
      <c r="AU41" s="74">
        <f t="shared" si="16"/>
        <v>1.1162000000000001</v>
      </c>
      <c r="AV41" s="74">
        <f t="shared" si="17"/>
        <v>41.857500000000002</v>
      </c>
      <c r="AW41" s="74">
        <f t="shared" si="18"/>
        <v>0</v>
      </c>
      <c r="AX41" s="74">
        <f t="shared" si="19"/>
        <v>55.81</v>
      </c>
      <c r="AY41" s="74">
        <f t="shared" si="20"/>
        <v>41.86</v>
      </c>
      <c r="AZ41" s="49">
        <v>41.86</v>
      </c>
      <c r="BA41" s="49">
        <v>41.86</v>
      </c>
      <c r="BB41" s="49">
        <v>41.86</v>
      </c>
      <c r="BC41" s="73" t="str">
        <f t="shared" si="21"/>
        <v/>
      </c>
      <c r="BD41" s="73">
        <f t="shared" si="22"/>
        <v>169.8</v>
      </c>
      <c r="BE41" s="73">
        <f t="shared" si="23"/>
        <v>155.84750000000003</v>
      </c>
      <c r="BF41" s="77">
        <f t="shared" si="24"/>
        <v>13.95</v>
      </c>
      <c r="BG41" s="77">
        <f t="shared" si="25"/>
        <v>4.1849999999999996</v>
      </c>
      <c r="BH41" s="77">
        <f t="shared" si="26"/>
        <v>55.81</v>
      </c>
      <c r="BI41" s="78">
        <f t="shared" si="27"/>
        <v>0.25</v>
      </c>
      <c r="BJ41" s="79">
        <f t="shared" si="28"/>
        <v>8.2155477031802107E-2</v>
      </c>
      <c r="BK41" s="80">
        <f t="shared" si="29"/>
        <v>155.85000000000002</v>
      </c>
      <c r="BL41" s="80">
        <f t="shared" si="30"/>
        <v>13.949999999999989</v>
      </c>
      <c r="BM41" s="79">
        <f t="shared" si="31"/>
        <v>8.2155477031802052E-2</v>
      </c>
      <c r="BN41" s="81">
        <f t="shared" si="32"/>
        <v>0.83719999999999994</v>
      </c>
      <c r="BO41" s="82">
        <f t="shared" si="33"/>
        <v>41.86</v>
      </c>
      <c r="BP41" s="81">
        <f t="shared" si="34"/>
        <v>0.83719999999999994</v>
      </c>
      <c r="BQ41" s="81">
        <f t="shared" si="35"/>
        <v>0.83719999999999994</v>
      </c>
      <c r="BR41" s="81">
        <f t="shared" si="36"/>
        <v>1.1162000000000001</v>
      </c>
      <c r="BS41" s="82">
        <f t="shared" si="37"/>
        <v>50</v>
      </c>
      <c r="BT41" s="82">
        <f t="shared" si="38"/>
        <v>55.81</v>
      </c>
      <c r="BU41" s="82">
        <f t="shared" si="39"/>
        <v>55.81</v>
      </c>
      <c r="BV41"/>
      <c r="BW41" s="82">
        <f>IFERROR(INDEX('Infos Clientes'!$T:$T,MATCH('Detalhe Por UC'!$C41,'Infos Clientes'!B:B,0)),"")</f>
        <v>187.5</v>
      </c>
      <c r="BX41" s="83">
        <f t="shared" si="40"/>
        <v>0</v>
      </c>
      <c r="BY41" s="84">
        <f t="shared" si="41"/>
        <v>0.24995520516036562</v>
      </c>
      <c r="BZ41" s="85">
        <f>IF(_xlfn.MINIFS('Detalhe Por UC'!R:R,'Detalhe Por UC'!C:C,C41,'Detalhe Por UC'!AD:AD,"&gt;"&amp;0)=0,"",_xlfn.MINIFS('Detalhe Por UC'!R:R,'Detalhe Por UC'!C:C,C41,'Detalhe Por UC'!AD:AD,"&gt;"&amp;0))</f>
        <v>45627</v>
      </c>
      <c r="CA41" s="114">
        <f ca="1">IF(OR(S41&gt;0,AD41&gt;0),IFERROR(
SUMIFS(INDIRECT("'Infos Clientes'!$W"&amp;INDEX('Infos Clientes'!$C:$C,MATCH(C41,'Infos Clientes'!$H:$H,0))&amp;":$CZ"&amp;INDEX('Infos Clientes'!$C:$C,MATCH(C41,'Infos Clientes'!$H:$H,0))),'Infos Clientes'!$W$2:$CZ$2,"&gt;"&amp;$R41-365,'Infos Clientes'!$W$2:$CZ$2,"&lt;="&amp;$R41)/
COUNTIFS(INDIRECT("'Infos Clientes'!$W"&amp;INDEX('Infos Clientes'!$C:$C,MATCH(C41,'Infos Clientes'!$H:$H,0))&amp;":$CZ"&amp;INDEX('Infos Clientes'!$C:$C,MATCH(C41,'Infos Clientes'!$H:$H,0))),"&gt;="&amp;0,'Infos Clientes'!$W$2:$CZ$2,"&gt;"&amp;$R41-365,'Infos Clientes'!$W$2:$CZ$2,"&lt;="&amp;$R41),""),"")</f>
        <v>187.5</v>
      </c>
      <c r="CB41" s="87">
        <f>VLOOKUP(C41,'Infos Clientes'!B:L,11,0)</f>
        <v>0</v>
      </c>
      <c r="CC41" s="88" t="str">
        <f t="shared" si="42"/>
        <v>A Unidade Consumidora 10/501586-2 economizou R$13,95 na fatura referente à jan/2025  consumindo 50 kWh em créditos de energia renovável conforme fatura de energia. A economia foi de 25% em relação ao que seria pago para a Energisa considerando os créditos consumidos. Atenção: Mantenha as contas da Energisa em dia para evitar cortes.</v>
      </c>
      <c r="CD41" s="40" t="s">
        <v>110</v>
      </c>
      <c r="CF41" s="115">
        <f t="shared" si="43"/>
        <v>-113.99000000000001</v>
      </c>
    </row>
    <row r="42" spans="1:84" s="104" customFormat="1" ht="16.2" hidden="1" customHeight="1" x14ac:dyDescent="0.3">
      <c r="A42" s="105" t="str">
        <f>INDEX('Infos Clientes'!$D:$D,MATCH('Detalhe Por UC'!C42,'Infos Clientes'!B:B,0))</f>
        <v>IGREJA DO EVANGELHO QUADRANGULAR</v>
      </c>
      <c r="B42" s="106" t="str">
        <f>INDEX('Infos Clientes'!$F:$F,MATCH('Detalhe Por UC'!C42,'Infos Clientes'!B:B,0))</f>
        <v>62.955.505/3671-17</v>
      </c>
      <c r="C42" s="31" t="s">
        <v>111</v>
      </c>
      <c r="D42" t="s">
        <v>351</v>
      </c>
      <c r="E42" s="1" t="s">
        <v>352</v>
      </c>
      <c r="F42" s="56" t="str">
        <f>INDEX('Infos Clientes'!$I:$I,MATCH('Detalhe Por UC'!C42,'Infos Clientes'!B:B,0))</f>
        <v>BT</v>
      </c>
      <c r="G42" s="56" t="str">
        <f>INDEX('Infos Clientes'!$J:$J,MATCH('Detalhe Por UC'!C42,'Infos Clientes'!B:B,0))</f>
        <v>trifasico</v>
      </c>
      <c r="H42" s="108" t="s">
        <v>24</v>
      </c>
      <c r="I42" s="58">
        <f>IFERROR(VLOOKUP(C42,'Infos Clientes'!B:E,4,),"")</f>
        <v>358</v>
      </c>
      <c r="J42" s="109">
        <v>0.25</v>
      </c>
      <c r="K42" s="59">
        <f>INDEX('Infos Clientes'!$M:$M,MATCH('Detalhe Por UC'!C42,'Infos Clientes'!B:B,0))</f>
        <v>0.25</v>
      </c>
      <c r="L42" s="110">
        <v>0</v>
      </c>
      <c r="M42" s="56">
        <f>INDEX('Infos Clientes'!$N:$N,MATCH('Detalhe Por UC'!C42,'Infos Clientes'!B:B,0))</f>
        <v>0</v>
      </c>
      <c r="N42" s="56">
        <f t="shared" si="7"/>
        <v>0</v>
      </c>
      <c r="O42" s="56">
        <f t="shared" si="8"/>
        <v>12</v>
      </c>
      <c r="P42" s="56">
        <f t="shared" si="9"/>
        <v>0</v>
      </c>
      <c r="Q42" s="61">
        <f>IFERROR(IFERROR(INDEX('Infos Clientes'!$A$2:$V$9884,MATCH($C42,'Infos Clientes'!$B$2:$B$9884,0),MATCH(Q$8,'Infos Clientes'!$A$2:$V$2,0)),"")
+IF(OR(INDEX('Infos Clientes'!$A$2:$V$9884,MATCH($C42,'Infos Clientes'!$B$2:$B$9884,0),MATCH("Tempo de Fidelidade (meses)",'Infos Clientes'!$A$2:$V$2,0))=0,R42&gt;=MAX(R:R)),0,
ROUND((MAX(R:R)-R42)/(365/12),0)),"")</f>
        <v>0</v>
      </c>
      <c r="R42" s="111">
        <v>45658</v>
      </c>
      <c r="S42" s="112">
        <v>0.02</v>
      </c>
      <c r="T42" s="113">
        <f>IF($H42="GIROSSOL II",AP42/INDEX('Resumo Operacional'!$A$1:$P$1103,17,MATCH('Detalhe Por UC'!$R42,'Resumo Operacional'!$A$1:$P$1,0)),
IF($H42="GIROSSOL II e III",AP42/INDEX('Resumo Operacional'!$A$1:$P$1103,17,MATCH('Detalhe Por UC'!$R42,'Resumo Operacional'!$A$1:$P$1,0)),
""))</f>
        <v>1.7731007640190283E-2</v>
      </c>
      <c r="U42" s="113" t="str">
        <f>IF($H42="GIROSSOL III",AP42/INDEX('Resumo Operacional'!$A$1:$P$1103,53,MATCH('Detalhe Por UC'!$R42,'Resumo Operacional'!$A$1:$P$1,0)),
IF($H42="GIROSSOL II e III",AP42/INDEX('Resumo Operacional'!$A$1:$P$1103,53,MATCH('Detalhe Por UC'!$R42,'Resumo Operacional'!$A$1:$P$1,0)),
""))</f>
        <v/>
      </c>
      <c r="V42" s="12"/>
      <c r="W42" s="12"/>
      <c r="X42" s="35">
        <v>1.1162581486310299</v>
      </c>
      <c r="Y42" s="35">
        <v>0</v>
      </c>
      <c r="Z42" s="35">
        <v>1.1162601626016262</v>
      </c>
      <c r="AA42" s="35">
        <v>0</v>
      </c>
      <c r="AB42" s="35">
        <v>767</v>
      </c>
      <c r="AC42" s="35">
        <v>0</v>
      </c>
      <c r="AD42" s="35">
        <v>246</v>
      </c>
      <c r="AE42" s="35"/>
      <c r="AF42" s="35">
        <v>0</v>
      </c>
      <c r="AG42" s="35">
        <v>0</v>
      </c>
      <c r="AH42" s="35">
        <v>144.99</v>
      </c>
      <c r="AI42" s="35">
        <v>0</v>
      </c>
      <c r="AJ42" s="35">
        <v>0</v>
      </c>
      <c r="AK42" s="12"/>
      <c r="AL42" s="38"/>
      <c r="AM42" s="1"/>
      <c r="AN42" s="71">
        <f t="shared" si="10"/>
        <v>0</v>
      </c>
      <c r="AO42" s="71">
        <f t="shared" si="11"/>
        <v>0</v>
      </c>
      <c r="AP42" s="71">
        <f t="shared" si="12"/>
        <v>246</v>
      </c>
      <c r="AQ42" s="72">
        <f>IF(OR($H42="GIROSSOL II",$H42="GIROSSOL II e III"),INDEX('Resumo Operacional'!$A$1:$P$1103,MATCH("Energia Injetada prevista total Fatura da Usina (TUSD)",'Resumo Operacional'!$B$1:$B$1103,0),MATCH('Detalhe Por UC'!$R42,'Resumo Operacional'!$A$1:$P$1,0))*$S42,INDEX('Resumo Operacional'!$A$1:$P$1103,53,MATCH('Detalhe Por UC'!$R42,'Resumo Operacional'!$A$1:$P$1,0))*$S42)</f>
        <v>277.48</v>
      </c>
      <c r="AR42" s="71">
        <f t="shared" si="13"/>
        <v>-31.480000000000018</v>
      </c>
      <c r="AS42" s="73">
        <f t="shared" si="14"/>
        <v>726.56</v>
      </c>
      <c r="AT42" s="74">
        <f t="shared" si="15"/>
        <v>726.56</v>
      </c>
      <c r="AU42" s="74">
        <f t="shared" si="16"/>
        <v>1.1162621765722225</v>
      </c>
      <c r="AV42" s="74">
        <f t="shared" si="17"/>
        <v>205.95000000000005</v>
      </c>
      <c r="AW42" s="74">
        <f t="shared" si="18"/>
        <v>0</v>
      </c>
      <c r="AX42" s="74">
        <f t="shared" si="19"/>
        <v>274.60000000000002</v>
      </c>
      <c r="AY42" s="74">
        <f t="shared" si="20"/>
        <v>205.95</v>
      </c>
      <c r="AZ42" s="49">
        <v>205.95</v>
      </c>
      <c r="BA42" s="49">
        <v>205.95</v>
      </c>
      <c r="BB42" s="49">
        <v>205.95</v>
      </c>
      <c r="BC42" s="73" t="str">
        <f t="shared" si="21"/>
        <v/>
      </c>
      <c r="BD42" s="73">
        <f t="shared" si="22"/>
        <v>1001.16</v>
      </c>
      <c r="BE42" s="73">
        <f t="shared" si="23"/>
        <v>932.51</v>
      </c>
      <c r="BF42" s="77">
        <f t="shared" si="24"/>
        <v>68.650000000000006</v>
      </c>
      <c r="BG42" s="77">
        <f t="shared" si="25"/>
        <v>20.595000000000002</v>
      </c>
      <c r="BH42" s="77">
        <f t="shared" si="26"/>
        <v>274.60000000000008</v>
      </c>
      <c r="BI42" s="78">
        <f t="shared" si="27"/>
        <v>0.25</v>
      </c>
      <c r="BJ42" s="79">
        <f t="shared" si="28"/>
        <v>6.8570458268408657E-2</v>
      </c>
      <c r="BK42" s="80">
        <f t="shared" si="29"/>
        <v>932.51</v>
      </c>
      <c r="BL42" s="80">
        <f t="shared" si="30"/>
        <v>68.649999999999977</v>
      </c>
      <c r="BM42" s="79">
        <f t="shared" si="31"/>
        <v>6.8570458268408629E-2</v>
      </c>
      <c r="BN42" s="81">
        <f t="shared" si="32"/>
        <v>0.83719512195121948</v>
      </c>
      <c r="BO42" s="82">
        <f t="shared" si="33"/>
        <v>205.95</v>
      </c>
      <c r="BP42" s="81">
        <f t="shared" si="34"/>
        <v>0.83719512195121948</v>
      </c>
      <c r="BQ42" s="81">
        <f t="shared" si="35"/>
        <v>0.83719310798062319</v>
      </c>
      <c r="BR42" s="81">
        <f t="shared" si="36"/>
        <v>1.1162581486310299</v>
      </c>
      <c r="BS42" s="82">
        <f t="shared" si="37"/>
        <v>246</v>
      </c>
      <c r="BT42" s="82">
        <f t="shared" si="38"/>
        <v>274.59950456323338</v>
      </c>
      <c r="BU42" s="82">
        <f t="shared" si="39"/>
        <v>274.60000000000002</v>
      </c>
      <c r="BV42"/>
      <c r="BW42" s="82">
        <f>IFERROR(INDEX('Infos Clientes'!$T:$T,MATCH('Detalhe Por UC'!$C42,'Infos Clientes'!B:B,0)),"")</f>
        <v>586</v>
      </c>
      <c r="BX42" s="83">
        <f t="shared" si="40"/>
        <v>0</v>
      </c>
      <c r="BY42" s="84">
        <f t="shared" si="41"/>
        <v>0.25000045105395186</v>
      </c>
      <c r="BZ42" s="85">
        <f>IF(_xlfn.MINIFS('Detalhe Por UC'!R:R,'Detalhe Por UC'!C:C,C42,'Detalhe Por UC'!AD:AD,"&gt;"&amp;0)=0,"",_xlfn.MINIFS('Detalhe Por UC'!R:R,'Detalhe Por UC'!C:C,C42,'Detalhe Por UC'!AD:AD,"&gt;"&amp;0))</f>
        <v>45627</v>
      </c>
      <c r="CA42" s="114">
        <f ca="1">IF(OR(S42&gt;0,AD42&gt;0),IFERROR(
SUMIFS(INDIRECT("'Infos Clientes'!$W"&amp;INDEX('Infos Clientes'!$C:$C,MATCH(C42,'Infos Clientes'!$H:$H,0))&amp;":$CZ"&amp;INDEX('Infos Clientes'!$C:$C,MATCH(C42,'Infos Clientes'!$H:$H,0))),'Infos Clientes'!$W$2:$CZ$2,"&gt;"&amp;$R42-365,'Infos Clientes'!$W$2:$CZ$2,"&lt;="&amp;$R42)/
COUNTIFS(INDIRECT("'Infos Clientes'!$W"&amp;INDEX('Infos Clientes'!$C:$C,MATCH(C42,'Infos Clientes'!$H:$H,0))&amp;":$CZ"&amp;INDEX('Infos Clientes'!$C:$C,MATCH(C42,'Infos Clientes'!$H:$H,0))),"&gt;="&amp;0,'Infos Clientes'!$W$2:$CZ$2,"&gt;"&amp;$R42-365,'Infos Clientes'!$W$2:$CZ$2,"&lt;="&amp;$R42),""),"")</f>
        <v>586</v>
      </c>
      <c r="CB42" s="87">
        <f>VLOOKUP(C42,'Infos Clientes'!B:L,11,0)</f>
        <v>0</v>
      </c>
      <c r="CC42" s="88" t="str">
        <f t="shared" si="42"/>
        <v>A Unidade Consumidora 10/510330-4 economizou R$68,65 na fatura referente à jan/2025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42" s="40" t="s">
        <v>113</v>
      </c>
      <c r="CF42" s="115">
        <f t="shared" si="43"/>
        <v>-726.56</v>
      </c>
    </row>
    <row r="43" spans="1:84" s="104" customFormat="1" ht="16.2" hidden="1" customHeight="1" x14ac:dyDescent="0.3">
      <c r="A43" s="105" t="str">
        <f>INDEX('Infos Clientes'!$D:$D,MATCH('Detalhe Por UC'!C43,'Infos Clientes'!B:B,0))</f>
        <v>IGREJA DO EVANGELHO QUADRANGULAR</v>
      </c>
      <c r="B43" s="106" t="str">
        <f>INDEX('Infos Clientes'!$F:$F,MATCH('Detalhe Por UC'!C43,'Infos Clientes'!B:B,0))</f>
        <v>62.955.505/0160-80</v>
      </c>
      <c r="C43" s="31" t="s">
        <v>114</v>
      </c>
      <c r="D43" t="s">
        <v>351</v>
      </c>
      <c r="E43" s="1" t="s">
        <v>352</v>
      </c>
      <c r="F43" s="56" t="str">
        <f>INDEX('Infos Clientes'!$I:$I,MATCH('Detalhe Por UC'!C43,'Infos Clientes'!B:B,0))</f>
        <v>BT</v>
      </c>
      <c r="G43" s="56" t="str">
        <f>INDEX('Infos Clientes'!$J:$J,MATCH('Detalhe Por UC'!C43,'Infos Clientes'!B:B,0))</f>
        <v>bifasico</v>
      </c>
      <c r="H43" s="108" t="s">
        <v>24</v>
      </c>
      <c r="I43" s="58">
        <f>IFERROR(VLOOKUP(C43,'Infos Clientes'!B:E,4,),"")</f>
        <v>357</v>
      </c>
      <c r="J43" s="109">
        <v>0.25</v>
      </c>
      <c r="K43" s="59">
        <f>INDEX('Infos Clientes'!$M:$M,MATCH('Detalhe Por UC'!C43,'Infos Clientes'!B:B,0))</f>
        <v>0.25</v>
      </c>
      <c r="L43" s="110">
        <v>0</v>
      </c>
      <c r="M43" s="56">
        <f>INDEX('Infos Clientes'!$N:$N,MATCH('Detalhe Por UC'!C43,'Infos Clientes'!B:B,0))</f>
        <v>0</v>
      </c>
      <c r="N43" s="56">
        <f t="shared" si="7"/>
        <v>0</v>
      </c>
      <c r="O43" s="56">
        <f t="shared" si="8"/>
        <v>12</v>
      </c>
      <c r="P43" s="56">
        <f t="shared" si="9"/>
        <v>0</v>
      </c>
      <c r="Q43" s="61">
        <f>IFERROR(IFERROR(INDEX('Infos Clientes'!$A$2:$V$9884,MATCH($C43,'Infos Clientes'!$B$2:$B$9884,0),MATCH(Q$8,'Infos Clientes'!$A$2:$V$2,0)),"")
+IF(OR(INDEX('Infos Clientes'!$A$2:$V$9884,MATCH($C43,'Infos Clientes'!$B$2:$B$9884,0),MATCH("Tempo de Fidelidade (meses)",'Infos Clientes'!$A$2:$V$2,0))=0,R43&gt;=MAX(R:R)),0,
ROUND((MAX(R:R)-R43)/(365/12),0)),"")</f>
        <v>0</v>
      </c>
      <c r="R43" s="111">
        <v>45658</v>
      </c>
      <c r="S43" s="112">
        <v>0.02</v>
      </c>
      <c r="T43" s="113">
        <f>IF($H43="GIROSSOL II",AP43/INDEX('Resumo Operacional'!$A$1:$P$1103,17,MATCH('Detalhe Por UC'!$R43,'Resumo Operacional'!$A$1:$P$1,0)),
IF($H43="GIROSSOL II e III",AP43/INDEX('Resumo Operacional'!$A$1:$P$1103,17,MATCH('Detalhe Por UC'!$R43,'Resumo Operacional'!$A$1:$P$1,0)),
""))</f>
        <v>8.8655038200951414E-3</v>
      </c>
      <c r="U43" s="113" t="str">
        <f>IF($H43="GIROSSOL III",AP43/INDEX('Resumo Operacional'!$A$1:$P$1103,53,MATCH('Detalhe Por UC'!$R43,'Resumo Operacional'!$A$1:$P$1,0)),
IF($H43="GIROSSOL II e III",AP43/INDEX('Resumo Operacional'!$A$1:$P$1103,53,MATCH('Detalhe Por UC'!$R43,'Resumo Operacional'!$A$1:$P$1,0)),
""))</f>
        <v/>
      </c>
      <c r="V43" s="12"/>
      <c r="W43" s="12"/>
      <c r="X43" s="35">
        <v>1.1162549800796813</v>
      </c>
      <c r="Y43" s="35">
        <v>0</v>
      </c>
      <c r="Z43" s="35">
        <v>1.1162189054726368</v>
      </c>
      <c r="AA43" s="35">
        <v>0</v>
      </c>
      <c r="AB43" s="35">
        <v>251</v>
      </c>
      <c r="AC43" s="35">
        <v>0</v>
      </c>
      <c r="AD43" s="35">
        <v>201</v>
      </c>
      <c r="AE43" s="35"/>
      <c r="AF43" s="35">
        <v>177</v>
      </c>
      <c r="AG43" s="35">
        <v>0</v>
      </c>
      <c r="AH43" s="35">
        <v>61.29</v>
      </c>
      <c r="AI43" s="35">
        <v>0</v>
      </c>
      <c r="AJ43" s="35">
        <v>0</v>
      </c>
      <c r="AK43" s="12"/>
      <c r="AL43" s="38"/>
      <c r="AM43" s="1"/>
      <c r="AN43" s="71">
        <f t="shared" si="10"/>
        <v>-78</v>
      </c>
      <c r="AO43" s="71">
        <f t="shared" si="11"/>
        <v>0</v>
      </c>
      <c r="AP43" s="71">
        <f t="shared" si="12"/>
        <v>123</v>
      </c>
      <c r="AQ43" s="72">
        <f>IF(OR($H43="GIROSSOL II",$H43="GIROSSOL II e III"),INDEX('Resumo Operacional'!$A$1:$P$1103,MATCH("Energia Injetada prevista total Fatura da Usina (TUSD)",'Resumo Operacional'!$B$1:$B$1103,0),MATCH('Detalhe Por UC'!$R43,'Resumo Operacional'!$A$1:$P$1,0))*$S43,INDEX('Resumo Operacional'!$A$1:$P$1103,53,MATCH('Detalhe Por UC'!$R43,'Resumo Operacional'!$A$1:$P$1,0))*$S43)</f>
        <v>277.48</v>
      </c>
      <c r="AR43" s="71">
        <f t="shared" si="13"/>
        <v>-154.48000000000002</v>
      </c>
      <c r="AS43" s="73">
        <f t="shared" si="14"/>
        <v>117.11000000000001</v>
      </c>
      <c r="AT43" s="74">
        <f t="shared" si="15"/>
        <v>117.11000000000001</v>
      </c>
      <c r="AU43" s="74">
        <f t="shared" si="16"/>
        <v>1.1161828308655923</v>
      </c>
      <c r="AV43" s="74">
        <f t="shared" si="17"/>
        <v>168.27</v>
      </c>
      <c r="AW43" s="74">
        <f t="shared" si="18"/>
        <v>0</v>
      </c>
      <c r="AX43" s="74">
        <f t="shared" si="19"/>
        <v>224.35999999999999</v>
      </c>
      <c r="AY43" s="74">
        <f t="shared" si="20"/>
        <v>168.27</v>
      </c>
      <c r="AZ43" s="49">
        <v>168.27</v>
      </c>
      <c r="BA43" s="49">
        <v>168.27</v>
      </c>
      <c r="BB43" s="49">
        <v>168.27</v>
      </c>
      <c r="BC43" s="73" t="str">
        <f t="shared" si="21"/>
        <v/>
      </c>
      <c r="BD43" s="73">
        <f t="shared" si="22"/>
        <v>341.47</v>
      </c>
      <c r="BE43" s="73">
        <f t="shared" si="23"/>
        <v>285.38</v>
      </c>
      <c r="BF43" s="77">
        <f t="shared" si="24"/>
        <v>56.09</v>
      </c>
      <c r="BG43" s="77">
        <f t="shared" si="25"/>
        <v>16.827000000000002</v>
      </c>
      <c r="BH43" s="77">
        <f t="shared" si="26"/>
        <v>224.36</v>
      </c>
      <c r="BI43" s="78">
        <f t="shared" si="27"/>
        <v>0.25</v>
      </c>
      <c r="BJ43" s="79">
        <f t="shared" si="28"/>
        <v>0.16426040354936011</v>
      </c>
      <c r="BK43" s="80">
        <f t="shared" si="29"/>
        <v>285.38</v>
      </c>
      <c r="BL43" s="80">
        <f t="shared" si="30"/>
        <v>56.090000000000032</v>
      </c>
      <c r="BM43" s="79">
        <f t="shared" si="31"/>
        <v>0.1642604035493602</v>
      </c>
      <c r="BN43" s="81">
        <f t="shared" si="32"/>
        <v>0.83716417910447771</v>
      </c>
      <c r="BO43" s="82">
        <f t="shared" si="33"/>
        <v>168.27</v>
      </c>
      <c r="BP43" s="81">
        <f t="shared" si="34"/>
        <v>0.83716417910447771</v>
      </c>
      <c r="BQ43" s="81">
        <f t="shared" si="35"/>
        <v>0.83720025371152218</v>
      </c>
      <c r="BR43" s="81">
        <f t="shared" si="36"/>
        <v>1.1162549800796813</v>
      </c>
      <c r="BS43" s="82">
        <f t="shared" si="37"/>
        <v>201</v>
      </c>
      <c r="BT43" s="82">
        <f t="shared" si="38"/>
        <v>224.36725099601594</v>
      </c>
      <c r="BU43" s="82">
        <f t="shared" si="39"/>
        <v>224.35999999999999</v>
      </c>
      <c r="BV43"/>
      <c r="BW43" s="82">
        <f>IFERROR(INDEX('Infos Clientes'!$T:$T,MATCH('Detalhe Por UC'!$C43,'Infos Clientes'!B:B,0)),"")</f>
        <v>215.58333333333334</v>
      </c>
      <c r="BX43" s="83">
        <f t="shared" si="40"/>
        <v>0</v>
      </c>
      <c r="BY43" s="84">
        <f t="shared" si="41"/>
        <v>0.24999192061677469</v>
      </c>
      <c r="BZ43" s="85">
        <f>IF(_xlfn.MINIFS('Detalhe Por UC'!R:R,'Detalhe Por UC'!C:C,C43,'Detalhe Por UC'!AD:AD,"&gt;"&amp;0)=0,"",_xlfn.MINIFS('Detalhe Por UC'!R:R,'Detalhe Por UC'!C:C,C43,'Detalhe Por UC'!AD:AD,"&gt;"&amp;0))</f>
        <v>45627</v>
      </c>
      <c r="CA43" s="114">
        <f ca="1">IF(OR(S43&gt;0,AD43&gt;0),IFERROR(
SUMIFS(INDIRECT("'Infos Clientes'!$W"&amp;INDEX('Infos Clientes'!$C:$C,MATCH(C43,'Infos Clientes'!$H:$H,0))&amp;":$CZ"&amp;INDEX('Infos Clientes'!$C:$C,MATCH(C43,'Infos Clientes'!$H:$H,0))),'Infos Clientes'!$W$2:$CZ$2,"&gt;"&amp;$R43-365,'Infos Clientes'!$W$2:$CZ$2,"&lt;="&amp;$R43)/
COUNTIFS(INDIRECT("'Infos Clientes'!$W"&amp;INDEX('Infos Clientes'!$C:$C,MATCH(C43,'Infos Clientes'!$H:$H,0))&amp;":$CZ"&amp;INDEX('Infos Clientes'!$C:$C,MATCH(C43,'Infos Clientes'!$H:$H,0))),"&gt;="&amp;0,'Infos Clientes'!$W$2:$CZ$2,"&gt;"&amp;$R43-365,'Infos Clientes'!$W$2:$CZ$2,"&lt;="&amp;$R43),""),"")</f>
        <v>215.58333333333334</v>
      </c>
      <c r="CB43" s="87">
        <f>VLOOKUP(C43,'Infos Clientes'!B:L,11,0)</f>
        <v>0</v>
      </c>
      <c r="CC43" s="88" t="str">
        <f t="shared" si="42"/>
        <v>A Unidade Consumidora 10/511753-6 economizou R$56,09 na fatura referente à jan/2025  consumindo 201 kWh em créditos de energia renovável conforme fatura de energia. A economia foi de 25% em relação ao que seria pago para a Energisa considerando os créditos consumidos. Atenção: Mantenha as contas da Energisa em dia para evitar cortes.</v>
      </c>
      <c r="CD43" s="40" t="s">
        <v>115</v>
      </c>
      <c r="CF43" s="115">
        <f t="shared" si="43"/>
        <v>-117.11000000000001</v>
      </c>
    </row>
    <row r="44" spans="1:84" s="104" customFormat="1" ht="16.2" hidden="1" customHeight="1" x14ac:dyDescent="0.3">
      <c r="A44" s="105" t="str">
        <f>INDEX('Infos Clientes'!$D:$D,MATCH('Detalhe Por UC'!C44,'Infos Clientes'!B:B,0))</f>
        <v>IGREJA DO EVANGELHO QUADRANGULAR</v>
      </c>
      <c r="B44" s="106" t="str">
        <f>INDEX('Infos Clientes'!$F:$F,MATCH('Detalhe Por UC'!C44,'Infos Clientes'!B:B,0))</f>
        <v>62.955.505/3216-30</v>
      </c>
      <c r="C44" s="31" t="s">
        <v>116</v>
      </c>
      <c r="D44" t="s">
        <v>351</v>
      </c>
      <c r="E44" s="1" t="s">
        <v>352</v>
      </c>
      <c r="F44" s="56" t="str">
        <f>INDEX('Infos Clientes'!$I:$I,MATCH('Detalhe Por UC'!C44,'Infos Clientes'!B:B,0))</f>
        <v>BT</v>
      </c>
      <c r="G44" s="56" t="str">
        <f>INDEX('Infos Clientes'!$J:$J,MATCH('Detalhe Por UC'!C44,'Infos Clientes'!B:B,0))</f>
        <v>trifasico</v>
      </c>
      <c r="H44" s="108" t="s">
        <v>24</v>
      </c>
      <c r="I44" s="58">
        <f>IFERROR(VLOOKUP(C44,'Infos Clientes'!B:E,4,),"")</f>
        <v>371</v>
      </c>
      <c r="J44" s="109">
        <v>0.25</v>
      </c>
      <c r="K44" s="59">
        <f>INDEX('Infos Clientes'!$M:$M,MATCH('Detalhe Por UC'!C44,'Infos Clientes'!B:B,0))</f>
        <v>0.25</v>
      </c>
      <c r="L44" s="110">
        <v>0</v>
      </c>
      <c r="M44" s="56">
        <f>INDEX('Infos Clientes'!$N:$N,MATCH('Detalhe Por UC'!C44,'Infos Clientes'!B:B,0))</f>
        <v>0</v>
      </c>
      <c r="N44" s="56">
        <f t="shared" si="7"/>
        <v>0</v>
      </c>
      <c r="O44" s="56">
        <f t="shared" si="8"/>
        <v>9</v>
      </c>
      <c r="P44" s="56">
        <f t="shared" si="9"/>
        <v>0</v>
      </c>
      <c r="Q44" s="61">
        <f>IFERROR(IFERROR(INDEX('Infos Clientes'!$A$2:$V$9884,MATCH($C44,'Infos Clientes'!$B$2:$B$9884,0),MATCH(Q$8,'Infos Clientes'!$A$2:$V$2,0)),"")
+IF(OR(INDEX('Infos Clientes'!$A$2:$V$9884,MATCH($C44,'Infos Clientes'!$B$2:$B$9884,0),MATCH("Tempo de Fidelidade (meses)",'Infos Clientes'!$A$2:$V$2,0))=0,R44&gt;=MAX(R:R)),0,
ROUND((MAX(R:R)-R44)/(365/12),0)),"")</f>
        <v>0</v>
      </c>
      <c r="R44" s="111">
        <v>45658</v>
      </c>
      <c r="S44" s="112">
        <v>0</v>
      </c>
      <c r="T44" s="113">
        <f>IF($H44="GIROSSOL II",AP44/INDEX('Resumo Operacional'!$A$1:$P$1103,17,MATCH('Detalhe Por UC'!$R44,'Resumo Operacional'!$A$1:$P$1,0)),
IF($H44="GIROSSOL II e III",AP44/INDEX('Resumo Operacional'!$A$1:$P$1103,17,MATCH('Detalhe Por UC'!$R44,'Resumo Operacional'!$A$1:$P$1,0)),
""))</f>
        <v>1.7731007640190283E-2</v>
      </c>
      <c r="U44" s="113" t="str">
        <f>IF($H44="GIROSSOL III",AP44/INDEX('Resumo Operacional'!$A$1:$P$1103,53,MATCH('Detalhe Por UC'!$R44,'Resumo Operacional'!$A$1:$P$1,0)),
IF($H44="GIROSSOL II e III",AP44/INDEX('Resumo Operacional'!$A$1:$P$1103,53,MATCH('Detalhe Por UC'!$R44,'Resumo Operacional'!$A$1:$P$1,0)),
""))</f>
        <v/>
      </c>
      <c r="V44" s="12"/>
      <c r="W44" s="12"/>
      <c r="X44" s="35">
        <v>1.116261343012704</v>
      </c>
      <c r="Y44" s="35">
        <v>0</v>
      </c>
      <c r="Z44" s="35">
        <v>1.1162601626016262</v>
      </c>
      <c r="AA44" s="35">
        <v>0</v>
      </c>
      <c r="AB44" s="35">
        <v>551</v>
      </c>
      <c r="AC44" s="35">
        <v>0</v>
      </c>
      <c r="AD44" s="35">
        <v>246</v>
      </c>
      <c r="AE44" s="35"/>
      <c r="AF44" s="35">
        <v>0</v>
      </c>
      <c r="AG44" s="35">
        <v>0</v>
      </c>
      <c r="AH44" s="35">
        <v>122.58</v>
      </c>
      <c r="AI44" s="35">
        <v>0</v>
      </c>
      <c r="AJ44" s="35">
        <v>0</v>
      </c>
      <c r="AK44" s="12"/>
      <c r="AL44" s="38"/>
      <c r="AM44" s="1"/>
      <c r="AN44" s="71">
        <f t="shared" si="10"/>
        <v>0</v>
      </c>
      <c r="AO44" s="71">
        <f t="shared" si="11"/>
        <v>0</v>
      </c>
      <c r="AP44" s="71">
        <f t="shared" si="12"/>
        <v>246</v>
      </c>
      <c r="AQ44" s="72">
        <f>IF(OR($H44="GIROSSOL II",$H44="GIROSSOL II e III"),INDEX('Resumo Operacional'!$A$1:$P$1103,MATCH("Energia Injetada prevista total Fatura da Usina (TUSD)",'Resumo Operacional'!$B$1:$B$1103,0),MATCH('Detalhe Por UC'!$R44,'Resumo Operacional'!$A$1:$P$1,0))*$S44,INDEX('Resumo Operacional'!$A$1:$P$1103,53,MATCH('Detalhe Por UC'!$R44,'Resumo Operacional'!$A$1:$P$1,0))*$S44)</f>
        <v>0</v>
      </c>
      <c r="AR44" s="71">
        <f t="shared" si="13"/>
        <v>246</v>
      </c>
      <c r="AS44" s="73">
        <f t="shared" si="14"/>
        <v>463.03999999999979</v>
      </c>
      <c r="AT44" s="74">
        <f t="shared" si="15"/>
        <v>463.03999999999979</v>
      </c>
      <c r="AU44" s="74">
        <f t="shared" si="16"/>
        <v>1.1162589821905484</v>
      </c>
      <c r="AV44" s="74">
        <f t="shared" si="17"/>
        <v>205.95000000000005</v>
      </c>
      <c r="AW44" s="74">
        <f t="shared" si="18"/>
        <v>0</v>
      </c>
      <c r="AX44" s="74">
        <f t="shared" si="19"/>
        <v>274.60000000000002</v>
      </c>
      <c r="AY44" s="74">
        <f t="shared" si="20"/>
        <v>205.95</v>
      </c>
      <c r="AZ44" s="49">
        <v>205.95</v>
      </c>
      <c r="BA44" s="49">
        <v>205.95</v>
      </c>
      <c r="BB44" s="49">
        <v>205.95</v>
      </c>
      <c r="BC44" s="73" t="str">
        <f t="shared" si="21"/>
        <v/>
      </c>
      <c r="BD44" s="73">
        <f t="shared" si="22"/>
        <v>737.63999999999987</v>
      </c>
      <c r="BE44" s="73">
        <f t="shared" si="23"/>
        <v>668.98999999999978</v>
      </c>
      <c r="BF44" s="77">
        <f t="shared" si="24"/>
        <v>68.650000000000006</v>
      </c>
      <c r="BG44" s="77">
        <f t="shared" si="25"/>
        <v>20.595000000000002</v>
      </c>
      <c r="BH44" s="77">
        <f t="shared" si="26"/>
        <v>274.60000000000002</v>
      </c>
      <c r="BI44" s="78">
        <f t="shared" si="27"/>
        <v>0.25</v>
      </c>
      <c r="BJ44" s="79">
        <f t="shared" si="28"/>
        <v>9.3067078791822591E-2</v>
      </c>
      <c r="BK44" s="80">
        <f t="shared" si="29"/>
        <v>668.98999999999978</v>
      </c>
      <c r="BL44" s="80">
        <f t="shared" si="30"/>
        <v>68.650000000000091</v>
      </c>
      <c r="BM44" s="79">
        <f t="shared" si="31"/>
        <v>9.3067078791822702E-2</v>
      </c>
      <c r="BN44" s="81">
        <f t="shared" si="32"/>
        <v>0.83719512195121948</v>
      </c>
      <c r="BO44" s="82">
        <f t="shared" si="33"/>
        <v>205.95</v>
      </c>
      <c r="BP44" s="81">
        <f t="shared" si="34"/>
        <v>0.83719512195121948</v>
      </c>
      <c r="BQ44" s="81">
        <f t="shared" si="35"/>
        <v>0.83719630236229725</v>
      </c>
      <c r="BR44" s="81">
        <f t="shared" si="36"/>
        <v>1.116261343012704</v>
      </c>
      <c r="BS44" s="82">
        <f t="shared" si="37"/>
        <v>246</v>
      </c>
      <c r="BT44" s="82">
        <f t="shared" si="38"/>
        <v>274.60029038112515</v>
      </c>
      <c r="BU44" s="82">
        <f t="shared" si="39"/>
        <v>274.60000000000002</v>
      </c>
      <c r="BV44"/>
      <c r="BW44" s="82">
        <f>IFERROR(INDEX('Infos Clientes'!$T:$T,MATCH('Detalhe Por UC'!$C44,'Infos Clientes'!B:B,0)),"")</f>
        <v>513.41666666666663</v>
      </c>
      <c r="BX44" s="83">
        <f t="shared" si="40"/>
        <v>0</v>
      </c>
      <c r="BY44" s="84">
        <f t="shared" si="41"/>
        <v>0.24999973563290431</v>
      </c>
      <c r="BZ44" s="85">
        <f>IF(_xlfn.MINIFS('Detalhe Por UC'!R:R,'Detalhe Por UC'!C:C,C44,'Detalhe Por UC'!AD:AD,"&gt;"&amp;0)=0,"",_xlfn.MINIFS('Detalhe Por UC'!R:R,'Detalhe Por UC'!C:C,C44,'Detalhe Por UC'!AD:AD,"&gt;"&amp;0))</f>
        <v>45627</v>
      </c>
      <c r="CA44" s="114">
        <f ca="1">IF(OR(S44&gt;0,AD44&gt;0),IFERROR(
SUMIFS(INDIRECT("'Infos Clientes'!$W"&amp;INDEX('Infos Clientes'!$C:$C,MATCH(C44,'Infos Clientes'!$H:$H,0))&amp;":$CZ"&amp;INDEX('Infos Clientes'!$C:$C,MATCH(C44,'Infos Clientes'!$H:$H,0))),'Infos Clientes'!$W$2:$CZ$2,"&gt;"&amp;$R44-365,'Infos Clientes'!$W$2:$CZ$2,"&lt;="&amp;$R44)/
COUNTIFS(INDIRECT("'Infos Clientes'!$W"&amp;INDEX('Infos Clientes'!$C:$C,MATCH(C44,'Infos Clientes'!$H:$H,0))&amp;":$CZ"&amp;INDEX('Infos Clientes'!$C:$C,MATCH(C44,'Infos Clientes'!$H:$H,0))),"&gt;="&amp;0,'Infos Clientes'!$W$2:$CZ$2,"&gt;"&amp;$R44-365,'Infos Clientes'!$W$2:$CZ$2,"&lt;="&amp;$R44),""),"")</f>
        <v>513.41666666666663</v>
      </c>
      <c r="CB44" s="87">
        <f>VLOOKUP(C44,'Infos Clientes'!B:L,11,0)</f>
        <v>0</v>
      </c>
      <c r="CC44" s="88" t="str">
        <f t="shared" si="42"/>
        <v>A Unidade Consumidora 10/513413-5 economizou R$68,65 na fatura referente à jan/2025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44" s="40" t="s">
        <v>118</v>
      </c>
      <c r="CF44" s="115">
        <f t="shared" si="43"/>
        <v>-463.03999999999979</v>
      </c>
    </row>
    <row r="45" spans="1:84" s="104" customFormat="1" ht="16.2" hidden="1" customHeight="1" x14ac:dyDescent="0.3">
      <c r="A45" s="105" t="str">
        <f>INDEX('Infos Clientes'!$D:$D,MATCH('Detalhe Por UC'!C45,'Infos Clientes'!B:B,0))</f>
        <v>IGREJA DO EVANGELHO QUADRANGULAR</v>
      </c>
      <c r="B45" s="106" t="str">
        <f>INDEX('Infos Clientes'!$F:$F,MATCH('Detalhe Por UC'!C45,'Infos Clientes'!B:B,0))</f>
        <v>62.955.505/3932-07</v>
      </c>
      <c r="C45" s="31" t="s">
        <v>119</v>
      </c>
      <c r="D45" t="s">
        <v>351</v>
      </c>
      <c r="E45" s="1" t="s">
        <v>352</v>
      </c>
      <c r="F45" s="56" t="str">
        <f>INDEX('Infos Clientes'!$I:$I,MATCH('Detalhe Por UC'!C45,'Infos Clientes'!B:B,0))</f>
        <v>BT</v>
      </c>
      <c r="G45" s="56" t="str">
        <f>INDEX('Infos Clientes'!$J:$J,MATCH('Detalhe Por UC'!C45,'Infos Clientes'!B:B,0))</f>
        <v>trifasico</v>
      </c>
      <c r="H45" s="108" t="s">
        <v>24</v>
      </c>
      <c r="I45" s="58">
        <f>IFERROR(VLOOKUP(C45,'Infos Clientes'!B:E,4,),"")</f>
        <v>302</v>
      </c>
      <c r="J45" s="109">
        <v>0.25</v>
      </c>
      <c r="K45" s="59">
        <f>INDEX('Infos Clientes'!$M:$M,MATCH('Detalhe Por UC'!C45,'Infos Clientes'!B:B,0))</f>
        <v>0.25</v>
      </c>
      <c r="L45" s="110">
        <v>0</v>
      </c>
      <c r="M45" s="56">
        <f>INDEX('Infos Clientes'!$N:$N,MATCH('Detalhe Por UC'!C45,'Infos Clientes'!B:B,0))</f>
        <v>0</v>
      </c>
      <c r="N45" s="56">
        <f t="shared" si="7"/>
        <v>0</v>
      </c>
      <c r="O45" s="56">
        <f t="shared" si="8"/>
        <v>12</v>
      </c>
      <c r="P45" s="56">
        <f t="shared" si="9"/>
        <v>0</v>
      </c>
      <c r="Q45" s="61">
        <f>IFERROR(IFERROR(INDEX('Infos Clientes'!$A$2:$V$9884,MATCH($C45,'Infos Clientes'!$B$2:$B$9884,0),MATCH(Q$8,'Infos Clientes'!$A$2:$V$2,0)),"")
+IF(OR(INDEX('Infos Clientes'!$A$2:$V$9884,MATCH($C45,'Infos Clientes'!$B$2:$B$9884,0),MATCH("Tempo de Fidelidade (meses)",'Infos Clientes'!$A$2:$V$2,0))=0,R45&gt;=MAX(R:R)),0,
ROUND((MAX(R:R)-R45)/(365/12),0)),"")</f>
        <v>0</v>
      </c>
      <c r="R45" s="111">
        <v>45658</v>
      </c>
      <c r="S45" s="112">
        <v>0.1</v>
      </c>
      <c r="T45" s="113">
        <f>IF($H45="GIROSSOL II",AP45/INDEX('Resumo Operacional'!$A$1:$P$1103,17,MATCH('Detalhe Por UC'!$R45,'Resumo Operacional'!$A$1:$P$1,0)),
IF($H45="GIROSSOL II e III",AP45/INDEX('Resumo Operacional'!$A$1:$P$1103,17,MATCH('Detalhe Por UC'!$R45,'Resumo Operacional'!$A$1:$P$1,0)),
""))</f>
        <v>8.8871270001441544E-2</v>
      </c>
      <c r="U45" s="113" t="str">
        <f>IF($H45="GIROSSOL III",AP45/INDEX('Resumo Operacional'!$A$1:$P$1103,53,MATCH('Detalhe Por UC'!$R45,'Resumo Operacional'!$A$1:$P$1,0)),
IF($H45="GIROSSOL II e III",AP45/INDEX('Resumo Operacional'!$A$1:$P$1103,53,MATCH('Detalhe Por UC'!$R45,'Resumo Operacional'!$A$1:$P$1,0)),
""))</f>
        <v/>
      </c>
      <c r="V45" s="12"/>
      <c r="W45" s="12"/>
      <c r="X45" s="35">
        <v>1.1162591420150638</v>
      </c>
      <c r="Y45" s="35">
        <v>0</v>
      </c>
      <c r="Z45" s="35">
        <v>1.1162611516626115</v>
      </c>
      <c r="AA45" s="35">
        <v>0</v>
      </c>
      <c r="AB45" s="35">
        <v>1832.2</v>
      </c>
      <c r="AC45" s="35">
        <v>0</v>
      </c>
      <c r="AD45" s="35">
        <v>1233</v>
      </c>
      <c r="AE45" s="35"/>
      <c r="AF45" s="35">
        <v>0</v>
      </c>
      <c r="AG45" s="35">
        <v>0</v>
      </c>
      <c r="AH45" s="35">
        <v>269.87</v>
      </c>
      <c r="AI45" s="35">
        <v>0</v>
      </c>
      <c r="AJ45" s="35">
        <v>0</v>
      </c>
      <c r="AK45" s="12"/>
      <c r="AL45" s="38"/>
      <c r="AM45" s="1"/>
      <c r="AN45" s="71">
        <f t="shared" si="10"/>
        <v>0</v>
      </c>
      <c r="AO45" s="71">
        <f t="shared" si="11"/>
        <v>0</v>
      </c>
      <c r="AP45" s="71">
        <f t="shared" si="12"/>
        <v>1233</v>
      </c>
      <c r="AQ45" s="72">
        <f>IF(OR($H45="GIROSSOL II",$H45="GIROSSOL II e III"),INDEX('Resumo Operacional'!$A$1:$P$1103,MATCH("Energia Injetada prevista total Fatura da Usina (TUSD)",'Resumo Operacional'!$B$1:$B$1103,0),MATCH('Detalhe Por UC'!$R45,'Resumo Operacional'!$A$1:$P$1,0))*$S45,INDEX('Resumo Operacional'!$A$1:$P$1103,53,MATCH('Detalhe Por UC'!$R45,'Resumo Operacional'!$A$1:$P$1,0))*$S45)</f>
        <v>1387.4</v>
      </c>
      <c r="AR45" s="71">
        <f t="shared" si="13"/>
        <v>-154.40000000000009</v>
      </c>
      <c r="AS45" s="73">
        <f t="shared" si="14"/>
        <v>938.73000000000013</v>
      </c>
      <c r="AT45" s="74">
        <f t="shared" si="15"/>
        <v>938.73000000000013</v>
      </c>
      <c r="AU45" s="74">
        <f t="shared" si="16"/>
        <v>1.1162631613101592</v>
      </c>
      <c r="AV45" s="74">
        <f t="shared" si="17"/>
        <v>1032.2625</v>
      </c>
      <c r="AW45" s="74">
        <f t="shared" si="18"/>
        <v>0</v>
      </c>
      <c r="AX45" s="74">
        <f t="shared" si="19"/>
        <v>1376.35</v>
      </c>
      <c r="AY45" s="74">
        <f t="shared" si="20"/>
        <v>1032.26</v>
      </c>
      <c r="AZ45" s="49">
        <v>1032.26</v>
      </c>
      <c r="BA45" s="49">
        <v>1032.26</v>
      </c>
      <c r="BB45" s="49">
        <v>1032.26</v>
      </c>
      <c r="BC45" s="73" t="str">
        <f t="shared" si="21"/>
        <v/>
      </c>
      <c r="BD45" s="73">
        <f t="shared" si="22"/>
        <v>2315.08</v>
      </c>
      <c r="BE45" s="73">
        <f t="shared" si="23"/>
        <v>1970.9925000000003</v>
      </c>
      <c r="BF45" s="77">
        <f t="shared" si="24"/>
        <v>344.09</v>
      </c>
      <c r="BG45" s="77">
        <f t="shared" si="25"/>
        <v>103.22699999999999</v>
      </c>
      <c r="BH45" s="77">
        <f t="shared" si="26"/>
        <v>1376.3500000000001</v>
      </c>
      <c r="BI45" s="78">
        <f t="shared" si="27"/>
        <v>0.25</v>
      </c>
      <c r="BJ45" s="79">
        <f t="shared" si="28"/>
        <v>0.14862985296404443</v>
      </c>
      <c r="BK45" s="80">
        <f t="shared" si="29"/>
        <v>1970.9900000000002</v>
      </c>
      <c r="BL45" s="80">
        <f t="shared" si="30"/>
        <v>344.08999999999969</v>
      </c>
      <c r="BM45" s="79">
        <f t="shared" si="31"/>
        <v>0.14862985296404432</v>
      </c>
      <c r="BN45" s="81">
        <f t="shared" si="32"/>
        <v>0.83719383617193832</v>
      </c>
      <c r="BO45" s="82">
        <f t="shared" si="33"/>
        <v>1032.26</v>
      </c>
      <c r="BP45" s="81">
        <f t="shared" si="34"/>
        <v>0.83719383617193832</v>
      </c>
      <c r="BQ45" s="81">
        <f t="shared" si="35"/>
        <v>0.83719182652439061</v>
      </c>
      <c r="BR45" s="81">
        <f t="shared" si="36"/>
        <v>1.1162591420150638</v>
      </c>
      <c r="BS45" s="82">
        <f t="shared" si="37"/>
        <v>1233</v>
      </c>
      <c r="BT45" s="82">
        <f t="shared" si="38"/>
        <v>1376.3475221045737</v>
      </c>
      <c r="BU45" s="82">
        <f t="shared" si="39"/>
        <v>1376.35</v>
      </c>
      <c r="BV45"/>
      <c r="BW45" s="82">
        <f>IFERROR(INDEX('Infos Clientes'!$T:$T,MATCH('Detalhe Por UC'!$C45,'Infos Clientes'!B:B,0)),"")</f>
        <v>1810.6008333333332</v>
      </c>
      <c r="BX45" s="83">
        <f t="shared" si="40"/>
        <v>0</v>
      </c>
      <c r="BY45" s="84">
        <f t="shared" si="41"/>
        <v>0.25000226648706564</v>
      </c>
      <c r="BZ45" s="85">
        <f>IF(_xlfn.MINIFS('Detalhe Por UC'!R:R,'Detalhe Por UC'!C:C,C45,'Detalhe Por UC'!AD:AD,"&gt;"&amp;0)=0,"",_xlfn.MINIFS('Detalhe Por UC'!R:R,'Detalhe Por UC'!C:C,C45,'Detalhe Por UC'!AD:AD,"&gt;"&amp;0))</f>
        <v>45627</v>
      </c>
      <c r="CA45" s="114">
        <f ca="1">IF(OR(S45&gt;0,AD45&gt;0),IFERROR(
SUMIFS(INDIRECT("'Infos Clientes'!$W"&amp;INDEX('Infos Clientes'!$C:$C,MATCH(C45,'Infos Clientes'!$H:$H,0))&amp;":$CZ"&amp;INDEX('Infos Clientes'!$C:$C,MATCH(C45,'Infos Clientes'!$H:$H,0))),'Infos Clientes'!$W$2:$CZ$2,"&gt;"&amp;$R45-365,'Infos Clientes'!$W$2:$CZ$2,"&lt;="&amp;$R45)/
COUNTIFS(INDIRECT("'Infos Clientes'!$W"&amp;INDEX('Infos Clientes'!$C:$C,MATCH(C45,'Infos Clientes'!$H:$H,0))&amp;":$CZ"&amp;INDEX('Infos Clientes'!$C:$C,MATCH(C45,'Infos Clientes'!$H:$H,0))),"&gt;="&amp;0,'Infos Clientes'!$W$2:$CZ$2,"&gt;"&amp;$R45-365,'Infos Clientes'!$W$2:$CZ$2,"&lt;="&amp;$R45),""),"")</f>
        <v>1810.6008333333332</v>
      </c>
      <c r="CB45" s="87">
        <f>VLOOKUP(C45,'Infos Clientes'!B:L,11,0)</f>
        <v>0</v>
      </c>
      <c r="CC45" s="88" t="str">
        <f t="shared" si="42"/>
        <v>A Unidade Consumidora 10/5202-7 economizou R$344,09 na fatura referente à jan/2025  consumindo 1233 kWh em créditos de energia renovável conforme fatura de energia. A economia foi de 25% em relação ao que seria pago para a Energisa considerando os créditos consumidos. Atenção: Mantenha as contas da Energisa em dia para evitar cortes.</v>
      </c>
      <c r="CD45" s="40" t="s">
        <v>107</v>
      </c>
      <c r="CF45" s="115">
        <f t="shared" si="43"/>
        <v>-938.73000000000013</v>
      </c>
    </row>
    <row r="46" spans="1:84" s="104" customFormat="1" ht="16.2" hidden="1" customHeight="1" x14ac:dyDescent="0.3">
      <c r="A46" s="105" t="str">
        <f>INDEX('Infos Clientes'!$D:$D,MATCH('Detalhe Por UC'!C46,'Infos Clientes'!B:B,0))</f>
        <v>IGREJA DO EVANGELHO QUADRANGULAR</v>
      </c>
      <c r="B46" s="106" t="str">
        <f>INDEX('Infos Clientes'!$F:$F,MATCH('Detalhe Por UC'!C46,'Infos Clientes'!B:B,0))</f>
        <v>62.955.505/1935-34</v>
      </c>
      <c r="C46" s="31" t="s">
        <v>120</v>
      </c>
      <c r="D46" t="s">
        <v>351</v>
      </c>
      <c r="E46" s="1" t="s">
        <v>352</v>
      </c>
      <c r="F46" s="56" t="str">
        <f>INDEX('Infos Clientes'!$I:$I,MATCH('Detalhe Por UC'!C46,'Infos Clientes'!B:B,0))</f>
        <v>BT</v>
      </c>
      <c r="G46" s="56" t="str">
        <f>INDEX('Infos Clientes'!$J:$J,MATCH('Detalhe Por UC'!C46,'Infos Clientes'!B:B,0))</f>
        <v>trifasico</v>
      </c>
      <c r="H46" s="108" t="s">
        <v>24</v>
      </c>
      <c r="I46" s="58">
        <f>IFERROR(VLOOKUP(C46,'Infos Clientes'!B:E,4,),"")</f>
        <v>994</v>
      </c>
      <c r="J46" s="109">
        <v>0.25</v>
      </c>
      <c r="K46" s="59">
        <f>INDEX('Infos Clientes'!$M:$M,MATCH('Detalhe Por UC'!C46,'Infos Clientes'!B:B,0))</f>
        <v>0.25</v>
      </c>
      <c r="L46" s="110">
        <v>0</v>
      </c>
      <c r="M46" s="56">
        <f>INDEX('Infos Clientes'!$N:$N,MATCH('Detalhe Por UC'!C46,'Infos Clientes'!B:B,0))</f>
        <v>0</v>
      </c>
      <c r="N46" s="56">
        <f t="shared" si="7"/>
        <v>0</v>
      </c>
      <c r="O46" s="56">
        <f t="shared" si="8"/>
        <v>12</v>
      </c>
      <c r="P46" s="56">
        <f t="shared" si="9"/>
        <v>0</v>
      </c>
      <c r="Q46" s="61">
        <f>IFERROR(IFERROR(INDEX('Infos Clientes'!$A$2:$V$9884,MATCH($C46,'Infos Clientes'!$B$2:$B$9884,0),MATCH(Q$8,'Infos Clientes'!$A$2:$V$2,0)),"")
+IF(OR(INDEX('Infos Clientes'!$A$2:$V$9884,MATCH($C46,'Infos Clientes'!$B$2:$B$9884,0),MATCH("Tempo de Fidelidade (meses)",'Infos Clientes'!$A$2:$V$2,0))=0,R46&gt;=MAX(R:R)),0,
ROUND((MAX(R:R)-R46)/(365/12),0)),"")</f>
        <v>0</v>
      </c>
      <c r="R46" s="111">
        <v>45658</v>
      </c>
      <c r="S46" s="112">
        <v>0.01</v>
      </c>
      <c r="T46" s="113">
        <f>IF($H46="GIROSSOL II",AP46/INDEX('Resumo Operacional'!$A$1:$P$1103,17,MATCH('Detalhe Por UC'!$R46,'Resumo Operacional'!$A$1:$P$1,0)),
IF($H46="GIROSSOL II e III",AP46/INDEX('Resumo Operacional'!$A$1:$P$1103,17,MATCH('Detalhe Por UC'!$R46,'Resumo Operacional'!$A$1:$P$1,0)),
""))</f>
        <v>1.7731007640190283E-2</v>
      </c>
      <c r="U46" s="113" t="str">
        <f>IF($H46="GIROSSOL III",AP46/INDEX('Resumo Operacional'!$A$1:$P$1103,53,MATCH('Detalhe Por UC'!$R46,'Resumo Operacional'!$A$1:$P$1,0)),
IF($H46="GIROSSOL II e III",AP46/INDEX('Resumo Operacional'!$A$1:$P$1103,53,MATCH('Detalhe Por UC'!$R46,'Resumo Operacional'!$A$1:$P$1,0)),
""))</f>
        <v/>
      </c>
      <c r="V46" s="12"/>
      <c r="W46" s="12"/>
      <c r="X46" s="35">
        <v>1.1162532981530342</v>
      </c>
      <c r="Y46" s="35">
        <v>0</v>
      </c>
      <c r="Z46" s="35">
        <v>1.1162007168458781</v>
      </c>
      <c r="AA46" s="35">
        <v>0</v>
      </c>
      <c r="AB46" s="35">
        <v>379</v>
      </c>
      <c r="AC46" s="35">
        <v>0</v>
      </c>
      <c r="AD46" s="35">
        <v>279</v>
      </c>
      <c r="AE46" s="35"/>
      <c r="AF46" s="35">
        <v>136</v>
      </c>
      <c r="AG46" s="35">
        <v>0</v>
      </c>
      <c r="AH46" s="35">
        <v>71.34</v>
      </c>
      <c r="AI46" s="35">
        <v>0</v>
      </c>
      <c r="AJ46" s="35">
        <v>0</v>
      </c>
      <c r="AK46" s="12"/>
      <c r="AL46" s="38"/>
      <c r="AM46" s="1"/>
      <c r="AN46" s="71">
        <f t="shared" si="10"/>
        <v>-33</v>
      </c>
      <c r="AO46" s="71">
        <f t="shared" si="11"/>
        <v>0</v>
      </c>
      <c r="AP46" s="71">
        <f t="shared" si="12"/>
        <v>246</v>
      </c>
      <c r="AQ46" s="72">
        <f>IF(OR($H46="GIROSSOL II",$H46="GIROSSOL II e III"),INDEX('Resumo Operacional'!$A$1:$P$1103,MATCH("Energia Injetada prevista total Fatura da Usina (TUSD)",'Resumo Operacional'!$B$1:$B$1103,0),MATCH('Detalhe Por UC'!$R46,'Resumo Operacional'!$A$1:$P$1,0))*$S46,INDEX('Resumo Operacional'!$A$1:$P$1103,53,MATCH('Detalhe Por UC'!$R46,'Resumo Operacional'!$A$1:$P$1,0))*$S46)</f>
        <v>138.74</v>
      </c>
      <c r="AR46" s="71">
        <f t="shared" si="13"/>
        <v>107.25999999999999</v>
      </c>
      <c r="AS46" s="73">
        <f t="shared" si="14"/>
        <v>182.98</v>
      </c>
      <c r="AT46" s="74">
        <f t="shared" si="15"/>
        <v>182.98</v>
      </c>
      <c r="AU46" s="74">
        <f t="shared" si="16"/>
        <v>1.1161481355387219</v>
      </c>
      <c r="AV46" s="74">
        <f t="shared" si="17"/>
        <v>233.565</v>
      </c>
      <c r="AW46" s="74">
        <f t="shared" si="18"/>
        <v>0</v>
      </c>
      <c r="AX46" s="74">
        <f t="shared" si="19"/>
        <v>311.41999999999996</v>
      </c>
      <c r="AY46" s="74">
        <f t="shared" si="20"/>
        <v>233.57</v>
      </c>
      <c r="AZ46" s="49">
        <v>233.57</v>
      </c>
      <c r="BA46" s="49">
        <v>233.57</v>
      </c>
      <c r="BB46" s="49">
        <v>311.42</v>
      </c>
      <c r="BC46" s="73">
        <f t="shared" si="21"/>
        <v>77.850000000000023</v>
      </c>
      <c r="BD46" s="73">
        <f t="shared" si="22"/>
        <v>494.4</v>
      </c>
      <c r="BE46" s="73">
        <f t="shared" si="23"/>
        <v>416.54499999999996</v>
      </c>
      <c r="BF46" s="77">
        <f t="shared" si="24"/>
        <v>77.86</v>
      </c>
      <c r="BG46" s="77">
        <f t="shared" si="25"/>
        <v>23.358000000000001</v>
      </c>
      <c r="BH46" s="77">
        <f t="shared" si="26"/>
        <v>311.41999999999996</v>
      </c>
      <c r="BI46" s="78">
        <f t="shared" si="27"/>
        <v>0.25</v>
      </c>
      <c r="BJ46" s="79">
        <f t="shared" si="28"/>
        <v>0.15748381877022655</v>
      </c>
      <c r="BK46" s="80">
        <f t="shared" si="29"/>
        <v>416.54999999999995</v>
      </c>
      <c r="BL46" s="80">
        <f t="shared" si="30"/>
        <v>77.850000000000023</v>
      </c>
      <c r="BM46" s="79">
        <f t="shared" si="31"/>
        <v>0.15746359223300976</v>
      </c>
      <c r="BN46" s="81">
        <f t="shared" si="32"/>
        <v>0.83716845878136203</v>
      </c>
      <c r="BO46" s="82">
        <f t="shared" si="33"/>
        <v>233.57000000000002</v>
      </c>
      <c r="BP46" s="81">
        <f t="shared" si="34"/>
        <v>0.83716845878136203</v>
      </c>
      <c r="BQ46" s="81">
        <f t="shared" si="35"/>
        <v>0.83722104008851816</v>
      </c>
      <c r="BR46" s="81">
        <f t="shared" si="36"/>
        <v>1.1162532981530342</v>
      </c>
      <c r="BS46" s="82">
        <f t="shared" si="37"/>
        <v>279</v>
      </c>
      <c r="BT46" s="82">
        <f t="shared" si="38"/>
        <v>311.43467018469653</v>
      </c>
      <c r="BU46" s="82">
        <f t="shared" si="39"/>
        <v>311.41999999999996</v>
      </c>
      <c r="BV46"/>
      <c r="BW46" s="82">
        <f>IFERROR(INDEX('Infos Clientes'!$T:$T,MATCH('Detalhe Por UC'!$C46,'Infos Clientes'!B:B,0)),"")</f>
        <v>350.91666666666669</v>
      </c>
      <c r="BX46" s="83">
        <f t="shared" si="40"/>
        <v>0</v>
      </c>
      <c r="BY46" s="84">
        <f t="shared" si="41"/>
        <v>0.24997216897473548</v>
      </c>
      <c r="BZ46" s="85">
        <f>IF(_xlfn.MINIFS('Detalhe Por UC'!R:R,'Detalhe Por UC'!C:C,C46,'Detalhe Por UC'!AD:AD,"&gt;"&amp;0)=0,"",_xlfn.MINIFS('Detalhe Por UC'!R:R,'Detalhe Por UC'!C:C,C46,'Detalhe Por UC'!AD:AD,"&gt;"&amp;0))</f>
        <v>45627</v>
      </c>
      <c r="CA46" s="114">
        <f ca="1">IF(OR(S46&gt;0,AD46&gt;0),IFERROR(
SUMIFS(INDIRECT("'Infos Clientes'!$W"&amp;INDEX('Infos Clientes'!$C:$C,MATCH(C46,'Infos Clientes'!$H:$H,0))&amp;":$CZ"&amp;INDEX('Infos Clientes'!$C:$C,MATCH(C46,'Infos Clientes'!$H:$H,0))),'Infos Clientes'!$W$2:$CZ$2,"&gt;"&amp;$R46-365,'Infos Clientes'!$W$2:$CZ$2,"&lt;="&amp;$R46)/
COUNTIFS(INDIRECT("'Infos Clientes'!$W"&amp;INDEX('Infos Clientes'!$C:$C,MATCH(C46,'Infos Clientes'!$H:$H,0))&amp;":$CZ"&amp;INDEX('Infos Clientes'!$C:$C,MATCH(C46,'Infos Clientes'!$H:$H,0))),"&gt;="&amp;0,'Infos Clientes'!$W$2:$CZ$2,"&gt;"&amp;$R46-365,'Infos Clientes'!$W$2:$CZ$2,"&lt;="&amp;$R46),""),"")</f>
        <v>350.91666666666669</v>
      </c>
      <c r="CB46" s="87">
        <f>VLOOKUP(C46,'Infos Clientes'!B:L,11,0)</f>
        <v>0</v>
      </c>
      <c r="CC46" s="88" t="str">
        <f t="shared" si="42"/>
        <v>A Unidade Consumidora 10/532081-7 economizou R$77,86 na fatura referente à jan/2025  consumindo 279 kWh em créditos de energia renovável conforme fatura de energia. A economia foi de 25% em relação ao que seria pago para a Energisa considerando os créditos consumidos. Atenção: Mantenha as contas da Energisa em dia para evitar cortes.</v>
      </c>
      <c r="CD46" s="40" t="s">
        <v>122</v>
      </c>
      <c r="CF46" s="115">
        <f t="shared" si="43"/>
        <v>-182.98</v>
      </c>
    </row>
    <row r="47" spans="1:84" s="104" customFormat="1" ht="16.2" hidden="1" customHeight="1" x14ac:dyDescent="0.3">
      <c r="A47" s="105" t="str">
        <f>INDEX('Infos Clientes'!$D:$D,MATCH('Detalhe Por UC'!C47,'Infos Clientes'!B:B,0))</f>
        <v>IGREJA DO EVANGELHO QUADRANGULAR</v>
      </c>
      <c r="B47" s="106" t="str">
        <f>INDEX('Infos Clientes'!$F:$F,MATCH('Detalhe Por UC'!C47,'Infos Clientes'!B:B,0))</f>
        <v>62.955.505/3593-60</v>
      </c>
      <c r="C47" s="31" t="s">
        <v>123</v>
      </c>
      <c r="D47" t="s">
        <v>351</v>
      </c>
      <c r="E47" s="1" t="s">
        <v>352</v>
      </c>
      <c r="F47" s="56" t="str">
        <f>INDEX('Infos Clientes'!$I:$I,MATCH('Detalhe Por UC'!C47,'Infos Clientes'!B:B,0))</f>
        <v>BT</v>
      </c>
      <c r="G47" s="56" t="str">
        <f>INDEX('Infos Clientes'!$J:$J,MATCH('Detalhe Por UC'!C47,'Infos Clientes'!B:B,0))</f>
        <v>trifasico</v>
      </c>
      <c r="H47" s="108" t="s">
        <v>353</v>
      </c>
      <c r="I47" s="58">
        <f>IFERROR(VLOOKUP(C47,'Infos Clientes'!B:E,4,),"")</f>
        <v>351</v>
      </c>
      <c r="J47" s="109">
        <v>0.25</v>
      </c>
      <c r="K47" s="59">
        <f>INDEX('Infos Clientes'!$M:$M,MATCH('Detalhe Por UC'!C47,'Infos Clientes'!B:B,0))</f>
        <v>0.25</v>
      </c>
      <c r="L47" s="110">
        <v>0</v>
      </c>
      <c r="M47" s="56">
        <f>INDEX('Infos Clientes'!$N:$N,MATCH('Detalhe Por UC'!C47,'Infos Clientes'!B:B,0))</f>
        <v>0</v>
      </c>
      <c r="N47" s="56">
        <f t="shared" si="7"/>
        <v>0</v>
      </c>
      <c r="O47" s="56">
        <f t="shared" si="8"/>
        <v>12</v>
      </c>
      <c r="P47" s="56">
        <f t="shared" si="9"/>
        <v>0</v>
      </c>
      <c r="Q47" s="61">
        <f>IFERROR(IFERROR(INDEX('Infos Clientes'!$A$2:$V$9884,MATCH($C47,'Infos Clientes'!$B$2:$B$9884,0),MATCH(Q$8,'Infos Clientes'!$A$2:$V$2,0)),"")
+IF(OR(INDEX('Infos Clientes'!$A$2:$V$9884,MATCH($C47,'Infos Clientes'!$B$2:$B$9884,0),MATCH("Tempo de Fidelidade (meses)",'Infos Clientes'!$A$2:$V$2,0))=0,R47&gt;=MAX(R:R)),0,
ROUND((MAX(R:R)-R47)/(365/12),0)),"")</f>
        <v>0</v>
      </c>
      <c r="R47" s="111">
        <v>45658</v>
      </c>
      <c r="S47" s="112">
        <v>0.04</v>
      </c>
      <c r="T47" s="113">
        <f>IF($H47="GIROSSOL II",AP47/INDEX('Resumo Operacional'!$A$1:$P$1103,17,MATCH('Detalhe Por UC'!$R47,'Resumo Operacional'!$A$1:$P$1,0)),
IF($H47="GIROSSOL II e III",AP47/INDEX('Resumo Operacional'!$A$1:$P$1103,17,MATCH('Detalhe Por UC'!$R47,'Resumo Operacional'!$A$1:$P$1,0)),
""))</f>
        <v>6.7464321752919124E-2</v>
      </c>
      <c r="U47" s="113">
        <f>IF($H47="GIROSSOL III",AP47/INDEX('Resumo Operacional'!$A$1:$P$1103,53,MATCH('Detalhe Por UC'!$R47,'Resumo Operacional'!$A$1:$P$1,0)),
IF($H47="GIROSSOL II e III",AP47/INDEX('Resumo Operacional'!$A$1:$P$1103,53,MATCH('Detalhe Por UC'!$R47,'Resumo Operacional'!$A$1:$P$1,0)),
""))</f>
        <v>5.6737588652482268E-2</v>
      </c>
      <c r="V47" s="12"/>
      <c r="W47" s="12"/>
      <c r="X47" s="35">
        <v>1.1162528735632185</v>
      </c>
      <c r="Y47" s="35">
        <v>0</v>
      </c>
      <c r="Z47" s="35">
        <v>1.0219200000000002</v>
      </c>
      <c r="AA47" s="35">
        <v>0</v>
      </c>
      <c r="AB47" s="35">
        <v>435</v>
      </c>
      <c r="AC47" s="35">
        <v>0</v>
      </c>
      <c r="AD47" s="35">
        <v>375</v>
      </c>
      <c r="AE47" s="35"/>
      <c r="AF47" s="35">
        <v>561</v>
      </c>
      <c r="AG47" s="35">
        <v>0</v>
      </c>
      <c r="AH47" s="35">
        <v>103.06</v>
      </c>
      <c r="AI47" s="35">
        <v>0</v>
      </c>
      <c r="AJ47" s="35">
        <v>0</v>
      </c>
      <c r="AK47" s="12"/>
      <c r="AL47" s="38"/>
      <c r="AM47" s="1"/>
      <c r="AN47" s="71">
        <f t="shared" si="10"/>
        <v>561</v>
      </c>
      <c r="AO47" s="71">
        <f t="shared" si="11"/>
        <v>0</v>
      </c>
      <c r="AP47" s="71">
        <f t="shared" si="12"/>
        <v>936</v>
      </c>
      <c r="AQ47" s="72">
        <f>IF(OR($H47="GIROSSOL II",$H47="GIROSSOL II e III"),INDEX('Resumo Operacional'!$A$1:$P$1103,MATCH("Energia Injetada prevista total Fatura da Usina (TUSD)",'Resumo Operacional'!$B$1:$B$1103,0),MATCH('Detalhe Por UC'!$R47,'Resumo Operacional'!$A$1:$P$1,0))*$S47,INDEX('Resumo Operacional'!$A$1:$P$1103,53,MATCH('Detalhe Por UC'!$R47,'Resumo Operacional'!$A$1:$P$1,0))*$S47)</f>
        <v>554.96</v>
      </c>
      <c r="AR47" s="71">
        <f t="shared" si="13"/>
        <v>381.03999999999996</v>
      </c>
      <c r="AS47" s="73">
        <f t="shared" si="14"/>
        <v>205.40999999999997</v>
      </c>
      <c r="AT47" s="74">
        <f t="shared" si="15"/>
        <v>205.40999999999997</v>
      </c>
      <c r="AU47" s="74">
        <f t="shared" si="16"/>
        <v>0.92758712643678187</v>
      </c>
      <c r="AV47" s="74">
        <f t="shared" si="17"/>
        <v>287.41500000000002</v>
      </c>
      <c r="AW47" s="74">
        <f t="shared" si="18"/>
        <v>0</v>
      </c>
      <c r="AX47" s="74">
        <f t="shared" si="19"/>
        <v>383.22000000000008</v>
      </c>
      <c r="AY47" s="74">
        <f t="shared" si="20"/>
        <v>287.42</v>
      </c>
      <c r="AZ47" s="49">
        <v>287.42</v>
      </c>
      <c r="BA47" s="49">
        <v>287.42</v>
      </c>
      <c r="BB47" s="49">
        <v>287.42</v>
      </c>
      <c r="BC47" s="73" t="str">
        <f t="shared" si="21"/>
        <v/>
      </c>
      <c r="BD47" s="73">
        <f t="shared" si="22"/>
        <v>588.63000000000011</v>
      </c>
      <c r="BE47" s="73">
        <f t="shared" si="23"/>
        <v>492.82499999999999</v>
      </c>
      <c r="BF47" s="77">
        <f t="shared" si="24"/>
        <v>95.81</v>
      </c>
      <c r="BG47" s="77">
        <f t="shared" si="25"/>
        <v>28.742999999999999</v>
      </c>
      <c r="BH47" s="77">
        <f t="shared" si="26"/>
        <v>383.22000000000008</v>
      </c>
      <c r="BI47" s="78">
        <f t="shared" si="27"/>
        <v>0.25</v>
      </c>
      <c r="BJ47" s="79">
        <f t="shared" si="28"/>
        <v>0.16276778281772927</v>
      </c>
      <c r="BK47" s="80">
        <f t="shared" si="29"/>
        <v>492.83</v>
      </c>
      <c r="BL47" s="80">
        <f t="shared" si="30"/>
        <v>95.800000000000125</v>
      </c>
      <c r="BM47" s="79">
        <f t="shared" si="31"/>
        <v>0.16275079421708052</v>
      </c>
      <c r="BN47" s="81">
        <f t="shared" si="32"/>
        <v>0.76645333333333343</v>
      </c>
      <c r="BO47" s="82">
        <f t="shared" si="33"/>
        <v>287.42</v>
      </c>
      <c r="BP47" s="81">
        <f t="shared" si="34"/>
        <v>0.76645333333333343</v>
      </c>
      <c r="BQ47" s="81">
        <f t="shared" si="35"/>
        <v>0.86078620689655172</v>
      </c>
      <c r="BR47" s="81">
        <f t="shared" si="36"/>
        <v>1.1162528735632185</v>
      </c>
      <c r="BS47" s="82">
        <f t="shared" si="37"/>
        <v>375</v>
      </c>
      <c r="BT47" s="82">
        <f t="shared" si="38"/>
        <v>418.59482758620692</v>
      </c>
      <c r="BU47" s="82">
        <f t="shared" si="39"/>
        <v>383.22000000000008</v>
      </c>
      <c r="BV47"/>
      <c r="BW47" s="82">
        <f>IFERROR(INDEX('Infos Clientes'!$T:$T,MATCH('Detalhe Por UC'!$C47,'Infos Clientes'!B:B,0)),"")</f>
        <v>409.33333333333331</v>
      </c>
      <c r="BX47" s="83">
        <f t="shared" si="40"/>
        <v>0</v>
      </c>
      <c r="BY47" s="84">
        <f t="shared" si="41"/>
        <v>0.22886092633399926</v>
      </c>
      <c r="BZ47" s="85">
        <f>IF(_xlfn.MINIFS('Detalhe Por UC'!R:R,'Detalhe Por UC'!C:C,C47,'Detalhe Por UC'!AD:AD,"&gt;"&amp;0)=0,"",_xlfn.MINIFS('Detalhe Por UC'!R:R,'Detalhe Por UC'!C:C,C47,'Detalhe Por UC'!AD:AD,"&gt;"&amp;0))</f>
        <v>45627</v>
      </c>
      <c r="CA47" s="114">
        <f ca="1">IF(OR(S47&gt;0,AD47&gt;0),IFERROR(
SUMIFS(INDIRECT("'Infos Clientes'!$W"&amp;INDEX('Infos Clientes'!$C:$C,MATCH(C47,'Infos Clientes'!$H:$H,0))&amp;":$CZ"&amp;INDEX('Infos Clientes'!$C:$C,MATCH(C47,'Infos Clientes'!$H:$H,0))),'Infos Clientes'!$W$2:$CZ$2,"&gt;"&amp;$R47-365,'Infos Clientes'!$W$2:$CZ$2,"&lt;="&amp;$R47)/
COUNTIFS(INDIRECT("'Infos Clientes'!$W"&amp;INDEX('Infos Clientes'!$C:$C,MATCH(C47,'Infos Clientes'!$H:$H,0))&amp;":$CZ"&amp;INDEX('Infos Clientes'!$C:$C,MATCH(C47,'Infos Clientes'!$H:$H,0))),"&gt;="&amp;0,'Infos Clientes'!$W$2:$CZ$2,"&gt;"&amp;$R47-365,'Infos Clientes'!$W$2:$CZ$2,"&lt;="&amp;$R47),""),"")</f>
        <v>409.33333333333331</v>
      </c>
      <c r="CB47" s="87">
        <f>VLOOKUP(C47,'Infos Clientes'!B:L,11,0)</f>
        <v>0</v>
      </c>
      <c r="CC47" s="88" t="str">
        <f t="shared" si="42"/>
        <v>A Unidade Consumidora 10/532723-4 economizou R$95,81 na fatura referente à jan/2025  consumindo 375 kWh em créditos de energia renovável conforme fatura de energia. A economia foi de 25% em relação ao que seria pago para a Energisa considerando os créditos consumidos. Atenção: Mantenha as contas da Energisa em dia para evitar cortes.</v>
      </c>
      <c r="CD47" s="40" t="s">
        <v>125</v>
      </c>
      <c r="CF47" s="115">
        <f t="shared" si="43"/>
        <v>-205.40999999999997</v>
      </c>
    </row>
    <row r="48" spans="1:84" s="104" customFormat="1" ht="16.2" hidden="1" customHeight="1" x14ac:dyDescent="0.3">
      <c r="A48" s="105" t="str">
        <f>INDEX('Infos Clientes'!$D:$D,MATCH('Detalhe Por UC'!C48,'Infos Clientes'!B:B,0))</f>
        <v>IGREJA DO EVANGELHO QUADRANGULAR</v>
      </c>
      <c r="B48" s="106" t="str">
        <f>INDEX('Infos Clientes'!$F:$F,MATCH('Detalhe Por UC'!C48,'Infos Clientes'!B:B,0))</f>
        <v>62.955.505/4027-10</v>
      </c>
      <c r="C48" s="31" t="s">
        <v>126</v>
      </c>
      <c r="D48" t="s">
        <v>351</v>
      </c>
      <c r="E48" s="1" t="s">
        <v>352</v>
      </c>
      <c r="F48" s="56" t="str">
        <f>INDEX('Infos Clientes'!$I:$I,MATCH('Detalhe Por UC'!C48,'Infos Clientes'!B:B,0))</f>
        <v>BT</v>
      </c>
      <c r="G48" s="56" t="str">
        <f>INDEX('Infos Clientes'!$J:$J,MATCH('Detalhe Por UC'!C48,'Infos Clientes'!B:B,0))</f>
        <v>trifasico</v>
      </c>
      <c r="H48" s="108" t="s">
        <v>24</v>
      </c>
      <c r="I48" s="58">
        <f>IFERROR(VLOOKUP(C48,'Infos Clientes'!B:E,4,),"")</f>
        <v>994</v>
      </c>
      <c r="J48" s="109">
        <v>0.25</v>
      </c>
      <c r="K48" s="59">
        <f>INDEX('Infos Clientes'!$M:$M,MATCH('Detalhe Por UC'!C48,'Infos Clientes'!B:B,0))</f>
        <v>0.25</v>
      </c>
      <c r="L48" s="110">
        <v>0</v>
      </c>
      <c r="M48" s="56">
        <f>INDEX('Infos Clientes'!$N:$N,MATCH('Detalhe Por UC'!C48,'Infos Clientes'!B:B,0))</f>
        <v>0</v>
      </c>
      <c r="N48" s="56">
        <f t="shared" si="7"/>
        <v>0</v>
      </c>
      <c r="O48" s="56">
        <f t="shared" si="8"/>
        <v>12</v>
      </c>
      <c r="P48" s="56">
        <f t="shared" si="9"/>
        <v>0</v>
      </c>
      <c r="Q48" s="61">
        <f>IFERROR(IFERROR(INDEX('Infos Clientes'!$A$2:$V$9884,MATCH($C48,'Infos Clientes'!$B$2:$B$9884,0),MATCH(Q$8,'Infos Clientes'!$A$2:$V$2,0)),"")
+IF(OR(INDEX('Infos Clientes'!$A$2:$V$9884,MATCH($C48,'Infos Clientes'!$B$2:$B$9884,0),MATCH("Tempo de Fidelidade (meses)",'Infos Clientes'!$A$2:$V$2,0))=0,R48&gt;=MAX(R:R)),0,
ROUND((MAX(R:R)-R48)/(365/12),0)),"")</f>
        <v>0</v>
      </c>
      <c r="R48" s="111">
        <v>45658</v>
      </c>
      <c r="S48" s="112">
        <v>0.02</v>
      </c>
      <c r="T48" s="113">
        <f>IF($H48="GIROSSOL II",AP48/INDEX('Resumo Operacional'!$A$1:$P$1103,17,MATCH('Detalhe Por UC'!$R48,'Resumo Operacional'!$A$1:$P$1,0)),
IF($H48="GIROSSOL II e III",AP48/INDEX('Resumo Operacional'!$A$1:$P$1103,17,MATCH('Detalhe Por UC'!$R48,'Resumo Operacional'!$A$1:$P$1,0)),
""))</f>
        <v>1.7731007640190283E-2</v>
      </c>
      <c r="U48" s="113" t="str">
        <f>IF($H48="GIROSSOL III",AP48/INDEX('Resumo Operacional'!$A$1:$P$1103,53,MATCH('Detalhe Por UC'!$R48,'Resumo Operacional'!$A$1:$P$1,0)),
IF($H48="GIROSSOL II e III",AP48/INDEX('Resumo Operacional'!$A$1:$P$1103,53,MATCH('Detalhe Por UC'!$R48,'Resumo Operacional'!$A$1:$P$1,0)),
""))</f>
        <v/>
      </c>
      <c r="V48" s="12"/>
      <c r="W48" s="12"/>
      <c r="X48" s="35">
        <v>1.1162432432432432</v>
      </c>
      <c r="Y48" s="35">
        <v>0</v>
      </c>
      <c r="Z48" s="35">
        <v>1.1162592592592593</v>
      </c>
      <c r="AA48" s="35">
        <v>0</v>
      </c>
      <c r="AB48" s="35">
        <v>370</v>
      </c>
      <c r="AC48" s="35">
        <v>0</v>
      </c>
      <c r="AD48" s="35">
        <v>270</v>
      </c>
      <c r="AE48" s="35"/>
      <c r="AF48" s="35">
        <v>206</v>
      </c>
      <c r="AG48" s="35">
        <v>0</v>
      </c>
      <c r="AH48" s="35">
        <v>71.34</v>
      </c>
      <c r="AI48" s="35">
        <v>0</v>
      </c>
      <c r="AJ48" s="35">
        <v>0</v>
      </c>
      <c r="AK48" s="12"/>
      <c r="AL48" s="38"/>
      <c r="AM48" s="1"/>
      <c r="AN48" s="71">
        <f t="shared" si="10"/>
        <v>-24</v>
      </c>
      <c r="AO48" s="71">
        <f t="shared" si="11"/>
        <v>0</v>
      </c>
      <c r="AP48" s="71">
        <f t="shared" si="12"/>
        <v>246</v>
      </c>
      <c r="AQ48" s="72">
        <f>IF(OR($H48="GIROSSOL II",$H48="GIROSSOL II e III"),INDEX('Resumo Operacional'!$A$1:$P$1103,MATCH("Energia Injetada prevista total Fatura da Usina (TUSD)",'Resumo Operacional'!$B$1:$B$1103,0),MATCH('Detalhe Por UC'!$R48,'Resumo Operacional'!$A$1:$P$1,0))*$S48,INDEX('Resumo Operacional'!$A$1:$P$1103,53,MATCH('Detalhe Por UC'!$R48,'Resumo Operacional'!$A$1:$P$1,0))*$S48)</f>
        <v>277.48</v>
      </c>
      <c r="AR48" s="71">
        <f t="shared" si="13"/>
        <v>-31.480000000000018</v>
      </c>
      <c r="AS48" s="73">
        <f t="shared" si="14"/>
        <v>182.96</v>
      </c>
      <c r="AT48" s="74">
        <f t="shared" si="15"/>
        <v>182.96</v>
      </c>
      <c r="AU48" s="74">
        <f t="shared" si="16"/>
        <v>1.1162752752752754</v>
      </c>
      <c r="AV48" s="74">
        <f t="shared" si="17"/>
        <v>226.04250000000002</v>
      </c>
      <c r="AW48" s="74">
        <f t="shared" si="18"/>
        <v>0</v>
      </c>
      <c r="AX48" s="74">
        <f t="shared" si="19"/>
        <v>301.39</v>
      </c>
      <c r="AY48" s="74">
        <f t="shared" si="20"/>
        <v>226.04</v>
      </c>
      <c r="AZ48" s="49">
        <v>226.04</v>
      </c>
      <c r="BA48" s="49">
        <v>226.04</v>
      </c>
      <c r="BB48" s="49">
        <v>226.04</v>
      </c>
      <c r="BC48" s="73" t="str">
        <f t="shared" si="21"/>
        <v/>
      </c>
      <c r="BD48" s="73">
        <f t="shared" si="22"/>
        <v>484.35</v>
      </c>
      <c r="BE48" s="73">
        <f t="shared" si="23"/>
        <v>409.00250000000005</v>
      </c>
      <c r="BF48" s="77">
        <f t="shared" si="24"/>
        <v>75.349999999999994</v>
      </c>
      <c r="BG48" s="77">
        <f t="shared" si="25"/>
        <v>22.604999999999997</v>
      </c>
      <c r="BH48" s="77">
        <f t="shared" si="26"/>
        <v>301.39</v>
      </c>
      <c r="BI48" s="78">
        <f t="shared" si="27"/>
        <v>0.25</v>
      </c>
      <c r="BJ48" s="79">
        <f t="shared" si="28"/>
        <v>0.15556931970682356</v>
      </c>
      <c r="BK48" s="80">
        <f t="shared" si="29"/>
        <v>409</v>
      </c>
      <c r="BL48" s="80">
        <f t="shared" si="30"/>
        <v>75.350000000000023</v>
      </c>
      <c r="BM48" s="79">
        <f t="shared" si="31"/>
        <v>0.15556931970682361</v>
      </c>
      <c r="BN48" s="81">
        <f t="shared" si="32"/>
        <v>0.83718518518518514</v>
      </c>
      <c r="BO48" s="82">
        <f t="shared" si="33"/>
        <v>226.04</v>
      </c>
      <c r="BP48" s="81">
        <f t="shared" si="34"/>
        <v>0.83718518518518514</v>
      </c>
      <c r="BQ48" s="81">
        <f t="shared" si="35"/>
        <v>0.83716916916916906</v>
      </c>
      <c r="BR48" s="81">
        <f t="shared" si="36"/>
        <v>1.1162432432432432</v>
      </c>
      <c r="BS48" s="82">
        <f t="shared" si="37"/>
        <v>270</v>
      </c>
      <c r="BT48" s="82">
        <f t="shared" si="38"/>
        <v>301.38567567567566</v>
      </c>
      <c r="BU48" s="82">
        <f t="shared" si="39"/>
        <v>301.39</v>
      </c>
      <c r="BV48"/>
      <c r="BW48" s="82">
        <f>IFERROR(INDEX('Infos Clientes'!$T:$T,MATCH('Detalhe Por UC'!$C48,'Infos Clientes'!B:B,0)),"")</f>
        <v>274.25</v>
      </c>
      <c r="BX48" s="83">
        <f t="shared" si="40"/>
        <v>0</v>
      </c>
      <c r="BY48" s="84">
        <f t="shared" si="41"/>
        <v>0.25001188205468983</v>
      </c>
      <c r="BZ48" s="85">
        <f>IF(_xlfn.MINIFS('Detalhe Por UC'!R:R,'Detalhe Por UC'!C:C,C48,'Detalhe Por UC'!AD:AD,"&gt;"&amp;0)=0,"",_xlfn.MINIFS('Detalhe Por UC'!R:R,'Detalhe Por UC'!C:C,C48,'Detalhe Por UC'!AD:AD,"&gt;"&amp;0))</f>
        <v>45627</v>
      </c>
      <c r="CA48" s="114">
        <f ca="1">IF(OR(S48&gt;0,AD48&gt;0),IFERROR(
SUMIFS(INDIRECT("'Infos Clientes'!$W"&amp;INDEX('Infos Clientes'!$C:$C,MATCH(C48,'Infos Clientes'!$H:$H,0))&amp;":$CZ"&amp;INDEX('Infos Clientes'!$C:$C,MATCH(C48,'Infos Clientes'!$H:$H,0))),'Infos Clientes'!$W$2:$CZ$2,"&gt;"&amp;$R48-365,'Infos Clientes'!$W$2:$CZ$2,"&lt;="&amp;$R48)/
COUNTIFS(INDIRECT("'Infos Clientes'!$W"&amp;INDEX('Infos Clientes'!$C:$C,MATCH(C48,'Infos Clientes'!$H:$H,0))&amp;":$CZ"&amp;INDEX('Infos Clientes'!$C:$C,MATCH(C48,'Infos Clientes'!$H:$H,0))),"&gt;="&amp;0,'Infos Clientes'!$W$2:$CZ$2,"&gt;"&amp;$R48-365,'Infos Clientes'!$W$2:$CZ$2,"&lt;="&amp;$R48),""),"")</f>
        <v>274.25</v>
      </c>
      <c r="CB48" s="87">
        <f>VLOOKUP(C48,'Infos Clientes'!B:L,11,0)</f>
        <v>0</v>
      </c>
      <c r="CC48" s="88" t="str">
        <f t="shared" si="42"/>
        <v>A Unidade Consumidora 10/931327-1 economizou R$75,35 na fatura referente à jan/2025  consumindo 270 kWh em créditos de energia renovável conforme fatura de energia. A economia foi de 25% em relação ao que seria pago para a Energisa considerando os créditos consumidos. Atenção: Mantenha as contas da Energisa em dia para evitar cortes.</v>
      </c>
      <c r="CD48" s="40" t="s">
        <v>128</v>
      </c>
      <c r="CF48" s="115">
        <f t="shared" si="43"/>
        <v>-182.96</v>
      </c>
    </row>
    <row r="49" spans="1:84" s="104" customFormat="1" ht="16.2" hidden="1" customHeight="1" x14ac:dyDescent="0.3">
      <c r="A49" s="105" t="str">
        <f>INDEX('Infos Clientes'!$D:$D,MATCH('Detalhe Por UC'!C49,'Infos Clientes'!B:B,0))</f>
        <v>IGREJA DO EVANGELHO QUADRANGULAR</v>
      </c>
      <c r="B49" s="106" t="str">
        <f>INDEX('Infos Clientes'!$F:$F,MATCH('Detalhe Por UC'!C49,'Infos Clientes'!B:B,0))</f>
        <v>62.955.505/0155-12</v>
      </c>
      <c r="C49" s="31" t="s">
        <v>129</v>
      </c>
      <c r="D49" t="s">
        <v>351</v>
      </c>
      <c r="E49" s="1" t="s">
        <v>352</v>
      </c>
      <c r="F49" s="56" t="str">
        <f>INDEX('Infos Clientes'!$I:$I,MATCH('Detalhe Por UC'!C49,'Infos Clientes'!B:B,0))</f>
        <v>BT</v>
      </c>
      <c r="G49" s="56" t="str">
        <f>INDEX('Infos Clientes'!$J:$J,MATCH('Detalhe Por UC'!C49,'Infos Clientes'!B:B,0))</f>
        <v>trifasico</v>
      </c>
      <c r="H49" s="108" t="s">
        <v>24</v>
      </c>
      <c r="I49" s="58">
        <f>IFERROR(VLOOKUP(C49,'Infos Clientes'!B:E,4,),"")</f>
        <v>358</v>
      </c>
      <c r="J49" s="109">
        <v>0.25</v>
      </c>
      <c r="K49" s="59">
        <f>INDEX('Infos Clientes'!$M:$M,MATCH('Detalhe Por UC'!C49,'Infos Clientes'!B:B,0))</f>
        <v>0.25</v>
      </c>
      <c r="L49" s="110">
        <v>0</v>
      </c>
      <c r="M49" s="56">
        <f>INDEX('Infos Clientes'!$N:$N,MATCH('Detalhe Por UC'!C49,'Infos Clientes'!B:B,0))</f>
        <v>0</v>
      </c>
      <c r="N49" s="56">
        <f t="shared" si="7"/>
        <v>0</v>
      </c>
      <c r="O49" s="56">
        <f t="shared" si="8"/>
        <v>11</v>
      </c>
      <c r="P49" s="56">
        <f t="shared" si="9"/>
        <v>0</v>
      </c>
      <c r="Q49" s="61">
        <f>IFERROR(IFERROR(INDEX('Infos Clientes'!$A$2:$V$9884,MATCH($C49,'Infos Clientes'!$B$2:$B$9884,0),MATCH(Q$8,'Infos Clientes'!$A$2:$V$2,0)),"")
+IF(OR(INDEX('Infos Clientes'!$A$2:$V$9884,MATCH($C49,'Infos Clientes'!$B$2:$B$9884,0),MATCH("Tempo de Fidelidade (meses)",'Infos Clientes'!$A$2:$V$2,0))=0,R49&gt;=MAX(R:R)),0,
ROUND((MAX(R:R)-R49)/(365/12),0)),"")</f>
        <v>0</v>
      </c>
      <c r="R49" s="111">
        <v>45658</v>
      </c>
      <c r="S49" s="112">
        <v>5.0000000000000001E-3</v>
      </c>
      <c r="T49" s="113">
        <f>IF($H49="GIROSSOL II",AP49/INDEX('Resumo Operacional'!$A$1:$P$1103,17,MATCH('Detalhe Por UC'!$R49,'Resumo Operacional'!$A$1:$P$1,0)),
IF($H49="GIROSSOL II e III",AP49/INDEX('Resumo Operacional'!$A$1:$P$1103,17,MATCH('Detalhe Por UC'!$R49,'Resumo Operacional'!$A$1:$P$1,0)),
""))</f>
        <v>8.8655038200951414E-3</v>
      </c>
      <c r="U49" s="113" t="str">
        <f>IF($H49="GIROSSOL III",AP49/INDEX('Resumo Operacional'!$A$1:$P$1103,53,MATCH('Detalhe Por UC'!$R49,'Resumo Operacional'!$A$1:$P$1,0)),
IF($H49="GIROSSOL II e III",AP49/INDEX('Resumo Operacional'!$A$1:$P$1103,53,MATCH('Detalhe Por UC'!$R49,'Resumo Operacional'!$A$1:$P$1,0)),
""))</f>
        <v/>
      </c>
      <c r="V49" s="12"/>
      <c r="W49" s="12"/>
      <c r="X49" s="35">
        <v>1.11625</v>
      </c>
      <c r="Y49" s="35">
        <v>0</v>
      </c>
      <c r="Z49" s="35">
        <v>1.1158333333333335</v>
      </c>
      <c r="AA49" s="35">
        <v>0</v>
      </c>
      <c r="AB49" s="35">
        <v>112</v>
      </c>
      <c r="AC49" s="35">
        <v>0</v>
      </c>
      <c r="AD49" s="35">
        <v>12</v>
      </c>
      <c r="AE49" s="35"/>
      <c r="AF49" s="35">
        <v>897</v>
      </c>
      <c r="AG49" s="35">
        <v>0</v>
      </c>
      <c r="AH49" s="35">
        <v>49.05</v>
      </c>
      <c r="AI49" s="35">
        <v>0</v>
      </c>
      <c r="AJ49" s="35">
        <v>0</v>
      </c>
      <c r="AK49" s="12"/>
      <c r="AL49" s="38"/>
      <c r="AM49" s="1"/>
      <c r="AN49" s="71">
        <f t="shared" si="10"/>
        <v>111</v>
      </c>
      <c r="AO49" s="71">
        <f t="shared" si="11"/>
        <v>0</v>
      </c>
      <c r="AP49" s="71">
        <f t="shared" si="12"/>
        <v>123</v>
      </c>
      <c r="AQ49" s="72">
        <f>IF(OR($H49="GIROSSOL II",$H49="GIROSSOL II e III"),INDEX('Resumo Operacional'!$A$1:$P$1103,MATCH("Energia Injetada prevista total Fatura da Usina (TUSD)",'Resumo Operacional'!$B$1:$B$1103,0),MATCH('Detalhe Por UC'!$R49,'Resumo Operacional'!$A$1:$P$1,0))*$S49,INDEX('Resumo Operacional'!$A$1:$P$1103,53,MATCH('Detalhe Por UC'!$R49,'Resumo Operacional'!$A$1:$P$1,0))*$S49)</f>
        <v>69.37</v>
      </c>
      <c r="AR49" s="71">
        <f t="shared" si="13"/>
        <v>53.629999999999995</v>
      </c>
      <c r="AS49" s="73">
        <f t="shared" si="14"/>
        <v>160.68</v>
      </c>
      <c r="AT49" s="74">
        <f t="shared" si="15"/>
        <v>160.68</v>
      </c>
      <c r="AU49" s="74">
        <f t="shared" si="16"/>
        <v>1.1154166666666669</v>
      </c>
      <c r="AV49" s="74">
        <f t="shared" si="17"/>
        <v>10.0425</v>
      </c>
      <c r="AW49" s="74">
        <f t="shared" si="18"/>
        <v>0</v>
      </c>
      <c r="AX49" s="74">
        <f t="shared" si="19"/>
        <v>13.39</v>
      </c>
      <c r="AY49" s="74">
        <f t="shared" si="20"/>
        <v>10.039999999999999</v>
      </c>
      <c r="AZ49" s="49">
        <v>10.039999999999999</v>
      </c>
      <c r="BA49" s="49">
        <v>10.039999999999999</v>
      </c>
      <c r="BB49" s="49">
        <v>10.039999999999999</v>
      </c>
      <c r="BC49" s="73" t="str">
        <f t="shared" si="21"/>
        <v/>
      </c>
      <c r="BD49" s="73">
        <f t="shared" si="22"/>
        <v>174.07</v>
      </c>
      <c r="BE49" s="73">
        <f t="shared" si="23"/>
        <v>170.7225</v>
      </c>
      <c r="BF49" s="77">
        <f t="shared" si="24"/>
        <v>3.35</v>
      </c>
      <c r="BG49" s="77">
        <f t="shared" si="25"/>
        <v>1.0049999999999999</v>
      </c>
      <c r="BH49" s="77">
        <f t="shared" si="26"/>
        <v>13.39</v>
      </c>
      <c r="BI49" s="78">
        <f t="shared" si="27"/>
        <v>0.25</v>
      </c>
      <c r="BJ49" s="79">
        <f t="shared" si="28"/>
        <v>1.9245131269029703E-2</v>
      </c>
      <c r="BK49" s="80">
        <f t="shared" si="29"/>
        <v>170.72</v>
      </c>
      <c r="BL49" s="80">
        <f t="shared" si="30"/>
        <v>3.3499999999999943</v>
      </c>
      <c r="BM49" s="79">
        <f t="shared" si="31"/>
        <v>1.9245131269029669E-2</v>
      </c>
      <c r="BN49" s="81">
        <f t="shared" si="32"/>
        <v>0.83666666666666656</v>
      </c>
      <c r="BO49" s="82">
        <f t="shared" si="33"/>
        <v>10.039999999999999</v>
      </c>
      <c r="BP49" s="81">
        <f t="shared" si="34"/>
        <v>0.83666666666666656</v>
      </c>
      <c r="BQ49" s="81">
        <f t="shared" si="35"/>
        <v>0.83708333333333307</v>
      </c>
      <c r="BR49" s="81">
        <f t="shared" si="36"/>
        <v>1.11625</v>
      </c>
      <c r="BS49" s="82">
        <f t="shared" si="37"/>
        <v>12</v>
      </c>
      <c r="BT49" s="82">
        <f t="shared" si="38"/>
        <v>13.395</v>
      </c>
      <c r="BU49" s="82">
        <f t="shared" si="39"/>
        <v>13.39</v>
      </c>
      <c r="BV49"/>
      <c r="BW49" s="82">
        <f>IFERROR(INDEX('Infos Clientes'!$T:$T,MATCH('Detalhe Por UC'!$C49,'Infos Clientes'!B:B,0)),"")</f>
        <v>123.5</v>
      </c>
      <c r="BX49" s="83">
        <f t="shared" si="40"/>
        <v>0</v>
      </c>
      <c r="BY49" s="84">
        <f t="shared" si="41"/>
        <v>0.25009331840238919</v>
      </c>
      <c r="BZ49" s="85">
        <f>IF(_xlfn.MINIFS('Detalhe Por UC'!R:R,'Detalhe Por UC'!C:C,C49,'Detalhe Por UC'!AD:AD,"&gt;"&amp;0)=0,"",_xlfn.MINIFS('Detalhe Por UC'!R:R,'Detalhe Por UC'!C:C,C49,'Detalhe Por UC'!AD:AD,"&gt;"&amp;0))</f>
        <v>45627</v>
      </c>
      <c r="CA49" s="114">
        <f ca="1">IF(OR(S49&gt;0,AD49&gt;0),IFERROR(
SUMIFS(INDIRECT("'Infos Clientes'!$W"&amp;INDEX('Infos Clientes'!$C:$C,MATCH(C49,'Infos Clientes'!$H:$H,0))&amp;":$CZ"&amp;INDEX('Infos Clientes'!$C:$C,MATCH(C49,'Infos Clientes'!$H:$H,0))),'Infos Clientes'!$W$2:$CZ$2,"&gt;"&amp;$R49-365,'Infos Clientes'!$W$2:$CZ$2,"&lt;="&amp;$R49)/
COUNTIFS(INDIRECT("'Infos Clientes'!$W"&amp;INDEX('Infos Clientes'!$C:$C,MATCH(C49,'Infos Clientes'!$H:$H,0))&amp;":$CZ"&amp;INDEX('Infos Clientes'!$C:$C,MATCH(C49,'Infos Clientes'!$H:$H,0))),"&gt;="&amp;0,'Infos Clientes'!$W$2:$CZ$2,"&gt;"&amp;$R49-365,'Infos Clientes'!$W$2:$CZ$2,"&lt;="&amp;$R49),""),"")</f>
        <v>123.5</v>
      </c>
      <c r="CB49" s="87">
        <f>VLOOKUP(C49,'Infos Clientes'!B:L,11,0)</f>
        <v>0</v>
      </c>
      <c r="CC49" s="88" t="str">
        <f t="shared" si="42"/>
        <v>A Unidade Consumidora 10/987178-1 economizou R$3,35 na fatura referente à jan/2025  consumindo 12 kWh em créditos de energia renovável conforme fatura de energia. A economia foi de 25% em relação ao que seria pago para a Energisa considerando os créditos consumidos. Atenção: Mantenha as contas da Energisa em dia para evitar cortes.</v>
      </c>
      <c r="CD49" s="40" t="s">
        <v>131</v>
      </c>
      <c r="CF49" s="115">
        <f t="shared" si="43"/>
        <v>-160.68</v>
      </c>
    </row>
    <row r="50" spans="1:84" s="104" customFormat="1" ht="16.2" hidden="1" customHeight="1" x14ac:dyDescent="0.3">
      <c r="A50" s="105" t="str">
        <f>INDEX('Infos Clientes'!$D:$D,MATCH('Detalhe Por UC'!C50,'Infos Clientes'!B:B,0))</f>
        <v>IGREJA DO EVANGELHO QUADRANGULAR</v>
      </c>
      <c r="B50" s="106" t="str">
        <f>INDEX('Infos Clientes'!$F:$F,MATCH('Detalhe Por UC'!C50,'Infos Clientes'!B:B,0))</f>
        <v>62.955.505/0914-56</v>
      </c>
      <c r="C50" s="107" t="s">
        <v>132</v>
      </c>
      <c r="D50" t="s">
        <v>351</v>
      </c>
      <c r="E50" s="1" t="s">
        <v>352</v>
      </c>
      <c r="F50" s="56">
        <f>INDEX('Infos Clientes'!$I:$I,MATCH('Detalhe Por UC'!C50,'Infos Clientes'!B:B,0))</f>
        <v>0</v>
      </c>
      <c r="G50" s="56">
        <f>INDEX('Infos Clientes'!$J:$J,MATCH('Detalhe Por UC'!C50,'Infos Clientes'!B:B,0))</f>
        <v>0</v>
      </c>
      <c r="H50" s="108" t="s">
        <v>353</v>
      </c>
      <c r="I50" s="58">
        <f>IFERROR(VLOOKUP(C50,'Infos Clientes'!B:E,4,),"")</f>
        <v>0</v>
      </c>
      <c r="J50" s="109">
        <v>0</v>
      </c>
      <c r="K50" s="59">
        <f>INDEX('Infos Clientes'!$M:$M,MATCH('Detalhe Por UC'!C50,'Infos Clientes'!B:B,0))</f>
        <v>0</v>
      </c>
      <c r="L50" s="110">
        <v>0</v>
      </c>
      <c r="M50" s="56">
        <f>INDEX('Infos Clientes'!$N:$N,MATCH('Detalhe Por UC'!C50,'Infos Clientes'!B:B,0))</f>
        <v>0</v>
      </c>
      <c r="N50" s="56">
        <f t="shared" si="7"/>
        <v>6</v>
      </c>
      <c r="O50" s="56">
        <f t="shared" si="8"/>
        <v>0</v>
      </c>
      <c r="P50" s="56">
        <f t="shared" si="9"/>
        <v>-6</v>
      </c>
      <c r="Q50" s="61">
        <f>IFERROR(IFERROR(INDEX('Infos Clientes'!$A$2:$V$9884,MATCH($C50,'Infos Clientes'!$B$2:$B$9884,0),MATCH(Q$8,'Infos Clientes'!$A$2:$V$2,0)),"")
+IF(OR(INDEX('Infos Clientes'!$A$2:$V$9884,MATCH($C50,'Infos Clientes'!$B$2:$B$9884,0),MATCH("Tempo de Fidelidade (meses)",'Infos Clientes'!$A$2:$V$2,0))=0,R50&gt;=MAX(R:R)),0,
ROUND((MAX(R:R)-R50)/(365/12),0)),"")</f>
        <v>0</v>
      </c>
      <c r="R50" s="111">
        <v>45658</v>
      </c>
      <c r="S50" s="112">
        <v>0.02</v>
      </c>
      <c r="T50" s="113">
        <f>IF($H50="GIROSSOL II",AP50/INDEX('Resumo Operacional'!$A$1:$P$1103,17,MATCH('Detalhe Por UC'!$R50,'Resumo Operacional'!$A$1:$P$1,0)),
IF($H50="GIROSSOL II e III",AP50/INDEX('Resumo Operacional'!$A$1:$P$1103,17,MATCH('Detalhe Por UC'!$R50,'Resumo Operacional'!$A$1:$P$1,0)),
""))</f>
        <v>0</v>
      </c>
      <c r="U50" s="113">
        <f>IF($H50="GIROSSOL III",AP50/INDEX('Resumo Operacional'!$A$1:$P$1103,53,MATCH('Detalhe Por UC'!$R50,'Resumo Operacional'!$A$1:$P$1,0)),
IF($H50="GIROSSOL II e III",AP50/INDEX('Resumo Operacional'!$A$1:$P$1103,53,MATCH('Detalhe Por UC'!$R50,'Resumo Operacional'!$A$1:$P$1,0)),
""))</f>
        <v>0</v>
      </c>
      <c r="V50" s="12"/>
      <c r="W50" s="12"/>
      <c r="X50" s="67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12"/>
      <c r="AL50" s="38"/>
      <c r="AM50" s="1"/>
      <c r="AN50" s="71" t="str">
        <f t="shared" si="10"/>
        <v/>
      </c>
      <c r="AO50" s="71" t="str">
        <f t="shared" si="11"/>
        <v/>
      </c>
      <c r="AP50" s="71">
        <f t="shared" si="12"/>
        <v>0</v>
      </c>
      <c r="AQ50" s="72">
        <f>IF(OR($H50="GIROSSOL II",$H50="GIROSSOL II e III"),INDEX('Resumo Operacional'!$A$1:$P$1103,MATCH("Energia Injetada prevista total Fatura da Usina (TUSD)",'Resumo Operacional'!$B$1:$B$1103,0),MATCH('Detalhe Por UC'!$R50,'Resumo Operacional'!$A$1:$P$1,0))*$S50,INDEX('Resumo Operacional'!$A$1:$P$1103,53,MATCH('Detalhe Por UC'!$R50,'Resumo Operacional'!$A$1:$P$1,0))*$S50)</f>
        <v>277.48</v>
      </c>
      <c r="AR50" s="71" t="str">
        <f t="shared" si="13"/>
        <v/>
      </c>
      <c r="AS50" s="73">
        <f t="shared" si="14"/>
        <v>0</v>
      </c>
      <c r="AT50" s="74">
        <f t="shared" si="15"/>
        <v>0</v>
      </c>
      <c r="AU50" s="74" t="str">
        <f t="shared" si="16"/>
        <v/>
      </c>
      <c r="AV50" s="74">
        <f t="shared" si="17"/>
        <v>0</v>
      </c>
      <c r="AW50" s="74">
        <f t="shared" si="18"/>
        <v>0</v>
      </c>
      <c r="AX50" s="74">
        <f t="shared" si="19"/>
        <v>0</v>
      </c>
      <c r="AY50" s="74" t="str">
        <f t="shared" si="20"/>
        <v/>
      </c>
      <c r="AZ50" s="49"/>
      <c r="BA50" s="49"/>
      <c r="BB50" s="49"/>
      <c r="BC50" s="73" t="str">
        <f t="shared" si="21"/>
        <v/>
      </c>
      <c r="BD50" s="73">
        <f t="shared" si="22"/>
        <v>0</v>
      </c>
      <c r="BE50" s="73">
        <f t="shared" si="23"/>
        <v>0</v>
      </c>
      <c r="BF50" s="77">
        <f t="shared" si="24"/>
        <v>0</v>
      </c>
      <c r="BG50" s="77">
        <f t="shared" si="25"/>
        <v>0</v>
      </c>
      <c r="BH50" s="77">
        <f t="shared" si="26"/>
        <v>0</v>
      </c>
      <c r="BI50" s="78" t="str">
        <f t="shared" si="27"/>
        <v/>
      </c>
      <c r="BJ50" s="79" t="str">
        <f t="shared" si="28"/>
        <v/>
      </c>
      <c r="BK50" s="80" t="str">
        <f t="shared" si="29"/>
        <v/>
      </c>
      <c r="BL50" s="80" t="str">
        <f t="shared" si="30"/>
        <v/>
      </c>
      <c r="BM50" s="79" t="str">
        <f t="shared" si="31"/>
        <v/>
      </c>
      <c r="BN50" s="81" t="str">
        <f t="shared" si="32"/>
        <v/>
      </c>
      <c r="BO50" s="82" t="str">
        <f t="shared" si="33"/>
        <v/>
      </c>
      <c r="BP50" s="81" t="str">
        <f t="shared" si="34"/>
        <v/>
      </c>
      <c r="BQ50" s="81" t="str">
        <f t="shared" si="35"/>
        <v/>
      </c>
      <c r="BR50" s="81" t="str">
        <f t="shared" si="36"/>
        <v/>
      </c>
      <c r="BS50" s="82">
        <f t="shared" si="37"/>
        <v>0</v>
      </c>
      <c r="BT50" s="82" t="str">
        <f t="shared" si="38"/>
        <v/>
      </c>
      <c r="BU50" s="82">
        <f t="shared" si="39"/>
        <v>0</v>
      </c>
      <c r="BV50"/>
      <c r="BW50" s="82">
        <f>IFERROR(INDEX('Infos Clientes'!$T:$T,MATCH('Detalhe Por UC'!$C50,'Infos Clientes'!B:B,0)),"")</f>
        <v>0</v>
      </c>
      <c r="BX50" s="83">
        <f t="shared" si="40"/>
        <v>0</v>
      </c>
      <c r="BY50" s="84" t="str">
        <f t="shared" si="41"/>
        <v/>
      </c>
      <c r="BZ50" s="85" t="str">
        <f>IF(_xlfn.MINIFS('Detalhe Por UC'!R:R,'Detalhe Por UC'!C:C,C50,'Detalhe Por UC'!AD:AD,"&gt;"&amp;0)=0,"",_xlfn.MINIFS('Detalhe Por UC'!R:R,'Detalhe Por UC'!C:C,C50,'Detalhe Por UC'!AD:AD,"&gt;"&amp;0))</f>
        <v/>
      </c>
      <c r="CA50" s="114">
        <f ca="1">IF(OR(S50&gt;0,AD50&gt;0),IFERROR(
SUMIFS(INDIRECT("'Infos Clientes'!$W"&amp;INDEX('Infos Clientes'!$C:$C,MATCH(C50,'Infos Clientes'!$H:$H,0))&amp;":$CZ"&amp;INDEX('Infos Clientes'!$C:$C,MATCH(C50,'Infos Clientes'!$H:$H,0))),'Infos Clientes'!$W$2:$CZ$2,"&gt;"&amp;$R50-365,'Infos Clientes'!$W$2:$CZ$2,"&lt;="&amp;$R50)/
COUNTIFS(INDIRECT("'Infos Clientes'!$W"&amp;INDEX('Infos Clientes'!$C:$C,MATCH(C50,'Infos Clientes'!$H:$H,0))&amp;":$CZ"&amp;INDEX('Infos Clientes'!$C:$C,MATCH(C50,'Infos Clientes'!$H:$H,0))),"&gt;="&amp;0,'Infos Clientes'!$W$2:$CZ$2,"&gt;"&amp;$R50-365,'Infos Clientes'!$W$2:$CZ$2,"&lt;="&amp;$R50),""),"")</f>
        <v>136</v>
      </c>
      <c r="CB50" s="87">
        <f>VLOOKUP(C50,'Infos Clientes'!B:L,11,0)</f>
        <v>0</v>
      </c>
      <c r="CC50" s="88" t="str">
        <f t="shared" si="42"/>
        <v>A Unidade Consumidora 10/104720-8 economizou R$0 na fatura referente à jan/2025  consumindo  kWh em créditos de energia renovável conforme fatura de energia. A economia foi de 0% em relação ao que seria pago para a Energisa considerando os créditos consumidos. Atenção: Mantenha as contas da Energisa em dia para evitar cortes.</v>
      </c>
      <c r="CD50" s="40"/>
      <c r="CF50" s="115">
        <f t="shared" si="43"/>
        <v>0</v>
      </c>
    </row>
    <row r="51" spans="1:84" s="104" customFormat="1" ht="16.2" hidden="1" customHeight="1" x14ac:dyDescent="0.3">
      <c r="A51" s="105" t="str">
        <f>INDEX('Infos Clientes'!$D:$D,MATCH('Detalhe Por UC'!C51,'Infos Clientes'!B:B,0))</f>
        <v>IGREJA DO EVANGELHO QUADRANGULAR</v>
      </c>
      <c r="B51" s="106" t="str">
        <f>INDEX('Infos Clientes'!$F:$F,MATCH('Detalhe Por UC'!C51,'Infos Clientes'!B:B,0))</f>
        <v>62.955.505/0914-56</v>
      </c>
      <c r="C51" s="107" t="s">
        <v>134</v>
      </c>
      <c r="D51" t="s">
        <v>351</v>
      </c>
      <c r="E51" s="1" t="s">
        <v>352</v>
      </c>
      <c r="F51" s="56" t="str">
        <f>INDEX('Infos Clientes'!$I:$I,MATCH('Detalhe Por UC'!C51,'Infos Clientes'!B:B,0))</f>
        <v>BT</v>
      </c>
      <c r="G51" s="56" t="str">
        <f>INDEX('Infos Clientes'!$J:$J,MATCH('Detalhe Por UC'!C51,'Infos Clientes'!B:B,0))</f>
        <v>monofasico</v>
      </c>
      <c r="H51" s="108" t="s">
        <v>353</v>
      </c>
      <c r="I51" s="58">
        <f>IFERROR(VLOOKUP(C51,'Infos Clientes'!B:E,4,),"")</f>
        <v>0</v>
      </c>
      <c r="J51" s="109">
        <v>0.25</v>
      </c>
      <c r="K51" s="59">
        <f>INDEX('Infos Clientes'!$M:$M,MATCH('Detalhe Por UC'!C51,'Infos Clientes'!B:B,0))</f>
        <v>0.25</v>
      </c>
      <c r="L51" s="110">
        <v>0</v>
      </c>
      <c r="M51" s="56">
        <f>INDEX('Infos Clientes'!$N:$N,MATCH('Detalhe Por UC'!C51,'Infos Clientes'!B:B,0))</f>
        <v>0</v>
      </c>
      <c r="N51" s="56">
        <f t="shared" si="7"/>
        <v>0</v>
      </c>
      <c r="O51" s="56">
        <f t="shared" si="8"/>
        <v>10</v>
      </c>
      <c r="P51" s="56">
        <f t="shared" si="9"/>
        <v>0</v>
      </c>
      <c r="Q51" s="61">
        <f>IFERROR(IFERROR(INDEX('Infos Clientes'!$A$2:$V$9884,MATCH($C51,'Infos Clientes'!$B$2:$B$9884,0),MATCH(Q$8,'Infos Clientes'!$A$2:$V$2,0)),"")
+IF(OR(INDEX('Infos Clientes'!$A$2:$V$9884,MATCH($C51,'Infos Clientes'!$B$2:$B$9884,0),MATCH("Tempo de Fidelidade (meses)",'Infos Clientes'!$A$2:$V$2,0))=0,R51&gt;=MAX(R:R)),0,
ROUND((MAX(R:R)-R51)/(365/12),0)),"")</f>
        <v>0</v>
      </c>
      <c r="R51" s="111">
        <v>45658</v>
      </c>
      <c r="S51" s="112">
        <v>0.02</v>
      </c>
      <c r="T51" s="113">
        <f>IF($H51="GIROSSOL II",AP51/INDEX('Resumo Operacional'!$A$1:$P$1103,17,MATCH('Detalhe Por UC'!$R51,'Resumo Operacional'!$A$1:$P$1,0)),
IF($H51="GIROSSOL II e III",AP51/INDEX('Resumo Operacional'!$A$1:$P$1103,17,MATCH('Detalhe Por UC'!$R51,'Resumo Operacional'!$A$1:$P$1,0)),
""))</f>
        <v>3.3660083609629521E-2</v>
      </c>
      <c r="U51" s="113">
        <f>IF($H51="GIROSSOL III",AP51/INDEX('Resumo Operacional'!$A$1:$P$1103,53,MATCH('Detalhe Por UC'!$R51,'Resumo Operacional'!$A$1:$P$1,0)),
IF($H51="GIROSSOL II e III",AP51/INDEX('Resumo Operacional'!$A$1:$P$1103,53,MATCH('Detalhe Por UC'!$R51,'Resumo Operacional'!$A$1:$P$1,0)),
""))</f>
        <v>2.8308177244347456E-2</v>
      </c>
      <c r="V51" s="12"/>
      <c r="W51" s="12"/>
      <c r="X51" s="35">
        <v>1.1162566844919786</v>
      </c>
      <c r="Y51" s="35">
        <v>0</v>
      </c>
      <c r="Z51" s="35">
        <v>1.0251999999999999</v>
      </c>
      <c r="AA51" s="35">
        <v>0</v>
      </c>
      <c r="AB51" s="35">
        <v>187</v>
      </c>
      <c r="AC51" s="35">
        <v>0</v>
      </c>
      <c r="AD51" s="35">
        <v>175</v>
      </c>
      <c r="AE51" s="35"/>
      <c r="AF51" s="35">
        <v>292</v>
      </c>
      <c r="AG51" s="35">
        <v>0</v>
      </c>
      <c r="AH51" s="35">
        <v>51.68</v>
      </c>
      <c r="AI51" s="35">
        <v>0</v>
      </c>
      <c r="AJ51" s="35">
        <v>0</v>
      </c>
      <c r="AK51" s="12"/>
      <c r="AL51" s="38"/>
      <c r="AM51" s="1"/>
      <c r="AN51" s="71">
        <f t="shared" si="10"/>
        <v>292</v>
      </c>
      <c r="AO51" s="71">
        <f t="shared" si="11"/>
        <v>0</v>
      </c>
      <c r="AP51" s="71">
        <f t="shared" si="12"/>
        <v>467</v>
      </c>
      <c r="AQ51" s="72">
        <f>IF(OR($H51="GIROSSOL II",$H51="GIROSSOL II e III"),INDEX('Resumo Operacional'!$A$1:$P$1103,MATCH("Energia Injetada prevista total Fatura da Usina (TUSD)",'Resumo Operacional'!$B$1:$B$1103,0),MATCH('Detalhe Por UC'!$R51,'Resumo Operacional'!$A$1:$P$1,0))*$S51,INDEX('Resumo Operacional'!$A$1:$P$1103,53,MATCH('Detalhe Por UC'!$R51,'Resumo Operacional'!$A$1:$P$1,0))*$S51)</f>
        <v>277.48</v>
      </c>
      <c r="AR51" s="71">
        <f t="shared" si="13"/>
        <v>189.51999999999998</v>
      </c>
      <c r="AS51" s="73">
        <f t="shared" si="14"/>
        <v>81.010000000000019</v>
      </c>
      <c r="AT51" s="74">
        <f t="shared" si="15"/>
        <v>81.010000000000019</v>
      </c>
      <c r="AU51" s="74">
        <f t="shared" si="16"/>
        <v>0.93414331550802121</v>
      </c>
      <c r="AV51" s="74">
        <f t="shared" si="17"/>
        <v>134.55749999999998</v>
      </c>
      <c r="AW51" s="74">
        <f t="shared" si="18"/>
        <v>0</v>
      </c>
      <c r="AX51" s="74">
        <f t="shared" si="19"/>
        <v>179.40999999999997</v>
      </c>
      <c r="AY51" s="74">
        <f t="shared" si="20"/>
        <v>134.56</v>
      </c>
      <c r="AZ51" s="49"/>
      <c r="BA51" s="49"/>
      <c r="BB51" s="49"/>
      <c r="BC51" s="73" t="str">
        <f t="shared" si="21"/>
        <v/>
      </c>
      <c r="BD51" s="73">
        <f t="shared" si="22"/>
        <v>260.41999999999996</v>
      </c>
      <c r="BE51" s="73">
        <f t="shared" si="23"/>
        <v>215.5675</v>
      </c>
      <c r="BF51" s="77">
        <f t="shared" si="24"/>
        <v>44.85</v>
      </c>
      <c r="BG51" s="77">
        <f t="shared" si="25"/>
        <v>13.455</v>
      </c>
      <c r="BH51" s="77">
        <f t="shared" si="26"/>
        <v>179.41</v>
      </c>
      <c r="BI51" s="78">
        <f t="shared" si="27"/>
        <v>0.25</v>
      </c>
      <c r="BJ51" s="79">
        <f t="shared" si="28"/>
        <v>0.17222179556101685</v>
      </c>
      <c r="BK51" s="80">
        <f t="shared" si="29"/>
        <v>215.57000000000002</v>
      </c>
      <c r="BL51" s="80">
        <f t="shared" si="30"/>
        <v>44.849999999999937</v>
      </c>
      <c r="BM51" s="79">
        <f t="shared" si="31"/>
        <v>0.17222179556101661</v>
      </c>
      <c r="BN51" s="81">
        <f t="shared" si="32"/>
        <v>0.76891428571428577</v>
      </c>
      <c r="BO51" s="82">
        <f t="shared" si="33"/>
        <v>134.56</v>
      </c>
      <c r="BP51" s="81">
        <f t="shared" si="34"/>
        <v>0.76891428571428577</v>
      </c>
      <c r="BQ51" s="81">
        <f t="shared" si="35"/>
        <v>0.85997097020626445</v>
      </c>
      <c r="BR51" s="81">
        <f t="shared" si="36"/>
        <v>1.1162566844919786</v>
      </c>
      <c r="BS51" s="82">
        <f t="shared" si="37"/>
        <v>175</v>
      </c>
      <c r="BT51" s="82">
        <f t="shared" si="38"/>
        <v>195.34491978609626</v>
      </c>
      <c r="BU51" s="82">
        <f t="shared" si="39"/>
        <v>179.40999999999997</v>
      </c>
      <c r="BV51"/>
      <c r="BW51" s="82">
        <f>IFERROR(INDEX('Infos Clientes'!$T:$T,MATCH('Detalhe Por UC'!$C51,'Infos Clientes'!B:B,0)),"")</f>
        <v>0</v>
      </c>
      <c r="BX51" s="83">
        <f t="shared" si="40"/>
        <v>0</v>
      </c>
      <c r="BY51" s="84">
        <f t="shared" si="41"/>
        <v>0.22959388986983109</v>
      </c>
      <c r="BZ51" s="85">
        <f>IF(_xlfn.MINIFS('Detalhe Por UC'!R:R,'Detalhe Por UC'!C:C,C51,'Detalhe Por UC'!AD:AD,"&gt;"&amp;0)=0,"",_xlfn.MINIFS('Detalhe Por UC'!R:R,'Detalhe Por UC'!C:C,C51,'Detalhe Por UC'!AD:AD,"&gt;"&amp;0))</f>
        <v>45658</v>
      </c>
      <c r="CA51" s="114">
        <f ca="1">IF(OR(S51&gt;0,AD51&gt;0),IFERROR(
SUMIFS(INDIRECT("'Infos Clientes'!$W"&amp;INDEX('Infos Clientes'!$C:$C,MATCH(C51,'Infos Clientes'!$H:$H,0))&amp;":$CZ"&amp;INDEX('Infos Clientes'!$C:$C,MATCH(C51,'Infos Clientes'!$H:$H,0))),'Infos Clientes'!$W$2:$CZ$2,"&gt;"&amp;$R51-365,'Infos Clientes'!$W$2:$CZ$2,"&lt;="&amp;$R51)/
COUNTIFS(INDIRECT("'Infos Clientes'!$W"&amp;INDEX('Infos Clientes'!$C:$C,MATCH(C51,'Infos Clientes'!$H:$H,0))&amp;":$CZ"&amp;INDEX('Infos Clientes'!$C:$C,MATCH(C51,'Infos Clientes'!$H:$H,0))),"&gt;="&amp;0,'Infos Clientes'!$W$2:$CZ$2,"&gt;"&amp;$R51-365,'Infos Clientes'!$W$2:$CZ$2,"&lt;="&amp;$R51),""),"")</f>
        <v>162</v>
      </c>
      <c r="CB51" s="87">
        <f>VLOOKUP(C51,'Infos Clientes'!B:L,11,0)</f>
        <v>0</v>
      </c>
      <c r="CC51" s="88" t="str">
        <f t="shared" si="42"/>
        <v>A Unidade Consumidora 10/150263-2 economizou R$44,85 na fatura referente à jan/2025  consumindo 175 kWh em créditos de energia renovável conforme fatura de energia. A economia foi de 25% em relação ao que seria pago para a Energisa considerando os créditos consumidos. Atenção: Mantenha as contas da Energisa em dia para evitar cortes.</v>
      </c>
      <c r="CD51" s="40"/>
      <c r="CF51" s="115">
        <f t="shared" si="43"/>
        <v>-81.010000000000019</v>
      </c>
    </row>
    <row r="52" spans="1:84" s="104" customFormat="1" ht="16.2" hidden="1" customHeight="1" x14ac:dyDescent="0.3">
      <c r="A52" s="105" t="str">
        <f>INDEX('Infos Clientes'!$D:$D,MATCH('Detalhe Por UC'!C52,'Infos Clientes'!B:B,0))</f>
        <v>IGREJA DO EVANGELHO QUADRANGULAR</v>
      </c>
      <c r="B52" s="106" t="str">
        <f>INDEX('Infos Clientes'!$F:$F,MATCH('Detalhe Por UC'!C52,'Infos Clientes'!B:B,0))</f>
        <v>62.955.505/3932-07</v>
      </c>
      <c r="C52" s="107" t="s">
        <v>136</v>
      </c>
      <c r="D52" t="s">
        <v>351</v>
      </c>
      <c r="E52" s="1" t="s">
        <v>352</v>
      </c>
      <c r="F52" s="56" t="str">
        <f>INDEX('Infos Clientes'!$I:$I,MATCH('Detalhe Por UC'!C52,'Infos Clientes'!B:B,0))</f>
        <v>BT</v>
      </c>
      <c r="G52" s="56">
        <f>INDEX('Infos Clientes'!$J:$J,MATCH('Detalhe Por UC'!C52,'Infos Clientes'!B:B,0))</f>
        <v>0</v>
      </c>
      <c r="H52" s="108" t="s">
        <v>138</v>
      </c>
      <c r="I52" s="58">
        <f>IFERROR(VLOOKUP(C52,'Infos Clientes'!B:E,4,),"")</f>
        <v>302</v>
      </c>
      <c r="J52" s="109">
        <v>0.25</v>
      </c>
      <c r="K52" s="59">
        <f>INDEX('Infos Clientes'!$M:$M,MATCH('Detalhe Por UC'!C52,'Infos Clientes'!B:B,0))</f>
        <v>0.25</v>
      </c>
      <c r="L52" s="110"/>
      <c r="M52" s="56">
        <f>INDEX('Infos Clientes'!$N:$N,MATCH('Detalhe Por UC'!C52,'Infos Clientes'!B:B,0))</f>
        <v>0</v>
      </c>
      <c r="N52" s="56">
        <f t="shared" si="7"/>
        <v>0</v>
      </c>
      <c r="O52" s="56">
        <f t="shared" si="8"/>
        <v>0</v>
      </c>
      <c r="P52" s="56">
        <f t="shared" si="9"/>
        <v>0</v>
      </c>
      <c r="Q52" s="61">
        <f>IFERROR(IFERROR(INDEX('Infos Clientes'!$A$2:$V$9884,MATCH($C52,'Infos Clientes'!$B$2:$B$9884,0),MATCH(Q$8,'Infos Clientes'!$A$2:$V$2,0)),"")
+IF(OR(INDEX('Infos Clientes'!$A$2:$V$9884,MATCH($C52,'Infos Clientes'!$B$2:$B$9884,0),MATCH("Tempo de Fidelidade (meses)",'Infos Clientes'!$A$2:$V$2,0))=0,R52&gt;=MAX(R:R)),0,
ROUND((MAX(R:R)-R52)/(365/12),0)),"")</f>
        <v>0</v>
      </c>
      <c r="R52" s="111">
        <v>45658</v>
      </c>
      <c r="S52" s="112">
        <v>0</v>
      </c>
      <c r="T52" s="113" t="str">
        <f>IF($H52="GIROSSOL II",AP52/INDEX('Resumo Operacional'!$A$1:$P$1103,17,MATCH('Detalhe Por UC'!$R52,'Resumo Operacional'!$A$1:$P$1,0)),
IF($H52="GIROSSOL II e III",AP52/INDEX('Resumo Operacional'!$A$1:$P$1103,17,MATCH('Detalhe Por UC'!$R52,'Resumo Operacional'!$A$1:$P$1,0)),
""))</f>
        <v/>
      </c>
      <c r="U52" s="113">
        <f>IF($H52="GIROSSOL III",AP52/INDEX('Resumo Operacional'!$A$1:$P$1103,53,MATCH('Detalhe Por UC'!$R52,'Resumo Operacional'!$A$1:$P$1,0)),
IF($H52="GIROSSOL II e III",AP52/INDEX('Resumo Operacional'!$A$1:$P$1103,53,MATCH('Detalhe Por UC'!$R52,'Resumo Operacional'!$A$1:$P$1,0)),
""))</f>
        <v>0</v>
      </c>
      <c r="V52" s="12"/>
      <c r="W52" s="12"/>
      <c r="X52" s="67">
        <v>0</v>
      </c>
      <c r="Y52" s="116">
        <v>0</v>
      </c>
      <c r="Z52" s="66">
        <v>0</v>
      </c>
      <c r="AA52" s="35">
        <v>0</v>
      </c>
      <c r="AB52" s="68">
        <v>0</v>
      </c>
      <c r="AC52" s="35">
        <v>0</v>
      </c>
      <c r="AD52" s="69">
        <v>0</v>
      </c>
      <c r="AE52" s="35"/>
      <c r="AF52" s="69">
        <v>0</v>
      </c>
      <c r="AG52" s="69">
        <v>0</v>
      </c>
      <c r="AH52" s="16">
        <v>0</v>
      </c>
      <c r="AI52" s="16">
        <v>0</v>
      </c>
      <c r="AJ52" s="16">
        <v>0</v>
      </c>
      <c r="AK52" s="12"/>
      <c r="AL52" s="38"/>
      <c r="AM52" s="1"/>
      <c r="AN52" s="71">
        <f t="shared" si="10"/>
        <v>0</v>
      </c>
      <c r="AO52" s="71">
        <f t="shared" si="11"/>
        <v>0</v>
      </c>
      <c r="AP52" s="71">
        <f t="shared" si="12"/>
        <v>0</v>
      </c>
      <c r="AQ52" s="72">
        <f>IF(OR($H52="GIROSSOL II",$H52="GIROSSOL II e III"),INDEX('Resumo Operacional'!$A$1:$P$1103,MATCH("Energia Injetada prevista total Fatura da Usina (TUSD)",'Resumo Operacional'!$B$1:$B$1103,0),MATCH('Detalhe Por UC'!$R52,'Resumo Operacional'!$A$1:$P$1,0))*$S52,INDEX('Resumo Operacional'!$A$1:$P$1103,53,MATCH('Detalhe Por UC'!$R52,'Resumo Operacional'!$A$1:$P$1,0))*$S52)</f>
        <v>0</v>
      </c>
      <c r="AR52" s="71">
        <f t="shared" si="13"/>
        <v>0</v>
      </c>
      <c r="AS52" s="73">
        <f t="shared" si="14"/>
        <v>0</v>
      </c>
      <c r="AT52" s="74">
        <f t="shared" si="15"/>
        <v>0</v>
      </c>
      <c r="AU52" s="74" t="str">
        <f t="shared" si="16"/>
        <v/>
      </c>
      <c r="AV52" s="74">
        <f t="shared" si="17"/>
        <v>0</v>
      </c>
      <c r="AW52" s="74">
        <f t="shared" si="18"/>
        <v>0</v>
      </c>
      <c r="AX52" s="74">
        <f t="shared" si="19"/>
        <v>0</v>
      </c>
      <c r="AY52" s="74" t="str">
        <f t="shared" si="20"/>
        <v/>
      </c>
      <c r="AZ52" s="49"/>
      <c r="BA52" s="49"/>
      <c r="BB52" s="49"/>
      <c r="BC52" s="73" t="str">
        <f t="shared" si="21"/>
        <v/>
      </c>
      <c r="BD52" s="73">
        <f t="shared" si="22"/>
        <v>0</v>
      </c>
      <c r="BE52" s="73">
        <f t="shared" si="23"/>
        <v>0</v>
      </c>
      <c r="BF52" s="77">
        <f t="shared" si="24"/>
        <v>0</v>
      </c>
      <c r="BG52" s="77">
        <f t="shared" si="25"/>
        <v>0</v>
      </c>
      <c r="BH52" s="77">
        <f t="shared" si="26"/>
        <v>0</v>
      </c>
      <c r="BI52" s="78" t="str">
        <f t="shared" si="27"/>
        <v/>
      </c>
      <c r="BJ52" s="79" t="str">
        <f t="shared" si="28"/>
        <v/>
      </c>
      <c r="BK52" s="80" t="str">
        <f t="shared" si="29"/>
        <v/>
      </c>
      <c r="BL52" s="80" t="str">
        <f t="shared" si="30"/>
        <v/>
      </c>
      <c r="BM52" s="79" t="str">
        <f t="shared" si="31"/>
        <v/>
      </c>
      <c r="BN52" s="81" t="str">
        <f t="shared" si="32"/>
        <v/>
      </c>
      <c r="BO52" s="82" t="str">
        <f t="shared" si="33"/>
        <v/>
      </c>
      <c r="BP52" s="81" t="str">
        <f t="shared" si="34"/>
        <v/>
      </c>
      <c r="BQ52" s="81" t="str">
        <f t="shared" si="35"/>
        <v/>
      </c>
      <c r="BR52" s="81" t="str">
        <f t="shared" si="36"/>
        <v/>
      </c>
      <c r="BS52" s="82">
        <f t="shared" si="37"/>
        <v>0</v>
      </c>
      <c r="BT52" s="82" t="str">
        <f t="shared" si="38"/>
        <v/>
      </c>
      <c r="BU52" s="82">
        <f t="shared" si="39"/>
        <v>0</v>
      </c>
      <c r="BV52"/>
      <c r="BW52" s="82">
        <f>IFERROR(INDEX('Infos Clientes'!$T:$T,MATCH('Detalhe Por UC'!$C52,'Infos Clientes'!B:B,0)),"")</f>
        <v>0</v>
      </c>
      <c r="BX52" s="83">
        <f t="shared" si="40"/>
        <v>0</v>
      </c>
      <c r="BY52" s="84" t="str">
        <f t="shared" si="41"/>
        <v/>
      </c>
      <c r="BZ52" s="85" t="str">
        <f>IF(_xlfn.MINIFS('Detalhe Por UC'!R:R,'Detalhe Por UC'!C:C,C52,'Detalhe Por UC'!AD:AD,"&gt;"&amp;0)=0,"",_xlfn.MINIFS('Detalhe Por UC'!R:R,'Detalhe Por UC'!C:C,C52,'Detalhe Por UC'!AD:AD,"&gt;"&amp;0))</f>
        <v/>
      </c>
      <c r="CA52" s="114" t="str">
        <f ca="1">IF(OR(S52&gt;0,AD52&gt;0),IFERROR(
SUMIFS(INDIRECT("'Infos Clientes'!$W"&amp;INDEX('Infos Clientes'!$C:$C,MATCH(C52,'Infos Clientes'!$H:$H,0))&amp;":$CZ"&amp;INDEX('Infos Clientes'!$C:$C,MATCH(C52,'Infos Clientes'!$H:$H,0))),'Infos Clientes'!$W$2:$CZ$2,"&gt;"&amp;$R52-365,'Infos Clientes'!$W$2:$CZ$2,"&lt;="&amp;$R52)/
COUNTIFS(INDIRECT("'Infos Clientes'!$W"&amp;INDEX('Infos Clientes'!$C:$C,MATCH(C52,'Infos Clientes'!$H:$H,0))&amp;":$CZ"&amp;INDEX('Infos Clientes'!$C:$C,MATCH(C52,'Infos Clientes'!$H:$H,0))),"&gt;="&amp;0,'Infos Clientes'!$W$2:$CZ$2,"&gt;"&amp;$R52-365,'Infos Clientes'!$W$2:$CZ$2,"&lt;="&amp;$R52),""),"")</f>
        <v/>
      </c>
      <c r="CB52" s="87">
        <f>VLOOKUP(C52,'Infos Clientes'!B:L,11,0)</f>
        <v>0</v>
      </c>
      <c r="CC52" s="88" t="str">
        <f t="shared" si="42"/>
        <v>A Unidade Consumidora 10/10731-8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52" s="40" t="s">
        <v>137</v>
      </c>
      <c r="CF52" s="115">
        <f t="shared" si="43"/>
        <v>0</v>
      </c>
    </row>
    <row r="53" spans="1:84" s="104" customFormat="1" ht="16.2" hidden="1" customHeight="1" x14ac:dyDescent="0.3">
      <c r="A53" s="105" t="str">
        <f>INDEX('Infos Clientes'!$D:$D,MATCH('Detalhe Por UC'!C53,'Infos Clientes'!B:B,0))</f>
        <v>IGREJA DO EVANGELHO QUADRANGULAR</v>
      </c>
      <c r="B53" s="106" t="str">
        <f>INDEX('Infos Clientes'!$F:$F,MATCH('Detalhe Por UC'!C53,'Infos Clientes'!B:B,0))</f>
        <v>62.955.505/0169-18</v>
      </c>
      <c r="C53" s="31" t="s">
        <v>139</v>
      </c>
      <c r="D53" t="s">
        <v>351</v>
      </c>
      <c r="E53" s="1" t="s">
        <v>352</v>
      </c>
      <c r="F53" s="56" t="str">
        <f>INDEX('Infos Clientes'!$I:$I,MATCH('Detalhe Por UC'!C53,'Infos Clientes'!B:B,0))</f>
        <v>BT</v>
      </c>
      <c r="G53" s="56" t="str">
        <f>INDEX('Infos Clientes'!$J:$J,MATCH('Detalhe Por UC'!C53,'Infos Clientes'!B:B,0))</f>
        <v>bifasico</v>
      </c>
      <c r="H53" s="108" t="s">
        <v>24</v>
      </c>
      <c r="I53" s="58">
        <f>IFERROR(VLOOKUP(C53,'Infos Clientes'!B:E,4,),"")</f>
        <v>351</v>
      </c>
      <c r="J53" s="109">
        <v>0.25</v>
      </c>
      <c r="K53" s="59">
        <f>INDEX('Infos Clientes'!$M:$M,MATCH('Detalhe Por UC'!C53,'Infos Clientes'!B:B,0))</f>
        <v>0.25</v>
      </c>
      <c r="L53" s="110"/>
      <c r="M53" s="56">
        <f>INDEX('Infos Clientes'!$N:$N,MATCH('Detalhe Por UC'!C53,'Infos Clientes'!B:B,0))</f>
        <v>0</v>
      </c>
      <c r="N53" s="56">
        <f t="shared" si="7"/>
        <v>0</v>
      </c>
      <c r="O53" s="56">
        <f t="shared" si="8"/>
        <v>9</v>
      </c>
      <c r="P53" s="56">
        <f t="shared" si="9"/>
        <v>0</v>
      </c>
      <c r="Q53" s="61">
        <f>IFERROR(IFERROR(INDEX('Infos Clientes'!$A$2:$V$9884,MATCH($C53,'Infos Clientes'!$B$2:$B$9884,0),MATCH(Q$8,'Infos Clientes'!$A$2:$V$2,0)),"")
+IF(OR(INDEX('Infos Clientes'!$A$2:$V$9884,MATCH($C53,'Infos Clientes'!$B$2:$B$9884,0),MATCH("Tempo de Fidelidade (meses)",'Infos Clientes'!$A$2:$V$2,0))=0,R53&gt;=MAX(R:R)),0,
ROUND((MAX(R:R)-R53)/(365/12),0)),"")</f>
        <v>0</v>
      </c>
      <c r="R53" s="111">
        <v>45658</v>
      </c>
      <c r="S53" s="112">
        <v>0.03</v>
      </c>
      <c r="T53" s="113">
        <f>IF($H53="GIROSSOL II",AP53/INDEX('Resumo Operacional'!$A$1:$P$1103,17,MATCH('Detalhe Por UC'!$R53,'Resumo Operacional'!$A$1:$P$1,0)),
IF($H53="GIROSSOL II e III",AP53/INDEX('Resumo Operacional'!$A$1:$P$1103,17,MATCH('Detalhe Por UC'!$R53,'Resumo Operacional'!$A$1:$P$1,0)),
""))</f>
        <v>2.9479602133487097E-2</v>
      </c>
      <c r="U53" s="113" t="str">
        <f>IF($H53="GIROSSOL III",AP53/INDEX('Resumo Operacional'!$A$1:$P$1103,53,MATCH('Detalhe Por UC'!$R53,'Resumo Operacional'!$A$1:$P$1,0)),
IF($H53="GIROSSOL II e III",AP53/INDEX('Resumo Operacional'!$A$1:$P$1103,53,MATCH('Detalhe Por UC'!$R53,'Resumo Operacional'!$A$1:$P$1,0)),
""))</f>
        <v/>
      </c>
      <c r="V53" s="12"/>
      <c r="W53" s="12"/>
      <c r="X53" s="67">
        <v>1.1162618296529969</v>
      </c>
      <c r="Y53" s="116">
        <v>0</v>
      </c>
      <c r="Z53" s="66">
        <v>1.1162591687041565</v>
      </c>
      <c r="AA53" s="35">
        <v>0</v>
      </c>
      <c r="AB53" s="68">
        <v>634</v>
      </c>
      <c r="AC53" s="35">
        <v>0</v>
      </c>
      <c r="AD53" s="69">
        <v>409</v>
      </c>
      <c r="AE53" s="35"/>
      <c r="AF53" s="69">
        <v>0</v>
      </c>
      <c r="AG53" s="69">
        <v>0</v>
      </c>
      <c r="AH53" s="16">
        <v>72.73</v>
      </c>
      <c r="AI53" s="16">
        <v>0</v>
      </c>
      <c r="AJ53" s="16">
        <v>0</v>
      </c>
      <c r="AK53" s="12"/>
      <c r="AL53" s="38"/>
      <c r="AM53" s="1"/>
      <c r="AN53" s="71">
        <f t="shared" si="10"/>
        <v>0</v>
      </c>
      <c r="AO53" s="71">
        <f t="shared" si="11"/>
        <v>0</v>
      </c>
      <c r="AP53" s="71">
        <f t="shared" si="12"/>
        <v>409</v>
      </c>
      <c r="AQ53" s="72">
        <f>IF(OR($H53="GIROSSOL II",$H53="GIROSSOL II e III"),INDEX('Resumo Operacional'!$A$1:$P$1103,MATCH("Energia Injetada prevista total Fatura da Usina (TUSD)",'Resumo Operacional'!$B$1:$B$1103,0),MATCH('Detalhe Por UC'!$R53,'Resumo Operacional'!$A$1:$P$1,0))*$S53,INDEX('Resumo Operacional'!$A$1:$P$1103,53,MATCH('Detalhe Por UC'!$R53,'Resumo Operacional'!$A$1:$P$1,0))*$S53)</f>
        <v>416.21999999999997</v>
      </c>
      <c r="AR53" s="71">
        <f t="shared" si="13"/>
        <v>-7.2199999999999704</v>
      </c>
      <c r="AS53" s="73">
        <f t="shared" si="14"/>
        <v>323.89000000000004</v>
      </c>
      <c r="AT53" s="74">
        <f t="shared" si="15"/>
        <v>323.89000000000004</v>
      </c>
      <c r="AU53" s="74">
        <f t="shared" si="16"/>
        <v>1.1162565077553162</v>
      </c>
      <c r="AV53" s="74">
        <f t="shared" si="17"/>
        <v>342.41250000000002</v>
      </c>
      <c r="AW53" s="74">
        <f t="shared" si="18"/>
        <v>0</v>
      </c>
      <c r="AX53" s="74">
        <f t="shared" si="19"/>
        <v>456.55</v>
      </c>
      <c r="AY53" s="74">
        <f t="shared" si="20"/>
        <v>342.41</v>
      </c>
      <c r="AZ53" s="49">
        <v>342.41</v>
      </c>
      <c r="BA53" s="117">
        <v>342.41</v>
      </c>
      <c r="BB53" s="49">
        <v>342.41</v>
      </c>
      <c r="BC53" s="73" t="str">
        <f t="shared" si="21"/>
        <v/>
      </c>
      <c r="BD53" s="73">
        <f t="shared" si="22"/>
        <v>780.44</v>
      </c>
      <c r="BE53" s="73">
        <f t="shared" si="23"/>
        <v>666.30250000000001</v>
      </c>
      <c r="BF53" s="77">
        <f t="shared" si="24"/>
        <v>114.14</v>
      </c>
      <c r="BG53" s="77">
        <f t="shared" si="25"/>
        <v>34.241999999999997</v>
      </c>
      <c r="BH53" s="77">
        <f t="shared" si="26"/>
        <v>456.55000000000007</v>
      </c>
      <c r="BI53" s="78">
        <f t="shared" si="27"/>
        <v>0.25</v>
      </c>
      <c r="BJ53" s="79">
        <f t="shared" si="28"/>
        <v>0.14625083286351287</v>
      </c>
      <c r="BK53" s="80">
        <f t="shared" si="29"/>
        <v>666.30000000000007</v>
      </c>
      <c r="BL53" s="80">
        <f t="shared" si="30"/>
        <v>114.13999999999999</v>
      </c>
      <c r="BM53" s="79">
        <f t="shared" si="31"/>
        <v>0.14625083286351287</v>
      </c>
      <c r="BN53" s="81">
        <f t="shared" si="32"/>
        <v>0.83718826405867974</v>
      </c>
      <c r="BO53" s="82">
        <f t="shared" si="33"/>
        <v>342.41</v>
      </c>
      <c r="BP53" s="81">
        <f t="shared" si="34"/>
        <v>0.83718826405867974</v>
      </c>
      <c r="BQ53" s="81">
        <f t="shared" si="35"/>
        <v>0.83719092500752013</v>
      </c>
      <c r="BR53" s="81">
        <f t="shared" si="36"/>
        <v>1.1162618296529969</v>
      </c>
      <c r="BS53" s="82">
        <f t="shared" si="37"/>
        <v>409</v>
      </c>
      <c r="BT53" s="82">
        <f t="shared" si="38"/>
        <v>456.55108832807576</v>
      </c>
      <c r="BU53" s="82">
        <f t="shared" si="39"/>
        <v>456.55</v>
      </c>
      <c r="BV53"/>
      <c r="BW53" s="82">
        <f>IFERROR(INDEX('Infos Clientes'!$T:$T,MATCH('Detalhe Por UC'!$C53,'Infos Clientes'!B:B,0)),"")</f>
        <v>547.4545454545455</v>
      </c>
      <c r="BX53" s="83">
        <f t="shared" si="40"/>
        <v>0</v>
      </c>
      <c r="BY53" s="84">
        <f t="shared" si="41"/>
        <v>0.25000487988757014</v>
      </c>
      <c r="BZ53" s="85">
        <f>IF(_xlfn.MINIFS('Detalhe Por UC'!R:R,'Detalhe Por UC'!C:C,C53,'Detalhe Por UC'!AD:AD,"&gt;"&amp;0)=0,"",_xlfn.MINIFS('Detalhe Por UC'!R:R,'Detalhe Por UC'!C:C,C53,'Detalhe Por UC'!AD:AD,"&gt;"&amp;0))</f>
        <v>45658</v>
      </c>
      <c r="CA53" s="114">
        <f ca="1">IF(OR(S53&gt;0,AD53&gt;0),IFERROR(
SUMIFS(INDIRECT("'Infos Clientes'!$W"&amp;INDEX('Infos Clientes'!$C:$C,MATCH(C53,'Infos Clientes'!$H:$H,0))&amp;":$CZ"&amp;INDEX('Infos Clientes'!$C:$C,MATCH(C53,'Infos Clientes'!$H:$H,0))),'Infos Clientes'!$W$2:$CZ$2,"&gt;"&amp;$R53-365,'Infos Clientes'!$W$2:$CZ$2,"&lt;="&amp;$R53)/
COUNTIFS(INDIRECT("'Infos Clientes'!$W"&amp;INDEX('Infos Clientes'!$C:$C,MATCH(C53,'Infos Clientes'!$H:$H,0))&amp;":$CZ"&amp;INDEX('Infos Clientes'!$C:$C,MATCH(C53,'Infos Clientes'!$H:$H,0))),"&gt;="&amp;0,'Infos Clientes'!$W$2:$CZ$2,"&gt;"&amp;$R53-365,'Infos Clientes'!$W$2:$CZ$2,"&lt;="&amp;$R53),""),"")</f>
        <v>501.83333333333331</v>
      </c>
      <c r="CB53" s="87">
        <f>VLOOKUP(C53,'Infos Clientes'!B:L,11,0)</f>
        <v>0</v>
      </c>
      <c r="CC53" s="88" t="str">
        <f t="shared" si="42"/>
        <v>A Unidade Consumidora 10/1081489-5 economizou R$114,14 na fatura referente à jan/2025  consumindo 409 kWh em créditos de energia renovável conforme fatura de energia. A economia foi de 25% em relação ao que seria pago para a Energisa considerando os créditos consumidos. Atenção: Mantenha as contas da Energisa em dia para evitar cortes.</v>
      </c>
      <c r="CD53" s="40" t="s">
        <v>141</v>
      </c>
      <c r="CF53" s="115">
        <f t="shared" si="43"/>
        <v>-323.89000000000004</v>
      </c>
    </row>
    <row r="54" spans="1:84" s="104" customFormat="1" ht="16.2" hidden="1" customHeight="1" x14ac:dyDescent="0.3">
      <c r="A54" s="105" t="str">
        <f>INDEX('Infos Clientes'!$D:$D,MATCH('Detalhe Por UC'!C54,'Infos Clientes'!B:B,0))</f>
        <v>IGREJA DO EVANGELHO QUADRANGULAR</v>
      </c>
      <c r="B54" s="106" t="str">
        <f>INDEX('Infos Clientes'!$F:$F,MATCH('Detalhe Por UC'!C54,'Infos Clientes'!B:B,0))</f>
        <v>62.955.505/0001-67</v>
      </c>
      <c r="C54" s="31" t="s">
        <v>142</v>
      </c>
      <c r="D54" t="s">
        <v>351</v>
      </c>
      <c r="E54" s="1" t="s">
        <v>352</v>
      </c>
      <c r="F54" s="56" t="str">
        <f>INDEX('Infos Clientes'!$I:$I,MATCH('Detalhe Por UC'!C54,'Infos Clientes'!B:B,0))</f>
        <v>BT</v>
      </c>
      <c r="G54" s="56" t="str">
        <f>INDEX('Infos Clientes'!$J:$J,MATCH('Detalhe Por UC'!C54,'Infos Clientes'!B:B,0))</f>
        <v>bifasico</v>
      </c>
      <c r="H54" s="108" t="s">
        <v>24</v>
      </c>
      <c r="I54" s="58">
        <f>IFERROR(VLOOKUP(C54,'Infos Clientes'!B:E,4,),"")</f>
        <v>319</v>
      </c>
      <c r="J54" s="109">
        <v>0.25</v>
      </c>
      <c r="K54" s="59">
        <f>INDEX('Infos Clientes'!$M:$M,MATCH('Detalhe Por UC'!C54,'Infos Clientes'!B:B,0))</f>
        <v>0.25</v>
      </c>
      <c r="L54" s="110"/>
      <c r="M54" s="56">
        <f>INDEX('Infos Clientes'!$N:$N,MATCH('Detalhe Por UC'!C54,'Infos Clientes'!B:B,0))</f>
        <v>0</v>
      </c>
      <c r="N54" s="56">
        <f t="shared" si="7"/>
        <v>0</v>
      </c>
      <c r="O54" s="56">
        <f t="shared" si="8"/>
        <v>9</v>
      </c>
      <c r="P54" s="56">
        <f t="shared" si="9"/>
        <v>0</v>
      </c>
      <c r="Q54" s="61">
        <f>IFERROR(IFERROR(INDEX('Infos Clientes'!$A$2:$V$9884,MATCH($C54,'Infos Clientes'!$B$2:$B$9884,0),MATCH(Q$8,'Infos Clientes'!$A$2:$V$2,0)),"")
+IF(OR(INDEX('Infos Clientes'!$A$2:$V$9884,MATCH($C54,'Infos Clientes'!$B$2:$B$9884,0),MATCH("Tempo de Fidelidade (meses)",'Infos Clientes'!$A$2:$V$2,0))=0,R54&gt;=MAX(R:R)),0,
ROUND((MAX(R:R)-R54)/(365/12),0)),"")</f>
        <v>0</v>
      </c>
      <c r="R54" s="111">
        <v>45658</v>
      </c>
      <c r="S54" s="112">
        <v>0.02</v>
      </c>
      <c r="T54" s="113">
        <f>IF($H54="GIROSSOL II",AP54/INDEX('Resumo Operacional'!$A$1:$P$1103,17,MATCH('Detalhe Por UC'!$R54,'Resumo Operacional'!$A$1:$P$1,0)),
IF($H54="GIROSSOL II e III",AP54/INDEX('Resumo Operacional'!$A$1:$P$1103,17,MATCH('Detalhe Por UC'!$R54,'Resumo Operacional'!$A$1:$P$1,0)),
""))</f>
        <v>9.8025082888856859E-3</v>
      </c>
      <c r="U54" s="113" t="str">
        <f>IF($H54="GIROSSOL III",AP54/INDEX('Resumo Operacional'!$A$1:$P$1103,53,MATCH('Detalhe Por UC'!$R54,'Resumo Operacional'!$A$1:$P$1,0)),
IF($H54="GIROSSOL II e III",AP54/INDEX('Resumo Operacional'!$A$1:$P$1103,53,MATCH('Detalhe Por UC'!$R54,'Resumo Operacional'!$A$1:$P$1,0)),
""))</f>
        <v/>
      </c>
      <c r="V54" s="12"/>
      <c r="W54" s="12"/>
      <c r="X54" s="67">
        <v>1.1162272727272726</v>
      </c>
      <c r="Y54" s="116">
        <v>0</v>
      </c>
      <c r="Z54" s="66">
        <v>1.11625</v>
      </c>
      <c r="AA54" s="35">
        <v>0</v>
      </c>
      <c r="AB54" s="68">
        <v>220</v>
      </c>
      <c r="AC54" s="35">
        <v>0</v>
      </c>
      <c r="AD54" s="69">
        <v>136</v>
      </c>
      <c r="AE54" s="35"/>
      <c r="AF54" s="69">
        <v>0</v>
      </c>
      <c r="AG54" s="69">
        <v>0</v>
      </c>
      <c r="AH54" s="16">
        <v>16.329999999999998</v>
      </c>
      <c r="AI54" s="16">
        <v>0</v>
      </c>
      <c r="AJ54" s="16">
        <v>0</v>
      </c>
      <c r="AK54" s="12"/>
      <c r="AL54" s="38"/>
      <c r="AM54" s="1"/>
      <c r="AN54" s="71">
        <f t="shared" si="10"/>
        <v>0</v>
      </c>
      <c r="AO54" s="71">
        <f t="shared" si="11"/>
        <v>0</v>
      </c>
      <c r="AP54" s="71">
        <f t="shared" si="12"/>
        <v>136</v>
      </c>
      <c r="AQ54" s="72">
        <f>IF(OR($H54="GIROSSOL II",$H54="GIROSSOL II e III"),INDEX('Resumo Operacional'!$A$1:$P$1103,MATCH("Energia Injetada prevista total Fatura da Usina (TUSD)",'Resumo Operacional'!$B$1:$B$1103,0),MATCH('Detalhe Por UC'!$R54,'Resumo Operacional'!$A$1:$P$1,0))*$S54,INDEX('Resumo Operacional'!$A$1:$P$1103,53,MATCH('Detalhe Por UC'!$R54,'Resumo Operacional'!$A$1:$P$1,0))*$S54)</f>
        <v>277.48</v>
      </c>
      <c r="AR54" s="71">
        <f t="shared" si="13"/>
        <v>-141.48000000000002</v>
      </c>
      <c r="AS54" s="73">
        <f t="shared" si="14"/>
        <v>110.08999999999996</v>
      </c>
      <c r="AT54" s="74">
        <f t="shared" si="15"/>
        <v>110.08999999999996</v>
      </c>
      <c r="AU54" s="74">
        <f t="shared" si="16"/>
        <v>1.1162727272727273</v>
      </c>
      <c r="AV54" s="74">
        <f t="shared" si="17"/>
        <v>113.8575</v>
      </c>
      <c r="AW54" s="74">
        <f t="shared" si="18"/>
        <v>0</v>
      </c>
      <c r="AX54" s="74">
        <f t="shared" si="19"/>
        <v>151.81</v>
      </c>
      <c r="AY54" s="74">
        <f t="shared" si="20"/>
        <v>113.86</v>
      </c>
      <c r="AZ54" s="49">
        <v>113.86</v>
      </c>
      <c r="BA54" s="117">
        <v>113.86</v>
      </c>
      <c r="BB54" s="49">
        <v>113.86</v>
      </c>
      <c r="BC54" s="73" t="str">
        <f t="shared" si="21"/>
        <v/>
      </c>
      <c r="BD54" s="73">
        <f t="shared" si="22"/>
        <v>261.89999999999998</v>
      </c>
      <c r="BE54" s="73">
        <f t="shared" si="23"/>
        <v>223.94749999999996</v>
      </c>
      <c r="BF54" s="77">
        <f t="shared" si="24"/>
        <v>37.950000000000003</v>
      </c>
      <c r="BG54" s="77">
        <f t="shared" si="25"/>
        <v>11.385</v>
      </c>
      <c r="BH54" s="77">
        <f t="shared" si="26"/>
        <v>151.81</v>
      </c>
      <c r="BI54" s="78">
        <f t="shared" si="27"/>
        <v>0.25</v>
      </c>
      <c r="BJ54" s="79">
        <f t="shared" si="28"/>
        <v>0.14490263459335626</v>
      </c>
      <c r="BK54" s="80">
        <f t="shared" si="29"/>
        <v>223.94999999999996</v>
      </c>
      <c r="BL54" s="80">
        <f t="shared" si="30"/>
        <v>37.950000000000017</v>
      </c>
      <c r="BM54" s="79">
        <f t="shared" si="31"/>
        <v>0.14490263459335631</v>
      </c>
      <c r="BN54" s="81">
        <f t="shared" si="32"/>
        <v>0.83720588235294113</v>
      </c>
      <c r="BO54" s="82">
        <f t="shared" si="33"/>
        <v>113.86</v>
      </c>
      <c r="BP54" s="81">
        <f t="shared" si="34"/>
        <v>0.83720588235294113</v>
      </c>
      <c r="BQ54" s="81">
        <f t="shared" si="35"/>
        <v>0.83718315508021379</v>
      </c>
      <c r="BR54" s="81">
        <f t="shared" si="36"/>
        <v>1.1162272727272726</v>
      </c>
      <c r="BS54" s="82">
        <f t="shared" si="37"/>
        <v>136</v>
      </c>
      <c r="BT54" s="82">
        <f t="shared" si="38"/>
        <v>151.80690909090907</v>
      </c>
      <c r="BU54" s="82">
        <f t="shared" si="39"/>
        <v>151.81</v>
      </c>
      <c r="BV54"/>
      <c r="BW54" s="82">
        <f>IFERROR(INDEX('Infos Clientes'!$T:$T,MATCH('Detalhe Por UC'!$C54,'Infos Clientes'!B:B,0)),"")</f>
        <v>244.81818181818181</v>
      </c>
      <c r="BX54" s="83">
        <f t="shared" si="40"/>
        <v>0</v>
      </c>
      <c r="BY54" s="84">
        <f t="shared" si="41"/>
        <v>0.24998862190965079</v>
      </c>
      <c r="BZ54" s="85">
        <f>IF(_xlfn.MINIFS('Detalhe Por UC'!R:R,'Detalhe Por UC'!C:C,C54,'Detalhe Por UC'!AD:AD,"&gt;"&amp;0)=0,"",_xlfn.MINIFS('Detalhe Por UC'!R:R,'Detalhe Por UC'!C:C,C54,'Detalhe Por UC'!AD:AD,"&gt;"&amp;0))</f>
        <v>45658</v>
      </c>
      <c r="CA54" s="114">
        <f ca="1">IF(OR(S54&gt;0,AD54&gt;0),IFERROR(
SUMIFS(INDIRECT("'Infos Clientes'!$W"&amp;INDEX('Infos Clientes'!$C:$C,MATCH(C54,'Infos Clientes'!$H:$H,0))&amp;":$CZ"&amp;INDEX('Infos Clientes'!$C:$C,MATCH(C54,'Infos Clientes'!$H:$H,0))),'Infos Clientes'!$W$2:$CZ$2,"&gt;"&amp;$R54-365,'Infos Clientes'!$W$2:$CZ$2,"&lt;="&amp;$R54)/
COUNTIFS(INDIRECT("'Infos Clientes'!$W"&amp;INDEX('Infos Clientes'!$C:$C,MATCH(C54,'Infos Clientes'!$H:$H,0))&amp;":$CZ"&amp;INDEX('Infos Clientes'!$C:$C,MATCH(C54,'Infos Clientes'!$H:$H,0))),"&gt;="&amp;0,'Infos Clientes'!$W$2:$CZ$2,"&gt;"&amp;$R54-365,'Infos Clientes'!$W$2:$CZ$2,"&lt;="&amp;$R54),""),"")</f>
        <v>224.41666666666666</v>
      </c>
      <c r="CB54" s="87">
        <f>VLOOKUP(C54,'Infos Clientes'!B:L,11,0)</f>
        <v>0</v>
      </c>
      <c r="CC54" s="88" t="str">
        <f t="shared" si="42"/>
        <v>A Unidade Consumidora 10/109074-5 economizou R$37,95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54" s="40" t="s">
        <v>143</v>
      </c>
      <c r="CF54" s="115">
        <f t="shared" si="43"/>
        <v>-110.08999999999996</v>
      </c>
    </row>
    <row r="55" spans="1:84" s="104" customFormat="1" ht="16.2" hidden="1" customHeight="1" x14ac:dyDescent="0.3">
      <c r="A55" s="105" t="str">
        <f>INDEX('Infos Clientes'!$D:$D,MATCH('Detalhe Por UC'!C55,'Infos Clientes'!B:B,0))</f>
        <v>IGREJA DO EVANGELHO QUADRANGULAR</v>
      </c>
      <c r="B55" s="106" t="str">
        <f>INDEX('Infos Clientes'!$F:$F,MATCH('Detalhe Por UC'!C55,'Infos Clientes'!B:B,0))</f>
        <v>62.955.505/0408-94</v>
      </c>
      <c r="C55" s="31" t="s">
        <v>144</v>
      </c>
      <c r="D55" t="s">
        <v>351</v>
      </c>
      <c r="E55" s="1" t="s">
        <v>352</v>
      </c>
      <c r="F55" s="56" t="str">
        <f>INDEX('Infos Clientes'!$I:$I,MATCH('Detalhe Por UC'!C55,'Infos Clientes'!B:B,0))</f>
        <v>BT</v>
      </c>
      <c r="G55" s="56" t="str">
        <f>INDEX('Infos Clientes'!$J:$J,MATCH('Detalhe Por UC'!C55,'Infos Clientes'!B:B,0))</f>
        <v>bifasico</v>
      </c>
      <c r="H55" s="108" t="s">
        <v>138</v>
      </c>
      <c r="I55" s="58">
        <f>IFERROR(VLOOKUP(C55,'Infos Clientes'!B:E,4,),"")</f>
        <v>371</v>
      </c>
      <c r="J55" s="109">
        <v>0.25</v>
      </c>
      <c r="K55" s="59">
        <f>INDEX('Infos Clientes'!$M:$M,MATCH('Detalhe Por UC'!C55,'Infos Clientes'!B:B,0))</f>
        <v>0.25</v>
      </c>
      <c r="L55" s="110"/>
      <c r="M55" s="56">
        <f>INDEX('Infos Clientes'!$N:$N,MATCH('Detalhe Por UC'!C55,'Infos Clientes'!B:B,0))</f>
        <v>0</v>
      </c>
      <c r="N55" s="56">
        <f t="shared" si="7"/>
        <v>0</v>
      </c>
      <c r="O55" s="56">
        <f t="shared" si="8"/>
        <v>9</v>
      </c>
      <c r="P55" s="56">
        <f t="shared" si="9"/>
        <v>0</v>
      </c>
      <c r="Q55" s="61">
        <f>IFERROR(IFERROR(INDEX('Infos Clientes'!$A$2:$V$9884,MATCH($C55,'Infos Clientes'!$B$2:$B$9884,0),MATCH(Q$8,'Infos Clientes'!$A$2:$V$2,0)),"")
+IF(OR(INDEX('Infos Clientes'!$A$2:$V$9884,MATCH($C55,'Infos Clientes'!$B$2:$B$9884,0),MATCH("Tempo de Fidelidade (meses)",'Infos Clientes'!$A$2:$V$2,0))=0,R55&gt;=MAX(R:R)),0,
ROUND((MAX(R:R)-R55)/(365/12),0)),"")</f>
        <v>0</v>
      </c>
      <c r="R55" s="111">
        <v>45658</v>
      </c>
      <c r="S55" s="112">
        <v>0.01</v>
      </c>
      <c r="T55" s="113" t="str">
        <f>IF($H55="GIROSSOL II",AP55/INDEX('Resumo Operacional'!$A$1:$P$1103,17,MATCH('Detalhe Por UC'!$R55,'Resumo Operacional'!$A$1:$P$1,0)),
IF($H55="GIROSSOL II e III",AP55/INDEX('Resumo Operacional'!$A$1:$P$1103,17,MATCH('Detalhe Por UC'!$R55,'Resumo Operacional'!$A$1:$P$1,0)),
""))</f>
        <v/>
      </c>
      <c r="U55" s="113">
        <f>IF($H55="GIROSSOL III",AP55/INDEX('Resumo Operacional'!$A$1:$P$1103,53,MATCH('Detalhe Por UC'!$R55,'Resumo Operacional'!$A$1:$P$1,0)),
IF($H55="GIROSSOL II e III",AP55/INDEX('Resumo Operacional'!$A$1:$P$1103,53,MATCH('Detalhe Por UC'!$R55,'Resumo Operacional'!$A$1:$P$1,0)),
""))</f>
        <v>8.2439231375401583E-3</v>
      </c>
      <c r="V55" s="12"/>
      <c r="W55" s="12"/>
      <c r="X55" s="67">
        <v>1.1162571428571428</v>
      </c>
      <c r="Y55" s="116">
        <v>0</v>
      </c>
      <c r="Z55" s="66">
        <v>0.98022058823529412</v>
      </c>
      <c r="AA55" s="35">
        <v>0</v>
      </c>
      <c r="AB55" s="68">
        <v>350</v>
      </c>
      <c r="AC55" s="35">
        <v>0</v>
      </c>
      <c r="AD55" s="69">
        <v>136</v>
      </c>
      <c r="AE55" s="35"/>
      <c r="AF55" s="69">
        <v>0</v>
      </c>
      <c r="AG55" s="69">
        <v>0</v>
      </c>
      <c r="AH55" s="16">
        <v>35.35</v>
      </c>
      <c r="AI55" s="16">
        <v>0</v>
      </c>
      <c r="AJ55" s="16">
        <v>0</v>
      </c>
      <c r="AK55" s="12"/>
      <c r="AL55" s="38"/>
      <c r="AM55" s="1"/>
      <c r="AN55" s="71">
        <f t="shared" si="10"/>
        <v>0</v>
      </c>
      <c r="AO55" s="71">
        <f t="shared" si="11"/>
        <v>0</v>
      </c>
      <c r="AP55" s="71">
        <f t="shared" si="12"/>
        <v>136</v>
      </c>
      <c r="AQ55" s="72">
        <f>IF(OR($H55="GIROSSOL II",$H55="GIROSSOL II e III"),INDEX('Resumo Operacional'!$A$1:$P$1103,MATCH("Energia Injetada prevista total Fatura da Usina (TUSD)",'Resumo Operacional'!$B$1:$B$1103,0),MATCH('Detalhe Por UC'!$R55,'Resumo Operacional'!$A$1:$P$1,0))*$S55,INDEX('Resumo Operacional'!$A$1:$P$1103,53,MATCH('Detalhe Por UC'!$R55,'Resumo Operacional'!$A$1:$P$1,0))*$S55)</f>
        <v>164.97</v>
      </c>
      <c r="AR55" s="71">
        <f t="shared" si="13"/>
        <v>-28.97</v>
      </c>
      <c r="AS55" s="73">
        <f t="shared" si="14"/>
        <v>292.73</v>
      </c>
      <c r="AT55" s="74">
        <f t="shared" si="15"/>
        <v>292.73</v>
      </c>
      <c r="AU55" s="74">
        <f t="shared" si="16"/>
        <v>0.84418403361344541</v>
      </c>
      <c r="AV55" s="74">
        <f t="shared" si="17"/>
        <v>99.982499999999987</v>
      </c>
      <c r="AW55" s="74">
        <f t="shared" si="18"/>
        <v>0</v>
      </c>
      <c r="AX55" s="74">
        <f t="shared" si="19"/>
        <v>133.31</v>
      </c>
      <c r="AY55" s="74">
        <f t="shared" si="20"/>
        <v>99.98</v>
      </c>
      <c r="AZ55" s="49">
        <v>99.98</v>
      </c>
      <c r="BA55" s="117">
        <v>99.98</v>
      </c>
      <c r="BB55" s="49">
        <v>99.98</v>
      </c>
      <c r="BC55" s="73" t="str">
        <f t="shared" si="21"/>
        <v/>
      </c>
      <c r="BD55" s="73">
        <f t="shared" si="22"/>
        <v>426.04</v>
      </c>
      <c r="BE55" s="73">
        <f t="shared" si="23"/>
        <v>392.71249999999998</v>
      </c>
      <c r="BF55" s="77">
        <f t="shared" si="24"/>
        <v>33.33</v>
      </c>
      <c r="BG55" s="77">
        <f t="shared" si="25"/>
        <v>9.9989999999999988</v>
      </c>
      <c r="BH55" s="77">
        <f t="shared" si="26"/>
        <v>133.31</v>
      </c>
      <c r="BI55" s="78">
        <f t="shared" si="27"/>
        <v>0.25</v>
      </c>
      <c r="BJ55" s="79">
        <f t="shared" si="28"/>
        <v>7.8232090883485109E-2</v>
      </c>
      <c r="BK55" s="80">
        <f t="shared" si="29"/>
        <v>392.71000000000004</v>
      </c>
      <c r="BL55" s="80">
        <f t="shared" si="30"/>
        <v>33.329999999999984</v>
      </c>
      <c r="BM55" s="79">
        <f t="shared" si="31"/>
        <v>7.8232090883485081E-2</v>
      </c>
      <c r="BN55" s="81">
        <f t="shared" si="32"/>
        <v>0.73514705882352949</v>
      </c>
      <c r="BO55" s="82">
        <f t="shared" si="33"/>
        <v>99.98</v>
      </c>
      <c r="BP55" s="81">
        <f t="shared" si="34"/>
        <v>0.73514705882352949</v>
      </c>
      <c r="BQ55" s="81">
        <f t="shared" si="35"/>
        <v>0.8711836134453782</v>
      </c>
      <c r="BR55" s="81">
        <f t="shared" si="36"/>
        <v>1.1162571428571428</v>
      </c>
      <c r="BS55" s="82">
        <f t="shared" si="37"/>
        <v>136</v>
      </c>
      <c r="BT55" s="82">
        <f t="shared" si="38"/>
        <v>151.81097142857143</v>
      </c>
      <c r="BU55" s="82">
        <f t="shared" si="39"/>
        <v>133.31</v>
      </c>
      <c r="BV55"/>
      <c r="BW55" s="82">
        <f>IFERROR(INDEX('Infos Clientes'!$T:$T,MATCH('Detalhe Por UC'!$C55,'Infos Clientes'!B:B,0)),"")</f>
        <v>238.54545454545453</v>
      </c>
      <c r="BX55" s="83">
        <f t="shared" si="40"/>
        <v>0</v>
      </c>
      <c r="BY55" s="84">
        <f t="shared" si="41"/>
        <v>0.21954934934121073</v>
      </c>
      <c r="BZ55" s="85">
        <f>IF(_xlfn.MINIFS('Detalhe Por UC'!R:R,'Detalhe Por UC'!C:C,C55,'Detalhe Por UC'!AD:AD,"&gt;"&amp;0)=0,"",_xlfn.MINIFS('Detalhe Por UC'!R:R,'Detalhe Por UC'!C:C,C55,'Detalhe Por UC'!AD:AD,"&gt;"&amp;0))</f>
        <v>45658</v>
      </c>
      <c r="CA55" s="114">
        <f ca="1">IF(OR(S55&gt;0,AD55&gt;0),IFERROR(
SUMIFS(INDIRECT("'Infos Clientes'!$W"&amp;INDEX('Infos Clientes'!$C:$C,MATCH(C55,'Infos Clientes'!$H:$H,0))&amp;":$CZ"&amp;INDEX('Infos Clientes'!$C:$C,MATCH(C55,'Infos Clientes'!$H:$H,0))),'Infos Clientes'!$W$2:$CZ$2,"&gt;"&amp;$R55-365,'Infos Clientes'!$W$2:$CZ$2,"&lt;="&amp;$R55)/
COUNTIFS(INDIRECT("'Infos Clientes'!$W"&amp;INDEX('Infos Clientes'!$C:$C,MATCH(C55,'Infos Clientes'!$H:$H,0))&amp;":$CZ"&amp;INDEX('Infos Clientes'!$C:$C,MATCH(C55,'Infos Clientes'!$H:$H,0))),"&gt;="&amp;0,'Infos Clientes'!$W$2:$CZ$2,"&gt;"&amp;$R55-365,'Infos Clientes'!$W$2:$CZ$2,"&lt;="&amp;$R55),""),"")</f>
        <v>218.66666666666666</v>
      </c>
      <c r="CB55" s="87">
        <f>VLOOKUP(C55,'Infos Clientes'!B:L,11,0)</f>
        <v>0</v>
      </c>
      <c r="CC55" s="88" t="str">
        <f t="shared" si="42"/>
        <v>A Unidade Consumidora 10/1130988-7 economizou R$33,33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55" s="40" t="s">
        <v>145</v>
      </c>
      <c r="CF55" s="115">
        <f t="shared" si="43"/>
        <v>-292.73</v>
      </c>
    </row>
    <row r="56" spans="1:84" s="104" customFormat="1" ht="16.2" hidden="1" customHeight="1" x14ac:dyDescent="0.3">
      <c r="A56" s="105" t="str">
        <f>INDEX('Infos Clientes'!$D:$D,MATCH('Detalhe Por UC'!C56,'Infos Clientes'!B:B,0))</f>
        <v>IGREJA DO EVANGELHO QUADRANGULAR</v>
      </c>
      <c r="B56" s="106" t="str">
        <f>INDEX('Infos Clientes'!$F:$F,MATCH('Detalhe Por UC'!C56,'Infos Clientes'!B:B,0))</f>
        <v>62.955.505/3793-95</v>
      </c>
      <c r="C56" s="31" t="s">
        <v>146</v>
      </c>
      <c r="D56" t="s">
        <v>351</v>
      </c>
      <c r="E56" s="1" t="s">
        <v>352</v>
      </c>
      <c r="F56" s="56" t="str">
        <f>INDEX('Infos Clientes'!$I:$I,MATCH('Detalhe Por UC'!C56,'Infos Clientes'!B:B,0))</f>
        <v>BT</v>
      </c>
      <c r="G56" s="56" t="str">
        <f>INDEX('Infos Clientes'!$J:$J,MATCH('Detalhe Por UC'!C56,'Infos Clientes'!B:B,0))</f>
        <v>trifasico</v>
      </c>
      <c r="H56" s="108" t="s">
        <v>138</v>
      </c>
      <c r="I56" s="58">
        <f>IFERROR(VLOOKUP(C56,'Infos Clientes'!B:E,4,),"")</f>
        <v>306</v>
      </c>
      <c r="J56" s="109">
        <v>0.25</v>
      </c>
      <c r="K56" s="59">
        <f>INDEX('Infos Clientes'!$M:$M,MATCH('Detalhe Por UC'!C56,'Infos Clientes'!B:B,0))</f>
        <v>0.25</v>
      </c>
      <c r="L56" s="110"/>
      <c r="M56" s="56">
        <f>INDEX('Infos Clientes'!$N:$N,MATCH('Detalhe Por UC'!C56,'Infos Clientes'!B:B,0))</f>
        <v>0</v>
      </c>
      <c r="N56" s="56">
        <f t="shared" si="7"/>
        <v>0</v>
      </c>
      <c r="O56" s="56">
        <f t="shared" si="8"/>
        <v>10</v>
      </c>
      <c r="P56" s="56">
        <f t="shared" si="9"/>
        <v>0</v>
      </c>
      <c r="Q56" s="61">
        <f>IFERROR(IFERROR(INDEX('Infos Clientes'!$A$2:$V$9884,MATCH($C56,'Infos Clientes'!$B$2:$B$9884,0),MATCH(Q$8,'Infos Clientes'!$A$2:$V$2,0)),"")
+IF(OR(INDEX('Infos Clientes'!$A$2:$V$9884,MATCH($C56,'Infos Clientes'!$B$2:$B$9884,0),MATCH("Tempo de Fidelidade (meses)",'Infos Clientes'!$A$2:$V$2,0))=0,R56&gt;=MAX(R:R)),0,
ROUND((MAX(R:R)-R56)/(365/12),0)),"")</f>
        <v>0</v>
      </c>
      <c r="R56" s="111">
        <v>45658</v>
      </c>
      <c r="S56" s="112">
        <v>0.03</v>
      </c>
      <c r="T56" s="113" t="str">
        <f>IF($H56="GIROSSOL II",AP56/INDEX('Resumo Operacional'!$A$1:$P$1103,17,MATCH('Detalhe Por UC'!$R56,'Resumo Operacional'!$A$1:$P$1,0)),
IF($H56="GIROSSOL II e III",AP56/INDEX('Resumo Operacional'!$A$1:$P$1103,17,MATCH('Detalhe Por UC'!$R56,'Resumo Operacional'!$A$1:$P$1,0)),
""))</f>
        <v/>
      </c>
      <c r="U56" s="113">
        <f>IF($H56="GIROSSOL III",AP56/INDEX('Resumo Operacional'!$A$1:$P$1103,53,MATCH('Detalhe Por UC'!$R56,'Resumo Operacional'!$A$1:$P$1,0)),
IF($H56="GIROSSOL II e III",AP56/INDEX('Resumo Operacional'!$A$1:$P$1103,53,MATCH('Detalhe Por UC'!$R56,'Resumo Operacional'!$A$1:$P$1,0)),
""))</f>
        <v>1.6548463356973995E-2</v>
      </c>
      <c r="V56" s="12"/>
      <c r="W56" s="12"/>
      <c r="X56" s="67">
        <v>1.1162500000000002</v>
      </c>
      <c r="Y56" s="116">
        <v>0</v>
      </c>
      <c r="Z56" s="66">
        <v>0.9909157509157509</v>
      </c>
      <c r="AA56" s="35">
        <v>0</v>
      </c>
      <c r="AB56" s="68">
        <v>520</v>
      </c>
      <c r="AC56" s="35">
        <v>0</v>
      </c>
      <c r="AD56" s="69">
        <v>273</v>
      </c>
      <c r="AE56" s="35"/>
      <c r="AF56" s="69">
        <v>0</v>
      </c>
      <c r="AG56" s="69">
        <v>0</v>
      </c>
      <c r="AH56" s="16">
        <v>0</v>
      </c>
      <c r="AI56" s="16">
        <v>0</v>
      </c>
      <c r="AJ56" s="16">
        <v>0</v>
      </c>
      <c r="AK56" s="12"/>
      <c r="AL56" s="38"/>
      <c r="AM56" s="1"/>
      <c r="AN56" s="71">
        <f t="shared" si="10"/>
        <v>0</v>
      </c>
      <c r="AO56" s="71">
        <f t="shared" si="11"/>
        <v>0</v>
      </c>
      <c r="AP56" s="71">
        <f t="shared" si="12"/>
        <v>273</v>
      </c>
      <c r="AQ56" s="72">
        <f>IF(OR($H56="GIROSSOL II",$H56="GIROSSOL II e III"),INDEX('Resumo Operacional'!$A$1:$P$1103,MATCH("Energia Injetada prevista total Fatura da Usina (TUSD)",'Resumo Operacional'!$B$1:$B$1103,0),MATCH('Detalhe Por UC'!$R56,'Resumo Operacional'!$A$1:$P$1,0))*$S56,INDEX('Resumo Operacional'!$A$1:$P$1103,53,MATCH('Detalhe Por UC'!$R56,'Resumo Operacional'!$A$1:$P$1,0))*$S56)</f>
        <v>494.90999999999997</v>
      </c>
      <c r="AR56" s="71">
        <f t="shared" si="13"/>
        <v>-221.90999999999997</v>
      </c>
      <c r="AS56" s="73">
        <f t="shared" si="14"/>
        <v>309.93000000000006</v>
      </c>
      <c r="AT56" s="74">
        <f t="shared" si="15"/>
        <v>309.93000000000006</v>
      </c>
      <c r="AU56" s="74">
        <f t="shared" si="16"/>
        <v>0.86558150183150162</v>
      </c>
      <c r="AV56" s="74">
        <f t="shared" si="17"/>
        <v>202.89</v>
      </c>
      <c r="AW56" s="74">
        <f t="shared" si="18"/>
        <v>0</v>
      </c>
      <c r="AX56" s="74">
        <f t="shared" si="19"/>
        <v>270.52</v>
      </c>
      <c r="AY56" s="74">
        <f t="shared" si="20"/>
        <v>202.89</v>
      </c>
      <c r="AZ56" s="49">
        <v>202.89</v>
      </c>
      <c r="BA56" s="117">
        <v>202.89</v>
      </c>
      <c r="BB56" s="49">
        <v>202.89</v>
      </c>
      <c r="BC56" s="73" t="str">
        <f t="shared" si="21"/>
        <v/>
      </c>
      <c r="BD56" s="73">
        <f t="shared" si="22"/>
        <v>580.45000000000005</v>
      </c>
      <c r="BE56" s="73">
        <f t="shared" si="23"/>
        <v>512.82000000000005</v>
      </c>
      <c r="BF56" s="77">
        <f t="shared" si="24"/>
        <v>67.63</v>
      </c>
      <c r="BG56" s="77">
        <f t="shared" si="25"/>
        <v>20.288999999999998</v>
      </c>
      <c r="BH56" s="77">
        <f t="shared" si="26"/>
        <v>270.52</v>
      </c>
      <c r="BI56" s="78">
        <f t="shared" si="27"/>
        <v>0.25</v>
      </c>
      <c r="BJ56" s="79">
        <f t="shared" si="28"/>
        <v>0.11651305021965715</v>
      </c>
      <c r="BK56" s="80">
        <f t="shared" si="29"/>
        <v>512.82000000000005</v>
      </c>
      <c r="BL56" s="80">
        <f t="shared" si="30"/>
        <v>67.63</v>
      </c>
      <c r="BM56" s="79">
        <f t="shared" si="31"/>
        <v>0.11651305021965715</v>
      </c>
      <c r="BN56" s="81">
        <f t="shared" si="32"/>
        <v>0.74318681318681312</v>
      </c>
      <c r="BO56" s="82">
        <f t="shared" si="33"/>
        <v>202.89</v>
      </c>
      <c r="BP56" s="81">
        <f t="shared" si="34"/>
        <v>0.74318681318681312</v>
      </c>
      <c r="BQ56" s="81">
        <f t="shared" si="35"/>
        <v>0.86852106227106241</v>
      </c>
      <c r="BR56" s="81">
        <f t="shared" si="36"/>
        <v>1.1162500000000002</v>
      </c>
      <c r="BS56" s="82">
        <f t="shared" si="37"/>
        <v>273</v>
      </c>
      <c r="BT56" s="82">
        <f t="shared" si="38"/>
        <v>304.73625000000004</v>
      </c>
      <c r="BU56" s="82">
        <f t="shared" si="39"/>
        <v>270.52</v>
      </c>
      <c r="BV56"/>
      <c r="BW56" s="82">
        <f>IFERROR(INDEX('Infos Clientes'!$T:$T,MATCH('Detalhe Por UC'!$C56,'Infos Clientes'!B:B,0)),"")</f>
        <v>398.18181818181819</v>
      </c>
      <c r="BX56" s="83">
        <f t="shared" si="40"/>
        <v>0</v>
      </c>
      <c r="BY56" s="84">
        <f t="shared" si="41"/>
        <v>0.22192961946601367</v>
      </c>
      <c r="BZ56" s="85">
        <f>IF(_xlfn.MINIFS('Detalhe Por UC'!R:R,'Detalhe Por UC'!C:C,C56,'Detalhe Por UC'!AD:AD,"&gt;"&amp;0)=0,"",_xlfn.MINIFS('Detalhe Por UC'!R:R,'Detalhe Por UC'!C:C,C56,'Detalhe Por UC'!AD:AD,"&gt;"&amp;0))</f>
        <v>45658</v>
      </c>
      <c r="CA56" s="114">
        <f ca="1">IF(OR(S56&gt;0,AD56&gt;0),IFERROR(
SUMIFS(INDIRECT("'Infos Clientes'!$W"&amp;INDEX('Infos Clientes'!$C:$C,MATCH(C56,'Infos Clientes'!$H:$H,0))&amp;":$CZ"&amp;INDEX('Infos Clientes'!$C:$C,MATCH(C56,'Infos Clientes'!$H:$H,0))),'Infos Clientes'!$W$2:$CZ$2,"&gt;"&amp;$R56-365,'Infos Clientes'!$W$2:$CZ$2,"&lt;="&amp;$R56)/
COUNTIFS(INDIRECT("'Infos Clientes'!$W"&amp;INDEX('Infos Clientes'!$C:$C,MATCH(C56,'Infos Clientes'!$H:$H,0))&amp;":$CZ"&amp;INDEX('Infos Clientes'!$C:$C,MATCH(C56,'Infos Clientes'!$H:$H,0))),"&gt;="&amp;0,'Infos Clientes'!$W$2:$CZ$2,"&gt;"&amp;$R56-365,'Infos Clientes'!$W$2:$CZ$2,"&lt;="&amp;$R56),""),"")</f>
        <v>365</v>
      </c>
      <c r="CB56" s="87">
        <f>VLOOKUP(C56,'Infos Clientes'!B:L,11,0)</f>
        <v>0</v>
      </c>
      <c r="CC56" s="88" t="str">
        <f t="shared" si="42"/>
        <v>A Unidade Consumidora 10/1266128-6 economizou R$67,63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56" s="40" t="s">
        <v>143</v>
      </c>
      <c r="CF56" s="115">
        <f t="shared" si="43"/>
        <v>-309.93000000000006</v>
      </c>
    </row>
    <row r="57" spans="1:84" s="104" customFormat="1" ht="16.2" hidden="1" customHeight="1" x14ac:dyDescent="0.3">
      <c r="A57" s="105" t="str">
        <f>INDEX('Infos Clientes'!$D:$D,MATCH('Detalhe Por UC'!C57,'Infos Clientes'!B:B,0))</f>
        <v>IGREJA DO EVANGELHO QUADRANGULAR</v>
      </c>
      <c r="B57" s="106" t="str">
        <f>INDEX('Infos Clientes'!$F:$F,MATCH('Detalhe Por UC'!C57,'Infos Clientes'!B:B,0))</f>
        <v>62.955.505/3311-98</v>
      </c>
      <c r="C57" s="31" t="s">
        <v>147</v>
      </c>
      <c r="D57" t="s">
        <v>351</v>
      </c>
      <c r="E57" s="1" t="s">
        <v>352</v>
      </c>
      <c r="F57" s="56" t="str">
        <f>INDEX('Infos Clientes'!$I:$I,MATCH('Detalhe Por UC'!C57,'Infos Clientes'!B:B,0))</f>
        <v>BT</v>
      </c>
      <c r="G57" s="56" t="str">
        <f>INDEX('Infos Clientes'!$J:$J,MATCH('Detalhe Por UC'!C57,'Infos Clientes'!B:B,0))</f>
        <v>trifasico</v>
      </c>
      <c r="H57" s="108" t="s">
        <v>24</v>
      </c>
      <c r="I57" s="58">
        <f>IFERROR(VLOOKUP(C57,'Infos Clientes'!B:E,4,),"")</f>
        <v>360</v>
      </c>
      <c r="J57" s="109">
        <v>0.25</v>
      </c>
      <c r="K57" s="59">
        <f>INDEX('Infos Clientes'!$M:$M,MATCH('Detalhe Por UC'!C57,'Infos Clientes'!B:B,0))</f>
        <v>0.25</v>
      </c>
      <c r="L57" s="110"/>
      <c r="M57" s="56">
        <f>INDEX('Infos Clientes'!$N:$N,MATCH('Detalhe Por UC'!C57,'Infos Clientes'!B:B,0))</f>
        <v>0</v>
      </c>
      <c r="N57" s="56">
        <f t="shared" si="7"/>
        <v>0</v>
      </c>
      <c r="O57" s="56">
        <f t="shared" si="8"/>
        <v>9</v>
      </c>
      <c r="P57" s="56">
        <f t="shared" si="9"/>
        <v>0</v>
      </c>
      <c r="Q57" s="61">
        <f>IFERROR(IFERROR(INDEX('Infos Clientes'!$A$2:$V$9884,MATCH($C57,'Infos Clientes'!$B$2:$B$9884,0),MATCH(Q$8,'Infos Clientes'!$A$2:$V$2,0)),"")
+IF(OR(INDEX('Infos Clientes'!$A$2:$V$9884,MATCH($C57,'Infos Clientes'!$B$2:$B$9884,0),MATCH("Tempo de Fidelidade (meses)",'Infos Clientes'!$A$2:$V$2,0))=0,R57&gt;=MAX(R:R)),0,
ROUND((MAX(R:R)-R57)/(365/12),0)),"")</f>
        <v>0</v>
      </c>
      <c r="R57" s="111">
        <v>45658</v>
      </c>
      <c r="S57" s="112">
        <v>0.04</v>
      </c>
      <c r="T57" s="113">
        <f>IF($H57="GIROSSOL II",AP57/INDEX('Resumo Operacional'!$A$1:$P$1103,17,MATCH('Detalhe Por UC'!$R57,'Resumo Operacional'!$A$1:$P$1,0)),
IF($H57="GIROSSOL II e III",AP57/INDEX('Resumo Operacional'!$A$1:$P$1103,17,MATCH('Detalhe Por UC'!$R57,'Resumo Operacional'!$A$1:$P$1,0)),
""))</f>
        <v>1.9677093844601413E-2</v>
      </c>
      <c r="U57" s="113" t="str">
        <f>IF($H57="GIROSSOL III",AP57/INDEX('Resumo Operacional'!$A$1:$P$1103,53,MATCH('Detalhe Por UC'!$R57,'Resumo Operacional'!$A$1:$P$1,0)),
IF($H57="GIROSSOL II e III",AP57/INDEX('Resumo Operacional'!$A$1:$P$1103,53,MATCH('Detalhe Por UC'!$R57,'Resumo Operacional'!$A$1:$P$1,0)),
""))</f>
        <v/>
      </c>
      <c r="V57" s="12"/>
      <c r="W57" s="12"/>
      <c r="X57" s="67">
        <v>1.1162637362637362</v>
      </c>
      <c r="Y57" s="116">
        <v>0</v>
      </c>
      <c r="Z57" s="66">
        <v>1.1162637362637362</v>
      </c>
      <c r="AA57" s="35">
        <v>0</v>
      </c>
      <c r="AB57" s="68">
        <v>546</v>
      </c>
      <c r="AC57" s="35">
        <v>0</v>
      </c>
      <c r="AD57" s="69">
        <v>273</v>
      </c>
      <c r="AE57" s="35"/>
      <c r="AF57" s="69">
        <v>0</v>
      </c>
      <c r="AG57" s="69">
        <v>0</v>
      </c>
      <c r="AH57" s="16">
        <v>115.87</v>
      </c>
      <c r="AI57" s="16">
        <v>0</v>
      </c>
      <c r="AJ57" s="16">
        <v>0</v>
      </c>
      <c r="AK57" s="12"/>
      <c r="AL57" s="38"/>
      <c r="AM57" s="1"/>
      <c r="AN57" s="71">
        <f t="shared" si="10"/>
        <v>0</v>
      </c>
      <c r="AO57" s="71">
        <f t="shared" si="11"/>
        <v>0</v>
      </c>
      <c r="AP57" s="71">
        <f t="shared" si="12"/>
        <v>273</v>
      </c>
      <c r="AQ57" s="72">
        <f>IF(OR($H57="GIROSSOL II",$H57="GIROSSOL II e III"),INDEX('Resumo Operacional'!$A$1:$P$1103,MATCH("Energia Injetada prevista total Fatura da Usina (TUSD)",'Resumo Operacional'!$B$1:$B$1103,0),MATCH('Detalhe Por UC'!$R57,'Resumo Operacional'!$A$1:$P$1,0))*$S57,INDEX('Resumo Operacional'!$A$1:$P$1103,53,MATCH('Detalhe Por UC'!$R57,'Resumo Operacional'!$A$1:$P$1,0))*$S57)</f>
        <v>554.96</v>
      </c>
      <c r="AR57" s="71">
        <f t="shared" si="13"/>
        <v>-281.96000000000004</v>
      </c>
      <c r="AS57" s="73">
        <f t="shared" si="14"/>
        <v>420.61</v>
      </c>
      <c r="AT57" s="74">
        <f t="shared" si="15"/>
        <v>420.61</v>
      </c>
      <c r="AU57" s="74">
        <f t="shared" si="16"/>
        <v>1.1162637362637362</v>
      </c>
      <c r="AV57" s="74">
        <f t="shared" si="17"/>
        <v>228.55499999999998</v>
      </c>
      <c r="AW57" s="74">
        <f t="shared" si="18"/>
        <v>0</v>
      </c>
      <c r="AX57" s="74">
        <f t="shared" si="19"/>
        <v>304.74</v>
      </c>
      <c r="AY57" s="74">
        <f t="shared" si="20"/>
        <v>228.56</v>
      </c>
      <c r="AZ57" s="49">
        <v>228.56</v>
      </c>
      <c r="BA57" s="117">
        <v>228.56</v>
      </c>
      <c r="BB57" s="49">
        <v>228.56</v>
      </c>
      <c r="BC57" s="73" t="str">
        <f t="shared" si="21"/>
        <v/>
      </c>
      <c r="BD57" s="73">
        <f t="shared" si="22"/>
        <v>725.35</v>
      </c>
      <c r="BE57" s="73">
        <f t="shared" si="23"/>
        <v>649.16499999999996</v>
      </c>
      <c r="BF57" s="77">
        <f t="shared" si="24"/>
        <v>76.19</v>
      </c>
      <c r="BG57" s="77">
        <f t="shared" si="25"/>
        <v>22.856999999999999</v>
      </c>
      <c r="BH57" s="77">
        <f t="shared" si="26"/>
        <v>304.74</v>
      </c>
      <c r="BI57" s="78">
        <f t="shared" si="27"/>
        <v>0.25</v>
      </c>
      <c r="BJ57" s="79">
        <f t="shared" si="28"/>
        <v>0.10503894671537878</v>
      </c>
      <c r="BK57" s="80">
        <f t="shared" si="29"/>
        <v>649.17000000000007</v>
      </c>
      <c r="BL57" s="80">
        <f t="shared" si="30"/>
        <v>76.17999999999995</v>
      </c>
      <c r="BM57" s="79">
        <f t="shared" si="31"/>
        <v>0.10502516026745702</v>
      </c>
      <c r="BN57" s="81">
        <f t="shared" si="32"/>
        <v>0.83721611721611722</v>
      </c>
      <c r="BO57" s="82">
        <f t="shared" si="33"/>
        <v>228.56</v>
      </c>
      <c r="BP57" s="81">
        <f t="shared" si="34"/>
        <v>0.83721611721611722</v>
      </c>
      <c r="BQ57" s="81">
        <f t="shared" si="35"/>
        <v>0.83721611721611722</v>
      </c>
      <c r="BR57" s="81">
        <f t="shared" si="36"/>
        <v>1.1162637362637362</v>
      </c>
      <c r="BS57" s="82">
        <f t="shared" si="37"/>
        <v>273</v>
      </c>
      <c r="BT57" s="82">
        <f t="shared" si="38"/>
        <v>304.74</v>
      </c>
      <c r="BU57" s="82">
        <f t="shared" si="39"/>
        <v>304.74</v>
      </c>
      <c r="BV57"/>
      <c r="BW57" s="82">
        <f>IFERROR(INDEX('Infos Clientes'!$T:$T,MATCH('Detalhe Por UC'!$C57,'Infos Clientes'!B:B,0)),"")</f>
        <v>471.63636363636363</v>
      </c>
      <c r="BX57" s="83">
        <f t="shared" si="40"/>
        <v>0</v>
      </c>
      <c r="BY57" s="84">
        <f t="shared" si="41"/>
        <v>0.24998359257071598</v>
      </c>
      <c r="BZ57" s="85">
        <f>IF(_xlfn.MINIFS('Detalhe Por UC'!R:R,'Detalhe Por UC'!C:C,C57,'Detalhe Por UC'!AD:AD,"&gt;"&amp;0)=0,"",_xlfn.MINIFS('Detalhe Por UC'!R:R,'Detalhe Por UC'!C:C,C57,'Detalhe Por UC'!AD:AD,"&gt;"&amp;0))</f>
        <v>45658</v>
      </c>
      <c r="CA57" s="114">
        <f ca="1">IF(OR(S57&gt;0,AD57&gt;0),IFERROR(
SUMIFS(INDIRECT("'Infos Clientes'!$W"&amp;INDEX('Infos Clientes'!$C:$C,MATCH(C57,'Infos Clientes'!$H:$H,0))&amp;":$CZ"&amp;INDEX('Infos Clientes'!$C:$C,MATCH(C57,'Infos Clientes'!$H:$H,0))),'Infos Clientes'!$W$2:$CZ$2,"&gt;"&amp;$R57-365,'Infos Clientes'!$W$2:$CZ$2,"&lt;="&amp;$R57)/
COUNTIFS(INDIRECT("'Infos Clientes'!$W"&amp;INDEX('Infos Clientes'!$C:$C,MATCH(C57,'Infos Clientes'!$H:$H,0))&amp;":$CZ"&amp;INDEX('Infos Clientes'!$C:$C,MATCH(C57,'Infos Clientes'!$H:$H,0))),"&gt;="&amp;0,'Infos Clientes'!$W$2:$CZ$2,"&gt;"&amp;$R57-365,'Infos Clientes'!$W$2:$CZ$2,"&lt;="&amp;$R57),""),"")</f>
        <v>432.33333333333331</v>
      </c>
      <c r="CB57" s="87">
        <f>VLOOKUP(C57,'Infos Clientes'!B:L,11,0)</f>
        <v>0</v>
      </c>
      <c r="CC57" s="88" t="str">
        <f t="shared" si="42"/>
        <v>A Unidade Consumidora 10/127464-6 economizou R$76,19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57" s="40" t="s">
        <v>149</v>
      </c>
      <c r="CF57" s="115">
        <f t="shared" si="43"/>
        <v>-420.61</v>
      </c>
    </row>
    <row r="58" spans="1:84" s="104" customFormat="1" ht="16.2" hidden="1" customHeight="1" x14ac:dyDescent="0.3">
      <c r="A58" s="105" t="str">
        <f>INDEX('Infos Clientes'!$D:$D,MATCH('Detalhe Por UC'!C58,'Infos Clientes'!B:B,0))</f>
        <v>IGREJA DO EVANGELHO QUADRANGULAR</v>
      </c>
      <c r="B58" s="106" t="str">
        <f>INDEX('Infos Clientes'!$F:$F,MATCH('Detalhe Por UC'!C58,'Infos Clientes'!B:B,0))</f>
        <v>62.955.505/3358-51</v>
      </c>
      <c r="C58" s="31" t="s">
        <v>150</v>
      </c>
      <c r="D58" t="s">
        <v>351</v>
      </c>
      <c r="E58" s="1" t="s">
        <v>352</v>
      </c>
      <c r="F58" s="56" t="str">
        <f>INDEX('Infos Clientes'!$I:$I,MATCH('Detalhe Por UC'!C58,'Infos Clientes'!B:B,0))</f>
        <v>BT</v>
      </c>
      <c r="G58" s="56" t="str">
        <f>INDEX('Infos Clientes'!$J:$J,MATCH('Detalhe Por UC'!C58,'Infos Clientes'!B:B,0))</f>
        <v>trifasico</v>
      </c>
      <c r="H58" s="108" t="s">
        <v>24</v>
      </c>
      <c r="I58" s="58">
        <f>IFERROR(VLOOKUP(C58,'Infos Clientes'!B:E,4,),"")</f>
        <v>306</v>
      </c>
      <c r="J58" s="109">
        <v>0.25</v>
      </c>
      <c r="K58" s="59">
        <f>INDEX('Infos Clientes'!$M:$M,MATCH('Detalhe Por UC'!C58,'Infos Clientes'!B:B,0))</f>
        <v>0.25</v>
      </c>
      <c r="L58" s="110"/>
      <c r="M58" s="56">
        <f>INDEX('Infos Clientes'!$N:$N,MATCH('Detalhe Por UC'!C58,'Infos Clientes'!B:B,0))</f>
        <v>0</v>
      </c>
      <c r="N58" s="56">
        <f t="shared" si="7"/>
        <v>0</v>
      </c>
      <c r="O58" s="56">
        <f t="shared" si="8"/>
        <v>10</v>
      </c>
      <c r="P58" s="56">
        <f t="shared" si="9"/>
        <v>0</v>
      </c>
      <c r="Q58" s="61">
        <f>IFERROR(IFERROR(INDEX('Infos Clientes'!$A$2:$V$9884,MATCH($C58,'Infos Clientes'!$B$2:$B$9884,0),MATCH(Q$8,'Infos Clientes'!$A$2:$V$2,0)),"")
+IF(OR(INDEX('Infos Clientes'!$A$2:$V$9884,MATCH($C58,'Infos Clientes'!$B$2:$B$9884,0),MATCH("Tempo de Fidelidade (meses)",'Infos Clientes'!$A$2:$V$2,0))=0,R58&gt;=MAX(R:R)),0,
ROUND((MAX(R:R)-R58)/(365/12),0)),"")</f>
        <v>0</v>
      </c>
      <c r="R58" s="111">
        <v>45658</v>
      </c>
      <c r="S58" s="112">
        <v>0.01</v>
      </c>
      <c r="T58" s="113">
        <f>IF($H58="GIROSSOL II",AP58/INDEX('Resumo Operacional'!$A$1:$P$1103,17,MATCH('Detalhe Por UC'!$R58,'Resumo Operacional'!$A$1:$P$1,0)),
IF($H58="GIROSSOL II e III",AP58/INDEX('Resumo Operacional'!$A$1:$P$1103,17,MATCH('Detalhe Por UC'!$R58,'Resumo Operacional'!$A$1:$P$1,0)),
""))</f>
        <v>9.8025082888856859E-3</v>
      </c>
      <c r="U58" s="113" t="str">
        <f>IF($H58="GIROSSOL III",AP58/INDEX('Resumo Operacional'!$A$1:$P$1103,53,MATCH('Detalhe Por UC'!$R58,'Resumo Operacional'!$A$1:$P$1,0)),
IF($H58="GIROSSOL II e III",AP58/INDEX('Resumo Operacional'!$A$1:$P$1103,53,MATCH('Detalhe Por UC'!$R58,'Resumo Operacional'!$A$1:$P$1,0)),
""))</f>
        <v/>
      </c>
      <c r="V58" s="12"/>
      <c r="W58" s="12"/>
      <c r="X58" s="67">
        <v>1.1162439024390245</v>
      </c>
      <c r="Y58" s="116">
        <v>0</v>
      </c>
      <c r="Z58" s="66">
        <v>1.1161904761904762</v>
      </c>
      <c r="AA58" s="35">
        <v>0</v>
      </c>
      <c r="AB58" s="68">
        <v>205</v>
      </c>
      <c r="AC58" s="35">
        <v>0</v>
      </c>
      <c r="AD58" s="69">
        <v>105</v>
      </c>
      <c r="AE58" s="35"/>
      <c r="AF58" s="69">
        <v>31</v>
      </c>
      <c r="AG58" s="69">
        <v>0</v>
      </c>
      <c r="AH58" s="16">
        <v>6.6800000000000006</v>
      </c>
      <c r="AI58" s="16">
        <v>0</v>
      </c>
      <c r="AJ58" s="16">
        <v>0</v>
      </c>
      <c r="AK58" s="12"/>
      <c r="AL58" s="38"/>
      <c r="AM58" s="1"/>
      <c r="AN58" s="71">
        <f t="shared" si="10"/>
        <v>31</v>
      </c>
      <c r="AO58" s="71">
        <f t="shared" si="11"/>
        <v>0</v>
      </c>
      <c r="AP58" s="71">
        <f t="shared" si="12"/>
        <v>136</v>
      </c>
      <c r="AQ58" s="72">
        <f>IF(OR($H58="GIROSSOL II",$H58="GIROSSOL II e III"),INDEX('Resumo Operacional'!$A$1:$P$1103,MATCH("Energia Injetada prevista total Fatura da Usina (TUSD)",'Resumo Operacional'!$B$1:$B$1103,0),MATCH('Detalhe Por UC'!$R58,'Resumo Operacional'!$A$1:$P$1,0))*$S58,INDEX('Resumo Operacional'!$A$1:$P$1103,53,MATCH('Detalhe Por UC'!$R58,'Resumo Operacional'!$A$1:$P$1,0))*$S58)</f>
        <v>138.74</v>
      </c>
      <c r="AR58" s="71">
        <f t="shared" si="13"/>
        <v>-2.7400000000000091</v>
      </c>
      <c r="AS58" s="73">
        <f t="shared" si="14"/>
        <v>118.31000000000002</v>
      </c>
      <c r="AT58" s="74">
        <f t="shared" si="15"/>
        <v>118.31000000000002</v>
      </c>
      <c r="AU58" s="74">
        <f t="shared" si="16"/>
        <v>1.1161370499419279</v>
      </c>
      <c r="AV58" s="74">
        <f t="shared" si="17"/>
        <v>87.9</v>
      </c>
      <c r="AW58" s="74">
        <f t="shared" si="18"/>
        <v>0</v>
      </c>
      <c r="AX58" s="74">
        <f t="shared" si="19"/>
        <v>117.2</v>
      </c>
      <c r="AY58" s="74">
        <f t="shared" si="20"/>
        <v>87.9</v>
      </c>
      <c r="AZ58" s="49">
        <v>87.9</v>
      </c>
      <c r="BA58" s="117">
        <v>87.9</v>
      </c>
      <c r="BB58" s="49">
        <v>87.9</v>
      </c>
      <c r="BC58" s="73" t="str">
        <f t="shared" si="21"/>
        <v/>
      </c>
      <c r="BD58" s="73">
        <f t="shared" si="22"/>
        <v>235.51000000000002</v>
      </c>
      <c r="BE58" s="73">
        <f t="shared" si="23"/>
        <v>206.21000000000004</v>
      </c>
      <c r="BF58" s="77">
        <f t="shared" si="24"/>
        <v>29.3</v>
      </c>
      <c r="BG58" s="77">
        <f t="shared" si="25"/>
        <v>8.7899999999999991</v>
      </c>
      <c r="BH58" s="77">
        <f t="shared" si="26"/>
        <v>117.2</v>
      </c>
      <c r="BI58" s="78">
        <f t="shared" si="27"/>
        <v>0.25</v>
      </c>
      <c r="BJ58" s="79">
        <f t="shared" si="28"/>
        <v>0.12441085304233365</v>
      </c>
      <c r="BK58" s="80">
        <f t="shared" si="29"/>
        <v>206.21000000000004</v>
      </c>
      <c r="BL58" s="80">
        <f t="shared" si="30"/>
        <v>29.299999999999983</v>
      </c>
      <c r="BM58" s="79">
        <f t="shared" si="31"/>
        <v>0.12441085304233358</v>
      </c>
      <c r="BN58" s="81">
        <f t="shared" si="32"/>
        <v>0.83714285714285719</v>
      </c>
      <c r="BO58" s="82">
        <f t="shared" si="33"/>
        <v>87.9</v>
      </c>
      <c r="BP58" s="81">
        <f t="shared" si="34"/>
        <v>0.83714285714285719</v>
      </c>
      <c r="BQ58" s="81">
        <f t="shared" si="35"/>
        <v>0.8371962833914055</v>
      </c>
      <c r="BR58" s="81">
        <f t="shared" si="36"/>
        <v>1.1162439024390245</v>
      </c>
      <c r="BS58" s="82">
        <f t="shared" si="37"/>
        <v>105</v>
      </c>
      <c r="BT58" s="82">
        <f t="shared" si="38"/>
        <v>117.20560975609757</v>
      </c>
      <c r="BU58" s="82">
        <f t="shared" si="39"/>
        <v>117.2</v>
      </c>
      <c r="BV58"/>
      <c r="BW58" s="82">
        <f>IFERROR(INDEX('Infos Clientes'!$T:$T,MATCH('Detalhe Por UC'!$C58,'Infos Clientes'!B:B,0)),"")</f>
        <v>209.54545454545453</v>
      </c>
      <c r="BX58" s="83">
        <f t="shared" si="40"/>
        <v>0</v>
      </c>
      <c r="BY58" s="84">
        <f t="shared" si="41"/>
        <v>0.24998803436945283</v>
      </c>
      <c r="BZ58" s="85">
        <f>IF(_xlfn.MINIFS('Detalhe Por UC'!R:R,'Detalhe Por UC'!C:C,C58,'Detalhe Por UC'!AD:AD,"&gt;"&amp;0)=0,"",_xlfn.MINIFS('Detalhe Por UC'!R:R,'Detalhe Por UC'!C:C,C58,'Detalhe Por UC'!AD:AD,"&gt;"&amp;0))</f>
        <v>45658</v>
      </c>
      <c r="CA58" s="114">
        <f ca="1">IF(OR(S58&gt;0,AD58&gt;0),IFERROR(
SUMIFS(INDIRECT("'Infos Clientes'!$W"&amp;INDEX('Infos Clientes'!$C:$C,MATCH(C58,'Infos Clientes'!$H:$H,0))&amp;":$CZ"&amp;INDEX('Infos Clientes'!$C:$C,MATCH(C58,'Infos Clientes'!$H:$H,0))),'Infos Clientes'!$W$2:$CZ$2,"&gt;"&amp;$R58-365,'Infos Clientes'!$W$2:$CZ$2,"&lt;="&amp;$R58)/
COUNTIFS(INDIRECT("'Infos Clientes'!$W"&amp;INDEX('Infos Clientes'!$C:$C,MATCH(C58,'Infos Clientes'!$H:$H,0))&amp;":$CZ"&amp;INDEX('Infos Clientes'!$C:$C,MATCH(C58,'Infos Clientes'!$H:$H,0))),"&gt;="&amp;0,'Infos Clientes'!$W$2:$CZ$2,"&gt;"&amp;$R58-365,'Infos Clientes'!$W$2:$CZ$2,"&lt;="&amp;$R58),""),"")</f>
        <v>192.08333333333334</v>
      </c>
      <c r="CB58" s="87">
        <f>VLOOKUP(C58,'Infos Clientes'!B:L,11,0)</f>
        <v>0</v>
      </c>
      <c r="CC58" s="88" t="str">
        <f t="shared" si="42"/>
        <v>A Unidade Consumidora 10/1288241-1 economizou R$29,3 na fatura referente à jan/2025  consumindo 105 kWh em créditos de energia renovável conforme fatura de energia. A economia foi de 25% em relação ao que seria pago para a Energisa considerando os créditos consumidos. Atenção: Mantenha as contas da Energisa em dia para evitar cortes.</v>
      </c>
      <c r="CD58" s="40" t="s">
        <v>143</v>
      </c>
      <c r="CF58" s="115">
        <f t="shared" si="43"/>
        <v>-118.31000000000002</v>
      </c>
    </row>
    <row r="59" spans="1:84" s="104" customFormat="1" ht="16.2" hidden="1" customHeight="1" x14ac:dyDescent="0.3">
      <c r="A59" s="105" t="str">
        <f>INDEX('Infos Clientes'!$D:$D,MATCH('Detalhe Por UC'!C59,'Infos Clientes'!B:B,0))</f>
        <v>IGREJA DO EVANGELHO QUADRANGULAR</v>
      </c>
      <c r="B59" s="106" t="str">
        <f>INDEX('Infos Clientes'!$F:$F,MATCH('Detalhe Por UC'!C59,'Infos Clientes'!B:B,0))</f>
        <v>62.955.505/4051-40</v>
      </c>
      <c r="C59" s="31" t="s">
        <v>152</v>
      </c>
      <c r="D59" t="s">
        <v>351</v>
      </c>
      <c r="E59" s="1" t="s">
        <v>352</v>
      </c>
      <c r="F59" s="56" t="str">
        <f>INDEX('Infos Clientes'!$I:$I,MATCH('Detalhe Por UC'!C59,'Infos Clientes'!B:B,0))</f>
        <v>BT</v>
      </c>
      <c r="G59" s="56" t="str">
        <f>INDEX('Infos Clientes'!$J:$J,MATCH('Detalhe Por UC'!C59,'Infos Clientes'!B:B,0))</f>
        <v>bifasico</v>
      </c>
      <c r="H59" s="108" t="s">
        <v>138</v>
      </c>
      <c r="I59" s="58">
        <f>IFERROR(VLOOKUP(C59,'Infos Clientes'!B:E,4,),"")</f>
        <v>351</v>
      </c>
      <c r="J59" s="109">
        <v>0.25</v>
      </c>
      <c r="K59" s="59">
        <f>INDEX('Infos Clientes'!$M:$M,MATCH('Detalhe Por UC'!C59,'Infos Clientes'!B:B,0))</f>
        <v>0.25</v>
      </c>
      <c r="L59" s="110"/>
      <c r="M59" s="56">
        <f>INDEX('Infos Clientes'!$N:$N,MATCH('Detalhe Por UC'!C59,'Infos Clientes'!B:B,0))</f>
        <v>0</v>
      </c>
      <c r="N59" s="56">
        <f t="shared" si="7"/>
        <v>0</v>
      </c>
      <c r="O59" s="56">
        <f t="shared" si="8"/>
        <v>9</v>
      </c>
      <c r="P59" s="56">
        <f t="shared" si="9"/>
        <v>0</v>
      </c>
      <c r="Q59" s="61">
        <f>IFERROR(IFERROR(INDEX('Infos Clientes'!$A$2:$V$9884,MATCH($C59,'Infos Clientes'!$B$2:$B$9884,0),MATCH(Q$8,'Infos Clientes'!$A$2:$V$2,0)),"")
+IF(OR(INDEX('Infos Clientes'!$A$2:$V$9884,MATCH($C59,'Infos Clientes'!$B$2:$B$9884,0),MATCH("Tempo de Fidelidade (meses)",'Infos Clientes'!$A$2:$V$2,0))=0,R59&gt;=MAX(R:R)),0,
ROUND((MAX(R:R)-R59)/(365/12),0)),"")</f>
        <v>0</v>
      </c>
      <c r="R59" s="111">
        <v>45658</v>
      </c>
      <c r="S59" s="112">
        <v>0.02</v>
      </c>
      <c r="T59" s="113" t="str">
        <f>IF($H59="GIROSSOL II",AP59/INDEX('Resumo Operacional'!$A$1:$P$1103,17,MATCH('Detalhe Por UC'!$R59,'Resumo Operacional'!$A$1:$P$1,0)),
IF($H59="GIROSSOL II e III",AP59/INDEX('Resumo Operacional'!$A$1:$P$1103,17,MATCH('Detalhe Por UC'!$R59,'Resumo Operacional'!$A$1:$P$1,0)),
""))</f>
        <v/>
      </c>
      <c r="U59" s="113">
        <f>IF($H59="GIROSSOL III",AP59/INDEX('Resumo Operacional'!$A$1:$P$1103,53,MATCH('Detalhe Por UC'!$R59,'Resumo Operacional'!$A$1:$P$1,0)),
IF($H59="GIROSSOL II e III",AP59/INDEX('Resumo Operacional'!$A$1:$P$1103,53,MATCH('Detalhe Por UC'!$R59,'Resumo Operacional'!$A$1:$P$1,0)),
""))</f>
        <v>8.2439231375401583E-3</v>
      </c>
      <c r="V59" s="12"/>
      <c r="W59" s="12"/>
      <c r="X59" s="67">
        <v>1.1162587412587412</v>
      </c>
      <c r="Y59" s="116">
        <v>0</v>
      </c>
      <c r="Z59" s="66">
        <v>0.99095588235294119</v>
      </c>
      <c r="AA59" s="35">
        <v>0</v>
      </c>
      <c r="AB59" s="68">
        <v>286</v>
      </c>
      <c r="AC59" s="35">
        <v>0</v>
      </c>
      <c r="AD59" s="69">
        <v>136</v>
      </c>
      <c r="AE59" s="35"/>
      <c r="AF59" s="69">
        <v>0</v>
      </c>
      <c r="AG59" s="69">
        <v>0</v>
      </c>
      <c r="AH59" s="16">
        <v>26.47</v>
      </c>
      <c r="AI59" s="16">
        <v>0</v>
      </c>
      <c r="AJ59" s="16">
        <v>0</v>
      </c>
      <c r="AK59" s="12"/>
      <c r="AL59" s="38"/>
      <c r="AM59" s="1"/>
      <c r="AN59" s="71">
        <f t="shared" si="10"/>
        <v>0</v>
      </c>
      <c r="AO59" s="71">
        <f t="shared" si="11"/>
        <v>0</v>
      </c>
      <c r="AP59" s="71">
        <f t="shared" si="12"/>
        <v>136</v>
      </c>
      <c r="AQ59" s="72">
        <f>IF(OR($H59="GIROSSOL II",$H59="GIROSSOL II e III"),INDEX('Resumo Operacional'!$A$1:$P$1103,MATCH("Energia Injetada prevista total Fatura da Usina (TUSD)",'Resumo Operacional'!$B$1:$B$1103,0),MATCH('Detalhe Por UC'!$R59,'Resumo Operacional'!$A$1:$P$1,0))*$S59,INDEX('Resumo Operacional'!$A$1:$P$1103,53,MATCH('Detalhe Por UC'!$R59,'Resumo Operacional'!$A$1:$P$1,0))*$S59)</f>
        <v>329.94</v>
      </c>
      <c r="AR59" s="71">
        <f t="shared" si="13"/>
        <v>-193.94</v>
      </c>
      <c r="AS59" s="73">
        <f t="shared" si="14"/>
        <v>210.95</v>
      </c>
      <c r="AT59" s="74">
        <f t="shared" si="15"/>
        <v>210.95</v>
      </c>
      <c r="AU59" s="74">
        <f t="shared" si="16"/>
        <v>0.86565302344714123</v>
      </c>
      <c r="AV59" s="74">
        <f t="shared" si="17"/>
        <v>101.07749999999999</v>
      </c>
      <c r="AW59" s="74">
        <f t="shared" si="18"/>
        <v>0</v>
      </c>
      <c r="AX59" s="74">
        <f t="shared" si="19"/>
        <v>134.77000000000001</v>
      </c>
      <c r="AY59" s="74">
        <f t="shared" si="20"/>
        <v>101.08</v>
      </c>
      <c r="AZ59" s="49">
        <v>101.08</v>
      </c>
      <c r="BA59" s="117">
        <v>101.08</v>
      </c>
      <c r="BB59" s="49">
        <v>101.08</v>
      </c>
      <c r="BC59" s="73" t="str">
        <f t="shared" si="21"/>
        <v/>
      </c>
      <c r="BD59" s="73">
        <f t="shared" si="22"/>
        <v>345.72</v>
      </c>
      <c r="BE59" s="73">
        <f t="shared" si="23"/>
        <v>312.02749999999997</v>
      </c>
      <c r="BF59" s="77">
        <f t="shared" si="24"/>
        <v>33.69</v>
      </c>
      <c r="BG59" s="77">
        <f t="shared" si="25"/>
        <v>10.106999999999999</v>
      </c>
      <c r="BH59" s="77">
        <f t="shared" si="26"/>
        <v>134.76999999999998</v>
      </c>
      <c r="BI59" s="78">
        <f t="shared" si="27"/>
        <v>0.25</v>
      </c>
      <c r="BJ59" s="79">
        <f t="shared" si="28"/>
        <v>9.7448802499132237E-2</v>
      </c>
      <c r="BK59" s="80">
        <f t="shared" si="29"/>
        <v>312.02999999999997</v>
      </c>
      <c r="BL59" s="80">
        <f t="shared" si="30"/>
        <v>33.690000000000055</v>
      </c>
      <c r="BM59" s="79">
        <f t="shared" si="31"/>
        <v>9.7448802499132389E-2</v>
      </c>
      <c r="BN59" s="81">
        <f t="shared" si="32"/>
        <v>0.74323529411764699</v>
      </c>
      <c r="BO59" s="82">
        <f t="shared" si="33"/>
        <v>101.07999999999998</v>
      </c>
      <c r="BP59" s="81">
        <f t="shared" si="34"/>
        <v>0.74323529411764699</v>
      </c>
      <c r="BQ59" s="81">
        <f t="shared" si="35"/>
        <v>0.86853815302344706</v>
      </c>
      <c r="BR59" s="81">
        <f t="shared" si="36"/>
        <v>1.1162587412587412</v>
      </c>
      <c r="BS59" s="82">
        <f t="shared" si="37"/>
        <v>136</v>
      </c>
      <c r="BT59" s="82">
        <f t="shared" si="38"/>
        <v>151.8111888111888</v>
      </c>
      <c r="BU59" s="82">
        <f t="shared" si="39"/>
        <v>134.77000000000001</v>
      </c>
      <c r="BV59"/>
      <c r="BW59" s="82">
        <f>IFERROR(INDEX('Infos Clientes'!$T:$T,MATCH('Detalhe Por UC'!$C59,'Infos Clientes'!B:B,0)),"")</f>
        <v>246.72727272727272</v>
      </c>
      <c r="BX59" s="83">
        <f t="shared" si="40"/>
        <v>0</v>
      </c>
      <c r="BY59" s="84">
        <f t="shared" si="41"/>
        <v>0.221920401676724</v>
      </c>
      <c r="BZ59" s="85">
        <f>IF(_xlfn.MINIFS('Detalhe Por UC'!R:R,'Detalhe Por UC'!C:C,C59,'Detalhe Por UC'!AD:AD,"&gt;"&amp;0)=0,"",_xlfn.MINIFS('Detalhe Por UC'!R:R,'Detalhe Por UC'!C:C,C59,'Detalhe Por UC'!AD:AD,"&gt;"&amp;0))</f>
        <v>45658</v>
      </c>
      <c r="CA59" s="114">
        <f ca="1">IF(OR(S59&gt;0,AD59&gt;0),IFERROR(
SUMIFS(INDIRECT("'Infos Clientes'!$W"&amp;INDEX('Infos Clientes'!$C:$C,MATCH(C59,'Infos Clientes'!$H:$H,0))&amp;":$CZ"&amp;INDEX('Infos Clientes'!$C:$C,MATCH(C59,'Infos Clientes'!$H:$H,0))),'Infos Clientes'!$W$2:$CZ$2,"&gt;"&amp;$R59-365,'Infos Clientes'!$W$2:$CZ$2,"&lt;="&amp;$R59)/
COUNTIFS(INDIRECT("'Infos Clientes'!$W"&amp;INDEX('Infos Clientes'!$C:$C,MATCH(C59,'Infos Clientes'!$H:$H,0))&amp;":$CZ"&amp;INDEX('Infos Clientes'!$C:$C,MATCH(C59,'Infos Clientes'!$H:$H,0))),"&gt;="&amp;0,'Infos Clientes'!$W$2:$CZ$2,"&gt;"&amp;$R59-365,'Infos Clientes'!$W$2:$CZ$2,"&lt;="&amp;$R59),""),"")</f>
        <v>226.16666666666666</v>
      </c>
      <c r="CB59" s="87">
        <f>VLOOKUP(C59,'Infos Clientes'!B:L,11,0)</f>
        <v>0</v>
      </c>
      <c r="CC59" s="88" t="str">
        <f t="shared" si="42"/>
        <v>A Unidade Consumidora 10/129490-9 economizou R$33,69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59" s="40" t="s">
        <v>141</v>
      </c>
      <c r="CF59" s="115">
        <f t="shared" si="43"/>
        <v>-210.95</v>
      </c>
    </row>
    <row r="60" spans="1:84" s="104" customFormat="1" ht="16.2" hidden="1" customHeight="1" x14ac:dyDescent="0.3">
      <c r="A60" s="105" t="str">
        <f>INDEX('Infos Clientes'!$D:$D,MATCH('Detalhe Por UC'!C60,'Infos Clientes'!B:B,0))</f>
        <v>IGREJA DO EVANGELHO QUADRANGULAR</v>
      </c>
      <c r="B60" s="106" t="str">
        <f>INDEX('Infos Clientes'!$F:$F,MATCH('Detalhe Por UC'!C60,'Infos Clientes'!B:B,0))</f>
        <v>62.955.505/1975-21</v>
      </c>
      <c r="C60" s="31" t="s">
        <v>154</v>
      </c>
      <c r="D60" t="s">
        <v>351</v>
      </c>
      <c r="E60" s="1" t="s">
        <v>352</v>
      </c>
      <c r="F60" s="56" t="str">
        <f>INDEX('Infos Clientes'!$I:$I,MATCH('Detalhe Por UC'!C60,'Infos Clientes'!B:B,0))</f>
        <v>BT</v>
      </c>
      <c r="G60" s="56" t="str">
        <f>INDEX('Infos Clientes'!$J:$J,MATCH('Detalhe Por UC'!C60,'Infos Clientes'!B:B,0))</f>
        <v>bifasico</v>
      </c>
      <c r="H60" s="108" t="s">
        <v>138</v>
      </c>
      <c r="I60" s="58">
        <f>IFERROR(VLOOKUP(C60,'Infos Clientes'!B:E,4,),"")</f>
        <v>357</v>
      </c>
      <c r="J60" s="109">
        <v>0.25</v>
      </c>
      <c r="K60" s="59">
        <f>INDEX('Infos Clientes'!$M:$M,MATCH('Detalhe Por UC'!C60,'Infos Clientes'!B:B,0))</f>
        <v>0.25</v>
      </c>
      <c r="L60" s="110"/>
      <c r="M60" s="56">
        <f>INDEX('Infos Clientes'!$N:$N,MATCH('Detalhe Por UC'!C60,'Infos Clientes'!B:B,0))</f>
        <v>0</v>
      </c>
      <c r="N60" s="56">
        <f t="shared" si="7"/>
        <v>0</v>
      </c>
      <c r="O60" s="56">
        <f t="shared" si="8"/>
        <v>9</v>
      </c>
      <c r="P60" s="56">
        <f t="shared" si="9"/>
        <v>0</v>
      </c>
      <c r="Q60" s="61">
        <f>IFERROR(IFERROR(INDEX('Infos Clientes'!$A$2:$V$9884,MATCH($C60,'Infos Clientes'!$B$2:$B$9884,0),MATCH(Q$8,'Infos Clientes'!$A$2:$V$2,0)),"")
+IF(OR(INDEX('Infos Clientes'!$A$2:$V$9884,MATCH($C60,'Infos Clientes'!$B$2:$B$9884,0),MATCH("Tempo de Fidelidade (meses)",'Infos Clientes'!$A$2:$V$2,0))=0,R60&gt;=MAX(R:R)),0,
ROUND((MAX(R:R)-R60)/(365/12),0)),"")</f>
        <v>0</v>
      </c>
      <c r="R60" s="111">
        <v>45658</v>
      </c>
      <c r="S60" s="112">
        <v>0.02</v>
      </c>
      <c r="T60" s="113" t="str">
        <f>IF($H60="GIROSSOL II",AP60/INDEX('Resumo Operacional'!$A$1:$P$1103,17,MATCH('Detalhe Por UC'!$R60,'Resumo Operacional'!$A$1:$P$1,0)),
IF($H60="GIROSSOL II e III",AP60/INDEX('Resumo Operacional'!$A$1:$P$1103,17,MATCH('Detalhe Por UC'!$R60,'Resumo Operacional'!$A$1:$P$1,0)),
""))</f>
        <v/>
      </c>
      <c r="U60" s="113">
        <f>IF($H60="GIROSSOL III",AP60/INDEX('Resumo Operacional'!$A$1:$P$1103,53,MATCH('Detalhe Por UC'!$R60,'Resumo Operacional'!$A$1:$P$1,0)),
IF($H60="GIROSSOL II e III",AP60/INDEX('Resumo Operacional'!$A$1:$P$1103,53,MATCH('Detalhe Por UC'!$R60,'Resumo Operacional'!$A$1:$P$1,0)),
""))</f>
        <v>8.2439231375401583E-3</v>
      </c>
      <c r="V60" s="12"/>
      <c r="W60" s="12"/>
      <c r="X60" s="67">
        <v>1.1162539682539683</v>
      </c>
      <c r="Y60" s="116">
        <v>0</v>
      </c>
      <c r="Z60" s="66">
        <v>0.99698529411764703</v>
      </c>
      <c r="AA60" s="35">
        <v>0</v>
      </c>
      <c r="AB60" s="68">
        <v>315</v>
      </c>
      <c r="AC60" s="35">
        <v>0</v>
      </c>
      <c r="AD60" s="69">
        <v>136</v>
      </c>
      <c r="AE60" s="35"/>
      <c r="AF60" s="69">
        <v>0</v>
      </c>
      <c r="AG60" s="69">
        <v>0</v>
      </c>
      <c r="AH60" s="16">
        <v>0</v>
      </c>
      <c r="AI60" s="16">
        <v>0</v>
      </c>
      <c r="AJ60" s="16">
        <v>0</v>
      </c>
      <c r="AK60" s="12"/>
      <c r="AL60" s="38"/>
      <c r="AM60" s="1"/>
      <c r="AN60" s="71">
        <f t="shared" si="10"/>
        <v>0</v>
      </c>
      <c r="AO60" s="71">
        <f t="shared" si="11"/>
        <v>0</v>
      </c>
      <c r="AP60" s="71">
        <f t="shared" si="12"/>
        <v>136</v>
      </c>
      <c r="AQ60" s="72">
        <f>IF(OR($H60="GIROSSOL II",$H60="GIROSSOL II e III"),INDEX('Resumo Operacional'!$A$1:$P$1103,MATCH("Energia Injetada prevista total Fatura da Usina (TUSD)",'Resumo Operacional'!$B$1:$B$1103,0),MATCH('Detalhe Por UC'!$R60,'Resumo Operacional'!$A$1:$P$1,0))*$S60,INDEX('Resumo Operacional'!$A$1:$P$1103,53,MATCH('Detalhe Por UC'!$R60,'Resumo Operacional'!$A$1:$P$1,0))*$S60)</f>
        <v>329.94</v>
      </c>
      <c r="AR60" s="71">
        <f t="shared" si="13"/>
        <v>-193.94</v>
      </c>
      <c r="AS60" s="73">
        <f t="shared" si="14"/>
        <v>216.03</v>
      </c>
      <c r="AT60" s="74">
        <f t="shared" si="15"/>
        <v>216.03</v>
      </c>
      <c r="AU60" s="74">
        <f t="shared" si="16"/>
        <v>0.87771661998132589</v>
      </c>
      <c r="AV60" s="74">
        <f t="shared" si="17"/>
        <v>101.6925</v>
      </c>
      <c r="AW60" s="74">
        <f t="shared" si="18"/>
        <v>0</v>
      </c>
      <c r="AX60" s="74">
        <f t="shared" si="19"/>
        <v>135.59</v>
      </c>
      <c r="AY60" s="74">
        <f t="shared" si="20"/>
        <v>101.69</v>
      </c>
      <c r="AZ60" s="49">
        <v>101.69</v>
      </c>
      <c r="BA60" s="117">
        <v>101.69</v>
      </c>
      <c r="BB60" s="49">
        <v>101.69</v>
      </c>
      <c r="BC60" s="73" t="str">
        <f t="shared" si="21"/>
        <v/>
      </c>
      <c r="BD60" s="73">
        <f t="shared" si="22"/>
        <v>351.62</v>
      </c>
      <c r="BE60" s="73">
        <f t="shared" si="23"/>
        <v>317.72249999999997</v>
      </c>
      <c r="BF60" s="77">
        <f t="shared" si="24"/>
        <v>33.9</v>
      </c>
      <c r="BG60" s="77">
        <f t="shared" si="25"/>
        <v>10.17</v>
      </c>
      <c r="BH60" s="77">
        <f t="shared" si="26"/>
        <v>135.59</v>
      </c>
      <c r="BI60" s="78">
        <f t="shared" si="27"/>
        <v>0.25</v>
      </c>
      <c r="BJ60" s="79">
        <f t="shared" si="28"/>
        <v>9.6410898128661618E-2</v>
      </c>
      <c r="BK60" s="80">
        <f t="shared" si="29"/>
        <v>317.72000000000003</v>
      </c>
      <c r="BL60" s="80">
        <f t="shared" si="30"/>
        <v>33.899999999999977</v>
      </c>
      <c r="BM60" s="79">
        <f t="shared" si="31"/>
        <v>9.6410898128661562E-2</v>
      </c>
      <c r="BN60" s="81">
        <f t="shared" si="32"/>
        <v>0.74772058823529408</v>
      </c>
      <c r="BO60" s="82">
        <f t="shared" si="33"/>
        <v>101.69</v>
      </c>
      <c r="BP60" s="81">
        <f t="shared" si="34"/>
        <v>0.74772058823529408</v>
      </c>
      <c r="BQ60" s="81">
        <f t="shared" si="35"/>
        <v>0.86698926237161533</v>
      </c>
      <c r="BR60" s="81">
        <f t="shared" si="36"/>
        <v>1.1162539682539683</v>
      </c>
      <c r="BS60" s="82">
        <f t="shared" si="37"/>
        <v>136</v>
      </c>
      <c r="BT60" s="82">
        <f t="shared" si="38"/>
        <v>151.81053968253968</v>
      </c>
      <c r="BU60" s="82">
        <f t="shared" si="39"/>
        <v>135.59</v>
      </c>
      <c r="BV60"/>
      <c r="BW60" s="82">
        <f>IFERROR(INDEX('Infos Clientes'!$T:$T,MATCH('Detalhe Por UC'!$C60,'Infos Clientes'!B:B,0)),"")</f>
        <v>278.36363636363637</v>
      </c>
      <c r="BX60" s="83">
        <f t="shared" si="40"/>
        <v>0</v>
      </c>
      <c r="BY60" s="84">
        <f t="shared" si="41"/>
        <v>0.22330465375388536</v>
      </c>
      <c r="BZ60" s="85">
        <f>IF(_xlfn.MINIFS('Detalhe Por UC'!R:R,'Detalhe Por UC'!C:C,C60,'Detalhe Por UC'!AD:AD,"&gt;"&amp;0)=0,"",_xlfn.MINIFS('Detalhe Por UC'!R:R,'Detalhe Por UC'!C:C,C60,'Detalhe Por UC'!AD:AD,"&gt;"&amp;0))</f>
        <v>45658</v>
      </c>
      <c r="CA60" s="114">
        <f ca="1">IF(OR(S60&gt;0,AD60&gt;0),IFERROR(
SUMIFS(INDIRECT("'Infos Clientes'!$W"&amp;INDEX('Infos Clientes'!$C:$C,MATCH(C60,'Infos Clientes'!$H:$H,0))&amp;":$CZ"&amp;INDEX('Infos Clientes'!$C:$C,MATCH(C60,'Infos Clientes'!$H:$H,0))),'Infos Clientes'!$W$2:$CZ$2,"&gt;"&amp;$R60-365,'Infos Clientes'!$W$2:$CZ$2,"&lt;="&amp;$R60)/
COUNTIFS(INDIRECT("'Infos Clientes'!$W"&amp;INDEX('Infos Clientes'!$C:$C,MATCH(C60,'Infos Clientes'!$H:$H,0))&amp;":$CZ"&amp;INDEX('Infos Clientes'!$C:$C,MATCH(C60,'Infos Clientes'!$H:$H,0))),"&gt;="&amp;0,'Infos Clientes'!$W$2:$CZ$2,"&gt;"&amp;$R60-365,'Infos Clientes'!$W$2:$CZ$2,"&lt;="&amp;$R60),""),"")</f>
        <v>255.16666666666666</v>
      </c>
      <c r="CB60" s="87">
        <f>VLOOKUP(C60,'Infos Clientes'!B:L,11,0)</f>
        <v>0</v>
      </c>
      <c r="CC60" s="88" t="str">
        <f t="shared" si="42"/>
        <v>A Unidade Consumidora 10/13786-9 economizou R$33,9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60" s="40" t="s">
        <v>156</v>
      </c>
      <c r="CF60" s="115">
        <f t="shared" si="43"/>
        <v>-216.03</v>
      </c>
    </row>
    <row r="61" spans="1:84" s="104" customFormat="1" ht="16.2" hidden="1" customHeight="1" x14ac:dyDescent="0.3">
      <c r="A61" s="105" t="str">
        <f>INDEX('Infos Clientes'!$D:$D,MATCH('Detalhe Por UC'!C61,'Infos Clientes'!B:B,0))</f>
        <v>IGREJA DO EVANGELHO QUADRANGULAR</v>
      </c>
      <c r="B61" s="106" t="str">
        <f>INDEX('Infos Clientes'!$F:$F,MATCH('Detalhe Por UC'!C61,'Infos Clientes'!B:B,0))</f>
        <v>62.955.505/1138-75</v>
      </c>
      <c r="C61" s="31" t="s">
        <v>157</v>
      </c>
      <c r="D61" t="s">
        <v>351</v>
      </c>
      <c r="E61" s="1" t="s">
        <v>352</v>
      </c>
      <c r="F61" s="56" t="str">
        <f>INDEX('Infos Clientes'!$I:$I,MATCH('Detalhe Por UC'!C61,'Infos Clientes'!B:B,0))</f>
        <v>BT</v>
      </c>
      <c r="G61" s="56" t="str">
        <f>INDEX('Infos Clientes'!$J:$J,MATCH('Detalhe Por UC'!C61,'Infos Clientes'!B:B,0))</f>
        <v>bifasico</v>
      </c>
      <c r="H61" s="108" t="s">
        <v>138</v>
      </c>
      <c r="I61" s="58">
        <f>IFERROR(VLOOKUP(C61,'Infos Clientes'!B:E,4,),"")</f>
        <v>358</v>
      </c>
      <c r="J61" s="109">
        <v>0.25</v>
      </c>
      <c r="K61" s="59">
        <f>INDEX('Infos Clientes'!$M:$M,MATCH('Detalhe Por UC'!C61,'Infos Clientes'!B:B,0))</f>
        <v>0.25</v>
      </c>
      <c r="L61" s="110"/>
      <c r="M61" s="56">
        <f>INDEX('Infos Clientes'!$N:$N,MATCH('Detalhe Por UC'!C61,'Infos Clientes'!B:B,0))</f>
        <v>0</v>
      </c>
      <c r="N61" s="56">
        <f t="shared" si="7"/>
        <v>0</v>
      </c>
      <c r="O61" s="56">
        <f t="shared" si="8"/>
        <v>9</v>
      </c>
      <c r="P61" s="56">
        <f t="shared" si="9"/>
        <v>0</v>
      </c>
      <c r="Q61" s="61">
        <f>IFERROR(IFERROR(INDEX('Infos Clientes'!$A$2:$V$9884,MATCH($C61,'Infos Clientes'!$B$2:$B$9884,0),MATCH(Q$8,'Infos Clientes'!$A$2:$V$2,0)),"")
+IF(OR(INDEX('Infos Clientes'!$A$2:$V$9884,MATCH($C61,'Infos Clientes'!$B$2:$B$9884,0),MATCH("Tempo de Fidelidade (meses)",'Infos Clientes'!$A$2:$V$2,0))=0,R61&gt;=MAX(R:R)),0,
ROUND((MAX(R:R)-R61)/(365/12),0)),"")</f>
        <v>0</v>
      </c>
      <c r="R61" s="111">
        <v>45658</v>
      </c>
      <c r="S61" s="112">
        <v>0.03</v>
      </c>
      <c r="T61" s="113" t="str">
        <f>IF($H61="GIROSSOL II",AP61/INDEX('Resumo Operacional'!$A$1:$P$1103,17,MATCH('Detalhe Por UC'!$R61,'Resumo Operacional'!$A$1:$P$1,0)),
IF($H61="GIROSSOL II e III",AP61/INDEX('Resumo Operacional'!$A$1:$P$1103,17,MATCH('Detalhe Por UC'!$R61,'Resumo Operacional'!$A$1:$P$1,0)),
""))</f>
        <v/>
      </c>
      <c r="U61" s="113">
        <f>IF($H61="GIROSSOL III",AP61/INDEX('Resumo Operacional'!$A$1:$P$1103,53,MATCH('Detalhe Por UC'!$R61,'Resumo Operacional'!$A$1:$P$1,0)),
IF($H61="GIROSSOL II e III",AP61/INDEX('Resumo Operacional'!$A$1:$P$1103,53,MATCH('Detalhe Por UC'!$R61,'Resumo Operacional'!$A$1:$P$1,0)),
""))</f>
        <v>2.4792386494514155E-2</v>
      </c>
      <c r="V61" s="12"/>
      <c r="W61" s="12"/>
      <c r="X61" s="67">
        <v>1.1162555066079294</v>
      </c>
      <c r="Y61" s="116">
        <v>0</v>
      </c>
      <c r="Z61" s="66">
        <v>0.99699266503667483</v>
      </c>
      <c r="AA61" s="35">
        <v>0</v>
      </c>
      <c r="AB61" s="68">
        <v>681</v>
      </c>
      <c r="AC61" s="35">
        <v>0</v>
      </c>
      <c r="AD61" s="69">
        <v>409</v>
      </c>
      <c r="AE61" s="35"/>
      <c r="AF61" s="69">
        <v>0</v>
      </c>
      <c r="AG61" s="69">
        <v>0</v>
      </c>
      <c r="AH61" s="16">
        <v>108.49</v>
      </c>
      <c r="AI61" s="16">
        <v>0</v>
      </c>
      <c r="AJ61" s="16">
        <v>0</v>
      </c>
      <c r="AK61" s="12"/>
      <c r="AL61" s="38"/>
      <c r="AM61" s="1"/>
      <c r="AN61" s="71">
        <f t="shared" si="10"/>
        <v>0</v>
      </c>
      <c r="AO61" s="71">
        <f t="shared" si="11"/>
        <v>0</v>
      </c>
      <c r="AP61" s="71">
        <f t="shared" si="12"/>
        <v>409</v>
      </c>
      <c r="AQ61" s="72">
        <f>IF(OR($H61="GIROSSOL II",$H61="GIROSSOL II e III"),INDEX('Resumo Operacional'!$A$1:$P$1103,MATCH("Energia Injetada prevista total Fatura da Usina (TUSD)",'Resumo Operacional'!$B$1:$B$1103,0),MATCH('Detalhe Por UC'!$R61,'Resumo Operacional'!$A$1:$P$1,0))*$S61,INDEX('Resumo Operacional'!$A$1:$P$1103,53,MATCH('Detalhe Por UC'!$R61,'Resumo Operacional'!$A$1:$P$1,0))*$S61)</f>
        <v>494.90999999999997</v>
      </c>
      <c r="AR61" s="71">
        <f t="shared" si="13"/>
        <v>-85.909999999999968</v>
      </c>
      <c r="AS61" s="73">
        <f t="shared" si="14"/>
        <v>460.89</v>
      </c>
      <c r="AT61" s="74">
        <f t="shared" si="15"/>
        <v>460.89</v>
      </c>
      <c r="AU61" s="74">
        <f t="shared" si="16"/>
        <v>0.87772982346542017</v>
      </c>
      <c r="AV61" s="74">
        <f t="shared" si="17"/>
        <v>305.82750000000004</v>
      </c>
      <c r="AW61" s="74">
        <f t="shared" si="18"/>
        <v>0</v>
      </c>
      <c r="AX61" s="74">
        <f t="shared" si="19"/>
        <v>407.77</v>
      </c>
      <c r="AY61" s="74">
        <f t="shared" si="20"/>
        <v>305.83</v>
      </c>
      <c r="AZ61" s="49">
        <v>305.83</v>
      </c>
      <c r="BA61" s="117">
        <v>305.83</v>
      </c>
      <c r="BB61" s="49">
        <v>305.83</v>
      </c>
      <c r="BC61" s="73" t="str">
        <f t="shared" si="21"/>
        <v/>
      </c>
      <c r="BD61" s="73">
        <f t="shared" si="22"/>
        <v>868.66</v>
      </c>
      <c r="BE61" s="73">
        <f t="shared" si="23"/>
        <v>766.71749999999997</v>
      </c>
      <c r="BF61" s="77">
        <f t="shared" si="24"/>
        <v>101.94</v>
      </c>
      <c r="BG61" s="77">
        <f t="shared" si="25"/>
        <v>30.581999999999997</v>
      </c>
      <c r="BH61" s="77">
        <f t="shared" si="26"/>
        <v>407.77000000000004</v>
      </c>
      <c r="BI61" s="78">
        <f t="shared" si="27"/>
        <v>0.25</v>
      </c>
      <c r="BJ61" s="79">
        <f t="shared" si="28"/>
        <v>0.11735316464439481</v>
      </c>
      <c r="BK61" s="80">
        <f t="shared" si="29"/>
        <v>766.72</v>
      </c>
      <c r="BL61" s="80">
        <f t="shared" si="30"/>
        <v>101.93999999999994</v>
      </c>
      <c r="BM61" s="79">
        <f t="shared" si="31"/>
        <v>0.11735316464439476</v>
      </c>
      <c r="BN61" s="81">
        <f t="shared" si="32"/>
        <v>0.74775061124694375</v>
      </c>
      <c r="BO61" s="82">
        <f t="shared" si="33"/>
        <v>305.83</v>
      </c>
      <c r="BP61" s="81">
        <f t="shared" si="34"/>
        <v>0.74775061124694375</v>
      </c>
      <c r="BQ61" s="81">
        <f t="shared" si="35"/>
        <v>0.8670134528181983</v>
      </c>
      <c r="BR61" s="81">
        <f t="shared" si="36"/>
        <v>1.1162555066079294</v>
      </c>
      <c r="BS61" s="82">
        <f t="shared" si="37"/>
        <v>409</v>
      </c>
      <c r="BT61" s="82">
        <f t="shared" si="38"/>
        <v>456.54850220264314</v>
      </c>
      <c r="BU61" s="82">
        <f t="shared" si="39"/>
        <v>407.77</v>
      </c>
      <c r="BV61"/>
      <c r="BW61" s="82">
        <f>IFERROR(INDEX('Infos Clientes'!$T:$T,MATCH('Detalhe Por UC'!$C61,'Infos Clientes'!B:B,0)),"")</f>
        <v>449.81818181818181</v>
      </c>
      <c r="BX61" s="83">
        <f t="shared" si="40"/>
        <v>0</v>
      </c>
      <c r="BY61" s="84">
        <f t="shared" si="41"/>
        <v>0.22328405308129351</v>
      </c>
      <c r="BZ61" s="85">
        <f>IF(_xlfn.MINIFS('Detalhe Por UC'!R:R,'Detalhe Por UC'!C:C,C61,'Detalhe Por UC'!AD:AD,"&gt;"&amp;0)=0,"",_xlfn.MINIFS('Detalhe Por UC'!R:R,'Detalhe Por UC'!C:C,C61,'Detalhe Por UC'!AD:AD,"&gt;"&amp;0))</f>
        <v>45658</v>
      </c>
      <c r="CA61" s="114">
        <f ca="1">IF(OR(S61&gt;0,AD61&gt;0),IFERROR(
SUMIFS(INDIRECT("'Infos Clientes'!$W"&amp;INDEX('Infos Clientes'!$C:$C,MATCH(C61,'Infos Clientes'!$H:$H,0))&amp;":$CZ"&amp;INDEX('Infos Clientes'!$C:$C,MATCH(C61,'Infos Clientes'!$H:$H,0))),'Infos Clientes'!$W$2:$CZ$2,"&gt;"&amp;$R61-365,'Infos Clientes'!$W$2:$CZ$2,"&lt;="&amp;$R61)/
COUNTIFS(INDIRECT("'Infos Clientes'!$W"&amp;INDEX('Infos Clientes'!$C:$C,MATCH(C61,'Infos Clientes'!$H:$H,0))&amp;":$CZ"&amp;INDEX('Infos Clientes'!$C:$C,MATCH(C61,'Infos Clientes'!$H:$H,0))),"&gt;="&amp;0,'Infos Clientes'!$W$2:$CZ$2,"&gt;"&amp;$R61-365,'Infos Clientes'!$W$2:$CZ$2,"&lt;="&amp;$R61),""),"")</f>
        <v>412.33333333333331</v>
      </c>
      <c r="CB61" s="87">
        <f>VLOOKUP(C61,'Infos Clientes'!B:L,11,0)</f>
        <v>0</v>
      </c>
      <c r="CC61" s="88" t="str">
        <f t="shared" si="42"/>
        <v>A Unidade Consumidora 10/142353-2 economizou R$101,94 na fatura referente à jan/2025  consumindo 409 kWh em créditos de energia renovável conforme fatura de energia. A economia foi de 25% em relação ao que seria pago para a Energisa considerando os créditos consumidos. Atenção: Mantenha as contas da Energisa em dia para evitar cortes.</v>
      </c>
      <c r="CD61" s="40" t="s">
        <v>159</v>
      </c>
      <c r="CF61" s="115">
        <f t="shared" si="43"/>
        <v>-460.89</v>
      </c>
    </row>
    <row r="62" spans="1:84" s="104" customFormat="1" ht="16.2" hidden="1" customHeight="1" x14ac:dyDescent="0.3">
      <c r="A62" s="105" t="str">
        <f>INDEX('Infos Clientes'!$D:$D,MATCH('Detalhe Por UC'!C62,'Infos Clientes'!B:B,0))</f>
        <v>IGREJA DO EVANGELHO QUADRANGULAR</v>
      </c>
      <c r="B62" s="106" t="str">
        <f>INDEX('Infos Clientes'!$F:$F,MATCH('Detalhe Por UC'!C62,'Infos Clientes'!B:B,0))</f>
        <v>62.955.505/3124-87</v>
      </c>
      <c r="C62" s="31" t="s">
        <v>160</v>
      </c>
      <c r="D62" t="s">
        <v>351</v>
      </c>
      <c r="E62" s="1" t="s">
        <v>352</v>
      </c>
      <c r="F62" s="56" t="str">
        <f>INDEX('Infos Clientes'!$I:$I,MATCH('Detalhe Por UC'!C62,'Infos Clientes'!B:B,0))</f>
        <v>BT</v>
      </c>
      <c r="G62" s="56" t="str">
        <f>INDEX('Infos Clientes'!$J:$J,MATCH('Detalhe Por UC'!C62,'Infos Clientes'!B:B,0))</f>
        <v>trifasico</v>
      </c>
      <c r="H62" s="108" t="s">
        <v>138</v>
      </c>
      <c r="I62" s="58">
        <f>IFERROR(VLOOKUP(C62,'Infos Clientes'!B:E,4,),"")</f>
        <v>357</v>
      </c>
      <c r="J62" s="109">
        <v>0.25</v>
      </c>
      <c r="K62" s="59">
        <f>INDEX('Infos Clientes'!$M:$M,MATCH('Detalhe Por UC'!C62,'Infos Clientes'!B:B,0))</f>
        <v>0.25</v>
      </c>
      <c r="L62" s="110"/>
      <c r="M62" s="56">
        <f>INDEX('Infos Clientes'!$N:$N,MATCH('Detalhe Por UC'!C62,'Infos Clientes'!B:B,0))</f>
        <v>0</v>
      </c>
      <c r="N62" s="56">
        <f t="shared" si="7"/>
        <v>0</v>
      </c>
      <c r="O62" s="56">
        <f t="shared" si="8"/>
        <v>9</v>
      </c>
      <c r="P62" s="56">
        <f t="shared" si="9"/>
        <v>0</v>
      </c>
      <c r="Q62" s="61">
        <f>IFERROR(IFERROR(INDEX('Infos Clientes'!$A$2:$V$9884,MATCH($C62,'Infos Clientes'!$B$2:$B$9884,0),MATCH(Q$8,'Infos Clientes'!$A$2:$V$2,0)),"")
+IF(OR(INDEX('Infos Clientes'!$A$2:$V$9884,MATCH($C62,'Infos Clientes'!$B$2:$B$9884,0),MATCH("Tempo de Fidelidade (meses)",'Infos Clientes'!$A$2:$V$2,0))=0,R62&gt;=MAX(R:R)),0,
ROUND((MAX(R:R)-R62)/(365/12),0)),"")</f>
        <v>0</v>
      </c>
      <c r="R62" s="111">
        <v>45658</v>
      </c>
      <c r="S62" s="112">
        <v>0.03</v>
      </c>
      <c r="T62" s="113" t="str">
        <f>IF($H62="GIROSSOL II",AP62/INDEX('Resumo Operacional'!$A$1:$P$1103,17,MATCH('Detalhe Por UC'!$R62,'Resumo Operacional'!$A$1:$P$1,0)),
IF($H62="GIROSSOL II e III",AP62/INDEX('Resumo Operacional'!$A$1:$P$1103,17,MATCH('Detalhe Por UC'!$R62,'Resumo Operacional'!$A$1:$P$1,0)),
""))</f>
        <v/>
      </c>
      <c r="U62" s="113">
        <f>IF($H62="GIROSSOL III",AP62/INDEX('Resumo Operacional'!$A$1:$P$1103,53,MATCH('Detalhe Por UC'!$R62,'Resumo Operacional'!$A$1:$P$1,0)),
IF($H62="GIROSSOL II e III",AP62/INDEX('Resumo Operacional'!$A$1:$P$1103,53,MATCH('Detalhe Por UC'!$R62,'Resumo Operacional'!$A$1:$P$1,0)),
""))</f>
        <v>2.4792386494514155E-2</v>
      </c>
      <c r="V62" s="12"/>
      <c r="W62" s="12"/>
      <c r="X62" s="67">
        <v>1.11625</v>
      </c>
      <c r="Y62" s="116">
        <v>0</v>
      </c>
      <c r="Z62" s="66">
        <v>0.99863080684596583</v>
      </c>
      <c r="AA62" s="35">
        <v>0</v>
      </c>
      <c r="AB62" s="68">
        <v>488</v>
      </c>
      <c r="AC62" s="35">
        <v>0</v>
      </c>
      <c r="AD62" s="69">
        <v>409</v>
      </c>
      <c r="AE62" s="35"/>
      <c r="AF62" s="69">
        <v>0</v>
      </c>
      <c r="AG62" s="69">
        <v>0</v>
      </c>
      <c r="AH62" s="16">
        <v>0</v>
      </c>
      <c r="AI62" s="16">
        <v>0</v>
      </c>
      <c r="AJ62" s="16">
        <v>0</v>
      </c>
      <c r="AK62" s="12"/>
      <c r="AL62" s="38"/>
      <c r="AM62" s="1"/>
      <c r="AN62" s="71">
        <f t="shared" si="10"/>
        <v>0</v>
      </c>
      <c r="AO62" s="71">
        <f t="shared" si="11"/>
        <v>0</v>
      </c>
      <c r="AP62" s="71">
        <f t="shared" si="12"/>
        <v>409</v>
      </c>
      <c r="AQ62" s="72">
        <f>IF(OR($H62="GIROSSOL II",$H62="GIROSSOL II e III"),INDEX('Resumo Operacional'!$A$1:$P$1103,MATCH("Energia Injetada prevista total Fatura da Usina (TUSD)",'Resumo Operacional'!$B$1:$B$1103,0),MATCH('Detalhe Por UC'!$R62,'Resumo Operacional'!$A$1:$P$1,0))*$S62,INDEX('Resumo Operacional'!$A$1:$P$1103,53,MATCH('Detalhe Por UC'!$R62,'Resumo Operacional'!$A$1:$P$1,0))*$S62)</f>
        <v>494.90999999999997</v>
      </c>
      <c r="AR62" s="71">
        <f t="shared" si="13"/>
        <v>-85.909999999999968</v>
      </c>
      <c r="AS62" s="73">
        <f t="shared" si="14"/>
        <v>136.28999999999996</v>
      </c>
      <c r="AT62" s="74">
        <f t="shared" si="15"/>
        <v>136.28999999999996</v>
      </c>
      <c r="AU62" s="74">
        <f t="shared" si="16"/>
        <v>0.88101161369193182</v>
      </c>
      <c r="AV62" s="74">
        <f t="shared" si="17"/>
        <v>306.33</v>
      </c>
      <c r="AW62" s="74">
        <f t="shared" si="18"/>
        <v>0</v>
      </c>
      <c r="AX62" s="74">
        <f t="shared" si="19"/>
        <v>408.44000000000005</v>
      </c>
      <c r="AY62" s="74">
        <f t="shared" si="20"/>
        <v>306.33</v>
      </c>
      <c r="AZ62" s="49">
        <v>306.33</v>
      </c>
      <c r="BA62" s="117">
        <v>306.33</v>
      </c>
      <c r="BB62" s="49">
        <v>306.33</v>
      </c>
      <c r="BC62" s="73" t="str">
        <f t="shared" si="21"/>
        <v/>
      </c>
      <c r="BD62" s="73">
        <f t="shared" si="22"/>
        <v>544.73</v>
      </c>
      <c r="BE62" s="73">
        <f t="shared" si="23"/>
        <v>442.61999999999995</v>
      </c>
      <c r="BF62" s="77">
        <f t="shared" si="24"/>
        <v>102.11</v>
      </c>
      <c r="BG62" s="77">
        <f t="shared" si="25"/>
        <v>30.632999999999999</v>
      </c>
      <c r="BH62" s="77">
        <f t="shared" si="26"/>
        <v>408.44000000000005</v>
      </c>
      <c r="BI62" s="78">
        <f t="shared" si="27"/>
        <v>0.25</v>
      </c>
      <c r="BJ62" s="79">
        <f t="shared" si="28"/>
        <v>0.18745066363152388</v>
      </c>
      <c r="BK62" s="80">
        <f t="shared" si="29"/>
        <v>442.61999999999995</v>
      </c>
      <c r="BL62" s="80">
        <f t="shared" si="30"/>
        <v>102.11000000000007</v>
      </c>
      <c r="BM62" s="79">
        <f t="shared" si="31"/>
        <v>0.18745066363152399</v>
      </c>
      <c r="BN62" s="81">
        <f t="shared" si="32"/>
        <v>0.74897310513447424</v>
      </c>
      <c r="BO62" s="82">
        <f t="shared" si="33"/>
        <v>306.33</v>
      </c>
      <c r="BP62" s="81">
        <f t="shared" si="34"/>
        <v>0.74897310513447424</v>
      </c>
      <c r="BQ62" s="81">
        <f t="shared" si="35"/>
        <v>0.86659229828850837</v>
      </c>
      <c r="BR62" s="81">
        <f t="shared" si="36"/>
        <v>1.11625</v>
      </c>
      <c r="BS62" s="82">
        <f t="shared" si="37"/>
        <v>409</v>
      </c>
      <c r="BT62" s="82">
        <f t="shared" si="38"/>
        <v>456.54624999999999</v>
      </c>
      <c r="BU62" s="82">
        <f t="shared" si="39"/>
        <v>408.44000000000005</v>
      </c>
      <c r="BV62"/>
      <c r="BW62" s="82">
        <f>IFERROR(INDEX('Infos Clientes'!$T:$T,MATCH('Detalhe Por UC'!$C62,'Infos Clientes'!B:B,0)),"")</f>
        <v>495.18181818181819</v>
      </c>
      <c r="BX62" s="83">
        <f t="shared" si="40"/>
        <v>0</v>
      </c>
      <c r="BY62" s="84">
        <f t="shared" si="41"/>
        <v>0.22365751553101151</v>
      </c>
      <c r="BZ62" s="85">
        <f>IF(_xlfn.MINIFS('Detalhe Por UC'!R:R,'Detalhe Por UC'!C:C,C62,'Detalhe Por UC'!AD:AD,"&gt;"&amp;0)=0,"",_xlfn.MINIFS('Detalhe Por UC'!R:R,'Detalhe Por UC'!C:C,C62,'Detalhe Por UC'!AD:AD,"&gt;"&amp;0))</f>
        <v>45658</v>
      </c>
      <c r="CA62" s="114">
        <f ca="1">IF(OR(S62&gt;0,AD62&gt;0),IFERROR(
SUMIFS(INDIRECT("'Infos Clientes'!$W"&amp;INDEX('Infos Clientes'!$C:$C,MATCH(C62,'Infos Clientes'!$H:$H,0))&amp;":$CZ"&amp;INDEX('Infos Clientes'!$C:$C,MATCH(C62,'Infos Clientes'!$H:$H,0))),'Infos Clientes'!$W$2:$CZ$2,"&gt;"&amp;$R62-365,'Infos Clientes'!$W$2:$CZ$2,"&lt;="&amp;$R62)/
COUNTIFS(INDIRECT("'Infos Clientes'!$W"&amp;INDEX('Infos Clientes'!$C:$C,MATCH(C62,'Infos Clientes'!$H:$H,0))&amp;":$CZ"&amp;INDEX('Infos Clientes'!$C:$C,MATCH(C62,'Infos Clientes'!$H:$H,0))),"&gt;="&amp;0,'Infos Clientes'!$W$2:$CZ$2,"&gt;"&amp;$R62-365,'Infos Clientes'!$W$2:$CZ$2,"&lt;="&amp;$R62),""),"")</f>
        <v>453.91666666666669</v>
      </c>
      <c r="CB62" s="87">
        <f>VLOOKUP(C62,'Infos Clientes'!B:L,11,0)</f>
        <v>0</v>
      </c>
      <c r="CC62" s="88" t="str">
        <f t="shared" si="42"/>
        <v>A Unidade Consumidora 10/15297-5 economizou R$102,11 na fatura referente à jan/2025  consumindo 409 kWh em créditos de energia renovável conforme fatura de energia. A economia foi de 25% em relação ao que seria pago para a Energisa considerando os créditos consumidos. Atenção: Mantenha as contas da Energisa em dia para evitar cortes.</v>
      </c>
      <c r="CD62" s="40" t="s">
        <v>162</v>
      </c>
      <c r="CF62" s="115">
        <f t="shared" si="43"/>
        <v>-136.28999999999996</v>
      </c>
    </row>
    <row r="63" spans="1:84" s="104" customFormat="1" ht="16.2" hidden="1" customHeight="1" x14ac:dyDescent="0.3">
      <c r="A63" s="105" t="str">
        <f>INDEX('Infos Clientes'!$D:$D,MATCH('Detalhe Por UC'!C63,'Infos Clientes'!B:B,0))</f>
        <v>IGREJA DO EVANGELHO QUADRANGULAR</v>
      </c>
      <c r="B63" s="106" t="str">
        <f>INDEX('Infos Clientes'!$F:$F,MATCH('Detalhe Por UC'!C63,'Infos Clientes'!B:B,0))</f>
        <v>62.955.505/0161-60</v>
      </c>
      <c r="C63" s="31" t="s">
        <v>163</v>
      </c>
      <c r="D63" t="s">
        <v>351</v>
      </c>
      <c r="E63" s="1" t="s">
        <v>352</v>
      </c>
      <c r="F63" s="56" t="str">
        <f>INDEX('Infos Clientes'!$I:$I,MATCH('Detalhe Por UC'!C63,'Infos Clientes'!B:B,0))</f>
        <v>BT</v>
      </c>
      <c r="G63" s="56" t="str">
        <f>INDEX('Infos Clientes'!$J:$J,MATCH('Detalhe Por UC'!C63,'Infos Clientes'!B:B,0))</f>
        <v>trifasico</v>
      </c>
      <c r="H63" s="108" t="s">
        <v>353</v>
      </c>
      <c r="I63" s="58">
        <f>IFERROR(VLOOKUP(C63,'Infos Clientes'!B:E,4,),"")</f>
        <v>302</v>
      </c>
      <c r="J63" s="109">
        <v>0.25</v>
      </c>
      <c r="K63" s="59">
        <f>INDEX('Infos Clientes'!$M:$M,MATCH('Detalhe Por UC'!C63,'Infos Clientes'!B:B,0))</f>
        <v>0.25</v>
      </c>
      <c r="L63" s="110"/>
      <c r="M63" s="56">
        <f>INDEX('Infos Clientes'!$N:$N,MATCH('Detalhe Por UC'!C63,'Infos Clientes'!B:B,0))</f>
        <v>0</v>
      </c>
      <c r="N63" s="56">
        <f t="shared" si="7"/>
        <v>0</v>
      </c>
      <c r="O63" s="56">
        <f t="shared" si="8"/>
        <v>9</v>
      </c>
      <c r="P63" s="56">
        <f t="shared" si="9"/>
        <v>0</v>
      </c>
      <c r="Q63" s="61">
        <f>IFERROR(IFERROR(INDEX('Infos Clientes'!$A$2:$V$9884,MATCH($C63,'Infos Clientes'!$B$2:$B$9884,0),MATCH(Q$8,'Infos Clientes'!$A$2:$V$2,0)),"")
+IF(OR(INDEX('Infos Clientes'!$A$2:$V$9884,MATCH($C63,'Infos Clientes'!$B$2:$B$9884,0),MATCH("Tempo de Fidelidade (meses)",'Infos Clientes'!$A$2:$V$2,0))=0,R63&gt;=MAX(R:R)),0,
ROUND((MAX(R:R)-R63)/(365/12),0)),"")</f>
        <v>0</v>
      </c>
      <c r="R63" s="111">
        <v>45658</v>
      </c>
      <c r="S63" s="112">
        <v>0.02</v>
      </c>
      <c r="T63" s="113">
        <f>IF($H63="GIROSSOL II",AP63/INDEX('Resumo Operacional'!$A$1:$P$1103,17,MATCH('Detalhe Por UC'!$R63,'Resumo Operacional'!$A$1:$P$1,0)),
IF($H63="GIROSSOL II e III",AP63/INDEX('Resumo Operacional'!$A$1:$P$1103,17,MATCH('Detalhe Por UC'!$R63,'Resumo Operacional'!$A$1:$P$1,0)),
""))</f>
        <v>9.8025082888856859E-3</v>
      </c>
      <c r="U63" s="113">
        <f>IF($H63="GIROSSOL III",AP63/INDEX('Resumo Operacional'!$A$1:$P$1103,53,MATCH('Detalhe Por UC'!$R63,'Resumo Operacional'!$A$1:$P$1,0)),
IF($H63="GIROSSOL II e III",AP63/INDEX('Resumo Operacional'!$A$1:$P$1103,53,MATCH('Detalhe Por UC'!$R63,'Resumo Operacional'!$A$1:$P$1,0)),
""))</f>
        <v>8.2439231375401583E-3</v>
      </c>
      <c r="V63" s="12"/>
      <c r="W63" s="12"/>
      <c r="X63" s="67">
        <v>1.1162603305785124</v>
      </c>
      <c r="Y63" s="116">
        <v>0</v>
      </c>
      <c r="Z63" s="66">
        <v>1.008455882352941</v>
      </c>
      <c r="AA63" s="35">
        <v>0</v>
      </c>
      <c r="AB63" s="68">
        <v>484</v>
      </c>
      <c r="AC63" s="35">
        <v>0</v>
      </c>
      <c r="AD63" s="69">
        <v>136</v>
      </c>
      <c r="AE63" s="35"/>
      <c r="AF63" s="69">
        <v>0</v>
      </c>
      <c r="AG63" s="69">
        <v>0</v>
      </c>
      <c r="AH63" s="16">
        <v>81.87</v>
      </c>
      <c r="AI63" s="16">
        <v>0</v>
      </c>
      <c r="AJ63" s="16">
        <v>0</v>
      </c>
      <c r="AK63" s="12"/>
      <c r="AL63" s="38"/>
      <c r="AM63" s="1"/>
      <c r="AN63" s="71">
        <f t="shared" si="10"/>
        <v>0</v>
      </c>
      <c r="AO63" s="71">
        <f t="shared" si="11"/>
        <v>0</v>
      </c>
      <c r="AP63" s="71">
        <f t="shared" si="12"/>
        <v>136</v>
      </c>
      <c r="AQ63" s="72">
        <f>IF(OR($H63="GIROSSOL II",$H63="GIROSSOL II e III"),INDEX('Resumo Operacional'!$A$1:$P$1103,MATCH("Energia Injetada prevista total Fatura da Usina (TUSD)",'Resumo Operacional'!$B$1:$B$1103,0),MATCH('Detalhe Por UC'!$R63,'Resumo Operacional'!$A$1:$P$1,0))*$S63,INDEX('Resumo Operacional'!$A$1:$P$1103,53,MATCH('Detalhe Por UC'!$R63,'Resumo Operacional'!$A$1:$P$1,0))*$S63)</f>
        <v>277.48</v>
      </c>
      <c r="AR63" s="71">
        <f t="shared" si="13"/>
        <v>-141.48000000000002</v>
      </c>
      <c r="AS63" s="73">
        <f t="shared" si="14"/>
        <v>484.99</v>
      </c>
      <c r="AT63" s="74">
        <f t="shared" si="15"/>
        <v>484.99</v>
      </c>
      <c r="AU63" s="74">
        <f t="shared" si="16"/>
        <v>0.9006514341273697</v>
      </c>
      <c r="AV63" s="74">
        <f t="shared" si="17"/>
        <v>102.86249999999998</v>
      </c>
      <c r="AW63" s="74">
        <f t="shared" si="18"/>
        <v>0</v>
      </c>
      <c r="AX63" s="74">
        <f t="shared" si="19"/>
        <v>137.14999999999998</v>
      </c>
      <c r="AY63" s="74">
        <f t="shared" si="20"/>
        <v>102.86</v>
      </c>
      <c r="AZ63" s="49">
        <v>102.86</v>
      </c>
      <c r="BA63" s="117">
        <v>102.86</v>
      </c>
      <c r="BB63" s="49">
        <v>102.86</v>
      </c>
      <c r="BC63" s="73" t="str">
        <f t="shared" si="21"/>
        <v/>
      </c>
      <c r="BD63" s="73">
        <f t="shared" si="22"/>
        <v>622.14</v>
      </c>
      <c r="BE63" s="73">
        <f t="shared" si="23"/>
        <v>587.85249999999996</v>
      </c>
      <c r="BF63" s="77">
        <f t="shared" si="24"/>
        <v>34.29</v>
      </c>
      <c r="BG63" s="77">
        <f t="shared" si="25"/>
        <v>10.286999999999999</v>
      </c>
      <c r="BH63" s="77">
        <f t="shared" si="26"/>
        <v>137.14999999999998</v>
      </c>
      <c r="BI63" s="78">
        <f t="shared" si="27"/>
        <v>0.25</v>
      </c>
      <c r="BJ63" s="79">
        <f t="shared" si="28"/>
        <v>5.5116211785128752E-2</v>
      </c>
      <c r="BK63" s="80">
        <f t="shared" si="29"/>
        <v>587.85</v>
      </c>
      <c r="BL63" s="80">
        <f t="shared" si="30"/>
        <v>34.289999999999964</v>
      </c>
      <c r="BM63" s="79">
        <f t="shared" si="31"/>
        <v>5.511621178512869E-2</v>
      </c>
      <c r="BN63" s="81">
        <f t="shared" si="32"/>
        <v>0.75632352941176473</v>
      </c>
      <c r="BO63" s="82">
        <f t="shared" si="33"/>
        <v>102.86</v>
      </c>
      <c r="BP63" s="81">
        <f t="shared" si="34"/>
        <v>0.75632352941176473</v>
      </c>
      <c r="BQ63" s="81">
        <f t="shared" si="35"/>
        <v>0.86412797763733606</v>
      </c>
      <c r="BR63" s="81">
        <f t="shared" si="36"/>
        <v>1.1162603305785124</v>
      </c>
      <c r="BS63" s="82">
        <f t="shared" si="37"/>
        <v>136</v>
      </c>
      <c r="BT63" s="82">
        <f t="shared" si="38"/>
        <v>151.81140495867768</v>
      </c>
      <c r="BU63" s="82">
        <f t="shared" si="39"/>
        <v>137.14999999999998</v>
      </c>
      <c r="BV63"/>
      <c r="BW63" s="82">
        <f>IFERROR(INDEX('Infos Clientes'!$T:$T,MATCH('Detalhe Por UC'!$C63,'Infos Clientes'!B:B,0)),"")</f>
        <v>393</v>
      </c>
      <c r="BX63" s="83">
        <f t="shared" si="40"/>
        <v>0</v>
      </c>
      <c r="BY63" s="84">
        <f t="shared" si="41"/>
        <v>0.22587235793867758</v>
      </c>
      <c r="BZ63" s="85">
        <f>IF(_xlfn.MINIFS('Detalhe Por UC'!R:R,'Detalhe Por UC'!C:C,C63,'Detalhe Por UC'!AD:AD,"&gt;"&amp;0)=0,"",_xlfn.MINIFS('Detalhe Por UC'!R:R,'Detalhe Por UC'!C:C,C63,'Detalhe Por UC'!AD:AD,"&gt;"&amp;0))</f>
        <v>45658</v>
      </c>
      <c r="CA63" s="114">
        <f ca="1">IF(OR(S63&gt;0,AD63&gt;0),IFERROR(
SUMIFS(INDIRECT("'Infos Clientes'!$W"&amp;INDEX('Infos Clientes'!$C:$C,MATCH(C63,'Infos Clientes'!$H:$H,0))&amp;":$CZ"&amp;INDEX('Infos Clientes'!$C:$C,MATCH(C63,'Infos Clientes'!$H:$H,0))),'Infos Clientes'!$W$2:$CZ$2,"&gt;"&amp;$R63-365,'Infos Clientes'!$W$2:$CZ$2,"&lt;="&amp;$R63)/
COUNTIFS(INDIRECT("'Infos Clientes'!$W"&amp;INDEX('Infos Clientes'!$C:$C,MATCH(C63,'Infos Clientes'!$H:$H,0))&amp;":$CZ"&amp;INDEX('Infos Clientes'!$C:$C,MATCH(C63,'Infos Clientes'!$H:$H,0))),"&gt;="&amp;0,'Infos Clientes'!$W$2:$CZ$2,"&gt;"&amp;$R63-365,'Infos Clientes'!$W$2:$CZ$2,"&lt;="&amp;$R63),""),"")</f>
        <v>218.66666666666666</v>
      </c>
      <c r="CB63" s="87">
        <f>VLOOKUP(C63,'Infos Clientes'!B:L,11,0)</f>
        <v>0</v>
      </c>
      <c r="CC63" s="88" t="str">
        <f t="shared" si="42"/>
        <v>A Unidade Consumidora 10/1674177-9 economizou R$34,29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63" s="40" t="s">
        <v>165</v>
      </c>
      <c r="CF63" s="115">
        <f t="shared" si="43"/>
        <v>-484.99</v>
      </c>
    </row>
    <row r="64" spans="1:84" s="104" customFormat="1" ht="16.2" hidden="1" customHeight="1" x14ac:dyDescent="0.3">
      <c r="A64" s="105" t="str">
        <f>INDEX('Infos Clientes'!$D:$D,MATCH('Detalhe Por UC'!C64,'Infos Clientes'!B:B,0))</f>
        <v>IGREJA DO EVANGELHO QUADRANGULAR</v>
      </c>
      <c r="B64" s="106" t="str">
        <f>INDEX('Infos Clientes'!$F:$F,MATCH('Detalhe Por UC'!C64,'Infos Clientes'!B:B,0))</f>
        <v>62.955.505/1344-49</v>
      </c>
      <c r="C64" s="31" t="s">
        <v>166</v>
      </c>
      <c r="D64" t="s">
        <v>351</v>
      </c>
      <c r="E64" s="1" t="s">
        <v>352</v>
      </c>
      <c r="F64" s="56" t="str">
        <f>INDEX('Infos Clientes'!$I:$I,MATCH('Detalhe Por UC'!C64,'Infos Clientes'!B:B,0))</f>
        <v>BT</v>
      </c>
      <c r="G64" s="56" t="str">
        <f>INDEX('Infos Clientes'!$J:$J,MATCH('Detalhe Por UC'!C64,'Infos Clientes'!B:B,0))</f>
        <v>bifasico</v>
      </c>
      <c r="H64" s="108" t="s">
        <v>138</v>
      </c>
      <c r="I64" s="58">
        <f>IFERROR(VLOOKUP(C64,'Infos Clientes'!B:E,4,),"")</f>
        <v>362</v>
      </c>
      <c r="J64" s="109">
        <v>0.25</v>
      </c>
      <c r="K64" s="59">
        <f>INDEX('Infos Clientes'!$M:$M,MATCH('Detalhe Por UC'!C64,'Infos Clientes'!B:B,0))</f>
        <v>0.25</v>
      </c>
      <c r="L64" s="110"/>
      <c r="M64" s="56">
        <f>INDEX('Infos Clientes'!$N:$N,MATCH('Detalhe Por UC'!C64,'Infos Clientes'!B:B,0))</f>
        <v>0</v>
      </c>
      <c r="N64" s="56">
        <f t="shared" si="7"/>
        <v>0</v>
      </c>
      <c r="O64" s="56">
        <f t="shared" si="8"/>
        <v>11</v>
      </c>
      <c r="P64" s="56">
        <f t="shared" si="9"/>
        <v>0</v>
      </c>
      <c r="Q64" s="61">
        <f>IFERROR(IFERROR(INDEX('Infos Clientes'!$A$2:$V$9884,MATCH($C64,'Infos Clientes'!$B$2:$B$9884,0),MATCH(Q$8,'Infos Clientes'!$A$2:$V$2,0)),"")
+IF(OR(INDEX('Infos Clientes'!$A$2:$V$9884,MATCH($C64,'Infos Clientes'!$B$2:$B$9884,0),MATCH("Tempo de Fidelidade (meses)",'Infos Clientes'!$A$2:$V$2,0))=0,R64&gt;=MAX(R:R)),0,
ROUND((MAX(R:R)-R64)/(365/12),0)),"")</f>
        <v>0</v>
      </c>
      <c r="R64" s="111">
        <v>45658</v>
      </c>
      <c r="S64" s="112">
        <v>0.01</v>
      </c>
      <c r="T64" s="113" t="str">
        <f>IF($H64="GIROSSOL II",AP64/INDEX('Resumo Operacional'!$A$1:$P$1103,17,MATCH('Detalhe Por UC'!$R64,'Resumo Operacional'!$A$1:$P$1,0)),
IF($H64="GIROSSOL II e III",AP64/INDEX('Resumo Operacional'!$A$1:$P$1103,17,MATCH('Detalhe Por UC'!$R64,'Resumo Operacional'!$A$1:$P$1,0)),
""))</f>
        <v/>
      </c>
      <c r="U64" s="113">
        <f>IF($H64="GIROSSOL III",AP64/INDEX('Resumo Operacional'!$A$1:$P$1103,53,MATCH('Detalhe Por UC'!$R64,'Resumo Operacional'!$A$1:$P$1,0)),
IF($H64="GIROSSOL II e III",AP64/INDEX('Resumo Operacional'!$A$1:$P$1103,53,MATCH('Detalhe Por UC'!$R64,'Resumo Operacional'!$A$1:$P$1,0)),
""))</f>
        <v>4.8493665514942109E-4</v>
      </c>
      <c r="V64" s="12"/>
      <c r="W64" s="12"/>
      <c r="X64" s="67">
        <v>1.116140350877193</v>
      </c>
      <c r="Y64" s="116">
        <v>0</v>
      </c>
      <c r="Z64" s="66">
        <v>0.99624999999999997</v>
      </c>
      <c r="AA64" s="35">
        <v>0</v>
      </c>
      <c r="AB64" s="68">
        <v>57</v>
      </c>
      <c r="AC64" s="35">
        <v>0</v>
      </c>
      <c r="AD64" s="69">
        <v>8</v>
      </c>
      <c r="AE64" s="35"/>
      <c r="AF64" s="69">
        <v>0</v>
      </c>
      <c r="AG64" s="69">
        <v>0</v>
      </c>
      <c r="AH64" s="16">
        <v>12.25</v>
      </c>
      <c r="AI64" s="16">
        <v>0</v>
      </c>
      <c r="AJ64" s="16">
        <v>0</v>
      </c>
      <c r="AK64" s="12"/>
      <c r="AL64" s="38"/>
      <c r="AM64" s="1"/>
      <c r="AN64" s="71">
        <f t="shared" si="10"/>
        <v>0</v>
      </c>
      <c r="AO64" s="71">
        <f t="shared" si="11"/>
        <v>0</v>
      </c>
      <c r="AP64" s="71">
        <f t="shared" si="12"/>
        <v>8</v>
      </c>
      <c r="AQ64" s="72">
        <f>IF(OR($H64="GIROSSOL II",$H64="GIROSSOL II e III"),INDEX('Resumo Operacional'!$A$1:$P$1103,MATCH("Energia Injetada prevista total Fatura da Usina (TUSD)",'Resumo Operacional'!$B$1:$B$1103,0),MATCH('Detalhe Por UC'!$R64,'Resumo Operacional'!$A$1:$P$1,0))*$S64,INDEX('Resumo Operacional'!$A$1:$P$1103,53,MATCH('Detalhe Por UC'!$R64,'Resumo Operacional'!$A$1:$P$1,0))*$S64)</f>
        <v>164.97</v>
      </c>
      <c r="AR64" s="71">
        <f t="shared" si="13"/>
        <v>-156.97</v>
      </c>
      <c r="AS64" s="73">
        <f t="shared" si="14"/>
        <v>67.900000000000006</v>
      </c>
      <c r="AT64" s="74">
        <f t="shared" si="15"/>
        <v>67.900000000000006</v>
      </c>
      <c r="AU64" s="74">
        <f t="shared" si="16"/>
        <v>0.87635964912280695</v>
      </c>
      <c r="AV64" s="74">
        <f t="shared" si="17"/>
        <v>5.9775</v>
      </c>
      <c r="AW64" s="74">
        <f t="shared" si="18"/>
        <v>0</v>
      </c>
      <c r="AX64" s="74">
        <f t="shared" si="19"/>
        <v>7.97</v>
      </c>
      <c r="AY64" s="74">
        <f t="shared" si="20"/>
        <v>5.98</v>
      </c>
      <c r="AZ64" s="49">
        <v>5.98</v>
      </c>
      <c r="BA64" s="117">
        <v>5.98</v>
      </c>
      <c r="BB64" s="49">
        <v>5.98</v>
      </c>
      <c r="BC64" s="73" t="str">
        <f t="shared" si="21"/>
        <v/>
      </c>
      <c r="BD64" s="73">
        <f t="shared" si="22"/>
        <v>75.87</v>
      </c>
      <c r="BE64" s="73">
        <f t="shared" si="23"/>
        <v>73.877500000000012</v>
      </c>
      <c r="BF64" s="77">
        <f t="shared" si="24"/>
        <v>1.99</v>
      </c>
      <c r="BG64" s="77">
        <f t="shared" si="25"/>
        <v>0.59699999999999998</v>
      </c>
      <c r="BH64" s="77">
        <f t="shared" si="26"/>
        <v>7.97</v>
      </c>
      <c r="BI64" s="78">
        <f t="shared" si="27"/>
        <v>0.25</v>
      </c>
      <c r="BJ64" s="79">
        <f t="shared" si="28"/>
        <v>2.6229076051140107E-2</v>
      </c>
      <c r="BK64" s="80">
        <f t="shared" si="29"/>
        <v>73.88000000000001</v>
      </c>
      <c r="BL64" s="80">
        <f t="shared" si="30"/>
        <v>1.9899999999999949</v>
      </c>
      <c r="BM64" s="79">
        <f t="shared" si="31"/>
        <v>2.6229076051140041E-2</v>
      </c>
      <c r="BN64" s="81">
        <f t="shared" si="32"/>
        <v>0.74750000000000005</v>
      </c>
      <c r="BO64" s="82">
        <f t="shared" si="33"/>
        <v>5.98</v>
      </c>
      <c r="BP64" s="81">
        <f t="shared" si="34"/>
        <v>0.74750000000000005</v>
      </c>
      <c r="BQ64" s="81">
        <f t="shared" si="35"/>
        <v>0.86739035087719307</v>
      </c>
      <c r="BR64" s="81">
        <f t="shared" si="36"/>
        <v>1.116140350877193</v>
      </c>
      <c r="BS64" s="82">
        <f t="shared" si="37"/>
        <v>8</v>
      </c>
      <c r="BT64" s="82">
        <f t="shared" si="38"/>
        <v>8.9291228070175439</v>
      </c>
      <c r="BU64" s="82">
        <f t="shared" si="39"/>
        <v>7.97</v>
      </c>
      <c r="BV64"/>
      <c r="BW64" s="82">
        <f>IFERROR(INDEX('Infos Clientes'!$T:$T,MATCH('Detalhe Por UC'!$C64,'Infos Clientes'!B:B,0)),"")</f>
        <v>140.81818181818181</v>
      </c>
      <c r="BX64" s="83">
        <f t="shared" si="40"/>
        <v>0</v>
      </c>
      <c r="BY64" s="84">
        <f t="shared" si="41"/>
        <v>0.22286623703237968</v>
      </c>
      <c r="BZ64" s="85">
        <f>IF(_xlfn.MINIFS('Detalhe Por UC'!R:R,'Detalhe Por UC'!C:C,C64,'Detalhe Por UC'!AD:AD,"&gt;"&amp;0)=0,"",_xlfn.MINIFS('Detalhe Por UC'!R:R,'Detalhe Por UC'!C:C,C64,'Detalhe Por UC'!AD:AD,"&gt;"&amp;0))</f>
        <v>45658</v>
      </c>
      <c r="CA64" s="114">
        <f ca="1">IF(OR(S64&gt;0,AD64&gt;0),IFERROR(
SUMIFS(INDIRECT("'Infos Clientes'!$W"&amp;INDEX('Infos Clientes'!$C:$C,MATCH(C64,'Infos Clientes'!$H:$H,0))&amp;":$CZ"&amp;INDEX('Infos Clientes'!$C:$C,MATCH(C64,'Infos Clientes'!$H:$H,0))),'Infos Clientes'!$W$2:$CZ$2,"&gt;"&amp;$R64-365,'Infos Clientes'!$W$2:$CZ$2,"&lt;="&amp;$R64)/
COUNTIFS(INDIRECT("'Infos Clientes'!$W"&amp;INDEX('Infos Clientes'!$C:$C,MATCH(C64,'Infos Clientes'!$H:$H,0))&amp;":$CZ"&amp;INDEX('Infos Clientes'!$C:$C,MATCH(C64,'Infos Clientes'!$H:$H,0))),"&gt;="&amp;0,'Infos Clientes'!$W$2:$CZ$2,"&gt;"&amp;$R64-365,'Infos Clientes'!$W$2:$CZ$2,"&lt;="&amp;$R64),""),"")</f>
        <v>129.08333333333334</v>
      </c>
      <c r="CB64" s="87">
        <f>VLOOKUP(C64,'Infos Clientes'!B:L,11,0)</f>
        <v>0</v>
      </c>
      <c r="CC64" s="88" t="str">
        <f t="shared" si="42"/>
        <v>A Unidade Consumidora 10/175073-6 economizou R$1,99 na fatura referente à jan/2025  consumindo 8 kWh em créditos de energia renovável conforme fatura de energia. A economia foi de 25% em relação ao que seria pago para a Energisa considerando os créditos consumidos. Atenção: Mantenha as contas da Energisa em dia para evitar cortes.</v>
      </c>
      <c r="CD64" s="40" t="s">
        <v>83</v>
      </c>
      <c r="CF64" s="115">
        <f t="shared" si="43"/>
        <v>-67.900000000000006</v>
      </c>
    </row>
    <row r="65" spans="1:84" s="104" customFormat="1" ht="16.2" hidden="1" customHeight="1" x14ac:dyDescent="0.3">
      <c r="A65" s="105" t="str">
        <f>INDEX('Infos Clientes'!$D:$D,MATCH('Detalhe Por UC'!C65,'Infos Clientes'!B:B,0))</f>
        <v>IGREJA DO EVANGELHO QUADRANGULAR</v>
      </c>
      <c r="B65" s="106" t="str">
        <f>INDEX('Infos Clientes'!$F:$F,MATCH('Detalhe Por UC'!C65,'Infos Clientes'!B:B,0))</f>
        <v>62.955.505/0151-99</v>
      </c>
      <c r="C65" s="118" t="s">
        <v>168</v>
      </c>
      <c r="D65" t="s">
        <v>351</v>
      </c>
      <c r="E65" s="1" t="s">
        <v>352</v>
      </c>
      <c r="F65" s="56" t="str">
        <f>INDEX('Infos Clientes'!$I:$I,MATCH('Detalhe Por UC'!C65,'Infos Clientes'!B:B,0))</f>
        <v>BT</v>
      </c>
      <c r="G65" s="56" t="str">
        <f>INDEX('Infos Clientes'!$J:$J,MATCH('Detalhe Por UC'!C65,'Infos Clientes'!B:B,0))</f>
        <v>trifasico</v>
      </c>
      <c r="H65" s="108" t="s">
        <v>24</v>
      </c>
      <c r="I65" s="58">
        <f>IFERROR(VLOOKUP(C65,'Infos Clientes'!B:E,4,),"")</f>
        <v>306</v>
      </c>
      <c r="J65" s="109">
        <v>0.25</v>
      </c>
      <c r="K65" s="59">
        <f>INDEX('Infos Clientes'!$M:$M,MATCH('Detalhe Por UC'!C65,'Infos Clientes'!B:B,0))</f>
        <v>0.25</v>
      </c>
      <c r="L65" s="110"/>
      <c r="M65" s="56">
        <f>INDEX('Infos Clientes'!$N:$N,MATCH('Detalhe Por UC'!C65,'Infos Clientes'!B:B,0))</f>
        <v>0</v>
      </c>
      <c r="N65" s="56">
        <f t="shared" si="7"/>
        <v>0</v>
      </c>
      <c r="O65" s="56">
        <f t="shared" si="8"/>
        <v>7</v>
      </c>
      <c r="P65" s="56">
        <f t="shared" si="9"/>
        <v>0</v>
      </c>
      <c r="Q65" s="61">
        <f>IFERROR(IFERROR(INDEX('Infos Clientes'!$A$2:$V$9884,MATCH($C65,'Infos Clientes'!$B$2:$B$9884,0),MATCH(Q$8,'Infos Clientes'!$A$2:$V$2,0)),"")
+IF(OR(INDEX('Infos Clientes'!$A$2:$V$9884,MATCH($C65,'Infos Clientes'!$B$2:$B$9884,0),MATCH("Tempo de Fidelidade (meses)",'Infos Clientes'!$A$2:$V$2,0))=0,R65&gt;=MAX(R:R)),0,
ROUND((MAX(R:R)-R65)/(365/12),0)),"")</f>
        <v>0</v>
      </c>
      <c r="R65" s="111">
        <v>45658</v>
      </c>
      <c r="S65" s="112">
        <v>0</v>
      </c>
      <c r="T65" s="113">
        <f>IF($H65="GIROSSOL II",AP65/INDEX('Resumo Operacional'!$A$1:$P$1103,17,MATCH('Detalhe Por UC'!$R65,'Resumo Operacional'!$A$1:$P$1,0)),
IF($H65="GIROSSOL II e III",AP65/INDEX('Resumo Operacional'!$A$1:$P$1103,17,MATCH('Detalhe Por UC'!$R65,'Resumo Operacional'!$A$1:$P$1,0)),
""))</f>
        <v>0.20433905146316853</v>
      </c>
      <c r="U65" s="113" t="str">
        <f>IF($H65="GIROSSOL III",AP65/INDEX('Resumo Operacional'!$A$1:$P$1103,53,MATCH('Detalhe Por UC'!$R65,'Resumo Operacional'!$A$1:$P$1,0)),
IF($H65="GIROSSOL II e III",AP65/INDEX('Resumo Operacional'!$A$1:$P$1103,53,MATCH('Detalhe Por UC'!$R65,'Resumo Operacional'!$A$1:$P$1,0)),
""))</f>
        <v/>
      </c>
      <c r="V65" s="12"/>
      <c r="W65" s="12"/>
      <c r="X65" s="67">
        <v>1.116256323777403</v>
      </c>
      <c r="Y65" s="116">
        <v>0</v>
      </c>
      <c r="Z65" s="66">
        <v>0.99078124999999995</v>
      </c>
      <c r="AA65" s="35">
        <v>0</v>
      </c>
      <c r="AB65" s="68">
        <v>593</v>
      </c>
      <c r="AC65" s="35">
        <v>0</v>
      </c>
      <c r="AD65" s="69">
        <v>576</v>
      </c>
      <c r="AE65" s="35"/>
      <c r="AF65" s="69">
        <v>2259</v>
      </c>
      <c r="AG65" s="69">
        <v>0</v>
      </c>
      <c r="AH65" s="16">
        <v>159.35</v>
      </c>
      <c r="AI65" s="16">
        <v>0</v>
      </c>
      <c r="AJ65" s="16">
        <v>0</v>
      </c>
      <c r="AK65" s="12"/>
      <c r="AL65" s="38"/>
      <c r="AM65" s="1"/>
      <c r="AN65" s="71">
        <f t="shared" si="10"/>
        <v>2259</v>
      </c>
      <c r="AO65" s="71">
        <f t="shared" si="11"/>
        <v>0</v>
      </c>
      <c r="AP65" s="71">
        <f t="shared" si="12"/>
        <v>2835</v>
      </c>
      <c r="AQ65" s="72">
        <f>IF(OR($H65="GIROSSOL II",$H65="GIROSSOL II e III"),INDEX('Resumo Operacional'!$A$1:$P$1103,MATCH("Energia Injetada prevista total Fatura da Usina (TUSD)",'Resumo Operacional'!$B$1:$B$1103,0),MATCH('Detalhe Por UC'!$R65,'Resumo Operacional'!$A$1:$P$1,0))*$S65,INDEX('Resumo Operacional'!$A$1:$P$1103,53,MATCH('Detalhe Por UC'!$R65,'Resumo Operacional'!$A$1:$P$1,0))*$S65)</f>
        <v>0</v>
      </c>
      <c r="AR65" s="71">
        <f t="shared" si="13"/>
        <v>2835</v>
      </c>
      <c r="AS65" s="73">
        <f t="shared" si="14"/>
        <v>250.6</v>
      </c>
      <c r="AT65" s="74">
        <f t="shared" si="15"/>
        <v>250.6</v>
      </c>
      <c r="AU65" s="74">
        <f t="shared" si="16"/>
        <v>0.86530617622259687</v>
      </c>
      <c r="AV65" s="74">
        <f t="shared" si="17"/>
        <v>428.01749999999998</v>
      </c>
      <c r="AW65" s="74">
        <f t="shared" si="18"/>
        <v>0</v>
      </c>
      <c r="AX65" s="74">
        <f t="shared" si="19"/>
        <v>570.68999999999994</v>
      </c>
      <c r="AY65" s="74">
        <f t="shared" si="20"/>
        <v>428.02</v>
      </c>
      <c r="AZ65" s="49">
        <v>428.02</v>
      </c>
      <c r="BA65" s="117">
        <v>428.02</v>
      </c>
      <c r="BB65" s="49"/>
      <c r="BC65" s="73" t="str">
        <f t="shared" si="21"/>
        <v/>
      </c>
      <c r="BD65" s="73">
        <f t="shared" si="22"/>
        <v>821.29</v>
      </c>
      <c r="BE65" s="73">
        <f t="shared" si="23"/>
        <v>678.61749999999995</v>
      </c>
      <c r="BF65" s="77">
        <f t="shared" si="24"/>
        <v>142.66999999999999</v>
      </c>
      <c r="BG65" s="77">
        <f t="shared" si="25"/>
        <v>42.800999999999995</v>
      </c>
      <c r="BH65" s="77">
        <f t="shared" si="26"/>
        <v>570.68999999999994</v>
      </c>
      <c r="BI65" s="78">
        <f t="shared" si="27"/>
        <v>0.25</v>
      </c>
      <c r="BJ65" s="79">
        <f t="shared" si="28"/>
        <v>0.17371452227593176</v>
      </c>
      <c r="BK65" s="80">
        <f t="shared" si="29"/>
        <v>678.62</v>
      </c>
      <c r="BL65" s="80">
        <f t="shared" si="30"/>
        <v>142.66999999999996</v>
      </c>
      <c r="BM65" s="79">
        <f t="shared" si="31"/>
        <v>0.17371452227593173</v>
      </c>
      <c r="BN65" s="81">
        <f t="shared" si="32"/>
        <v>0.7430902777777777</v>
      </c>
      <c r="BO65" s="82">
        <f t="shared" si="33"/>
        <v>428.02</v>
      </c>
      <c r="BP65" s="81">
        <f t="shared" si="34"/>
        <v>0.7430902777777777</v>
      </c>
      <c r="BQ65" s="81">
        <f t="shared" si="35"/>
        <v>0.86856535155518078</v>
      </c>
      <c r="BR65" s="81">
        <f t="shared" si="36"/>
        <v>1.116256323777403</v>
      </c>
      <c r="BS65" s="82">
        <f t="shared" si="37"/>
        <v>576</v>
      </c>
      <c r="BT65" s="82">
        <f t="shared" si="38"/>
        <v>642.96364249578414</v>
      </c>
      <c r="BU65" s="82">
        <f t="shared" si="39"/>
        <v>570.68999999999994</v>
      </c>
      <c r="BV65"/>
      <c r="BW65" s="82">
        <f>IFERROR(INDEX('Infos Clientes'!$T:$T,MATCH('Detalhe Por UC'!$C65,'Infos Clientes'!B:B,0)),"")</f>
        <v>718.4545454545455</v>
      </c>
      <c r="BX65" s="83">
        <f t="shared" si="40"/>
        <v>0</v>
      </c>
      <c r="BY65" s="84">
        <f t="shared" si="41"/>
        <v>0.22189435073840197</v>
      </c>
      <c r="BZ65" s="85">
        <f>IF(_xlfn.MINIFS('Detalhe Por UC'!R:R,'Detalhe Por UC'!C:C,C65,'Detalhe Por UC'!AD:AD,"&gt;"&amp;0)=0,"",_xlfn.MINIFS('Detalhe Por UC'!R:R,'Detalhe Por UC'!C:C,C65,'Detalhe Por UC'!AD:AD,"&gt;"&amp;0))</f>
        <v>45658</v>
      </c>
      <c r="CA65" s="114">
        <f ca="1">IF(OR(S65&gt;0,AD65&gt;0),IFERROR(
SUMIFS(INDIRECT("'Infos Clientes'!$W"&amp;INDEX('Infos Clientes'!$C:$C,MATCH(C65,'Infos Clientes'!$H:$H,0))&amp;":$CZ"&amp;INDEX('Infos Clientes'!$C:$C,MATCH(C65,'Infos Clientes'!$H:$H,0))),'Infos Clientes'!$W$2:$CZ$2,"&gt;"&amp;$R65-365,'Infos Clientes'!$W$2:$CZ$2,"&lt;="&amp;$R65)/
COUNTIFS(INDIRECT("'Infos Clientes'!$W"&amp;INDEX('Infos Clientes'!$C:$C,MATCH(C65,'Infos Clientes'!$H:$H,0))&amp;":$CZ"&amp;INDEX('Infos Clientes'!$C:$C,MATCH(C65,'Infos Clientes'!$H:$H,0))),"&gt;="&amp;0,'Infos Clientes'!$W$2:$CZ$2,"&gt;"&amp;$R65-365,'Infos Clientes'!$W$2:$CZ$2,"&lt;="&amp;$R65),""),"")</f>
        <v>658.58333333333337</v>
      </c>
      <c r="CB65" s="87">
        <f>VLOOKUP(C65,'Infos Clientes'!B:L,11,0)</f>
        <v>0</v>
      </c>
      <c r="CC65" s="88" t="str">
        <f t="shared" si="42"/>
        <v>A Unidade Consumidora 10/2247256-7 economizou R$142,67 na fatura referente à jan/2025  consumindo 576 kWh em créditos de energia renovável conforme fatura de energia. A economia foi de 25% em relação ao que seria pago para a Energisa considerando os créditos consumidos. Atenção: Mantenha as contas da Energisa em dia para evitar cortes.</v>
      </c>
      <c r="CD65" s="40" t="s">
        <v>50</v>
      </c>
      <c r="CF65" s="115">
        <f t="shared" si="43"/>
        <v>-250.6</v>
      </c>
    </row>
    <row r="66" spans="1:84" s="104" customFormat="1" ht="16.2" hidden="1" customHeight="1" x14ac:dyDescent="0.3">
      <c r="A66" s="105" t="str">
        <f>INDEX('Infos Clientes'!$D:$D,MATCH('Detalhe Por UC'!C66,'Infos Clientes'!B:B,0))</f>
        <v>IGREJA DO EVANGELHO QUADRANGULAR</v>
      </c>
      <c r="B66" s="106" t="str">
        <f>INDEX('Infos Clientes'!$F:$F,MATCH('Detalhe Por UC'!C66,'Infos Clientes'!B:B,0))</f>
        <v>62.955.505/0165-94</v>
      </c>
      <c r="C66" s="31" t="s">
        <v>169</v>
      </c>
      <c r="D66" t="s">
        <v>351</v>
      </c>
      <c r="E66" s="1" t="s">
        <v>352</v>
      </c>
      <c r="F66" s="56" t="str">
        <f>INDEX('Infos Clientes'!$I:$I,MATCH('Detalhe Por UC'!C66,'Infos Clientes'!B:B,0))</f>
        <v>BT</v>
      </c>
      <c r="G66" s="56" t="str">
        <f>INDEX('Infos Clientes'!$J:$J,MATCH('Detalhe Por UC'!C66,'Infos Clientes'!B:B,0))</f>
        <v>bifasico</v>
      </c>
      <c r="H66" s="108" t="s">
        <v>353</v>
      </c>
      <c r="I66" s="58">
        <f>IFERROR(VLOOKUP(C66,'Infos Clientes'!B:E,4,),"")</f>
        <v>302</v>
      </c>
      <c r="J66" s="109">
        <v>0.25</v>
      </c>
      <c r="K66" s="59">
        <f>INDEX('Infos Clientes'!$M:$M,MATCH('Detalhe Por UC'!C66,'Infos Clientes'!B:B,0))</f>
        <v>0.25</v>
      </c>
      <c r="L66" s="110"/>
      <c r="M66" s="56">
        <f>INDEX('Infos Clientes'!$N:$N,MATCH('Detalhe Por UC'!C66,'Infos Clientes'!B:B,0))</f>
        <v>0</v>
      </c>
      <c r="N66" s="56">
        <f t="shared" si="7"/>
        <v>0</v>
      </c>
      <c r="O66" s="56">
        <f t="shared" si="8"/>
        <v>9</v>
      </c>
      <c r="P66" s="56">
        <f t="shared" si="9"/>
        <v>0</v>
      </c>
      <c r="Q66" s="61">
        <f>IFERROR(IFERROR(INDEX('Infos Clientes'!$A$2:$V$9884,MATCH($C66,'Infos Clientes'!$B$2:$B$9884,0),MATCH(Q$8,'Infos Clientes'!$A$2:$V$2,0)),"")
+IF(OR(INDEX('Infos Clientes'!$A$2:$V$9884,MATCH($C66,'Infos Clientes'!$B$2:$B$9884,0),MATCH("Tempo de Fidelidade (meses)",'Infos Clientes'!$A$2:$V$2,0))=0,R66&gt;=MAX(R:R)),0,
ROUND((MAX(R:R)-R66)/(365/12),0)),"")</f>
        <v>0</v>
      </c>
      <c r="R66" s="111">
        <v>45658</v>
      </c>
      <c r="S66" s="112">
        <v>0.02</v>
      </c>
      <c r="T66" s="113">
        <f>IF($H66="GIROSSOL II",AP66/INDEX('Resumo Operacional'!$A$1:$P$1103,17,MATCH('Detalhe Por UC'!$R66,'Resumo Operacional'!$A$1:$P$1,0)),
IF($H66="GIROSSOL II e III",AP66/INDEX('Resumo Operacional'!$A$1:$P$1103,17,MATCH('Detalhe Por UC'!$R66,'Resumo Operacional'!$A$1:$P$1,0)),
""))</f>
        <v>9.8025082888856859E-3</v>
      </c>
      <c r="U66" s="113">
        <f>IF($H66="GIROSSOL III",AP66/INDEX('Resumo Operacional'!$A$1:$P$1103,53,MATCH('Detalhe Por UC'!$R66,'Resumo Operacional'!$A$1:$P$1,0)),
IF($H66="GIROSSOL II e III",AP66/INDEX('Resumo Operacional'!$A$1:$P$1103,53,MATCH('Detalhe Por UC'!$R66,'Resumo Operacional'!$A$1:$P$1,0)),
""))</f>
        <v>8.2439231375401583E-3</v>
      </c>
      <c r="V66" s="12"/>
      <c r="W66" s="12"/>
      <c r="X66" s="67">
        <v>1.1162413793103447</v>
      </c>
      <c r="Y66" s="116">
        <v>0</v>
      </c>
      <c r="Z66" s="66">
        <v>1.006764705882353</v>
      </c>
      <c r="AA66" s="35">
        <v>0</v>
      </c>
      <c r="AB66" s="68">
        <v>290</v>
      </c>
      <c r="AC66" s="35">
        <v>0</v>
      </c>
      <c r="AD66" s="69">
        <v>136</v>
      </c>
      <c r="AE66" s="35"/>
      <c r="AF66" s="69">
        <v>0</v>
      </c>
      <c r="AG66" s="69">
        <v>0</v>
      </c>
      <c r="AH66" s="16">
        <v>51.48</v>
      </c>
      <c r="AI66" s="16">
        <v>0</v>
      </c>
      <c r="AJ66" s="16">
        <v>0</v>
      </c>
      <c r="AK66" s="12"/>
      <c r="AL66" s="38"/>
      <c r="AM66" s="1"/>
      <c r="AN66" s="71">
        <f t="shared" si="10"/>
        <v>0</v>
      </c>
      <c r="AO66" s="71">
        <f t="shared" si="11"/>
        <v>0</v>
      </c>
      <c r="AP66" s="71">
        <f t="shared" si="12"/>
        <v>136</v>
      </c>
      <c r="AQ66" s="72">
        <f>IF(OR($H66="GIROSSOL II",$H66="GIROSSOL II e III"),INDEX('Resumo Operacional'!$A$1:$P$1103,MATCH("Energia Injetada prevista total Fatura da Usina (TUSD)",'Resumo Operacional'!$B$1:$B$1103,0),MATCH('Detalhe Por UC'!$R66,'Resumo Operacional'!$A$1:$P$1,0))*$S66,INDEX('Resumo Operacional'!$A$1:$P$1103,53,MATCH('Detalhe Por UC'!$R66,'Resumo Operacional'!$A$1:$P$1,0))*$S66)</f>
        <v>277.48</v>
      </c>
      <c r="AR66" s="71">
        <f t="shared" si="13"/>
        <v>-141.48000000000002</v>
      </c>
      <c r="AS66" s="73">
        <f t="shared" si="14"/>
        <v>238.26999999999995</v>
      </c>
      <c r="AT66" s="74">
        <f t="shared" si="15"/>
        <v>238.26999999999995</v>
      </c>
      <c r="AU66" s="74">
        <f t="shared" si="16"/>
        <v>0.89728803245436128</v>
      </c>
      <c r="AV66" s="74">
        <f t="shared" si="17"/>
        <v>102.69000000000001</v>
      </c>
      <c r="AW66" s="74">
        <f t="shared" si="18"/>
        <v>0</v>
      </c>
      <c r="AX66" s="74">
        <f t="shared" si="19"/>
        <v>136.92000000000002</v>
      </c>
      <c r="AY66" s="74">
        <f t="shared" si="20"/>
        <v>102.69</v>
      </c>
      <c r="AZ66" s="49">
        <v>102.69</v>
      </c>
      <c r="BA66" s="117">
        <v>102.69</v>
      </c>
      <c r="BB66" s="49">
        <v>102.69</v>
      </c>
      <c r="BC66" s="73" t="str">
        <f t="shared" si="21"/>
        <v/>
      </c>
      <c r="BD66" s="73">
        <f t="shared" si="22"/>
        <v>375.19</v>
      </c>
      <c r="BE66" s="73">
        <f t="shared" si="23"/>
        <v>340.96</v>
      </c>
      <c r="BF66" s="77">
        <f t="shared" si="24"/>
        <v>34.229999999999997</v>
      </c>
      <c r="BG66" s="77">
        <f t="shared" si="25"/>
        <v>10.268999999999998</v>
      </c>
      <c r="BH66" s="77">
        <f t="shared" si="26"/>
        <v>136.92000000000002</v>
      </c>
      <c r="BI66" s="78">
        <f t="shared" si="27"/>
        <v>0.25</v>
      </c>
      <c r="BJ66" s="79">
        <f t="shared" si="28"/>
        <v>9.1233774887390387E-2</v>
      </c>
      <c r="BK66" s="80">
        <f t="shared" si="29"/>
        <v>340.95999999999992</v>
      </c>
      <c r="BL66" s="80">
        <f t="shared" si="30"/>
        <v>34.230000000000075</v>
      </c>
      <c r="BM66" s="79">
        <f t="shared" si="31"/>
        <v>9.1233774887390595E-2</v>
      </c>
      <c r="BN66" s="81">
        <f t="shared" si="32"/>
        <v>0.75507352941176464</v>
      </c>
      <c r="BO66" s="82">
        <f t="shared" si="33"/>
        <v>102.69</v>
      </c>
      <c r="BP66" s="81">
        <f t="shared" si="34"/>
        <v>0.75507352941176464</v>
      </c>
      <c r="BQ66" s="81">
        <f t="shared" si="35"/>
        <v>0.86455020283975637</v>
      </c>
      <c r="BR66" s="81">
        <f t="shared" si="36"/>
        <v>1.1162413793103447</v>
      </c>
      <c r="BS66" s="82">
        <f t="shared" si="37"/>
        <v>136</v>
      </c>
      <c r="BT66" s="82">
        <f t="shared" si="38"/>
        <v>151.80882758620689</v>
      </c>
      <c r="BU66" s="82">
        <f t="shared" si="39"/>
        <v>136.92000000000002</v>
      </c>
      <c r="BV66"/>
      <c r="BW66" s="82">
        <f>IFERROR(INDEX('Infos Clientes'!$T:$T,MATCH('Detalhe Por UC'!$C66,'Infos Clientes'!B:B,0)),"")</f>
        <v>287.36363636363637</v>
      </c>
      <c r="BX66" s="83">
        <f t="shared" si="40"/>
        <v>0</v>
      </c>
      <c r="BY66" s="84">
        <f t="shared" si="41"/>
        <v>0.22548095881026423</v>
      </c>
      <c r="BZ66" s="85">
        <f>IF(_xlfn.MINIFS('Detalhe Por UC'!R:R,'Detalhe Por UC'!C:C,C66,'Detalhe Por UC'!AD:AD,"&gt;"&amp;0)=0,"",_xlfn.MINIFS('Detalhe Por UC'!R:R,'Detalhe Por UC'!C:C,C66,'Detalhe Por UC'!AD:AD,"&gt;"&amp;0))</f>
        <v>45658</v>
      </c>
      <c r="CA66" s="114">
        <f ca="1">IF(OR(S66&gt;0,AD66&gt;0),IFERROR(
SUMIFS(INDIRECT("'Infos Clientes'!$W"&amp;INDEX('Infos Clientes'!$C:$C,MATCH(C66,'Infos Clientes'!$H:$H,0))&amp;":$CZ"&amp;INDEX('Infos Clientes'!$C:$C,MATCH(C66,'Infos Clientes'!$H:$H,0))),'Infos Clientes'!$W$2:$CZ$2,"&gt;"&amp;$R66-365,'Infos Clientes'!$W$2:$CZ$2,"&lt;="&amp;$R66)/
COUNTIFS(INDIRECT("'Infos Clientes'!$W"&amp;INDEX('Infos Clientes'!$C:$C,MATCH(C66,'Infos Clientes'!$H:$H,0))&amp;":$CZ"&amp;INDEX('Infos Clientes'!$C:$C,MATCH(C66,'Infos Clientes'!$H:$H,0))),"&gt;="&amp;0,'Infos Clientes'!$W$2:$CZ$2,"&gt;"&amp;$R66-365,'Infos Clientes'!$W$2:$CZ$2,"&lt;="&amp;$R66),""),"")</f>
        <v>263.41666666666669</v>
      </c>
      <c r="CB66" s="87">
        <f>VLOOKUP(C66,'Infos Clientes'!B:L,11,0)</f>
        <v>0</v>
      </c>
      <c r="CC66" s="88" t="str">
        <f t="shared" si="42"/>
        <v>A Unidade Consumidora 10/239312-2 economizou R$34,23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66" s="40" t="s">
        <v>171</v>
      </c>
      <c r="CF66" s="115">
        <f t="shared" si="43"/>
        <v>-238.26999999999995</v>
      </c>
    </row>
    <row r="67" spans="1:84" s="104" customFormat="1" ht="16.2" hidden="1" customHeight="1" x14ac:dyDescent="0.3">
      <c r="A67" s="105" t="str">
        <f>INDEX('Infos Clientes'!$D:$D,MATCH('Detalhe Por UC'!C67,'Infos Clientes'!B:B,0))</f>
        <v>IGREJA DO EVANGELHO QUADRANGULAR</v>
      </c>
      <c r="B67" s="106" t="str">
        <f>INDEX('Infos Clientes'!$F:$F,MATCH('Detalhe Por UC'!C67,'Infos Clientes'!B:B,0))</f>
        <v>62.955.505/1570-66</v>
      </c>
      <c r="C67" s="31" t="s">
        <v>172</v>
      </c>
      <c r="D67" t="s">
        <v>351</v>
      </c>
      <c r="E67" s="1" t="s">
        <v>352</v>
      </c>
      <c r="F67" s="56" t="str">
        <f>INDEX('Infos Clientes'!$I:$I,MATCH('Detalhe Por UC'!C67,'Infos Clientes'!B:B,0))</f>
        <v>BT</v>
      </c>
      <c r="G67" s="56" t="str">
        <f>INDEX('Infos Clientes'!$J:$J,MATCH('Detalhe Por UC'!C67,'Infos Clientes'!B:B,0))</f>
        <v>trifasico</v>
      </c>
      <c r="H67" s="108" t="s">
        <v>353</v>
      </c>
      <c r="I67" s="58">
        <f>IFERROR(VLOOKUP(C67,'Infos Clientes'!B:E,4,),"")</f>
        <v>357</v>
      </c>
      <c r="J67" s="109">
        <v>0.25</v>
      </c>
      <c r="K67" s="59">
        <f>INDEX('Infos Clientes'!$M:$M,MATCH('Detalhe Por UC'!C67,'Infos Clientes'!B:B,0))</f>
        <v>0.25</v>
      </c>
      <c r="L67" s="110"/>
      <c r="M67" s="56">
        <f>INDEX('Infos Clientes'!$N:$N,MATCH('Detalhe Por UC'!C67,'Infos Clientes'!B:B,0))</f>
        <v>0</v>
      </c>
      <c r="N67" s="56">
        <f t="shared" si="7"/>
        <v>0</v>
      </c>
      <c r="O67" s="56">
        <f t="shared" si="8"/>
        <v>9</v>
      </c>
      <c r="P67" s="56">
        <f t="shared" si="9"/>
        <v>0</v>
      </c>
      <c r="Q67" s="61">
        <f>IFERROR(IFERROR(INDEX('Infos Clientes'!$A$2:$V$9884,MATCH($C67,'Infos Clientes'!$B$2:$B$9884,0),MATCH(Q$8,'Infos Clientes'!$A$2:$V$2,0)),"")
+IF(OR(INDEX('Infos Clientes'!$A$2:$V$9884,MATCH($C67,'Infos Clientes'!$B$2:$B$9884,0),MATCH("Tempo de Fidelidade (meses)",'Infos Clientes'!$A$2:$V$2,0))=0,R67&gt;=MAX(R:R)),0,
ROUND((MAX(R:R)-R67)/(365/12),0)),"")</f>
        <v>0</v>
      </c>
      <c r="R67" s="111">
        <v>45658</v>
      </c>
      <c r="S67" s="112">
        <v>0.02</v>
      </c>
      <c r="T67" s="113">
        <f>IF($H67="GIROSSOL II",AP67/INDEX('Resumo Operacional'!$A$1:$P$1103,17,MATCH('Detalhe Por UC'!$R67,'Resumo Operacional'!$A$1:$P$1,0)),
IF($H67="GIROSSOL II e III",AP67/INDEX('Resumo Operacional'!$A$1:$P$1103,17,MATCH('Detalhe Por UC'!$R67,'Resumo Operacional'!$A$1:$P$1,0)),
""))</f>
        <v>9.8025082888856859E-3</v>
      </c>
      <c r="U67" s="113">
        <f>IF($H67="GIROSSOL III",AP67/INDEX('Resumo Operacional'!$A$1:$P$1103,53,MATCH('Detalhe Por UC'!$R67,'Resumo Operacional'!$A$1:$P$1,0)),
IF($H67="GIROSSOL II e III",AP67/INDEX('Resumo Operacional'!$A$1:$P$1103,53,MATCH('Detalhe Por UC'!$R67,'Resumo Operacional'!$A$1:$P$1,0)),
""))</f>
        <v>8.2439231375401583E-3</v>
      </c>
      <c r="V67" s="12"/>
      <c r="W67" s="12"/>
      <c r="X67" s="67">
        <v>1.11625</v>
      </c>
      <c r="Y67" s="116">
        <v>0</v>
      </c>
      <c r="Z67" s="66">
        <v>1.006764705882353</v>
      </c>
      <c r="AA67" s="35">
        <v>0</v>
      </c>
      <c r="AB67" s="68">
        <v>304</v>
      </c>
      <c r="AC67" s="35">
        <v>0</v>
      </c>
      <c r="AD67" s="69">
        <v>136</v>
      </c>
      <c r="AE67" s="35"/>
      <c r="AF67" s="69">
        <v>0</v>
      </c>
      <c r="AG67" s="69">
        <v>0</v>
      </c>
      <c r="AH67" s="16">
        <v>4.7700000000000005</v>
      </c>
      <c r="AI67" s="16">
        <v>0</v>
      </c>
      <c r="AJ67" s="16">
        <v>0</v>
      </c>
      <c r="AK67" s="12"/>
      <c r="AL67" s="38"/>
      <c r="AM67" s="1"/>
      <c r="AN67" s="71">
        <f t="shared" si="10"/>
        <v>0</v>
      </c>
      <c r="AO67" s="71">
        <f t="shared" si="11"/>
        <v>0</v>
      </c>
      <c r="AP67" s="71">
        <f t="shared" si="12"/>
        <v>136</v>
      </c>
      <c r="AQ67" s="72">
        <f>IF(OR($H67="GIROSSOL II",$H67="GIROSSOL II e III"),INDEX('Resumo Operacional'!$A$1:$P$1103,MATCH("Energia Injetada prevista total Fatura da Usina (TUSD)",'Resumo Operacional'!$B$1:$B$1103,0),MATCH('Detalhe Por UC'!$R67,'Resumo Operacional'!$A$1:$P$1,0))*$S67,INDEX('Resumo Operacional'!$A$1:$P$1103,53,MATCH('Detalhe Por UC'!$R67,'Resumo Operacional'!$A$1:$P$1,0))*$S67)</f>
        <v>277.48</v>
      </c>
      <c r="AR67" s="71">
        <f t="shared" si="13"/>
        <v>-141.48000000000002</v>
      </c>
      <c r="AS67" s="73">
        <f t="shared" si="14"/>
        <v>207.18999999999997</v>
      </c>
      <c r="AT67" s="74">
        <f t="shared" si="15"/>
        <v>207.18999999999997</v>
      </c>
      <c r="AU67" s="74">
        <f t="shared" si="16"/>
        <v>0.89727941176470605</v>
      </c>
      <c r="AV67" s="74">
        <f t="shared" si="17"/>
        <v>102.69000000000001</v>
      </c>
      <c r="AW67" s="74">
        <f t="shared" si="18"/>
        <v>0</v>
      </c>
      <c r="AX67" s="74">
        <f t="shared" si="19"/>
        <v>136.92000000000002</v>
      </c>
      <c r="AY67" s="74">
        <f t="shared" si="20"/>
        <v>102.69</v>
      </c>
      <c r="AZ67" s="49">
        <v>102.69</v>
      </c>
      <c r="BA67" s="117">
        <v>102.69</v>
      </c>
      <c r="BB67" s="49">
        <v>102.69</v>
      </c>
      <c r="BC67" s="73" t="str">
        <f t="shared" si="21"/>
        <v/>
      </c>
      <c r="BD67" s="73">
        <f t="shared" si="22"/>
        <v>344.10999999999996</v>
      </c>
      <c r="BE67" s="73">
        <f t="shared" si="23"/>
        <v>309.88</v>
      </c>
      <c r="BF67" s="77">
        <f t="shared" si="24"/>
        <v>34.229999999999997</v>
      </c>
      <c r="BG67" s="77">
        <f t="shared" si="25"/>
        <v>10.268999999999998</v>
      </c>
      <c r="BH67" s="77">
        <f t="shared" si="26"/>
        <v>136.92000000000002</v>
      </c>
      <c r="BI67" s="78">
        <f t="shared" si="27"/>
        <v>0.25</v>
      </c>
      <c r="BJ67" s="79">
        <f t="shared" si="28"/>
        <v>9.9474005405248325E-2</v>
      </c>
      <c r="BK67" s="80">
        <f t="shared" si="29"/>
        <v>309.88</v>
      </c>
      <c r="BL67" s="80">
        <f t="shared" si="30"/>
        <v>34.229999999999961</v>
      </c>
      <c r="BM67" s="79">
        <f t="shared" si="31"/>
        <v>9.9474005405248228E-2</v>
      </c>
      <c r="BN67" s="81">
        <f t="shared" si="32"/>
        <v>0.75507352941176464</v>
      </c>
      <c r="BO67" s="82">
        <f t="shared" si="33"/>
        <v>102.69</v>
      </c>
      <c r="BP67" s="81">
        <f t="shared" si="34"/>
        <v>0.75507352941176464</v>
      </c>
      <c r="BQ67" s="81">
        <f t="shared" si="35"/>
        <v>0.8645588235294116</v>
      </c>
      <c r="BR67" s="81">
        <f t="shared" si="36"/>
        <v>1.11625</v>
      </c>
      <c r="BS67" s="82">
        <f t="shared" si="37"/>
        <v>136</v>
      </c>
      <c r="BT67" s="82">
        <f t="shared" si="38"/>
        <v>151.81</v>
      </c>
      <c r="BU67" s="82">
        <f t="shared" si="39"/>
        <v>136.92000000000002</v>
      </c>
      <c r="BV67"/>
      <c r="BW67" s="82">
        <f>IFERROR(INDEX('Infos Clientes'!$T:$T,MATCH('Detalhe Por UC'!$C67,'Infos Clientes'!B:B,0)),"")</f>
        <v>324.72727272727275</v>
      </c>
      <c r="BX67" s="83">
        <f t="shared" si="40"/>
        <v>0</v>
      </c>
      <c r="BY67" s="84">
        <f t="shared" si="41"/>
        <v>0.22547921744285632</v>
      </c>
      <c r="BZ67" s="85">
        <f>IF(_xlfn.MINIFS('Detalhe Por UC'!R:R,'Detalhe Por UC'!C:C,C67,'Detalhe Por UC'!AD:AD,"&gt;"&amp;0)=0,"",_xlfn.MINIFS('Detalhe Por UC'!R:R,'Detalhe Por UC'!C:C,C67,'Detalhe Por UC'!AD:AD,"&gt;"&amp;0))</f>
        <v>45658</v>
      </c>
      <c r="CA67" s="114">
        <f ca="1">IF(OR(S67&gt;0,AD67&gt;0),IFERROR(
SUMIFS(INDIRECT("'Infos Clientes'!$W"&amp;INDEX('Infos Clientes'!$C:$C,MATCH(C67,'Infos Clientes'!$H:$H,0))&amp;":$CZ"&amp;INDEX('Infos Clientes'!$C:$C,MATCH(C67,'Infos Clientes'!$H:$H,0))),'Infos Clientes'!$W$2:$CZ$2,"&gt;"&amp;$R67-365,'Infos Clientes'!$W$2:$CZ$2,"&lt;="&amp;$R67)/
COUNTIFS(INDIRECT("'Infos Clientes'!$W"&amp;INDEX('Infos Clientes'!$C:$C,MATCH(C67,'Infos Clientes'!$H:$H,0))&amp;":$CZ"&amp;INDEX('Infos Clientes'!$C:$C,MATCH(C67,'Infos Clientes'!$H:$H,0))),"&gt;="&amp;0,'Infos Clientes'!$W$2:$CZ$2,"&gt;"&amp;$R67-365,'Infos Clientes'!$W$2:$CZ$2,"&lt;="&amp;$R67),""),"")</f>
        <v>297.66666666666669</v>
      </c>
      <c r="CB67" s="87">
        <f>VLOOKUP(C67,'Infos Clientes'!B:L,11,0)</f>
        <v>0</v>
      </c>
      <c r="CC67" s="88" t="str">
        <f t="shared" si="42"/>
        <v>A Unidade Consumidora 10/24514-2 economizou R$34,23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67" s="40" t="s">
        <v>174</v>
      </c>
      <c r="CF67" s="115">
        <f t="shared" si="43"/>
        <v>-207.18999999999997</v>
      </c>
    </row>
    <row r="68" spans="1:84" s="104" customFormat="1" ht="16.2" hidden="1" customHeight="1" x14ac:dyDescent="0.3">
      <c r="A68" s="105" t="str">
        <f>INDEX('Infos Clientes'!$D:$D,MATCH('Detalhe Por UC'!C68,'Infos Clientes'!B:B,0))</f>
        <v>IGREJA DO EVANGELHO QUADRANGULAR</v>
      </c>
      <c r="B68" s="106" t="str">
        <f>INDEX('Infos Clientes'!$F:$F,MATCH('Detalhe Por UC'!C68,'Infos Clientes'!B:B,0))</f>
        <v>62.955.505/2740-20</v>
      </c>
      <c r="C68" s="31" t="s">
        <v>175</v>
      </c>
      <c r="D68" t="s">
        <v>351</v>
      </c>
      <c r="E68" s="1" t="s">
        <v>352</v>
      </c>
      <c r="F68" s="56" t="str">
        <f>INDEX('Infos Clientes'!$I:$I,MATCH('Detalhe Por UC'!C68,'Infos Clientes'!B:B,0))</f>
        <v>BT</v>
      </c>
      <c r="G68" s="56" t="str">
        <f>INDEX('Infos Clientes'!$J:$J,MATCH('Detalhe Por UC'!C68,'Infos Clientes'!B:B,0))</f>
        <v>trifasico</v>
      </c>
      <c r="H68" s="108" t="s">
        <v>138</v>
      </c>
      <c r="I68" s="58">
        <f>IFERROR(VLOOKUP(C68,'Infos Clientes'!B:E,4,),"")</f>
        <v>371</v>
      </c>
      <c r="J68" s="109">
        <v>0.25</v>
      </c>
      <c r="K68" s="59">
        <f>INDEX('Infos Clientes'!$M:$M,MATCH('Detalhe Por UC'!C68,'Infos Clientes'!B:B,0))</f>
        <v>0.25</v>
      </c>
      <c r="L68" s="110"/>
      <c r="M68" s="56">
        <f>INDEX('Infos Clientes'!$N:$N,MATCH('Detalhe Por UC'!C68,'Infos Clientes'!B:B,0))</f>
        <v>0</v>
      </c>
      <c r="N68" s="56">
        <f t="shared" si="7"/>
        <v>0</v>
      </c>
      <c r="O68" s="56">
        <f t="shared" si="8"/>
        <v>8</v>
      </c>
      <c r="P68" s="56">
        <f t="shared" si="9"/>
        <v>0</v>
      </c>
      <c r="Q68" s="61">
        <f>IFERROR(IFERROR(INDEX('Infos Clientes'!$A$2:$V$9884,MATCH($C68,'Infos Clientes'!$B$2:$B$9884,0),MATCH(Q$8,'Infos Clientes'!$A$2:$V$2,0)),"")
+IF(OR(INDEX('Infos Clientes'!$A$2:$V$9884,MATCH($C68,'Infos Clientes'!$B$2:$B$9884,0),MATCH("Tempo de Fidelidade (meses)",'Infos Clientes'!$A$2:$V$2,0))=0,R68&gt;=MAX(R:R)),0,
ROUND((MAX(R:R)-R68)/(365/12),0)),"")</f>
        <v>0</v>
      </c>
      <c r="R68" s="111">
        <v>45658</v>
      </c>
      <c r="S68" s="112">
        <v>0.01</v>
      </c>
      <c r="T68" s="113" t="str">
        <f>IF($H68="GIROSSOL II",AP68/INDEX('Resumo Operacional'!$A$1:$P$1103,17,MATCH('Detalhe Por UC'!$R68,'Resumo Operacional'!$A$1:$P$1,0)),
IF($H68="GIROSSOL II e III",AP68/INDEX('Resumo Operacional'!$A$1:$P$1103,17,MATCH('Detalhe Por UC'!$R68,'Resumo Operacional'!$A$1:$P$1,0)),
""))</f>
        <v/>
      </c>
      <c r="U68" s="113">
        <f>IF($H68="GIROSSOL III",AP68/INDEX('Resumo Operacional'!$A$1:$P$1103,53,MATCH('Detalhe Por UC'!$R68,'Resumo Operacional'!$A$1:$P$1,0)),
IF($H68="GIROSSOL II e III",AP68/INDEX('Resumo Operacional'!$A$1:$P$1103,53,MATCH('Detalhe Por UC'!$R68,'Resumo Operacional'!$A$1:$P$1,0)),
""))</f>
        <v>2.4853003576407833E-2</v>
      </c>
      <c r="V68" s="12"/>
      <c r="W68" s="12"/>
      <c r="X68" s="67">
        <v>1.1162580645161289</v>
      </c>
      <c r="Y68" s="116">
        <v>0</v>
      </c>
      <c r="Z68" s="66">
        <v>0.99697560975609745</v>
      </c>
      <c r="AA68" s="35">
        <v>0</v>
      </c>
      <c r="AB68" s="68">
        <v>465</v>
      </c>
      <c r="AC68" s="35">
        <v>0</v>
      </c>
      <c r="AD68" s="69">
        <v>410</v>
      </c>
      <c r="AE68" s="35"/>
      <c r="AF68" s="69">
        <v>0</v>
      </c>
      <c r="AG68" s="69">
        <v>0</v>
      </c>
      <c r="AH68" s="16">
        <v>17.819999999999997</v>
      </c>
      <c r="AI68" s="16">
        <v>0</v>
      </c>
      <c r="AJ68" s="16">
        <v>0</v>
      </c>
      <c r="AK68" s="12"/>
      <c r="AL68" s="38"/>
      <c r="AM68" s="1"/>
      <c r="AN68" s="71">
        <f t="shared" si="10"/>
        <v>0</v>
      </c>
      <c r="AO68" s="71">
        <f t="shared" si="11"/>
        <v>0</v>
      </c>
      <c r="AP68" s="71">
        <f t="shared" si="12"/>
        <v>410</v>
      </c>
      <c r="AQ68" s="72">
        <f>IF(OR($H68="GIROSSOL II",$H68="GIROSSOL II e III"),INDEX('Resumo Operacional'!$A$1:$P$1103,MATCH("Energia Injetada prevista total Fatura da Usina (TUSD)",'Resumo Operacional'!$B$1:$B$1103,0),MATCH('Detalhe Por UC'!$R68,'Resumo Operacional'!$A$1:$P$1,0))*$S68,INDEX('Resumo Operacional'!$A$1:$P$1103,53,MATCH('Detalhe Por UC'!$R68,'Resumo Operacional'!$A$1:$P$1,0))*$S68)</f>
        <v>164.97</v>
      </c>
      <c r="AR68" s="71">
        <f t="shared" si="13"/>
        <v>245.03</v>
      </c>
      <c r="AS68" s="73">
        <f t="shared" si="14"/>
        <v>128.12</v>
      </c>
      <c r="AT68" s="74">
        <f t="shared" si="15"/>
        <v>128.12</v>
      </c>
      <c r="AU68" s="74">
        <f t="shared" si="16"/>
        <v>0.87769315499606604</v>
      </c>
      <c r="AV68" s="74">
        <f t="shared" si="17"/>
        <v>306.56999999999994</v>
      </c>
      <c r="AW68" s="74">
        <f t="shared" si="18"/>
        <v>0</v>
      </c>
      <c r="AX68" s="74">
        <f t="shared" si="19"/>
        <v>408.75999999999993</v>
      </c>
      <c r="AY68" s="74">
        <f t="shared" si="20"/>
        <v>306.57</v>
      </c>
      <c r="AZ68" s="49">
        <v>306.57</v>
      </c>
      <c r="BA68" s="117">
        <v>306.57</v>
      </c>
      <c r="BB68" s="49">
        <v>306.57</v>
      </c>
      <c r="BC68" s="73" t="str">
        <f t="shared" si="21"/>
        <v/>
      </c>
      <c r="BD68" s="73">
        <f t="shared" si="22"/>
        <v>536.88</v>
      </c>
      <c r="BE68" s="73">
        <f t="shared" si="23"/>
        <v>434.68999999999994</v>
      </c>
      <c r="BF68" s="77">
        <f t="shared" si="24"/>
        <v>102.19</v>
      </c>
      <c r="BG68" s="77">
        <f t="shared" si="25"/>
        <v>30.656999999999996</v>
      </c>
      <c r="BH68" s="77">
        <f t="shared" si="26"/>
        <v>408.75999999999993</v>
      </c>
      <c r="BI68" s="78">
        <f t="shared" si="27"/>
        <v>0.25</v>
      </c>
      <c r="BJ68" s="79">
        <f t="shared" si="28"/>
        <v>0.19034048576963195</v>
      </c>
      <c r="BK68" s="80">
        <f t="shared" si="29"/>
        <v>434.69</v>
      </c>
      <c r="BL68" s="80">
        <f t="shared" si="30"/>
        <v>102.19</v>
      </c>
      <c r="BM68" s="79">
        <f t="shared" si="31"/>
        <v>0.19034048576963195</v>
      </c>
      <c r="BN68" s="81">
        <f t="shared" si="32"/>
        <v>0.74773170731707317</v>
      </c>
      <c r="BO68" s="82">
        <f t="shared" si="33"/>
        <v>306.57</v>
      </c>
      <c r="BP68" s="81">
        <f t="shared" si="34"/>
        <v>0.74773170731707317</v>
      </c>
      <c r="BQ68" s="81">
        <f t="shared" si="35"/>
        <v>0.86701416207710458</v>
      </c>
      <c r="BR68" s="81">
        <f t="shared" si="36"/>
        <v>1.1162580645161289</v>
      </c>
      <c r="BS68" s="82">
        <f t="shared" si="37"/>
        <v>410</v>
      </c>
      <c r="BT68" s="82">
        <f t="shared" si="38"/>
        <v>457.66580645161281</v>
      </c>
      <c r="BU68" s="82">
        <f t="shared" si="39"/>
        <v>408.75999999999993</v>
      </c>
      <c r="BV68"/>
      <c r="BW68" s="82">
        <f>IFERROR(INDEX('Infos Clientes'!$T:$T,MATCH('Detalhe Por UC'!$C68,'Infos Clientes'!B:B,0)),"")</f>
        <v>384.90909090909093</v>
      </c>
      <c r="BX68" s="83">
        <f t="shared" si="40"/>
        <v>0</v>
      </c>
      <c r="BY68" s="84">
        <f t="shared" si="41"/>
        <v>0.22328519753813877</v>
      </c>
      <c r="BZ68" s="85">
        <f>IF(_xlfn.MINIFS('Detalhe Por UC'!R:R,'Detalhe Por UC'!C:C,C68,'Detalhe Por UC'!AD:AD,"&gt;"&amp;0)=0,"",_xlfn.MINIFS('Detalhe Por UC'!R:R,'Detalhe Por UC'!C:C,C68,'Detalhe Por UC'!AD:AD,"&gt;"&amp;0))</f>
        <v>45658</v>
      </c>
      <c r="CA68" s="114">
        <f ca="1">IF(OR(S68&gt;0,AD68&gt;0),IFERROR(
SUMIFS(INDIRECT("'Infos Clientes'!$W"&amp;INDEX('Infos Clientes'!$C:$C,MATCH(C68,'Infos Clientes'!$H:$H,0))&amp;":$CZ"&amp;INDEX('Infos Clientes'!$C:$C,MATCH(C68,'Infos Clientes'!$H:$H,0))),'Infos Clientes'!$W$2:$CZ$2,"&gt;"&amp;$R68-365,'Infos Clientes'!$W$2:$CZ$2,"&lt;="&amp;$R68)/
COUNTIFS(INDIRECT("'Infos Clientes'!$W"&amp;INDEX('Infos Clientes'!$C:$C,MATCH(C68,'Infos Clientes'!$H:$H,0))&amp;":$CZ"&amp;INDEX('Infos Clientes'!$C:$C,MATCH(C68,'Infos Clientes'!$H:$H,0))),"&gt;="&amp;0,'Infos Clientes'!$W$2:$CZ$2,"&gt;"&amp;$R68-365,'Infos Clientes'!$W$2:$CZ$2,"&lt;="&amp;$R68),""),"")</f>
        <v>352.83333333333331</v>
      </c>
      <c r="CB68" s="87">
        <f>VLOOKUP(C68,'Infos Clientes'!B:L,11,0)</f>
        <v>0</v>
      </c>
      <c r="CC68" s="88" t="str">
        <f t="shared" si="42"/>
        <v>A Unidade Consumidora 10/252817-2 economizou R$102,19 na fatura referente à jan/2025  consumindo 410 kWh em créditos de energia renovável conforme fatura de energia. A economia foi de 25% em relação ao que seria pago para a Energisa considerando os créditos consumidos. Atenção: Mantenha as contas da Energisa em dia para evitar cortes.</v>
      </c>
      <c r="CD68" s="40" t="s">
        <v>177</v>
      </c>
      <c r="CF68" s="115">
        <f t="shared" si="43"/>
        <v>-128.12</v>
      </c>
    </row>
    <row r="69" spans="1:84" s="104" customFormat="1" ht="16.2" hidden="1" customHeight="1" x14ac:dyDescent="0.3">
      <c r="A69" s="105" t="str">
        <f>INDEX('Infos Clientes'!$D:$D,MATCH('Detalhe Por UC'!C69,'Infos Clientes'!B:B,0))</f>
        <v>IGREJA DO EVANGELHO QUADRANGULAR</v>
      </c>
      <c r="B69" s="106" t="str">
        <f>INDEX('Infos Clientes'!$F:$F,MATCH('Detalhe Por UC'!C69,'Infos Clientes'!B:B,0))</f>
        <v>62.955.505/8432-53</v>
      </c>
      <c r="C69" s="31" t="s">
        <v>178</v>
      </c>
      <c r="D69" t="s">
        <v>351</v>
      </c>
      <c r="E69" s="1" t="s">
        <v>352</v>
      </c>
      <c r="F69" s="56" t="str">
        <f>INDEX('Infos Clientes'!$I:$I,MATCH('Detalhe Por UC'!C69,'Infos Clientes'!B:B,0))</f>
        <v>BT</v>
      </c>
      <c r="G69" s="56" t="str">
        <f>INDEX('Infos Clientes'!$J:$J,MATCH('Detalhe Por UC'!C69,'Infos Clientes'!B:B,0))</f>
        <v>trifasico</v>
      </c>
      <c r="H69" s="108" t="s">
        <v>138</v>
      </c>
      <c r="I69" s="58">
        <f>IFERROR(VLOOKUP(C69,'Infos Clientes'!B:E,4,),"")</f>
        <v>349</v>
      </c>
      <c r="J69" s="109">
        <v>0.25</v>
      </c>
      <c r="K69" s="59">
        <f>INDEX('Infos Clientes'!$M:$M,MATCH('Detalhe Por UC'!C69,'Infos Clientes'!B:B,0))</f>
        <v>0.25</v>
      </c>
      <c r="L69" s="110"/>
      <c r="M69" s="56">
        <f>INDEX('Infos Clientes'!$N:$N,MATCH('Detalhe Por UC'!C69,'Infos Clientes'!B:B,0))</f>
        <v>0</v>
      </c>
      <c r="N69" s="56">
        <f t="shared" si="7"/>
        <v>0</v>
      </c>
      <c r="O69" s="56">
        <f t="shared" si="8"/>
        <v>9</v>
      </c>
      <c r="P69" s="56">
        <f t="shared" si="9"/>
        <v>0</v>
      </c>
      <c r="Q69" s="61">
        <f>IFERROR(IFERROR(INDEX('Infos Clientes'!$A$2:$V$9884,MATCH($C69,'Infos Clientes'!$B$2:$B$9884,0),MATCH(Q$8,'Infos Clientes'!$A$2:$V$2,0)),"")
+IF(OR(INDEX('Infos Clientes'!$A$2:$V$9884,MATCH($C69,'Infos Clientes'!$B$2:$B$9884,0),MATCH("Tempo de Fidelidade (meses)",'Infos Clientes'!$A$2:$V$2,0))=0,R69&gt;=MAX(R:R)),0,
ROUND((MAX(R:R)-R69)/(365/12),0)),"")</f>
        <v>0</v>
      </c>
      <c r="R69" s="111">
        <v>45658</v>
      </c>
      <c r="S69" s="112">
        <v>0.02</v>
      </c>
      <c r="T69" s="113" t="str">
        <f>IF($H69="GIROSSOL II",AP69/INDEX('Resumo Operacional'!$A$1:$P$1103,17,MATCH('Detalhe Por UC'!$R69,'Resumo Operacional'!$A$1:$P$1,0)),
IF($H69="GIROSSOL II e III",AP69/INDEX('Resumo Operacional'!$A$1:$P$1103,17,MATCH('Detalhe Por UC'!$R69,'Resumo Operacional'!$A$1:$P$1,0)),
""))</f>
        <v/>
      </c>
      <c r="U69" s="113">
        <f>IF($H69="GIROSSOL III",AP69/INDEX('Resumo Operacional'!$A$1:$P$1103,53,MATCH('Detalhe Por UC'!$R69,'Resumo Operacional'!$A$1:$P$1,0)),
IF($H69="GIROSSOL II e III",AP69/INDEX('Resumo Operacional'!$A$1:$P$1103,53,MATCH('Detalhe Por UC'!$R69,'Resumo Operacional'!$A$1:$P$1,0)),
""))</f>
        <v>8.6682427107959027E-3</v>
      </c>
      <c r="V69" s="12"/>
      <c r="W69" s="12"/>
      <c r="X69" s="67">
        <v>1.1162534435261708</v>
      </c>
      <c r="Y69" s="116">
        <v>0</v>
      </c>
      <c r="Z69" s="66">
        <v>0.99363636363636376</v>
      </c>
      <c r="AA69" s="35">
        <v>0</v>
      </c>
      <c r="AB69" s="68">
        <v>363</v>
      </c>
      <c r="AC69" s="35">
        <v>0</v>
      </c>
      <c r="AD69" s="69">
        <v>143</v>
      </c>
      <c r="AE69" s="35"/>
      <c r="AF69" s="69">
        <v>0</v>
      </c>
      <c r="AG69" s="69">
        <v>0</v>
      </c>
      <c r="AH69" s="16">
        <v>63.599999999999994</v>
      </c>
      <c r="AI69" s="16">
        <v>0</v>
      </c>
      <c r="AJ69" s="16">
        <v>0</v>
      </c>
      <c r="AK69" s="12"/>
      <c r="AL69" s="38"/>
      <c r="AM69" s="1"/>
      <c r="AN69" s="71">
        <f t="shared" si="10"/>
        <v>0</v>
      </c>
      <c r="AO69" s="71">
        <f t="shared" si="11"/>
        <v>0</v>
      </c>
      <c r="AP69" s="71">
        <f t="shared" si="12"/>
        <v>143</v>
      </c>
      <c r="AQ69" s="72">
        <f>IF(OR($H69="GIROSSOL II",$H69="GIROSSOL II e III"),INDEX('Resumo Operacional'!$A$1:$P$1103,MATCH("Energia Injetada prevista total Fatura da Usina (TUSD)",'Resumo Operacional'!$B$1:$B$1103,0),MATCH('Detalhe Por UC'!$R69,'Resumo Operacional'!$A$1:$P$1,0))*$S69,INDEX('Resumo Operacional'!$A$1:$P$1103,53,MATCH('Detalhe Por UC'!$R69,'Resumo Operacional'!$A$1:$P$1,0))*$S69)</f>
        <v>329.94</v>
      </c>
      <c r="AR69" s="71">
        <f t="shared" si="13"/>
        <v>-186.94</v>
      </c>
      <c r="AS69" s="73">
        <f t="shared" si="14"/>
        <v>326.70999999999992</v>
      </c>
      <c r="AT69" s="74">
        <f t="shared" si="15"/>
        <v>326.70999999999992</v>
      </c>
      <c r="AU69" s="74">
        <f t="shared" si="16"/>
        <v>0.87101928374655679</v>
      </c>
      <c r="AV69" s="74">
        <f t="shared" si="17"/>
        <v>106.56750000000002</v>
      </c>
      <c r="AW69" s="74">
        <f t="shared" si="18"/>
        <v>0</v>
      </c>
      <c r="AX69" s="74">
        <f t="shared" si="19"/>
        <v>142.09000000000003</v>
      </c>
      <c r="AY69" s="74">
        <f t="shared" si="20"/>
        <v>106.57</v>
      </c>
      <c r="AZ69" s="49">
        <v>106.57</v>
      </c>
      <c r="BA69" s="117">
        <v>106.57</v>
      </c>
      <c r="BB69" s="49">
        <v>106.57</v>
      </c>
      <c r="BC69" s="73" t="str">
        <f t="shared" si="21"/>
        <v/>
      </c>
      <c r="BD69" s="73">
        <f t="shared" si="22"/>
        <v>468.79999999999995</v>
      </c>
      <c r="BE69" s="73">
        <f t="shared" si="23"/>
        <v>433.27749999999992</v>
      </c>
      <c r="BF69" s="77">
        <f t="shared" si="24"/>
        <v>35.520000000000003</v>
      </c>
      <c r="BG69" s="77">
        <f t="shared" si="25"/>
        <v>10.656000000000001</v>
      </c>
      <c r="BH69" s="77">
        <f t="shared" si="26"/>
        <v>142.09</v>
      </c>
      <c r="BI69" s="78">
        <f t="shared" si="27"/>
        <v>0.25</v>
      </c>
      <c r="BJ69" s="79">
        <f t="shared" si="28"/>
        <v>7.5767918088737216E-2</v>
      </c>
      <c r="BK69" s="80">
        <f t="shared" si="29"/>
        <v>433.27999999999992</v>
      </c>
      <c r="BL69" s="80">
        <f t="shared" si="30"/>
        <v>35.520000000000039</v>
      </c>
      <c r="BM69" s="79">
        <f t="shared" si="31"/>
        <v>7.5767918088737285E-2</v>
      </c>
      <c r="BN69" s="81">
        <f t="shared" si="32"/>
        <v>0.7452447552447552</v>
      </c>
      <c r="BO69" s="82">
        <f t="shared" si="33"/>
        <v>106.57</v>
      </c>
      <c r="BP69" s="81">
        <f t="shared" si="34"/>
        <v>0.7452447552447552</v>
      </c>
      <c r="BQ69" s="81">
        <f t="shared" si="35"/>
        <v>0.86786183513456228</v>
      </c>
      <c r="BR69" s="81">
        <f t="shared" si="36"/>
        <v>1.1162534435261708</v>
      </c>
      <c r="BS69" s="82">
        <f t="shared" si="37"/>
        <v>143</v>
      </c>
      <c r="BT69" s="82">
        <f t="shared" si="38"/>
        <v>159.62424242424242</v>
      </c>
      <c r="BU69" s="82">
        <f t="shared" si="39"/>
        <v>142.09000000000003</v>
      </c>
      <c r="BV69"/>
      <c r="BW69" s="82">
        <f>IFERROR(INDEX('Infos Clientes'!$T:$T,MATCH('Detalhe Por UC'!$C69,'Infos Clientes'!B:B,0)),"")</f>
        <v>290.18181818181819</v>
      </c>
      <c r="BX69" s="83">
        <f t="shared" si="40"/>
        <v>0</v>
      </c>
      <c r="BY69" s="84">
        <f t="shared" si="41"/>
        <v>0.2225225909332525</v>
      </c>
      <c r="BZ69" s="85">
        <f>IF(_xlfn.MINIFS('Detalhe Por UC'!R:R,'Detalhe Por UC'!C:C,C69,'Detalhe Por UC'!AD:AD,"&gt;"&amp;0)=0,"",_xlfn.MINIFS('Detalhe Por UC'!R:R,'Detalhe Por UC'!C:C,C69,'Detalhe Por UC'!AD:AD,"&gt;"&amp;0))</f>
        <v>45658</v>
      </c>
      <c r="CA69" s="114">
        <f ca="1">IF(OR(S69&gt;0,AD69&gt;0),IFERROR(
SUMIFS(INDIRECT("'Infos Clientes'!$W"&amp;INDEX('Infos Clientes'!$C:$C,MATCH(C69,'Infos Clientes'!$H:$H,0))&amp;":$CZ"&amp;INDEX('Infos Clientes'!$C:$C,MATCH(C69,'Infos Clientes'!$H:$H,0))),'Infos Clientes'!$W$2:$CZ$2,"&gt;"&amp;$R69-365,'Infos Clientes'!$W$2:$CZ$2,"&lt;="&amp;$R69)/
COUNTIFS(INDIRECT("'Infos Clientes'!$W"&amp;INDEX('Infos Clientes'!$C:$C,MATCH(C69,'Infos Clientes'!$H:$H,0))&amp;":$CZ"&amp;INDEX('Infos Clientes'!$C:$C,MATCH(C69,'Infos Clientes'!$H:$H,0))),"&gt;="&amp;0,'Infos Clientes'!$W$2:$CZ$2,"&gt;"&amp;$R69-365,'Infos Clientes'!$W$2:$CZ$2,"&lt;="&amp;$R69),""),"")</f>
        <v>266</v>
      </c>
      <c r="CB69" s="87">
        <f>VLOOKUP(C69,'Infos Clientes'!B:L,11,0)</f>
        <v>0</v>
      </c>
      <c r="CC69" s="88" t="str">
        <f t="shared" si="42"/>
        <v>A Unidade Consumidora 10/280638-8 economizou R$35,52 na fatura referente à jan/2025  consumindo 143 kWh em créditos de energia renovável conforme fatura de energia. A economia foi de 25% em relação ao que seria pago para a Energisa considerando os créditos consumidos. Atenção: Mantenha as contas da Energisa em dia para evitar cortes.</v>
      </c>
      <c r="CD69" s="40" t="s">
        <v>66</v>
      </c>
      <c r="CF69" s="115">
        <f t="shared" si="43"/>
        <v>-326.70999999999992</v>
      </c>
    </row>
    <row r="70" spans="1:84" s="104" customFormat="1" ht="16.2" hidden="1" customHeight="1" x14ac:dyDescent="0.3">
      <c r="A70" s="105" t="str">
        <f>INDEX('Infos Clientes'!$D:$D,MATCH('Detalhe Por UC'!C70,'Infos Clientes'!B:B,0))</f>
        <v>IGREJA DO EVANGELHO QUADRANGULAR</v>
      </c>
      <c r="B70" s="106" t="str">
        <f>INDEX('Infos Clientes'!$F:$F,MATCH('Detalhe Por UC'!C70,'Infos Clientes'!B:B,0))</f>
        <v>62.955.505/2876-01</v>
      </c>
      <c r="C70" s="31" t="s">
        <v>180</v>
      </c>
      <c r="D70" t="s">
        <v>351</v>
      </c>
      <c r="E70" s="1" t="s">
        <v>352</v>
      </c>
      <c r="F70" s="56" t="str">
        <f>INDEX('Infos Clientes'!$I:$I,MATCH('Detalhe Por UC'!C70,'Infos Clientes'!B:B,0))</f>
        <v>BT</v>
      </c>
      <c r="G70" s="56" t="str">
        <f>INDEX('Infos Clientes'!$J:$J,MATCH('Detalhe Por UC'!C70,'Infos Clientes'!B:B,0))</f>
        <v>trifasico</v>
      </c>
      <c r="H70" s="108" t="s">
        <v>138</v>
      </c>
      <c r="I70" s="58">
        <f>IFERROR(VLOOKUP(C70,'Infos Clientes'!B:E,4,),"")</f>
        <v>994</v>
      </c>
      <c r="J70" s="109">
        <v>0.25</v>
      </c>
      <c r="K70" s="59">
        <f>INDEX('Infos Clientes'!$M:$M,MATCH('Detalhe Por UC'!C70,'Infos Clientes'!B:B,0))</f>
        <v>0.25</v>
      </c>
      <c r="L70" s="110"/>
      <c r="M70" s="56">
        <f>INDEX('Infos Clientes'!$N:$N,MATCH('Detalhe Por UC'!C70,'Infos Clientes'!B:B,0))</f>
        <v>0</v>
      </c>
      <c r="N70" s="56">
        <f t="shared" si="7"/>
        <v>0</v>
      </c>
      <c r="O70" s="56">
        <f t="shared" si="8"/>
        <v>11</v>
      </c>
      <c r="P70" s="56">
        <f t="shared" si="9"/>
        <v>0</v>
      </c>
      <c r="Q70" s="61">
        <f>IFERROR(IFERROR(INDEX('Infos Clientes'!$A$2:$V$9884,MATCH($C70,'Infos Clientes'!$B$2:$B$9884,0),MATCH(Q$8,'Infos Clientes'!$A$2:$V$2,0)),"")
+IF(OR(INDEX('Infos Clientes'!$A$2:$V$9884,MATCH($C70,'Infos Clientes'!$B$2:$B$9884,0),MATCH("Tempo de Fidelidade (meses)",'Infos Clientes'!$A$2:$V$2,0))=0,R70&gt;=MAX(R:R)),0,
ROUND((MAX(R:R)-R70)/(365/12),0)),"")</f>
        <v>0</v>
      </c>
      <c r="R70" s="111">
        <v>45658</v>
      </c>
      <c r="S70" s="112">
        <v>0.01</v>
      </c>
      <c r="T70" s="113" t="str">
        <f>IF($H70="GIROSSOL II",AP70/INDEX('Resumo Operacional'!$A$1:$P$1103,17,MATCH('Detalhe Por UC'!$R70,'Resumo Operacional'!$A$1:$P$1,0)),
IF($H70="GIROSSOL II e III",AP70/INDEX('Resumo Operacional'!$A$1:$P$1103,17,MATCH('Detalhe Por UC'!$R70,'Resumo Operacional'!$A$1:$P$1,0)),
""))</f>
        <v/>
      </c>
      <c r="U70" s="113">
        <f>IF($H70="GIROSSOL III",AP70/INDEX('Resumo Operacional'!$A$1:$P$1103,53,MATCH('Detalhe Por UC'!$R70,'Resumo Operacional'!$A$1:$P$1,0)),
IF($H70="GIROSSOL II e III",AP70/INDEX('Resumo Operacional'!$A$1:$P$1103,53,MATCH('Detalhe Por UC'!$R70,'Resumo Operacional'!$A$1:$P$1,0)),
""))</f>
        <v>6.9103473358792505E-3</v>
      </c>
      <c r="V70" s="12"/>
      <c r="W70" s="12"/>
      <c r="X70" s="67">
        <v>1.1162311557788944</v>
      </c>
      <c r="Y70" s="116">
        <v>0</v>
      </c>
      <c r="Z70" s="66">
        <v>0.99535087719298243</v>
      </c>
      <c r="AA70" s="35">
        <v>0</v>
      </c>
      <c r="AB70" s="68">
        <v>199</v>
      </c>
      <c r="AC70" s="35">
        <v>0</v>
      </c>
      <c r="AD70" s="69">
        <v>114</v>
      </c>
      <c r="AE70" s="35"/>
      <c r="AF70" s="69">
        <v>0</v>
      </c>
      <c r="AG70" s="69">
        <v>0</v>
      </c>
      <c r="AH70" s="16">
        <v>33.64</v>
      </c>
      <c r="AI70" s="16">
        <v>0</v>
      </c>
      <c r="AJ70" s="16">
        <v>0</v>
      </c>
      <c r="AK70" s="12"/>
      <c r="AL70" s="38"/>
      <c r="AM70" s="1"/>
      <c r="AN70" s="71">
        <f t="shared" si="10"/>
        <v>0</v>
      </c>
      <c r="AO70" s="71">
        <f t="shared" si="11"/>
        <v>0</v>
      </c>
      <c r="AP70" s="71">
        <f t="shared" si="12"/>
        <v>114</v>
      </c>
      <c r="AQ70" s="72">
        <f>IF(OR($H70="GIROSSOL II",$H70="GIROSSOL II e III"),INDEX('Resumo Operacional'!$A$1:$P$1103,MATCH("Energia Injetada prevista total Fatura da Usina (TUSD)",'Resumo Operacional'!$B$1:$B$1103,0),MATCH('Detalhe Por UC'!$R70,'Resumo Operacional'!$A$1:$P$1,0))*$S70,INDEX('Resumo Operacional'!$A$1:$P$1103,53,MATCH('Detalhe Por UC'!$R70,'Resumo Operacional'!$A$1:$P$1,0))*$S70)</f>
        <v>164.97</v>
      </c>
      <c r="AR70" s="71">
        <f t="shared" si="13"/>
        <v>-50.97</v>
      </c>
      <c r="AS70" s="73">
        <f t="shared" si="14"/>
        <v>142.30000000000001</v>
      </c>
      <c r="AT70" s="74">
        <f t="shared" si="15"/>
        <v>142.30000000000001</v>
      </c>
      <c r="AU70" s="74">
        <f t="shared" si="16"/>
        <v>0.87447059860707044</v>
      </c>
      <c r="AV70" s="74">
        <f t="shared" si="17"/>
        <v>85.102499999999992</v>
      </c>
      <c r="AW70" s="74">
        <f t="shared" si="18"/>
        <v>0</v>
      </c>
      <c r="AX70" s="74">
        <f t="shared" si="19"/>
        <v>113.47</v>
      </c>
      <c r="AY70" s="74">
        <f t="shared" si="20"/>
        <v>85.1</v>
      </c>
      <c r="AZ70" s="49">
        <v>85.1</v>
      </c>
      <c r="BA70" s="117">
        <v>85.1</v>
      </c>
      <c r="BB70" s="49">
        <v>85.1</v>
      </c>
      <c r="BC70" s="73" t="str">
        <f t="shared" si="21"/>
        <v/>
      </c>
      <c r="BD70" s="73">
        <f t="shared" si="22"/>
        <v>255.76999999999998</v>
      </c>
      <c r="BE70" s="73">
        <f t="shared" si="23"/>
        <v>227.4025</v>
      </c>
      <c r="BF70" s="77">
        <f t="shared" si="24"/>
        <v>28.37</v>
      </c>
      <c r="BG70" s="77">
        <f t="shared" si="25"/>
        <v>8.5109999999999992</v>
      </c>
      <c r="BH70" s="77">
        <f t="shared" si="26"/>
        <v>113.47</v>
      </c>
      <c r="BI70" s="78">
        <f t="shared" si="27"/>
        <v>0.25</v>
      </c>
      <c r="BJ70" s="79">
        <f t="shared" si="28"/>
        <v>0.11091996715799352</v>
      </c>
      <c r="BK70" s="80">
        <f t="shared" si="29"/>
        <v>227.4</v>
      </c>
      <c r="BL70" s="80">
        <f t="shared" si="30"/>
        <v>28.369999999999976</v>
      </c>
      <c r="BM70" s="79">
        <f t="shared" si="31"/>
        <v>0.11091996715799342</v>
      </c>
      <c r="BN70" s="81">
        <f t="shared" si="32"/>
        <v>0.74649122807017543</v>
      </c>
      <c r="BO70" s="82">
        <f t="shared" si="33"/>
        <v>85.1</v>
      </c>
      <c r="BP70" s="81">
        <f t="shared" si="34"/>
        <v>0.74649122807017543</v>
      </c>
      <c r="BQ70" s="81">
        <f t="shared" si="35"/>
        <v>0.86737150665608742</v>
      </c>
      <c r="BR70" s="81">
        <f t="shared" si="36"/>
        <v>1.1162311557788944</v>
      </c>
      <c r="BS70" s="82">
        <f t="shared" si="37"/>
        <v>114</v>
      </c>
      <c r="BT70" s="82">
        <f t="shared" si="38"/>
        <v>127.25035175879397</v>
      </c>
      <c r="BU70" s="82">
        <f t="shared" si="39"/>
        <v>113.47</v>
      </c>
      <c r="BV70"/>
      <c r="BW70" s="82">
        <f>IFERROR(INDEX('Infos Clientes'!$T:$T,MATCH('Detalhe Por UC'!$C70,'Infos Clientes'!B:B,0)),"")</f>
        <v>143.63636363636363</v>
      </c>
      <c r="BX70" s="83">
        <f t="shared" si="40"/>
        <v>0</v>
      </c>
      <c r="BY70" s="84">
        <f t="shared" si="41"/>
        <v>0.22294633851995946</v>
      </c>
      <c r="BZ70" s="85">
        <f>IF(_xlfn.MINIFS('Detalhe Por UC'!R:R,'Detalhe Por UC'!C:C,C70,'Detalhe Por UC'!AD:AD,"&gt;"&amp;0)=0,"",_xlfn.MINIFS('Detalhe Por UC'!R:R,'Detalhe Por UC'!C:C,C70,'Detalhe Por UC'!AD:AD,"&gt;"&amp;0))</f>
        <v>45658</v>
      </c>
      <c r="CA70" s="114">
        <f ca="1">IF(OR(S70&gt;0,AD70&gt;0),IFERROR(
SUMIFS(INDIRECT("'Infos Clientes'!$W"&amp;INDEX('Infos Clientes'!$C:$C,MATCH(C70,'Infos Clientes'!$H:$H,0))&amp;":$CZ"&amp;INDEX('Infos Clientes'!$C:$C,MATCH(C70,'Infos Clientes'!$H:$H,0))),'Infos Clientes'!$W$2:$CZ$2,"&gt;"&amp;$R70-365,'Infos Clientes'!$W$2:$CZ$2,"&lt;="&amp;$R70)/
COUNTIFS(INDIRECT("'Infos Clientes'!$W"&amp;INDEX('Infos Clientes'!$C:$C,MATCH(C70,'Infos Clientes'!$H:$H,0))&amp;":$CZ"&amp;INDEX('Infos Clientes'!$C:$C,MATCH(C70,'Infos Clientes'!$H:$H,0))),"&gt;="&amp;0,'Infos Clientes'!$W$2:$CZ$2,"&gt;"&amp;$R70-365,'Infos Clientes'!$W$2:$CZ$2,"&lt;="&amp;$R70),""),"")</f>
        <v>131.66666666666666</v>
      </c>
      <c r="CB70" s="87">
        <f>VLOOKUP(C70,'Infos Clientes'!B:L,11,0)</f>
        <v>0</v>
      </c>
      <c r="CC70" s="88" t="str">
        <f t="shared" si="42"/>
        <v>A Unidade Consumidora 10/283183-2 economizou R$28,37 na fatura referente à jan/2025  consumindo 114 kWh em créditos de energia renovável conforme fatura de energia. A economia foi de 25% em relação ao que seria pago para a Energisa considerando os créditos consumidos. Atenção: Mantenha as contas da Energisa em dia para evitar cortes.</v>
      </c>
      <c r="CD70" s="40" t="s">
        <v>182</v>
      </c>
      <c r="CF70" s="115">
        <f t="shared" si="43"/>
        <v>-142.30000000000001</v>
      </c>
    </row>
    <row r="71" spans="1:84" s="104" customFormat="1" ht="16.2" hidden="1" customHeight="1" x14ac:dyDescent="0.3">
      <c r="A71" s="105" t="str">
        <f>INDEX('Infos Clientes'!$D:$D,MATCH('Detalhe Por UC'!C71,'Infos Clientes'!B:B,0))</f>
        <v>IGREJA DO EVANGELHO QUADRANGULAR</v>
      </c>
      <c r="B71" s="106" t="str">
        <f>INDEX('Infos Clientes'!$F:$F,MATCH('Detalhe Por UC'!C71,'Infos Clientes'!B:B,0))</f>
        <v>62.955.505/0154-31</v>
      </c>
      <c r="C71" s="31" t="s">
        <v>183</v>
      </c>
      <c r="D71" t="s">
        <v>351</v>
      </c>
      <c r="E71" s="1" t="s">
        <v>352</v>
      </c>
      <c r="F71" s="56" t="str">
        <f>INDEX('Infos Clientes'!$I:$I,MATCH('Detalhe Por UC'!C71,'Infos Clientes'!B:B,0))</f>
        <v>BT</v>
      </c>
      <c r="G71" s="56" t="str">
        <f>INDEX('Infos Clientes'!$J:$J,MATCH('Detalhe Por UC'!C71,'Infos Clientes'!B:B,0))</f>
        <v>bifasico</v>
      </c>
      <c r="H71" s="108" t="s">
        <v>138</v>
      </c>
      <c r="I71" s="58">
        <f>IFERROR(VLOOKUP(C71,'Infos Clientes'!B:E,4,),"")</f>
        <v>319</v>
      </c>
      <c r="J71" s="109">
        <v>0.25</v>
      </c>
      <c r="K71" s="59">
        <f>INDEX('Infos Clientes'!$M:$M,MATCH('Detalhe Por UC'!C71,'Infos Clientes'!B:B,0))</f>
        <v>0.25</v>
      </c>
      <c r="L71" s="110"/>
      <c r="M71" s="56">
        <f>INDEX('Infos Clientes'!$N:$N,MATCH('Detalhe Por UC'!C71,'Infos Clientes'!B:B,0))</f>
        <v>0</v>
      </c>
      <c r="N71" s="56">
        <f t="shared" si="7"/>
        <v>0</v>
      </c>
      <c r="O71" s="56">
        <f t="shared" si="8"/>
        <v>9</v>
      </c>
      <c r="P71" s="56">
        <f t="shared" si="9"/>
        <v>0</v>
      </c>
      <c r="Q71" s="61">
        <f>IFERROR(IFERROR(INDEX('Infos Clientes'!$A$2:$V$9884,MATCH($C71,'Infos Clientes'!$B$2:$B$9884,0),MATCH(Q$8,'Infos Clientes'!$A$2:$V$2,0)),"")
+IF(OR(INDEX('Infos Clientes'!$A$2:$V$9884,MATCH($C71,'Infos Clientes'!$B$2:$B$9884,0),MATCH("Tempo de Fidelidade (meses)",'Infos Clientes'!$A$2:$V$2,0))=0,R71&gt;=MAX(R:R)),0,
ROUND((MAX(R:R)-R71)/(365/12),0)),"")</f>
        <v>0</v>
      </c>
      <c r="R71" s="111">
        <v>45658</v>
      </c>
      <c r="S71" s="112">
        <v>0.02</v>
      </c>
      <c r="T71" s="113" t="str">
        <f>IF($H71="GIROSSOL II",AP71/INDEX('Resumo Operacional'!$A$1:$P$1103,17,MATCH('Detalhe Por UC'!$R71,'Resumo Operacional'!$A$1:$P$1,0)),
IF($H71="GIROSSOL II e III",AP71/INDEX('Resumo Operacional'!$A$1:$P$1103,17,MATCH('Detalhe Por UC'!$R71,'Resumo Operacional'!$A$1:$P$1,0)),
""))</f>
        <v/>
      </c>
      <c r="U71" s="113">
        <f>IF($H71="GIROSSOL III",AP71/INDEX('Resumo Operacional'!$A$1:$P$1103,53,MATCH('Detalhe Por UC'!$R71,'Resumo Operacional'!$A$1:$P$1,0)),
IF($H71="GIROSSOL II e III",AP71/INDEX('Resumo Operacional'!$A$1:$P$1103,53,MATCH('Detalhe Por UC'!$R71,'Resumo Operacional'!$A$1:$P$1,0)),
""))</f>
        <v>8.2439231375401583E-3</v>
      </c>
      <c r="V71" s="12"/>
      <c r="W71" s="12"/>
      <c r="X71" s="67">
        <v>1.1162176165803108</v>
      </c>
      <c r="Y71" s="116">
        <v>0</v>
      </c>
      <c r="Z71" s="66">
        <v>0.98676470588235288</v>
      </c>
      <c r="AA71" s="35">
        <v>0</v>
      </c>
      <c r="AB71" s="68">
        <v>193</v>
      </c>
      <c r="AC71" s="35">
        <v>0</v>
      </c>
      <c r="AD71" s="69">
        <v>136</v>
      </c>
      <c r="AE71" s="35"/>
      <c r="AF71" s="69">
        <v>0</v>
      </c>
      <c r="AG71" s="69">
        <v>0</v>
      </c>
      <c r="AH71" s="16">
        <v>12.189999999999996</v>
      </c>
      <c r="AI71" s="16">
        <v>0</v>
      </c>
      <c r="AJ71" s="16">
        <v>0</v>
      </c>
      <c r="AK71" s="12"/>
      <c r="AL71" s="38"/>
      <c r="AM71" s="1"/>
      <c r="AN71" s="71">
        <f t="shared" si="10"/>
        <v>0</v>
      </c>
      <c r="AO71" s="71">
        <f t="shared" si="11"/>
        <v>0</v>
      </c>
      <c r="AP71" s="71">
        <f t="shared" si="12"/>
        <v>136</v>
      </c>
      <c r="AQ71" s="72">
        <f>IF(OR($H71="GIROSSOL II",$H71="GIROSSOL II e III"),INDEX('Resumo Operacional'!$A$1:$P$1103,MATCH("Energia Injetada prevista total Fatura da Usina (TUSD)",'Resumo Operacional'!$B$1:$B$1103,0),MATCH('Detalhe Por UC'!$R71,'Resumo Operacional'!$A$1:$P$1,0))*$S71,INDEX('Resumo Operacional'!$A$1:$P$1103,53,MATCH('Detalhe Por UC'!$R71,'Resumo Operacional'!$A$1:$P$1,0))*$S71)</f>
        <v>329.94</v>
      </c>
      <c r="AR71" s="71">
        <f t="shared" si="13"/>
        <v>-193.94</v>
      </c>
      <c r="AS71" s="73">
        <f t="shared" si="14"/>
        <v>93.419999999999987</v>
      </c>
      <c r="AT71" s="74">
        <f t="shared" si="15"/>
        <v>93.419999999999987</v>
      </c>
      <c r="AU71" s="74">
        <f t="shared" si="16"/>
        <v>0.85731179518439493</v>
      </c>
      <c r="AV71" s="74">
        <f t="shared" si="17"/>
        <v>100.64999999999999</v>
      </c>
      <c r="AW71" s="74">
        <f t="shared" si="18"/>
        <v>0</v>
      </c>
      <c r="AX71" s="74">
        <f t="shared" si="19"/>
        <v>134.19999999999999</v>
      </c>
      <c r="AY71" s="74">
        <f t="shared" si="20"/>
        <v>100.65</v>
      </c>
      <c r="AZ71" s="49">
        <v>100.65</v>
      </c>
      <c r="BA71" s="117">
        <v>100.65</v>
      </c>
      <c r="BB71" s="49">
        <v>100.65</v>
      </c>
      <c r="BC71" s="73" t="str">
        <f t="shared" si="21"/>
        <v/>
      </c>
      <c r="BD71" s="73">
        <f t="shared" si="22"/>
        <v>227.61999999999998</v>
      </c>
      <c r="BE71" s="73">
        <f t="shared" si="23"/>
        <v>194.07</v>
      </c>
      <c r="BF71" s="77">
        <f t="shared" si="24"/>
        <v>33.549999999999997</v>
      </c>
      <c r="BG71" s="77">
        <f t="shared" si="25"/>
        <v>10.065</v>
      </c>
      <c r="BH71" s="77">
        <f t="shared" si="26"/>
        <v>134.19999999999999</v>
      </c>
      <c r="BI71" s="78">
        <f t="shared" si="27"/>
        <v>0.25</v>
      </c>
      <c r="BJ71" s="79">
        <f t="shared" si="28"/>
        <v>0.14739478077497584</v>
      </c>
      <c r="BK71" s="80">
        <f t="shared" si="29"/>
        <v>194.07</v>
      </c>
      <c r="BL71" s="80">
        <f t="shared" si="30"/>
        <v>33.549999999999983</v>
      </c>
      <c r="BM71" s="79">
        <f t="shared" si="31"/>
        <v>0.14739478077497578</v>
      </c>
      <c r="BN71" s="81">
        <f t="shared" si="32"/>
        <v>0.74007352941176474</v>
      </c>
      <c r="BO71" s="82">
        <f t="shared" si="33"/>
        <v>100.65</v>
      </c>
      <c r="BP71" s="81">
        <f t="shared" si="34"/>
        <v>0.74007352941176474</v>
      </c>
      <c r="BQ71" s="81">
        <f t="shared" si="35"/>
        <v>0.86952644010972269</v>
      </c>
      <c r="BR71" s="81">
        <f t="shared" si="36"/>
        <v>1.1162176165803108</v>
      </c>
      <c r="BS71" s="82">
        <f t="shared" si="37"/>
        <v>136</v>
      </c>
      <c r="BT71" s="82">
        <f t="shared" si="38"/>
        <v>151.80559585492227</v>
      </c>
      <c r="BU71" s="82">
        <f t="shared" si="39"/>
        <v>134.19999999999999</v>
      </c>
      <c r="BV71"/>
      <c r="BW71" s="82">
        <f>IFERROR(INDEX('Infos Clientes'!$T:$T,MATCH('Detalhe Por UC'!$C71,'Infos Clientes'!B:B,0)),"")</f>
        <v>250.27272727272728</v>
      </c>
      <c r="BX71" s="83">
        <f t="shared" si="40"/>
        <v>0</v>
      </c>
      <c r="BY71" s="84">
        <f t="shared" si="41"/>
        <v>0.22100634572168923</v>
      </c>
      <c r="BZ71" s="85">
        <f>IF(_xlfn.MINIFS('Detalhe Por UC'!R:R,'Detalhe Por UC'!C:C,C71,'Detalhe Por UC'!AD:AD,"&gt;"&amp;0)=0,"",_xlfn.MINIFS('Detalhe Por UC'!R:R,'Detalhe Por UC'!C:C,C71,'Detalhe Por UC'!AD:AD,"&gt;"&amp;0))</f>
        <v>45658</v>
      </c>
      <c r="CA71" s="114">
        <f ca="1">IF(OR(S71&gt;0,AD71&gt;0),IFERROR(
SUMIFS(INDIRECT("'Infos Clientes'!$W"&amp;INDEX('Infos Clientes'!$C:$C,MATCH(C71,'Infos Clientes'!$H:$H,0))&amp;":$CZ"&amp;INDEX('Infos Clientes'!$C:$C,MATCH(C71,'Infos Clientes'!$H:$H,0))),'Infos Clientes'!$W$2:$CZ$2,"&gt;"&amp;$R71-365,'Infos Clientes'!$W$2:$CZ$2,"&lt;="&amp;$R71)/
COUNTIFS(INDIRECT("'Infos Clientes'!$W"&amp;INDEX('Infos Clientes'!$C:$C,MATCH(C71,'Infos Clientes'!$H:$H,0))&amp;":$CZ"&amp;INDEX('Infos Clientes'!$C:$C,MATCH(C71,'Infos Clientes'!$H:$H,0))),"&gt;="&amp;0,'Infos Clientes'!$W$2:$CZ$2,"&gt;"&amp;$R71-365,'Infos Clientes'!$W$2:$CZ$2,"&lt;="&amp;$R71),""),"")</f>
        <v>229.41666666666666</v>
      </c>
      <c r="CB71" s="87">
        <f>VLOOKUP(C71,'Infos Clientes'!B:L,11,0)</f>
        <v>0</v>
      </c>
      <c r="CC71" s="88" t="str">
        <f t="shared" si="42"/>
        <v>A Unidade Consumidora 10/3040565-8 economizou R$33,55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71" s="40" t="s">
        <v>27</v>
      </c>
      <c r="CF71" s="115">
        <f t="shared" si="43"/>
        <v>-93.419999999999987</v>
      </c>
    </row>
    <row r="72" spans="1:84" s="104" customFormat="1" ht="16.2" hidden="1" customHeight="1" x14ac:dyDescent="0.3">
      <c r="A72" s="105" t="str">
        <f>INDEX('Infos Clientes'!$D:$D,MATCH('Detalhe Por UC'!C72,'Infos Clientes'!B:B,0))</f>
        <v>IGREJA DO EVANGELHO QUADRANGULAR</v>
      </c>
      <c r="B72" s="106" t="str">
        <f>INDEX('Infos Clientes'!$F:$F,MATCH('Detalhe Por UC'!C72,'Infos Clientes'!B:B,0))</f>
        <v>62.955.505/3124-87</v>
      </c>
      <c r="C72" s="107" t="s">
        <v>185</v>
      </c>
      <c r="D72" t="s">
        <v>351</v>
      </c>
      <c r="E72" s="1" t="s">
        <v>352</v>
      </c>
      <c r="F72" s="56" t="str">
        <f>INDEX('Infos Clientes'!$I:$I,MATCH('Detalhe Por UC'!C72,'Infos Clientes'!B:B,0))</f>
        <v>BT</v>
      </c>
      <c r="G72" s="56" t="str">
        <f>INDEX('Infos Clientes'!$J:$J,MATCH('Detalhe Por UC'!C72,'Infos Clientes'!B:B,0))</f>
        <v>trifasico</v>
      </c>
      <c r="H72" s="108" t="s">
        <v>138</v>
      </c>
      <c r="I72" s="58">
        <f>IFERROR(VLOOKUP(C72,'Infos Clientes'!B:E,4,),"")</f>
        <v>357</v>
      </c>
      <c r="J72" s="109">
        <v>0.25</v>
      </c>
      <c r="K72" s="59">
        <f>INDEX('Infos Clientes'!$M:$M,MATCH('Detalhe Por UC'!C72,'Infos Clientes'!B:B,0))</f>
        <v>0.25</v>
      </c>
      <c r="L72" s="110"/>
      <c r="M72" s="56">
        <f>INDEX('Infos Clientes'!$N:$N,MATCH('Detalhe Por UC'!C72,'Infos Clientes'!B:B,0))</f>
        <v>0</v>
      </c>
      <c r="N72" s="56">
        <f t="shared" si="7"/>
        <v>0</v>
      </c>
      <c r="O72" s="56">
        <f t="shared" si="8"/>
        <v>3</v>
      </c>
      <c r="P72" s="56">
        <f t="shared" si="9"/>
        <v>0</v>
      </c>
      <c r="Q72" s="61">
        <f>IFERROR(IFERROR(INDEX('Infos Clientes'!$A$2:$V$9884,MATCH($C72,'Infos Clientes'!$B$2:$B$9884,0),MATCH(Q$8,'Infos Clientes'!$A$2:$V$2,0)),"")
+IF(OR(INDEX('Infos Clientes'!$A$2:$V$9884,MATCH($C72,'Infos Clientes'!$B$2:$B$9884,0),MATCH("Tempo de Fidelidade (meses)",'Infos Clientes'!$A$2:$V$2,0))=0,R72&gt;=MAX(R:R)),0,
ROUND((MAX(R:R)-R72)/(365/12),0)),"")</f>
        <v>0</v>
      </c>
      <c r="R72" s="111">
        <v>45658</v>
      </c>
      <c r="S72" s="112">
        <v>0.01</v>
      </c>
      <c r="T72" s="113" t="str">
        <f>IF($H72="GIROSSOL II",AP72/INDEX('Resumo Operacional'!$A$1:$P$1103,17,MATCH('Detalhe Por UC'!$R72,'Resumo Operacional'!$A$1:$P$1,0)),
IF($H72="GIROSSOL II e III",AP72/INDEX('Resumo Operacional'!$A$1:$P$1103,17,MATCH('Detalhe Por UC'!$R72,'Resumo Operacional'!$A$1:$P$1,0)),
""))</f>
        <v/>
      </c>
      <c r="U72" s="113">
        <f>IF($H72="GIROSSOL III",AP72/INDEX('Resumo Operacional'!$A$1:$P$1103,53,MATCH('Detalhe Por UC'!$R72,'Resumo Operacional'!$A$1:$P$1,0)),
IF($H72="GIROSSOL II e III",AP72/INDEX('Resumo Operacional'!$A$1:$P$1103,53,MATCH('Detalhe Por UC'!$R72,'Resumo Operacional'!$A$1:$P$1,0)),
""))</f>
        <v>1.9033763714614779E-2</v>
      </c>
      <c r="V72" s="12"/>
      <c r="W72" s="12"/>
      <c r="X72" s="67">
        <v>1.1162000000000001</v>
      </c>
      <c r="Y72" s="116">
        <v>0</v>
      </c>
      <c r="Z72" s="66">
        <v>0</v>
      </c>
      <c r="AA72" s="35">
        <v>0</v>
      </c>
      <c r="AB72" s="68">
        <v>0</v>
      </c>
      <c r="AC72" s="35">
        <v>0</v>
      </c>
      <c r="AD72" s="69">
        <v>0</v>
      </c>
      <c r="AE72" s="35"/>
      <c r="AF72" s="69">
        <v>314</v>
      </c>
      <c r="AG72" s="69">
        <v>0</v>
      </c>
      <c r="AH72" s="16">
        <v>31.14</v>
      </c>
      <c r="AI72" s="16">
        <v>0</v>
      </c>
      <c r="AJ72" s="16">
        <v>0</v>
      </c>
      <c r="AK72" s="12"/>
      <c r="AL72" s="38"/>
      <c r="AM72" s="1"/>
      <c r="AN72" s="71">
        <f t="shared" si="10"/>
        <v>314</v>
      </c>
      <c r="AO72" s="71">
        <f t="shared" si="11"/>
        <v>0</v>
      </c>
      <c r="AP72" s="71">
        <f t="shared" si="12"/>
        <v>314</v>
      </c>
      <c r="AQ72" s="72">
        <f>IF(OR($H72="GIROSSOL II",$H72="GIROSSOL II e III"),INDEX('Resumo Operacional'!$A$1:$P$1103,MATCH("Energia Injetada prevista total Fatura da Usina (TUSD)",'Resumo Operacional'!$B$1:$B$1103,0),MATCH('Detalhe Por UC'!$R72,'Resumo Operacional'!$A$1:$P$1,0))*$S72,INDEX('Resumo Operacional'!$A$1:$P$1103,53,MATCH('Detalhe Por UC'!$R72,'Resumo Operacional'!$A$1:$P$1,0))*$S72)</f>
        <v>164.97</v>
      </c>
      <c r="AR72" s="71">
        <f t="shared" si="13"/>
        <v>149.03</v>
      </c>
      <c r="AS72" s="73">
        <f t="shared" si="14"/>
        <v>142.76</v>
      </c>
      <c r="AT72" s="74">
        <f t="shared" si="15"/>
        <v>142.76</v>
      </c>
      <c r="AU72" s="74" t="str">
        <f t="shared" si="16"/>
        <v/>
      </c>
      <c r="AV72" s="74">
        <f t="shared" si="17"/>
        <v>0</v>
      </c>
      <c r="AW72" s="74">
        <f t="shared" si="18"/>
        <v>0</v>
      </c>
      <c r="AX72" s="74">
        <f t="shared" si="19"/>
        <v>0</v>
      </c>
      <c r="AY72" s="74" t="str">
        <f t="shared" si="20"/>
        <v/>
      </c>
      <c r="AZ72" s="49"/>
      <c r="BA72" s="49"/>
      <c r="BB72" s="49"/>
      <c r="BC72" s="73" t="str">
        <f t="shared" si="21"/>
        <v/>
      </c>
      <c r="BD72" s="73">
        <f t="shared" si="22"/>
        <v>142.76</v>
      </c>
      <c r="BE72" s="73">
        <f t="shared" si="23"/>
        <v>142.76</v>
      </c>
      <c r="BF72" s="77">
        <f t="shared" si="24"/>
        <v>0</v>
      </c>
      <c r="BG72" s="77">
        <f t="shared" si="25"/>
        <v>0</v>
      </c>
      <c r="BH72" s="77">
        <f t="shared" si="26"/>
        <v>0</v>
      </c>
      <c r="BI72" s="78" t="str">
        <f t="shared" si="27"/>
        <v/>
      </c>
      <c r="BJ72" s="79">
        <f t="shared" si="28"/>
        <v>0</v>
      </c>
      <c r="BK72" s="80" t="str">
        <f t="shared" si="29"/>
        <v/>
      </c>
      <c r="BL72" s="80" t="str">
        <f t="shared" si="30"/>
        <v/>
      </c>
      <c r="BM72" s="79" t="str">
        <f t="shared" si="31"/>
        <v/>
      </c>
      <c r="BN72" s="81" t="str">
        <f t="shared" si="32"/>
        <v/>
      </c>
      <c r="BO72" s="82" t="str">
        <f t="shared" si="33"/>
        <v/>
      </c>
      <c r="BP72" s="81" t="str">
        <f t="shared" si="34"/>
        <v/>
      </c>
      <c r="BQ72" s="81" t="str">
        <f t="shared" si="35"/>
        <v/>
      </c>
      <c r="BR72" s="81" t="str">
        <f t="shared" si="36"/>
        <v/>
      </c>
      <c r="BS72" s="82">
        <f t="shared" si="37"/>
        <v>0</v>
      </c>
      <c r="BT72" s="82" t="str">
        <f t="shared" si="38"/>
        <v/>
      </c>
      <c r="BU72" s="82">
        <f t="shared" si="39"/>
        <v>0</v>
      </c>
      <c r="BV72"/>
      <c r="BW72" s="82">
        <f>IFERROR(INDEX('Infos Clientes'!$T:$T,MATCH('Detalhe Por UC'!$C72,'Infos Clientes'!B:B,0)),"")</f>
        <v>178.4</v>
      </c>
      <c r="BX72" s="83">
        <f t="shared" si="40"/>
        <v>0</v>
      </c>
      <c r="BY72" s="84" t="str">
        <f t="shared" si="41"/>
        <v/>
      </c>
      <c r="BZ72" s="85">
        <f>IF(_xlfn.MINIFS('Detalhe Por UC'!R:R,'Detalhe Por UC'!C:C,C72,'Detalhe Por UC'!AD:AD,"&gt;"&amp;0)=0,"",_xlfn.MINIFS('Detalhe Por UC'!R:R,'Detalhe Por UC'!C:C,C72,'Detalhe Por UC'!AD:AD,"&gt;"&amp;0))</f>
        <v>45689</v>
      </c>
      <c r="CA72" s="114">
        <f ca="1">IF(OR(S72&gt;0,AD72&gt;0),IFERROR(
SUMIFS(INDIRECT("'Infos Clientes'!$W"&amp;INDEX('Infos Clientes'!$C:$C,MATCH(C72,'Infos Clientes'!$H:$H,0))&amp;":$CZ"&amp;INDEX('Infos Clientes'!$C:$C,MATCH(C72,'Infos Clientes'!$H:$H,0))),'Infos Clientes'!$W$2:$CZ$2,"&gt;"&amp;$R72-365,'Infos Clientes'!$W$2:$CZ$2,"&lt;="&amp;$R72)/
COUNTIFS(INDIRECT("'Infos Clientes'!$W"&amp;INDEX('Infos Clientes'!$C:$C,MATCH(C72,'Infos Clientes'!$H:$H,0))&amp;":$CZ"&amp;INDEX('Infos Clientes'!$C:$C,MATCH(C72,'Infos Clientes'!$H:$H,0))),"&gt;="&amp;0,'Infos Clientes'!$W$2:$CZ$2,"&gt;"&amp;$R72-365,'Infos Clientes'!$W$2:$CZ$2,"&lt;="&amp;$R72),""),"")</f>
        <v>162.18181818181819</v>
      </c>
      <c r="CB72" s="87">
        <f>VLOOKUP(C72,'Infos Clientes'!B:L,11,0)</f>
        <v>0</v>
      </c>
      <c r="CC72" s="88" t="str">
        <f t="shared" si="42"/>
        <v>A Unidade Consumidora 10/3054052-0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72" s="40" t="s">
        <v>186</v>
      </c>
      <c r="CF72" s="115">
        <f t="shared" si="43"/>
        <v>-142.76</v>
      </c>
    </row>
    <row r="73" spans="1:84" s="104" customFormat="1" ht="16.2" hidden="1" customHeight="1" x14ac:dyDescent="0.3">
      <c r="A73" s="105" t="str">
        <f>INDEX('Infos Clientes'!$D:$D,MATCH('Detalhe Por UC'!C73,'Infos Clientes'!B:B,0))</f>
        <v>IGREJA DO EVANGELHO QUADRANGULAR</v>
      </c>
      <c r="B73" s="106" t="str">
        <f>INDEX('Infos Clientes'!$F:$F,MATCH('Detalhe Por UC'!C73,'Infos Clientes'!B:B,0))</f>
        <v>62.955.505/3757-21</v>
      </c>
      <c r="C73" s="31" t="s">
        <v>187</v>
      </c>
      <c r="D73" t="s">
        <v>351</v>
      </c>
      <c r="E73" s="1" t="s">
        <v>352</v>
      </c>
      <c r="F73" s="56" t="str">
        <f>INDEX('Infos Clientes'!$I:$I,MATCH('Detalhe Por UC'!C73,'Infos Clientes'!B:B,0))</f>
        <v>BT</v>
      </c>
      <c r="G73" s="56" t="str">
        <f>INDEX('Infos Clientes'!$J:$J,MATCH('Detalhe Por UC'!C73,'Infos Clientes'!B:B,0))</f>
        <v>trifasico</v>
      </c>
      <c r="H73" s="108" t="s">
        <v>138</v>
      </c>
      <c r="I73" s="58">
        <f>IFERROR(VLOOKUP(C73,'Infos Clientes'!B:E,4,),"")</f>
        <v>362</v>
      </c>
      <c r="J73" s="109">
        <v>0.25</v>
      </c>
      <c r="K73" s="59">
        <f>INDEX('Infos Clientes'!$M:$M,MATCH('Detalhe Por UC'!C73,'Infos Clientes'!B:B,0))</f>
        <v>0.25</v>
      </c>
      <c r="L73" s="110"/>
      <c r="M73" s="56">
        <f>INDEX('Infos Clientes'!$N:$N,MATCH('Detalhe Por UC'!C73,'Infos Clientes'!B:B,0))</f>
        <v>0</v>
      </c>
      <c r="N73" s="56">
        <f t="shared" ref="N73:N136" si="44">COUNTIFS(C:C,C73,J:J,L73)</f>
        <v>0</v>
      </c>
      <c r="O73" s="56">
        <f t="shared" ref="O73:O136" si="45">COUNTIFS(C:C,C73,AD:AD,"&gt;0")</f>
        <v>9</v>
      </c>
      <c r="P73" s="56">
        <f t="shared" ref="P73:P136" si="46">M73-N73</f>
        <v>0</v>
      </c>
      <c r="Q73" s="61">
        <f>IFERROR(IFERROR(INDEX('Infos Clientes'!$A$2:$V$9884,MATCH($C73,'Infos Clientes'!$B$2:$B$9884,0),MATCH(Q$8,'Infos Clientes'!$A$2:$V$2,0)),"")
+IF(OR(INDEX('Infos Clientes'!$A$2:$V$9884,MATCH($C73,'Infos Clientes'!$B$2:$B$9884,0),MATCH("Tempo de Fidelidade (meses)",'Infos Clientes'!$A$2:$V$2,0))=0,R73&gt;=MAX(R:R)),0,
ROUND((MAX(R:R)-R73)/(365/12),0)),"")</f>
        <v>0</v>
      </c>
      <c r="R73" s="111">
        <v>45658</v>
      </c>
      <c r="S73" s="112">
        <v>0.02</v>
      </c>
      <c r="T73" s="113" t="str">
        <f>IF($H73="GIROSSOL II",AP73/INDEX('Resumo Operacional'!$A$1:$P$1103,17,MATCH('Detalhe Por UC'!$R73,'Resumo Operacional'!$A$1:$P$1,0)),
IF($H73="GIROSSOL II e III",AP73/INDEX('Resumo Operacional'!$A$1:$P$1103,17,MATCH('Detalhe Por UC'!$R73,'Resumo Operacional'!$A$1:$P$1,0)),
""))</f>
        <v/>
      </c>
      <c r="U73" s="113">
        <f>IF($H73="GIROSSOL III",AP73/INDEX('Resumo Operacional'!$A$1:$P$1103,53,MATCH('Detalhe Por UC'!$R73,'Resumo Operacional'!$A$1:$P$1,0)),
IF($H73="GIROSSOL II e III",AP73/INDEX('Resumo Operacional'!$A$1:$P$1103,53,MATCH('Detalhe Por UC'!$R73,'Resumo Operacional'!$A$1:$P$1,0)),
""))</f>
        <v>8.2439231375401583E-3</v>
      </c>
      <c r="V73" s="12"/>
      <c r="W73" s="12"/>
      <c r="X73" s="67">
        <v>1.1162658227848101</v>
      </c>
      <c r="Y73" s="116">
        <v>0</v>
      </c>
      <c r="Z73" s="66">
        <v>0.98227941176470579</v>
      </c>
      <c r="AA73" s="35">
        <v>0</v>
      </c>
      <c r="AB73" s="68">
        <v>316</v>
      </c>
      <c r="AC73" s="35">
        <v>0</v>
      </c>
      <c r="AD73" s="69">
        <v>136</v>
      </c>
      <c r="AE73" s="35"/>
      <c r="AF73" s="69">
        <v>0</v>
      </c>
      <c r="AG73" s="69">
        <v>0</v>
      </c>
      <c r="AH73" s="16">
        <v>59.8</v>
      </c>
      <c r="AI73" s="16">
        <v>0</v>
      </c>
      <c r="AJ73" s="16">
        <v>0</v>
      </c>
      <c r="AK73" s="12"/>
      <c r="AL73" s="38"/>
      <c r="AM73" s="1"/>
      <c r="AN73" s="71">
        <f t="shared" ref="AN73:AN136" si="47">IF(X73="","",AF73-SUMIFS(AF:AF,$C:$C,$C73,$R:$R,EDATE($R73,-1)))</f>
        <v>0</v>
      </c>
      <c r="AO73" s="71">
        <f t="shared" ref="AO73:AO136" si="48">IF(X73="","",AG73-SUMIFS(AG:AG,$H:$H,$H73,$C:$C,$C73,$R:$R,EDATE($R73,-1)))</f>
        <v>0</v>
      </c>
      <c r="AP73" s="71">
        <f t="shared" ref="AP73:AP136" si="49">IFERROR(IF(D73="CRÉD. CONSUMIDO",SUM(AD73,AE73,AN73,AO73),IF(D73="GERADO",AQ73)),"")</f>
        <v>136</v>
      </c>
      <c r="AQ73" s="72">
        <f>IF(OR($H73="GIROSSOL II",$H73="GIROSSOL II e III"),INDEX('Resumo Operacional'!$A$1:$P$1103,MATCH("Energia Injetada prevista total Fatura da Usina (TUSD)",'Resumo Operacional'!$B$1:$B$1103,0),MATCH('Detalhe Por UC'!$R73,'Resumo Operacional'!$A$1:$P$1,0))*$S73,INDEX('Resumo Operacional'!$A$1:$P$1103,53,MATCH('Detalhe Por UC'!$R73,'Resumo Operacional'!$A$1:$P$1,0))*$S73)</f>
        <v>329.94</v>
      </c>
      <c r="AR73" s="71">
        <f t="shared" ref="AR73:AR136" si="50">IF(X73="","",AP73-AQ73)</f>
        <v>-193.94</v>
      </c>
      <c r="AS73" s="73">
        <f t="shared" ref="AS73:AS136" si="51">IFERROR((X73*AB73-Z73*AD73+Y73*AC73-AA73*AE73)+AH73+
IF(F73&lt;&gt;"BT",0,
IF(AND(G73="trifasico",AD73=0,AB73&lt;100),X73*(100-(AB73-AD73)),
IF(AND(G73="bifasico",AD73=0,AB73&lt;50),X73*(50-(AB73-AD73)),
IF(AND(G73="monofasico",AD73=0,AB73&lt;30),X73*(30-(AB73-AD73)),0)))),"")</f>
        <v>278.95000000000005</v>
      </c>
      <c r="AT73" s="74">
        <f t="shared" ref="AT73:AT136" si="52">IFERROR(AS73+AI73+AJ73,"")</f>
        <v>278.95000000000005</v>
      </c>
      <c r="AU73" s="74">
        <f t="shared" ref="AU73:AU136" si="53">IFERROR((Z73*AD73+AA73*AE73)/(AD73+AE73)-((X73-Z73)*AD73+(Y73-AA73)*AE73)/(AD73+AE73),"")</f>
        <v>0.84829300074460134</v>
      </c>
      <c r="AV73" s="74">
        <f t="shared" ref="AV73:AV136" si="54">IFERROR(IF(AND(E73="FINAL-Ñ.COMP",D73="CRÉD. CONSUMIDO"),(X73*(1-J73)-(X73-Z73))*AD73+(Y73*(1-J73)-(Y73-AA73))*AE73,
IF(AND(E73="T.COMP",D73="CRÉD. CONSUMIDO"),Z73*(1-J73)*AD73+AA73*(1-J73)*AE73,
IF(AND(E73="T.S.IMP",D73="CRÉD. CONSUMIDO"),V73*(1-J73)*AD73+W73*(1-J73)*AE73,
IF(AND(E73="T.S.IMP",D73="GERADO"),V73*(1-J73)*AQ73+W73*(1-J73)*AQ73,
IF(AND(E73="T.COMP",D73="GERADO"),AU73*(1-J73)*AQ73,
IF(AND(E73="FINAL-Ñ.COMP",D73="GERADO"),(AU73*(1-J73)-(X73-Z73))*AQ73,"ERRO")))))),"")</f>
        <v>100.19249999999998</v>
      </c>
      <c r="AW73" s="74">
        <f t="shared" ref="AW73:AW136" si="55">IF(45658=R73,0,IF(
SUMIFS($BA:$BA,$C:$C,$C73,$R:$R,EDATE($R73,-1))
&gt;=0,
SUMIFS(AY:AY,$C:$C,$C73,$R:$R,EDATE($R73,-1))-SUMIFS(BA:BA,$C:$C,$C73,$R:$R,EDATE($R73,-1)),0))</f>
        <v>0</v>
      </c>
      <c r="AX73" s="74">
        <f t="shared" ref="AX73:AX136" si="56">IFERROR(IF(AND(E73="FINAL-Ñ.COMP",D73="CRÉD. CONSUMIDO"),(X73-(X73-Z73))*AD73+(Y73-(Y73-AA73))*AE73,
IF(AND(E73="T.COMP",D73="CRÉD. CONSUMIDO"),Z73*AD73+AA73*AE73,
IF(AND(E73="T.S.IMP",D73="CRÉD. CONSUMIDO"),V73*AD73+W73*AE73,
IF(AND(E73="T.S.IMP",D73="GERADO"),V73*AQ73+W73*AQ73,
IF(AND(E73="T.COMP",D73="GERADO"),AU73*AQ73,
IF(AND(E73="FINAL-Ñ.COMP",D73="GERADO"),(AU73-(X73-Z73))*AQ73,"ERRO"))))))+AW73,"")</f>
        <v>133.58999999999997</v>
      </c>
      <c r="AY73" s="74">
        <f t="shared" ref="AY73:AY136" si="57">IF(AV73=0,IF(AW73=0,"",AW73),IFERROR(ROUND(IF(SUMIFS($BA:$BA,$C:$C,$C73,$R:$R,EDATE($R73,-1))&gt;0,AV73+AW73,AV73),2),""))</f>
        <v>100.19</v>
      </c>
      <c r="AZ73" s="49">
        <v>100.19</v>
      </c>
      <c r="BA73" s="117">
        <v>100.19</v>
      </c>
      <c r="BB73" s="49">
        <v>100.19</v>
      </c>
      <c r="BC73" s="73" t="str">
        <f t="shared" ref="BC73:BC136" si="58">IF(BB73&gt;BA73,BB73-BA73,"")</f>
        <v/>
      </c>
      <c r="BD73" s="73">
        <f t="shared" ref="BD73:BD136" si="59">IF(AB73&gt;0,X73*AB73+Y73*AC73+AH73,AH73+
IF(AND(G73="trifasico",AB73-AD73=0),X73*(100-(AB73-AD73)),
IF(AND(G73="bifasico",AB73-AD73=0),X73*(50-(AB73-AD73)),
IF(AND(G73="monofasico",AB73-AD73=0),X73*(30-(AB73-AD73)),0))))</f>
        <v>412.54</v>
      </c>
      <c r="BE73" s="73">
        <f t="shared" ref="BE73:BE136" si="60">IFERROR(AS73+AV73,"")</f>
        <v>379.14250000000004</v>
      </c>
      <c r="BF73" s="77">
        <f t="shared" ref="BF73:BF136" si="61">ROUND(BD73-BE73,2)</f>
        <v>33.4</v>
      </c>
      <c r="BG73" s="77">
        <f t="shared" ref="BG73:BG136" si="62">BF73*0.3</f>
        <v>10.02</v>
      </c>
      <c r="BH73" s="77">
        <f t="shared" ref="BH73:BH136" si="63">(X73*AD73)-((X73-Z73)*AD73)</f>
        <v>133.59</v>
      </c>
      <c r="BI73" s="78">
        <f t="shared" ref="BI73:BI136" si="64">IFERROR(ROUND(IFERROR(IF(BF73=0,"",BF73/(AY73+Z73*J73*AD73+AA73*J73*AE73)),0),2),"")</f>
        <v>0.25</v>
      </c>
      <c r="BJ73" s="79">
        <f t="shared" ref="BJ73:BJ136" si="65">IFERROR(BF73/BD73,"")</f>
        <v>8.0961846124012207E-2</v>
      </c>
      <c r="BK73" s="80">
        <f t="shared" ref="BK73:BK136" si="66">IFERROR(AS73+AY73,"")</f>
        <v>379.14000000000004</v>
      </c>
      <c r="BL73" s="80">
        <f t="shared" ref="BL73:BL136" si="67">IFERROR(BD73-BK73,"")</f>
        <v>33.399999999999977</v>
      </c>
      <c r="BM73" s="79">
        <f t="shared" ref="BM73:BM136" si="68">IFERROR(IF(BL73=0,"",BL73/BD73),"")</f>
        <v>8.0961846124012152E-2</v>
      </c>
      <c r="BN73" s="81">
        <f t="shared" ref="BN73:BN136" si="69">IFERROR(IF(AD73="","",AY73/(AD73+AE73)),"")</f>
        <v>0.73669117647058824</v>
      </c>
      <c r="BO73" s="82">
        <f t="shared" ref="BO73:BO136" si="70">IF(OR(BN73="",BN73=0),"",BN73*(AD73+AE73))</f>
        <v>100.19</v>
      </c>
      <c r="BP73" s="81">
        <f t="shared" ref="BP73:BP136" si="71">IFERROR(IF(AD73="","",AY73/AD73),"")</f>
        <v>0.73669117647058824</v>
      </c>
      <c r="BQ73" s="81">
        <f t="shared" ref="BQ73:BQ136" si="72">IFERROR(BP73+(X73-Z73),"")</f>
        <v>0.87067758749069257</v>
      </c>
      <c r="BR73" s="81">
        <f t="shared" ref="BR73:BR136" si="73">IFERROR(IF(AD73="","",(X73*AD73+Y73*AE73)/(AD73+AE73)),"")</f>
        <v>1.1162658227848101</v>
      </c>
      <c r="BS73" s="82">
        <f t="shared" ref="BS73:BS136" si="74">IFERROR(IF(D73="gerado",AQ73,AD73),"")</f>
        <v>136</v>
      </c>
      <c r="BT73" s="82">
        <f t="shared" ref="BT73:BT136" si="75">IF(OR(BR73="",BR73=0),"",BR73*(AD73+AE73))</f>
        <v>151.81215189873419</v>
      </c>
      <c r="BU73" s="82">
        <f t="shared" ref="BU73:BU136" si="76">IFERROR(BS73*Z73,"")</f>
        <v>133.58999999999997</v>
      </c>
      <c r="BV73"/>
      <c r="BW73" s="82">
        <f>IFERROR(INDEX('Infos Clientes'!$T:$T,MATCH('Detalhe Por UC'!$C73,'Infos Clientes'!B:B,0)),"")</f>
        <v>365.90909090909093</v>
      </c>
      <c r="BX73" s="83">
        <f t="shared" ref="BX73:BX136" si="77">IFERROR(BW73*Q73,"")</f>
        <v>0</v>
      </c>
      <c r="BY73" s="84">
        <f t="shared" ref="BY73:BY136" si="78">IFERROR((X73-BQ73)/X73,"")</f>
        <v>0.22000873831417234</v>
      </c>
      <c r="BZ73" s="85">
        <f>IF(_xlfn.MINIFS('Detalhe Por UC'!R:R,'Detalhe Por UC'!C:C,C73,'Detalhe Por UC'!AD:AD,"&gt;"&amp;0)=0,"",_xlfn.MINIFS('Detalhe Por UC'!R:R,'Detalhe Por UC'!C:C,C73,'Detalhe Por UC'!AD:AD,"&gt;"&amp;0))</f>
        <v>45658</v>
      </c>
      <c r="CA73" s="114">
        <f ca="1">IF(OR(S73&gt;0,AD73&gt;0),IFERROR(
SUMIFS(INDIRECT("'Infos Clientes'!$W"&amp;INDEX('Infos Clientes'!$C:$C,MATCH(C73,'Infos Clientes'!$H:$H,0))&amp;":$CZ"&amp;INDEX('Infos Clientes'!$C:$C,MATCH(C73,'Infos Clientes'!$H:$H,0))),'Infos Clientes'!$W$2:$CZ$2,"&gt;"&amp;$R73-365,'Infos Clientes'!$W$2:$CZ$2,"&lt;="&amp;$R73)/
COUNTIFS(INDIRECT("'Infos Clientes'!$W"&amp;INDEX('Infos Clientes'!$C:$C,MATCH(C73,'Infos Clientes'!$H:$H,0))&amp;":$CZ"&amp;INDEX('Infos Clientes'!$C:$C,MATCH(C73,'Infos Clientes'!$H:$H,0))),"&gt;="&amp;0,'Infos Clientes'!$W$2:$CZ$2,"&gt;"&amp;$R73-365,'Infos Clientes'!$W$2:$CZ$2,"&lt;="&amp;$R73),""),"")</f>
        <v>335.41666666666669</v>
      </c>
      <c r="CB73" s="87">
        <f>VLOOKUP(C73,'Infos Clientes'!B:L,11,0)</f>
        <v>0</v>
      </c>
      <c r="CC73" s="88" t="str">
        <f t="shared" ref="CC73:CC136" si="79">"A Unidade Consumidora "&amp;C73&amp;" economizou R$"&amp;BF73&amp;" na fatura referente à "&amp;TEXT(R73,"mmm/aaaa")&amp;"  consumindo "&amp;AD73&amp;" kWh em créditos de energia renovável conforme fatura de energia. A economia foi de "&amp;$J73*100&amp;"% em relação ao que seria pago para a Energisa considerando os créditos consumidos. Atenção: Mantenha as contas da Energisa em dia para evitar cortes."</f>
        <v>A Unidade Consumidora 10/3123706-8 economizou R$33,4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73" s="40" t="s">
        <v>83</v>
      </c>
      <c r="CF73" s="115">
        <f t="shared" ref="CF73:CF136" si="80">CE73-AT73</f>
        <v>-278.95000000000005</v>
      </c>
    </row>
    <row r="74" spans="1:84" s="104" customFormat="1" ht="16.2" hidden="1" customHeight="1" x14ac:dyDescent="0.3">
      <c r="A74" s="105" t="str">
        <f>INDEX('Infos Clientes'!$D:$D,MATCH('Detalhe Por UC'!C74,'Infos Clientes'!B:B,0))</f>
        <v>IGREJA DO EVANGELHO QUADRANGULAR</v>
      </c>
      <c r="B74" s="106" t="str">
        <f>INDEX('Infos Clientes'!$F:$F,MATCH('Detalhe Por UC'!C74,'Infos Clientes'!B:B,0))</f>
        <v>62.955.505/0155-12</v>
      </c>
      <c r="C74" s="31" t="s">
        <v>189</v>
      </c>
      <c r="D74" t="s">
        <v>351</v>
      </c>
      <c r="E74" s="1" t="s">
        <v>352</v>
      </c>
      <c r="F74" s="56" t="str">
        <f>INDEX('Infos Clientes'!$I:$I,MATCH('Detalhe Por UC'!C74,'Infos Clientes'!B:B,0))</f>
        <v>BT</v>
      </c>
      <c r="G74" s="56" t="str">
        <f>INDEX('Infos Clientes'!$J:$J,MATCH('Detalhe Por UC'!C74,'Infos Clientes'!B:B,0))</f>
        <v>bifasico</v>
      </c>
      <c r="H74" s="108" t="s">
        <v>353</v>
      </c>
      <c r="I74" s="58">
        <f>IFERROR(VLOOKUP(C74,'Infos Clientes'!B:E,4,),"")</f>
        <v>358</v>
      </c>
      <c r="J74" s="109">
        <v>0.25</v>
      </c>
      <c r="K74" s="59">
        <f>INDEX('Infos Clientes'!$M:$M,MATCH('Detalhe Por UC'!C74,'Infos Clientes'!B:B,0))</f>
        <v>0.25</v>
      </c>
      <c r="L74" s="110"/>
      <c r="M74" s="56">
        <f>INDEX('Infos Clientes'!$N:$N,MATCH('Detalhe Por UC'!C74,'Infos Clientes'!B:B,0))</f>
        <v>0</v>
      </c>
      <c r="N74" s="56">
        <f t="shared" si="44"/>
        <v>0</v>
      </c>
      <c r="O74" s="56">
        <f t="shared" si="45"/>
        <v>8</v>
      </c>
      <c r="P74" s="56">
        <f t="shared" si="46"/>
        <v>0</v>
      </c>
      <c r="Q74" s="61">
        <f>IFERROR(IFERROR(INDEX('Infos Clientes'!$A$2:$V$9884,MATCH($C74,'Infos Clientes'!$B$2:$B$9884,0),MATCH(Q$8,'Infos Clientes'!$A$2:$V$2,0)),"")
+IF(OR(INDEX('Infos Clientes'!$A$2:$V$9884,MATCH($C74,'Infos Clientes'!$B$2:$B$9884,0),MATCH("Tempo de Fidelidade (meses)",'Infos Clientes'!$A$2:$V$2,0))=0,R74&gt;=MAX(R:R)),0,
ROUND((MAX(R:R)-R74)/(365/12),0)),"")</f>
        <v>0</v>
      </c>
      <c r="R74" s="111">
        <v>45658</v>
      </c>
      <c r="S74" s="112">
        <v>0.01</v>
      </c>
      <c r="T74" s="113">
        <f>IF($H74="GIROSSOL II",AP74/INDEX('Resumo Operacional'!$A$1:$P$1103,17,MATCH('Detalhe Por UC'!$R74,'Resumo Operacional'!$A$1:$P$1,0)),
IF($H74="GIROSSOL II e III",AP74/INDEX('Resumo Operacional'!$A$1:$P$1103,17,MATCH('Detalhe Por UC'!$R74,'Resumo Operacional'!$A$1:$P$1,0)),
""))</f>
        <v>9.8025082888856859E-3</v>
      </c>
      <c r="U74" s="113">
        <f>IF($H74="GIROSSOL III",AP74/INDEX('Resumo Operacional'!$A$1:$P$1103,53,MATCH('Detalhe Por UC'!$R74,'Resumo Operacional'!$A$1:$P$1,0)),
IF($H74="GIROSSOL II e III",AP74/INDEX('Resumo Operacional'!$A$1:$P$1103,53,MATCH('Detalhe Por UC'!$R74,'Resumo Operacional'!$A$1:$P$1,0)),
""))</f>
        <v>8.2439231375401583E-3</v>
      </c>
      <c r="V74" s="12"/>
      <c r="W74" s="12"/>
      <c r="X74" s="67">
        <v>1.1162325581395349</v>
      </c>
      <c r="Y74" s="116">
        <v>0</v>
      </c>
      <c r="Z74" s="66">
        <v>1.006764705882353</v>
      </c>
      <c r="AA74" s="35">
        <v>0</v>
      </c>
      <c r="AB74" s="68">
        <v>215</v>
      </c>
      <c r="AC74" s="35">
        <v>0</v>
      </c>
      <c r="AD74" s="69">
        <v>136</v>
      </c>
      <c r="AE74" s="35"/>
      <c r="AF74" s="69">
        <v>0</v>
      </c>
      <c r="AG74" s="69">
        <v>0</v>
      </c>
      <c r="AH74" s="16">
        <v>98.54</v>
      </c>
      <c r="AI74" s="16">
        <v>0</v>
      </c>
      <c r="AJ74" s="16">
        <v>0</v>
      </c>
      <c r="AK74" s="12"/>
      <c r="AL74" s="38"/>
      <c r="AM74" s="1"/>
      <c r="AN74" s="71">
        <f t="shared" si="47"/>
        <v>0</v>
      </c>
      <c r="AO74" s="71">
        <f t="shared" si="48"/>
        <v>0</v>
      </c>
      <c r="AP74" s="71">
        <f t="shared" si="49"/>
        <v>136</v>
      </c>
      <c r="AQ74" s="72">
        <f>IF(OR($H74="GIROSSOL II",$H74="GIROSSOL II e III"),INDEX('Resumo Operacional'!$A$1:$P$1103,MATCH("Energia Injetada prevista total Fatura da Usina (TUSD)",'Resumo Operacional'!$B$1:$B$1103,0),MATCH('Detalhe Por UC'!$R74,'Resumo Operacional'!$A$1:$P$1,0))*$S74,INDEX('Resumo Operacional'!$A$1:$P$1103,53,MATCH('Detalhe Por UC'!$R74,'Resumo Operacional'!$A$1:$P$1,0))*$S74)</f>
        <v>138.74</v>
      </c>
      <c r="AR74" s="71">
        <f t="shared" si="50"/>
        <v>-2.7400000000000091</v>
      </c>
      <c r="AS74" s="73">
        <f t="shared" si="51"/>
        <v>201.61</v>
      </c>
      <c r="AT74" s="74">
        <f t="shared" si="52"/>
        <v>201.61</v>
      </c>
      <c r="AU74" s="74">
        <f t="shared" si="53"/>
        <v>0.89729685362517109</v>
      </c>
      <c r="AV74" s="74">
        <f t="shared" si="54"/>
        <v>102.69000000000001</v>
      </c>
      <c r="AW74" s="74">
        <f t="shared" si="55"/>
        <v>0</v>
      </c>
      <c r="AX74" s="74">
        <f t="shared" si="56"/>
        <v>136.92000000000002</v>
      </c>
      <c r="AY74" s="74">
        <f t="shared" si="57"/>
        <v>102.69</v>
      </c>
      <c r="AZ74" s="49">
        <v>102.69</v>
      </c>
      <c r="BA74" s="117">
        <v>102.69</v>
      </c>
      <c r="BB74" s="49">
        <v>102.69</v>
      </c>
      <c r="BC74" s="73" t="str">
        <f t="shared" si="58"/>
        <v/>
      </c>
      <c r="BD74" s="73">
        <f t="shared" si="59"/>
        <v>338.53000000000003</v>
      </c>
      <c r="BE74" s="73">
        <f t="shared" si="60"/>
        <v>304.3</v>
      </c>
      <c r="BF74" s="77">
        <f t="shared" si="61"/>
        <v>34.229999999999997</v>
      </c>
      <c r="BG74" s="77">
        <f t="shared" si="62"/>
        <v>10.268999999999998</v>
      </c>
      <c r="BH74" s="77">
        <f t="shared" si="63"/>
        <v>136.92000000000002</v>
      </c>
      <c r="BI74" s="78">
        <f t="shared" si="64"/>
        <v>0.25</v>
      </c>
      <c r="BJ74" s="79">
        <f t="shared" si="65"/>
        <v>0.10111363837769177</v>
      </c>
      <c r="BK74" s="80">
        <f t="shared" si="66"/>
        <v>304.3</v>
      </c>
      <c r="BL74" s="80">
        <f t="shared" si="67"/>
        <v>34.230000000000018</v>
      </c>
      <c r="BM74" s="79">
        <f t="shared" si="68"/>
        <v>0.10111363837769183</v>
      </c>
      <c r="BN74" s="81">
        <f t="shared" si="69"/>
        <v>0.75507352941176464</v>
      </c>
      <c r="BO74" s="82">
        <f t="shared" si="70"/>
        <v>102.69</v>
      </c>
      <c r="BP74" s="81">
        <f t="shared" si="71"/>
        <v>0.75507352941176464</v>
      </c>
      <c r="BQ74" s="81">
        <f t="shared" si="72"/>
        <v>0.86454138166894656</v>
      </c>
      <c r="BR74" s="81">
        <f t="shared" si="73"/>
        <v>1.1162325581395349</v>
      </c>
      <c r="BS74" s="82">
        <f t="shared" si="74"/>
        <v>136</v>
      </c>
      <c r="BT74" s="82">
        <f t="shared" si="75"/>
        <v>151.80762790697676</v>
      </c>
      <c r="BU74" s="82">
        <f t="shared" si="76"/>
        <v>136.92000000000002</v>
      </c>
      <c r="BV74"/>
      <c r="BW74" s="82">
        <f>IFERROR(INDEX('Infos Clientes'!$T:$T,MATCH('Detalhe Por UC'!$C74,'Infos Clientes'!B:B,0)),"")</f>
        <v>164.36363636363637</v>
      </c>
      <c r="BX74" s="83">
        <f t="shared" si="77"/>
        <v>0</v>
      </c>
      <c r="BY74" s="84">
        <f t="shared" si="78"/>
        <v>0.22548274070243132</v>
      </c>
      <c r="BZ74" s="85">
        <f>IF(_xlfn.MINIFS('Detalhe Por UC'!R:R,'Detalhe Por UC'!C:C,C74,'Detalhe Por UC'!AD:AD,"&gt;"&amp;0)=0,"",_xlfn.MINIFS('Detalhe Por UC'!R:R,'Detalhe Por UC'!C:C,C74,'Detalhe Por UC'!AD:AD,"&gt;"&amp;0))</f>
        <v>45658</v>
      </c>
      <c r="CA74" s="114">
        <f ca="1">IF(OR(S74&gt;0,AD74&gt;0),IFERROR(
SUMIFS(INDIRECT("'Infos Clientes'!$W"&amp;INDEX('Infos Clientes'!$C:$C,MATCH(C74,'Infos Clientes'!$H:$H,0))&amp;":$CZ"&amp;INDEX('Infos Clientes'!$C:$C,MATCH(C74,'Infos Clientes'!$H:$H,0))),'Infos Clientes'!$W$2:$CZ$2,"&gt;"&amp;$R74-365,'Infos Clientes'!$W$2:$CZ$2,"&lt;="&amp;$R74)/
COUNTIFS(INDIRECT("'Infos Clientes'!$W"&amp;INDEX('Infos Clientes'!$C:$C,MATCH(C74,'Infos Clientes'!$H:$H,0))&amp;":$CZ"&amp;INDEX('Infos Clientes'!$C:$C,MATCH(C74,'Infos Clientes'!$H:$H,0))),"&gt;="&amp;0,'Infos Clientes'!$W$2:$CZ$2,"&gt;"&amp;$R74-365,'Infos Clientes'!$W$2:$CZ$2,"&lt;="&amp;$R74),""),"")</f>
        <v>150.66666666666666</v>
      </c>
      <c r="CB74" s="87">
        <f>VLOOKUP(C74,'Infos Clientes'!B:L,11,0)</f>
        <v>0</v>
      </c>
      <c r="CC74" s="88" t="str">
        <f t="shared" si="79"/>
        <v>A Unidade Consumidora 10/3125732-2 economizou R$34,23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74" s="40" t="s">
        <v>159</v>
      </c>
      <c r="CF74" s="115">
        <f t="shared" si="80"/>
        <v>-201.61</v>
      </c>
    </row>
    <row r="75" spans="1:84" s="104" customFormat="1" ht="16.2" hidden="1" customHeight="1" x14ac:dyDescent="0.3">
      <c r="A75" s="105" t="str">
        <f>INDEX('Infos Clientes'!$D:$D,MATCH('Detalhe Por UC'!C75,'Infos Clientes'!B:B,0))</f>
        <v>IGREJA DO EVANGELHO QUADRANGULAR</v>
      </c>
      <c r="B75" s="106" t="str">
        <f>INDEX('Infos Clientes'!$F:$F,MATCH('Detalhe Por UC'!C75,'Infos Clientes'!B:B,0))</f>
        <v>62.955.505/0160-80</v>
      </c>
      <c r="C75" s="31" t="s">
        <v>190</v>
      </c>
      <c r="D75" t="s">
        <v>351</v>
      </c>
      <c r="E75" s="1" t="s">
        <v>352</v>
      </c>
      <c r="F75" s="56" t="str">
        <f>INDEX('Infos Clientes'!$I:$I,MATCH('Detalhe Por UC'!C75,'Infos Clientes'!B:B,0))</f>
        <v>BT</v>
      </c>
      <c r="G75" s="56" t="str">
        <f>INDEX('Infos Clientes'!$J:$J,MATCH('Detalhe Por UC'!C75,'Infos Clientes'!B:B,0))</f>
        <v>bifasico</v>
      </c>
      <c r="H75" s="108" t="s">
        <v>24</v>
      </c>
      <c r="I75" s="58">
        <f>IFERROR(VLOOKUP(C75,'Infos Clientes'!B:E,4,),"")</f>
        <v>357</v>
      </c>
      <c r="J75" s="109">
        <v>0.25</v>
      </c>
      <c r="K75" s="59">
        <f>INDEX('Infos Clientes'!$M:$M,MATCH('Detalhe Por UC'!C75,'Infos Clientes'!B:B,0))</f>
        <v>0.25</v>
      </c>
      <c r="L75" s="110"/>
      <c r="M75" s="56">
        <f>INDEX('Infos Clientes'!$N:$N,MATCH('Detalhe Por UC'!C75,'Infos Clientes'!B:B,0))</f>
        <v>0</v>
      </c>
      <c r="N75" s="56">
        <f t="shared" si="44"/>
        <v>0</v>
      </c>
      <c r="O75" s="56">
        <f t="shared" si="45"/>
        <v>3</v>
      </c>
      <c r="P75" s="56">
        <f t="shared" si="46"/>
        <v>0</v>
      </c>
      <c r="Q75" s="61">
        <f>IFERROR(IFERROR(INDEX('Infos Clientes'!$A$2:$V$9884,MATCH($C75,'Infos Clientes'!$B$2:$B$9884,0),MATCH(Q$8,'Infos Clientes'!$A$2:$V$2,0)),"")
+IF(OR(INDEX('Infos Clientes'!$A$2:$V$9884,MATCH($C75,'Infos Clientes'!$B$2:$B$9884,0),MATCH("Tempo de Fidelidade (meses)",'Infos Clientes'!$A$2:$V$2,0))=0,R75&gt;=MAX(R:R)),0,
ROUND((MAX(R:R)-R75)/(365/12),0)),"")</f>
        <v>0</v>
      </c>
      <c r="R75" s="111">
        <v>45658</v>
      </c>
      <c r="S75" s="112">
        <v>0.01</v>
      </c>
      <c r="T75" s="113">
        <f>IF($H75="GIROSSOL II",AP75/INDEX('Resumo Operacional'!$A$1:$P$1103,17,MATCH('Detalhe Por UC'!$R75,'Resumo Operacional'!$A$1:$P$1,0)),
IF($H75="GIROSSOL II e III",AP75/INDEX('Resumo Operacional'!$A$1:$P$1103,17,MATCH('Detalhe Por UC'!$R75,'Resumo Operacional'!$A$1:$P$1,0)),
""))</f>
        <v>9.8025082888856859E-3</v>
      </c>
      <c r="U75" s="113" t="str">
        <f>IF($H75="GIROSSOL III",AP75/INDEX('Resumo Operacional'!$A$1:$P$1103,53,MATCH('Detalhe Por UC'!$R75,'Resumo Operacional'!$A$1:$P$1,0)),
IF($H75="GIROSSOL II e III",AP75/INDEX('Resumo Operacional'!$A$1:$P$1103,53,MATCH('Detalhe Por UC'!$R75,'Resumo Operacional'!$A$1:$P$1,0)),
""))</f>
        <v/>
      </c>
      <c r="V75" s="12"/>
      <c r="W75" s="12"/>
      <c r="X75" s="67">
        <v>1.1161971830985915</v>
      </c>
      <c r="Y75" s="116">
        <v>0</v>
      </c>
      <c r="Z75" s="66">
        <v>1.1161956521739129</v>
      </c>
      <c r="AA75" s="35">
        <v>0</v>
      </c>
      <c r="AB75" s="68">
        <v>142</v>
      </c>
      <c r="AC75" s="35">
        <v>0</v>
      </c>
      <c r="AD75" s="69">
        <v>92</v>
      </c>
      <c r="AE75" s="35"/>
      <c r="AF75" s="69">
        <v>44</v>
      </c>
      <c r="AG75" s="69">
        <v>0</v>
      </c>
      <c r="AH75" s="16">
        <v>39.630000000000003</v>
      </c>
      <c r="AI75" s="16">
        <v>0</v>
      </c>
      <c r="AJ75" s="16">
        <v>0</v>
      </c>
      <c r="AK75" s="12"/>
      <c r="AL75" s="38"/>
      <c r="AM75" s="1"/>
      <c r="AN75" s="71">
        <f t="shared" si="47"/>
        <v>44</v>
      </c>
      <c r="AO75" s="71">
        <f t="shared" si="48"/>
        <v>0</v>
      </c>
      <c r="AP75" s="71">
        <f t="shared" si="49"/>
        <v>136</v>
      </c>
      <c r="AQ75" s="72">
        <f>IF(OR($H75="GIROSSOL II",$H75="GIROSSOL II e III"),INDEX('Resumo Operacional'!$A$1:$P$1103,MATCH("Energia Injetada prevista total Fatura da Usina (TUSD)",'Resumo Operacional'!$B$1:$B$1103,0),MATCH('Detalhe Por UC'!$R75,'Resumo Operacional'!$A$1:$P$1,0))*$S75,INDEX('Resumo Operacional'!$A$1:$P$1103,53,MATCH('Detalhe Por UC'!$R75,'Resumo Operacional'!$A$1:$P$1,0))*$S75)</f>
        <v>138.74</v>
      </c>
      <c r="AR75" s="71">
        <f t="shared" si="50"/>
        <v>-2.7400000000000091</v>
      </c>
      <c r="AS75" s="73">
        <f t="shared" si="51"/>
        <v>95.440000000000026</v>
      </c>
      <c r="AT75" s="74">
        <f t="shared" si="52"/>
        <v>95.440000000000026</v>
      </c>
      <c r="AU75" s="74">
        <f t="shared" si="53"/>
        <v>1.1161941212492343</v>
      </c>
      <c r="AV75" s="74">
        <f t="shared" si="54"/>
        <v>77.017499999999998</v>
      </c>
      <c r="AW75" s="74">
        <f t="shared" si="55"/>
        <v>0</v>
      </c>
      <c r="AX75" s="74">
        <f t="shared" si="56"/>
        <v>102.68999999999998</v>
      </c>
      <c r="AY75" s="74">
        <f t="shared" si="57"/>
        <v>77.02</v>
      </c>
      <c r="AZ75" s="49">
        <v>77.02</v>
      </c>
      <c r="BA75" s="117">
        <v>77.02</v>
      </c>
      <c r="BB75" s="49">
        <v>77.02</v>
      </c>
      <c r="BC75" s="73" t="str">
        <f t="shared" si="58"/>
        <v/>
      </c>
      <c r="BD75" s="73">
        <f t="shared" si="59"/>
        <v>198.13</v>
      </c>
      <c r="BE75" s="73">
        <f t="shared" si="60"/>
        <v>172.45750000000004</v>
      </c>
      <c r="BF75" s="77">
        <f t="shared" si="61"/>
        <v>25.67</v>
      </c>
      <c r="BG75" s="77">
        <f t="shared" si="62"/>
        <v>7.7010000000000005</v>
      </c>
      <c r="BH75" s="77">
        <f t="shared" si="63"/>
        <v>102.68999999999998</v>
      </c>
      <c r="BI75" s="78">
        <f t="shared" si="64"/>
        <v>0.25</v>
      </c>
      <c r="BJ75" s="79">
        <f t="shared" si="65"/>
        <v>0.1295613990814112</v>
      </c>
      <c r="BK75" s="80">
        <f t="shared" si="66"/>
        <v>172.46000000000004</v>
      </c>
      <c r="BL75" s="80">
        <f t="shared" si="67"/>
        <v>25.669999999999959</v>
      </c>
      <c r="BM75" s="79">
        <f t="shared" si="68"/>
        <v>0.12956139908141098</v>
      </c>
      <c r="BN75" s="81">
        <f t="shared" si="69"/>
        <v>0.83717391304347821</v>
      </c>
      <c r="BO75" s="82">
        <f t="shared" si="70"/>
        <v>77.02</v>
      </c>
      <c r="BP75" s="81">
        <f t="shared" si="71"/>
        <v>0.83717391304347821</v>
      </c>
      <c r="BQ75" s="81">
        <f t="shared" si="72"/>
        <v>0.8371754439681568</v>
      </c>
      <c r="BR75" s="81">
        <f t="shared" si="73"/>
        <v>1.1161971830985915</v>
      </c>
      <c r="BS75" s="82">
        <f t="shared" si="74"/>
        <v>92</v>
      </c>
      <c r="BT75" s="82">
        <f t="shared" si="75"/>
        <v>102.69014084507042</v>
      </c>
      <c r="BU75" s="82">
        <f t="shared" si="76"/>
        <v>102.68999999999998</v>
      </c>
      <c r="BV75"/>
      <c r="BW75" s="82">
        <f>IFERROR(INDEX('Infos Clientes'!$T:$T,MATCH('Detalhe Por UC'!$C75,'Infos Clientes'!B:B,0)),"")</f>
        <v>167.54545454545453</v>
      </c>
      <c r="BX75" s="83">
        <f t="shared" si="77"/>
        <v>0</v>
      </c>
      <c r="BY75" s="84">
        <f t="shared" si="78"/>
        <v>0.24997531202852827</v>
      </c>
      <c r="BZ75" s="85">
        <f>IF(_xlfn.MINIFS('Detalhe Por UC'!R:R,'Detalhe Por UC'!C:C,C75,'Detalhe Por UC'!AD:AD,"&gt;"&amp;0)=0,"",_xlfn.MINIFS('Detalhe Por UC'!R:R,'Detalhe Por UC'!C:C,C75,'Detalhe Por UC'!AD:AD,"&gt;"&amp;0))</f>
        <v>45658</v>
      </c>
      <c r="CA75" s="114">
        <f ca="1">IF(OR(S75&gt;0,AD75&gt;0),IFERROR(
SUMIFS(INDIRECT("'Infos Clientes'!$W"&amp;INDEX('Infos Clientes'!$C:$C,MATCH(C75,'Infos Clientes'!$H:$H,0))&amp;":$CZ"&amp;INDEX('Infos Clientes'!$C:$C,MATCH(C75,'Infos Clientes'!$H:$H,0))),'Infos Clientes'!$W$2:$CZ$2,"&gt;"&amp;$R75-365,'Infos Clientes'!$W$2:$CZ$2,"&lt;="&amp;$R75)/
COUNTIFS(INDIRECT("'Infos Clientes'!$W"&amp;INDEX('Infos Clientes'!$C:$C,MATCH(C75,'Infos Clientes'!$H:$H,0))&amp;":$CZ"&amp;INDEX('Infos Clientes'!$C:$C,MATCH(C75,'Infos Clientes'!$H:$H,0))),"&gt;="&amp;0,'Infos Clientes'!$W$2:$CZ$2,"&gt;"&amp;$R75-365,'Infos Clientes'!$W$2:$CZ$2,"&lt;="&amp;$R75),""),"")</f>
        <v>365</v>
      </c>
      <c r="CB75" s="87">
        <f>VLOOKUP(C75,'Infos Clientes'!B:L,11,0)</f>
        <v>0</v>
      </c>
      <c r="CC75" s="88" t="str">
        <f t="shared" si="79"/>
        <v>A Unidade Consumidora 10/31292-6 economizou R$25,67 na fatura referente à jan/2025  consumindo 92 kWh em créditos de energia renovável conforme fatura de energia. A economia foi de 25% em relação ao que seria pago para a Energisa considerando os créditos consumidos. Atenção: Mantenha as contas da Energisa em dia para evitar cortes.</v>
      </c>
      <c r="CD75" s="40" t="s">
        <v>191</v>
      </c>
      <c r="CF75" s="115">
        <f t="shared" si="80"/>
        <v>-95.440000000000026</v>
      </c>
    </row>
    <row r="76" spans="1:84" s="104" customFormat="1" ht="16.2" hidden="1" customHeight="1" x14ac:dyDescent="0.3">
      <c r="A76" s="105" t="str">
        <f>INDEX('Infos Clientes'!$D:$D,MATCH('Detalhe Por UC'!C76,'Infos Clientes'!B:B,0))</f>
        <v>IGREJA DO EVANGELHO QUADRANGULAR</v>
      </c>
      <c r="B76" s="106" t="str">
        <f>INDEX('Infos Clientes'!$F:$F,MATCH('Detalhe Por UC'!C76,'Infos Clientes'!B:B,0))</f>
        <v>62.955.505/1822-57</v>
      </c>
      <c r="C76" s="31" t="s">
        <v>192</v>
      </c>
      <c r="D76" t="s">
        <v>351</v>
      </c>
      <c r="E76" s="1" t="s">
        <v>352</v>
      </c>
      <c r="F76" s="56" t="str">
        <f>INDEX('Infos Clientes'!$I:$I,MATCH('Detalhe Por UC'!C76,'Infos Clientes'!B:B,0))</f>
        <v>BT</v>
      </c>
      <c r="G76" s="56" t="str">
        <f>INDEX('Infos Clientes'!$J:$J,MATCH('Detalhe Por UC'!C76,'Infos Clientes'!B:B,0))</f>
        <v>trifasico</v>
      </c>
      <c r="H76" s="108" t="s">
        <v>24</v>
      </c>
      <c r="I76" s="58">
        <f>IFERROR(VLOOKUP(C76,'Infos Clientes'!B:E,4,),"")</f>
        <v>319</v>
      </c>
      <c r="J76" s="109">
        <v>0.25</v>
      </c>
      <c r="K76" s="59">
        <f>INDEX('Infos Clientes'!$M:$M,MATCH('Detalhe Por UC'!C76,'Infos Clientes'!B:B,0))</f>
        <v>0.25</v>
      </c>
      <c r="L76" s="110"/>
      <c r="M76" s="56">
        <f>INDEX('Infos Clientes'!$N:$N,MATCH('Detalhe Por UC'!C76,'Infos Clientes'!B:B,0))</f>
        <v>0</v>
      </c>
      <c r="N76" s="56">
        <f t="shared" si="44"/>
        <v>0</v>
      </c>
      <c r="O76" s="56">
        <f t="shared" si="45"/>
        <v>9</v>
      </c>
      <c r="P76" s="56">
        <f t="shared" si="46"/>
        <v>0</v>
      </c>
      <c r="Q76" s="61">
        <f>IFERROR(IFERROR(INDEX('Infos Clientes'!$A$2:$V$9884,MATCH($C76,'Infos Clientes'!$B$2:$B$9884,0),MATCH(Q$8,'Infos Clientes'!$A$2:$V$2,0)),"")
+IF(OR(INDEX('Infos Clientes'!$A$2:$V$9884,MATCH($C76,'Infos Clientes'!$B$2:$B$9884,0),MATCH("Tempo de Fidelidade (meses)",'Infos Clientes'!$A$2:$V$2,0))=0,R76&gt;=MAX(R:R)),0,
ROUND((MAX(R:R)-R76)/(365/12),0)),"")</f>
        <v>0</v>
      </c>
      <c r="R76" s="111">
        <v>45658</v>
      </c>
      <c r="S76" s="112">
        <v>0.03</v>
      </c>
      <c r="T76" s="113">
        <f>IF($H76="GIROSSOL II",AP76/INDEX('Resumo Operacional'!$A$1:$P$1103,17,MATCH('Detalhe Por UC'!$R76,'Resumo Operacional'!$A$1:$P$1,0)),
IF($H76="GIROSSOL II e III",AP76/INDEX('Resumo Operacional'!$A$1:$P$1103,17,MATCH('Detalhe Por UC'!$R76,'Resumo Operacional'!$A$1:$P$1,0)),
""))</f>
        <v>1.9677093844601413E-2</v>
      </c>
      <c r="U76" s="113" t="str">
        <f>IF($H76="GIROSSOL III",AP76/INDEX('Resumo Operacional'!$A$1:$P$1103,53,MATCH('Detalhe Por UC'!$R76,'Resumo Operacional'!$A$1:$P$1,0)),
IF($H76="GIROSSOL II e III",AP76/INDEX('Resumo Operacional'!$A$1:$P$1103,53,MATCH('Detalhe Por UC'!$R76,'Resumo Operacional'!$A$1:$P$1,0)),
""))</f>
        <v/>
      </c>
      <c r="V76" s="12"/>
      <c r="W76" s="12"/>
      <c r="X76" s="67">
        <v>1.1162593516209476</v>
      </c>
      <c r="Y76" s="116">
        <v>0</v>
      </c>
      <c r="Z76" s="66">
        <v>1.1162637362637362</v>
      </c>
      <c r="AA76" s="35">
        <v>0</v>
      </c>
      <c r="AB76" s="68">
        <v>401</v>
      </c>
      <c r="AC76" s="35">
        <v>0</v>
      </c>
      <c r="AD76" s="69">
        <v>273</v>
      </c>
      <c r="AE76" s="35"/>
      <c r="AF76" s="69">
        <v>0</v>
      </c>
      <c r="AG76" s="69">
        <v>0</v>
      </c>
      <c r="AH76" s="16">
        <v>70.97</v>
      </c>
      <c r="AI76" s="16">
        <v>0</v>
      </c>
      <c r="AJ76" s="16">
        <v>0</v>
      </c>
      <c r="AK76" s="12"/>
      <c r="AL76" s="38"/>
      <c r="AM76" s="1"/>
      <c r="AN76" s="71">
        <f t="shared" si="47"/>
        <v>0</v>
      </c>
      <c r="AO76" s="71">
        <f t="shared" si="48"/>
        <v>0</v>
      </c>
      <c r="AP76" s="71">
        <f t="shared" si="49"/>
        <v>273</v>
      </c>
      <c r="AQ76" s="72">
        <f>IF(OR($H76="GIROSSOL II",$H76="GIROSSOL II e III"),INDEX('Resumo Operacional'!$A$1:$P$1103,MATCH("Energia Injetada prevista total Fatura da Usina (TUSD)",'Resumo Operacional'!$B$1:$B$1103,0),MATCH('Detalhe Por UC'!$R76,'Resumo Operacional'!$A$1:$P$1,0))*$S76,INDEX('Resumo Operacional'!$A$1:$P$1103,53,MATCH('Detalhe Por UC'!$R76,'Resumo Operacional'!$A$1:$P$1,0))*$S76)</f>
        <v>416.21999999999997</v>
      </c>
      <c r="AR76" s="71">
        <f t="shared" si="50"/>
        <v>-143.21999999999997</v>
      </c>
      <c r="AS76" s="73">
        <f t="shared" si="51"/>
        <v>213.85</v>
      </c>
      <c r="AT76" s="74">
        <f t="shared" si="52"/>
        <v>213.85</v>
      </c>
      <c r="AU76" s="74">
        <f t="shared" si="53"/>
        <v>1.1162681209065248</v>
      </c>
      <c r="AV76" s="74">
        <f t="shared" si="54"/>
        <v>228.55499999999998</v>
      </c>
      <c r="AW76" s="74">
        <f t="shared" si="55"/>
        <v>0</v>
      </c>
      <c r="AX76" s="74">
        <f t="shared" si="56"/>
        <v>304.74</v>
      </c>
      <c r="AY76" s="74">
        <f t="shared" si="57"/>
        <v>228.56</v>
      </c>
      <c r="AZ76" s="49">
        <v>228.56</v>
      </c>
      <c r="BA76" s="117">
        <v>228.56</v>
      </c>
      <c r="BB76" s="49">
        <v>228.56</v>
      </c>
      <c r="BC76" s="73" t="str">
        <f t="shared" si="58"/>
        <v/>
      </c>
      <c r="BD76" s="73">
        <f t="shared" si="59"/>
        <v>518.59</v>
      </c>
      <c r="BE76" s="73">
        <f t="shared" si="60"/>
        <v>442.40499999999997</v>
      </c>
      <c r="BF76" s="77">
        <f t="shared" si="61"/>
        <v>76.19</v>
      </c>
      <c r="BG76" s="77">
        <f t="shared" si="62"/>
        <v>22.856999999999999</v>
      </c>
      <c r="BH76" s="77">
        <f t="shared" si="63"/>
        <v>304.73999999999995</v>
      </c>
      <c r="BI76" s="78">
        <f t="shared" si="64"/>
        <v>0.25</v>
      </c>
      <c r="BJ76" s="79">
        <f t="shared" si="65"/>
        <v>0.14691760350180294</v>
      </c>
      <c r="BK76" s="80">
        <f t="shared" si="66"/>
        <v>442.40999999999997</v>
      </c>
      <c r="BL76" s="80">
        <f t="shared" si="67"/>
        <v>76.180000000000064</v>
      </c>
      <c r="BM76" s="79">
        <f t="shared" si="68"/>
        <v>0.14689832044582438</v>
      </c>
      <c r="BN76" s="81">
        <f t="shared" si="69"/>
        <v>0.83721611721611722</v>
      </c>
      <c r="BO76" s="82">
        <f t="shared" si="70"/>
        <v>228.56</v>
      </c>
      <c r="BP76" s="81">
        <f t="shared" si="71"/>
        <v>0.83721611721611722</v>
      </c>
      <c r="BQ76" s="81">
        <f t="shared" si="72"/>
        <v>0.83721173257332859</v>
      </c>
      <c r="BR76" s="81">
        <f t="shared" si="73"/>
        <v>1.1162593516209476</v>
      </c>
      <c r="BS76" s="82">
        <f t="shared" si="74"/>
        <v>273</v>
      </c>
      <c r="BT76" s="82">
        <f t="shared" si="75"/>
        <v>304.73880299251869</v>
      </c>
      <c r="BU76" s="82">
        <f t="shared" si="76"/>
        <v>304.74</v>
      </c>
      <c r="BV76"/>
      <c r="BW76" s="82">
        <f>IFERROR(INDEX('Infos Clientes'!$T:$T,MATCH('Detalhe Por UC'!$C76,'Infos Clientes'!B:B,0)),"")</f>
        <v>502.09090909090907</v>
      </c>
      <c r="BX76" s="83">
        <f t="shared" si="77"/>
        <v>0</v>
      </c>
      <c r="BY76" s="84">
        <f t="shared" si="78"/>
        <v>0.24998457450090528</v>
      </c>
      <c r="BZ76" s="85">
        <f>IF(_xlfn.MINIFS('Detalhe Por UC'!R:R,'Detalhe Por UC'!C:C,C76,'Detalhe Por UC'!AD:AD,"&gt;"&amp;0)=0,"",_xlfn.MINIFS('Detalhe Por UC'!R:R,'Detalhe Por UC'!C:C,C76,'Detalhe Por UC'!AD:AD,"&gt;"&amp;0))</f>
        <v>45658</v>
      </c>
      <c r="CA76" s="114">
        <f ca="1">IF(OR(S76&gt;0,AD76&gt;0),IFERROR(
SUMIFS(INDIRECT("'Infos Clientes'!$W"&amp;INDEX('Infos Clientes'!$C:$C,MATCH(C76,'Infos Clientes'!$H:$H,0))&amp;":$CZ"&amp;INDEX('Infos Clientes'!$C:$C,MATCH(C76,'Infos Clientes'!$H:$H,0))),'Infos Clientes'!$W$2:$CZ$2,"&gt;"&amp;$R76-365,'Infos Clientes'!$W$2:$CZ$2,"&lt;="&amp;$R76)/
COUNTIFS(INDIRECT("'Infos Clientes'!$W"&amp;INDEX('Infos Clientes'!$C:$C,MATCH(C76,'Infos Clientes'!$H:$H,0))&amp;":$CZ"&amp;INDEX('Infos Clientes'!$C:$C,MATCH(C76,'Infos Clientes'!$H:$H,0))),"&gt;="&amp;0,'Infos Clientes'!$W$2:$CZ$2,"&gt;"&amp;$R76-365,'Infos Clientes'!$W$2:$CZ$2,"&lt;="&amp;$R76),""),"")</f>
        <v>460.25</v>
      </c>
      <c r="CB76" s="87">
        <f>VLOOKUP(C76,'Infos Clientes'!B:L,11,0)</f>
        <v>0</v>
      </c>
      <c r="CC76" s="88" t="str">
        <f t="shared" si="79"/>
        <v>A Unidade Consumidora 10/3139326-7 economizou R$76,19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76" s="40" t="s">
        <v>143</v>
      </c>
      <c r="CF76" s="115">
        <f t="shared" si="80"/>
        <v>-213.85</v>
      </c>
    </row>
    <row r="77" spans="1:84" s="104" customFormat="1" ht="16.2" hidden="1" customHeight="1" x14ac:dyDescent="0.3">
      <c r="A77" s="105" t="str">
        <f>INDEX('Infos Clientes'!$D:$D,MATCH('Detalhe Por UC'!C77,'Infos Clientes'!B:B,0))</f>
        <v>IGREJA DO EVANGELHO QUADRANGULAR</v>
      </c>
      <c r="B77" s="106" t="str">
        <f>INDEX('Infos Clientes'!$F:$F,MATCH('Detalhe Por UC'!C77,'Infos Clientes'!B:B,0))</f>
        <v>62.955.505/2391-19</v>
      </c>
      <c r="C77" s="31" t="s">
        <v>193</v>
      </c>
      <c r="D77" t="s">
        <v>351</v>
      </c>
      <c r="E77" s="1" t="s">
        <v>352</v>
      </c>
      <c r="F77" s="56" t="str">
        <f>INDEX('Infos Clientes'!$I:$I,MATCH('Detalhe Por UC'!C77,'Infos Clientes'!B:B,0))</f>
        <v>BT</v>
      </c>
      <c r="G77" s="56" t="str">
        <f>INDEX('Infos Clientes'!$J:$J,MATCH('Detalhe Por UC'!C77,'Infos Clientes'!B:B,0))</f>
        <v>bifasico</v>
      </c>
      <c r="H77" s="108" t="s">
        <v>353</v>
      </c>
      <c r="I77" s="58">
        <f>IFERROR(VLOOKUP(C77,'Infos Clientes'!B:E,4,),"")</f>
        <v>306</v>
      </c>
      <c r="J77" s="109">
        <v>0.25</v>
      </c>
      <c r="K77" s="59">
        <f>INDEX('Infos Clientes'!$M:$M,MATCH('Detalhe Por UC'!C77,'Infos Clientes'!B:B,0))</f>
        <v>0.25</v>
      </c>
      <c r="L77" s="110"/>
      <c r="M77" s="56">
        <f>INDEX('Infos Clientes'!$N:$N,MATCH('Detalhe Por UC'!C77,'Infos Clientes'!B:B,0))</f>
        <v>0</v>
      </c>
      <c r="N77" s="56">
        <f t="shared" si="44"/>
        <v>0</v>
      </c>
      <c r="O77" s="56">
        <f t="shared" si="45"/>
        <v>9</v>
      </c>
      <c r="P77" s="56">
        <f t="shared" si="46"/>
        <v>0</v>
      </c>
      <c r="Q77" s="61">
        <f>IFERROR(IFERROR(INDEX('Infos Clientes'!$A$2:$V$9884,MATCH($C77,'Infos Clientes'!$B$2:$B$9884,0),MATCH(Q$8,'Infos Clientes'!$A$2:$V$2,0)),"")
+IF(OR(INDEX('Infos Clientes'!$A$2:$V$9884,MATCH($C77,'Infos Clientes'!$B$2:$B$9884,0),MATCH("Tempo de Fidelidade (meses)",'Infos Clientes'!$A$2:$V$2,0))=0,R77&gt;=MAX(R:R)),0,
ROUND((MAX(R:R)-R77)/(365/12),0)),"")</f>
        <v>0</v>
      </c>
      <c r="R77" s="111">
        <v>45658</v>
      </c>
      <c r="S77" s="112">
        <v>0.02</v>
      </c>
      <c r="T77" s="113">
        <f>IF($H77="GIROSSOL II",AP77/INDEX('Resumo Operacional'!$A$1:$P$1103,17,MATCH('Detalhe Por UC'!$R77,'Resumo Operacional'!$A$1:$P$1,0)),
IF($H77="GIROSSOL II e III",AP77/INDEX('Resumo Operacional'!$A$1:$P$1103,17,MATCH('Detalhe Por UC'!$R77,'Resumo Operacional'!$A$1:$P$1,0)),
""))</f>
        <v>9.8025082888856859E-3</v>
      </c>
      <c r="U77" s="113">
        <f>IF($H77="GIROSSOL III",AP77/INDEX('Resumo Operacional'!$A$1:$P$1103,53,MATCH('Detalhe Por UC'!$R77,'Resumo Operacional'!$A$1:$P$1,0)),
IF($H77="GIROSSOL II e III",AP77/INDEX('Resumo Operacional'!$A$1:$P$1103,53,MATCH('Detalhe Por UC'!$R77,'Resumo Operacional'!$A$1:$P$1,0)),
""))</f>
        <v>8.2439231375401583E-3</v>
      </c>
      <c r="V77" s="12"/>
      <c r="W77" s="12"/>
      <c r="X77" s="67">
        <v>1.1162589928057554</v>
      </c>
      <c r="Y77" s="116">
        <v>0</v>
      </c>
      <c r="Z77" s="66">
        <v>1.0051470588235294</v>
      </c>
      <c r="AA77" s="35">
        <v>0</v>
      </c>
      <c r="AB77" s="68">
        <v>278</v>
      </c>
      <c r="AC77" s="35">
        <v>0</v>
      </c>
      <c r="AD77" s="69">
        <v>136</v>
      </c>
      <c r="AE77" s="35"/>
      <c r="AF77" s="69">
        <v>0</v>
      </c>
      <c r="AG77" s="69">
        <v>0</v>
      </c>
      <c r="AH77" s="16">
        <v>0</v>
      </c>
      <c r="AI77" s="16">
        <v>0</v>
      </c>
      <c r="AJ77" s="16">
        <v>0</v>
      </c>
      <c r="AK77" s="12"/>
      <c r="AL77" s="38"/>
      <c r="AM77" s="1"/>
      <c r="AN77" s="71">
        <f t="shared" si="47"/>
        <v>0</v>
      </c>
      <c r="AO77" s="71">
        <f t="shared" si="48"/>
        <v>0</v>
      </c>
      <c r="AP77" s="71">
        <f t="shared" si="49"/>
        <v>136</v>
      </c>
      <c r="AQ77" s="72">
        <f>IF(OR($H77="GIROSSOL II",$H77="GIROSSOL II e III"),INDEX('Resumo Operacional'!$A$1:$P$1103,MATCH("Energia Injetada prevista total Fatura da Usina (TUSD)",'Resumo Operacional'!$B$1:$B$1103,0),MATCH('Detalhe Por UC'!$R77,'Resumo Operacional'!$A$1:$P$1,0))*$S77,INDEX('Resumo Operacional'!$A$1:$P$1103,53,MATCH('Detalhe Por UC'!$R77,'Resumo Operacional'!$A$1:$P$1,0))*$S77)</f>
        <v>277.48</v>
      </c>
      <c r="AR77" s="71">
        <f t="shared" si="50"/>
        <v>-141.48000000000002</v>
      </c>
      <c r="AS77" s="73">
        <f t="shared" si="51"/>
        <v>173.62</v>
      </c>
      <c r="AT77" s="74">
        <f t="shared" si="52"/>
        <v>173.62</v>
      </c>
      <c r="AU77" s="74">
        <f t="shared" si="53"/>
        <v>0.89403512484130343</v>
      </c>
      <c r="AV77" s="74">
        <f t="shared" si="54"/>
        <v>102.52500000000001</v>
      </c>
      <c r="AW77" s="74">
        <f t="shared" si="55"/>
        <v>0</v>
      </c>
      <c r="AX77" s="74">
        <f t="shared" si="56"/>
        <v>136.69999999999999</v>
      </c>
      <c r="AY77" s="74">
        <f t="shared" si="57"/>
        <v>102.53</v>
      </c>
      <c r="AZ77" s="49">
        <v>102.53</v>
      </c>
      <c r="BA77" s="117">
        <v>102.53</v>
      </c>
      <c r="BB77" s="49">
        <v>102.53</v>
      </c>
      <c r="BC77" s="73" t="str">
        <f t="shared" si="58"/>
        <v/>
      </c>
      <c r="BD77" s="73">
        <f t="shared" si="59"/>
        <v>310.32</v>
      </c>
      <c r="BE77" s="73">
        <f t="shared" si="60"/>
        <v>276.14499999999998</v>
      </c>
      <c r="BF77" s="77">
        <f t="shared" si="61"/>
        <v>34.18</v>
      </c>
      <c r="BG77" s="77">
        <f t="shared" si="62"/>
        <v>10.254</v>
      </c>
      <c r="BH77" s="77">
        <f t="shared" si="63"/>
        <v>136.69999999999999</v>
      </c>
      <c r="BI77" s="78">
        <f t="shared" si="64"/>
        <v>0.25</v>
      </c>
      <c r="BJ77" s="79">
        <f t="shared" si="65"/>
        <v>0.11014436710492395</v>
      </c>
      <c r="BK77" s="80">
        <f t="shared" si="66"/>
        <v>276.14999999999998</v>
      </c>
      <c r="BL77" s="80">
        <f t="shared" si="67"/>
        <v>34.170000000000016</v>
      </c>
      <c r="BM77" s="79">
        <f t="shared" si="68"/>
        <v>0.11011214230471776</v>
      </c>
      <c r="BN77" s="81">
        <f t="shared" si="69"/>
        <v>0.75389705882352942</v>
      </c>
      <c r="BO77" s="82">
        <f t="shared" si="70"/>
        <v>102.53</v>
      </c>
      <c r="BP77" s="81">
        <f t="shared" si="71"/>
        <v>0.75389705882352942</v>
      </c>
      <c r="BQ77" s="81">
        <f t="shared" si="72"/>
        <v>0.86500899280575538</v>
      </c>
      <c r="BR77" s="81">
        <f t="shared" si="73"/>
        <v>1.1162589928057554</v>
      </c>
      <c r="BS77" s="82">
        <f t="shared" si="74"/>
        <v>136</v>
      </c>
      <c r="BT77" s="82">
        <f t="shared" si="75"/>
        <v>151.81122302158272</v>
      </c>
      <c r="BU77" s="82">
        <f t="shared" si="76"/>
        <v>136.69999999999999</v>
      </c>
      <c r="BV77"/>
      <c r="BW77" s="82">
        <f>IFERROR(INDEX('Infos Clientes'!$T:$T,MATCH('Detalhe Por UC'!$C77,'Infos Clientes'!B:B,0)),"")</f>
        <v>330.27272727272725</v>
      </c>
      <c r="BX77" s="83">
        <f t="shared" si="77"/>
        <v>0</v>
      </c>
      <c r="BY77" s="84">
        <f t="shared" si="78"/>
        <v>0.2250821732405259</v>
      </c>
      <c r="BZ77" s="85">
        <f>IF(_xlfn.MINIFS('Detalhe Por UC'!R:R,'Detalhe Por UC'!C:C,C77,'Detalhe Por UC'!AD:AD,"&gt;"&amp;0)=0,"",_xlfn.MINIFS('Detalhe Por UC'!R:R,'Detalhe Por UC'!C:C,C77,'Detalhe Por UC'!AD:AD,"&gt;"&amp;0))</f>
        <v>45658</v>
      </c>
      <c r="CA77" s="114">
        <f ca="1">IF(OR(S77&gt;0,AD77&gt;0),IFERROR(
SUMIFS(INDIRECT("'Infos Clientes'!$W"&amp;INDEX('Infos Clientes'!$C:$C,MATCH(C77,'Infos Clientes'!$H:$H,0))&amp;":$CZ"&amp;INDEX('Infos Clientes'!$C:$C,MATCH(C77,'Infos Clientes'!$H:$H,0))),'Infos Clientes'!$W$2:$CZ$2,"&gt;"&amp;$R77-365,'Infos Clientes'!$W$2:$CZ$2,"&lt;="&amp;$R77)/
COUNTIFS(INDIRECT("'Infos Clientes'!$W"&amp;INDEX('Infos Clientes'!$C:$C,MATCH(C77,'Infos Clientes'!$H:$H,0))&amp;":$CZ"&amp;INDEX('Infos Clientes'!$C:$C,MATCH(C77,'Infos Clientes'!$H:$H,0))),"&gt;="&amp;0,'Infos Clientes'!$W$2:$CZ$2,"&gt;"&amp;$R77-365,'Infos Clientes'!$W$2:$CZ$2,"&lt;="&amp;$R77),""),"")</f>
        <v>302.75</v>
      </c>
      <c r="CB77" s="87">
        <f>VLOOKUP(C77,'Infos Clientes'!B:L,11,0)</f>
        <v>0</v>
      </c>
      <c r="CC77" s="88" t="str">
        <f t="shared" si="79"/>
        <v>A Unidade Consumidora 10/341308-5 economizou R$34,18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77" s="40" t="s">
        <v>143</v>
      </c>
      <c r="CF77" s="115">
        <f t="shared" si="80"/>
        <v>-173.62</v>
      </c>
    </row>
    <row r="78" spans="1:84" s="104" customFormat="1" ht="16.2" hidden="1" customHeight="1" x14ac:dyDescent="0.3">
      <c r="A78" s="105" t="str">
        <f>INDEX('Infos Clientes'!$D:$D,MATCH('Detalhe Por UC'!C78,'Infos Clientes'!B:B,0))</f>
        <v>IGREJA DO EVANGELHO QUADRANGULAR</v>
      </c>
      <c r="B78" s="106" t="str">
        <f>INDEX('Infos Clientes'!$F:$F,MATCH('Detalhe Por UC'!C78,'Infos Clientes'!B:B,0))</f>
        <v>62.955.505/2488-86</v>
      </c>
      <c r="C78" s="31" t="s">
        <v>195</v>
      </c>
      <c r="D78" t="s">
        <v>351</v>
      </c>
      <c r="E78" s="1" t="s">
        <v>352</v>
      </c>
      <c r="F78" s="56" t="str">
        <f>INDEX('Infos Clientes'!$I:$I,MATCH('Detalhe Por UC'!C78,'Infos Clientes'!B:B,0))</f>
        <v>BT</v>
      </c>
      <c r="G78" s="56" t="str">
        <f>INDEX('Infos Clientes'!$J:$J,MATCH('Detalhe Por UC'!C78,'Infos Clientes'!B:B,0))</f>
        <v>trifasico</v>
      </c>
      <c r="H78" s="108" t="s">
        <v>138</v>
      </c>
      <c r="I78" s="58">
        <f>IFERROR(VLOOKUP(C78,'Infos Clientes'!B:E,4,),"")</f>
        <v>306</v>
      </c>
      <c r="J78" s="109">
        <v>0.25</v>
      </c>
      <c r="K78" s="59">
        <f>INDEX('Infos Clientes'!$M:$M,MATCH('Detalhe Por UC'!C78,'Infos Clientes'!B:B,0))</f>
        <v>0.25</v>
      </c>
      <c r="L78" s="110"/>
      <c r="M78" s="56">
        <f>INDEX('Infos Clientes'!$N:$N,MATCH('Detalhe Por UC'!C78,'Infos Clientes'!B:B,0))</f>
        <v>0</v>
      </c>
      <c r="N78" s="56">
        <f t="shared" si="44"/>
        <v>0</v>
      </c>
      <c r="O78" s="56">
        <f t="shared" si="45"/>
        <v>9</v>
      </c>
      <c r="P78" s="56">
        <f t="shared" si="46"/>
        <v>0</v>
      </c>
      <c r="Q78" s="61">
        <f>IFERROR(IFERROR(INDEX('Infos Clientes'!$A$2:$V$9884,MATCH($C78,'Infos Clientes'!$B$2:$B$9884,0),MATCH(Q$8,'Infos Clientes'!$A$2:$V$2,0)),"")
+IF(OR(INDEX('Infos Clientes'!$A$2:$V$9884,MATCH($C78,'Infos Clientes'!$B$2:$B$9884,0),MATCH("Tempo de Fidelidade (meses)",'Infos Clientes'!$A$2:$V$2,0))=0,R78&gt;=MAX(R:R)),0,
ROUND((MAX(R:R)-R78)/(365/12),0)),"")</f>
        <v>0</v>
      </c>
      <c r="R78" s="111">
        <v>45658</v>
      </c>
      <c r="S78" s="112">
        <v>0.02</v>
      </c>
      <c r="T78" s="113" t="str">
        <f>IF($H78="GIROSSOL II",AP78/INDEX('Resumo Operacional'!$A$1:$P$1103,17,MATCH('Detalhe Por UC'!$R78,'Resumo Operacional'!$A$1:$P$1,0)),
IF($H78="GIROSSOL II e III",AP78/INDEX('Resumo Operacional'!$A$1:$P$1103,17,MATCH('Detalhe Por UC'!$R78,'Resumo Operacional'!$A$1:$P$1,0)),
""))</f>
        <v/>
      </c>
      <c r="U78" s="113">
        <f>IF($H78="GIROSSOL III",AP78/INDEX('Resumo Operacional'!$A$1:$P$1103,53,MATCH('Detalhe Por UC'!$R78,'Resumo Operacional'!$A$1:$P$1,0)),
IF($H78="GIROSSOL II e III",AP78/INDEX('Resumo Operacional'!$A$1:$P$1103,53,MATCH('Detalhe Por UC'!$R78,'Resumo Operacional'!$A$1:$P$1,0)),
""))</f>
        <v>8.2439231375401583E-3</v>
      </c>
      <c r="V78" s="12"/>
      <c r="W78" s="12"/>
      <c r="X78" s="67">
        <v>1.1162610619469027</v>
      </c>
      <c r="Y78" s="116">
        <v>0</v>
      </c>
      <c r="Z78" s="66">
        <v>0.99698529411764703</v>
      </c>
      <c r="AA78" s="35">
        <v>0</v>
      </c>
      <c r="AB78" s="68">
        <v>452</v>
      </c>
      <c r="AC78" s="35">
        <v>0</v>
      </c>
      <c r="AD78" s="69">
        <v>136</v>
      </c>
      <c r="AE78" s="35"/>
      <c r="AF78" s="69">
        <v>0</v>
      </c>
      <c r="AG78" s="69">
        <v>0</v>
      </c>
      <c r="AH78" s="16">
        <v>0</v>
      </c>
      <c r="AI78" s="16">
        <v>0</v>
      </c>
      <c r="AJ78" s="16">
        <v>0</v>
      </c>
      <c r="AK78" s="12"/>
      <c r="AL78" s="38"/>
      <c r="AM78" s="1"/>
      <c r="AN78" s="71">
        <f t="shared" si="47"/>
        <v>0</v>
      </c>
      <c r="AO78" s="71">
        <f t="shared" si="48"/>
        <v>0</v>
      </c>
      <c r="AP78" s="71">
        <f t="shared" si="49"/>
        <v>136</v>
      </c>
      <c r="AQ78" s="72">
        <f>IF(OR($H78="GIROSSOL II",$H78="GIROSSOL II e III"),INDEX('Resumo Operacional'!$A$1:$P$1103,MATCH("Energia Injetada prevista total Fatura da Usina (TUSD)",'Resumo Operacional'!$B$1:$B$1103,0),MATCH('Detalhe Por UC'!$R78,'Resumo Operacional'!$A$1:$P$1,0))*$S78,INDEX('Resumo Operacional'!$A$1:$P$1103,53,MATCH('Detalhe Por UC'!$R78,'Resumo Operacional'!$A$1:$P$1,0))*$S78)</f>
        <v>329.94</v>
      </c>
      <c r="AR78" s="71">
        <f t="shared" si="50"/>
        <v>-193.94</v>
      </c>
      <c r="AS78" s="73">
        <f t="shared" si="51"/>
        <v>368.96000000000004</v>
      </c>
      <c r="AT78" s="74">
        <f t="shared" si="52"/>
        <v>368.96000000000004</v>
      </c>
      <c r="AU78" s="74">
        <f t="shared" si="53"/>
        <v>0.8777095262883915</v>
      </c>
      <c r="AV78" s="74">
        <f t="shared" si="54"/>
        <v>101.6925</v>
      </c>
      <c r="AW78" s="74">
        <f t="shared" si="55"/>
        <v>0</v>
      </c>
      <c r="AX78" s="74">
        <f t="shared" si="56"/>
        <v>135.59</v>
      </c>
      <c r="AY78" s="74">
        <f t="shared" si="57"/>
        <v>101.69</v>
      </c>
      <c r="AZ78" s="49">
        <v>101.69</v>
      </c>
      <c r="BA78" s="117">
        <v>101.69</v>
      </c>
      <c r="BB78" s="49">
        <v>135.59</v>
      </c>
      <c r="BC78" s="73">
        <f t="shared" si="58"/>
        <v>33.900000000000006</v>
      </c>
      <c r="BD78" s="73">
        <f t="shared" si="59"/>
        <v>504.55</v>
      </c>
      <c r="BE78" s="73">
        <f t="shared" si="60"/>
        <v>470.65250000000003</v>
      </c>
      <c r="BF78" s="77">
        <f t="shared" si="61"/>
        <v>33.9</v>
      </c>
      <c r="BG78" s="77">
        <f t="shared" si="62"/>
        <v>10.17</v>
      </c>
      <c r="BH78" s="77">
        <f t="shared" si="63"/>
        <v>135.59</v>
      </c>
      <c r="BI78" s="78">
        <f t="shared" si="64"/>
        <v>0.25</v>
      </c>
      <c r="BJ78" s="79">
        <f t="shared" si="65"/>
        <v>6.7188583886631653E-2</v>
      </c>
      <c r="BK78" s="80">
        <f t="shared" si="66"/>
        <v>470.65000000000003</v>
      </c>
      <c r="BL78" s="80">
        <f t="shared" si="67"/>
        <v>33.899999999999977</v>
      </c>
      <c r="BM78" s="79">
        <f t="shared" si="68"/>
        <v>6.7188583886631612E-2</v>
      </c>
      <c r="BN78" s="81">
        <f t="shared" si="69"/>
        <v>0.74772058823529408</v>
      </c>
      <c r="BO78" s="82">
        <f t="shared" si="70"/>
        <v>101.69</v>
      </c>
      <c r="BP78" s="81">
        <f t="shared" si="71"/>
        <v>0.74772058823529408</v>
      </c>
      <c r="BQ78" s="81">
        <f t="shared" si="72"/>
        <v>0.86699635606454972</v>
      </c>
      <c r="BR78" s="81">
        <f t="shared" si="73"/>
        <v>1.1162610619469027</v>
      </c>
      <c r="BS78" s="82">
        <f t="shared" si="74"/>
        <v>136</v>
      </c>
      <c r="BT78" s="82">
        <f t="shared" si="75"/>
        <v>151.81150442477878</v>
      </c>
      <c r="BU78" s="82">
        <f t="shared" si="76"/>
        <v>135.59</v>
      </c>
      <c r="BV78"/>
      <c r="BW78" s="82">
        <f>IFERROR(INDEX('Infos Clientes'!$T:$T,MATCH('Detalhe Por UC'!$C78,'Infos Clientes'!B:B,0)),"")</f>
        <v>249.81818181818181</v>
      </c>
      <c r="BX78" s="83">
        <f t="shared" si="77"/>
        <v>0</v>
      </c>
      <c r="BY78" s="84">
        <f t="shared" si="78"/>
        <v>0.2233032346820405</v>
      </c>
      <c r="BZ78" s="85">
        <f>IF(_xlfn.MINIFS('Detalhe Por UC'!R:R,'Detalhe Por UC'!C:C,C78,'Detalhe Por UC'!AD:AD,"&gt;"&amp;0)=0,"",_xlfn.MINIFS('Detalhe Por UC'!R:R,'Detalhe Por UC'!C:C,C78,'Detalhe Por UC'!AD:AD,"&gt;"&amp;0))</f>
        <v>45658</v>
      </c>
      <c r="CA78" s="114">
        <f ca="1">IF(OR(S78&gt;0,AD78&gt;0),IFERROR(
SUMIFS(INDIRECT("'Infos Clientes'!$W"&amp;INDEX('Infos Clientes'!$C:$C,MATCH(C78,'Infos Clientes'!$H:$H,0))&amp;":$CZ"&amp;INDEX('Infos Clientes'!$C:$C,MATCH(C78,'Infos Clientes'!$H:$H,0))),'Infos Clientes'!$W$2:$CZ$2,"&gt;"&amp;$R78-365,'Infos Clientes'!$W$2:$CZ$2,"&lt;="&amp;$R78)/
COUNTIFS(INDIRECT("'Infos Clientes'!$W"&amp;INDEX('Infos Clientes'!$C:$C,MATCH(C78,'Infos Clientes'!$H:$H,0))&amp;":$CZ"&amp;INDEX('Infos Clientes'!$C:$C,MATCH(C78,'Infos Clientes'!$H:$H,0))),"&gt;="&amp;0,'Infos Clientes'!$W$2:$CZ$2,"&gt;"&amp;$R78-365,'Infos Clientes'!$W$2:$CZ$2,"&lt;="&amp;$R78),""),"")</f>
        <v>229</v>
      </c>
      <c r="CB78" s="87">
        <f>VLOOKUP(C78,'Infos Clientes'!B:L,11,0)</f>
        <v>0</v>
      </c>
      <c r="CC78" s="88" t="str">
        <f t="shared" si="79"/>
        <v>A Unidade Consumidora 10/395471-6 economizou R$33,9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78" s="40" t="s">
        <v>143</v>
      </c>
      <c r="CF78" s="115">
        <f t="shared" si="80"/>
        <v>-368.96000000000004</v>
      </c>
    </row>
    <row r="79" spans="1:84" s="104" customFormat="1" ht="16.2" hidden="1" customHeight="1" x14ac:dyDescent="0.3">
      <c r="A79" s="105" t="str">
        <f>INDEX('Infos Clientes'!$D:$D,MATCH('Detalhe Por UC'!C79,'Infos Clientes'!B:B,0))</f>
        <v>IGREJA DO EVANGELHO QUADRANGULAR</v>
      </c>
      <c r="B79" s="106" t="str">
        <f>INDEX('Infos Clientes'!$F:$F,MATCH('Detalhe Por UC'!C79,'Infos Clientes'!B:B,0))</f>
        <v>62.955.505/2132-33</v>
      </c>
      <c r="C79" s="31" t="s">
        <v>197</v>
      </c>
      <c r="D79" t="s">
        <v>351</v>
      </c>
      <c r="E79" s="1" t="s">
        <v>352</v>
      </c>
      <c r="F79" s="56" t="str">
        <f>INDEX('Infos Clientes'!$I:$I,MATCH('Detalhe Por UC'!C79,'Infos Clientes'!B:B,0))</f>
        <v>BT</v>
      </c>
      <c r="G79" s="56" t="str">
        <f>INDEX('Infos Clientes'!$J:$J,MATCH('Detalhe Por UC'!C79,'Infos Clientes'!B:B,0))</f>
        <v>trifasico</v>
      </c>
      <c r="H79" s="108" t="s">
        <v>353</v>
      </c>
      <c r="I79" s="58">
        <f>IFERROR(VLOOKUP(C79,'Infos Clientes'!B:E,4,),"")</f>
        <v>306</v>
      </c>
      <c r="J79" s="109">
        <v>0.25</v>
      </c>
      <c r="K79" s="59">
        <f>INDEX('Infos Clientes'!$M:$M,MATCH('Detalhe Por UC'!C79,'Infos Clientes'!B:B,0))</f>
        <v>0.25</v>
      </c>
      <c r="L79" s="110"/>
      <c r="M79" s="56">
        <f>INDEX('Infos Clientes'!$N:$N,MATCH('Detalhe Por UC'!C79,'Infos Clientes'!B:B,0))</f>
        <v>0</v>
      </c>
      <c r="N79" s="56">
        <f t="shared" si="44"/>
        <v>0</v>
      </c>
      <c r="O79" s="56">
        <f t="shared" si="45"/>
        <v>9</v>
      </c>
      <c r="P79" s="56">
        <f t="shared" si="46"/>
        <v>0</v>
      </c>
      <c r="Q79" s="61">
        <f>IFERROR(IFERROR(INDEX('Infos Clientes'!$A$2:$V$9884,MATCH($C79,'Infos Clientes'!$B$2:$B$9884,0),MATCH(Q$8,'Infos Clientes'!$A$2:$V$2,0)),"")
+IF(OR(INDEX('Infos Clientes'!$A$2:$V$9884,MATCH($C79,'Infos Clientes'!$B$2:$B$9884,0),MATCH("Tempo de Fidelidade (meses)",'Infos Clientes'!$A$2:$V$2,0))=0,R79&gt;=MAX(R:R)),0,
ROUND((MAX(R:R)-R79)/(365/12),0)),"")</f>
        <v>0</v>
      </c>
      <c r="R79" s="111">
        <v>45658</v>
      </c>
      <c r="S79" s="112">
        <v>0.04</v>
      </c>
      <c r="T79" s="113">
        <f>IF($H79="GIROSSOL II",AP79/INDEX('Resumo Operacional'!$A$1:$P$1103,17,MATCH('Detalhe Por UC'!$R79,'Resumo Operacional'!$A$1:$P$1,0)),
IF($H79="GIROSSOL II e III",AP79/INDEX('Resumo Operacional'!$A$1:$P$1103,17,MATCH('Detalhe Por UC'!$R79,'Resumo Operacional'!$A$1:$P$1,0)),
""))</f>
        <v>2.9479602133487097E-2</v>
      </c>
      <c r="U79" s="113">
        <f>IF($H79="GIROSSOL III",AP79/INDEX('Resumo Operacional'!$A$1:$P$1103,53,MATCH('Detalhe Por UC'!$R79,'Resumo Operacional'!$A$1:$P$1,0)),
IF($H79="GIROSSOL II e III",AP79/INDEX('Resumo Operacional'!$A$1:$P$1103,53,MATCH('Detalhe Por UC'!$R79,'Resumo Operacional'!$A$1:$P$1,0)),
""))</f>
        <v>2.4792386494514155E-2</v>
      </c>
      <c r="V79" s="12"/>
      <c r="W79" s="12"/>
      <c r="X79" s="67">
        <v>1.1162587412587412</v>
      </c>
      <c r="Y79" s="116">
        <v>0</v>
      </c>
      <c r="Z79" s="66">
        <v>1.0016136919315404</v>
      </c>
      <c r="AA79" s="35">
        <v>0</v>
      </c>
      <c r="AB79" s="68">
        <v>572</v>
      </c>
      <c r="AC79" s="35">
        <v>0</v>
      </c>
      <c r="AD79" s="69">
        <v>409</v>
      </c>
      <c r="AE79" s="35"/>
      <c r="AF79" s="69">
        <v>0</v>
      </c>
      <c r="AG79" s="69">
        <v>0</v>
      </c>
      <c r="AH79" s="16">
        <v>0</v>
      </c>
      <c r="AI79" s="16">
        <v>0</v>
      </c>
      <c r="AJ79" s="16">
        <v>0</v>
      </c>
      <c r="AK79" s="12"/>
      <c r="AL79" s="38"/>
      <c r="AM79" s="1"/>
      <c r="AN79" s="71">
        <f t="shared" si="47"/>
        <v>0</v>
      </c>
      <c r="AO79" s="71">
        <f t="shared" si="48"/>
        <v>0</v>
      </c>
      <c r="AP79" s="71">
        <f t="shared" si="49"/>
        <v>409</v>
      </c>
      <c r="AQ79" s="72">
        <f>IF(OR($H79="GIROSSOL II",$H79="GIROSSOL II e III"),INDEX('Resumo Operacional'!$A$1:$P$1103,MATCH("Energia Injetada prevista total Fatura da Usina (TUSD)",'Resumo Operacional'!$B$1:$B$1103,0),MATCH('Detalhe Por UC'!$R79,'Resumo Operacional'!$A$1:$P$1,0))*$S79,INDEX('Resumo Operacional'!$A$1:$P$1103,53,MATCH('Detalhe Por UC'!$R79,'Resumo Operacional'!$A$1:$P$1,0))*$S79)</f>
        <v>554.96</v>
      </c>
      <c r="AR79" s="71">
        <f t="shared" si="50"/>
        <v>-145.96000000000004</v>
      </c>
      <c r="AS79" s="73">
        <f t="shared" si="51"/>
        <v>228.83999999999997</v>
      </c>
      <c r="AT79" s="74">
        <f t="shared" si="52"/>
        <v>228.83999999999997</v>
      </c>
      <c r="AU79" s="74">
        <f t="shared" si="53"/>
        <v>0.8869686426043395</v>
      </c>
      <c r="AV79" s="74">
        <f t="shared" si="54"/>
        <v>307.245</v>
      </c>
      <c r="AW79" s="74">
        <f t="shared" si="55"/>
        <v>0</v>
      </c>
      <c r="AX79" s="74">
        <f t="shared" si="56"/>
        <v>409.66</v>
      </c>
      <c r="AY79" s="74">
        <f t="shared" si="57"/>
        <v>307.25</v>
      </c>
      <c r="AZ79" s="49">
        <v>307.25</v>
      </c>
      <c r="BA79" s="117">
        <v>307.25</v>
      </c>
      <c r="BB79" s="49">
        <v>307.25</v>
      </c>
      <c r="BC79" s="73" t="str">
        <f t="shared" si="58"/>
        <v/>
      </c>
      <c r="BD79" s="73">
        <f t="shared" si="59"/>
        <v>638.5</v>
      </c>
      <c r="BE79" s="73">
        <f t="shared" si="60"/>
        <v>536.08500000000004</v>
      </c>
      <c r="BF79" s="77">
        <f t="shared" si="61"/>
        <v>102.42</v>
      </c>
      <c r="BG79" s="77">
        <f t="shared" si="62"/>
        <v>30.725999999999999</v>
      </c>
      <c r="BH79" s="77">
        <f t="shared" si="63"/>
        <v>409.66</v>
      </c>
      <c r="BI79" s="78">
        <f t="shared" si="64"/>
        <v>0.25</v>
      </c>
      <c r="BJ79" s="79">
        <f t="shared" si="65"/>
        <v>0.160407204385278</v>
      </c>
      <c r="BK79" s="80">
        <f t="shared" si="66"/>
        <v>536.08999999999992</v>
      </c>
      <c r="BL79" s="80">
        <f t="shared" si="67"/>
        <v>102.41000000000008</v>
      </c>
      <c r="BM79" s="79">
        <f t="shared" si="68"/>
        <v>0.16039154267815206</v>
      </c>
      <c r="BN79" s="81">
        <f t="shared" si="69"/>
        <v>0.7512224938875306</v>
      </c>
      <c r="BO79" s="82">
        <f t="shared" si="70"/>
        <v>307.25</v>
      </c>
      <c r="BP79" s="81">
        <f t="shared" si="71"/>
        <v>0.7512224938875306</v>
      </c>
      <c r="BQ79" s="81">
        <f t="shared" si="72"/>
        <v>0.86586754321473147</v>
      </c>
      <c r="BR79" s="81">
        <f t="shared" si="73"/>
        <v>1.1162587412587412</v>
      </c>
      <c r="BS79" s="82">
        <f t="shared" si="74"/>
        <v>409</v>
      </c>
      <c r="BT79" s="82">
        <f t="shared" si="75"/>
        <v>456.54982517482517</v>
      </c>
      <c r="BU79" s="82">
        <f t="shared" si="76"/>
        <v>409.66</v>
      </c>
      <c r="BV79"/>
      <c r="BW79" s="82">
        <f>IFERROR(INDEX('Infos Clientes'!$T:$T,MATCH('Detalhe Por UC'!$C79,'Infos Clientes'!B:B,0)),"")</f>
        <v>659.09090909090912</v>
      </c>
      <c r="BX79" s="83">
        <f t="shared" si="77"/>
        <v>0</v>
      </c>
      <c r="BY79" s="84">
        <f t="shared" si="78"/>
        <v>0.22431286653276991</v>
      </c>
      <c r="BZ79" s="85">
        <f>IF(_xlfn.MINIFS('Detalhe Por UC'!R:R,'Detalhe Por UC'!C:C,C79,'Detalhe Por UC'!AD:AD,"&gt;"&amp;0)=0,"",_xlfn.MINIFS('Detalhe Por UC'!R:R,'Detalhe Por UC'!C:C,C79,'Detalhe Por UC'!AD:AD,"&gt;"&amp;0))</f>
        <v>45658</v>
      </c>
      <c r="CA79" s="114">
        <f ca="1">IF(OR(S79&gt;0,AD79&gt;0),IFERROR(
SUMIFS(INDIRECT("'Infos Clientes'!$W"&amp;INDEX('Infos Clientes'!$C:$C,MATCH(C79,'Infos Clientes'!$H:$H,0))&amp;":$CZ"&amp;INDEX('Infos Clientes'!$C:$C,MATCH(C79,'Infos Clientes'!$H:$H,0))),'Infos Clientes'!$W$2:$CZ$2,"&gt;"&amp;$R79-365,'Infos Clientes'!$W$2:$CZ$2,"&lt;="&amp;$R79)/
COUNTIFS(INDIRECT("'Infos Clientes'!$W"&amp;INDEX('Infos Clientes'!$C:$C,MATCH(C79,'Infos Clientes'!$H:$H,0))&amp;":$CZ"&amp;INDEX('Infos Clientes'!$C:$C,MATCH(C79,'Infos Clientes'!$H:$H,0))),"&gt;="&amp;0,'Infos Clientes'!$W$2:$CZ$2,"&gt;"&amp;$R79-365,'Infos Clientes'!$W$2:$CZ$2,"&lt;="&amp;$R79),""),"")</f>
        <v>604.16666666666663</v>
      </c>
      <c r="CB79" s="87">
        <f>VLOOKUP(C79,'Infos Clientes'!B:L,11,0)</f>
        <v>0</v>
      </c>
      <c r="CC79" s="88" t="str">
        <f t="shared" si="79"/>
        <v>A Unidade Consumidora 10/399338-3 economizou R$102,42 na fatura referente à jan/2025  consumindo 409 kWh em créditos de energia renovável conforme fatura de energia. A economia foi de 25% em relação ao que seria pago para a Energisa considerando os créditos consumidos. Atenção: Mantenha as contas da Energisa em dia para evitar cortes.</v>
      </c>
      <c r="CD79" s="40" t="s">
        <v>143</v>
      </c>
      <c r="CF79" s="115">
        <f t="shared" si="80"/>
        <v>-228.83999999999997</v>
      </c>
    </row>
    <row r="80" spans="1:84" s="104" customFormat="1" ht="16.2" hidden="1" customHeight="1" x14ac:dyDescent="0.3">
      <c r="A80" s="105" t="str">
        <f>INDEX('Infos Clientes'!$D:$D,MATCH('Detalhe Por UC'!C80,'Infos Clientes'!B:B,0))</f>
        <v>IGREJA DO EVANGELHO QUADRANGULAR</v>
      </c>
      <c r="B80" s="106" t="str">
        <f>INDEX('Infos Clientes'!$F:$F,MATCH('Detalhe Por UC'!C80,'Infos Clientes'!B:B,0))</f>
        <v>62.955.505/1775-04</v>
      </c>
      <c r="C80" s="31" t="s">
        <v>199</v>
      </c>
      <c r="D80" t="s">
        <v>351</v>
      </c>
      <c r="E80" s="1" t="s">
        <v>352</v>
      </c>
      <c r="F80" s="56" t="str">
        <f>INDEX('Infos Clientes'!$I:$I,MATCH('Detalhe Por UC'!C80,'Infos Clientes'!B:B,0))</f>
        <v>BT</v>
      </c>
      <c r="G80" s="56" t="str">
        <f>INDEX('Infos Clientes'!$J:$J,MATCH('Detalhe Por UC'!C80,'Infos Clientes'!B:B,0))</f>
        <v>bifasico</v>
      </c>
      <c r="H80" s="108" t="s">
        <v>24</v>
      </c>
      <c r="I80" s="58">
        <f>IFERROR(VLOOKUP(C80,'Infos Clientes'!B:E,4,),"")</f>
        <v>319</v>
      </c>
      <c r="J80" s="109">
        <v>0.25</v>
      </c>
      <c r="K80" s="59">
        <f>INDEX('Infos Clientes'!$M:$M,MATCH('Detalhe Por UC'!C80,'Infos Clientes'!B:B,0))</f>
        <v>0.25</v>
      </c>
      <c r="L80" s="110"/>
      <c r="M80" s="56">
        <f>INDEX('Infos Clientes'!$N:$N,MATCH('Detalhe Por UC'!C80,'Infos Clientes'!B:B,0))</f>
        <v>0</v>
      </c>
      <c r="N80" s="56">
        <f t="shared" si="44"/>
        <v>0</v>
      </c>
      <c r="O80" s="56">
        <f t="shared" si="45"/>
        <v>5</v>
      </c>
      <c r="P80" s="56">
        <f t="shared" si="46"/>
        <v>0</v>
      </c>
      <c r="Q80" s="61">
        <f>IFERROR(IFERROR(INDEX('Infos Clientes'!$A$2:$V$9884,MATCH($C80,'Infos Clientes'!$B$2:$B$9884,0),MATCH(Q$8,'Infos Clientes'!$A$2:$V$2,0)),"")
+IF(OR(INDEX('Infos Clientes'!$A$2:$V$9884,MATCH($C80,'Infos Clientes'!$B$2:$B$9884,0),MATCH("Tempo de Fidelidade (meses)",'Infos Clientes'!$A$2:$V$2,0))=0,R80&gt;=MAX(R:R)),0,
ROUND((MAX(R:R)-R80)/(365/12),0)),"")</f>
        <v>0</v>
      </c>
      <c r="R80" s="111">
        <v>45658</v>
      </c>
      <c r="S80" s="112">
        <v>0.02</v>
      </c>
      <c r="T80" s="113">
        <f>IF($H80="GIROSSOL II",AP80/INDEX('Resumo Operacional'!$A$1:$P$1103,17,MATCH('Detalhe Por UC'!$R80,'Resumo Operacional'!$A$1:$P$1,0)),
IF($H80="GIROSSOL II e III",AP80/INDEX('Resumo Operacional'!$A$1:$P$1103,17,MATCH('Detalhe Por UC'!$R80,'Resumo Operacional'!$A$1:$P$1,0)),
""))</f>
        <v>1.9677093844601413E-2</v>
      </c>
      <c r="U80" s="113" t="str">
        <f>IF($H80="GIROSSOL III",AP80/INDEX('Resumo Operacional'!$A$1:$P$1103,53,MATCH('Detalhe Por UC'!$R80,'Resumo Operacional'!$A$1:$P$1,0)),
IF($H80="GIROSSOL II e III",AP80/INDEX('Resumo Operacional'!$A$1:$P$1103,53,MATCH('Detalhe Por UC'!$R80,'Resumo Operacional'!$A$1:$P$1,0)),
""))</f>
        <v/>
      </c>
      <c r="V80" s="12"/>
      <c r="W80" s="12"/>
      <c r="X80" s="67">
        <v>1.116242774566474</v>
      </c>
      <c r="Y80" s="116">
        <v>0</v>
      </c>
      <c r="Z80" s="66">
        <v>1.1162637362637362</v>
      </c>
      <c r="AA80" s="35">
        <v>0</v>
      </c>
      <c r="AB80" s="68">
        <v>346</v>
      </c>
      <c r="AC80" s="35">
        <v>0</v>
      </c>
      <c r="AD80" s="69">
        <v>273</v>
      </c>
      <c r="AE80" s="35"/>
      <c r="AF80" s="69">
        <v>0</v>
      </c>
      <c r="AG80" s="69">
        <v>0</v>
      </c>
      <c r="AH80" s="16">
        <v>68.899999999999991</v>
      </c>
      <c r="AI80" s="16">
        <v>0</v>
      </c>
      <c r="AJ80" s="16">
        <v>0</v>
      </c>
      <c r="AK80" s="12"/>
      <c r="AL80" s="38"/>
      <c r="AM80" s="1"/>
      <c r="AN80" s="71">
        <f t="shared" si="47"/>
        <v>0</v>
      </c>
      <c r="AO80" s="71">
        <f t="shared" si="48"/>
        <v>0</v>
      </c>
      <c r="AP80" s="71">
        <f t="shared" si="49"/>
        <v>273</v>
      </c>
      <c r="AQ80" s="72">
        <f>IF(OR($H80="GIROSSOL II",$H80="GIROSSOL II e III"),INDEX('Resumo Operacional'!$A$1:$P$1103,MATCH("Energia Injetada prevista total Fatura da Usina (TUSD)",'Resumo Operacional'!$B$1:$B$1103,0),MATCH('Detalhe Por UC'!$R80,'Resumo Operacional'!$A$1:$P$1,0))*$S80,INDEX('Resumo Operacional'!$A$1:$P$1103,53,MATCH('Detalhe Por UC'!$R80,'Resumo Operacional'!$A$1:$P$1,0))*$S80)</f>
        <v>277.48</v>
      </c>
      <c r="AR80" s="71">
        <f t="shared" si="50"/>
        <v>-4.4800000000000182</v>
      </c>
      <c r="AS80" s="73">
        <f t="shared" si="51"/>
        <v>150.38</v>
      </c>
      <c r="AT80" s="74">
        <f t="shared" si="52"/>
        <v>150.38</v>
      </c>
      <c r="AU80" s="74">
        <f t="shared" si="53"/>
        <v>1.1162846979609984</v>
      </c>
      <c r="AV80" s="74">
        <f t="shared" si="54"/>
        <v>228.55499999999998</v>
      </c>
      <c r="AW80" s="74">
        <f t="shared" si="55"/>
        <v>0</v>
      </c>
      <c r="AX80" s="74">
        <f t="shared" si="56"/>
        <v>304.74</v>
      </c>
      <c r="AY80" s="74">
        <f t="shared" si="57"/>
        <v>228.56</v>
      </c>
      <c r="AZ80" s="49">
        <v>228.56</v>
      </c>
      <c r="BA80" s="117">
        <v>228.56</v>
      </c>
      <c r="BB80" s="49">
        <v>228.56</v>
      </c>
      <c r="BC80" s="73" t="str">
        <f t="shared" si="58"/>
        <v/>
      </c>
      <c r="BD80" s="73">
        <f t="shared" si="59"/>
        <v>455.12</v>
      </c>
      <c r="BE80" s="73">
        <f t="shared" si="60"/>
        <v>378.93499999999995</v>
      </c>
      <c r="BF80" s="77">
        <f t="shared" si="61"/>
        <v>76.19</v>
      </c>
      <c r="BG80" s="77">
        <f t="shared" si="62"/>
        <v>22.856999999999999</v>
      </c>
      <c r="BH80" s="77">
        <f t="shared" si="63"/>
        <v>304.74</v>
      </c>
      <c r="BI80" s="78">
        <f t="shared" si="64"/>
        <v>0.25</v>
      </c>
      <c r="BJ80" s="79">
        <f t="shared" si="65"/>
        <v>0.16740639831253296</v>
      </c>
      <c r="BK80" s="80">
        <f t="shared" si="66"/>
        <v>378.94</v>
      </c>
      <c r="BL80" s="80">
        <f t="shared" si="67"/>
        <v>76.180000000000007</v>
      </c>
      <c r="BM80" s="79">
        <f t="shared" si="68"/>
        <v>0.16738442608542803</v>
      </c>
      <c r="BN80" s="81">
        <f t="shared" si="69"/>
        <v>0.83721611721611722</v>
      </c>
      <c r="BO80" s="82">
        <f t="shared" si="70"/>
        <v>228.56</v>
      </c>
      <c r="BP80" s="81">
        <f t="shared" si="71"/>
        <v>0.83721611721611722</v>
      </c>
      <c r="BQ80" s="81">
        <f t="shared" si="72"/>
        <v>0.83719515551885504</v>
      </c>
      <c r="BR80" s="81">
        <f t="shared" si="73"/>
        <v>1.116242774566474</v>
      </c>
      <c r="BS80" s="82">
        <f t="shared" si="74"/>
        <v>273</v>
      </c>
      <c r="BT80" s="82">
        <f t="shared" si="75"/>
        <v>304.73427745664742</v>
      </c>
      <c r="BU80" s="82">
        <f t="shared" si="76"/>
        <v>304.74</v>
      </c>
      <c r="BV80"/>
      <c r="BW80" s="82">
        <f>IFERROR(INDEX('Infos Clientes'!$T:$T,MATCH('Detalhe Por UC'!$C80,'Infos Clientes'!B:B,0)),"")</f>
        <v>336.36363636363637</v>
      </c>
      <c r="BX80" s="83">
        <f t="shared" si="77"/>
        <v>0</v>
      </c>
      <c r="BY80" s="84">
        <f t="shared" si="78"/>
        <v>0.24998828696203243</v>
      </c>
      <c r="BZ80" s="85">
        <f>IF(_xlfn.MINIFS('Detalhe Por UC'!R:R,'Detalhe Por UC'!C:C,C80,'Detalhe Por UC'!AD:AD,"&gt;"&amp;0)=0,"",_xlfn.MINIFS('Detalhe Por UC'!R:R,'Detalhe Por UC'!C:C,C80,'Detalhe Por UC'!AD:AD,"&gt;"&amp;0))</f>
        <v>45658</v>
      </c>
      <c r="CA80" s="114">
        <f ca="1">IF(OR(S80&gt;0,AD80&gt;0),IFERROR(
SUMIFS(INDIRECT("'Infos Clientes'!$W"&amp;INDEX('Infos Clientes'!$C:$C,MATCH(C80,'Infos Clientes'!$H:$H,0))&amp;":$CZ"&amp;INDEX('Infos Clientes'!$C:$C,MATCH(C80,'Infos Clientes'!$H:$H,0))),'Infos Clientes'!$W$2:$CZ$2,"&gt;"&amp;$R80-365,'Infos Clientes'!$W$2:$CZ$2,"&lt;="&amp;$R80)/
COUNTIFS(INDIRECT("'Infos Clientes'!$W"&amp;INDEX('Infos Clientes'!$C:$C,MATCH(C80,'Infos Clientes'!$H:$H,0))&amp;":$CZ"&amp;INDEX('Infos Clientes'!$C:$C,MATCH(C80,'Infos Clientes'!$H:$H,0))),"&gt;="&amp;0,'Infos Clientes'!$W$2:$CZ$2,"&gt;"&amp;$R80-365,'Infos Clientes'!$W$2:$CZ$2,"&lt;="&amp;$R80),""),"")</f>
        <v>308.33333333333331</v>
      </c>
      <c r="CB80" s="87">
        <f>VLOOKUP(C80,'Infos Clientes'!B:L,11,0)</f>
        <v>0</v>
      </c>
      <c r="CC80" s="88" t="str">
        <f t="shared" si="79"/>
        <v>A Unidade Consumidora 10/40190-1 economizou R$76,19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80" s="40" t="s">
        <v>143</v>
      </c>
      <c r="CF80" s="115">
        <f t="shared" si="80"/>
        <v>-150.38</v>
      </c>
    </row>
    <row r="81" spans="1:84" s="104" customFormat="1" ht="16.2" hidden="1" customHeight="1" x14ac:dyDescent="0.3">
      <c r="A81" s="105" t="str">
        <f>INDEX('Infos Clientes'!$D:$D,MATCH('Detalhe Por UC'!C81,'Infos Clientes'!B:B,0))</f>
        <v>IGREJA DO EVANGELHO QUADRANGULAR</v>
      </c>
      <c r="B81" s="106" t="str">
        <f>INDEX('Infos Clientes'!$F:$F,MATCH('Detalhe Por UC'!C81,'Infos Clientes'!B:B,0))</f>
        <v>62.955.505/2690-26</v>
      </c>
      <c r="C81" s="31" t="s">
        <v>201</v>
      </c>
      <c r="D81" t="s">
        <v>351</v>
      </c>
      <c r="E81" s="1" t="s">
        <v>352</v>
      </c>
      <c r="F81" s="56" t="str">
        <f>INDEX('Infos Clientes'!$I:$I,MATCH('Detalhe Por UC'!C81,'Infos Clientes'!B:B,0))</f>
        <v>BT</v>
      </c>
      <c r="G81" s="56" t="str">
        <f>INDEX('Infos Clientes'!$J:$J,MATCH('Detalhe Por UC'!C81,'Infos Clientes'!B:B,0))</f>
        <v>bifasico</v>
      </c>
      <c r="H81" s="108" t="s">
        <v>24</v>
      </c>
      <c r="I81" s="58">
        <f>IFERROR(VLOOKUP(C81,'Infos Clientes'!B:E,4,),"")</f>
        <v>319</v>
      </c>
      <c r="J81" s="109">
        <v>0.25</v>
      </c>
      <c r="K81" s="59">
        <f>INDEX('Infos Clientes'!$M:$M,MATCH('Detalhe Por UC'!C81,'Infos Clientes'!B:B,0))</f>
        <v>0.25</v>
      </c>
      <c r="L81" s="110"/>
      <c r="M81" s="56">
        <f>INDEX('Infos Clientes'!$N:$N,MATCH('Detalhe Por UC'!C81,'Infos Clientes'!B:B,0))</f>
        <v>0</v>
      </c>
      <c r="N81" s="56">
        <f t="shared" si="44"/>
        <v>0</v>
      </c>
      <c r="O81" s="56">
        <f t="shared" si="45"/>
        <v>8</v>
      </c>
      <c r="P81" s="56">
        <f t="shared" si="46"/>
        <v>0</v>
      </c>
      <c r="Q81" s="61">
        <f>IFERROR(IFERROR(INDEX('Infos Clientes'!$A$2:$V$9884,MATCH($C81,'Infos Clientes'!$B$2:$B$9884,0),MATCH(Q$8,'Infos Clientes'!$A$2:$V$2,0)),"")
+IF(OR(INDEX('Infos Clientes'!$A$2:$V$9884,MATCH($C81,'Infos Clientes'!$B$2:$B$9884,0),MATCH("Tempo de Fidelidade (meses)",'Infos Clientes'!$A$2:$V$2,0))=0,R81&gt;=MAX(R:R)),0,
ROUND((MAX(R:R)-R81)/(365/12),0)),"")</f>
        <v>0</v>
      </c>
      <c r="R81" s="111">
        <v>45658</v>
      </c>
      <c r="S81" s="112">
        <v>0.02</v>
      </c>
      <c r="T81" s="113">
        <f>IF($H81="GIROSSOL II",AP81/INDEX('Resumo Operacional'!$A$1:$P$1103,17,MATCH('Detalhe Por UC'!$R81,'Resumo Operacional'!$A$1:$P$1,0)),
IF($H81="GIROSSOL II e III",AP81/INDEX('Resumo Operacional'!$A$1:$P$1103,17,MATCH('Detalhe Por UC'!$R81,'Resumo Operacional'!$A$1:$P$1,0)),
""))</f>
        <v>9.8025082888856859E-3</v>
      </c>
      <c r="U81" s="113" t="str">
        <f>IF($H81="GIROSSOL III",AP81/INDEX('Resumo Operacional'!$A$1:$P$1103,53,MATCH('Detalhe Por UC'!$R81,'Resumo Operacional'!$A$1:$P$1,0)),
IF($H81="GIROSSOL II e III",AP81/INDEX('Resumo Operacional'!$A$1:$P$1103,53,MATCH('Detalhe Por UC'!$R81,'Resumo Operacional'!$A$1:$P$1,0)),
""))</f>
        <v/>
      </c>
      <c r="V81" s="12"/>
      <c r="W81" s="12"/>
      <c r="X81" s="67">
        <v>1.1162578616352201</v>
      </c>
      <c r="Y81" s="116">
        <v>0</v>
      </c>
      <c r="Z81" s="66">
        <v>1.11625</v>
      </c>
      <c r="AA81" s="35">
        <v>0</v>
      </c>
      <c r="AB81" s="68">
        <v>318</v>
      </c>
      <c r="AC81" s="35">
        <v>0</v>
      </c>
      <c r="AD81" s="69">
        <v>136</v>
      </c>
      <c r="AE81" s="35"/>
      <c r="AF81" s="69">
        <v>0</v>
      </c>
      <c r="AG81" s="69">
        <v>0</v>
      </c>
      <c r="AH81" s="16">
        <v>74.31</v>
      </c>
      <c r="AI81" s="16">
        <v>0</v>
      </c>
      <c r="AJ81" s="16">
        <v>0</v>
      </c>
      <c r="AK81" s="12"/>
      <c r="AL81" s="38"/>
      <c r="AM81" s="1"/>
      <c r="AN81" s="71">
        <f t="shared" si="47"/>
        <v>0</v>
      </c>
      <c r="AO81" s="71">
        <f t="shared" si="48"/>
        <v>0</v>
      </c>
      <c r="AP81" s="71">
        <f t="shared" si="49"/>
        <v>136</v>
      </c>
      <c r="AQ81" s="72">
        <f>IF(OR($H81="GIROSSOL II",$H81="GIROSSOL II e III"),INDEX('Resumo Operacional'!$A$1:$P$1103,MATCH("Energia Injetada prevista total Fatura da Usina (TUSD)",'Resumo Operacional'!$B$1:$B$1103,0),MATCH('Detalhe Por UC'!$R81,'Resumo Operacional'!$A$1:$P$1,0))*$S81,INDEX('Resumo Operacional'!$A$1:$P$1103,53,MATCH('Detalhe Por UC'!$R81,'Resumo Operacional'!$A$1:$P$1,0))*$S81)</f>
        <v>277.48</v>
      </c>
      <c r="AR81" s="71">
        <f t="shared" si="50"/>
        <v>-141.48000000000002</v>
      </c>
      <c r="AS81" s="73">
        <f t="shared" si="51"/>
        <v>277.46999999999997</v>
      </c>
      <c r="AT81" s="74">
        <f t="shared" si="52"/>
        <v>277.46999999999997</v>
      </c>
      <c r="AU81" s="74">
        <f t="shared" si="53"/>
        <v>1.1162421383647798</v>
      </c>
      <c r="AV81" s="74">
        <f t="shared" si="54"/>
        <v>113.8575</v>
      </c>
      <c r="AW81" s="74">
        <f t="shared" si="55"/>
        <v>0</v>
      </c>
      <c r="AX81" s="74">
        <f t="shared" si="56"/>
        <v>151.81</v>
      </c>
      <c r="AY81" s="74">
        <f t="shared" si="57"/>
        <v>113.86</v>
      </c>
      <c r="AZ81" s="49">
        <v>113.86</v>
      </c>
      <c r="BA81" s="117">
        <v>113.86</v>
      </c>
      <c r="BB81" s="49">
        <v>113.86</v>
      </c>
      <c r="BC81" s="73" t="str">
        <f t="shared" si="58"/>
        <v/>
      </c>
      <c r="BD81" s="73">
        <f t="shared" si="59"/>
        <v>429.28</v>
      </c>
      <c r="BE81" s="73">
        <f t="shared" si="60"/>
        <v>391.32749999999999</v>
      </c>
      <c r="BF81" s="77">
        <f t="shared" si="61"/>
        <v>37.950000000000003</v>
      </c>
      <c r="BG81" s="77">
        <f t="shared" si="62"/>
        <v>11.385</v>
      </c>
      <c r="BH81" s="77">
        <f t="shared" si="63"/>
        <v>151.81</v>
      </c>
      <c r="BI81" s="78">
        <f t="shared" si="64"/>
        <v>0.25</v>
      </c>
      <c r="BJ81" s="79">
        <f t="shared" si="65"/>
        <v>8.8403838986209474E-2</v>
      </c>
      <c r="BK81" s="80">
        <f t="shared" si="66"/>
        <v>391.33</v>
      </c>
      <c r="BL81" s="80">
        <f t="shared" si="67"/>
        <v>37.949999999999989</v>
      </c>
      <c r="BM81" s="79">
        <f t="shared" si="68"/>
        <v>8.8403838986209446E-2</v>
      </c>
      <c r="BN81" s="81">
        <f t="shared" si="69"/>
        <v>0.83720588235294113</v>
      </c>
      <c r="BO81" s="82">
        <f t="shared" si="70"/>
        <v>113.86</v>
      </c>
      <c r="BP81" s="81">
        <f t="shared" si="71"/>
        <v>0.83720588235294113</v>
      </c>
      <c r="BQ81" s="81">
        <f t="shared" si="72"/>
        <v>0.83721374398816129</v>
      </c>
      <c r="BR81" s="81">
        <f t="shared" si="73"/>
        <v>1.1162578616352201</v>
      </c>
      <c r="BS81" s="82">
        <f t="shared" si="74"/>
        <v>136</v>
      </c>
      <c r="BT81" s="82">
        <f t="shared" si="75"/>
        <v>151.81106918238993</v>
      </c>
      <c r="BU81" s="82">
        <f t="shared" si="76"/>
        <v>151.81</v>
      </c>
      <c r="BV81"/>
      <c r="BW81" s="82">
        <f>IFERROR(INDEX('Infos Clientes'!$T:$T,MATCH('Detalhe Por UC'!$C81,'Infos Clientes'!B:B,0)),"")</f>
        <v>293</v>
      </c>
      <c r="BX81" s="83">
        <f t="shared" si="77"/>
        <v>0</v>
      </c>
      <c r="BY81" s="84">
        <f t="shared" si="78"/>
        <v>0.2499817714504457</v>
      </c>
      <c r="BZ81" s="85">
        <f>IF(_xlfn.MINIFS('Detalhe Por UC'!R:R,'Detalhe Por UC'!C:C,C81,'Detalhe Por UC'!AD:AD,"&gt;"&amp;0)=0,"",_xlfn.MINIFS('Detalhe Por UC'!R:R,'Detalhe Por UC'!C:C,C81,'Detalhe Por UC'!AD:AD,"&gt;"&amp;0))</f>
        <v>45658</v>
      </c>
      <c r="CA81" s="114">
        <f ca="1">IF(OR(S81&gt;0,AD81&gt;0),IFERROR(
SUMIFS(INDIRECT("'Infos Clientes'!$W"&amp;INDEX('Infos Clientes'!$C:$C,MATCH(C81,'Infos Clientes'!$H:$H,0))&amp;":$CZ"&amp;INDEX('Infos Clientes'!$C:$C,MATCH(C81,'Infos Clientes'!$H:$H,0))),'Infos Clientes'!$W$2:$CZ$2,"&gt;"&amp;$R81-365,'Infos Clientes'!$W$2:$CZ$2,"&lt;="&amp;$R81)/
COUNTIFS(INDIRECT("'Infos Clientes'!$W"&amp;INDEX('Infos Clientes'!$C:$C,MATCH(C81,'Infos Clientes'!$H:$H,0))&amp;":$CZ"&amp;INDEX('Infos Clientes'!$C:$C,MATCH(C81,'Infos Clientes'!$H:$H,0))),"&gt;="&amp;0,'Infos Clientes'!$W$2:$CZ$2,"&gt;"&amp;$R81-365,'Infos Clientes'!$W$2:$CZ$2,"&lt;="&amp;$R81),""),"")</f>
        <v>268.58333333333331</v>
      </c>
      <c r="CB81" s="87">
        <f>VLOOKUP(C81,'Infos Clientes'!B:L,11,0)</f>
        <v>0</v>
      </c>
      <c r="CC81" s="88" t="str">
        <f t="shared" si="79"/>
        <v>A Unidade Consumidora 10/41548-9 economizou R$37,95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81" s="40" t="s">
        <v>143</v>
      </c>
      <c r="CF81" s="115">
        <f t="shared" si="80"/>
        <v>-277.46999999999997</v>
      </c>
    </row>
    <row r="82" spans="1:84" s="104" customFormat="1" ht="16.2" hidden="1" customHeight="1" x14ac:dyDescent="0.3">
      <c r="A82" s="105" t="str">
        <f>INDEX('Infos Clientes'!$D:$D,MATCH('Detalhe Por UC'!C82,'Infos Clientes'!B:B,0))</f>
        <v>IGREJA DO EVANGELHO QUADRANGULAR</v>
      </c>
      <c r="B82" s="106" t="str">
        <f>INDEX('Infos Clientes'!$F:$F,MATCH('Detalhe Por UC'!C82,'Infos Clientes'!B:B,0))</f>
        <v>62.955.505/3574-05</v>
      </c>
      <c r="C82" s="31" t="s">
        <v>203</v>
      </c>
      <c r="D82" t="s">
        <v>351</v>
      </c>
      <c r="E82" s="1" t="s">
        <v>352</v>
      </c>
      <c r="F82" s="56" t="str">
        <f>INDEX('Infos Clientes'!$I:$I,MATCH('Detalhe Por UC'!C82,'Infos Clientes'!B:B,0))</f>
        <v>BT</v>
      </c>
      <c r="G82" s="56" t="str">
        <f>INDEX('Infos Clientes'!$J:$J,MATCH('Detalhe Por UC'!C82,'Infos Clientes'!B:B,0))</f>
        <v>trifasico</v>
      </c>
      <c r="H82" s="108" t="s">
        <v>353</v>
      </c>
      <c r="I82" s="58">
        <f>IFERROR(VLOOKUP(C82,'Infos Clientes'!B:E,4,),"")</f>
        <v>306</v>
      </c>
      <c r="J82" s="109">
        <v>0.25</v>
      </c>
      <c r="K82" s="59">
        <f>INDEX('Infos Clientes'!$M:$M,MATCH('Detalhe Por UC'!C82,'Infos Clientes'!B:B,0))</f>
        <v>0.25</v>
      </c>
      <c r="L82" s="110"/>
      <c r="M82" s="56">
        <f>INDEX('Infos Clientes'!$N:$N,MATCH('Detalhe Por UC'!C82,'Infos Clientes'!B:B,0))</f>
        <v>0</v>
      </c>
      <c r="N82" s="56">
        <f t="shared" si="44"/>
        <v>0</v>
      </c>
      <c r="O82" s="56">
        <f t="shared" si="45"/>
        <v>10</v>
      </c>
      <c r="P82" s="56">
        <f t="shared" si="46"/>
        <v>0</v>
      </c>
      <c r="Q82" s="61">
        <f>IFERROR(IFERROR(INDEX('Infos Clientes'!$A$2:$V$9884,MATCH($C82,'Infos Clientes'!$B$2:$B$9884,0),MATCH(Q$8,'Infos Clientes'!$A$2:$V$2,0)),"")
+IF(OR(INDEX('Infos Clientes'!$A$2:$V$9884,MATCH($C82,'Infos Clientes'!$B$2:$B$9884,0),MATCH("Tempo de Fidelidade (meses)",'Infos Clientes'!$A$2:$V$2,0))=0,R82&gt;=MAX(R:R)),0,
ROUND((MAX(R:R)-R82)/(365/12),0)),"")</f>
        <v>0</v>
      </c>
      <c r="R82" s="111">
        <v>45658</v>
      </c>
      <c r="S82" s="112">
        <v>0.02</v>
      </c>
      <c r="T82" s="113">
        <f>IF($H82="GIROSSOL II",AP82/INDEX('Resumo Operacional'!$A$1:$P$1103,17,MATCH('Detalhe Por UC'!$R82,'Resumo Operacional'!$A$1:$P$1,0)),
IF($H82="GIROSSOL II e III",AP82/INDEX('Resumo Operacional'!$A$1:$P$1103,17,MATCH('Detalhe Por UC'!$R82,'Resumo Operacional'!$A$1:$P$1,0)),
""))</f>
        <v>2.8830906732016721E-2</v>
      </c>
      <c r="U82" s="113">
        <f>IF($H82="GIROSSOL III",AP82/INDEX('Resumo Operacional'!$A$1:$P$1103,53,MATCH('Detalhe Por UC'!$R82,'Resumo Operacional'!$A$1:$P$1,0)),
IF($H82="GIROSSOL II e III",AP82/INDEX('Resumo Operacional'!$A$1:$P$1103,53,MATCH('Detalhe Por UC'!$R82,'Resumo Operacional'!$A$1:$P$1,0)),
""))</f>
        <v>2.4246832757471054E-2</v>
      </c>
      <c r="V82" s="12"/>
      <c r="W82" s="12"/>
      <c r="X82" s="67">
        <v>1.11625</v>
      </c>
      <c r="Y82" s="116">
        <v>0</v>
      </c>
      <c r="Z82" s="66">
        <v>1.0015750000000001</v>
      </c>
      <c r="AA82" s="35">
        <v>0</v>
      </c>
      <c r="AB82" s="68">
        <v>448</v>
      </c>
      <c r="AC82" s="35">
        <v>0</v>
      </c>
      <c r="AD82" s="69">
        <v>400</v>
      </c>
      <c r="AE82" s="35"/>
      <c r="AF82" s="69">
        <v>0</v>
      </c>
      <c r="AG82" s="69">
        <v>0</v>
      </c>
      <c r="AH82" s="16">
        <v>0</v>
      </c>
      <c r="AI82" s="16">
        <v>0</v>
      </c>
      <c r="AJ82" s="16">
        <v>0</v>
      </c>
      <c r="AK82" s="12"/>
      <c r="AL82" s="38"/>
      <c r="AM82" s="1"/>
      <c r="AN82" s="71">
        <f t="shared" si="47"/>
        <v>0</v>
      </c>
      <c r="AO82" s="71">
        <f t="shared" si="48"/>
        <v>0</v>
      </c>
      <c r="AP82" s="71">
        <f t="shared" si="49"/>
        <v>400</v>
      </c>
      <c r="AQ82" s="72">
        <f>IF(OR($H82="GIROSSOL II",$H82="GIROSSOL II e III"),INDEX('Resumo Operacional'!$A$1:$P$1103,MATCH("Energia Injetada prevista total Fatura da Usina (TUSD)",'Resumo Operacional'!$B$1:$B$1103,0),MATCH('Detalhe Por UC'!$R82,'Resumo Operacional'!$A$1:$P$1,0))*$S82,INDEX('Resumo Operacional'!$A$1:$P$1103,53,MATCH('Detalhe Por UC'!$R82,'Resumo Operacional'!$A$1:$P$1,0))*$S82)</f>
        <v>277.48</v>
      </c>
      <c r="AR82" s="71">
        <f t="shared" si="50"/>
        <v>122.51999999999998</v>
      </c>
      <c r="AS82" s="73">
        <f t="shared" si="51"/>
        <v>99.449999999999932</v>
      </c>
      <c r="AT82" s="74">
        <f t="shared" si="52"/>
        <v>99.449999999999932</v>
      </c>
      <c r="AU82" s="74">
        <f t="shared" si="53"/>
        <v>0.88690000000000024</v>
      </c>
      <c r="AV82" s="74">
        <f t="shared" si="54"/>
        <v>300.47250000000008</v>
      </c>
      <c r="AW82" s="74">
        <f t="shared" si="55"/>
        <v>0</v>
      </c>
      <c r="AX82" s="74">
        <f t="shared" si="56"/>
        <v>400.63000000000005</v>
      </c>
      <c r="AY82" s="74">
        <f t="shared" si="57"/>
        <v>300.47000000000003</v>
      </c>
      <c r="AZ82" s="49">
        <v>300.47000000000003</v>
      </c>
      <c r="BA82" s="117">
        <v>300.47000000000003</v>
      </c>
      <c r="BB82" s="49">
        <v>300.47000000000003</v>
      </c>
      <c r="BC82" s="73" t="str">
        <f t="shared" si="58"/>
        <v/>
      </c>
      <c r="BD82" s="73">
        <f t="shared" si="59"/>
        <v>500.08</v>
      </c>
      <c r="BE82" s="73">
        <f t="shared" si="60"/>
        <v>399.92250000000001</v>
      </c>
      <c r="BF82" s="77">
        <f t="shared" si="61"/>
        <v>100.16</v>
      </c>
      <c r="BG82" s="77">
        <f t="shared" si="62"/>
        <v>30.047999999999998</v>
      </c>
      <c r="BH82" s="77">
        <f t="shared" si="63"/>
        <v>400.63000000000005</v>
      </c>
      <c r="BI82" s="78">
        <f t="shared" si="64"/>
        <v>0.25</v>
      </c>
      <c r="BJ82" s="79">
        <f t="shared" si="65"/>
        <v>0.20028795392737161</v>
      </c>
      <c r="BK82" s="80">
        <f t="shared" si="66"/>
        <v>399.91999999999996</v>
      </c>
      <c r="BL82" s="80">
        <f t="shared" si="67"/>
        <v>100.16000000000003</v>
      </c>
      <c r="BM82" s="79">
        <f t="shared" si="68"/>
        <v>0.20028795392737167</v>
      </c>
      <c r="BN82" s="81">
        <f t="shared" si="69"/>
        <v>0.75117500000000004</v>
      </c>
      <c r="BO82" s="82">
        <f t="shared" si="70"/>
        <v>300.47000000000003</v>
      </c>
      <c r="BP82" s="81">
        <f t="shared" si="71"/>
        <v>0.75117500000000004</v>
      </c>
      <c r="BQ82" s="81">
        <f t="shared" si="72"/>
        <v>0.8658499999999999</v>
      </c>
      <c r="BR82" s="81">
        <f t="shared" si="73"/>
        <v>1.11625</v>
      </c>
      <c r="BS82" s="82">
        <f t="shared" si="74"/>
        <v>400</v>
      </c>
      <c r="BT82" s="82">
        <f t="shared" si="75"/>
        <v>446.5</v>
      </c>
      <c r="BU82" s="82">
        <f t="shared" si="76"/>
        <v>400.63000000000005</v>
      </c>
      <c r="BV82"/>
      <c r="BW82" s="82">
        <f>IFERROR(INDEX('Infos Clientes'!$T:$T,MATCH('Detalhe Por UC'!$C82,'Infos Clientes'!B:B,0)),"")</f>
        <v>378.09090909090907</v>
      </c>
      <c r="BX82" s="83">
        <f t="shared" si="77"/>
        <v>0</v>
      </c>
      <c r="BY82" s="84">
        <f t="shared" si="78"/>
        <v>0.22432250839865628</v>
      </c>
      <c r="BZ82" s="85">
        <f>IF(_xlfn.MINIFS('Detalhe Por UC'!R:R,'Detalhe Por UC'!C:C,C82,'Detalhe Por UC'!AD:AD,"&gt;"&amp;0)=0,"",_xlfn.MINIFS('Detalhe Por UC'!R:R,'Detalhe Por UC'!C:C,C82,'Detalhe Por UC'!AD:AD,"&gt;"&amp;0))</f>
        <v>45658</v>
      </c>
      <c r="CA82" s="114">
        <f ca="1">IF(OR(S82&gt;0,AD82&gt;0),IFERROR(
SUMIFS(INDIRECT("'Infos Clientes'!$W"&amp;INDEX('Infos Clientes'!$C:$C,MATCH(C82,'Infos Clientes'!$H:$H,0))&amp;":$CZ"&amp;INDEX('Infos Clientes'!$C:$C,MATCH(C82,'Infos Clientes'!$H:$H,0))),'Infos Clientes'!$W$2:$CZ$2,"&gt;"&amp;$R82-365,'Infos Clientes'!$W$2:$CZ$2,"&lt;="&amp;$R82)/
COUNTIFS(INDIRECT("'Infos Clientes'!$W"&amp;INDEX('Infos Clientes'!$C:$C,MATCH(C82,'Infos Clientes'!$H:$H,0))&amp;":$CZ"&amp;INDEX('Infos Clientes'!$C:$C,MATCH(C82,'Infos Clientes'!$H:$H,0))),"&gt;="&amp;0,'Infos Clientes'!$W$2:$CZ$2,"&gt;"&amp;$R82-365,'Infos Clientes'!$W$2:$CZ$2,"&lt;="&amp;$R82),""),"")</f>
        <v>346.58333333333331</v>
      </c>
      <c r="CB82" s="87">
        <f>VLOOKUP(C82,'Infos Clientes'!B:L,11,0)</f>
        <v>0</v>
      </c>
      <c r="CC82" s="88" t="str">
        <f t="shared" si="79"/>
        <v>A Unidade Consumidora 10/435964-2 economizou R$100,16 na fatura referente à jan/2025  consumindo 400 kWh em créditos de energia renovável conforme fatura de energia. A economia foi de 25% em relação ao que seria pago para a Energisa considerando os créditos consumidos. Atenção: Mantenha as contas da Energisa em dia para evitar cortes.</v>
      </c>
      <c r="CD82" s="40" t="s">
        <v>143</v>
      </c>
      <c r="CF82" s="115">
        <f t="shared" si="80"/>
        <v>-99.449999999999932</v>
      </c>
    </row>
    <row r="83" spans="1:84" s="104" customFormat="1" ht="16.2" hidden="1" customHeight="1" x14ac:dyDescent="0.3">
      <c r="A83" s="105" t="str">
        <f>INDEX('Infos Clientes'!$D:$D,MATCH('Detalhe Por UC'!C83,'Infos Clientes'!B:B,0))</f>
        <v>IGREJA DO EVANGELHO QUADRANGULAR</v>
      </c>
      <c r="B83" s="106" t="str">
        <f>INDEX('Infos Clientes'!$F:$F,MATCH('Detalhe Por UC'!C83,'Infos Clientes'!B:B,0))</f>
        <v>62.955.505/0155-12</v>
      </c>
      <c r="C83" s="31" t="s">
        <v>205</v>
      </c>
      <c r="D83" t="s">
        <v>351</v>
      </c>
      <c r="E83" s="1" t="s">
        <v>352</v>
      </c>
      <c r="F83" s="56" t="str">
        <f>INDEX('Infos Clientes'!$I:$I,MATCH('Detalhe Por UC'!C83,'Infos Clientes'!B:B,0))</f>
        <v>BT</v>
      </c>
      <c r="G83" s="56" t="str">
        <f>INDEX('Infos Clientes'!$J:$J,MATCH('Detalhe Por UC'!C83,'Infos Clientes'!B:B,0))</f>
        <v>bifasico</v>
      </c>
      <c r="H83" s="108" t="s">
        <v>24</v>
      </c>
      <c r="I83" s="58">
        <f>IFERROR(VLOOKUP(C83,'Infos Clientes'!B:E,4,),"")</f>
        <v>358</v>
      </c>
      <c r="J83" s="109">
        <v>0.25</v>
      </c>
      <c r="K83" s="59">
        <f>INDEX('Infos Clientes'!$M:$M,MATCH('Detalhe Por UC'!C83,'Infos Clientes'!B:B,0))</f>
        <v>0.25</v>
      </c>
      <c r="L83" s="110"/>
      <c r="M83" s="56">
        <f>INDEX('Infos Clientes'!$N:$N,MATCH('Detalhe Por UC'!C83,'Infos Clientes'!B:B,0))</f>
        <v>0</v>
      </c>
      <c r="N83" s="56">
        <f t="shared" si="44"/>
        <v>0</v>
      </c>
      <c r="O83" s="56">
        <f t="shared" si="45"/>
        <v>10</v>
      </c>
      <c r="P83" s="56">
        <f t="shared" si="46"/>
        <v>0</v>
      </c>
      <c r="Q83" s="61">
        <f>IFERROR(IFERROR(INDEX('Infos Clientes'!$A$2:$V$9884,MATCH($C83,'Infos Clientes'!$B$2:$B$9884,0),MATCH(Q$8,'Infos Clientes'!$A$2:$V$2,0)),"")
+IF(OR(INDEX('Infos Clientes'!$A$2:$V$9884,MATCH($C83,'Infos Clientes'!$B$2:$B$9884,0),MATCH("Tempo de Fidelidade (meses)",'Infos Clientes'!$A$2:$V$2,0))=0,R83&gt;=MAX(R:R)),0,
ROUND((MAX(R:R)-R83)/(365/12),0)),"")</f>
        <v>0</v>
      </c>
      <c r="R83" s="111">
        <v>45658</v>
      </c>
      <c r="S83" s="112">
        <v>0.01</v>
      </c>
      <c r="T83" s="113">
        <f>IF($H83="GIROSSOL II",AP83/INDEX('Resumo Operacional'!$A$1:$P$1103,17,MATCH('Detalhe Por UC'!$R83,'Resumo Operacional'!$A$1:$P$1,0)),
IF($H83="GIROSSOL II e III",AP83/INDEX('Resumo Operacional'!$A$1:$P$1103,17,MATCH('Detalhe Por UC'!$R83,'Resumo Operacional'!$A$1:$P$1,0)),
""))</f>
        <v>1.2108980827447022E-2</v>
      </c>
      <c r="U83" s="113" t="str">
        <f>IF($H83="GIROSSOL III",AP83/INDEX('Resumo Operacional'!$A$1:$P$1103,53,MATCH('Detalhe Por UC'!$R83,'Resumo Operacional'!$A$1:$P$1,0)),
IF($H83="GIROSSOL II e III",AP83/INDEX('Resumo Operacional'!$A$1:$P$1103,53,MATCH('Detalhe Por UC'!$R83,'Resumo Operacional'!$A$1:$P$1,0)),
""))</f>
        <v/>
      </c>
      <c r="V83" s="12"/>
      <c r="W83" s="12"/>
      <c r="X83" s="67">
        <v>1.1162569832402234</v>
      </c>
      <c r="Y83" s="116">
        <v>0</v>
      </c>
      <c r="Z83" s="66">
        <v>1.1162015503875971</v>
      </c>
      <c r="AA83" s="35">
        <v>0</v>
      </c>
      <c r="AB83" s="68">
        <v>179</v>
      </c>
      <c r="AC83" s="35">
        <v>0</v>
      </c>
      <c r="AD83" s="69">
        <v>129</v>
      </c>
      <c r="AE83" s="35"/>
      <c r="AF83" s="69">
        <v>39</v>
      </c>
      <c r="AG83" s="69">
        <v>0</v>
      </c>
      <c r="AH83" s="16">
        <v>51.68</v>
      </c>
      <c r="AI83" s="16">
        <v>0</v>
      </c>
      <c r="AJ83" s="16">
        <v>0</v>
      </c>
      <c r="AK83" s="12"/>
      <c r="AL83" s="38"/>
      <c r="AM83" s="1"/>
      <c r="AN83" s="71">
        <f t="shared" si="47"/>
        <v>39</v>
      </c>
      <c r="AO83" s="71">
        <f t="shared" si="48"/>
        <v>0</v>
      </c>
      <c r="AP83" s="71">
        <f t="shared" si="49"/>
        <v>168</v>
      </c>
      <c r="AQ83" s="72">
        <f>IF(OR($H83="GIROSSOL II",$H83="GIROSSOL II e III"),INDEX('Resumo Operacional'!$A$1:$P$1103,MATCH("Energia Injetada prevista total Fatura da Usina (TUSD)",'Resumo Operacional'!$B$1:$B$1103,0),MATCH('Detalhe Por UC'!$R83,'Resumo Operacional'!$A$1:$P$1,0))*$S83,INDEX('Resumo Operacional'!$A$1:$P$1103,53,MATCH('Detalhe Por UC'!$R83,'Resumo Operacional'!$A$1:$P$1,0))*$S83)</f>
        <v>138.74</v>
      </c>
      <c r="AR83" s="71">
        <f t="shared" si="50"/>
        <v>29.259999999999991</v>
      </c>
      <c r="AS83" s="73">
        <f t="shared" si="51"/>
        <v>107.49999999999997</v>
      </c>
      <c r="AT83" s="74">
        <f t="shared" si="52"/>
        <v>107.49999999999997</v>
      </c>
      <c r="AU83" s="74">
        <f t="shared" si="53"/>
        <v>1.1161461175349707</v>
      </c>
      <c r="AV83" s="74">
        <f t="shared" si="54"/>
        <v>107.99250000000002</v>
      </c>
      <c r="AW83" s="74">
        <f t="shared" si="55"/>
        <v>0</v>
      </c>
      <c r="AX83" s="74">
        <f t="shared" si="56"/>
        <v>143.99</v>
      </c>
      <c r="AY83" s="74">
        <f t="shared" si="57"/>
        <v>107.99</v>
      </c>
      <c r="AZ83" s="49">
        <v>107.99</v>
      </c>
      <c r="BA83" s="117">
        <v>107.99</v>
      </c>
      <c r="BB83" s="49">
        <v>107.99</v>
      </c>
      <c r="BC83" s="73" t="str">
        <f t="shared" si="58"/>
        <v/>
      </c>
      <c r="BD83" s="73">
        <f t="shared" si="59"/>
        <v>251.48999999999998</v>
      </c>
      <c r="BE83" s="73">
        <f t="shared" si="60"/>
        <v>215.49250000000001</v>
      </c>
      <c r="BF83" s="77">
        <f t="shared" si="61"/>
        <v>36</v>
      </c>
      <c r="BG83" s="77">
        <f t="shared" si="62"/>
        <v>10.799999999999999</v>
      </c>
      <c r="BH83" s="77">
        <f t="shared" si="63"/>
        <v>143.99</v>
      </c>
      <c r="BI83" s="78">
        <f t="shared" si="64"/>
        <v>0.25</v>
      </c>
      <c r="BJ83" s="79">
        <f t="shared" si="65"/>
        <v>0.14314684480496243</v>
      </c>
      <c r="BK83" s="80">
        <f t="shared" si="66"/>
        <v>215.48999999999995</v>
      </c>
      <c r="BL83" s="80">
        <f t="shared" si="67"/>
        <v>36.000000000000028</v>
      </c>
      <c r="BM83" s="79">
        <f t="shared" si="68"/>
        <v>0.14314684480496254</v>
      </c>
      <c r="BN83" s="81">
        <f t="shared" si="69"/>
        <v>0.83713178294573642</v>
      </c>
      <c r="BO83" s="82">
        <f t="shared" si="70"/>
        <v>107.99</v>
      </c>
      <c r="BP83" s="81">
        <f t="shared" si="71"/>
        <v>0.83713178294573642</v>
      </c>
      <c r="BQ83" s="81">
        <f t="shared" si="72"/>
        <v>0.83718721579836275</v>
      </c>
      <c r="BR83" s="81">
        <f t="shared" si="73"/>
        <v>1.1162569832402234</v>
      </c>
      <c r="BS83" s="82">
        <f t="shared" si="74"/>
        <v>129</v>
      </c>
      <c r="BT83" s="82">
        <f t="shared" si="75"/>
        <v>143.99715083798881</v>
      </c>
      <c r="BU83" s="82">
        <f t="shared" si="76"/>
        <v>143.99</v>
      </c>
      <c r="BV83"/>
      <c r="BW83" s="82">
        <f>IFERROR(INDEX('Infos Clientes'!$T:$T,MATCH('Detalhe Por UC'!$C83,'Infos Clientes'!B:B,0)),"")</f>
        <v>178</v>
      </c>
      <c r="BX83" s="83">
        <f t="shared" si="77"/>
        <v>0</v>
      </c>
      <c r="BY83" s="84">
        <f t="shared" si="78"/>
        <v>0.25000494655969702</v>
      </c>
      <c r="BZ83" s="85">
        <f>IF(_xlfn.MINIFS('Detalhe Por UC'!R:R,'Detalhe Por UC'!C:C,C83,'Detalhe Por UC'!AD:AD,"&gt;"&amp;0)=0,"",_xlfn.MINIFS('Detalhe Por UC'!R:R,'Detalhe Por UC'!C:C,C83,'Detalhe Por UC'!AD:AD,"&gt;"&amp;0))</f>
        <v>45658</v>
      </c>
      <c r="CA83" s="114">
        <f ca="1">IF(OR(S83&gt;0,AD83&gt;0),IFERROR(
SUMIFS(INDIRECT("'Infos Clientes'!$W"&amp;INDEX('Infos Clientes'!$C:$C,MATCH(C83,'Infos Clientes'!$H:$H,0))&amp;":$CZ"&amp;INDEX('Infos Clientes'!$C:$C,MATCH(C83,'Infos Clientes'!$H:$H,0))),'Infos Clientes'!$W$2:$CZ$2,"&gt;"&amp;$R83-365,'Infos Clientes'!$W$2:$CZ$2,"&lt;="&amp;$R83)/
COUNTIFS(INDIRECT("'Infos Clientes'!$W"&amp;INDEX('Infos Clientes'!$C:$C,MATCH(C83,'Infos Clientes'!$H:$H,0))&amp;":$CZ"&amp;INDEX('Infos Clientes'!$C:$C,MATCH(C83,'Infos Clientes'!$H:$H,0))),"&gt;="&amp;0,'Infos Clientes'!$W$2:$CZ$2,"&gt;"&amp;$R83-365,'Infos Clientes'!$W$2:$CZ$2,"&lt;="&amp;$R83),""),"")</f>
        <v>163.16666666666666</v>
      </c>
      <c r="CB83" s="87">
        <f>VLOOKUP(C83,'Infos Clientes'!B:L,11,0)</f>
        <v>0</v>
      </c>
      <c r="CC83" s="88" t="str">
        <f t="shared" si="79"/>
        <v>A Unidade Consumidora 10/466560-0 economizou R$36 na fatura referente à jan/2025  consumindo 129 kWh em créditos de energia renovável conforme fatura de energia. A economia foi de 25% em relação ao que seria pago para a Energisa considerando os créditos consumidos. Atenção: Mantenha as contas da Energisa em dia para evitar cortes.</v>
      </c>
      <c r="CD83" s="40"/>
      <c r="CF83" s="115">
        <f t="shared" si="80"/>
        <v>-107.49999999999997</v>
      </c>
    </row>
    <row r="84" spans="1:84" s="104" customFormat="1" ht="16.2" hidden="1" customHeight="1" x14ac:dyDescent="0.3">
      <c r="A84" s="105" t="str">
        <f>INDEX('Infos Clientes'!$D:$D,MATCH('Detalhe Por UC'!C84,'Infos Clientes'!B:B,0))</f>
        <v>IGREJA DO EVANGELHO QUADRANGULAR</v>
      </c>
      <c r="B84" s="106" t="str">
        <f>INDEX('Infos Clientes'!$F:$F,MATCH('Detalhe Por UC'!C84,'Infos Clientes'!B:B,0))</f>
        <v>62.955.505/1822-57</v>
      </c>
      <c r="C84" s="31" t="s">
        <v>206</v>
      </c>
      <c r="D84" t="s">
        <v>351</v>
      </c>
      <c r="E84" s="1" t="s">
        <v>352</v>
      </c>
      <c r="F84" s="56" t="str">
        <f>INDEX('Infos Clientes'!$I:$I,MATCH('Detalhe Por UC'!C84,'Infos Clientes'!B:B,0))</f>
        <v>BT</v>
      </c>
      <c r="G84" s="56" t="str">
        <f>INDEX('Infos Clientes'!$J:$J,MATCH('Detalhe Por UC'!C84,'Infos Clientes'!B:B,0))</f>
        <v>trifasico</v>
      </c>
      <c r="H84" s="108" t="s">
        <v>353</v>
      </c>
      <c r="I84" s="58">
        <f>IFERROR(VLOOKUP(C84,'Infos Clientes'!B:E,4,),"")</f>
        <v>319</v>
      </c>
      <c r="J84" s="109">
        <v>0.25</v>
      </c>
      <c r="K84" s="59">
        <f>INDEX('Infos Clientes'!$M:$M,MATCH('Detalhe Por UC'!C84,'Infos Clientes'!B:B,0))</f>
        <v>0.25</v>
      </c>
      <c r="L84" s="110"/>
      <c r="M84" s="56">
        <f>INDEX('Infos Clientes'!$N:$N,MATCH('Detalhe Por UC'!C84,'Infos Clientes'!B:B,0))</f>
        <v>0</v>
      </c>
      <c r="N84" s="56">
        <f t="shared" si="44"/>
        <v>0</v>
      </c>
      <c r="O84" s="56">
        <f t="shared" si="45"/>
        <v>9</v>
      </c>
      <c r="P84" s="56">
        <f t="shared" si="46"/>
        <v>0</v>
      </c>
      <c r="Q84" s="61">
        <f>IFERROR(IFERROR(INDEX('Infos Clientes'!$A$2:$V$9884,MATCH($C84,'Infos Clientes'!$B$2:$B$9884,0),MATCH(Q$8,'Infos Clientes'!$A$2:$V$2,0)),"")
+IF(OR(INDEX('Infos Clientes'!$A$2:$V$9884,MATCH($C84,'Infos Clientes'!$B$2:$B$9884,0),MATCH("Tempo de Fidelidade (meses)",'Infos Clientes'!$A$2:$V$2,0))=0,R84&gt;=MAX(R:R)),0,
ROUND((MAX(R:R)-R84)/(365/12),0)),"")</f>
        <v>0</v>
      </c>
      <c r="R84" s="111">
        <v>45658</v>
      </c>
      <c r="S84" s="112">
        <v>0.02</v>
      </c>
      <c r="T84" s="113">
        <f>IF($H84="GIROSSOL II",AP84/INDEX('Resumo Operacional'!$A$1:$P$1103,17,MATCH('Detalhe Por UC'!$R84,'Resumo Operacional'!$A$1:$P$1,0)),
IF($H84="GIROSSOL II e III",AP84/INDEX('Resumo Operacional'!$A$1:$P$1103,17,MATCH('Detalhe Por UC'!$R84,'Resumo Operacional'!$A$1:$P$1,0)),
""))</f>
        <v>9.8025082888856859E-3</v>
      </c>
      <c r="U84" s="113">
        <f>IF($H84="GIROSSOL III",AP84/INDEX('Resumo Operacional'!$A$1:$P$1103,53,MATCH('Detalhe Por UC'!$R84,'Resumo Operacional'!$A$1:$P$1,0)),
IF($H84="GIROSSOL II e III",AP84/INDEX('Resumo Operacional'!$A$1:$P$1103,53,MATCH('Detalhe Por UC'!$R84,'Resumo Operacional'!$A$1:$P$1,0)),
""))</f>
        <v>8.2439231375401583E-3</v>
      </c>
      <c r="V84" s="12"/>
      <c r="W84" s="12"/>
      <c r="X84" s="67">
        <v>1.1162640449438201</v>
      </c>
      <c r="Y84" s="116">
        <v>0</v>
      </c>
      <c r="Z84" s="66">
        <v>1.006764705882353</v>
      </c>
      <c r="AA84" s="35">
        <v>0</v>
      </c>
      <c r="AB84" s="68">
        <v>356</v>
      </c>
      <c r="AC84" s="35">
        <v>0</v>
      </c>
      <c r="AD84" s="69">
        <v>136</v>
      </c>
      <c r="AE84" s="35"/>
      <c r="AF84" s="69">
        <v>0</v>
      </c>
      <c r="AG84" s="69">
        <v>0</v>
      </c>
      <c r="AH84" s="16">
        <v>72.449999999999989</v>
      </c>
      <c r="AI84" s="16">
        <v>0</v>
      </c>
      <c r="AJ84" s="16">
        <v>0</v>
      </c>
      <c r="AK84" s="12"/>
      <c r="AL84" s="38"/>
      <c r="AM84" s="1"/>
      <c r="AN84" s="71">
        <f t="shared" si="47"/>
        <v>0</v>
      </c>
      <c r="AO84" s="71">
        <f t="shared" si="48"/>
        <v>0</v>
      </c>
      <c r="AP84" s="71">
        <f t="shared" si="49"/>
        <v>136</v>
      </c>
      <c r="AQ84" s="72">
        <f>IF(OR($H84="GIROSSOL II",$H84="GIROSSOL II e III"),INDEX('Resumo Operacional'!$A$1:$P$1103,MATCH("Energia Injetada prevista total Fatura da Usina (TUSD)",'Resumo Operacional'!$B$1:$B$1103,0),MATCH('Detalhe Por UC'!$R84,'Resumo Operacional'!$A$1:$P$1,0))*$S84,INDEX('Resumo Operacional'!$A$1:$P$1103,53,MATCH('Detalhe Por UC'!$R84,'Resumo Operacional'!$A$1:$P$1,0))*$S84)</f>
        <v>277.48</v>
      </c>
      <c r="AR84" s="71">
        <f t="shared" si="50"/>
        <v>-141.48000000000002</v>
      </c>
      <c r="AS84" s="73">
        <f t="shared" si="51"/>
        <v>332.91999999999996</v>
      </c>
      <c r="AT84" s="74">
        <f t="shared" si="52"/>
        <v>332.91999999999996</v>
      </c>
      <c r="AU84" s="74">
        <f t="shared" si="53"/>
        <v>0.89726536682088587</v>
      </c>
      <c r="AV84" s="74">
        <f t="shared" si="54"/>
        <v>102.69000000000001</v>
      </c>
      <c r="AW84" s="74">
        <f t="shared" si="55"/>
        <v>0</v>
      </c>
      <c r="AX84" s="74">
        <f t="shared" si="56"/>
        <v>136.92000000000002</v>
      </c>
      <c r="AY84" s="74">
        <f t="shared" si="57"/>
        <v>102.69</v>
      </c>
      <c r="AZ84" s="49">
        <v>102.69</v>
      </c>
      <c r="BA84" s="117">
        <v>102.69</v>
      </c>
      <c r="BB84" s="49">
        <v>102.69</v>
      </c>
      <c r="BC84" s="73" t="str">
        <f t="shared" si="58"/>
        <v/>
      </c>
      <c r="BD84" s="73">
        <f t="shared" si="59"/>
        <v>469.84</v>
      </c>
      <c r="BE84" s="73">
        <f t="shared" si="60"/>
        <v>435.60999999999996</v>
      </c>
      <c r="BF84" s="77">
        <f t="shared" si="61"/>
        <v>34.229999999999997</v>
      </c>
      <c r="BG84" s="77">
        <f t="shared" si="62"/>
        <v>10.268999999999998</v>
      </c>
      <c r="BH84" s="77">
        <f t="shared" si="63"/>
        <v>136.91999999999999</v>
      </c>
      <c r="BI84" s="78">
        <f t="shared" si="64"/>
        <v>0.25</v>
      </c>
      <c r="BJ84" s="79">
        <f t="shared" si="65"/>
        <v>7.2854588796185935E-2</v>
      </c>
      <c r="BK84" s="80">
        <f t="shared" si="66"/>
        <v>435.60999999999996</v>
      </c>
      <c r="BL84" s="80">
        <f t="shared" si="67"/>
        <v>34.230000000000018</v>
      </c>
      <c r="BM84" s="79">
        <f t="shared" si="68"/>
        <v>7.2854588796185976E-2</v>
      </c>
      <c r="BN84" s="81">
        <f t="shared" si="69"/>
        <v>0.75507352941176464</v>
      </c>
      <c r="BO84" s="82">
        <f t="shared" si="70"/>
        <v>102.69</v>
      </c>
      <c r="BP84" s="81">
        <f t="shared" si="71"/>
        <v>0.75507352941176464</v>
      </c>
      <c r="BQ84" s="81">
        <f t="shared" si="72"/>
        <v>0.86457286847323178</v>
      </c>
      <c r="BR84" s="81">
        <f t="shared" si="73"/>
        <v>1.1162640449438201</v>
      </c>
      <c r="BS84" s="82">
        <f t="shared" si="74"/>
        <v>136</v>
      </c>
      <c r="BT84" s="82">
        <f t="shared" si="75"/>
        <v>151.81191011235953</v>
      </c>
      <c r="BU84" s="82">
        <f t="shared" si="76"/>
        <v>136.92000000000002</v>
      </c>
      <c r="BV84"/>
      <c r="BW84" s="82">
        <f>IFERROR(INDEX('Infos Clientes'!$T:$T,MATCH('Detalhe Por UC'!$C84,'Infos Clientes'!B:B,0)),"")</f>
        <v>361.81818181818181</v>
      </c>
      <c r="BX84" s="83">
        <f t="shared" si="77"/>
        <v>0</v>
      </c>
      <c r="BY84" s="84">
        <f t="shared" si="78"/>
        <v>0.2254763804412025</v>
      </c>
      <c r="BZ84" s="85">
        <f>IF(_xlfn.MINIFS('Detalhe Por UC'!R:R,'Detalhe Por UC'!C:C,C84,'Detalhe Por UC'!AD:AD,"&gt;"&amp;0)=0,"",_xlfn.MINIFS('Detalhe Por UC'!R:R,'Detalhe Por UC'!C:C,C84,'Detalhe Por UC'!AD:AD,"&gt;"&amp;0))</f>
        <v>45658</v>
      </c>
      <c r="CA84" s="114">
        <f ca="1">IF(OR(S84&gt;0,AD84&gt;0),IFERROR(
SUMIFS(INDIRECT("'Infos Clientes'!$W"&amp;INDEX('Infos Clientes'!$C:$C,MATCH(C84,'Infos Clientes'!$H:$H,0))&amp;":$CZ"&amp;INDEX('Infos Clientes'!$C:$C,MATCH(C84,'Infos Clientes'!$H:$H,0))),'Infos Clientes'!$W$2:$CZ$2,"&gt;"&amp;$R84-365,'Infos Clientes'!$W$2:$CZ$2,"&lt;="&amp;$R84)/
COUNTIFS(INDIRECT("'Infos Clientes'!$W"&amp;INDEX('Infos Clientes'!$C:$C,MATCH(C84,'Infos Clientes'!$H:$H,0))&amp;":$CZ"&amp;INDEX('Infos Clientes'!$C:$C,MATCH(C84,'Infos Clientes'!$H:$H,0))),"&gt;="&amp;0,'Infos Clientes'!$W$2:$CZ$2,"&gt;"&amp;$R84-365,'Infos Clientes'!$W$2:$CZ$2,"&lt;="&amp;$R84),""),"")</f>
        <v>331.66666666666669</v>
      </c>
      <c r="CB84" s="87">
        <f>VLOOKUP(C84,'Infos Clientes'!B:L,11,0)</f>
        <v>0</v>
      </c>
      <c r="CC84" s="88" t="str">
        <f t="shared" si="79"/>
        <v>A Unidade Consumidora 10/480529-7 economizou R$34,23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84" s="40"/>
      <c r="CF84" s="115">
        <f t="shared" si="80"/>
        <v>-332.91999999999996</v>
      </c>
    </row>
    <row r="85" spans="1:84" s="104" customFormat="1" ht="16.2" hidden="1" customHeight="1" x14ac:dyDescent="0.3">
      <c r="A85" s="105" t="str">
        <f>INDEX('Infos Clientes'!$D:$D,MATCH('Detalhe Por UC'!C85,'Infos Clientes'!B:B,0))</f>
        <v>IGREJA DO EVANGELHO QUADRANGULAR</v>
      </c>
      <c r="B85" s="106" t="str">
        <f>INDEX('Infos Clientes'!$F:$F,MATCH('Detalhe Por UC'!C85,'Infos Clientes'!B:B,0))</f>
        <v>62.955.505/0160-80</v>
      </c>
      <c r="C85" s="31" t="s">
        <v>207</v>
      </c>
      <c r="D85" t="s">
        <v>351</v>
      </c>
      <c r="E85" s="1" t="s">
        <v>352</v>
      </c>
      <c r="F85" s="56" t="str">
        <f>INDEX('Infos Clientes'!$I:$I,MATCH('Detalhe Por UC'!C85,'Infos Clientes'!B:B,0))</f>
        <v>BT</v>
      </c>
      <c r="G85" s="56" t="str">
        <f>INDEX('Infos Clientes'!$J:$J,MATCH('Detalhe Por UC'!C85,'Infos Clientes'!B:B,0))</f>
        <v>trifasico</v>
      </c>
      <c r="H85" s="108" t="s">
        <v>24</v>
      </c>
      <c r="I85" s="58">
        <f>IFERROR(VLOOKUP(C85,'Infos Clientes'!B:E,4,),"")</f>
        <v>357</v>
      </c>
      <c r="J85" s="109">
        <v>0.25</v>
      </c>
      <c r="K85" s="59">
        <f>INDEX('Infos Clientes'!$M:$M,MATCH('Detalhe Por UC'!C85,'Infos Clientes'!B:B,0))</f>
        <v>0.25</v>
      </c>
      <c r="L85" s="110"/>
      <c r="M85" s="56">
        <f>INDEX('Infos Clientes'!$N:$N,MATCH('Detalhe Por UC'!C85,'Infos Clientes'!B:B,0))</f>
        <v>0</v>
      </c>
      <c r="N85" s="56">
        <f t="shared" si="44"/>
        <v>0</v>
      </c>
      <c r="O85" s="56">
        <f t="shared" si="45"/>
        <v>9</v>
      </c>
      <c r="P85" s="56">
        <f t="shared" si="46"/>
        <v>0</v>
      </c>
      <c r="Q85" s="61">
        <f>IFERROR(IFERROR(INDEX('Infos Clientes'!$A$2:$V$9884,MATCH($C85,'Infos Clientes'!$B$2:$B$9884,0),MATCH(Q$8,'Infos Clientes'!$A$2:$V$2,0)),"")
+IF(OR(INDEX('Infos Clientes'!$A$2:$V$9884,MATCH($C85,'Infos Clientes'!$B$2:$B$9884,0),MATCH("Tempo de Fidelidade (meses)",'Infos Clientes'!$A$2:$V$2,0))=0,R85&gt;=MAX(R:R)),0,
ROUND((MAX(R:R)-R85)/(365/12),0)),"")</f>
        <v>0</v>
      </c>
      <c r="R85" s="111">
        <v>45658</v>
      </c>
      <c r="S85" s="112">
        <v>0.03</v>
      </c>
      <c r="T85" s="113">
        <f>IF($H85="GIROSSOL II",AP85/INDEX('Resumo Operacional'!$A$1:$P$1103,17,MATCH('Detalhe Por UC'!$R85,'Resumo Operacional'!$A$1:$P$1,0)),
IF($H85="GIROSSOL II e III",AP85/INDEX('Resumo Operacional'!$A$1:$P$1103,17,MATCH('Detalhe Por UC'!$R85,'Resumo Operacional'!$A$1:$P$1,0)),
""))</f>
        <v>1.9677093844601413E-2</v>
      </c>
      <c r="U85" s="113" t="str">
        <f>IF($H85="GIROSSOL III",AP85/INDEX('Resumo Operacional'!$A$1:$P$1103,53,MATCH('Detalhe Por UC'!$R85,'Resumo Operacional'!$A$1:$P$1,0)),
IF($H85="GIROSSOL II e III",AP85/INDEX('Resumo Operacional'!$A$1:$P$1103,53,MATCH('Detalhe Por UC'!$R85,'Resumo Operacional'!$A$1:$P$1,0)),
""))</f>
        <v/>
      </c>
      <c r="V85" s="12"/>
      <c r="W85" s="12"/>
      <c r="X85" s="67">
        <v>1.1162546816479402</v>
      </c>
      <c r="Y85" s="116">
        <v>0</v>
      </c>
      <c r="Z85" s="66">
        <v>1.1162637362637362</v>
      </c>
      <c r="AA85" s="35">
        <v>0</v>
      </c>
      <c r="AB85" s="68">
        <v>534</v>
      </c>
      <c r="AC85" s="35">
        <v>0</v>
      </c>
      <c r="AD85" s="69">
        <v>273</v>
      </c>
      <c r="AE85" s="35"/>
      <c r="AF85" s="69">
        <v>0</v>
      </c>
      <c r="AG85" s="69">
        <v>0</v>
      </c>
      <c r="AH85" s="16">
        <v>73.540000000000006</v>
      </c>
      <c r="AI85" s="16">
        <v>0</v>
      </c>
      <c r="AJ85" s="16">
        <v>0</v>
      </c>
      <c r="AK85" s="12"/>
      <c r="AL85" s="38"/>
      <c r="AM85" s="1"/>
      <c r="AN85" s="71">
        <f t="shared" si="47"/>
        <v>0</v>
      </c>
      <c r="AO85" s="71">
        <f t="shared" si="48"/>
        <v>0</v>
      </c>
      <c r="AP85" s="71">
        <f t="shared" si="49"/>
        <v>273</v>
      </c>
      <c r="AQ85" s="72">
        <f>IF(OR($H85="GIROSSOL II",$H85="GIROSSOL II e III"),INDEX('Resumo Operacional'!$A$1:$P$1103,MATCH("Energia Injetada prevista total Fatura da Usina (TUSD)",'Resumo Operacional'!$B$1:$B$1103,0),MATCH('Detalhe Por UC'!$R85,'Resumo Operacional'!$A$1:$P$1,0))*$S85,INDEX('Resumo Operacional'!$A$1:$P$1103,53,MATCH('Detalhe Por UC'!$R85,'Resumo Operacional'!$A$1:$P$1,0))*$S85)</f>
        <v>416.21999999999997</v>
      </c>
      <c r="AR85" s="71">
        <f t="shared" si="50"/>
        <v>-143.21999999999997</v>
      </c>
      <c r="AS85" s="73">
        <f t="shared" si="51"/>
        <v>364.88000000000005</v>
      </c>
      <c r="AT85" s="74">
        <f t="shared" si="52"/>
        <v>364.88000000000005</v>
      </c>
      <c r="AU85" s="74">
        <f t="shared" si="53"/>
        <v>1.1162727908795322</v>
      </c>
      <c r="AV85" s="74">
        <f t="shared" si="54"/>
        <v>228.55499999999998</v>
      </c>
      <c r="AW85" s="74">
        <f t="shared" si="55"/>
        <v>0</v>
      </c>
      <c r="AX85" s="74">
        <f t="shared" si="56"/>
        <v>304.74</v>
      </c>
      <c r="AY85" s="74">
        <f t="shared" si="57"/>
        <v>228.56</v>
      </c>
      <c r="AZ85" s="49">
        <v>228.56</v>
      </c>
      <c r="BA85" s="117">
        <v>228.56</v>
      </c>
      <c r="BB85" s="49"/>
      <c r="BC85" s="73" t="str">
        <f t="shared" si="58"/>
        <v/>
      </c>
      <c r="BD85" s="73">
        <f t="shared" si="59"/>
        <v>669.62</v>
      </c>
      <c r="BE85" s="73">
        <f t="shared" si="60"/>
        <v>593.43500000000006</v>
      </c>
      <c r="BF85" s="77">
        <f t="shared" si="61"/>
        <v>76.180000000000007</v>
      </c>
      <c r="BG85" s="77">
        <f t="shared" si="62"/>
        <v>22.854000000000003</v>
      </c>
      <c r="BH85" s="77">
        <f t="shared" si="63"/>
        <v>304.74</v>
      </c>
      <c r="BI85" s="78">
        <f t="shared" si="64"/>
        <v>0.25</v>
      </c>
      <c r="BJ85" s="79">
        <f t="shared" si="65"/>
        <v>0.11376601654669814</v>
      </c>
      <c r="BK85" s="80">
        <f t="shared" si="66"/>
        <v>593.44000000000005</v>
      </c>
      <c r="BL85" s="80">
        <f t="shared" si="67"/>
        <v>76.17999999999995</v>
      </c>
      <c r="BM85" s="79">
        <f t="shared" si="68"/>
        <v>0.11376601654669805</v>
      </c>
      <c r="BN85" s="81">
        <f t="shared" si="69"/>
        <v>0.83721611721611722</v>
      </c>
      <c r="BO85" s="82">
        <f t="shared" si="70"/>
        <v>228.56</v>
      </c>
      <c r="BP85" s="81">
        <f t="shared" si="71"/>
        <v>0.83721611721611722</v>
      </c>
      <c r="BQ85" s="81">
        <f t="shared" si="72"/>
        <v>0.83720706260032118</v>
      </c>
      <c r="BR85" s="81">
        <f t="shared" si="73"/>
        <v>1.1162546816479402</v>
      </c>
      <c r="BS85" s="82">
        <f t="shared" si="74"/>
        <v>273</v>
      </c>
      <c r="BT85" s="82">
        <f t="shared" si="75"/>
        <v>304.73752808988769</v>
      </c>
      <c r="BU85" s="82">
        <f t="shared" si="76"/>
        <v>304.74</v>
      </c>
      <c r="BV85"/>
      <c r="BW85" s="82">
        <f>IFERROR(INDEX('Infos Clientes'!$T:$T,MATCH('Detalhe Por UC'!$C85,'Infos Clientes'!B:B,0)),"")</f>
        <v>510.45454545454544</v>
      </c>
      <c r="BX85" s="83">
        <f t="shared" si="77"/>
        <v>0</v>
      </c>
      <c r="BY85" s="84">
        <f t="shared" si="78"/>
        <v>0.24998562033859301</v>
      </c>
      <c r="BZ85" s="85">
        <f>IF(_xlfn.MINIFS('Detalhe Por UC'!R:R,'Detalhe Por UC'!C:C,C85,'Detalhe Por UC'!AD:AD,"&gt;"&amp;0)=0,"",_xlfn.MINIFS('Detalhe Por UC'!R:R,'Detalhe Por UC'!C:C,C85,'Detalhe Por UC'!AD:AD,"&gt;"&amp;0))</f>
        <v>45658</v>
      </c>
      <c r="CA85" s="114">
        <f ca="1">IF(OR(S85&gt;0,AD85&gt;0),IFERROR(
SUMIFS(INDIRECT("'Infos Clientes'!$W"&amp;INDEX('Infos Clientes'!$C:$C,MATCH(C85,'Infos Clientes'!$H:$H,0))&amp;":$CZ"&amp;INDEX('Infos Clientes'!$C:$C,MATCH(C85,'Infos Clientes'!$H:$H,0))),'Infos Clientes'!$W$2:$CZ$2,"&gt;"&amp;$R85-365,'Infos Clientes'!$W$2:$CZ$2,"&lt;="&amp;$R85)/
COUNTIFS(INDIRECT("'Infos Clientes'!$W"&amp;INDEX('Infos Clientes'!$C:$C,MATCH(C85,'Infos Clientes'!$H:$H,0))&amp;":$CZ"&amp;INDEX('Infos Clientes'!$C:$C,MATCH(C85,'Infos Clientes'!$H:$H,0))),"&gt;="&amp;0,'Infos Clientes'!$W$2:$CZ$2,"&gt;"&amp;$R85-365,'Infos Clientes'!$W$2:$CZ$2,"&lt;="&amp;$R85),""),"")</f>
        <v>467.91666666666669</v>
      </c>
      <c r="CB85" s="87">
        <f>VLOOKUP(C85,'Infos Clientes'!B:L,11,0)</f>
        <v>0</v>
      </c>
      <c r="CC85" s="88" t="str">
        <f t="shared" si="79"/>
        <v>A Unidade Consumidora 10/489076-0 economizou R$76,18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85" s="40" t="s">
        <v>208</v>
      </c>
      <c r="CF85" s="115">
        <f t="shared" si="80"/>
        <v>-364.88000000000005</v>
      </c>
    </row>
    <row r="86" spans="1:84" s="104" customFormat="1" ht="16.2" hidden="1" customHeight="1" x14ac:dyDescent="0.3">
      <c r="A86" s="105" t="str">
        <f>INDEX('Infos Clientes'!$D:$D,MATCH('Detalhe Por UC'!C86,'Infos Clientes'!B:B,0))</f>
        <v>IGREJA DO EVANGELHO QUADRANGULAR</v>
      </c>
      <c r="B86" s="106" t="str">
        <f>INDEX('Infos Clientes'!$F:$F,MATCH('Detalhe Por UC'!C86,'Infos Clientes'!B:B,0))</f>
        <v>62.955.505/3544-81</v>
      </c>
      <c r="C86" s="31" t="s">
        <v>209</v>
      </c>
      <c r="D86" t="s">
        <v>351</v>
      </c>
      <c r="E86" s="1" t="s">
        <v>352</v>
      </c>
      <c r="F86" s="56" t="str">
        <f>INDEX('Infos Clientes'!$I:$I,MATCH('Detalhe Por UC'!C86,'Infos Clientes'!B:B,0))</f>
        <v>BT</v>
      </c>
      <c r="G86" s="56" t="str">
        <f>INDEX('Infos Clientes'!$J:$J,MATCH('Detalhe Por UC'!C86,'Infos Clientes'!B:B,0))</f>
        <v>trifasico</v>
      </c>
      <c r="H86" s="108" t="s">
        <v>353</v>
      </c>
      <c r="I86" s="58">
        <f>IFERROR(VLOOKUP(C86,'Infos Clientes'!B:E,4,),"")</f>
        <v>371</v>
      </c>
      <c r="J86" s="109">
        <v>0.25</v>
      </c>
      <c r="K86" s="59">
        <f>INDEX('Infos Clientes'!$M:$M,MATCH('Detalhe Por UC'!C86,'Infos Clientes'!B:B,0))</f>
        <v>0.25</v>
      </c>
      <c r="L86" s="110"/>
      <c r="M86" s="56">
        <f>INDEX('Infos Clientes'!$N:$N,MATCH('Detalhe Por UC'!C86,'Infos Clientes'!B:B,0))</f>
        <v>0</v>
      </c>
      <c r="N86" s="56">
        <f t="shared" si="44"/>
        <v>0</v>
      </c>
      <c r="O86" s="56">
        <f t="shared" si="45"/>
        <v>8</v>
      </c>
      <c r="P86" s="56">
        <f t="shared" si="46"/>
        <v>0</v>
      </c>
      <c r="Q86" s="61">
        <f>IFERROR(IFERROR(INDEX('Infos Clientes'!$A$2:$V$9884,MATCH($C86,'Infos Clientes'!$B$2:$B$9884,0),MATCH(Q$8,'Infos Clientes'!$A$2:$V$2,0)),"")
+IF(OR(INDEX('Infos Clientes'!$A$2:$V$9884,MATCH($C86,'Infos Clientes'!$B$2:$B$9884,0),MATCH("Tempo de Fidelidade (meses)",'Infos Clientes'!$A$2:$V$2,0))=0,R86&gt;=MAX(R:R)),0,
ROUND((MAX(R:R)-R86)/(365/12),0)),"")</f>
        <v>0</v>
      </c>
      <c r="R86" s="111">
        <v>45658</v>
      </c>
      <c r="S86" s="112">
        <v>0.02</v>
      </c>
      <c r="T86" s="113">
        <f>IF($H86="GIROSSOL II",AP86/INDEX('Resumo Operacional'!$A$1:$P$1103,17,MATCH('Detalhe Por UC'!$R86,'Resumo Operacional'!$A$1:$P$1,0)),
IF($H86="GIROSSOL II e III",AP86/INDEX('Resumo Operacional'!$A$1:$P$1103,17,MATCH('Detalhe Por UC'!$R86,'Resumo Operacional'!$A$1:$P$1,0)),
""))</f>
        <v>1.9677093844601413E-2</v>
      </c>
      <c r="U86" s="113">
        <f>IF($H86="GIROSSOL III",AP86/INDEX('Resumo Operacional'!$A$1:$P$1103,53,MATCH('Detalhe Por UC'!$R86,'Resumo Operacional'!$A$1:$P$1,0)),
IF($H86="GIROSSOL II e III",AP86/INDEX('Resumo Operacional'!$A$1:$P$1103,53,MATCH('Detalhe Por UC'!$R86,'Resumo Operacional'!$A$1:$P$1,0)),
""))</f>
        <v>1.6548463356973995E-2</v>
      </c>
      <c r="V86" s="12"/>
      <c r="W86" s="12"/>
      <c r="X86" s="67">
        <v>1.1162645914396887</v>
      </c>
      <c r="Y86" s="116">
        <v>0</v>
      </c>
      <c r="Z86" s="66">
        <v>1.0016483516483516</v>
      </c>
      <c r="AA86" s="35">
        <v>0</v>
      </c>
      <c r="AB86" s="68">
        <v>514</v>
      </c>
      <c r="AC86" s="35">
        <v>0</v>
      </c>
      <c r="AD86" s="69">
        <v>273</v>
      </c>
      <c r="AE86" s="35"/>
      <c r="AF86" s="69">
        <v>0</v>
      </c>
      <c r="AG86" s="69">
        <v>0</v>
      </c>
      <c r="AH86" s="16">
        <v>49.03</v>
      </c>
      <c r="AI86" s="16">
        <v>0</v>
      </c>
      <c r="AJ86" s="16">
        <v>0</v>
      </c>
      <c r="AK86" s="12"/>
      <c r="AL86" s="38"/>
      <c r="AM86" s="1"/>
      <c r="AN86" s="71">
        <f t="shared" si="47"/>
        <v>0</v>
      </c>
      <c r="AO86" s="71">
        <f t="shared" si="48"/>
        <v>0</v>
      </c>
      <c r="AP86" s="71">
        <f t="shared" si="49"/>
        <v>273</v>
      </c>
      <c r="AQ86" s="72">
        <f>IF(OR($H86="GIROSSOL II",$H86="GIROSSOL II e III"),INDEX('Resumo Operacional'!$A$1:$P$1103,MATCH("Energia Injetada prevista total Fatura da Usina (TUSD)",'Resumo Operacional'!$B$1:$B$1103,0),MATCH('Detalhe Por UC'!$R86,'Resumo Operacional'!$A$1:$P$1,0))*$S86,INDEX('Resumo Operacional'!$A$1:$P$1103,53,MATCH('Detalhe Por UC'!$R86,'Resumo Operacional'!$A$1:$P$1,0))*$S86)</f>
        <v>277.48</v>
      </c>
      <c r="AR86" s="71">
        <f t="shared" si="50"/>
        <v>-4.4800000000000182</v>
      </c>
      <c r="AS86" s="73">
        <f t="shared" si="51"/>
        <v>349.34000000000003</v>
      </c>
      <c r="AT86" s="74">
        <f t="shared" si="52"/>
        <v>349.34000000000003</v>
      </c>
      <c r="AU86" s="74">
        <f t="shared" si="53"/>
        <v>0.88703211185701458</v>
      </c>
      <c r="AV86" s="74">
        <f t="shared" si="54"/>
        <v>205.08750000000001</v>
      </c>
      <c r="AW86" s="74">
        <f t="shared" si="55"/>
        <v>0</v>
      </c>
      <c r="AX86" s="74">
        <f t="shared" si="56"/>
        <v>273.45</v>
      </c>
      <c r="AY86" s="74">
        <f t="shared" si="57"/>
        <v>205.09</v>
      </c>
      <c r="AZ86" s="49">
        <v>205.09</v>
      </c>
      <c r="BA86" s="117">
        <v>205.09</v>
      </c>
      <c r="BB86" s="49">
        <v>205.09</v>
      </c>
      <c r="BC86" s="73" t="str">
        <f t="shared" si="58"/>
        <v/>
      </c>
      <c r="BD86" s="73">
        <f t="shared" si="59"/>
        <v>622.79</v>
      </c>
      <c r="BE86" s="73">
        <f t="shared" si="60"/>
        <v>554.42750000000001</v>
      </c>
      <c r="BF86" s="77">
        <f t="shared" si="61"/>
        <v>68.36</v>
      </c>
      <c r="BG86" s="77">
        <f t="shared" si="62"/>
        <v>20.507999999999999</v>
      </c>
      <c r="BH86" s="77">
        <f t="shared" si="63"/>
        <v>273.45</v>
      </c>
      <c r="BI86" s="78">
        <f t="shared" si="64"/>
        <v>0.25</v>
      </c>
      <c r="BJ86" s="79">
        <f t="shared" si="65"/>
        <v>0.10976412594935693</v>
      </c>
      <c r="BK86" s="80">
        <f t="shared" si="66"/>
        <v>554.43000000000006</v>
      </c>
      <c r="BL86" s="80">
        <f t="shared" si="67"/>
        <v>68.3599999999999</v>
      </c>
      <c r="BM86" s="79">
        <f t="shared" si="68"/>
        <v>0.10976412594935678</v>
      </c>
      <c r="BN86" s="81">
        <f t="shared" si="69"/>
        <v>0.75124542124542126</v>
      </c>
      <c r="BO86" s="82">
        <f t="shared" si="70"/>
        <v>205.09</v>
      </c>
      <c r="BP86" s="81">
        <f t="shared" si="71"/>
        <v>0.75124542124542126</v>
      </c>
      <c r="BQ86" s="81">
        <f t="shared" si="72"/>
        <v>0.86586166103675832</v>
      </c>
      <c r="BR86" s="81">
        <f t="shared" si="73"/>
        <v>1.1162645914396887</v>
      </c>
      <c r="BS86" s="82">
        <f t="shared" si="74"/>
        <v>273</v>
      </c>
      <c r="BT86" s="82">
        <f t="shared" si="75"/>
        <v>304.740233463035</v>
      </c>
      <c r="BU86" s="82">
        <f t="shared" si="76"/>
        <v>273.45</v>
      </c>
      <c r="BV86"/>
      <c r="BW86" s="82">
        <f>IFERROR(INDEX('Infos Clientes'!$T:$T,MATCH('Detalhe Por UC'!$C86,'Infos Clientes'!B:B,0)),"")</f>
        <v>433.54545454545456</v>
      </c>
      <c r="BX86" s="83">
        <f t="shared" si="77"/>
        <v>0</v>
      </c>
      <c r="BY86" s="84">
        <f t="shared" si="78"/>
        <v>0.22432220131606634</v>
      </c>
      <c r="BZ86" s="85">
        <f>IF(_xlfn.MINIFS('Detalhe Por UC'!R:R,'Detalhe Por UC'!C:C,C86,'Detalhe Por UC'!AD:AD,"&gt;"&amp;0)=0,"",_xlfn.MINIFS('Detalhe Por UC'!R:R,'Detalhe Por UC'!C:C,C86,'Detalhe Por UC'!AD:AD,"&gt;"&amp;0))</f>
        <v>45658</v>
      </c>
      <c r="CA86" s="114">
        <f ca="1">IF(OR(S86&gt;0,AD86&gt;0),IFERROR(
SUMIFS(INDIRECT("'Infos Clientes'!$W"&amp;INDEX('Infos Clientes'!$C:$C,MATCH(C86,'Infos Clientes'!$H:$H,0))&amp;":$CZ"&amp;INDEX('Infos Clientes'!$C:$C,MATCH(C86,'Infos Clientes'!$H:$H,0))),'Infos Clientes'!$W$2:$CZ$2,"&gt;"&amp;$R86-365,'Infos Clientes'!$W$2:$CZ$2,"&lt;="&amp;$R86)/
COUNTIFS(INDIRECT("'Infos Clientes'!$W"&amp;INDEX('Infos Clientes'!$C:$C,MATCH(C86,'Infos Clientes'!$H:$H,0))&amp;":$CZ"&amp;INDEX('Infos Clientes'!$C:$C,MATCH(C86,'Infos Clientes'!$H:$H,0))),"&gt;="&amp;0,'Infos Clientes'!$W$2:$CZ$2,"&gt;"&amp;$R86-365,'Infos Clientes'!$W$2:$CZ$2,"&lt;="&amp;$R86),""),"")</f>
        <v>397.41666666666669</v>
      </c>
      <c r="CB86" s="87">
        <f>VLOOKUP(C86,'Infos Clientes'!B:L,11,0)</f>
        <v>0</v>
      </c>
      <c r="CC86" s="88" t="str">
        <f t="shared" si="79"/>
        <v>A Unidade Consumidora 10/504844-2 economizou R$68,36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86" s="40" t="s">
        <v>211</v>
      </c>
      <c r="CF86" s="115">
        <f t="shared" si="80"/>
        <v>-349.34000000000003</v>
      </c>
    </row>
    <row r="87" spans="1:84" s="104" customFormat="1" ht="16.2" hidden="1" customHeight="1" x14ac:dyDescent="0.3">
      <c r="A87" s="105" t="str">
        <f>INDEX('Infos Clientes'!$D:$D,MATCH('Detalhe Por UC'!C87,'Infos Clientes'!B:B,0))</f>
        <v>IGREJA DO EVANGELHO QUADRANGULAR</v>
      </c>
      <c r="B87" s="106" t="str">
        <f>INDEX('Infos Clientes'!$F:$F,MATCH('Detalhe Por UC'!C87,'Infos Clientes'!B:B,0))</f>
        <v>62.955.505/8873-82</v>
      </c>
      <c r="C87" s="107" t="s">
        <v>212</v>
      </c>
      <c r="D87" t="s">
        <v>351</v>
      </c>
      <c r="E87" s="1" t="s">
        <v>352</v>
      </c>
      <c r="F87" s="56" t="str">
        <f>INDEX('Infos Clientes'!$I:$I,MATCH('Detalhe Por UC'!C87,'Infos Clientes'!B:B,0))</f>
        <v>BT</v>
      </c>
      <c r="G87" s="56" t="str">
        <f>INDEX('Infos Clientes'!$J:$J,MATCH('Detalhe Por UC'!C87,'Infos Clientes'!B:B,0))</f>
        <v>trifasico</v>
      </c>
      <c r="H87" s="108" t="s">
        <v>138</v>
      </c>
      <c r="I87" s="58">
        <f>IFERROR(VLOOKUP(C87,'Infos Clientes'!B:E,4,),"")</f>
        <v>351</v>
      </c>
      <c r="J87" s="109">
        <v>0.25</v>
      </c>
      <c r="K87" s="59">
        <f>INDEX('Infos Clientes'!$M:$M,MATCH('Detalhe Por UC'!C87,'Infos Clientes'!B:B,0))</f>
        <v>0.25</v>
      </c>
      <c r="L87" s="110"/>
      <c r="M87" s="56">
        <f>INDEX('Infos Clientes'!$N:$N,MATCH('Detalhe Por UC'!C87,'Infos Clientes'!B:B,0))</f>
        <v>0</v>
      </c>
      <c r="N87" s="56">
        <f t="shared" si="44"/>
        <v>0</v>
      </c>
      <c r="O87" s="56">
        <f t="shared" si="45"/>
        <v>3</v>
      </c>
      <c r="P87" s="56">
        <f t="shared" si="46"/>
        <v>0</v>
      </c>
      <c r="Q87" s="61">
        <f>IFERROR(IFERROR(INDEX('Infos Clientes'!$A$2:$V$9884,MATCH($C87,'Infos Clientes'!$B$2:$B$9884,0),MATCH(Q$8,'Infos Clientes'!$A$2:$V$2,0)),"")
+IF(OR(INDEX('Infos Clientes'!$A$2:$V$9884,MATCH($C87,'Infos Clientes'!$B$2:$B$9884,0),MATCH("Tempo de Fidelidade (meses)",'Infos Clientes'!$A$2:$V$2,0))=0,R87&gt;=MAX(R:R)),0,
ROUND((MAX(R:R)-R87)/(365/12),0)),"")</f>
        <v>0</v>
      </c>
      <c r="R87" s="111">
        <v>45658</v>
      </c>
      <c r="S87" s="112">
        <v>3.0000000000000001E-3</v>
      </c>
      <c r="T87" s="113" t="str">
        <f>IF($H87="GIROSSOL II",AP87/INDEX('Resumo Operacional'!$A$1:$P$1103,17,MATCH('Detalhe Por UC'!$R87,'Resumo Operacional'!$A$1:$P$1,0)),
IF($H87="GIROSSOL II e III",AP87/INDEX('Resumo Operacional'!$A$1:$P$1103,17,MATCH('Detalhe Por UC'!$R87,'Resumo Operacional'!$A$1:$P$1,0)),
""))</f>
        <v/>
      </c>
      <c r="U87" s="113">
        <f>IF($H87="GIROSSOL III",AP87/INDEX('Resumo Operacional'!$A$1:$P$1103,53,MATCH('Detalhe Por UC'!$R87,'Resumo Operacional'!$A$1:$P$1,0)),
IF($H87="GIROSSOL II e III",AP87/INDEX('Resumo Operacional'!$A$1:$P$1103,53,MATCH('Detalhe Por UC'!$R87,'Resumo Operacional'!$A$1:$P$1,0)),
""))</f>
        <v>0</v>
      </c>
      <c r="V87" s="12"/>
      <c r="W87" s="12"/>
      <c r="X87" s="67">
        <v>1.1162000000000001</v>
      </c>
      <c r="Y87" s="116">
        <v>0</v>
      </c>
      <c r="Z87" s="66">
        <v>0</v>
      </c>
      <c r="AA87" s="35">
        <v>0</v>
      </c>
      <c r="AB87" s="68">
        <v>0</v>
      </c>
      <c r="AC87" s="35">
        <v>0</v>
      </c>
      <c r="AD87" s="69">
        <v>0</v>
      </c>
      <c r="AE87" s="35"/>
      <c r="AF87" s="69">
        <v>0</v>
      </c>
      <c r="AG87" s="69">
        <v>0</v>
      </c>
      <c r="AH87" s="16">
        <v>0</v>
      </c>
      <c r="AI87" s="16">
        <v>0</v>
      </c>
      <c r="AJ87" s="16">
        <v>0</v>
      </c>
      <c r="AK87" s="12"/>
      <c r="AL87" s="38"/>
      <c r="AM87" s="1"/>
      <c r="AN87" s="71">
        <f t="shared" si="47"/>
        <v>0</v>
      </c>
      <c r="AO87" s="71">
        <f t="shared" si="48"/>
        <v>0</v>
      </c>
      <c r="AP87" s="71">
        <f t="shared" si="49"/>
        <v>0</v>
      </c>
      <c r="AQ87" s="72">
        <f>IF(OR($H87="GIROSSOL II",$H87="GIROSSOL II e III"),INDEX('Resumo Operacional'!$A$1:$P$1103,MATCH("Energia Injetada prevista total Fatura da Usina (TUSD)",'Resumo Operacional'!$B$1:$B$1103,0),MATCH('Detalhe Por UC'!$R87,'Resumo Operacional'!$A$1:$P$1,0))*$S87,INDEX('Resumo Operacional'!$A$1:$P$1103,53,MATCH('Detalhe Por UC'!$R87,'Resumo Operacional'!$A$1:$P$1,0))*$S87)</f>
        <v>49.491</v>
      </c>
      <c r="AR87" s="71">
        <f t="shared" si="50"/>
        <v>-49.491</v>
      </c>
      <c r="AS87" s="73">
        <f t="shared" si="51"/>
        <v>111.62</v>
      </c>
      <c r="AT87" s="74">
        <f t="shared" si="52"/>
        <v>111.62</v>
      </c>
      <c r="AU87" s="74" t="str">
        <f t="shared" si="53"/>
        <v/>
      </c>
      <c r="AV87" s="74">
        <f t="shared" si="54"/>
        <v>0</v>
      </c>
      <c r="AW87" s="74">
        <f t="shared" si="55"/>
        <v>0</v>
      </c>
      <c r="AX87" s="74">
        <f t="shared" si="56"/>
        <v>0</v>
      </c>
      <c r="AY87" s="74" t="str">
        <f t="shared" si="57"/>
        <v/>
      </c>
      <c r="AZ87" s="49"/>
      <c r="BA87" s="49"/>
      <c r="BB87" s="49"/>
      <c r="BC87" s="73" t="str">
        <f t="shared" si="58"/>
        <v/>
      </c>
      <c r="BD87" s="73">
        <f t="shared" si="59"/>
        <v>111.62</v>
      </c>
      <c r="BE87" s="73">
        <f t="shared" si="60"/>
        <v>111.62</v>
      </c>
      <c r="BF87" s="77">
        <f t="shared" si="61"/>
        <v>0</v>
      </c>
      <c r="BG87" s="77">
        <f t="shared" si="62"/>
        <v>0</v>
      </c>
      <c r="BH87" s="77">
        <f t="shared" si="63"/>
        <v>0</v>
      </c>
      <c r="BI87" s="78" t="str">
        <f t="shared" si="64"/>
        <v/>
      </c>
      <c r="BJ87" s="79">
        <f t="shared" si="65"/>
        <v>0</v>
      </c>
      <c r="BK87" s="80" t="str">
        <f t="shared" si="66"/>
        <v/>
      </c>
      <c r="BL87" s="80" t="str">
        <f t="shared" si="67"/>
        <v/>
      </c>
      <c r="BM87" s="79" t="str">
        <f t="shared" si="68"/>
        <v/>
      </c>
      <c r="BN87" s="81" t="str">
        <f t="shared" si="69"/>
        <v/>
      </c>
      <c r="BO87" s="82" t="str">
        <f t="shared" si="70"/>
        <v/>
      </c>
      <c r="BP87" s="81" t="str">
        <f t="shared" si="71"/>
        <v/>
      </c>
      <c r="BQ87" s="81" t="str">
        <f t="shared" si="72"/>
        <v/>
      </c>
      <c r="BR87" s="81" t="str">
        <f t="shared" si="73"/>
        <v/>
      </c>
      <c r="BS87" s="82">
        <f t="shared" si="74"/>
        <v>0</v>
      </c>
      <c r="BT87" s="82" t="str">
        <f t="shared" si="75"/>
        <v/>
      </c>
      <c r="BU87" s="82">
        <f t="shared" si="76"/>
        <v>0</v>
      </c>
      <c r="BV87"/>
      <c r="BW87" s="82">
        <f>IFERROR(INDEX('Infos Clientes'!$T:$T,MATCH('Detalhe Por UC'!$C87,'Infos Clientes'!B:B,0)),"")</f>
        <v>93.7</v>
      </c>
      <c r="BX87" s="83">
        <f t="shared" si="77"/>
        <v>0</v>
      </c>
      <c r="BY87" s="84" t="str">
        <f t="shared" si="78"/>
        <v/>
      </c>
      <c r="BZ87" s="85">
        <f>IF(_xlfn.MINIFS('Detalhe Por UC'!R:R,'Detalhe Por UC'!C:C,C87,'Detalhe Por UC'!AD:AD,"&gt;"&amp;0)=0,"",_xlfn.MINIFS('Detalhe Por UC'!R:R,'Detalhe Por UC'!C:C,C87,'Detalhe Por UC'!AD:AD,"&gt;"&amp;0))</f>
        <v>45689</v>
      </c>
      <c r="CA87" s="114">
        <f ca="1">IF(OR(S87&gt;0,AD87&gt;0),IFERROR(
SUMIFS(INDIRECT("'Infos Clientes'!$W"&amp;INDEX('Infos Clientes'!$C:$C,MATCH(C87,'Infos Clientes'!$H:$H,0))&amp;":$CZ"&amp;INDEX('Infos Clientes'!$C:$C,MATCH(C87,'Infos Clientes'!$H:$H,0))),'Infos Clientes'!$W$2:$CZ$2,"&gt;"&amp;$R87-365,'Infos Clientes'!$W$2:$CZ$2,"&lt;="&amp;$R87)/
COUNTIFS(INDIRECT("'Infos Clientes'!$W"&amp;INDEX('Infos Clientes'!$C:$C,MATCH(C87,'Infos Clientes'!$H:$H,0))&amp;":$CZ"&amp;INDEX('Infos Clientes'!$C:$C,MATCH(C87,'Infos Clientes'!$H:$H,0))),"&gt;="&amp;0,'Infos Clientes'!$W$2:$CZ$2,"&gt;"&amp;$R87-365,'Infos Clientes'!$W$2:$CZ$2,"&lt;="&amp;$R87),""),"")</f>
        <v>432.33333333333331</v>
      </c>
      <c r="CB87" s="87">
        <f>VLOOKUP(C87,'Infos Clientes'!B:L,11,0)</f>
        <v>0</v>
      </c>
      <c r="CC87" s="88" t="str">
        <f t="shared" si="79"/>
        <v>A Unidade Consumidora 10/505854-0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87" s="40"/>
      <c r="CF87" s="115">
        <f t="shared" si="80"/>
        <v>-111.62</v>
      </c>
    </row>
    <row r="88" spans="1:84" s="104" customFormat="1" ht="16.2" hidden="1" customHeight="1" x14ac:dyDescent="0.3">
      <c r="A88" s="105" t="str">
        <f>INDEX('Infos Clientes'!$D:$D,MATCH('Detalhe Por UC'!C88,'Infos Clientes'!B:B,0))</f>
        <v>IGREJA DO EVANGELHO QUADRANGULAR</v>
      </c>
      <c r="B88" s="106" t="str">
        <f>INDEX('Infos Clientes'!$F:$F,MATCH('Detalhe Por UC'!C88,'Infos Clientes'!B:B,0))</f>
        <v>62.955.505/1893-40</v>
      </c>
      <c r="C88" s="31" t="s">
        <v>214</v>
      </c>
      <c r="D88" t="s">
        <v>351</v>
      </c>
      <c r="E88" s="1" t="s">
        <v>352</v>
      </c>
      <c r="F88" s="56" t="str">
        <f>INDEX('Infos Clientes'!$I:$I,MATCH('Detalhe Por UC'!C88,'Infos Clientes'!B:B,0))</f>
        <v>BT</v>
      </c>
      <c r="G88" s="56" t="str">
        <f>INDEX('Infos Clientes'!$J:$J,MATCH('Detalhe Por UC'!C88,'Infos Clientes'!B:B,0))</f>
        <v>trifasico</v>
      </c>
      <c r="H88" s="108" t="s">
        <v>138</v>
      </c>
      <c r="I88" s="58">
        <f>IFERROR(VLOOKUP(C88,'Infos Clientes'!B:E,4,),"")</f>
        <v>349</v>
      </c>
      <c r="J88" s="109">
        <v>0.25</v>
      </c>
      <c r="K88" s="59">
        <f>INDEX('Infos Clientes'!$M:$M,MATCH('Detalhe Por UC'!C88,'Infos Clientes'!B:B,0))</f>
        <v>0.25</v>
      </c>
      <c r="L88" s="110"/>
      <c r="M88" s="56">
        <f>INDEX('Infos Clientes'!$N:$N,MATCH('Detalhe Por UC'!C88,'Infos Clientes'!B:B,0))</f>
        <v>0</v>
      </c>
      <c r="N88" s="56">
        <f t="shared" si="44"/>
        <v>0</v>
      </c>
      <c r="O88" s="56">
        <f t="shared" si="45"/>
        <v>1</v>
      </c>
      <c r="P88" s="56">
        <f t="shared" si="46"/>
        <v>0</v>
      </c>
      <c r="Q88" s="61">
        <f>IFERROR(IFERROR(INDEX('Infos Clientes'!$A$2:$V$9884,MATCH($C88,'Infos Clientes'!$B$2:$B$9884,0),MATCH(Q$8,'Infos Clientes'!$A$2:$V$2,0)),"")
+IF(OR(INDEX('Infos Clientes'!$A$2:$V$9884,MATCH($C88,'Infos Clientes'!$B$2:$B$9884,0),MATCH("Tempo de Fidelidade (meses)",'Infos Clientes'!$A$2:$V$2,0))=0,R88&gt;=MAX(R:R)),0,
ROUND((MAX(R:R)-R88)/(365/12),0)),"")</f>
        <v>0</v>
      </c>
      <c r="R88" s="111">
        <v>45658</v>
      </c>
      <c r="S88" s="112">
        <v>0.01</v>
      </c>
      <c r="T88" s="113" t="str">
        <f>IF($H88="GIROSSOL II",AP88/INDEX('Resumo Operacional'!$A$1:$P$1103,17,MATCH('Detalhe Por UC'!$R88,'Resumo Operacional'!$A$1:$P$1,0)),
IF($H88="GIROSSOL II e III",AP88/INDEX('Resumo Operacional'!$A$1:$P$1103,17,MATCH('Detalhe Por UC'!$R88,'Resumo Operacional'!$A$1:$P$1,0)),
""))</f>
        <v/>
      </c>
      <c r="U88" s="113">
        <f>IF($H88="GIROSSOL III",AP88/INDEX('Resumo Operacional'!$A$1:$P$1103,53,MATCH('Detalhe Por UC'!$R88,'Resumo Operacional'!$A$1:$P$1,0)),
IF($H88="GIROSSOL II e III",AP88/INDEX('Resumo Operacional'!$A$1:$P$1103,53,MATCH('Detalhe Por UC'!$R88,'Resumo Operacional'!$A$1:$P$1,0)),
""))</f>
        <v>8.2439231375401583E-3</v>
      </c>
      <c r="V88" s="12"/>
      <c r="W88" s="12"/>
      <c r="X88" s="67">
        <v>1.116254295532646</v>
      </c>
      <c r="Y88" s="116">
        <v>0</v>
      </c>
      <c r="Z88" s="66">
        <v>0.98022058823529412</v>
      </c>
      <c r="AA88" s="35">
        <v>0</v>
      </c>
      <c r="AB88" s="68">
        <v>291</v>
      </c>
      <c r="AC88" s="35">
        <v>0</v>
      </c>
      <c r="AD88" s="69">
        <v>136</v>
      </c>
      <c r="AE88" s="35"/>
      <c r="AF88" s="69">
        <v>0</v>
      </c>
      <c r="AG88" s="69">
        <v>0</v>
      </c>
      <c r="AH88" s="16">
        <v>7.26</v>
      </c>
      <c r="AI88" s="16">
        <v>0</v>
      </c>
      <c r="AJ88" s="16">
        <v>0</v>
      </c>
      <c r="AK88" s="12"/>
      <c r="AL88" s="38"/>
      <c r="AM88" s="1"/>
      <c r="AN88" s="71">
        <f t="shared" si="47"/>
        <v>0</v>
      </c>
      <c r="AO88" s="71">
        <f t="shared" si="48"/>
        <v>0</v>
      </c>
      <c r="AP88" s="71">
        <f t="shared" si="49"/>
        <v>136</v>
      </c>
      <c r="AQ88" s="72">
        <f>IF(OR($H88="GIROSSOL II",$H88="GIROSSOL II e III"),INDEX('Resumo Operacional'!$A$1:$P$1103,MATCH("Energia Injetada prevista total Fatura da Usina (TUSD)",'Resumo Operacional'!$B$1:$B$1103,0),MATCH('Detalhe Por UC'!$R88,'Resumo Operacional'!$A$1:$P$1,0))*$S88,INDEX('Resumo Operacional'!$A$1:$P$1103,53,MATCH('Detalhe Por UC'!$R88,'Resumo Operacional'!$A$1:$P$1,0))*$S88)</f>
        <v>164.97</v>
      </c>
      <c r="AR88" s="71">
        <f t="shared" si="50"/>
        <v>-28.97</v>
      </c>
      <c r="AS88" s="73">
        <f t="shared" si="51"/>
        <v>198.77999999999997</v>
      </c>
      <c r="AT88" s="74">
        <f t="shared" si="52"/>
        <v>198.77999999999997</v>
      </c>
      <c r="AU88" s="74">
        <f t="shared" si="53"/>
        <v>0.84418688093794225</v>
      </c>
      <c r="AV88" s="74">
        <f t="shared" si="54"/>
        <v>99.982499999999987</v>
      </c>
      <c r="AW88" s="74">
        <f t="shared" si="55"/>
        <v>0</v>
      </c>
      <c r="AX88" s="74">
        <f t="shared" si="56"/>
        <v>133.31</v>
      </c>
      <c r="AY88" s="74">
        <f t="shared" si="57"/>
        <v>99.98</v>
      </c>
      <c r="AZ88" s="49">
        <v>99.98</v>
      </c>
      <c r="BA88" s="117">
        <v>99.98</v>
      </c>
      <c r="BB88" s="49">
        <v>99.98</v>
      </c>
      <c r="BC88" s="73" t="str">
        <f t="shared" si="58"/>
        <v/>
      </c>
      <c r="BD88" s="73">
        <f t="shared" si="59"/>
        <v>332.09</v>
      </c>
      <c r="BE88" s="73">
        <f t="shared" si="60"/>
        <v>298.76249999999993</v>
      </c>
      <c r="BF88" s="77">
        <f t="shared" si="61"/>
        <v>33.33</v>
      </c>
      <c r="BG88" s="77">
        <f t="shared" si="62"/>
        <v>9.9989999999999988</v>
      </c>
      <c r="BH88" s="77">
        <f t="shared" si="63"/>
        <v>133.31</v>
      </c>
      <c r="BI88" s="78">
        <f t="shared" si="64"/>
        <v>0.25</v>
      </c>
      <c r="BJ88" s="79">
        <f t="shared" si="65"/>
        <v>0.10036435905929116</v>
      </c>
      <c r="BK88" s="80">
        <f t="shared" si="66"/>
        <v>298.76</v>
      </c>
      <c r="BL88" s="80">
        <f t="shared" si="67"/>
        <v>33.329999999999984</v>
      </c>
      <c r="BM88" s="79">
        <f t="shared" si="68"/>
        <v>0.10036435905929111</v>
      </c>
      <c r="BN88" s="81">
        <f t="shared" si="69"/>
        <v>0.73514705882352949</v>
      </c>
      <c r="BO88" s="82">
        <f t="shared" si="70"/>
        <v>99.98</v>
      </c>
      <c r="BP88" s="81">
        <f t="shared" si="71"/>
        <v>0.73514705882352949</v>
      </c>
      <c r="BQ88" s="81">
        <f t="shared" si="72"/>
        <v>0.87118076612088136</v>
      </c>
      <c r="BR88" s="81">
        <f t="shared" si="73"/>
        <v>1.116254295532646</v>
      </c>
      <c r="BS88" s="82">
        <f t="shared" si="74"/>
        <v>136</v>
      </c>
      <c r="BT88" s="82">
        <f t="shared" si="75"/>
        <v>151.81058419243985</v>
      </c>
      <c r="BU88" s="82">
        <f t="shared" si="76"/>
        <v>133.31</v>
      </c>
      <c r="BV88"/>
      <c r="BW88" s="82">
        <f>IFERROR(INDEX('Infos Clientes'!$T:$T,MATCH('Detalhe Por UC'!$C88,'Infos Clientes'!B:B,0)),"")</f>
        <v>254.09090909090909</v>
      </c>
      <c r="BX88" s="83">
        <f t="shared" si="77"/>
        <v>0</v>
      </c>
      <c r="BY88" s="84">
        <f t="shared" si="78"/>
        <v>0.21954990936435523</v>
      </c>
      <c r="BZ88" s="85">
        <f>IF(_xlfn.MINIFS('Detalhe Por UC'!R:R,'Detalhe Por UC'!C:C,C88,'Detalhe Por UC'!AD:AD,"&gt;"&amp;0)=0,"",_xlfn.MINIFS('Detalhe Por UC'!R:R,'Detalhe Por UC'!C:C,C88,'Detalhe Por UC'!AD:AD,"&gt;"&amp;0))</f>
        <v>45658</v>
      </c>
      <c r="CA88" s="114">
        <f ca="1">IF(OR(S88&gt;0,AD88&gt;0),IFERROR(
SUMIFS(INDIRECT("'Infos Clientes'!$W"&amp;INDEX('Infos Clientes'!$C:$C,MATCH(C88,'Infos Clientes'!$H:$H,0))&amp;":$CZ"&amp;INDEX('Infos Clientes'!$C:$C,MATCH(C88,'Infos Clientes'!$H:$H,0))),'Infos Clientes'!$W$2:$CZ$2,"&gt;"&amp;$R88-365,'Infos Clientes'!$W$2:$CZ$2,"&lt;="&amp;$R88)/
COUNTIFS(INDIRECT("'Infos Clientes'!$W"&amp;INDEX('Infos Clientes'!$C:$C,MATCH(C88,'Infos Clientes'!$H:$H,0))&amp;":$CZ"&amp;INDEX('Infos Clientes'!$C:$C,MATCH(C88,'Infos Clientes'!$H:$H,0))),"&gt;="&amp;0,'Infos Clientes'!$W$2:$CZ$2,"&gt;"&amp;$R88-365,'Infos Clientes'!$W$2:$CZ$2,"&lt;="&amp;$R88),""),"")</f>
        <v>232.91666666666666</v>
      </c>
      <c r="CB88" s="87">
        <f>VLOOKUP(C88,'Infos Clientes'!B:L,11,0)</f>
        <v>0</v>
      </c>
      <c r="CC88" s="88" t="str">
        <f t="shared" si="79"/>
        <v>A Unidade Consumidora 10/512142-1 economizou R$33,33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88" s="40" t="s">
        <v>66</v>
      </c>
      <c r="CF88" s="115">
        <f t="shared" si="80"/>
        <v>-198.77999999999997</v>
      </c>
    </row>
    <row r="89" spans="1:84" s="104" customFormat="1" ht="16.2" hidden="1" customHeight="1" x14ac:dyDescent="0.3">
      <c r="A89" s="105" t="str">
        <f>INDEX('Infos Clientes'!$D:$D,MATCH('Detalhe Por UC'!C89,'Infos Clientes'!B:B,0))</f>
        <v>IGREJA DO EVANGELHO QUADRANGULAR</v>
      </c>
      <c r="B89" s="106" t="str">
        <f>INDEX('Infos Clientes'!$F:$F,MATCH('Detalhe Por UC'!C89,'Infos Clientes'!B:B,0))</f>
        <v>62.955.505/1822-57</v>
      </c>
      <c r="C89" s="31" t="s">
        <v>216</v>
      </c>
      <c r="D89" t="s">
        <v>351</v>
      </c>
      <c r="E89" s="1" t="s">
        <v>352</v>
      </c>
      <c r="F89" s="56" t="str">
        <f>INDEX('Infos Clientes'!$I:$I,MATCH('Detalhe Por UC'!C89,'Infos Clientes'!B:B,0))</f>
        <v>BT</v>
      </c>
      <c r="G89" s="56" t="str">
        <f>INDEX('Infos Clientes'!$J:$J,MATCH('Detalhe Por UC'!C89,'Infos Clientes'!B:B,0))</f>
        <v>trifasico</v>
      </c>
      <c r="H89" s="108" t="s">
        <v>138</v>
      </c>
      <c r="I89" s="58">
        <f>IFERROR(VLOOKUP(C89,'Infos Clientes'!B:E,4,),"")</f>
        <v>319</v>
      </c>
      <c r="J89" s="109">
        <v>0.25</v>
      </c>
      <c r="K89" s="59">
        <f>INDEX('Infos Clientes'!$M:$M,MATCH('Detalhe Por UC'!C89,'Infos Clientes'!B:B,0))</f>
        <v>0.25</v>
      </c>
      <c r="L89" s="110"/>
      <c r="M89" s="56">
        <f>INDEX('Infos Clientes'!$N:$N,MATCH('Detalhe Por UC'!C89,'Infos Clientes'!B:B,0))</f>
        <v>0</v>
      </c>
      <c r="N89" s="56">
        <f t="shared" si="44"/>
        <v>0</v>
      </c>
      <c r="O89" s="56">
        <f t="shared" si="45"/>
        <v>9</v>
      </c>
      <c r="P89" s="56">
        <f t="shared" si="46"/>
        <v>0</v>
      </c>
      <c r="Q89" s="61">
        <f>IFERROR(IFERROR(INDEX('Infos Clientes'!$A$2:$V$9884,MATCH($C89,'Infos Clientes'!$B$2:$B$9884,0),MATCH(Q$8,'Infos Clientes'!$A$2:$V$2,0)),"")
+IF(OR(INDEX('Infos Clientes'!$A$2:$V$9884,MATCH($C89,'Infos Clientes'!$B$2:$B$9884,0),MATCH("Tempo de Fidelidade (meses)",'Infos Clientes'!$A$2:$V$2,0))=0,R89&gt;=MAX(R:R)),0,
ROUND((MAX(R:R)-R89)/(365/12),0)),"")</f>
        <v>0</v>
      </c>
      <c r="R89" s="111">
        <v>45658</v>
      </c>
      <c r="S89" s="112">
        <v>0.01</v>
      </c>
      <c r="T89" s="113" t="str">
        <f>IF($H89="GIROSSOL II",AP89/INDEX('Resumo Operacional'!$A$1:$P$1103,17,MATCH('Detalhe Por UC'!$R89,'Resumo Operacional'!$A$1:$P$1,0)),
IF($H89="GIROSSOL II e III",AP89/INDEX('Resumo Operacional'!$A$1:$P$1103,17,MATCH('Detalhe Por UC'!$R89,'Resumo Operacional'!$A$1:$P$1,0)),
""))</f>
        <v/>
      </c>
      <c r="U89" s="113">
        <f>IF($H89="GIROSSOL III",AP89/INDEX('Resumo Operacional'!$A$1:$P$1103,53,MATCH('Detalhe Por UC'!$R89,'Resumo Operacional'!$A$1:$P$1,0)),
IF($H89="GIROSSOL II e III",AP89/INDEX('Resumo Operacional'!$A$1:$P$1103,53,MATCH('Detalhe Por UC'!$R89,'Resumo Operacional'!$A$1:$P$1,0)),
""))</f>
        <v>8.2439231375401583E-3</v>
      </c>
      <c r="V89" s="12"/>
      <c r="W89" s="12"/>
      <c r="X89" s="67">
        <v>1.1162569832402234</v>
      </c>
      <c r="Y89" s="116">
        <v>0</v>
      </c>
      <c r="Z89" s="66">
        <v>0.99536764705882352</v>
      </c>
      <c r="AA89" s="35">
        <v>0</v>
      </c>
      <c r="AB89" s="68">
        <v>358</v>
      </c>
      <c r="AC89" s="35">
        <v>0</v>
      </c>
      <c r="AD89" s="69">
        <v>136</v>
      </c>
      <c r="AE89" s="35"/>
      <c r="AF89" s="69">
        <v>0</v>
      </c>
      <c r="AG89" s="69">
        <v>0</v>
      </c>
      <c r="AH89" s="16">
        <v>69.8</v>
      </c>
      <c r="AI89" s="16">
        <v>0</v>
      </c>
      <c r="AJ89" s="16">
        <v>0</v>
      </c>
      <c r="AK89" s="12"/>
      <c r="AL89" s="38"/>
      <c r="AM89" s="1"/>
      <c r="AN89" s="71">
        <f t="shared" si="47"/>
        <v>0</v>
      </c>
      <c r="AO89" s="71">
        <f t="shared" si="48"/>
        <v>0</v>
      </c>
      <c r="AP89" s="71">
        <f t="shared" si="49"/>
        <v>136</v>
      </c>
      <c r="AQ89" s="72">
        <f>IF(OR($H89="GIROSSOL II",$H89="GIROSSOL II e III"),INDEX('Resumo Operacional'!$A$1:$P$1103,MATCH("Energia Injetada prevista total Fatura da Usina (TUSD)",'Resumo Operacional'!$B$1:$B$1103,0),MATCH('Detalhe Por UC'!$R89,'Resumo Operacional'!$A$1:$P$1,0))*$S89,INDEX('Resumo Operacional'!$A$1:$P$1103,53,MATCH('Detalhe Por UC'!$R89,'Resumo Operacional'!$A$1:$P$1,0))*$S89)</f>
        <v>164.97</v>
      </c>
      <c r="AR89" s="71">
        <f t="shared" si="50"/>
        <v>-28.97</v>
      </c>
      <c r="AS89" s="73">
        <f t="shared" si="51"/>
        <v>334.04999999999995</v>
      </c>
      <c r="AT89" s="74">
        <f t="shared" si="52"/>
        <v>334.04999999999995</v>
      </c>
      <c r="AU89" s="74">
        <f t="shared" si="53"/>
        <v>0.87447831087742367</v>
      </c>
      <c r="AV89" s="74">
        <f t="shared" si="54"/>
        <v>101.5275</v>
      </c>
      <c r="AW89" s="74">
        <f t="shared" si="55"/>
        <v>0</v>
      </c>
      <c r="AX89" s="74">
        <f t="shared" si="56"/>
        <v>135.37</v>
      </c>
      <c r="AY89" s="74">
        <f t="shared" si="57"/>
        <v>101.53</v>
      </c>
      <c r="AZ89" s="49">
        <v>101.53</v>
      </c>
      <c r="BA89" s="117">
        <v>101.53</v>
      </c>
      <c r="BB89" s="49">
        <v>101.53</v>
      </c>
      <c r="BC89" s="73" t="str">
        <f t="shared" si="58"/>
        <v/>
      </c>
      <c r="BD89" s="73">
        <f t="shared" si="59"/>
        <v>469.41999999999996</v>
      </c>
      <c r="BE89" s="73">
        <f t="shared" si="60"/>
        <v>435.57749999999999</v>
      </c>
      <c r="BF89" s="77">
        <f t="shared" si="61"/>
        <v>33.840000000000003</v>
      </c>
      <c r="BG89" s="77">
        <f t="shared" si="62"/>
        <v>10.152000000000001</v>
      </c>
      <c r="BH89" s="77">
        <f t="shared" si="63"/>
        <v>135.37</v>
      </c>
      <c r="BI89" s="78">
        <f t="shared" si="64"/>
        <v>0.25</v>
      </c>
      <c r="BJ89" s="79">
        <f t="shared" si="65"/>
        <v>7.2088960845298464E-2</v>
      </c>
      <c r="BK89" s="80">
        <f t="shared" si="66"/>
        <v>435.57999999999993</v>
      </c>
      <c r="BL89" s="80">
        <f t="shared" si="67"/>
        <v>33.840000000000032</v>
      </c>
      <c r="BM89" s="79">
        <f t="shared" si="68"/>
        <v>7.2088960845298533E-2</v>
      </c>
      <c r="BN89" s="81">
        <f t="shared" si="69"/>
        <v>0.74654411764705886</v>
      </c>
      <c r="BO89" s="82">
        <f t="shared" si="70"/>
        <v>101.53</v>
      </c>
      <c r="BP89" s="81">
        <f t="shared" si="71"/>
        <v>0.74654411764705886</v>
      </c>
      <c r="BQ89" s="81">
        <f t="shared" si="72"/>
        <v>0.86743345382845871</v>
      </c>
      <c r="BR89" s="81">
        <f t="shared" si="73"/>
        <v>1.1162569832402234</v>
      </c>
      <c r="BS89" s="82">
        <f t="shared" si="74"/>
        <v>136</v>
      </c>
      <c r="BT89" s="82">
        <f t="shared" si="75"/>
        <v>151.81094972067038</v>
      </c>
      <c r="BU89" s="82">
        <f t="shared" si="76"/>
        <v>135.37</v>
      </c>
      <c r="BV89"/>
      <c r="BW89" s="82">
        <f>IFERROR(INDEX('Infos Clientes'!$T:$T,MATCH('Detalhe Por UC'!$C89,'Infos Clientes'!B:B,0)),"")</f>
        <v>264</v>
      </c>
      <c r="BX89" s="83">
        <f t="shared" si="77"/>
        <v>0</v>
      </c>
      <c r="BY89" s="84">
        <f t="shared" si="78"/>
        <v>0.2229088222046238</v>
      </c>
      <c r="BZ89" s="85">
        <f>IF(_xlfn.MINIFS('Detalhe Por UC'!R:R,'Detalhe Por UC'!C:C,C89,'Detalhe Por UC'!AD:AD,"&gt;"&amp;0)=0,"",_xlfn.MINIFS('Detalhe Por UC'!R:R,'Detalhe Por UC'!C:C,C89,'Detalhe Por UC'!AD:AD,"&gt;"&amp;0))</f>
        <v>45658</v>
      </c>
      <c r="CA89" s="114">
        <f ca="1">IF(OR(S89&gt;0,AD89&gt;0),IFERROR(
SUMIFS(INDIRECT("'Infos Clientes'!$W"&amp;INDEX('Infos Clientes'!$C:$C,MATCH(C89,'Infos Clientes'!$H:$H,0))&amp;":$CZ"&amp;INDEX('Infos Clientes'!$C:$C,MATCH(C89,'Infos Clientes'!$H:$H,0))),'Infos Clientes'!$W$2:$CZ$2,"&gt;"&amp;$R89-365,'Infos Clientes'!$W$2:$CZ$2,"&lt;="&amp;$R89)/
COUNTIFS(INDIRECT("'Infos Clientes'!$W"&amp;INDEX('Infos Clientes'!$C:$C,MATCH(C89,'Infos Clientes'!$H:$H,0))&amp;":$CZ"&amp;INDEX('Infos Clientes'!$C:$C,MATCH(C89,'Infos Clientes'!$H:$H,0))),"&gt;="&amp;0,'Infos Clientes'!$W$2:$CZ$2,"&gt;"&amp;$R89-365,'Infos Clientes'!$W$2:$CZ$2,"&lt;="&amp;$R89),""),"")</f>
        <v>242</v>
      </c>
      <c r="CB89" s="87">
        <f>VLOOKUP(C89,'Infos Clientes'!B:L,11,0)</f>
        <v>0</v>
      </c>
      <c r="CC89" s="88" t="str">
        <f t="shared" si="79"/>
        <v>A Unidade Consumidora 10/52987-5 economizou R$33,84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89" s="40"/>
      <c r="CF89" s="115">
        <f t="shared" si="80"/>
        <v>-334.04999999999995</v>
      </c>
    </row>
    <row r="90" spans="1:84" s="104" customFormat="1" ht="16.2" hidden="1" customHeight="1" x14ac:dyDescent="0.3">
      <c r="A90" s="105" t="str">
        <f>INDEX('Infos Clientes'!$D:$D,MATCH('Detalhe Por UC'!C90,'Infos Clientes'!B:B,0))</f>
        <v>IGREJA DO EVANGELHO QUADRANGULAR</v>
      </c>
      <c r="B90" s="106" t="str">
        <f>INDEX('Infos Clientes'!$F:$F,MATCH('Detalhe Por UC'!C90,'Infos Clientes'!B:B,0))</f>
        <v>62.955.505/3671-17</v>
      </c>
      <c r="C90" s="31" t="s">
        <v>217</v>
      </c>
      <c r="D90" t="s">
        <v>351</v>
      </c>
      <c r="E90" s="1" t="s">
        <v>352</v>
      </c>
      <c r="F90" s="56" t="str">
        <f>INDEX('Infos Clientes'!$I:$I,MATCH('Detalhe Por UC'!C90,'Infos Clientes'!B:B,0))</f>
        <v>BT</v>
      </c>
      <c r="G90" s="56" t="str">
        <f>INDEX('Infos Clientes'!$J:$J,MATCH('Detalhe Por UC'!C90,'Infos Clientes'!B:B,0))</f>
        <v>bifasico</v>
      </c>
      <c r="H90" s="108" t="s">
        <v>24</v>
      </c>
      <c r="I90" s="58">
        <f>IFERROR(VLOOKUP(C90,'Infos Clientes'!B:E,4,),"")</f>
        <v>362</v>
      </c>
      <c r="J90" s="109">
        <v>0.25</v>
      </c>
      <c r="K90" s="59">
        <f>INDEX('Infos Clientes'!$M:$M,MATCH('Detalhe Por UC'!C90,'Infos Clientes'!B:B,0))</f>
        <v>0.25</v>
      </c>
      <c r="L90" s="110"/>
      <c r="M90" s="56">
        <f>INDEX('Infos Clientes'!$N:$N,MATCH('Detalhe Por UC'!C90,'Infos Clientes'!B:B,0))</f>
        <v>0</v>
      </c>
      <c r="N90" s="56">
        <f t="shared" si="44"/>
        <v>0</v>
      </c>
      <c r="O90" s="56">
        <f t="shared" si="45"/>
        <v>8</v>
      </c>
      <c r="P90" s="56">
        <f t="shared" si="46"/>
        <v>0</v>
      </c>
      <c r="Q90" s="61">
        <f>IFERROR(IFERROR(INDEX('Infos Clientes'!$A$2:$V$9884,MATCH($C90,'Infos Clientes'!$B$2:$B$9884,0),MATCH(Q$8,'Infos Clientes'!$A$2:$V$2,0)),"")
+IF(OR(INDEX('Infos Clientes'!$A$2:$V$9884,MATCH($C90,'Infos Clientes'!$B$2:$B$9884,0),MATCH("Tempo de Fidelidade (meses)",'Infos Clientes'!$A$2:$V$2,0))=0,R90&gt;=MAX(R:R)),0,
ROUND((MAX(R:R)-R90)/(365/12),0)),"")</f>
        <v>0</v>
      </c>
      <c r="R90" s="111">
        <v>45658</v>
      </c>
      <c r="S90" s="112">
        <v>0.01</v>
      </c>
      <c r="T90" s="113">
        <f>IF($H90="GIROSSOL II",AP90/INDEX('Resumo Operacional'!$A$1:$P$1103,17,MATCH('Detalhe Por UC'!$R90,'Resumo Operacional'!$A$1:$P$1,0)),
IF($H90="GIROSSOL II e III",AP90/INDEX('Resumo Operacional'!$A$1:$P$1103,17,MATCH('Detalhe Por UC'!$R90,'Resumo Operacional'!$A$1:$P$1,0)),
""))</f>
        <v>9.8025082888856859E-3</v>
      </c>
      <c r="U90" s="113" t="str">
        <f>IF($H90="GIROSSOL III",AP90/INDEX('Resumo Operacional'!$A$1:$P$1103,53,MATCH('Detalhe Por UC'!$R90,'Resumo Operacional'!$A$1:$P$1,0)),
IF($H90="GIROSSOL II e III",AP90/INDEX('Resumo Operacional'!$A$1:$P$1103,53,MATCH('Detalhe Por UC'!$R90,'Resumo Operacional'!$A$1:$P$1,0)),
""))</f>
        <v/>
      </c>
      <c r="V90" s="12"/>
      <c r="W90" s="12"/>
      <c r="X90" s="67">
        <v>1.1162601626016262</v>
      </c>
      <c r="Y90" s="116">
        <v>0</v>
      </c>
      <c r="Z90" s="66">
        <v>1.1161643835616439</v>
      </c>
      <c r="AA90" s="35">
        <v>0</v>
      </c>
      <c r="AB90" s="68">
        <v>123</v>
      </c>
      <c r="AC90" s="35">
        <v>0</v>
      </c>
      <c r="AD90" s="69">
        <v>73</v>
      </c>
      <c r="AE90" s="35"/>
      <c r="AF90" s="69">
        <v>63</v>
      </c>
      <c r="AG90" s="69">
        <v>0</v>
      </c>
      <c r="AH90" s="16">
        <v>28.48</v>
      </c>
      <c r="AI90" s="16">
        <v>0</v>
      </c>
      <c r="AJ90" s="16">
        <v>0</v>
      </c>
      <c r="AK90" s="12"/>
      <c r="AL90" s="38"/>
      <c r="AM90" s="1"/>
      <c r="AN90" s="71">
        <f t="shared" si="47"/>
        <v>63</v>
      </c>
      <c r="AO90" s="71">
        <f t="shared" si="48"/>
        <v>0</v>
      </c>
      <c r="AP90" s="71">
        <f t="shared" si="49"/>
        <v>136</v>
      </c>
      <c r="AQ90" s="72">
        <f>IF(OR($H90="GIROSSOL II",$H90="GIROSSOL II e III"),INDEX('Resumo Operacional'!$A$1:$P$1103,MATCH("Energia Injetada prevista total Fatura da Usina (TUSD)",'Resumo Operacional'!$B$1:$B$1103,0),MATCH('Detalhe Por UC'!$R90,'Resumo Operacional'!$A$1:$P$1,0))*$S90,INDEX('Resumo Operacional'!$A$1:$P$1103,53,MATCH('Detalhe Por UC'!$R90,'Resumo Operacional'!$A$1:$P$1,0))*$S90)</f>
        <v>138.74</v>
      </c>
      <c r="AR90" s="71">
        <f t="shared" si="50"/>
        <v>-2.7400000000000091</v>
      </c>
      <c r="AS90" s="73">
        <f t="shared" si="51"/>
        <v>84.300000000000011</v>
      </c>
      <c r="AT90" s="74">
        <f t="shared" si="52"/>
        <v>84.300000000000011</v>
      </c>
      <c r="AU90" s="74">
        <f t="shared" si="53"/>
        <v>1.1160686045216617</v>
      </c>
      <c r="AV90" s="74">
        <f t="shared" si="54"/>
        <v>61.11</v>
      </c>
      <c r="AW90" s="74">
        <f t="shared" si="55"/>
        <v>0</v>
      </c>
      <c r="AX90" s="74">
        <f t="shared" si="56"/>
        <v>81.48</v>
      </c>
      <c r="AY90" s="74">
        <f t="shared" si="57"/>
        <v>61.11</v>
      </c>
      <c r="AZ90" s="49">
        <v>61.11</v>
      </c>
      <c r="BA90" s="117">
        <v>61.11</v>
      </c>
      <c r="BB90" s="49">
        <v>61.11</v>
      </c>
      <c r="BC90" s="73" t="str">
        <f t="shared" si="58"/>
        <v/>
      </c>
      <c r="BD90" s="73">
        <f t="shared" si="59"/>
        <v>165.78</v>
      </c>
      <c r="BE90" s="73">
        <f t="shared" si="60"/>
        <v>145.41000000000003</v>
      </c>
      <c r="BF90" s="77">
        <f t="shared" si="61"/>
        <v>20.37</v>
      </c>
      <c r="BG90" s="77">
        <f t="shared" si="62"/>
        <v>6.1109999999999998</v>
      </c>
      <c r="BH90" s="77">
        <f t="shared" si="63"/>
        <v>81.48</v>
      </c>
      <c r="BI90" s="78">
        <f t="shared" si="64"/>
        <v>0.25</v>
      </c>
      <c r="BJ90" s="79">
        <f t="shared" si="65"/>
        <v>0.12287368802026782</v>
      </c>
      <c r="BK90" s="80">
        <f t="shared" si="66"/>
        <v>145.41000000000003</v>
      </c>
      <c r="BL90" s="80">
        <f t="shared" si="67"/>
        <v>20.369999999999976</v>
      </c>
      <c r="BM90" s="79">
        <f t="shared" si="68"/>
        <v>0.12287368802026769</v>
      </c>
      <c r="BN90" s="81">
        <f t="shared" si="69"/>
        <v>0.8371232876712329</v>
      </c>
      <c r="BO90" s="82">
        <f t="shared" si="70"/>
        <v>61.11</v>
      </c>
      <c r="BP90" s="81">
        <f t="shared" si="71"/>
        <v>0.8371232876712329</v>
      </c>
      <c r="BQ90" s="81">
        <f t="shared" si="72"/>
        <v>0.83721906671121515</v>
      </c>
      <c r="BR90" s="81">
        <f t="shared" si="73"/>
        <v>1.1162601626016262</v>
      </c>
      <c r="BS90" s="82">
        <f t="shared" si="74"/>
        <v>73</v>
      </c>
      <c r="BT90" s="82">
        <f t="shared" si="75"/>
        <v>81.486991869918711</v>
      </c>
      <c r="BU90" s="82">
        <f t="shared" si="76"/>
        <v>81.48</v>
      </c>
      <c r="BV90"/>
      <c r="BW90" s="82">
        <f>IFERROR(INDEX('Infos Clientes'!$T:$T,MATCH('Detalhe Por UC'!$C90,'Infos Clientes'!B:B,0)),"")</f>
        <v>122.45454545454545</v>
      </c>
      <c r="BX90" s="83">
        <f t="shared" si="77"/>
        <v>0</v>
      </c>
      <c r="BY90" s="84">
        <f t="shared" si="78"/>
        <v>0.2499785491225095</v>
      </c>
      <c r="BZ90" s="85">
        <f>IF(_xlfn.MINIFS('Detalhe Por UC'!R:R,'Detalhe Por UC'!C:C,C90,'Detalhe Por UC'!AD:AD,"&gt;"&amp;0)=0,"",_xlfn.MINIFS('Detalhe Por UC'!R:R,'Detalhe Por UC'!C:C,C90,'Detalhe Por UC'!AD:AD,"&gt;"&amp;0))</f>
        <v>45658</v>
      </c>
      <c r="CA90" s="114">
        <f ca="1">IF(OR(S90&gt;0,AD90&gt;0),IFERROR(
SUMIFS(INDIRECT("'Infos Clientes'!$W"&amp;INDEX('Infos Clientes'!$C:$C,MATCH(C90,'Infos Clientes'!$H:$H,0))&amp;":$CZ"&amp;INDEX('Infos Clientes'!$C:$C,MATCH(C90,'Infos Clientes'!$H:$H,0))),'Infos Clientes'!$W$2:$CZ$2,"&gt;"&amp;$R90-365,'Infos Clientes'!$W$2:$CZ$2,"&lt;="&amp;$R90)/
COUNTIFS(INDIRECT("'Infos Clientes'!$W"&amp;INDEX('Infos Clientes'!$C:$C,MATCH(C90,'Infos Clientes'!$H:$H,0))&amp;":$CZ"&amp;INDEX('Infos Clientes'!$C:$C,MATCH(C90,'Infos Clientes'!$H:$H,0))),"&gt;="&amp;0,'Infos Clientes'!$W$2:$CZ$2,"&gt;"&amp;$R90-365,'Infos Clientes'!$W$2:$CZ$2,"&lt;="&amp;$R90),""),"")</f>
        <v>112.25</v>
      </c>
      <c r="CB90" s="87">
        <f>VLOOKUP(C90,'Infos Clientes'!B:L,11,0)</f>
        <v>0</v>
      </c>
      <c r="CC90" s="88" t="str">
        <f t="shared" si="79"/>
        <v>A Unidade Consumidora 10/530195-7 economizou R$20,37 na fatura referente à jan/2025  consumindo 73 kWh em créditos de energia renovável conforme fatura de energia. A economia foi de 25% em relação ao que seria pago para a Energisa considerando os créditos consumidos. Atenção: Mantenha as contas da Energisa em dia para evitar cortes.</v>
      </c>
      <c r="CD90" s="40" t="s">
        <v>83</v>
      </c>
      <c r="CF90" s="115">
        <f t="shared" si="80"/>
        <v>-84.300000000000011</v>
      </c>
    </row>
    <row r="91" spans="1:84" s="104" customFormat="1" ht="16.2" hidden="1" customHeight="1" x14ac:dyDescent="0.3">
      <c r="A91" s="105" t="str">
        <f>INDEX('Infos Clientes'!$D:$D,MATCH('Detalhe Por UC'!C91,'Infos Clientes'!B:B,0))</f>
        <v>IGREJA DO EVANGELHO QUADRANGULAR</v>
      </c>
      <c r="B91" s="106" t="str">
        <f>INDEX('Infos Clientes'!$F:$F,MATCH('Detalhe Por UC'!C91,'Infos Clientes'!B:B,0))</f>
        <v>62.955.505/0154-31</v>
      </c>
      <c r="C91" s="31" t="s">
        <v>218</v>
      </c>
      <c r="D91" t="s">
        <v>351</v>
      </c>
      <c r="E91" s="1" t="s">
        <v>352</v>
      </c>
      <c r="F91" s="56" t="str">
        <f>INDEX('Infos Clientes'!$I:$I,MATCH('Detalhe Por UC'!C91,'Infos Clientes'!B:B,0))</f>
        <v>BT</v>
      </c>
      <c r="G91" s="56" t="str">
        <f>INDEX('Infos Clientes'!$J:$J,MATCH('Detalhe Por UC'!C91,'Infos Clientes'!B:B,0))</f>
        <v>bifasico</v>
      </c>
      <c r="H91" s="108" t="s">
        <v>138</v>
      </c>
      <c r="I91" s="58">
        <f>IFERROR(VLOOKUP(C91,'Infos Clientes'!B:E,4,),"")</f>
        <v>319</v>
      </c>
      <c r="J91" s="109">
        <v>0.25</v>
      </c>
      <c r="K91" s="59">
        <f>INDEX('Infos Clientes'!$M:$M,MATCH('Detalhe Por UC'!C91,'Infos Clientes'!B:B,0))</f>
        <v>0.25</v>
      </c>
      <c r="L91" s="110"/>
      <c r="M91" s="56">
        <f>INDEX('Infos Clientes'!$N:$N,MATCH('Detalhe Por UC'!C91,'Infos Clientes'!B:B,0))</f>
        <v>0</v>
      </c>
      <c r="N91" s="56">
        <f t="shared" si="44"/>
        <v>0</v>
      </c>
      <c r="O91" s="56">
        <f t="shared" si="45"/>
        <v>9</v>
      </c>
      <c r="P91" s="56">
        <f t="shared" si="46"/>
        <v>0</v>
      </c>
      <c r="Q91" s="61">
        <f>IFERROR(IFERROR(INDEX('Infos Clientes'!$A$2:$V$9884,MATCH($C91,'Infos Clientes'!$B$2:$B$9884,0),MATCH(Q$8,'Infos Clientes'!$A$2:$V$2,0)),"")
+IF(OR(INDEX('Infos Clientes'!$A$2:$V$9884,MATCH($C91,'Infos Clientes'!$B$2:$B$9884,0),MATCH("Tempo de Fidelidade (meses)",'Infos Clientes'!$A$2:$V$2,0))=0,R91&gt;=MAX(R:R)),0,
ROUND((MAX(R:R)-R91)/(365/12),0)),"")</f>
        <v>0</v>
      </c>
      <c r="R91" s="111">
        <v>45658</v>
      </c>
      <c r="S91" s="112">
        <v>0.05</v>
      </c>
      <c r="T91" s="113" t="str">
        <f>IF($H91="GIROSSOL II",AP91/INDEX('Resumo Operacional'!$A$1:$P$1103,17,MATCH('Detalhe Por UC'!$R91,'Resumo Operacional'!$A$1:$P$1,0)),
IF($H91="GIROSSOL II e III",AP91/INDEX('Resumo Operacional'!$A$1:$P$1103,17,MATCH('Detalhe Por UC'!$R91,'Resumo Operacional'!$A$1:$P$1,0)),
""))</f>
        <v/>
      </c>
      <c r="U91" s="113">
        <f>IF($H91="GIROSSOL III",AP91/INDEX('Resumo Operacional'!$A$1:$P$1103,53,MATCH('Detalhe Por UC'!$R91,'Resumo Operacional'!$A$1:$P$1,0)),
IF($H91="GIROSSOL II e III",AP91/INDEX('Resumo Operacional'!$A$1:$P$1103,53,MATCH('Detalhe Por UC'!$R91,'Resumo Operacional'!$A$1:$P$1,0)),
""))</f>
        <v>2.4792386494514155E-2</v>
      </c>
      <c r="V91" s="12"/>
      <c r="W91" s="12"/>
      <c r="X91" s="67">
        <v>1.1162627986348124</v>
      </c>
      <c r="Y91" s="116">
        <v>0</v>
      </c>
      <c r="Z91" s="66">
        <v>0.99090464547677271</v>
      </c>
      <c r="AA91" s="35">
        <v>0</v>
      </c>
      <c r="AB91" s="68">
        <v>1172</v>
      </c>
      <c r="AC91" s="35">
        <v>0</v>
      </c>
      <c r="AD91" s="69">
        <v>409</v>
      </c>
      <c r="AE91" s="35"/>
      <c r="AF91" s="69">
        <v>0</v>
      </c>
      <c r="AG91" s="69">
        <v>0</v>
      </c>
      <c r="AH91" s="16">
        <v>99.19</v>
      </c>
      <c r="AI91" s="16">
        <v>0</v>
      </c>
      <c r="AJ91" s="16">
        <v>0</v>
      </c>
      <c r="AK91" s="12"/>
      <c r="AL91" s="38"/>
      <c r="AM91" s="1"/>
      <c r="AN91" s="71">
        <f t="shared" si="47"/>
        <v>0</v>
      </c>
      <c r="AO91" s="71">
        <f t="shared" si="48"/>
        <v>0</v>
      </c>
      <c r="AP91" s="71">
        <f t="shared" si="49"/>
        <v>409</v>
      </c>
      <c r="AQ91" s="72">
        <f>IF(OR($H91="GIROSSOL II",$H91="GIROSSOL II e III"),INDEX('Resumo Operacional'!$A$1:$P$1103,MATCH("Energia Injetada prevista total Fatura da Usina (TUSD)",'Resumo Operacional'!$B$1:$B$1103,0),MATCH('Detalhe Por UC'!$R91,'Resumo Operacional'!$A$1:$P$1,0))*$S91,INDEX('Resumo Operacional'!$A$1:$P$1103,53,MATCH('Detalhe Por UC'!$R91,'Resumo Operacional'!$A$1:$P$1,0))*$S91)</f>
        <v>824.85</v>
      </c>
      <c r="AR91" s="71">
        <f t="shared" si="50"/>
        <v>-415.85</v>
      </c>
      <c r="AS91" s="73">
        <f t="shared" si="51"/>
        <v>1002.1700000000001</v>
      </c>
      <c r="AT91" s="74">
        <f t="shared" si="52"/>
        <v>1002.1700000000001</v>
      </c>
      <c r="AU91" s="74">
        <f t="shared" si="53"/>
        <v>0.86554649231873304</v>
      </c>
      <c r="AV91" s="74">
        <f t="shared" si="54"/>
        <v>303.95999999999998</v>
      </c>
      <c r="AW91" s="74">
        <f t="shared" si="55"/>
        <v>0</v>
      </c>
      <c r="AX91" s="74">
        <f t="shared" si="56"/>
        <v>405.28000000000003</v>
      </c>
      <c r="AY91" s="74">
        <f t="shared" si="57"/>
        <v>303.95999999999998</v>
      </c>
      <c r="AZ91" s="49">
        <v>303.95999999999998</v>
      </c>
      <c r="BA91" s="117">
        <v>303.95999999999998</v>
      </c>
      <c r="BB91" s="49">
        <v>303.95999999999998</v>
      </c>
      <c r="BC91" s="73" t="str">
        <f t="shared" si="58"/>
        <v/>
      </c>
      <c r="BD91" s="73">
        <f t="shared" si="59"/>
        <v>1407.45</v>
      </c>
      <c r="BE91" s="73">
        <f t="shared" si="60"/>
        <v>1306.1300000000001</v>
      </c>
      <c r="BF91" s="77">
        <f t="shared" si="61"/>
        <v>101.32</v>
      </c>
      <c r="BG91" s="77">
        <f t="shared" si="62"/>
        <v>30.395999999999997</v>
      </c>
      <c r="BH91" s="77">
        <f t="shared" si="63"/>
        <v>405.28000000000003</v>
      </c>
      <c r="BI91" s="78">
        <f t="shared" si="64"/>
        <v>0.25</v>
      </c>
      <c r="BJ91" s="79">
        <f t="shared" si="65"/>
        <v>7.1988347721055806E-2</v>
      </c>
      <c r="BK91" s="80">
        <f t="shared" si="66"/>
        <v>1306.1300000000001</v>
      </c>
      <c r="BL91" s="80">
        <f t="shared" si="67"/>
        <v>101.31999999999994</v>
      </c>
      <c r="BM91" s="79">
        <f t="shared" si="68"/>
        <v>7.1988347721055765E-2</v>
      </c>
      <c r="BN91" s="81">
        <f t="shared" si="69"/>
        <v>0.74317848410757936</v>
      </c>
      <c r="BO91" s="82">
        <f t="shared" si="70"/>
        <v>303.95999999999998</v>
      </c>
      <c r="BP91" s="81">
        <f t="shared" si="71"/>
        <v>0.74317848410757936</v>
      </c>
      <c r="BQ91" s="81">
        <f t="shared" si="72"/>
        <v>0.86853663726561903</v>
      </c>
      <c r="BR91" s="81">
        <f t="shared" si="73"/>
        <v>1.1162627986348124</v>
      </c>
      <c r="BS91" s="82">
        <f t="shared" si="74"/>
        <v>409</v>
      </c>
      <c r="BT91" s="82">
        <f t="shared" si="75"/>
        <v>456.55148464163824</v>
      </c>
      <c r="BU91" s="82">
        <f t="shared" si="76"/>
        <v>405.28000000000003</v>
      </c>
      <c r="BV91"/>
      <c r="BW91" s="82">
        <f>IFERROR(INDEX('Infos Clientes'!$T:$T,MATCH('Detalhe Por UC'!$C91,'Infos Clientes'!B:B,0)),"")</f>
        <v>806.81818181818187</v>
      </c>
      <c r="BX91" s="83">
        <f t="shared" si="77"/>
        <v>0</v>
      </c>
      <c r="BY91" s="84">
        <f t="shared" si="78"/>
        <v>0.22192458771551113</v>
      </c>
      <c r="BZ91" s="85">
        <f>IF(_xlfn.MINIFS('Detalhe Por UC'!R:R,'Detalhe Por UC'!C:C,C91,'Detalhe Por UC'!AD:AD,"&gt;"&amp;0)=0,"",_xlfn.MINIFS('Detalhe Por UC'!R:R,'Detalhe Por UC'!C:C,C91,'Detalhe Por UC'!AD:AD,"&gt;"&amp;0))</f>
        <v>45658</v>
      </c>
      <c r="CA91" s="114">
        <f ca="1">IF(OR(S91&gt;0,AD91&gt;0),IFERROR(
SUMIFS(INDIRECT("'Infos Clientes'!$W"&amp;INDEX('Infos Clientes'!$C:$C,MATCH(C91,'Infos Clientes'!$H:$H,0))&amp;":$CZ"&amp;INDEX('Infos Clientes'!$C:$C,MATCH(C91,'Infos Clientes'!$H:$H,0))),'Infos Clientes'!$W$2:$CZ$2,"&gt;"&amp;$R91-365,'Infos Clientes'!$W$2:$CZ$2,"&lt;="&amp;$R91)/
COUNTIFS(INDIRECT("'Infos Clientes'!$W"&amp;INDEX('Infos Clientes'!$C:$C,MATCH(C91,'Infos Clientes'!$H:$H,0))&amp;":$CZ"&amp;INDEX('Infos Clientes'!$C:$C,MATCH(C91,'Infos Clientes'!$H:$H,0))),"&gt;="&amp;0,'Infos Clientes'!$W$2:$CZ$2,"&gt;"&amp;$R91-365,'Infos Clientes'!$W$2:$CZ$2,"&lt;="&amp;$R91),""),"")</f>
        <v>739.58333333333337</v>
      </c>
      <c r="CB91" s="87">
        <f>VLOOKUP(C91,'Infos Clientes'!B:L,11,0)</f>
        <v>0</v>
      </c>
      <c r="CC91" s="88" t="str">
        <f t="shared" si="79"/>
        <v>A Unidade Consumidora 10/61344-8 economizou R$101,32 na fatura referente à jan/2025  consumindo 409 kWh em créditos de energia renovável conforme fatura de energia. A economia foi de 25% em relação ao que seria pago para a Energisa considerando os créditos consumidos. Atenção: Mantenha as contas da Energisa em dia para evitar cortes.</v>
      </c>
      <c r="CD91" s="40"/>
      <c r="CF91" s="115">
        <f t="shared" si="80"/>
        <v>-1002.1700000000001</v>
      </c>
    </row>
    <row r="92" spans="1:84" s="104" customFormat="1" ht="16.2" hidden="1" customHeight="1" x14ac:dyDescent="0.3">
      <c r="A92" s="105" t="str">
        <f>INDEX('Infos Clientes'!$D:$D,MATCH('Detalhe Por UC'!C92,'Infos Clientes'!B:B,0))</f>
        <v>IGREJA DO EVANGELHO QUADRANGULAR</v>
      </c>
      <c r="B92" s="106" t="str">
        <f>INDEX('Infos Clientes'!$F:$F,MATCH('Detalhe Por UC'!C92,'Infos Clientes'!B:B,0))</f>
        <v>62.955.505/1355-00</v>
      </c>
      <c r="C92" s="31" t="s">
        <v>219</v>
      </c>
      <c r="D92" t="s">
        <v>351</v>
      </c>
      <c r="E92" s="1" t="s">
        <v>352</v>
      </c>
      <c r="F92" s="56" t="str">
        <f>INDEX('Infos Clientes'!$I:$I,MATCH('Detalhe Por UC'!C92,'Infos Clientes'!B:B,0))</f>
        <v>BT</v>
      </c>
      <c r="G92" s="56" t="str">
        <f>INDEX('Infos Clientes'!$J:$J,MATCH('Detalhe Por UC'!C92,'Infos Clientes'!B:B,0))</f>
        <v>trifasico</v>
      </c>
      <c r="H92" s="108" t="s">
        <v>353</v>
      </c>
      <c r="I92" s="58">
        <f>IFERROR(VLOOKUP(C92,'Infos Clientes'!B:E,4,),"")</f>
        <v>319</v>
      </c>
      <c r="J92" s="109">
        <v>0.25</v>
      </c>
      <c r="K92" s="59">
        <f>INDEX('Infos Clientes'!$M:$M,MATCH('Detalhe Por UC'!C92,'Infos Clientes'!B:B,0))</f>
        <v>0.25</v>
      </c>
      <c r="L92" s="110"/>
      <c r="M92" s="56">
        <f>INDEX('Infos Clientes'!$N:$N,MATCH('Detalhe Por UC'!C92,'Infos Clientes'!B:B,0))</f>
        <v>0</v>
      </c>
      <c r="N92" s="56">
        <f t="shared" si="44"/>
        <v>0</v>
      </c>
      <c r="O92" s="56">
        <f t="shared" si="45"/>
        <v>9</v>
      </c>
      <c r="P92" s="56">
        <f t="shared" si="46"/>
        <v>0</v>
      </c>
      <c r="Q92" s="61">
        <f>IFERROR(IFERROR(INDEX('Infos Clientes'!$A$2:$V$9884,MATCH($C92,'Infos Clientes'!$B$2:$B$9884,0),MATCH(Q$8,'Infos Clientes'!$A$2:$V$2,0)),"")
+IF(OR(INDEX('Infos Clientes'!$A$2:$V$9884,MATCH($C92,'Infos Clientes'!$B$2:$B$9884,0),MATCH("Tempo de Fidelidade (meses)",'Infos Clientes'!$A$2:$V$2,0))=0,R92&gt;=MAX(R:R)),0,
ROUND((MAX(R:R)-R92)/(365/12),0)),"")</f>
        <v>0</v>
      </c>
      <c r="R92" s="111">
        <v>45658</v>
      </c>
      <c r="S92" s="112">
        <v>0.02</v>
      </c>
      <c r="T92" s="113">
        <f>IF($H92="GIROSSOL II",AP92/INDEX('Resumo Operacional'!$A$1:$P$1103,17,MATCH('Detalhe Por UC'!$R92,'Resumo Operacional'!$A$1:$P$1,0)),
IF($H92="GIROSSOL II e III",AP92/INDEX('Resumo Operacional'!$A$1:$P$1103,17,MATCH('Detalhe Por UC'!$R92,'Resumo Operacional'!$A$1:$P$1,0)),
""))</f>
        <v>9.8025082888856859E-3</v>
      </c>
      <c r="U92" s="113">
        <f>IF($H92="GIROSSOL III",AP92/INDEX('Resumo Operacional'!$A$1:$P$1103,53,MATCH('Detalhe Por UC'!$R92,'Resumo Operacional'!$A$1:$P$1,0)),
IF($H92="GIROSSOL II e III",AP92/INDEX('Resumo Operacional'!$A$1:$P$1103,53,MATCH('Detalhe Por UC'!$R92,'Resumo Operacional'!$A$1:$P$1,0)),
""))</f>
        <v>8.2439231375401583E-3</v>
      </c>
      <c r="V92" s="12"/>
      <c r="W92" s="12"/>
      <c r="X92" s="67">
        <v>1.1162532299741603</v>
      </c>
      <c r="Y92" s="116">
        <v>0</v>
      </c>
      <c r="Z92" s="66">
        <v>1.006764705882353</v>
      </c>
      <c r="AA92" s="35">
        <v>0</v>
      </c>
      <c r="AB92" s="68">
        <v>387</v>
      </c>
      <c r="AC92" s="35">
        <v>0</v>
      </c>
      <c r="AD92" s="69">
        <v>136</v>
      </c>
      <c r="AE92" s="35"/>
      <c r="AF92" s="69">
        <v>0</v>
      </c>
      <c r="AG92" s="69">
        <v>0</v>
      </c>
      <c r="AH92" s="16">
        <v>65.88</v>
      </c>
      <c r="AI92" s="16">
        <v>0</v>
      </c>
      <c r="AJ92" s="16">
        <v>0</v>
      </c>
      <c r="AK92" s="12"/>
      <c r="AL92" s="38"/>
      <c r="AM92" s="1"/>
      <c r="AN92" s="71">
        <f t="shared" si="47"/>
        <v>0</v>
      </c>
      <c r="AO92" s="71">
        <f t="shared" si="48"/>
        <v>0</v>
      </c>
      <c r="AP92" s="71">
        <f t="shared" si="49"/>
        <v>136</v>
      </c>
      <c r="AQ92" s="72">
        <f>IF(OR($H92="GIROSSOL II",$H92="GIROSSOL II e III"),INDEX('Resumo Operacional'!$A$1:$P$1103,MATCH("Energia Injetada prevista total Fatura da Usina (TUSD)",'Resumo Operacional'!$B$1:$B$1103,0),MATCH('Detalhe Por UC'!$R92,'Resumo Operacional'!$A$1:$P$1,0))*$S92,INDEX('Resumo Operacional'!$A$1:$P$1103,53,MATCH('Detalhe Por UC'!$R92,'Resumo Operacional'!$A$1:$P$1,0))*$S92)</f>
        <v>277.48</v>
      </c>
      <c r="AR92" s="71">
        <f t="shared" si="50"/>
        <v>-141.48000000000002</v>
      </c>
      <c r="AS92" s="73">
        <f t="shared" si="51"/>
        <v>360.95000000000005</v>
      </c>
      <c r="AT92" s="74">
        <f t="shared" si="52"/>
        <v>360.95000000000005</v>
      </c>
      <c r="AU92" s="74">
        <f t="shared" si="53"/>
        <v>0.89727618179054569</v>
      </c>
      <c r="AV92" s="74">
        <f t="shared" si="54"/>
        <v>102.69000000000001</v>
      </c>
      <c r="AW92" s="74">
        <f t="shared" si="55"/>
        <v>0</v>
      </c>
      <c r="AX92" s="74">
        <f t="shared" si="56"/>
        <v>136.92000000000002</v>
      </c>
      <c r="AY92" s="74">
        <f t="shared" si="57"/>
        <v>102.69</v>
      </c>
      <c r="AZ92" s="49">
        <v>102.69</v>
      </c>
      <c r="BA92" s="117">
        <v>102.69</v>
      </c>
      <c r="BB92" s="49">
        <v>102.69</v>
      </c>
      <c r="BC92" s="73" t="str">
        <f t="shared" si="58"/>
        <v/>
      </c>
      <c r="BD92" s="73">
        <f t="shared" si="59"/>
        <v>497.87000000000006</v>
      </c>
      <c r="BE92" s="73">
        <f t="shared" si="60"/>
        <v>463.64000000000004</v>
      </c>
      <c r="BF92" s="77">
        <f t="shared" si="61"/>
        <v>34.229999999999997</v>
      </c>
      <c r="BG92" s="77">
        <f t="shared" si="62"/>
        <v>10.268999999999998</v>
      </c>
      <c r="BH92" s="77">
        <f t="shared" si="63"/>
        <v>136.91999999999999</v>
      </c>
      <c r="BI92" s="78">
        <f t="shared" si="64"/>
        <v>0.25</v>
      </c>
      <c r="BJ92" s="79">
        <f t="shared" si="65"/>
        <v>6.875288729989755E-2</v>
      </c>
      <c r="BK92" s="80">
        <f t="shared" si="66"/>
        <v>463.64000000000004</v>
      </c>
      <c r="BL92" s="80">
        <f t="shared" si="67"/>
        <v>34.230000000000018</v>
      </c>
      <c r="BM92" s="79">
        <f t="shared" si="68"/>
        <v>6.8752887299897592E-2</v>
      </c>
      <c r="BN92" s="81">
        <f t="shared" si="69"/>
        <v>0.75507352941176464</v>
      </c>
      <c r="BO92" s="82">
        <f t="shared" si="70"/>
        <v>102.69</v>
      </c>
      <c r="BP92" s="81">
        <f t="shared" si="71"/>
        <v>0.75507352941176464</v>
      </c>
      <c r="BQ92" s="81">
        <f t="shared" si="72"/>
        <v>0.86456205350357196</v>
      </c>
      <c r="BR92" s="81">
        <f t="shared" si="73"/>
        <v>1.1162532299741603</v>
      </c>
      <c r="BS92" s="82">
        <f t="shared" si="74"/>
        <v>136</v>
      </c>
      <c r="BT92" s="82">
        <f t="shared" si="75"/>
        <v>151.81043927648579</v>
      </c>
      <c r="BU92" s="82">
        <f t="shared" si="76"/>
        <v>136.92000000000002</v>
      </c>
      <c r="BV92"/>
      <c r="BW92" s="82">
        <f>IFERROR(INDEX('Infos Clientes'!$T:$T,MATCH('Detalhe Por UC'!$C92,'Infos Clientes'!B:B,0)),"")</f>
        <v>385.63636363636363</v>
      </c>
      <c r="BX92" s="83">
        <f t="shared" si="77"/>
        <v>0</v>
      </c>
      <c r="BY92" s="84">
        <f t="shared" si="78"/>
        <v>0.22547856499946223</v>
      </c>
      <c r="BZ92" s="85">
        <f>IF(_xlfn.MINIFS('Detalhe Por UC'!R:R,'Detalhe Por UC'!C:C,C92,'Detalhe Por UC'!AD:AD,"&gt;"&amp;0)=0,"",_xlfn.MINIFS('Detalhe Por UC'!R:R,'Detalhe Por UC'!C:C,C92,'Detalhe Por UC'!AD:AD,"&gt;"&amp;0))</f>
        <v>45658</v>
      </c>
      <c r="CA92" s="114">
        <f ca="1">IF(OR(S92&gt;0,AD92&gt;0),IFERROR(
SUMIFS(INDIRECT("'Infos Clientes'!$W"&amp;INDEX('Infos Clientes'!$C:$C,MATCH(C92,'Infos Clientes'!$H:$H,0))&amp;":$CZ"&amp;INDEX('Infos Clientes'!$C:$C,MATCH(C92,'Infos Clientes'!$H:$H,0))),'Infos Clientes'!$W$2:$CZ$2,"&gt;"&amp;$R92-365,'Infos Clientes'!$W$2:$CZ$2,"&lt;="&amp;$R92)/
COUNTIFS(INDIRECT("'Infos Clientes'!$W"&amp;INDEX('Infos Clientes'!$C:$C,MATCH(C92,'Infos Clientes'!$H:$H,0))&amp;":$CZ"&amp;INDEX('Infos Clientes'!$C:$C,MATCH(C92,'Infos Clientes'!$H:$H,0))),"&gt;="&amp;0,'Infos Clientes'!$W$2:$CZ$2,"&gt;"&amp;$R92-365,'Infos Clientes'!$W$2:$CZ$2,"&lt;="&amp;$R92),""),"")</f>
        <v>353.5</v>
      </c>
      <c r="CB92" s="87">
        <f>VLOOKUP(C92,'Infos Clientes'!B:L,11,0)</f>
        <v>0</v>
      </c>
      <c r="CC92" s="88" t="str">
        <f t="shared" si="79"/>
        <v>A Unidade Consumidora 10/63920-3 economizou R$34,23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92" s="40" t="s">
        <v>221</v>
      </c>
      <c r="CF92" s="115">
        <f t="shared" si="80"/>
        <v>-360.95000000000005</v>
      </c>
    </row>
    <row r="93" spans="1:84" s="104" customFormat="1" ht="16.2" hidden="1" customHeight="1" x14ac:dyDescent="0.3">
      <c r="A93" s="105" t="str">
        <f>INDEX('Infos Clientes'!$D:$D,MATCH('Detalhe Por UC'!C93,'Infos Clientes'!B:B,0))</f>
        <v>IGREJA DO EVANGELHO QUADRANGULAR</v>
      </c>
      <c r="B93" s="106" t="str">
        <f>INDEX('Infos Clientes'!$F:$F,MATCH('Detalhe Por UC'!C93,'Infos Clientes'!B:B,0))</f>
        <v>62.955.505/1822-57</v>
      </c>
      <c r="C93" s="107" t="s">
        <v>222</v>
      </c>
      <c r="D93" t="s">
        <v>351</v>
      </c>
      <c r="E93" s="1" t="s">
        <v>352</v>
      </c>
      <c r="F93" s="56" t="str">
        <f>INDEX('Infos Clientes'!$I:$I,MATCH('Detalhe Por UC'!C93,'Infos Clientes'!B:B,0))</f>
        <v>BT</v>
      </c>
      <c r="G93" s="56" t="str">
        <f>INDEX('Infos Clientes'!$J:$J,MATCH('Detalhe Por UC'!C93,'Infos Clientes'!B:B,0))</f>
        <v>trifasico</v>
      </c>
      <c r="H93" s="108" t="s">
        <v>138</v>
      </c>
      <c r="I93" s="58">
        <f>IFERROR(VLOOKUP(C93,'Infos Clientes'!B:E,4,),"")</f>
        <v>319</v>
      </c>
      <c r="J93" s="109">
        <v>0.25</v>
      </c>
      <c r="K93" s="59">
        <f>INDEX('Infos Clientes'!$M:$M,MATCH('Detalhe Por UC'!C93,'Infos Clientes'!B:B,0))</f>
        <v>0.25</v>
      </c>
      <c r="L93" s="110"/>
      <c r="M93" s="56">
        <f>INDEX('Infos Clientes'!$N:$N,MATCH('Detalhe Por UC'!C93,'Infos Clientes'!B:B,0))</f>
        <v>0</v>
      </c>
      <c r="N93" s="56">
        <f t="shared" si="44"/>
        <v>0</v>
      </c>
      <c r="O93" s="56">
        <f t="shared" si="45"/>
        <v>8</v>
      </c>
      <c r="P93" s="56">
        <f t="shared" si="46"/>
        <v>0</v>
      </c>
      <c r="Q93" s="61">
        <f>IFERROR(IFERROR(INDEX('Infos Clientes'!$A$2:$V$9884,MATCH($C93,'Infos Clientes'!$B$2:$B$9884,0),MATCH(Q$8,'Infos Clientes'!$A$2:$V$2,0)),"")
+IF(OR(INDEX('Infos Clientes'!$A$2:$V$9884,MATCH($C93,'Infos Clientes'!$B$2:$B$9884,0),MATCH("Tempo de Fidelidade (meses)",'Infos Clientes'!$A$2:$V$2,0))=0,R93&gt;=MAX(R:R)),0,
ROUND((MAX(R:R)-R93)/(365/12),0)),"")</f>
        <v>0</v>
      </c>
      <c r="R93" s="111">
        <v>45658</v>
      </c>
      <c r="S93" s="112">
        <v>0.02</v>
      </c>
      <c r="T93" s="113" t="str">
        <f>IF($H93="GIROSSOL II",AP93/INDEX('Resumo Operacional'!$A$1:$P$1103,17,MATCH('Detalhe Por UC'!$R93,'Resumo Operacional'!$A$1:$P$1,0)),
IF($H93="GIROSSOL II e III",AP93/INDEX('Resumo Operacional'!$A$1:$P$1103,17,MATCH('Detalhe Por UC'!$R93,'Resumo Operacional'!$A$1:$P$1,0)),
""))</f>
        <v/>
      </c>
      <c r="U93" s="113">
        <f>IF($H93="GIROSSOL III",AP93/INDEX('Resumo Operacional'!$A$1:$P$1103,53,MATCH('Detalhe Por UC'!$R93,'Resumo Operacional'!$A$1:$P$1,0)),
IF($H93="GIROSSOL II e III",AP93/INDEX('Resumo Operacional'!$A$1:$P$1103,53,MATCH('Detalhe Por UC'!$R93,'Resumo Operacional'!$A$1:$P$1,0)),
""))</f>
        <v>0</v>
      </c>
      <c r="V93" s="12"/>
      <c r="W93" s="12"/>
      <c r="X93" s="67">
        <v>1.11626</v>
      </c>
      <c r="Y93" s="116">
        <v>0</v>
      </c>
      <c r="Z93" s="66">
        <v>0</v>
      </c>
      <c r="AA93" s="35">
        <v>0</v>
      </c>
      <c r="AB93" s="68">
        <v>392</v>
      </c>
      <c r="AC93" s="35">
        <v>0</v>
      </c>
      <c r="AD93" s="69">
        <v>0</v>
      </c>
      <c r="AE93" s="35"/>
      <c r="AF93" s="69">
        <v>0</v>
      </c>
      <c r="AG93" s="69">
        <v>0</v>
      </c>
      <c r="AH93" s="16">
        <v>68.686080000000004</v>
      </c>
      <c r="AI93" s="16">
        <v>0</v>
      </c>
      <c r="AJ93" s="16">
        <v>0</v>
      </c>
      <c r="AK93" s="12"/>
      <c r="AL93" s="38"/>
      <c r="AM93" s="1"/>
      <c r="AN93" s="71">
        <f t="shared" si="47"/>
        <v>0</v>
      </c>
      <c r="AO93" s="71">
        <f t="shared" si="48"/>
        <v>0</v>
      </c>
      <c r="AP93" s="71">
        <f t="shared" si="49"/>
        <v>0</v>
      </c>
      <c r="AQ93" s="72">
        <f>IF(OR($H93="GIROSSOL II",$H93="GIROSSOL II e III"),INDEX('Resumo Operacional'!$A$1:$P$1103,MATCH("Energia Injetada prevista total Fatura da Usina (TUSD)",'Resumo Operacional'!$B$1:$B$1103,0),MATCH('Detalhe Por UC'!$R93,'Resumo Operacional'!$A$1:$P$1,0))*$S93,INDEX('Resumo Operacional'!$A$1:$P$1103,53,MATCH('Detalhe Por UC'!$R93,'Resumo Operacional'!$A$1:$P$1,0))*$S93)</f>
        <v>329.94</v>
      </c>
      <c r="AR93" s="71">
        <f t="shared" si="50"/>
        <v>-329.94</v>
      </c>
      <c r="AS93" s="73">
        <f t="shared" si="51"/>
        <v>506.26</v>
      </c>
      <c r="AT93" s="74">
        <f t="shared" si="52"/>
        <v>506.26</v>
      </c>
      <c r="AU93" s="74" t="str">
        <f t="shared" si="53"/>
        <v/>
      </c>
      <c r="AV93" s="74">
        <f t="shared" si="54"/>
        <v>0</v>
      </c>
      <c r="AW93" s="74">
        <f t="shared" si="55"/>
        <v>0</v>
      </c>
      <c r="AX93" s="74">
        <f t="shared" si="56"/>
        <v>0</v>
      </c>
      <c r="AY93" s="74" t="str">
        <f t="shared" si="57"/>
        <v/>
      </c>
      <c r="AZ93" s="49"/>
      <c r="BA93" s="49"/>
      <c r="BB93" s="49"/>
      <c r="BC93" s="73" t="str">
        <f t="shared" si="58"/>
        <v/>
      </c>
      <c r="BD93" s="73">
        <f t="shared" si="59"/>
        <v>506.26</v>
      </c>
      <c r="BE93" s="73">
        <f t="shared" si="60"/>
        <v>506.26</v>
      </c>
      <c r="BF93" s="77">
        <f t="shared" si="61"/>
        <v>0</v>
      </c>
      <c r="BG93" s="77">
        <f t="shared" si="62"/>
        <v>0</v>
      </c>
      <c r="BH93" s="77">
        <f t="shared" si="63"/>
        <v>0</v>
      </c>
      <c r="BI93" s="78" t="str">
        <f t="shared" si="64"/>
        <v/>
      </c>
      <c r="BJ93" s="79">
        <f t="shared" si="65"/>
        <v>0</v>
      </c>
      <c r="BK93" s="80" t="str">
        <f t="shared" si="66"/>
        <v/>
      </c>
      <c r="BL93" s="80" t="str">
        <f t="shared" si="67"/>
        <v/>
      </c>
      <c r="BM93" s="79" t="str">
        <f t="shared" si="68"/>
        <v/>
      </c>
      <c r="BN93" s="81" t="str">
        <f t="shared" si="69"/>
        <v/>
      </c>
      <c r="BO93" s="82" t="str">
        <f t="shared" si="70"/>
        <v/>
      </c>
      <c r="BP93" s="81" t="str">
        <f t="shared" si="71"/>
        <v/>
      </c>
      <c r="BQ93" s="81" t="str">
        <f t="shared" si="72"/>
        <v/>
      </c>
      <c r="BR93" s="81" t="str">
        <f t="shared" si="73"/>
        <v/>
      </c>
      <c r="BS93" s="82">
        <f t="shared" si="74"/>
        <v>0</v>
      </c>
      <c r="BT93" s="82" t="str">
        <f t="shared" si="75"/>
        <v/>
      </c>
      <c r="BU93" s="82">
        <f t="shared" si="76"/>
        <v>0</v>
      </c>
      <c r="BV93"/>
      <c r="BW93" s="82">
        <f>IFERROR(INDEX('Infos Clientes'!$T:$T,MATCH('Detalhe Por UC'!$C93,'Infos Clientes'!B:B,0)),"")</f>
        <v>392</v>
      </c>
      <c r="BX93" s="83">
        <f t="shared" si="77"/>
        <v>0</v>
      </c>
      <c r="BY93" s="84" t="str">
        <f t="shared" si="78"/>
        <v/>
      </c>
      <c r="BZ93" s="85">
        <f>IF(_xlfn.MINIFS('Detalhe Por UC'!R:R,'Detalhe Por UC'!C:C,C93,'Detalhe Por UC'!AD:AD,"&gt;"&amp;0)=0,"",_xlfn.MINIFS('Detalhe Por UC'!R:R,'Detalhe Por UC'!C:C,C93,'Detalhe Por UC'!AD:AD,"&gt;"&amp;0))</f>
        <v>45748</v>
      </c>
      <c r="CA93" s="114">
        <f ca="1">IF(OR(S93&gt;0,AD93&gt;0),IFERROR(
SUMIFS(INDIRECT("'Infos Clientes'!$W"&amp;INDEX('Infos Clientes'!$C:$C,MATCH(C93,'Infos Clientes'!$H:$H,0))&amp;":$CZ"&amp;INDEX('Infos Clientes'!$C:$C,MATCH(C93,'Infos Clientes'!$H:$H,0))),'Infos Clientes'!$W$2:$CZ$2,"&gt;"&amp;$R93-365,'Infos Clientes'!$W$2:$CZ$2,"&lt;="&amp;$R93)/
COUNTIFS(INDIRECT("'Infos Clientes'!$W"&amp;INDEX('Infos Clientes'!$C:$C,MATCH(C93,'Infos Clientes'!$H:$H,0))&amp;":$CZ"&amp;INDEX('Infos Clientes'!$C:$C,MATCH(C93,'Infos Clientes'!$H:$H,0))),"&gt;="&amp;0,'Infos Clientes'!$W$2:$CZ$2,"&gt;"&amp;$R93-365,'Infos Clientes'!$W$2:$CZ$2,"&lt;="&amp;$R93),""),"")</f>
        <v>32.666666666666664</v>
      </c>
      <c r="CB93" s="87">
        <f>VLOOKUP(C93,'Infos Clientes'!B:L,11,0)</f>
        <v>0</v>
      </c>
      <c r="CC93" s="88" t="str">
        <f t="shared" si="79"/>
        <v>A Unidade Consumidora 10/69319-2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93" s="40"/>
      <c r="CF93" s="115">
        <f t="shared" si="80"/>
        <v>-506.26</v>
      </c>
    </row>
    <row r="94" spans="1:84" s="104" customFormat="1" ht="16.2" hidden="1" customHeight="1" x14ac:dyDescent="0.3">
      <c r="A94" s="105" t="str">
        <f>INDEX('Infos Clientes'!$D:$D,MATCH('Detalhe Por UC'!C94,'Infos Clientes'!B:B,0))</f>
        <v>IGREJA DO EVANGELHO QUADRANGULAR</v>
      </c>
      <c r="B94" s="106" t="str">
        <f>INDEX('Infos Clientes'!$F:$F,MATCH('Detalhe Por UC'!C94,'Infos Clientes'!B:B,0))</f>
        <v>62.955.505/1364-92</v>
      </c>
      <c r="C94" s="31" t="s">
        <v>223</v>
      </c>
      <c r="D94" t="s">
        <v>351</v>
      </c>
      <c r="E94" s="1" t="s">
        <v>352</v>
      </c>
      <c r="F94" s="56" t="str">
        <f>INDEX('Infos Clientes'!$I:$I,MATCH('Detalhe Por UC'!C94,'Infos Clientes'!B:B,0))</f>
        <v>BT</v>
      </c>
      <c r="G94" s="56" t="str">
        <f>INDEX('Infos Clientes'!$J:$J,MATCH('Detalhe Por UC'!C94,'Infos Clientes'!B:B,0))</f>
        <v>trifasico</v>
      </c>
      <c r="H94" s="108" t="s">
        <v>353</v>
      </c>
      <c r="I94" s="58">
        <f>IFERROR(VLOOKUP(C94,'Infos Clientes'!B:E,4,),"")</f>
        <v>319</v>
      </c>
      <c r="J94" s="109">
        <v>0.25</v>
      </c>
      <c r="K94" s="59">
        <f>INDEX('Infos Clientes'!$M:$M,MATCH('Detalhe Por UC'!C94,'Infos Clientes'!B:B,0))</f>
        <v>0.25</v>
      </c>
      <c r="L94" s="110"/>
      <c r="M94" s="56">
        <f>INDEX('Infos Clientes'!$N:$N,MATCH('Detalhe Por UC'!C94,'Infos Clientes'!B:B,0))</f>
        <v>0</v>
      </c>
      <c r="N94" s="56">
        <f t="shared" si="44"/>
        <v>0</v>
      </c>
      <c r="O94" s="56">
        <f t="shared" si="45"/>
        <v>9</v>
      </c>
      <c r="P94" s="56">
        <f t="shared" si="46"/>
        <v>0</v>
      </c>
      <c r="Q94" s="61">
        <f>IFERROR(IFERROR(INDEX('Infos Clientes'!$A$2:$V$9884,MATCH($C94,'Infos Clientes'!$B$2:$B$9884,0),MATCH(Q$8,'Infos Clientes'!$A$2:$V$2,0)),"")
+IF(OR(INDEX('Infos Clientes'!$A$2:$V$9884,MATCH($C94,'Infos Clientes'!$B$2:$B$9884,0),MATCH("Tempo de Fidelidade (meses)",'Infos Clientes'!$A$2:$V$2,0))=0,R94&gt;=MAX(R:R)),0,
ROUND((MAX(R:R)-R94)/(365/12),0)),"")</f>
        <v>0</v>
      </c>
      <c r="R94" s="111">
        <v>45658</v>
      </c>
      <c r="S94" s="112">
        <v>0.03</v>
      </c>
      <c r="T94" s="113">
        <f>IF($H94="GIROSSOL II",AP94/INDEX('Resumo Operacional'!$A$1:$P$1103,17,MATCH('Detalhe Por UC'!$R94,'Resumo Operacional'!$A$1:$P$1,0)),
IF($H94="GIROSSOL II e III",AP94/INDEX('Resumo Operacional'!$A$1:$P$1103,17,MATCH('Detalhe Por UC'!$R94,'Resumo Operacional'!$A$1:$P$1,0)),
""))</f>
        <v>9.8025082888856859E-3</v>
      </c>
      <c r="U94" s="113">
        <f>IF($H94="GIROSSOL III",AP94/INDEX('Resumo Operacional'!$A$1:$P$1103,53,MATCH('Detalhe Por UC'!$R94,'Resumo Operacional'!$A$1:$P$1,0)),
IF($H94="GIROSSOL II e III",AP94/INDEX('Resumo Operacional'!$A$1:$P$1103,53,MATCH('Detalhe Por UC'!$R94,'Resumo Operacional'!$A$1:$P$1,0)),
""))</f>
        <v>8.2439231375401583E-3</v>
      </c>
      <c r="V94" s="12"/>
      <c r="W94" s="12"/>
      <c r="X94" s="67">
        <v>1.1162580645161291</v>
      </c>
      <c r="Y94" s="116">
        <v>0</v>
      </c>
      <c r="Z94" s="66">
        <v>1.0051470588235294</v>
      </c>
      <c r="AA94" s="35">
        <v>0</v>
      </c>
      <c r="AB94" s="68">
        <v>310</v>
      </c>
      <c r="AC94" s="35">
        <v>0</v>
      </c>
      <c r="AD94" s="69">
        <v>136</v>
      </c>
      <c r="AE94" s="35"/>
      <c r="AF94" s="69">
        <v>0</v>
      </c>
      <c r="AG94" s="69">
        <v>0</v>
      </c>
      <c r="AH94" s="16">
        <v>65.88</v>
      </c>
      <c r="AI94" s="16">
        <v>0</v>
      </c>
      <c r="AJ94" s="16">
        <v>0</v>
      </c>
      <c r="AK94" s="12"/>
      <c r="AL94" s="38"/>
      <c r="AM94" s="1"/>
      <c r="AN94" s="71">
        <f t="shared" si="47"/>
        <v>0</v>
      </c>
      <c r="AO94" s="71">
        <f t="shared" si="48"/>
        <v>0</v>
      </c>
      <c r="AP94" s="71">
        <f t="shared" si="49"/>
        <v>136</v>
      </c>
      <c r="AQ94" s="72">
        <f>IF(OR($H94="GIROSSOL II",$H94="GIROSSOL II e III"),INDEX('Resumo Operacional'!$A$1:$P$1103,MATCH("Energia Injetada prevista total Fatura da Usina (TUSD)",'Resumo Operacional'!$B$1:$B$1103,0),MATCH('Detalhe Por UC'!$R94,'Resumo Operacional'!$A$1:$P$1,0))*$S94,INDEX('Resumo Operacional'!$A$1:$P$1103,53,MATCH('Detalhe Por UC'!$R94,'Resumo Operacional'!$A$1:$P$1,0))*$S94)</f>
        <v>416.21999999999997</v>
      </c>
      <c r="AR94" s="71">
        <f t="shared" si="50"/>
        <v>-280.21999999999997</v>
      </c>
      <c r="AS94" s="73">
        <f t="shared" si="51"/>
        <v>275.22000000000003</v>
      </c>
      <c r="AT94" s="74">
        <f t="shared" si="52"/>
        <v>275.22000000000003</v>
      </c>
      <c r="AU94" s="74">
        <f t="shared" si="53"/>
        <v>0.89403605313092971</v>
      </c>
      <c r="AV94" s="74">
        <f t="shared" si="54"/>
        <v>102.52500000000001</v>
      </c>
      <c r="AW94" s="74">
        <f t="shared" si="55"/>
        <v>0</v>
      </c>
      <c r="AX94" s="74">
        <f t="shared" si="56"/>
        <v>136.69999999999999</v>
      </c>
      <c r="AY94" s="74">
        <f t="shared" si="57"/>
        <v>102.53</v>
      </c>
      <c r="AZ94" s="49">
        <v>102.53</v>
      </c>
      <c r="BA94" s="117">
        <v>102.53</v>
      </c>
      <c r="BB94" s="49">
        <v>102.53</v>
      </c>
      <c r="BC94" s="73" t="str">
        <f t="shared" si="58"/>
        <v/>
      </c>
      <c r="BD94" s="73">
        <f t="shared" si="59"/>
        <v>411.92</v>
      </c>
      <c r="BE94" s="73">
        <f t="shared" si="60"/>
        <v>377.745</v>
      </c>
      <c r="BF94" s="77">
        <f t="shared" si="61"/>
        <v>34.18</v>
      </c>
      <c r="BG94" s="77">
        <f t="shared" si="62"/>
        <v>10.254</v>
      </c>
      <c r="BH94" s="77">
        <f t="shared" si="63"/>
        <v>136.69999999999999</v>
      </c>
      <c r="BI94" s="78">
        <f t="shared" si="64"/>
        <v>0.25</v>
      </c>
      <c r="BJ94" s="79">
        <f t="shared" si="65"/>
        <v>8.2977277141192463E-2</v>
      </c>
      <c r="BK94" s="80">
        <f t="shared" si="66"/>
        <v>377.75</v>
      </c>
      <c r="BL94" s="80">
        <f t="shared" si="67"/>
        <v>34.170000000000016</v>
      </c>
      <c r="BM94" s="79">
        <f t="shared" si="68"/>
        <v>8.2953000582637437E-2</v>
      </c>
      <c r="BN94" s="81">
        <f t="shared" si="69"/>
        <v>0.75389705882352942</v>
      </c>
      <c r="BO94" s="82">
        <f t="shared" si="70"/>
        <v>102.53</v>
      </c>
      <c r="BP94" s="81">
        <f t="shared" si="71"/>
        <v>0.75389705882352942</v>
      </c>
      <c r="BQ94" s="81">
        <f t="shared" si="72"/>
        <v>0.8650080645161291</v>
      </c>
      <c r="BR94" s="81">
        <f t="shared" si="73"/>
        <v>1.1162580645161291</v>
      </c>
      <c r="BS94" s="82">
        <f t="shared" si="74"/>
        <v>136</v>
      </c>
      <c r="BT94" s="82">
        <f t="shared" si="75"/>
        <v>151.81109677419354</v>
      </c>
      <c r="BU94" s="82">
        <f t="shared" si="76"/>
        <v>136.69999999999999</v>
      </c>
      <c r="BV94"/>
      <c r="BW94" s="82">
        <f>IFERROR(INDEX('Infos Clientes'!$T:$T,MATCH('Detalhe Por UC'!$C94,'Infos Clientes'!B:B,0)),"")</f>
        <v>315</v>
      </c>
      <c r="BX94" s="83">
        <f t="shared" si="77"/>
        <v>0</v>
      </c>
      <c r="BY94" s="84">
        <f t="shared" si="78"/>
        <v>0.22508236042076057</v>
      </c>
      <c r="BZ94" s="85">
        <f>IF(_xlfn.MINIFS('Detalhe Por UC'!R:R,'Detalhe Por UC'!C:C,C94,'Detalhe Por UC'!AD:AD,"&gt;"&amp;0)=0,"",_xlfn.MINIFS('Detalhe Por UC'!R:R,'Detalhe Por UC'!C:C,C94,'Detalhe Por UC'!AD:AD,"&gt;"&amp;0))</f>
        <v>45658</v>
      </c>
      <c r="CA94" s="114">
        <f ca="1">IF(OR(S94&gt;0,AD94&gt;0),IFERROR(
SUMIFS(INDIRECT("'Infos Clientes'!$W"&amp;INDEX('Infos Clientes'!$C:$C,MATCH(C94,'Infos Clientes'!$H:$H,0))&amp;":$CZ"&amp;INDEX('Infos Clientes'!$C:$C,MATCH(C94,'Infos Clientes'!$H:$H,0))),'Infos Clientes'!$W$2:$CZ$2,"&gt;"&amp;$R94-365,'Infos Clientes'!$W$2:$CZ$2,"&lt;="&amp;$R94)/
COUNTIFS(INDIRECT("'Infos Clientes'!$W"&amp;INDEX('Infos Clientes'!$C:$C,MATCH(C94,'Infos Clientes'!$H:$H,0))&amp;":$CZ"&amp;INDEX('Infos Clientes'!$C:$C,MATCH(C94,'Infos Clientes'!$H:$H,0))),"&gt;="&amp;0,'Infos Clientes'!$W$2:$CZ$2,"&gt;"&amp;$R94-365,'Infos Clientes'!$W$2:$CZ$2,"&lt;="&amp;$R94),""),"")</f>
        <v>288.75</v>
      </c>
      <c r="CB94" s="87">
        <f>VLOOKUP(C94,'Infos Clientes'!B:L,11,0)</f>
        <v>0</v>
      </c>
      <c r="CC94" s="88" t="str">
        <f t="shared" si="79"/>
        <v>A Unidade Consumidora 10/72605-9 economizou R$34,18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94" s="40" t="s">
        <v>143</v>
      </c>
      <c r="CF94" s="115">
        <f t="shared" si="80"/>
        <v>-275.22000000000003</v>
      </c>
    </row>
    <row r="95" spans="1:84" s="104" customFormat="1" ht="16.2" hidden="1" customHeight="1" x14ac:dyDescent="0.3">
      <c r="A95" s="105" t="str">
        <f>INDEX('Infos Clientes'!$D:$D,MATCH('Detalhe Por UC'!C95,'Infos Clientes'!B:B,0))</f>
        <v>IGREJA DO EVANGELHO QUADRANGULAR</v>
      </c>
      <c r="B95" s="106" t="str">
        <f>INDEX('Infos Clientes'!$F:$F,MATCH('Detalhe Por UC'!C95,'Infos Clientes'!B:B,0))</f>
        <v>62.955.505/0585-99</v>
      </c>
      <c r="C95" s="31" t="s">
        <v>225</v>
      </c>
      <c r="D95" t="s">
        <v>351</v>
      </c>
      <c r="E95" s="1" t="s">
        <v>352</v>
      </c>
      <c r="F95" s="56" t="str">
        <f>INDEX('Infos Clientes'!$I:$I,MATCH('Detalhe Por UC'!C95,'Infos Clientes'!B:B,0))</f>
        <v>BT</v>
      </c>
      <c r="G95" s="56" t="str">
        <f>INDEX('Infos Clientes'!$J:$J,MATCH('Detalhe Por UC'!C95,'Infos Clientes'!B:B,0))</f>
        <v>trifasico</v>
      </c>
      <c r="H95" s="108" t="s">
        <v>353</v>
      </c>
      <c r="I95" s="58">
        <f>IFERROR(VLOOKUP(C95,'Infos Clientes'!B:E,4,),"")</f>
        <v>302</v>
      </c>
      <c r="J95" s="109">
        <v>0.25</v>
      </c>
      <c r="K95" s="59">
        <f>INDEX('Infos Clientes'!$M:$M,MATCH('Detalhe Por UC'!C95,'Infos Clientes'!B:B,0))</f>
        <v>0.25</v>
      </c>
      <c r="L95" s="110"/>
      <c r="M95" s="56">
        <f>INDEX('Infos Clientes'!$N:$N,MATCH('Detalhe Por UC'!C95,'Infos Clientes'!B:B,0))</f>
        <v>0</v>
      </c>
      <c r="N95" s="56">
        <f t="shared" si="44"/>
        <v>0</v>
      </c>
      <c r="O95" s="56">
        <f t="shared" si="45"/>
        <v>9</v>
      </c>
      <c r="P95" s="56">
        <f t="shared" si="46"/>
        <v>0</v>
      </c>
      <c r="Q95" s="61">
        <f>IFERROR(IFERROR(INDEX('Infos Clientes'!$A$2:$V$9884,MATCH($C95,'Infos Clientes'!$B$2:$B$9884,0),MATCH(Q$8,'Infos Clientes'!$A$2:$V$2,0)),"")
+IF(OR(INDEX('Infos Clientes'!$A$2:$V$9884,MATCH($C95,'Infos Clientes'!$B$2:$B$9884,0),MATCH("Tempo de Fidelidade (meses)",'Infos Clientes'!$A$2:$V$2,0))=0,R95&gt;=MAX(R:R)),0,
ROUND((MAX(R:R)-R95)/(365/12),0)),"")</f>
        <v>0</v>
      </c>
      <c r="R95" s="111">
        <v>45658</v>
      </c>
      <c r="S95" s="112">
        <v>0.02</v>
      </c>
      <c r="T95" s="113">
        <f>IF($H95="GIROSSOL II",AP95/INDEX('Resumo Operacional'!$A$1:$P$1103,17,MATCH('Detalhe Por UC'!$R95,'Resumo Operacional'!$A$1:$P$1,0)),
IF($H95="GIROSSOL II e III",AP95/INDEX('Resumo Operacional'!$A$1:$P$1103,17,MATCH('Detalhe Por UC'!$R95,'Resumo Operacional'!$A$1:$P$1,0)),
""))</f>
        <v>1.9677093844601413E-2</v>
      </c>
      <c r="U95" s="113">
        <f>IF($H95="GIROSSOL III",AP95/INDEX('Resumo Operacional'!$A$1:$P$1103,53,MATCH('Detalhe Por UC'!$R95,'Resumo Operacional'!$A$1:$P$1,0)),
IF($H95="GIROSSOL II e III",AP95/INDEX('Resumo Operacional'!$A$1:$P$1103,53,MATCH('Detalhe Por UC'!$R95,'Resumo Operacional'!$A$1:$P$1,0)),
""))</f>
        <v>1.6548463356973995E-2</v>
      </c>
      <c r="V95" s="12"/>
      <c r="W95" s="12"/>
      <c r="X95" s="67">
        <v>1.1162535211267606</v>
      </c>
      <c r="Y95" s="116">
        <v>0</v>
      </c>
      <c r="Z95" s="66">
        <v>1.0084249084249084</v>
      </c>
      <c r="AA95" s="35">
        <v>0</v>
      </c>
      <c r="AB95" s="68">
        <v>355</v>
      </c>
      <c r="AC95" s="35">
        <v>0</v>
      </c>
      <c r="AD95" s="69">
        <v>273</v>
      </c>
      <c r="AE95" s="35"/>
      <c r="AF95" s="69">
        <v>0</v>
      </c>
      <c r="AG95" s="69">
        <v>0</v>
      </c>
      <c r="AH95" s="16">
        <v>57.93</v>
      </c>
      <c r="AI95" s="16">
        <v>0</v>
      </c>
      <c r="AJ95" s="16">
        <v>0</v>
      </c>
      <c r="AK95" s="12"/>
      <c r="AL95" s="38"/>
      <c r="AM95" s="1"/>
      <c r="AN95" s="71">
        <f t="shared" si="47"/>
        <v>0</v>
      </c>
      <c r="AO95" s="71">
        <f t="shared" si="48"/>
        <v>0</v>
      </c>
      <c r="AP95" s="71">
        <f t="shared" si="49"/>
        <v>273</v>
      </c>
      <c r="AQ95" s="72">
        <f>IF(OR($H95="GIROSSOL II",$H95="GIROSSOL II e III"),INDEX('Resumo Operacional'!$A$1:$P$1103,MATCH("Energia Injetada prevista total Fatura da Usina (TUSD)",'Resumo Operacional'!$B$1:$B$1103,0),MATCH('Detalhe Por UC'!$R95,'Resumo Operacional'!$A$1:$P$1,0))*$S95,INDEX('Resumo Operacional'!$A$1:$P$1103,53,MATCH('Detalhe Por UC'!$R95,'Resumo Operacional'!$A$1:$P$1,0))*$S95)</f>
        <v>277.48</v>
      </c>
      <c r="AR95" s="71">
        <f t="shared" si="50"/>
        <v>-4.4800000000000182</v>
      </c>
      <c r="AS95" s="73">
        <f t="shared" si="51"/>
        <v>178.89999999999998</v>
      </c>
      <c r="AT95" s="74">
        <f t="shared" si="52"/>
        <v>178.89999999999998</v>
      </c>
      <c r="AU95" s="74">
        <f t="shared" si="53"/>
        <v>0.90059629572305622</v>
      </c>
      <c r="AV95" s="74">
        <f t="shared" si="54"/>
        <v>206.47499999999999</v>
      </c>
      <c r="AW95" s="74">
        <f t="shared" si="55"/>
        <v>0</v>
      </c>
      <c r="AX95" s="74">
        <f t="shared" si="56"/>
        <v>275.3</v>
      </c>
      <c r="AY95" s="74">
        <f t="shared" si="57"/>
        <v>206.48</v>
      </c>
      <c r="AZ95" s="49">
        <v>206.48</v>
      </c>
      <c r="BA95" s="117">
        <v>206.48</v>
      </c>
      <c r="BB95" s="49">
        <v>206.48</v>
      </c>
      <c r="BC95" s="73" t="str">
        <f t="shared" si="58"/>
        <v/>
      </c>
      <c r="BD95" s="73">
        <f t="shared" si="59"/>
        <v>454.2</v>
      </c>
      <c r="BE95" s="73">
        <f t="shared" si="60"/>
        <v>385.375</v>
      </c>
      <c r="BF95" s="77">
        <f t="shared" si="61"/>
        <v>68.83</v>
      </c>
      <c r="BG95" s="77">
        <f t="shared" si="62"/>
        <v>20.648999999999997</v>
      </c>
      <c r="BH95" s="77">
        <f t="shared" si="63"/>
        <v>275.3</v>
      </c>
      <c r="BI95" s="78">
        <f t="shared" si="64"/>
        <v>0.25</v>
      </c>
      <c r="BJ95" s="79">
        <f t="shared" si="65"/>
        <v>0.15154117129018055</v>
      </c>
      <c r="BK95" s="80">
        <f t="shared" si="66"/>
        <v>385.38</v>
      </c>
      <c r="BL95" s="80">
        <f t="shared" si="67"/>
        <v>68.819999999999993</v>
      </c>
      <c r="BM95" s="79">
        <f t="shared" si="68"/>
        <v>0.15151915455746365</v>
      </c>
      <c r="BN95" s="81">
        <f t="shared" si="69"/>
        <v>0.75633699633699625</v>
      </c>
      <c r="BO95" s="82">
        <f t="shared" si="70"/>
        <v>206.48</v>
      </c>
      <c r="BP95" s="81">
        <f t="shared" si="71"/>
        <v>0.75633699633699625</v>
      </c>
      <c r="BQ95" s="81">
        <f t="shared" si="72"/>
        <v>0.86416560903884843</v>
      </c>
      <c r="BR95" s="81">
        <f t="shared" si="73"/>
        <v>1.1162535211267606</v>
      </c>
      <c r="BS95" s="82">
        <f t="shared" si="74"/>
        <v>273</v>
      </c>
      <c r="BT95" s="82">
        <f t="shared" si="75"/>
        <v>304.73721126760563</v>
      </c>
      <c r="BU95" s="82">
        <f t="shared" si="76"/>
        <v>275.3</v>
      </c>
      <c r="BV95"/>
      <c r="BW95" s="82">
        <f>IFERROR(INDEX('Infos Clientes'!$T:$T,MATCH('Detalhe Por UC'!$C95,'Infos Clientes'!B:B,0)),"")</f>
        <v>352.63636363636363</v>
      </c>
      <c r="BX95" s="83">
        <f t="shared" si="77"/>
        <v>0</v>
      </c>
      <c r="BY95" s="84">
        <f t="shared" si="78"/>
        <v>0.22583392331291496</v>
      </c>
      <c r="BZ95" s="85">
        <f>IF(_xlfn.MINIFS('Detalhe Por UC'!R:R,'Detalhe Por UC'!C:C,C95,'Detalhe Por UC'!AD:AD,"&gt;"&amp;0)=0,"",_xlfn.MINIFS('Detalhe Por UC'!R:R,'Detalhe Por UC'!C:C,C95,'Detalhe Por UC'!AD:AD,"&gt;"&amp;0))</f>
        <v>45658</v>
      </c>
      <c r="CA95" s="114">
        <f ca="1">IF(OR(S95&gt;0,AD95&gt;0),IFERROR(
SUMIFS(INDIRECT("'Infos Clientes'!$W"&amp;INDEX('Infos Clientes'!$C:$C,MATCH(C95,'Infos Clientes'!$H:$H,0))&amp;":$CZ"&amp;INDEX('Infos Clientes'!$C:$C,MATCH(C95,'Infos Clientes'!$H:$H,0))),'Infos Clientes'!$W$2:$CZ$2,"&gt;"&amp;$R95-365,'Infos Clientes'!$W$2:$CZ$2,"&lt;="&amp;$R95)/
COUNTIFS(INDIRECT("'Infos Clientes'!$W"&amp;INDEX('Infos Clientes'!$C:$C,MATCH(C95,'Infos Clientes'!$H:$H,0))&amp;":$CZ"&amp;INDEX('Infos Clientes'!$C:$C,MATCH(C95,'Infos Clientes'!$H:$H,0))),"&gt;="&amp;0,'Infos Clientes'!$W$2:$CZ$2,"&gt;"&amp;$R95-365,'Infos Clientes'!$W$2:$CZ$2,"&lt;="&amp;$R95),""),"")</f>
        <v>323.25</v>
      </c>
      <c r="CB95" s="87">
        <f>VLOOKUP(C95,'Infos Clientes'!B:L,11,0)</f>
        <v>0</v>
      </c>
      <c r="CC95" s="88" t="str">
        <f t="shared" si="79"/>
        <v>A Unidade Consumidora 10/76927-3 economizou R$68,83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95" s="40" t="s">
        <v>227</v>
      </c>
      <c r="CF95" s="115">
        <f t="shared" si="80"/>
        <v>-178.89999999999998</v>
      </c>
    </row>
    <row r="96" spans="1:84" s="104" customFormat="1" ht="16.2" hidden="1" customHeight="1" x14ac:dyDescent="0.3">
      <c r="A96" s="105" t="str">
        <f>INDEX('Infos Clientes'!$D:$D,MATCH('Detalhe Por UC'!C96,'Infos Clientes'!B:B,0))</f>
        <v>IGREJA DO EVANGELHO QUADRANGULAR</v>
      </c>
      <c r="B96" s="106" t="str">
        <f>INDEX('Infos Clientes'!$F:$F,MATCH('Detalhe Por UC'!C96,'Infos Clientes'!B:B,0))</f>
        <v>62.955.505/0168-37</v>
      </c>
      <c r="C96" s="31" t="s">
        <v>228</v>
      </c>
      <c r="D96" t="s">
        <v>351</v>
      </c>
      <c r="E96" s="1" t="s">
        <v>352</v>
      </c>
      <c r="F96" s="56" t="str">
        <f>INDEX('Infos Clientes'!$I:$I,MATCH('Detalhe Por UC'!C96,'Infos Clientes'!B:B,0))</f>
        <v>BT</v>
      </c>
      <c r="G96" s="56" t="str">
        <f>INDEX('Infos Clientes'!$J:$J,MATCH('Detalhe Por UC'!C96,'Infos Clientes'!B:B,0))</f>
        <v>trifasico</v>
      </c>
      <c r="H96" s="108" t="s">
        <v>353</v>
      </c>
      <c r="I96" s="58">
        <f>IFERROR(VLOOKUP(C96,'Infos Clientes'!B:E,4,),"")</f>
        <v>302</v>
      </c>
      <c r="J96" s="109">
        <v>0.25</v>
      </c>
      <c r="K96" s="59">
        <f>INDEX('Infos Clientes'!$M:$M,MATCH('Detalhe Por UC'!C96,'Infos Clientes'!B:B,0))</f>
        <v>0.25</v>
      </c>
      <c r="L96" s="110"/>
      <c r="M96" s="56">
        <f>INDEX('Infos Clientes'!$N:$N,MATCH('Detalhe Por UC'!C96,'Infos Clientes'!B:B,0))</f>
        <v>0</v>
      </c>
      <c r="N96" s="56">
        <f t="shared" si="44"/>
        <v>0</v>
      </c>
      <c r="O96" s="56">
        <f t="shared" si="45"/>
        <v>9</v>
      </c>
      <c r="P96" s="56">
        <f t="shared" si="46"/>
        <v>0</v>
      </c>
      <c r="Q96" s="61">
        <f>IFERROR(IFERROR(INDEX('Infos Clientes'!$A$2:$V$9884,MATCH($C96,'Infos Clientes'!$B$2:$B$9884,0),MATCH(Q$8,'Infos Clientes'!$A$2:$V$2,0)),"")
+IF(OR(INDEX('Infos Clientes'!$A$2:$V$9884,MATCH($C96,'Infos Clientes'!$B$2:$B$9884,0),MATCH("Tempo de Fidelidade (meses)",'Infos Clientes'!$A$2:$V$2,0))=0,R96&gt;=MAX(R:R)),0,
ROUND((MAX(R:R)-R96)/(365/12),0)),"")</f>
        <v>0</v>
      </c>
      <c r="R96" s="111">
        <v>45658</v>
      </c>
      <c r="S96" s="112">
        <v>0.02</v>
      </c>
      <c r="T96" s="113">
        <f>IF($H96="GIROSSOL II",AP96/INDEX('Resumo Operacional'!$A$1:$P$1103,17,MATCH('Detalhe Por UC'!$R96,'Resumo Operacional'!$A$1:$P$1,0)),
IF($H96="GIROSSOL II e III",AP96/INDEX('Resumo Operacional'!$A$1:$P$1103,17,MATCH('Detalhe Por UC'!$R96,'Resumo Operacional'!$A$1:$P$1,0)),
""))</f>
        <v>9.8025082888856859E-3</v>
      </c>
      <c r="U96" s="113">
        <f>IF($H96="GIROSSOL III",AP96/INDEX('Resumo Operacional'!$A$1:$P$1103,53,MATCH('Detalhe Por UC'!$R96,'Resumo Operacional'!$A$1:$P$1,0)),
IF($H96="GIROSSOL II e III",AP96/INDEX('Resumo Operacional'!$A$1:$P$1103,53,MATCH('Detalhe Por UC'!$R96,'Resumo Operacional'!$A$1:$P$1,0)),
""))</f>
        <v>8.2439231375401583E-3</v>
      </c>
      <c r="V96" s="12"/>
      <c r="W96" s="12"/>
      <c r="X96" s="67">
        <v>1.11625</v>
      </c>
      <c r="Y96" s="116">
        <v>0</v>
      </c>
      <c r="Z96" s="66">
        <v>1.006764705882353</v>
      </c>
      <c r="AA96" s="35">
        <v>0</v>
      </c>
      <c r="AB96" s="68">
        <v>336</v>
      </c>
      <c r="AC96" s="35">
        <v>0</v>
      </c>
      <c r="AD96" s="69">
        <v>136</v>
      </c>
      <c r="AE96" s="35"/>
      <c r="AF96" s="69">
        <v>0</v>
      </c>
      <c r="AG96" s="69">
        <v>0</v>
      </c>
      <c r="AH96" s="16">
        <v>59.23</v>
      </c>
      <c r="AI96" s="16">
        <v>0</v>
      </c>
      <c r="AJ96" s="16">
        <v>0</v>
      </c>
      <c r="AK96" s="12"/>
      <c r="AL96" s="38"/>
      <c r="AM96" s="1"/>
      <c r="AN96" s="71">
        <f t="shared" si="47"/>
        <v>0</v>
      </c>
      <c r="AO96" s="71">
        <f t="shared" si="48"/>
        <v>0</v>
      </c>
      <c r="AP96" s="71">
        <f t="shared" si="49"/>
        <v>136</v>
      </c>
      <c r="AQ96" s="72">
        <f>IF(OR($H96="GIROSSOL II",$H96="GIROSSOL II e III"),INDEX('Resumo Operacional'!$A$1:$P$1103,MATCH("Energia Injetada prevista total Fatura da Usina (TUSD)",'Resumo Operacional'!$B$1:$B$1103,0),MATCH('Detalhe Por UC'!$R96,'Resumo Operacional'!$A$1:$P$1,0))*$S96,INDEX('Resumo Operacional'!$A$1:$P$1103,53,MATCH('Detalhe Por UC'!$R96,'Resumo Operacional'!$A$1:$P$1,0))*$S96)</f>
        <v>277.48</v>
      </c>
      <c r="AR96" s="71">
        <f t="shared" si="50"/>
        <v>-141.48000000000002</v>
      </c>
      <c r="AS96" s="73">
        <f t="shared" si="51"/>
        <v>297.37</v>
      </c>
      <c r="AT96" s="74">
        <f t="shared" si="52"/>
        <v>297.37</v>
      </c>
      <c r="AU96" s="74">
        <f t="shared" si="53"/>
        <v>0.89727941176470605</v>
      </c>
      <c r="AV96" s="74">
        <f t="shared" si="54"/>
        <v>102.69000000000001</v>
      </c>
      <c r="AW96" s="74">
        <f t="shared" si="55"/>
        <v>0</v>
      </c>
      <c r="AX96" s="74">
        <f t="shared" si="56"/>
        <v>136.92000000000002</v>
      </c>
      <c r="AY96" s="74">
        <f t="shared" si="57"/>
        <v>102.69</v>
      </c>
      <c r="AZ96" s="49">
        <v>102.69</v>
      </c>
      <c r="BA96" s="117">
        <v>102.69</v>
      </c>
      <c r="BB96" s="49">
        <v>102.69</v>
      </c>
      <c r="BC96" s="73" t="str">
        <f t="shared" si="58"/>
        <v/>
      </c>
      <c r="BD96" s="73">
        <f t="shared" si="59"/>
        <v>434.29</v>
      </c>
      <c r="BE96" s="73">
        <f t="shared" si="60"/>
        <v>400.06</v>
      </c>
      <c r="BF96" s="77">
        <f t="shared" si="61"/>
        <v>34.229999999999997</v>
      </c>
      <c r="BG96" s="77">
        <f t="shared" si="62"/>
        <v>10.268999999999998</v>
      </c>
      <c r="BH96" s="77">
        <f t="shared" si="63"/>
        <v>136.92000000000002</v>
      </c>
      <c r="BI96" s="78">
        <f t="shared" si="64"/>
        <v>0.25</v>
      </c>
      <c r="BJ96" s="79">
        <f t="shared" si="65"/>
        <v>7.8818301135186161E-2</v>
      </c>
      <c r="BK96" s="80">
        <f t="shared" si="66"/>
        <v>400.06</v>
      </c>
      <c r="BL96" s="80">
        <f t="shared" si="67"/>
        <v>34.230000000000018</v>
      </c>
      <c r="BM96" s="79">
        <f t="shared" si="68"/>
        <v>7.8818301135186203E-2</v>
      </c>
      <c r="BN96" s="81">
        <f t="shared" si="69"/>
        <v>0.75507352941176464</v>
      </c>
      <c r="BO96" s="82">
        <f t="shared" si="70"/>
        <v>102.69</v>
      </c>
      <c r="BP96" s="81">
        <f t="shared" si="71"/>
        <v>0.75507352941176464</v>
      </c>
      <c r="BQ96" s="81">
        <f t="shared" si="72"/>
        <v>0.8645588235294116</v>
      </c>
      <c r="BR96" s="81">
        <f t="shared" si="73"/>
        <v>1.11625</v>
      </c>
      <c r="BS96" s="82">
        <f t="shared" si="74"/>
        <v>136</v>
      </c>
      <c r="BT96" s="82">
        <f t="shared" si="75"/>
        <v>151.81</v>
      </c>
      <c r="BU96" s="82">
        <f t="shared" si="76"/>
        <v>136.92000000000002</v>
      </c>
      <c r="BV96"/>
      <c r="BW96" s="82">
        <f>IFERROR(INDEX('Infos Clientes'!$T:$T,MATCH('Detalhe Por UC'!$C96,'Infos Clientes'!B:B,0)),"")</f>
        <v>286.18181818181819</v>
      </c>
      <c r="BX96" s="83">
        <f t="shared" si="77"/>
        <v>0</v>
      </c>
      <c r="BY96" s="84">
        <f t="shared" si="78"/>
        <v>0.22547921744285632</v>
      </c>
      <c r="BZ96" s="85">
        <f>IF(_xlfn.MINIFS('Detalhe Por UC'!R:R,'Detalhe Por UC'!C:C,C96,'Detalhe Por UC'!AD:AD,"&gt;"&amp;0)=0,"",_xlfn.MINIFS('Detalhe Por UC'!R:R,'Detalhe Por UC'!C:C,C96,'Detalhe Por UC'!AD:AD,"&gt;"&amp;0))</f>
        <v>45658</v>
      </c>
      <c r="CA96" s="114">
        <f ca="1">IF(OR(S96&gt;0,AD96&gt;0),IFERROR(
SUMIFS(INDIRECT("'Infos Clientes'!$W"&amp;INDEX('Infos Clientes'!$C:$C,MATCH(C96,'Infos Clientes'!$H:$H,0))&amp;":$CZ"&amp;INDEX('Infos Clientes'!$C:$C,MATCH(C96,'Infos Clientes'!$H:$H,0))),'Infos Clientes'!$W$2:$CZ$2,"&gt;"&amp;$R96-365,'Infos Clientes'!$W$2:$CZ$2,"&lt;="&amp;$R96)/
COUNTIFS(INDIRECT("'Infos Clientes'!$W"&amp;INDEX('Infos Clientes'!$C:$C,MATCH(C96,'Infos Clientes'!$H:$H,0))&amp;":$CZ"&amp;INDEX('Infos Clientes'!$C:$C,MATCH(C96,'Infos Clientes'!$H:$H,0))),"&gt;="&amp;0,'Infos Clientes'!$W$2:$CZ$2,"&gt;"&amp;$R96-365,'Infos Clientes'!$W$2:$CZ$2,"&lt;="&amp;$R96),""),"")</f>
        <v>262.33333333333331</v>
      </c>
      <c r="CB96" s="87">
        <f>VLOOKUP(C96,'Infos Clientes'!B:L,11,0)</f>
        <v>0</v>
      </c>
      <c r="CC96" s="88" t="str">
        <f t="shared" si="79"/>
        <v>A Unidade Consumidora 10/78338-1 economizou R$34,23 na fatura referente à jan/2025  consumindo 136 kWh em créditos de energia renovável conforme fatura de energia. A economia foi de 25% em relação ao que seria pago para a Energisa considerando os créditos consumidos. Atenção: Mantenha as contas da Energisa em dia para evitar cortes.</v>
      </c>
      <c r="CD96" s="40" t="s">
        <v>230</v>
      </c>
      <c r="CF96" s="115">
        <f t="shared" si="80"/>
        <v>-297.37</v>
      </c>
    </row>
    <row r="97" spans="1:84" s="104" customFormat="1" ht="16.2" hidden="1" customHeight="1" x14ac:dyDescent="0.3">
      <c r="A97" s="105" t="str">
        <f>INDEX('Infos Clientes'!$D:$D,MATCH('Detalhe Por UC'!C97,'Infos Clientes'!B:B,0))</f>
        <v>IGREJA DO EVANGELHO QUADRANGULAR</v>
      </c>
      <c r="B97" s="106" t="str">
        <f>INDEX('Infos Clientes'!$F:$F,MATCH('Detalhe Por UC'!C97,'Infos Clientes'!B:B,0))</f>
        <v>62.955.505/0159-46</v>
      </c>
      <c r="C97" s="31" t="s">
        <v>231</v>
      </c>
      <c r="D97" t="s">
        <v>351</v>
      </c>
      <c r="E97" s="1" t="s">
        <v>352</v>
      </c>
      <c r="F97" s="56" t="str">
        <f>INDEX('Infos Clientes'!$I:$I,MATCH('Detalhe Por UC'!C97,'Infos Clientes'!B:B,0))</f>
        <v>BT</v>
      </c>
      <c r="G97" s="56" t="str">
        <f>INDEX('Infos Clientes'!$J:$J,MATCH('Detalhe Por UC'!C97,'Infos Clientes'!B:B,0))</f>
        <v>trifasico</v>
      </c>
      <c r="H97" s="108" t="s">
        <v>138</v>
      </c>
      <c r="I97" s="58">
        <f>IFERROR(VLOOKUP(C97,'Infos Clientes'!B:E,4,),"")</f>
        <v>302</v>
      </c>
      <c r="J97" s="109">
        <v>0.25</v>
      </c>
      <c r="K97" s="59">
        <f>INDEX('Infos Clientes'!$M:$M,MATCH('Detalhe Por UC'!C97,'Infos Clientes'!B:B,0))</f>
        <v>0.25</v>
      </c>
      <c r="L97" s="110"/>
      <c r="M97" s="56">
        <f>INDEX('Infos Clientes'!$N:$N,MATCH('Detalhe Por UC'!C97,'Infos Clientes'!B:B,0))</f>
        <v>0</v>
      </c>
      <c r="N97" s="56">
        <f t="shared" si="44"/>
        <v>0</v>
      </c>
      <c r="O97" s="56">
        <f t="shared" si="45"/>
        <v>9</v>
      </c>
      <c r="P97" s="56">
        <f t="shared" si="46"/>
        <v>0</v>
      </c>
      <c r="Q97" s="61">
        <f>IFERROR(IFERROR(INDEX('Infos Clientes'!$A$2:$V$9884,MATCH($C97,'Infos Clientes'!$B$2:$B$9884,0),MATCH(Q$8,'Infos Clientes'!$A$2:$V$2,0)),"")
+IF(OR(INDEX('Infos Clientes'!$A$2:$V$9884,MATCH($C97,'Infos Clientes'!$B$2:$B$9884,0),MATCH("Tempo de Fidelidade (meses)",'Infos Clientes'!$A$2:$V$2,0))=0,R97&gt;=MAX(R:R)),0,
ROUND((MAX(R:R)-R97)/(365/12),0)),"")</f>
        <v>0</v>
      </c>
      <c r="R97" s="111">
        <v>45658</v>
      </c>
      <c r="S97" s="112">
        <v>0.03</v>
      </c>
      <c r="T97" s="113" t="str">
        <f>IF($H97="GIROSSOL II",AP97/INDEX('Resumo Operacional'!$A$1:$P$1103,17,MATCH('Detalhe Por UC'!$R97,'Resumo Operacional'!$A$1:$P$1,0)),
IF($H97="GIROSSOL II e III",AP97/INDEX('Resumo Operacional'!$A$1:$P$1103,17,MATCH('Detalhe Por UC'!$R97,'Resumo Operacional'!$A$1:$P$1,0)),
""))</f>
        <v/>
      </c>
      <c r="U97" s="113">
        <f>IF($H97="GIROSSOL III",AP97/INDEX('Resumo Operacional'!$A$1:$P$1103,53,MATCH('Detalhe Por UC'!$R97,'Resumo Operacional'!$A$1:$P$1,0)),
IF($H97="GIROSSOL II e III",AP97/INDEX('Resumo Operacional'!$A$1:$P$1103,53,MATCH('Detalhe Por UC'!$R97,'Resumo Operacional'!$A$1:$P$1,0)),
""))</f>
        <v>1.6548463356973995E-2</v>
      </c>
      <c r="V97" s="12"/>
      <c r="W97" s="12"/>
      <c r="X97" s="67">
        <v>1.1162650602409638</v>
      </c>
      <c r="Y97" s="116">
        <v>0</v>
      </c>
      <c r="Z97" s="66">
        <v>0.99699633699633694</v>
      </c>
      <c r="AA97" s="35">
        <v>0</v>
      </c>
      <c r="AB97" s="68">
        <v>664</v>
      </c>
      <c r="AC97" s="35">
        <v>0</v>
      </c>
      <c r="AD97" s="69">
        <v>273</v>
      </c>
      <c r="AE97" s="35"/>
      <c r="AF97" s="69">
        <v>0</v>
      </c>
      <c r="AG97" s="69">
        <v>0</v>
      </c>
      <c r="AH97" s="16">
        <v>52.09</v>
      </c>
      <c r="AI97" s="16">
        <v>0</v>
      </c>
      <c r="AJ97" s="16">
        <v>0</v>
      </c>
      <c r="AK97" s="12"/>
      <c r="AL97" s="38"/>
      <c r="AM97" s="1"/>
      <c r="AN97" s="71">
        <f t="shared" si="47"/>
        <v>0</v>
      </c>
      <c r="AO97" s="71">
        <f t="shared" si="48"/>
        <v>0</v>
      </c>
      <c r="AP97" s="71">
        <f t="shared" si="49"/>
        <v>273</v>
      </c>
      <c r="AQ97" s="72">
        <f>IF(OR($H97="GIROSSOL II",$H97="GIROSSOL II e III"),INDEX('Resumo Operacional'!$A$1:$P$1103,MATCH("Energia Injetada prevista total Fatura da Usina (TUSD)",'Resumo Operacional'!$B$1:$B$1103,0),MATCH('Detalhe Por UC'!$R97,'Resumo Operacional'!$A$1:$P$1,0))*$S97,INDEX('Resumo Operacional'!$A$1:$P$1103,53,MATCH('Detalhe Por UC'!$R97,'Resumo Operacional'!$A$1:$P$1,0))*$S97)</f>
        <v>494.90999999999997</v>
      </c>
      <c r="AR97" s="71">
        <f t="shared" si="50"/>
        <v>-221.90999999999997</v>
      </c>
      <c r="AS97" s="73">
        <f t="shared" si="51"/>
        <v>521.1099999999999</v>
      </c>
      <c r="AT97" s="74">
        <f t="shared" si="52"/>
        <v>521.1099999999999</v>
      </c>
      <c r="AU97" s="74">
        <f t="shared" si="53"/>
        <v>0.87772761375171016</v>
      </c>
      <c r="AV97" s="74">
        <f t="shared" si="54"/>
        <v>204.13499999999999</v>
      </c>
      <c r="AW97" s="74">
        <f t="shared" si="55"/>
        <v>0</v>
      </c>
      <c r="AX97" s="74">
        <f t="shared" si="56"/>
        <v>272.18</v>
      </c>
      <c r="AY97" s="74">
        <f t="shared" si="57"/>
        <v>204.14</v>
      </c>
      <c r="AZ97" s="49">
        <v>204.14</v>
      </c>
      <c r="BA97" s="117">
        <v>204.14</v>
      </c>
      <c r="BB97" s="49">
        <v>204.14</v>
      </c>
      <c r="BC97" s="73" t="str">
        <f t="shared" si="58"/>
        <v/>
      </c>
      <c r="BD97" s="73">
        <f t="shared" si="59"/>
        <v>793.29</v>
      </c>
      <c r="BE97" s="73">
        <f t="shared" si="60"/>
        <v>725.24499999999989</v>
      </c>
      <c r="BF97" s="77">
        <f t="shared" si="61"/>
        <v>68.05</v>
      </c>
      <c r="BG97" s="77">
        <f t="shared" si="62"/>
        <v>20.414999999999999</v>
      </c>
      <c r="BH97" s="77">
        <f t="shared" si="63"/>
        <v>272.18</v>
      </c>
      <c r="BI97" s="78">
        <f t="shared" si="64"/>
        <v>0.25</v>
      </c>
      <c r="BJ97" s="79">
        <f t="shared" si="65"/>
        <v>8.5781996495606902E-2</v>
      </c>
      <c r="BK97" s="80">
        <f t="shared" si="66"/>
        <v>725.24999999999989</v>
      </c>
      <c r="BL97" s="80">
        <f t="shared" si="67"/>
        <v>68.040000000000077</v>
      </c>
      <c r="BM97" s="79">
        <f t="shared" si="68"/>
        <v>8.5769390765041892E-2</v>
      </c>
      <c r="BN97" s="81">
        <f t="shared" si="69"/>
        <v>0.74776556776556768</v>
      </c>
      <c r="BO97" s="82">
        <f t="shared" si="70"/>
        <v>204.14</v>
      </c>
      <c r="BP97" s="81">
        <f t="shared" si="71"/>
        <v>0.74776556776556768</v>
      </c>
      <c r="BQ97" s="81">
        <f t="shared" si="72"/>
        <v>0.86703429101019458</v>
      </c>
      <c r="BR97" s="81">
        <f t="shared" si="73"/>
        <v>1.1162650602409638</v>
      </c>
      <c r="BS97" s="82">
        <f t="shared" si="74"/>
        <v>273</v>
      </c>
      <c r="BT97" s="82">
        <f t="shared" si="75"/>
        <v>304.74036144578315</v>
      </c>
      <c r="BU97" s="82">
        <f t="shared" si="76"/>
        <v>272.18</v>
      </c>
      <c r="BV97"/>
      <c r="BW97" s="82">
        <f>IFERROR(INDEX('Infos Clientes'!$T:$T,MATCH('Detalhe Por UC'!$C97,'Infos Clientes'!B:B,0)),"")</f>
        <v>461.45454545454544</v>
      </c>
      <c r="BX97" s="83">
        <f t="shared" si="77"/>
        <v>0</v>
      </c>
      <c r="BY97" s="84">
        <f t="shared" si="78"/>
        <v>0.22327203287807715</v>
      </c>
      <c r="BZ97" s="85">
        <f>IF(_xlfn.MINIFS('Detalhe Por UC'!R:R,'Detalhe Por UC'!C:C,C97,'Detalhe Por UC'!AD:AD,"&gt;"&amp;0)=0,"",_xlfn.MINIFS('Detalhe Por UC'!R:R,'Detalhe Por UC'!C:C,C97,'Detalhe Por UC'!AD:AD,"&gt;"&amp;0))</f>
        <v>45658</v>
      </c>
      <c r="CA97" s="114">
        <f ca="1">IF(OR(S97&gt;0,AD97&gt;0),IFERROR(
SUMIFS(INDIRECT("'Infos Clientes'!$W"&amp;INDEX('Infos Clientes'!$C:$C,MATCH(C97,'Infos Clientes'!$H:$H,0))&amp;":$CZ"&amp;INDEX('Infos Clientes'!$C:$C,MATCH(C97,'Infos Clientes'!$H:$H,0))),'Infos Clientes'!$W$2:$CZ$2,"&gt;"&amp;$R97-365,'Infos Clientes'!$W$2:$CZ$2,"&lt;="&amp;$R97)/
COUNTIFS(INDIRECT("'Infos Clientes'!$W"&amp;INDEX('Infos Clientes'!$C:$C,MATCH(C97,'Infos Clientes'!$H:$H,0))&amp;":$CZ"&amp;INDEX('Infos Clientes'!$C:$C,MATCH(C97,'Infos Clientes'!$H:$H,0))),"&gt;="&amp;0,'Infos Clientes'!$W$2:$CZ$2,"&gt;"&amp;$R97-365,'Infos Clientes'!$W$2:$CZ$2,"&lt;="&amp;$R97),""),"")</f>
        <v>423</v>
      </c>
      <c r="CB97" s="87">
        <f>VLOOKUP(C97,'Infos Clientes'!B:L,11,0)</f>
        <v>0</v>
      </c>
      <c r="CC97" s="88" t="str">
        <f t="shared" si="79"/>
        <v>A Unidade Consumidora 10/81222-2 economizou R$68,05 na fatura referente à jan/2025  consumindo 273 kWh em créditos de energia renovável conforme fatura de energia. A economia foi de 25% em relação ao que seria pago para a Energisa considerando os créditos consumidos. Atenção: Mantenha as contas da Energisa em dia para evitar cortes.</v>
      </c>
      <c r="CD97" s="40" t="s">
        <v>233</v>
      </c>
      <c r="CF97" s="115">
        <f t="shared" si="80"/>
        <v>-521.1099999999999</v>
      </c>
    </row>
    <row r="98" spans="1:84" s="104" customFormat="1" ht="16.2" hidden="1" customHeight="1" x14ac:dyDescent="0.3">
      <c r="A98" s="105" t="str">
        <f>INDEX('Infos Clientes'!$D:$D,MATCH('Detalhe Por UC'!C98,'Infos Clientes'!B:B,0))</f>
        <v>IGREJA DO EVANGELHO QUADRANGULAR</v>
      </c>
      <c r="B98" s="106" t="str">
        <f>INDEX('Infos Clientes'!$F:$F,MATCH('Detalhe Por UC'!C98,'Infos Clientes'!B:B,0))</f>
        <v>62.955.505/1224-32</v>
      </c>
      <c r="C98" s="31" t="s">
        <v>234</v>
      </c>
      <c r="D98" t="s">
        <v>351</v>
      </c>
      <c r="E98" s="1" t="s">
        <v>352</v>
      </c>
      <c r="F98" s="56" t="str">
        <f>INDEX('Infos Clientes'!$I:$I,MATCH('Detalhe Por UC'!C98,'Infos Clientes'!B:B,0))</f>
        <v>BT</v>
      </c>
      <c r="G98" s="56" t="str">
        <f>INDEX('Infos Clientes'!$J:$J,MATCH('Detalhe Por UC'!C98,'Infos Clientes'!B:B,0))</f>
        <v>trifasico</v>
      </c>
      <c r="H98" s="108" t="s">
        <v>138</v>
      </c>
      <c r="I98" s="58">
        <f>IFERROR(VLOOKUP(C98,'Infos Clientes'!B:E,4,),"")</f>
        <v>302</v>
      </c>
      <c r="J98" s="109">
        <v>0.25</v>
      </c>
      <c r="K98" s="59">
        <f>INDEX('Infos Clientes'!$M:$M,MATCH('Detalhe Por UC'!C98,'Infos Clientes'!B:B,0))</f>
        <v>0.25</v>
      </c>
      <c r="L98" s="110"/>
      <c r="M98" s="56">
        <f>INDEX('Infos Clientes'!$N:$N,MATCH('Detalhe Por UC'!C98,'Infos Clientes'!B:B,0))</f>
        <v>0</v>
      </c>
      <c r="N98" s="56">
        <f t="shared" si="44"/>
        <v>0</v>
      </c>
      <c r="O98" s="56">
        <f t="shared" si="45"/>
        <v>7</v>
      </c>
      <c r="P98" s="56">
        <f t="shared" si="46"/>
        <v>0</v>
      </c>
      <c r="Q98" s="61">
        <f>IFERROR(IFERROR(INDEX('Infos Clientes'!$A$2:$V$9884,MATCH($C98,'Infos Clientes'!$B$2:$B$9884,0),MATCH(Q$8,'Infos Clientes'!$A$2:$V$2,0)),"")
+IF(OR(INDEX('Infos Clientes'!$A$2:$V$9884,MATCH($C98,'Infos Clientes'!$B$2:$B$9884,0),MATCH("Tempo de Fidelidade (meses)",'Infos Clientes'!$A$2:$V$2,0))=0,R98&gt;=MAX(R:R)),0,
ROUND((MAX(R:R)-R98)/(365/12),0)),"")</f>
        <v>0</v>
      </c>
      <c r="R98" s="111">
        <v>45658</v>
      </c>
      <c r="S98" s="112">
        <v>0.02</v>
      </c>
      <c r="T98" s="113" t="str">
        <f>IF($H98="GIROSSOL II",AP98/INDEX('Resumo Operacional'!$A$1:$P$1103,17,MATCH('Detalhe Por UC'!$R98,'Resumo Operacional'!$A$1:$P$1,0)),
IF($H98="GIROSSOL II e III",AP98/INDEX('Resumo Operacional'!$A$1:$P$1103,17,MATCH('Detalhe Por UC'!$R98,'Resumo Operacional'!$A$1:$P$1,0)),
""))</f>
        <v/>
      </c>
      <c r="U98" s="113">
        <f>IF($H98="GIROSSOL III",AP98/INDEX('Resumo Operacional'!$A$1:$P$1103,53,MATCH('Detalhe Por UC'!$R98,'Resumo Operacional'!$A$1:$P$1,0)),
IF($H98="GIROSSOL II e III",AP98/INDEX('Resumo Operacional'!$A$1:$P$1103,53,MATCH('Detalhe Por UC'!$R98,'Resumo Operacional'!$A$1:$P$1,0)),
""))</f>
        <v>2.9944838455476755E-2</v>
      </c>
      <c r="V98" s="12"/>
      <c r="W98" s="12"/>
      <c r="X98" s="67">
        <v>1.1162597809076682</v>
      </c>
      <c r="Y98" s="116">
        <v>0</v>
      </c>
      <c r="Z98" s="66">
        <v>0.99698380566801637</v>
      </c>
      <c r="AA98" s="35">
        <v>0</v>
      </c>
      <c r="AB98" s="68">
        <v>639</v>
      </c>
      <c r="AC98" s="35">
        <v>0</v>
      </c>
      <c r="AD98" s="69">
        <v>494</v>
      </c>
      <c r="AE98" s="35"/>
      <c r="AF98" s="69">
        <v>0</v>
      </c>
      <c r="AG98" s="69">
        <v>0</v>
      </c>
      <c r="AH98" s="16">
        <v>109.83</v>
      </c>
      <c r="AI98" s="16">
        <v>0</v>
      </c>
      <c r="AJ98" s="16">
        <v>0</v>
      </c>
      <c r="AK98" s="12"/>
      <c r="AL98" s="38"/>
      <c r="AM98" s="1"/>
      <c r="AN98" s="71">
        <f t="shared" si="47"/>
        <v>0</v>
      </c>
      <c r="AO98" s="71">
        <f t="shared" si="48"/>
        <v>0</v>
      </c>
      <c r="AP98" s="71">
        <f t="shared" si="49"/>
        <v>494</v>
      </c>
      <c r="AQ98" s="72">
        <f>IF(OR($H98="GIROSSOL II",$H98="GIROSSOL II e III"),INDEX('Resumo Operacional'!$A$1:$P$1103,MATCH("Energia Injetada prevista total Fatura da Usina (TUSD)",'Resumo Operacional'!$B$1:$B$1103,0),MATCH('Detalhe Por UC'!$R98,'Resumo Operacional'!$A$1:$P$1,0))*$S98,INDEX('Resumo Operacional'!$A$1:$P$1103,53,MATCH('Detalhe Por UC'!$R98,'Resumo Operacional'!$A$1:$P$1,0))*$S98)</f>
        <v>329.94</v>
      </c>
      <c r="AR98" s="71">
        <f t="shared" si="50"/>
        <v>164.06</v>
      </c>
      <c r="AS98" s="73">
        <f t="shared" si="51"/>
        <v>330.60999999999984</v>
      </c>
      <c r="AT98" s="74">
        <f t="shared" si="52"/>
        <v>330.60999999999984</v>
      </c>
      <c r="AU98" s="74">
        <f t="shared" si="53"/>
        <v>0.87770783042836453</v>
      </c>
      <c r="AV98" s="74">
        <f t="shared" si="54"/>
        <v>369.38250000000005</v>
      </c>
      <c r="AW98" s="74">
        <f t="shared" si="55"/>
        <v>0</v>
      </c>
      <c r="AX98" s="74">
        <f t="shared" si="56"/>
        <v>492.5100000000001</v>
      </c>
      <c r="AY98" s="74">
        <f t="shared" si="57"/>
        <v>369.38</v>
      </c>
      <c r="AZ98" s="49">
        <v>369.38</v>
      </c>
      <c r="BA98" s="117">
        <v>369.38</v>
      </c>
      <c r="BB98" s="49">
        <v>369.38</v>
      </c>
      <c r="BC98" s="73" t="str">
        <f t="shared" si="58"/>
        <v/>
      </c>
      <c r="BD98" s="73">
        <f t="shared" si="59"/>
        <v>823.12</v>
      </c>
      <c r="BE98" s="73">
        <f t="shared" si="60"/>
        <v>699.99249999999984</v>
      </c>
      <c r="BF98" s="77">
        <f t="shared" si="61"/>
        <v>123.13</v>
      </c>
      <c r="BG98" s="77">
        <f t="shared" si="62"/>
        <v>36.939</v>
      </c>
      <c r="BH98" s="77">
        <f t="shared" si="63"/>
        <v>492.51000000000005</v>
      </c>
      <c r="BI98" s="78">
        <f t="shared" si="64"/>
        <v>0.25</v>
      </c>
      <c r="BJ98" s="79">
        <f t="shared" si="65"/>
        <v>0.14958936728545047</v>
      </c>
      <c r="BK98" s="80">
        <f t="shared" si="66"/>
        <v>699.98999999999978</v>
      </c>
      <c r="BL98" s="80">
        <f t="shared" si="67"/>
        <v>123.13000000000022</v>
      </c>
      <c r="BM98" s="79">
        <f t="shared" si="68"/>
        <v>0.14958936728545075</v>
      </c>
      <c r="BN98" s="81">
        <f t="shared" si="69"/>
        <v>0.74773279352226718</v>
      </c>
      <c r="BO98" s="82">
        <f t="shared" si="70"/>
        <v>369.38</v>
      </c>
      <c r="BP98" s="81">
        <f t="shared" si="71"/>
        <v>0.74773279352226718</v>
      </c>
      <c r="BQ98" s="81">
        <f t="shared" si="72"/>
        <v>0.86700876876191901</v>
      </c>
      <c r="BR98" s="81">
        <f t="shared" si="73"/>
        <v>1.1162597809076682</v>
      </c>
      <c r="BS98" s="82">
        <f t="shared" si="74"/>
        <v>494</v>
      </c>
      <c r="BT98" s="82">
        <f t="shared" si="75"/>
        <v>551.43233176838805</v>
      </c>
      <c r="BU98" s="82">
        <f t="shared" si="76"/>
        <v>492.5100000000001</v>
      </c>
      <c r="BV98"/>
      <c r="BW98" s="82">
        <f>IFERROR(INDEX('Infos Clientes'!$T:$T,MATCH('Detalhe Por UC'!$C98,'Infos Clientes'!B:B,0)),"")</f>
        <v>426.36363636363637</v>
      </c>
      <c r="BX98" s="83">
        <f t="shared" si="77"/>
        <v>0</v>
      </c>
      <c r="BY98" s="84">
        <f t="shared" si="78"/>
        <v>0.22329122343105012</v>
      </c>
      <c r="BZ98" s="85">
        <f>IF(_xlfn.MINIFS('Detalhe Por UC'!R:R,'Detalhe Por UC'!C:C,C98,'Detalhe Por UC'!AD:AD,"&gt;"&amp;0)=0,"",_xlfn.MINIFS('Detalhe Por UC'!R:R,'Detalhe Por UC'!C:C,C98,'Detalhe Por UC'!AD:AD,"&gt;"&amp;0))</f>
        <v>45658</v>
      </c>
      <c r="CA98" s="114">
        <f ca="1">IF(OR(S98&gt;0,AD98&gt;0),IFERROR(
SUMIFS(INDIRECT("'Infos Clientes'!$W"&amp;INDEX('Infos Clientes'!$C:$C,MATCH(C98,'Infos Clientes'!$H:$H,0))&amp;":$CZ"&amp;INDEX('Infos Clientes'!$C:$C,MATCH(C98,'Infos Clientes'!$H:$H,0))),'Infos Clientes'!$W$2:$CZ$2,"&gt;"&amp;$R98-365,'Infos Clientes'!$W$2:$CZ$2,"&lt;="&amp;$R98)/
COUNTIFS(INDIRECT("'Infos Clientes'!$W"&amp;INDEX('Infos Clientes'!$C:$C,MATCH(C98,'Infos Clientes'!$H:$H,0))&amp;":$CZ"&amp;INDEX('Infos Clientes'!$C:$C,MATCH(C98,'Infos Clientes'!$H:$H,0))),"&gt;="&amp;0,'Infos Clientes'!$W$2:$CZ$2,"&gt;"&amp;$R98-365,'Infos Clientes'!$W$2:$CZ$2,"&lt;="&amp;$R98),""),"")</f>
        <v>390.83333333333331</v>
      </c>
      <c r="CB98" s="87">
        <f>VLOOKUP(C98,'Infos Clientes'!B:L,11,0)</f>
        <v>0</v>
      </c>
      <c r="CC98" s="88" t="str">
        <f t="shared" si="79"/>
        <v>A Unidade Consumidora 10/8777-5 economizou R$123,13 na fatura referente à jan/2025  consumindo 494 kWh em créditos de energia renovável conforme fatura de energia. A economia foi de 25% em relação ao que seria pago para a Energisa considerando os créditos consumidos. Atenção: Mantenha as contas da Energisa em dia para evitar cortes.</v>
      </c>
      <c r="CD98" s="40" t="s">
        <v>236</v>
      </c>
      <c r="CF98" s="115">
        <f t="shared" si="80"/>
        <v>-330.60999999999984</v>
      </c>
    </row>
    <row r="99" spans="1:84" s="104" customFormat="1" ht="16.2" hidden="1" customHeight="1" x14ac:dyDescent="0.3">
      <c r="A99" s="105" t="str">
        <f>INDEX('Infos Clientes'!$D:$D,MATCH('Detalhe Por UC'!C99,'Infos Clientes'!B:B,0))</f>
        <v>IGREJA DO EVANGELHO QUADRANGULAR</v>
      </c>
      <c r="B99" s="106" t="str">
        <f>INDEX('Infos Clientes'!$F:$F,MATCH('Detalhe Por UC'!C99,'Infos Clientes'!B:B,0))</f>
        <v>62.955.505/0577-89</v>
      </c>
      <c r="C99" s="44" t="s">
        <v>237</v>
      </c>
      <c r="D99" t="s">
        <v>351</v>
      </c>
      <c r="E99" s="1" t="s">
        <v>352</v>
      </c>
      <c r="F99" s="56" t="str">
        <f>INDEX('Infos Clientes'!$I:$I,MATCH('Detalhe Por UC'!C99,'Infos Clientes'!B:B,0))</f>
        <v>BT</v>
      </c>
      <c r="G99" s="56" t="str">
        <f>INDEX('Infos Clientes'!$J:$J,MATCH('Detalhe Por UC'!C99,'Infos Clientes'!B:B,0))</f>
        <v>trifasico</v>
      </c>
      <c r="H99" s="108" t="s">
        <v>138</v>
      </c>
      <c r="I99" s="58">
        <f>IFERROR(VLOOKUP(C99,'Infos Clientes'!B:E,4,),"")</f>
        <v>319</v>
      </c>
      <c r="J99" s="109">
        <v>0.25</v>
      </c>
      <c r="K99" s="59">
        <f>INDEX('Infos Clientes'!$M:$M,MATCH('Detalhe Por UC'!C99,'Infos Clientes'!B:B,0))</f>
        <v>0.25</v>
      </c>
      <c r="L99" s="110"/>
      <c r="M99" s="56">
        <f>INDEX('Infos Clientes'!$N:$N,MATCH('Detalhe Por UC'!C99,'Infos Clientes'!B:B,0))</f>
        <v>0</v>
      </c>
      <c r="N99" s="56">
        <f t="shared" si="44"/>
        <v>0</v>
      </c>
      <c r="O99" s="56">
        <f t="shared" si="45"/>
        <v>4</v>
      </c>
      <c r="P99" s="56">
        <f t="shared" si="46"/>
        <v>0</v>
      </c>
      <c r="Q99" s="61">
        <f>IFERROR(IFERROR(INDEX('Infos Clientes'!$A$2:$V$9884,MATCH($C99,'Infos Clientes'!$B$2:$B$9884,0),MATCH(Q$8,'Infos Clientes'!$A$2:$V$2,0)),"")
+IF(OR(INDEX('Infos Clientes'!$A$2:$V$9884,MATCH($C99,'Infos Clientes'!$B$2:$B$9884,0),MATCH("Tempo de Fidelidade (meses)",'Infos Clientes'!$A$2:$V$2,0))=0,R99&gt;=MAX(R:R)),0,
ROUND((MAX(R:R)-R99)/(365/12),0)),"")</f>
        <v>0</v>
      </c>
      <c r="R99" s="111">
        <v>45658</v>
      </c>
      <c r="S99" s="112">
        <v>0.05</v>
      </c>
      <c r="T99" s="113" t="str">
        <f>IF($H99="GIROSSOL II",AP99/INDEX('Resumo Operacional'!$A$1:$P$1103,17,MATCH('Detalhe Por UC'!$R99,'Resumo Operacional'!$A$1:$P$1,0)),
IF($H99="GIROSSOL II e III",AP99/INDEX('Resumo Operacional'!$A$1:$P$1103,17,MATCH('Detalhe Por UC'!$R99,'Resumo Operacional'!$A$1:$P$1,0)),
""))</f>
        <v/>
      </c>
      <c r="U99" s="113">
        <f>IF($H99="GIROSSOL III",AP99/INDEX('Resumo Operacional'!$A$1:$P$1103,53,MATCH('Detalhe Por UC'!$R99,'Resumo Operacional'!$A$1:$P$1,0)),
IF($H99="GIROSSOL II e III",AP99/INDEX('Resumo Operacional'!$A$1:$P$1103,53,MATCH('Detalhe Por UC'!$R99,'Resumo Operacional'!$A$1:$P$1,0)),
""))</f>
        <v>0</v>
      </c>
      <c r="V99" s="12"/>
      <c r="W99" s="12"/>
      <c r="X99" s="67">
        <v>1.1162658227848101</v>
      </c>
      <c r="Y99" s="116">
        <v>0</v>
      </c>
      <c r="Z99" s="66">
        <v>0</v>
      </c>
      <c r="AA99" s="35">
        <v>0</v>
      </c>
      <c r="AB99" s="68">
        <v>790</v>
      </c>
      <c r="AC99" s="35">
        <v>0</v>
      </c>
      <c r="AD99" s="69">
        <v>0</v>
      </c>
      <c r="AE99" s="35"/>
      <c r="AF99" s="69">
        <v>0</v>
      </c>
      <c r="AG99" s="69">
        <v>0</v>
      </c>
      <c r="AH99" s="16">
        <v>0</v>
      </c>
      <c r="AI99" s="16">
        <v>0</v>
      </c>
      <c r="AJ99" s="16">
        <v>0</v>
      </c>
      <c r="AK99" s="12"/>
      <c r="AL99" s="38"/>
      <c r="AM99" s="1"/>
      <c r="AN99" s="71">
        <f t="shared" si="47"/>
        <v>0</v>
      </c>
      <c r="AO99" s="71">
        <f t="shared" si="48"/>
        <v>0</v>
      </c>
      <c r="AP99" s="71">
        <f t="shared" si="49"/>
        <v>0</v>
      </c>
      <c r="AQ99" s="72">
        <f>IF(OR($H99="GIROSSOL II",$H99="GIROSSOL II e III"),INDEX('Resumo Operacional'!$A$1:$P$1103,MATCH("Energia Injetada prevista total Fatura da Usina (TUSD)",'Resumo Operacional'!$B$1:$B$1103,0),MATCH('Detalhe Por UC'!$R99,'Resumo Operacional'!$A$1:$P$1,0))*$S99,INDEX('Resumo Operacional'!$A$1:$P$1103,53,MATCH('Detalhe Por UC'!$R99,'Resumo Operacional'!$A$1:$P$1,0))*$S99)</f>
        <v>824.85</v>
      </c>
      <c r="AR99" s="71">
        <f t="shared" si="50"/>
        <v>-824.85</v>
      </c>
      <c r="AS99" s="73">
        <f t="shared" si="51"/>
        <v>881.85</v>
      </c>
      <c r="AT99" s="74">
        <f t="shared" si="52"/>
        <v>881.85</v>
      </c>
      <c r="AU99" s="74" t="str">
        <f t="shared" si="53"/>
        <v/>
      </c>
      <c r="AV99" s="74">
        <f t="shared" si="54"/>
        <v>0</v>
      </c>
      <c r="AW99" s="74">
        <f t="shared" si="55"/>
        <v>0</v>
      </c>
      <c r="AX99" s="74">
        <f t="shared" si="56"/>
        <v>0</v>
      </c>
      <c r="AY99" s="74" t="str">
        <f t="shared" si="57"/>
        <v/>
      </c>
      <c r="AZ99" s="49"/>
      <c r="BA99" s="49">
        <v>1.0000000000000001E-5</v>
      </c>
      <c r="BB99" s="49"/>
      <c r="BC99" s="73" t="str">
        <f t="shared" si="58"/>
        <v/>
      </c>
      <c r="BD99" s="73">
        <f t="shared" si="59"/>
        <v>881.85</v>
      </c>
      <c r="BE99" s="73">
        <f t="shared" si="60"/>
        <v>881.85</v>
      </c>
      <c r="BF99" s="77">
        <f t="shared" si="61"/>
        <v>0</v>
      </c>
      <c r="BG99" s="77">
        <f t="shared" si="62"/>
        <v>0</v>
      </c>
      <c r="BH99" s="77">
        <f t="shared" si="63"/>
        <v>0</v>
      </c>
      <c r="BI99" s="78" t="str">
        <f t="shared" si="64"/>
        <v/>
      </c>
      <c r="BJ99" s="79">
        <f t="shared" si="65"/>
        <v>0</v>
      </c>
      <c r="BK99" s="80" t="str">
        <f t="shared" si="66"/>
        <v/>
      </c>
      <c r="BL99" s="80" t="str">
        <f t="shared" si="67"/>
        <v/>
      </c>
      <c r="BM99" s="79" t="str">
        <f t="shared" si="68"/>
        <v/>
      </c>
      <c r="BN99" s="81" t="str">
        <f t="shared" si="69"/>
        <v/>
      </c>
      <c r="BO99" s="82" t="str">
        <f t="shared" si="70"/>
        <v/>
      </c>
      <c r="BP99" s="81" t="str">
        <f t="shared" si="71"/>
        <v/>
      </c>
      <c r="BQ99" s="81" t="str">
        <f t="shared" si="72"/>
        <v/>
      </c>
      <c r="BR99" s="81" t="str">
        <f t="shared" si="73"/>
        <v/>
      </c>
      <c r="BS99" s="82">
        <f t="shared" si="74"/>
        <v>0</v>
      </c>
      <c r="BT99" s="82" t="str">
        <f t="shared" si="75"/>
        <v/>
      </c>
      <c r="BU99" s="82">
        <f t="shared" si="76"/>
        <v>0</v>
      </c>
      <c r="BV99"/>
      <c r="BW99" s="82">
        <f>IFERROR(INDEX('Infos Clientes'!$T:$T,MATCH('Detalhe Por UC'!$C99,'Infos Clientes'!B:B,0)),"")</f>
        <v>790</v>
      </c>
      <c r="BX99" s="83">
        <f t="shared" si="77"/>
        <v>0</v>
      </c>
      <c r="BY99" s="84" t="str">
        <f t="shared" si="78"/>
        <v/>
      </c>
      <c r="BZ99" s="85">
        <f>IF(_xlfn.MINIFS('Detalhe Por UC'!R:R,'Detalhe Por UC'!C:C,C99,'Detalhe Por UC'!AD:AD,"&gt;"&amp;0)=0,"",_xlfn.MINIFS('Detalhe Por UC'!R:R,'Detalhe Por UC'!C:C,C99,'Detalhe Por UC'!AD:AD,"&gt;"&amp;0))</f>
        <v>45717</v>
      </c>
      <c r="CA99" s="114">
        <f ca="1">IF(OR(S99&gt;0,AD99&gt;0),IFERROR(
SUMIFS(INDIRECT("'Infos Clientes'!$W"&amp;INDEX('Infos Clientes'!$C:$C,MATCH(C99,'Infos Clientes'!$H:$H,0))&amp;":$CZ"&amp;INDEX('Infos Clientes'!$C:$C,MATCH(C99,'Infos Clientes'!$H:$H,0))),'Infos Clientes'!$W$2:$CZ$2,"&gt;"&amp;$R99-365,'Infos Clientes'!$W$2:$CZ$2,"&lt;="&amp;$R99)/
COUNTIFS(INDIRECT("'Infos Clientes'!$W"&amp;INDEX('Infos Clientes'!$C:$C,MATCH(C99,'Infos Clientes'!$H:$H,0))&amp;":$CZ"&amp;INDEX('Infos Clientes'!$C:$C,MATCH(C99,'Infos Clientes'!$H:$H,0))),"&gt;="&amp;0,'Infos Clientes'!$W$2:$CZ$2,"&gt;"&amp;$R99-365,'Infos Clientes'!$W$2:$CZ$2,"&lt;="&amp;$R99),""),"")</f>
        <v>192.08333333333334</v>
      </c>
      <c r="CB99" s="87">
        <f>VLOOKUP(C99,'Infos Clientes'!B:L,11,0)</f>
        <v>0</v>
      </c>
      <c r="CC99" s="88" t="str">
        <f t="shared" si="79"/>
        <v>A Unidade Consumidora 10/925970-6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99" s="40" t="s">
        <v>96</v>
      </c>
      <c r="CF99" s="115">
        <f t="shared" si="80"/>
        <v>-881.85</v>
      </c>
    </row>
    <row r="100" spans="1:84" s="104" customFormat="1" ht="16.2" hidden="1" customHeight="1" x14ac:dyDescent="0.3">
      <c r="A100" s="105" t="str">
        <f>INDEX('Infos Clientes'!$D:$D,MATCH('Detalhe Por UC'!C100,'Infos Clientes'!B:B,0))</f>
        <v>IGREJA DO EVANGELHO QUADRANGULAR</v>
      </c>
      <c r="B100" s="106" t="str">
        <f>INDEX('Infos Clientes'!$F:$F,MATCH('Detalhe Por UC'!C100,'Infos Clientes'!B:B,0))</f>
        <v>62.955.505/8979-30</v>
      </c>
      <c r="C100" s="31" t="s">
        <v>238</v>
      </c>
      <c r="D100" t="s">
        <v>351</v>
      </c>
      <c r="E100" s="1" t="s">
        <v>352</v>
      </c>
      <c r="F100" s="56" t="str">
        <f>INDEX('Infos Clientes'!$I:$I,MATCH('Detalhe Por UC'!C100,'Infos Clientes'!B:B,0))</f>
        <v>BT</v>
      </c>
      <c r="G100" s="56" t="str">
        <f>INDEX('Infos Clientes'!$J:$J,MATCH('Detalhe Por UC'!C100,'Infos Clientes'!B:B,0))</f>
        <v>bifasico</v>
      </c>
      <c r="H100" s="108" t="s">
        <v>138</v>
      </c>
      <c r="I100" s="58">
        <f>IFERROR(VLOOKUP(C100,'Infos Clientes'!B:E,4,),"")</f>
        <v>360</v>
      </c>
      <c r="J100" s="109">
        <v>0.25</v>
      </c>
      <c r="K100" s="59">
        <f>INDEX('Infos Clientes'!$M:$M,MATCH('Detalhe Por UC'!C100,'Infos Clientes'!B:B,0))</f>
        <v>0.25</v>
      </c>
      <c r="L100" s="110"/>
      <c r="M100" s="56">
        <f>INDEX('Infos Clientes'!$N:$N,MATCH('Detalhe Por UC'!C100,'Infos Clientes'!B:B,0))</f>
        <v>0</v>
      </c>
      <c r="N100" s="56">
        <f t="shared" si="44"/>
        <v>0</v>
      </c>
      <c r="O100" s="56">
        <f t="shared" si="45"/>
        <v>10</v>
      </c>
      <c r="P100" s="56">
        <f t="shared" si="46"/>
        <v>0</v>
      </c>
      <c r="Q100" s="61">
        <f>IFERROR(IFERROR(INDEX('Infos Clientes'!$A$2:$V$9884,MATCH($C100,'Infos Clientes'!$B$2:$B$9884,0),MATCH(Q$8,'Infos Clientes'!$A$2:$V$2,0)),"")
+IF(OR(INDEX('Infos Clientes'!$A$2:$V$9884,MATCH($C100,'Infos Clientes'!$B$2:$B$9884,0),MATCH("Tempo de Fidelidade (meses)",'Infos Clientes'!$A$2:$V$2,0))=0,R100&gt;=MAX(R:R)),0,
ROUND((MAX(R:R)-R100)/(365/12),0)),"")</f>
        <v>0</v>
      </c>
      <c r="R100" s="111">
        <v>45658</v>
      </c>
      <c r="S100" s="112">
        <v>6.9999999999999993E-3</v>
      </c>
      <c r="T100" s="113" t="str">
        <f>IF($H100="GIROSSOL II",AP100/INDEX('Resumo Operacional'!$A$1:$P$1103,17,MATCH('Detalhe Por UC'!$R100,'Resumo Operacional'!$A$1:$P$1,0)),
IF($H100="GIROSSOL II e III",AP100/INDEX('Resumo Operacional'!$A$1:$P$1103,17,MATCH('Detalhe Por UC'!$R100,'Resumo Operacional'!$A$1:$P$1,0)),
""))</f>
        <v/>
      </c>
      <c r="U100" s="113">
        <f>IF($H100="GIROSSOL III",AP100/INDEX('Resumo Operacional'!$A$1:$P$1103,53,MATCH('Detalhe Por UC'!$R100,'Resumo Operacional'!$A$1:$P$1,0)),
IF($H100="GIROSSOL II e III",AP100/INDEX('Resumo Operacional'!$A$1:$P$1103,53,MATCH('Detalhe Por UC'!$R100,'Resumo Operacional'!$A$1:$P$1,0)),
""))</f>
        <v>3.1520882584712374E-3</v>
      </c>
      <c r="V100" s="12"/>
      <c r="W100" s="12"/>
      <c r="X100" s="67">
        <v>1.1162105263157895</v>
      </c>
      <c r="Y100" s="116">
        <v>0</v>
      </c>
      <c r="Z100" s="66">
        <v>0.99538461538461531</v>
      </c>
      <c r="AA100" s="35">
        <v>0</v>
      </c>
      <c r="AB100" s="68">
        <v>95</v>
      </c>
      <c r="AC100" s="35">
        <v>0</v>
      </c>
      <c r="AD100" s="69">
        <v>52</v>
      </c>
      <c r="AE100" s="35"/>
      <c r="AF100" s="69">
        <v>0</v>
      </c>
      <c r="AG100" s="69">
        <v>0</v>
      </c>
      <c r="AH100" s="16">
        <v>7.27</v>
      </c>
      <c r="AI100" s="16">
        <v>0</v>
      </c>
      <c r="AJ100" s="16">
        <v>0</v>
      </c>
      <c r="AK100" s="12"/>
      <c r="AL100" s="38"/>
      <c r="AM100" s="1"/>
      <c r="AN100" s="71">
        <f t="shared" si="47"/>
        <v>0</v>
      </c>
      <c r="AO100" s="71">
        <f t="shared" si="48"/>
        <v>0</v>
      </c>
      <c r="AP100" s="71">
        <f t="shared" si="49"/>
        <v>52</v>
      </c>
      <c r="AQ100" s="72">
        <f>IF(OR($H100="GIROSSOL II",$H100="GIROSSOL II e III"),INDEX('Resumo Operacional'!$A$1:$P$1103,MATCH("Energia Injetada prevista total Fatura da Usina (TUSD)",'Resumo Operacional'!$B$1:$B$1103,0),MATCH('Detalhe Por UC'!$R100,'Resumo Operacional'!$A$1:$P$1,0))*$S100,INDEX('Resumo Operacional'!$A$1:$P$1103,53,MATCH('Detalhe Por UC'!$R100,'Resumo Operacional'!$A$1:$P$1,0))*$S100)</f>
        <v>115.47899999999998</v>
      </c>
      <c r="AR100" s="71">
        <f t="shared" si="50"/>
        <v>-63.478999999999985</v>
      </c>
      <c r="AS100" s="73">
        <f t="shared" si="51"/>
        <v>61.550000000000011</v>
      </c>
      <c r="AT100" s="74">
        <f t="shared" si="52"/>
        <v>61.550000000000011</v>
      </c>
      <c r="AU100" s="74">
        <f t="shared" si="53"/>
        <v>0.87455870445344108</v>
      </c>
      <c r="AV100" s="74">
        <f t="shared" si="54"/>
        <v>38.82</v>
      </c>
      <c r="AW100" s="74">
        <f t="shared" si="55"/>
        <v>0</v>
      </c>
      <c r="AX100" s="74">
        <f t="shared" si="56"/>
        <v>51.76</v>
      </c>
      <c r="AY100" s="74">
        <f t="shared" si="57"/>
        <v>38.82</v>
      </c>
      <c r="AZ100" s="49">
        <v>38.82</v>
      </c>
      <c r="BA100" s="117">
        <v>38.82</v>
      </c>
      <c r="BB100" s="49">
        <v>38.82</v>
      </c>
      <c r="BC100" s="73" t="str">
        <f t="shared" si="58"/>
        <v/>
      </c>
      <c r="BD100" s="73">
        <f t="shared" si="59"/>
        <v>113.31</v>
      </c>
      <c r="BE100" s="73">
        <f t="shared" si="60"/>
        <v>100.37</v>
      </c>
      <c r="BF100" s="77">
        <f t="shared" si="61"/>
        <v>12.94</v>
      </c>
      <c r="BG100" s="77">
        <f t="shared" si="62"/>
        <v>3.8819999999999997</v>
      </c>
      <c r="BH100" s="77">
        <f t="shared" si="63"/>
        <v>51.759999999999991</v>
      </c>
      <c r="BI100" s="78">
        <f t="shared" si="64"/>
        <v>0.25</v>
      </c>
      <c r="BJ100" s="79">
        <f t="shared" si="65"/>
        <v>0.1141999823493072</v>
      </c>
      <c r="BK100" s="80">
        <f t="shared" si="66"/>
        <v>100.37</v>
      </c>
      <c r="BL100" s="80">
        <f t="shared" si="67"/>
        <v>12.939999999999998</v>
      </c>
      <c r="BM100" s="79">
        <f t="shared" si="68"/>
        <v>0.11419998234930719</v>
      </c>
      <c r="BN100" s="81">
        <f t="shared" si="69"/>
        <v>0.7465384615384616</v>
      </c>
      <c r="BO100" s="82">
        <f t="shared" si="70"/>
        <v>38.82</v>
      </c>
      <c r="BP100" s="81">
        <f t="shared" si="71"/>
        <v>0.7465384615384616</v>
      </c>
      <c r="BQ100" s="81">
        <f t="shared" si="72"/>
        <v>0.86736437246963582</v>
      </c>
      <c r="BR100" s="81">
        <f t="shared" si="73"/>
        <v>1.1162105263157895</v>
      </c>
      <c r="BS100" s="82">
        <f t="shared" si="74"/>
        <v>52</v>
      </c>
      <c r="BT100" s="82">
        <f t="shared" si="75"/>
        <v>58.042947368421054</v>
      </c>
      <c r="BU100" s="82">
        <f t="shared" si="76"/>
        <v>51.76</v>
      </c>
      <c r="BV100"/>
      <c r="BW100" s="82">
        <f>IFERROR(INDEX('Infos Clientes'!$T:$T,MATCH('Detalhe Por UC'!$C100,'Infos Clientes'!B:B,0)),"")</f>
        <v>162.36363636363637</v>
      </c>
      <c r="BX100" s="83">
        <f t="shared" si="77"/>
        <v>0</v>
      </c>
      <c r="BY100" s="84">
        <f t="shared" si="78"/>
        <v>0.22293836868525652</v>
      </c>
      <c r="BZ100" s="85">
        <f>IF(_xlfn.MINIFS('Detalhe Por UC'!R:R,'Detalhe Por UC'!C:C,C100,'Detalhe Por UC'!AD:AD,"&gt;"&amp;0)=0,"",_xlfn.MINIFS('Detalhe Por UC'!R:R,'Detalhe Por UC'!C:C,C100,'Detalhe Por UC'!AD:AD,"&gt;"&amp;0))</f>
        <v>45658</v>
      </c>
      <c r="CA100" s="114">
        <f ca="1">IF(OR(S100&gt;0,AD100&gt;0),IFERROR(
SUMIFS(INDIRECT("'Infos Clientes'!$W"&amp;INDEX('Infos Clientes'!$C:$C,MATCH(C100,'Infos Clientes'!$H:$H,0))&amp;":$CZ"&amp;INDEX('Infos Clientes'!$C:$C,MATCH(C100,'Infos Clientes'!$H:$H,0))),'Infos Clientes'!$W$2:$CZ$2,"&gt;"&amp;$R100-365,'Infos Clientes'!$W$2:$CZ$2,"&lt;="&amp;$R100)/
COUNTIFS(INDIRECT("'Infos Clientes'!$W"&amp;INDEX('Infos Clientes'!$C:$C,MATCH(C100,'Infos Clientes'!$H:$H,0))&amp;":$CZ"&amp;INDEX('Infos Clientes'!$C:$C,MATCH(C100,'Infos Clientes'!$H:$H,0))),"&gt;="&amp;0,'Infos Clientes'!$W$2:$CZ$2,"&gt;"&amp;$R100-365,'Infos Clientes'!$W$2:$CZ$2,"&lt;="&amp;$R100),""),"")</f>
        <v>148.83333333333334</v>
      </c>
      <c r="CB100" s="87">
        <f>VLOOKUP(C100,'Infos Clientes'!B:L,11,0)</f>
        <v>0</v>
      </c>
      <c r="CC100" s="88" t="str">
        <f t="shared" si="79"/>
        <v>A Unidade Consumidora 10/952579-1 economizou R$12,94 na fatura referente à jan/2025  consumindo 52 kWh em créditos de energia renovável conforme fatura de energia. A economia foi de 25% em relação ao que seria pago para a Energisa considerando os créditos consumidos. Atenção: Mantenha as contas da Energisa em dia para evitar cortes.</v>
      </c>
      <c r="CD100" s="40" t="s">
        <v>149</v>
      </c>
      <c r="CF100" s="115">
        <f t="shared" si="80"/>
        <v>-61.550000000000011</v>
      </c>
    </row>
    <row r="101" spans="1:84" s="104" customFormat="1" ht="16.2" hidden="1" customHeight="1" x14ac:dyDescent="0.3">
      <c r="A101" s="105" t="str">
        <f>INDEX('Infos Clientes'!$D:$D,MATCH('Detalhe Por UC'!C101,'Infos Clientes'!B:B,0))</f>
        <v>IGREJA DO EVANGELHO QUADRANGULAR</v>
      </c>
      <c r="B101" s="106" t="str">
        <f>INDEX('Infos Clientes'!$F:$F,MATCH('Detalhe Por UC'!C101,'Infos Clientes'!B:B,0))</f>
        <v>62.955.505/0001-67</v>
      </c>
      <c r="C101" s="31" t="s">
        <v>240</v>
      </c>
      <c r="D101" t="s">
        <v>351</v>
      </c>
      <c r="E101" s="1" t="s">
        <v>352</v>
      </c>
      <c r="F101" s="56" t="str">
        <f>INDEX('Infos Clientes'!$I:$I,MATCH('Detalhe Por UC'!C101,'Infos Clientes'!B:B,0))</f>
        <v>BT</v>
      </c>
      <c r="G101" s="56" t="str">
        <f>INDEX('Infos Clientes'!$J:$J,MATCH('Detalhe Por UC'!C101,'Infos Clientes'!B:B,0))</f>
        <v>trifasico</v>
      </c>
      <c r="H101" s="108" t="s">
        <v>353</v>
      </c>
      <c r="I101" s="58">
        <f>IFERROR(VLOOKUP(C101,'Infos Clientes'!B:E,4,),"")</f>
        <v>360</v>
      </c>
      <c r="J101" s="109">
        <v>0.25</v>
      </c>
      <c r="K101" s="59">
        <f>INDEX('Infos Clientes'!$M:$M,MATCH('Detalhe Por UC'!C101,'Infos Clientes'!B:B,0))</f>
        <v>0.25</v>
      </c>
      <c r="L101" s="110"/>
      <c r="M101" s="56">
        <f>INDEX('Infos Clientes'!$N:$N,MATCH('Detalhe Por UC'!C101,'Infos Clientes'!B:B,0))</f>
        <v>0</v>
      </c>
      <c r="N101" s="56">
        <f t="shared" si="44"/>
        <v>0</v>
      </c>
      <c r="O101" s="56">
        <f t="shared" si="45"/>
        <v>10</v>
      </c>
      <c r="P101" s="56">
        <f t="shared" si="46"/>
        <v>0</v>
      </c>
      <c r="Q101" s="61">
        <f>IFERROR(IFERROR(INDEX('Infos Clientes'!$A$2:$V$9884,MATCH($C101,'Infos Clientes'!$B$2:$B$9884,0),MATCH(Q$8,'Infos Clientes'!$A$2:$V$2,0)),"")
+IF(OR(INDEX('Infos Clientes'!$A$2:$V$9884,MATCH($C101,'Infos Clientes'!$B$2:$B$9884,0),MATCH("Tempo de Fidelidade (meses)",'Infos Clientes'!$A$2:$V$2,0))=0,R101&gt;=MAX(R:R)),0,
ROUND((MAX(R:R)-R101)/(365/12),0)),"")</f>
        <v>0</v>
      </c>
      <c r="R101" s="111">
        <v>45658</v>
      </c>
      <c r="S101" s="112">
        <v>0.02</v>
      </c>
      <c r="T101" s="113">
        <f>IF($H101="GIROSSOL II",AP101/INDEX('Resumo Operacional'!$A$1:$P$1103,17,MATCH('Detalhe Por UC'!$R101,'Resumo Operacional'!$A$1:$P$1,0)),
IF($H101="GIROSSOL II e III",AP101/INDEX('Resumo Operacional'!$A$1:$P$1103,17,MATCH('Detalhe Por UC'!$R101,'Resumo Operacional'!$A$1:$P$1,0)),
""))</f>
        <v>1.7731007640190283E-2</v>
      </c>
      <c r="U101" s="113">
        <f>IF($H101="GIROSSOL III",AP101/INDEX('Resumo Operacional'!$A$1:$P$1103,53,MATCH('Detalhe Por UC'!$R101,'Resumo Operacional'!$A$1:$P$1,0)),
IF($H101="GIROSSOL II e III",AP101/INDEX('Resumo Operacional'!$A$1:$P$1103,53,MATCH('Detalhe Por UC'!$R101,'Resumo Operacional'!$A$1:$P$1,0)),
""))</f>
        <v>1.4911802145844699E-2</v>
      </c>
      <c r="V101" s="12"/>
      <c r="W101" s="12"/>
      <c r="X101" s="67">
        <v>1.1162420382165605</v>
      </c>
      <c r="Y101" s="116">
        <v>0</v>
      </c>
      <c r="Z101" s="66">
        <v>1.0016260162601629</v>
      </c>
      <c r="AA101" s="35">
        <v>0</v>
      </c>
      <c r="AB101" s="68">
        <v>314</v>
      </c>
      <c r="AC101" s="35">
        <v>0</v>
      </c>
      <c r="AD101" s="69">
        <v>246</v>
      </c>
      <c r="AE101" s="35"/>
      <c r="AF101" s="69">
        <v>0</v>
      </c>
      <c r="AG101" s="69">
        <v>0</v>
      </c>
      <c r="AH101" s="16">
        <v>71</v>
      </c>
      <c r="AI101" s="16">
        <v>0</v>
      </c>
      <c r="AJ101" s="16">
        <v>0</v>
      </c>
      <c r="AK101" s="12"/>
      <c r="AL101" s="38"/>
      <c r="AM101" s="1"/>
      <c r="AN101" s="71">
        <f t="shared" si="47"/>
        <v>0</v>
      </c>
      <c r="AO101" s="71">
        <f t="shared" si="48"/>
        <v>0</v>
      </c>
      <c r="AP101" s="71">
        <f t="shared" si="49"/>
        <v>246</v>
      </c>
      <c r="AQ101" s="72">
        <f>IF(OR($H101="GIROSSOL II",$H101="GIROSSOL II e III"),INDEX('Resumo Operacional'!$A$1:$P$1103,MATCH("Energia Injetada prevista total Fatura da Usina (TUSD)",'Resumo Operacional'!$B$1:$B$1103,0),MATCH('Detalhe Por UC'!$R101,'Resumo Operacional'!$A$1:$P$1,0))*$S101,INDEX('Resumo Operacional'!$A$1:$P$1103,53,MATCH('Detalhe Por UC'!$R101,'Resumo Operacional'!$A$1:$P$1,0))*$S101)</f>
        <v>277.48</v>
      </c>
      <c r="AR101" s="71">
        <f t="shared" si="50"/>
        <v>-31.480000000000018</v>
      </c>
      <c r="AS101" s="73">
        <f t="shared" si="51"/>
        <v>175.09999999999994</v>
      </c>
      <c r="AT101" s="74">
        <f t="shared" si="52"/>
        <v>175.09999999999994</v>
      </c>
      <c r="AU101" s="74">
        <f t="shared" si="53"/>
        <v>0.88700999430376526</v>
      </c>
      <c r="AV101" s="74">
        <f t="shared" si="54"/>
        <v>184.80000000000007</v>
      </c>
      <c r="AW101" s="74">
        <f t="shared" si="55"/>
        <v>0</v>
      </c>
      <c r="AX101" s="74">
        <f t="shared" si="56"/>
        <v>246.40000000000006</v>
      </c>
      <c r="AY101" s="74">
        <f t="shared" si="57"/>
        <v>184.8</v>
      </c>
      <c r="AZ101" s="49">
        <v>184.8</v>
      </c>
      <c r="BA101" s="117">
        <v>184.8</v>
      </c>
      <c r="BB101" s="49">
        <v>184.8</v>
      </c>
      <c r="BC101" s="73" t="str">
        <f t="shared" si="58"/>
        <v/>
      </c>
      <c r="BD101" s="73">
        <f t="shared" si="59"/>
        <v>421.5</v>
      </c>
      <c r="BE101" s="73">
        <f t="shared" si="60"/>
        <v>359.9</v>
      </c>
      <c r="BF101" s="77">
        <f t="shared" si="61"/>
        <v>61.6</v>
      </c>
      <c r="BG101" s="77">
        <f t="shared" si="62"/>
        <v>18.48</v>
      </c>
      <c r="BH101" s="77">
        <f t="shared" si="63"/>
        <v>246.40000000000009</v>
      </c>
      <c r="BI101" s="78">
        <f t="shared" si="64"/>
        <v>0.25</v>
      </c>
      <c r="BJ101" s="79">
        <f t="shared" si="65"/>
        <v>0.14614472123368921</v>
      </c>
      <c r="BK101" s="80">
        <f t="shared" si="66"/>
        <v>359.9</v>
      </c>
      <c r="BL101" s="80">
        <f t="shared" si="67"/>
        <v>61.600000000000023</v>
      </c>
      <c r="BM101" s="79">
        <f t="shared" si="68"/>
        <v>0.14614472123368927</v>
      </c>
      <c r="BN101" s="81">
        <f t="shared" si="69"/>
        <v>0.75121951219512195</v>
      </c>
      <c r="BO101" s="82">
        <f t="shared" si="70"/>
        <v>184.8</v>
      </c>
      <c r="BP101" s="81">
        <f t="shared" si="71"/>
        <v>0.75121951219512195</v>
      </c>
      <c r="BQ101" s="81">
        <f t="shared" si="72"/>
        <v>0.86583553415151959</v>
      </c>
      <c r="BR101" s="81">
        <f t="shared" si="73"/>
        <v>1.1162420382165605</v>
      </c>
      <c r="BS101" s="82">
        <f t="shared" si="74"/>
        <v>246</v>
      </c>
      <c r="BT101" s="82">
        <f t="shared" si="75"/>
        <v>274.59554140127392</v>
      </c>
      <c r="BU101" s="82">
        <f t="shared" si="76"/>
        <v>246.40000000000006</v>
      </c>
      <c r="BV101"/>
      <c r="BW101" s="82">
        <f>IFERROR(INDEX('Infos Clientes'!$T:$T,MATCH('Detalhe Por UC'!$C101,'Infos Clientes'!B:B,0)),"")</f>
        <v>413.36363636363637</v>
      </c>
      <c r="BX101" s="83">
        <f t="shared" si="77"/>
        <v>0</v>
      </c>
      <c r="BY101" s="84">
        <f t="shared" si="78"/>
        <v>0.22432993516811087</v>
      </c>
      <c r="BZ101" s="85">
        <f>IF(_xlfn.MINIFS('Detalhe Por UC'!R:R,'Detalhe Por UC'!C:C,C101,'Detalhe Por UC'!AD:AD,"&gt;"&amp;0)=0,"",_xlfn.MINIFS('Detalhe Por UC'!R:R,'Detalhe Por UC'!C:C,C101,'Detalhe Por UC'!AD:AD,"&gt;"&amp;0))</f>
        <v>45658</v>
      </c>
      <c r="CA101" s="114">
        <f ca="1">IF(OR(S101&gt;0,AD101&gt;0),IFERROR(
SUMIFS(INDIRECT("'Infos Clientes'!$W"&amp;INDEX('Infos Clientes'!$C:$C,MATCH(C101,'Infos Clientes'!$H:$H,0))&amp;":$CZ"&amp;INDEX('Infos Clientes'!$C:$C,MATCH(C101,'Infos Clientes'!$H:$H,0))),'Infos Clientes'!$W$2:$CZ$2,"&gt;"&amp;$R101-365,'Infos Clientes'!$W$2:$CZ$2,"&lt;="&amp;$R101)/
COUNTIFS(INDIRECT("'Infos Clientes'!$W"&amp;INDEX('Infos Clientes'!$C:$C,MATCH(C101,'Infos Clientes'!$H:$H,0))&amp;":$CZ"&amp;INDEX('Infos Clientes'!$C:$C,MATCH(C101,'Infos Clientes'!$H:$H,0))),"&gt;="&amp;0,'Infos Clientes'!$W$2:$CZ$2,"&gt;"&amp;$R101-365,'Infos Clientes'!$W$2:$CZ$2,"&lt;="&amp;$R101),""),"")</f>
        <v>378.91666666666669</v>
      </c>
      <c r="CB101" s="87">
        <f>VLOOKUP(C101,'Infos Clientes'!B:L,11,0)</f>
        <v>0</v>
      </c>
      <c r="CC101" s="88" t="str">
        <f t="shared" si="79"/>
        <v>A Unidade Consumidora 10/260761-2 economizou R$61,6 na fatura referente à jan/2025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101" s="40"/>
      <c r="CF101" s="115">
        <f t="shared" si="80"/>
        <v>-175.09999999999994</v>
      </c>
    </row>
    <row r="102" spans="1:84" s="104" customFormat="1" ht="16.2" hidden="1" customHeight="1" x14ac:dyDescent="0.3">
      <c r="A102" s="105" t="str">
        <f>INDEX('Infos Clientes'!$D:$D,MATCH('Detalhe Por UC'!C102,'Infos Clientes'!B:B,0))</f>
        <v>IGREJA DO EVANGELHO QUADRANGULAR</v>
      </c>
      <c r="B102" s="106" t="str">
        <f>INDEX('Infos Clientes'!$F:$F,MATCH('Detalhe Por UC'!C102,'Infos Clientes'!B:B,0))</f>
        <v>62.955.505/3586-30</v>
      </c>
      <c r="C102" s="31" t="s">
        <v>242</v>
      </c>
      <c r="D102" t="s">
        <v>351</v>
      </c>
      <c r="E102" s="1" t="s">
        <v>352</v>
      </c>
      <c r="F102" s="56" t="str">
        <f>INDEX('Infos Clientes'!$I:$I,MATCH('Detalhe Por UC'!C102,'Infos Clientes'!B:B,0))</f>
        <v>BT</v>
      </c>
      <c r="G102" s="56" t="str">
        <f>INDEX('Infos Clientes'!$J:$J,MATCH('Detalhe Por UC'!C102,'Infos Clientes'!B:B,0))</f>
        <v>trifasico</v>
      </c>
      <c r="H102" s="108" t="s">
        <v>353</v>
      </c>
      <c r="I102" s="58">
        <f>IFERROR(VLOOKUP(C102,'Infos Clientes'!B:E,4,),"")</f>
        <v>371</v>
      </c>
      <c r="J102" s="109">
        <v>0.25</v>
      </c>
      <c r="K102" s="59">
        <f>INDEX('Infos Clientes'!$M:$M,MATCH('Detalhe Por UC'!C102,'Infos Clientes'!B:B,0))</f>
        <v>0.25</v>
      </c>
      <c r="L102" s="110"/>
      <c r="M102" s="56">
        <f>INDEX('Infos Clientes'!$N:$N,MATCH('Detalhe Por UC'!C102,'Infos Clientes'!B:B,0))</f>
        <v>0</v>
      </c>
      <c r="N102" s="56">
        <f t="shared" si="44"/>
        <v>0</v>
      </c>
      <c r="O102" s="56">
        <f t="shared" si="45"/>
        <v>7</v>
      </c>
      <c r="P102" s="56">
        <f t="shared" si="46"/>
        <v>0</v>
      </c>
      <c r="Q102" s="61">
        <f>IFERROR(IFERROR(INDEX('Infos Clientes'!$A$2:$V$9884,MATCH($C102,'Infos Clientes'!$B$2:$B$9884,0),MATCH(Q$8,'Infos Clientes'!$A$2:$V$2,0)),"")
+IF(OR(INDEX('Infos Clientes'!$A$2:$V$9884,MATCH($C102,'Infos Clientes'!$B$2:$B$9884,0),MATCH("Tempo de Fidelidade (meses)",'Infos Clientes'!$A$2:$V$2,0))=0,R102&gt;=MAX(R:R)),0,
ROUND((MAX(R:R)-R102)/(365/12),0)),"")</f>
        <v>0</v>
      </c>
      <c r="R102" s="111">
        <v>45658</v>
      </c>
      <c r="S102" s="112">
        <v>0.01</v>
      </c>
      <c r="T102" s="113">
        <f>IF($H102="GIROSSOL II",AP102/INDEX('Resumo Operacional'!$A$1:$P$1103,17,MATCH('Detalhe Por UC'!$R102,'Resumo Operacional'!$A$1:$P$1,0)),
IF($H102="GIROSSOL II e III",AP102/INDEX('Resumo Operacional'!$A$1:$P$1103,17,MATCH('Detalhe Por UC'!$R102,'Resumo Operacional'!$A$1:$P$1,0)),
""))</f>
        <v>5.9824131468934694E-3</v>
      </c>
      <c r="U102" s="113">
        <f>IF($H102="GIROSSOL III",AP102/INDEX('Resumo Operacional'!$A$1:$P$1103,53,MATCH('Detalhe Por UC'!$R102,'Resumo Operacional'!$A$1:$P$1,0)),
IF($H102="GIROSSOL II e III",AP102/INDEX('Resumo Operacional'!$A$1:$P$1103,53,MATCH('Detalhe Por UC'!$R102,'Resumo Operacional'!$A$1:$P$1,0)),
""))</f>
        <v>5.0312177971752444E-3</v>
      </c>
      <c r="V102" s="12"/>
      <c r="W102" s="12"/>
      <c r="X102" s="67">
        <v>1.1162209302325581</v>
      </c>
      <c r="Y102" s="116">
        <v>0</v>
      </c>
      <c r="Z102" s="66">
        <v>0.99686746987951813</v>
      </c>
      <c r="AA102" s="35">
        <v>0</v>
      </c>
      <c r="AB102" s="68">
        <v>172</v>
      </c>
      <c r="AC102" s="35">
        <v>0</v>
      </c>
      <c r="AD102" s="69">
        <v>83</v>
      </c>
      <c r="AE102" s="35"/>
      <c r="AF102" s="69">
        <v>0</v>
      </c>
      <c r="AG102" s="69">
        <v>0</v>
      </c>
      <c r="AH102" s="16">
        <v>40.01</v>
      </c>
      <c r="AI102" s="16">
        <v>0</v>
      </c>
      <c r="AJ102" s="16">
        <v>0</v>
      </c>
      <c r="AK102" s="12"/>
      <c r="AL102" s="38"/>
      <c r="AM102" s="1"/>
      <c r="AN102" s="71">
        <f t="shared" si="47"/>
        <v>0</v>
      </c>
      <c r="AO102" s="71">
        <f t="shared" si="48"/>
        <v>0</v>
      </c>
      <c r="AP102" s="71">
        <f t="shared" si="49"/>
        <v>83</v>
      </c>
      <c r="AQ102" s="72">
        <f>IF(OR($H102="GIROSSOL II",$H102="GIROSSOL II e III"),INDEX('Resumo Operacional'!$A$1:$P$1103,MATCH("Energia Injetada prevista total Fatura da Usina (TUSD)",'Resumo Operacional'!$B$1:$B$1103,0),MATCH('Detalhe Por UC'!$R102,'Resumo Operacional'!$A$1:$P$1,0))*$S102,INDEX('Resumo Operacional'!$A$1:$P$1103,53,MATCH('Detalhe Por UC'!$R102,'Resumo Operacional'!$A$1:$P$1,0))*$S102)</f>
        <v>138.74</v>
      </c>
      <c r="AR102" s="71">
        <f t="shared" si="50"/>
        <v>-55.740000000000009</v>
      </c>
      <c r="AS102" s="73">
        <f t="shared" si="51"/>
        <v>149.25999999999996</v>
      </c>
      <c r="AT102" s="74">
        <f t="shared" si="52"/>
        <v>149.25999999999996</v>
      </c>
      <c r="AU102" s="74">
        <f t="shared" si="53"/>
        <v>0.87751400952647818</v>
      </c>
      <c r="AV102" s="74">
        <f t="shared" si="54"/>
        <v>62.055</v>
      </c>
      <c r="AW102" s="74">
        <f t="shared" si="55"/>
        <v>0</v>
      </c>
      <c r="AX102" s="74">
        <f t="shared" si="56"/>
        <v>82.740000000000009</v>
      </c>
      <c r="AY102" s="74">
        <f t="shared" si="57"/>
        <v>62.06</v>
      </c>
      <c r="AZ102" s="49">
        <v>62.06</v>
      </c>
      <c r="BA102" s="117">
        <v>62.06</v>
      </c>
      <c r="BB102" s="49">
        <v>62.06</v>
      </c>
      <c r="BC102" s="73" t="str">
        <f t="shared" si="58"/>
        <v/>
      </c>
      <c r="BD102" s="73">
        <f t="shared" si="59"/>
        <v>231.99999999999997</v>
      </c>
      <c r="BE102" s="73">
        <f t="shared" si="60"/>
        <v>211.31499999999997</v>
      </c>
      <c r="BF102" s="77">
        <f t="shared" si="61"/>
        <v>20.69</v>
      </c>
      <c r="BG102" s="77">
        <f t="shared" si="62"/>
        <v>6.2069999999999999</v>
      </c>
      <c r="BH102" s="77">
        <f t="shared" si="63"/>
        <v>82.74</v>
      </c>
      <c r="BI102" s="78">
        <f t="shared" si="64"/>
        <v>0.25</v>
      </c>
      <c r="BJ102" s="79">
        <f t="shared" si="65"/>
        <v>8.9181034482758631E-2</v>
      </c>
      <c r="BK102" s="80">
        <f t="shared" si="66"/>
        <v>211.31999999999996</v>
      </c>
      <c r="BL102" s="80">
        <f t="shared" si="67"/>
        <v>20.680000000000007</v>
      </c>
      <c r="BM102" s="79">
        <f t="shared" si="68"/>
        <v>8.9137931034482795E-2</v>
      </c>
      <c r="BN102" s="81">
        <f t="shared" si="69"/>
        <v>0.74771084337349403</v>
      </c>
      <c r="BO102" s="82">
        <f t="shared" si="70"/>
        <v>62.06</v>
      </c>
      <c r="BP102" s="81">
        <f t="shared" si="71"/>
        <v>0.74771084337349403</v>
      </c>
      <c r="BQ102" s="81">
        <f t="shared" si="72"/>
        <v>0.86706430372653398</v>
      </c>
      <c r="BR102" s="81">
        <f t="shared" si="73"/>
        <v>1.1162209302325581</v>
      </c>
      <c r="BS102" s="82">
        <f t="shared" si="74"/>
        <v>83</v>
      </c>
      <c r="BT102" s="82">
        <f t="shared" si="75"/>
        <v>92.646337209302317</v>
      </c>
      <c r="BU102" s="82">
        <f t="shared" si="76"/>
        <v>82.740000000000009</v>
      </c>
      <c r="BV102"/>
      <c r="BW102" s="82">
        <f>IFERROR(INDEX('Infos Clientes'!$T:$T,MATCH('Detalhe Por UC'!$C102,'Infos Clientes'!B:B,0)),"")</f>
        <v>175.90909090909091</v>
      </c>
      <c r="BX102" s="83">
        <f t="shared" si="77"/>
        <v>0</v>
      </c>
      <c r="BY102" s="84">
        <f t="shared" si="78"/>
        <v>0.22321443699690685</v>
      </c>
      <c r="BZ102" s="85">
        <f>IF(_xlfn.MINIFS('Detalhe Por UC'!R:R,'Detalhe Por UC'!C:C,C102,'Detalhe Por UC'!AD:AD,"&gt;"&amp;0)=0,"",_xlfn.MINIFS('Detalhe Por UC'!R:R,'Detalhe Por UC'!C:C,C102,'Detalhe Por UC'!AD:AD,"&gt;"&amp;0))</f>
        <v>45658</v>
      </c>
      <c r="CA102" s="114">
        <f ca="1">IF(OR(S102&gt;0,AD102&gt;0),IFERROR(
SUMIFS(INDIRECT("'Infos Clientes'!$W"&amp;INDEX('Infos Clientes'!$C:$C,MATCH(C102,'Infos Clientes'!$H:$H,0))&amp;":$CZ"&amp;INDEX('Infos Clientes'!$C:$C,MATCH(C102,'Infos Clientes'!$H:$H,0))),'Infos Clientes'!$W$2:$CZ$2,"&gt;"&amp;$R102-365,'Infos Clientes'!$W$2:$CZ$2,"&lt;="&amp;$R102)/
COUNTIFS(INDIRECT("'Infos Clientes'!$W"&amp;INDEX('Infos Clientes'!$C:$C,MATCH(C102,'Infos Clientes'!$H:$H,0))&amp;":$CZ"&amp;INDEX('Infos Clientes'!$C:$C,MATCH(C102,'Infos Clientes'!$H:$H,0))),"&gt;="&amp;0,'Infos Clientes'!$W$2:$CZ$2,"&gt;"&amp;$R102-365,'Infos Clientes'!$W$2:$CZ$2,"&lt;="&amp;$R102),""),"")</f>
        <v>161.25</v>
      </c>
      <c r="CB102" s="87">
        <f>VLOOKUP(C102,'Infos Clientes'!B:L,11,0)</f>
        <v>0</v>
      </c>
      <c r="CC102" s="88" t="str">
        <f t="shared" si="79"/>
        <v>A Unidade Consumidora 10/908866-7 economizou R$20,69 na fatura referente à jan/2025  consumindo 83 kWh em créditos de energia renovável conforme fatura de energia. A economia foi de 25% em relação ao que seria pago para a Energisa considerando os créditos consumidos. Atenção: Mantenha as contas da Energisa em dia para evitar cortes.</v>
      </c>
      <c r="CD102" s="40"/>
      <c r="CF102" s="115">
        <f t="shared" si="80"/>
        <v>-149.25999999999996</v>
      </c>
    </row>
    <row r="103" spans="1:84" s="104" customFormat="1" ht="16.2" hidden="1" customHeight="1" x14ac:dyDescent="0.3">
      <c r="A103" s="105" t="str">
        <f>INDEX('Infos Clientes'!$D:$D,MATCH('Detalhe Por UC'!C103,'Infos Clientes'!B:B,0))</f>
        <v>IGREJA DO EVANGELHO QUADRANGULAR</v>
      </c>
      <c r="B103" s="106" t="str">
        <f>INDEX('Infos Clientes'!$F:$F,MATCH('Detalhe Por UC'!C103,'Infos Clientes'!B:B,0))</f>
        <v>62.955.505/1355-00</v>
      </c>
      <c r="C103" s="107" t="s">
        <v>245</v>
      </c>
      <c r="D103" t="s">
        <v>351</v>
      </c>
      <c r="E103" s="1" t="s">
        <v>352</v>
      </c>
      <c r="F103" s="56" t="str">
        <f>INDEX('Infos Clientes'!$I:$I,MATCH('Detalhe Por UC'!C103,'Infos Clientes'!B:B,0))</f>
        <v>BT</v>
      </c>
      <c r="G103" s="56">
        <f>INDEX('Infos Clientes'!$J:$J,MATCH('Detalhe Por UC'!C103,'Infos Clientes'!B:B,0))</f>
        <v>0</v>
      </c>
      <c r="H103" s="108" t="s">
        <v>138</v>
      </c>
      <c r="I103" s="58">
        <f>IFERROR(VLOOKUP(C103,'Infos Clientes'!B:E,4,),"")</f>
        <v>0</v>
      </c>
      <c r="J103" s="109">
        <v>0.25</v>
      </c>
      <c r="K103" s="59">
        <f>INDEX('Infos Clientes'!$M:$M,MATCH('Detalhe Por UC'!C103,'Infos Clientes'!B:B,0))</f>
        <v>0.25</v>
      </c>
      <c r="L103" s="110"/>
      <c r="M103" s="56">
        <f>INDEX('Infos Clientes'!$N:$N,MATCH('Detalhe Por UC'!C103,'Infos Clientes'!B:B,0))</f>
        <v>0</v>
      </c>
      <c r="N103" s="56">
        <f t="shared" si="44"/>
        <v>0</v>
      </c>
      <c r="O103" s="56">
        <f t="shared" si="45"/>
        <v>0</v>
      </c>
      <c r="P103" s="56">
        <f t="shared" si="46"/>
        <v>0</v>
      </c>
      <c r="Q103" s="61">
        <f>IFERROR(IFERROR(INDEX('Infos Clientes'!$A$2:$V$9884,MATCH($C103,'Infos Clientes'!$B$2:$B$9884,0),MATCH(Q$8,'Infos Clientes'!$A$2:$V$2,0)),"")
+IF(OR(INDEX('Infos Clientes'!$A$2:$V$9884,MATCH($C103,'Infos Clientes'!$B$2:$B$9884,0),MATCH("Tempo de Fidelidade (meses)",'Infos Clientes'!$A$2:$V$2,0))=0,R103&gt;=MAX(R:R)),0,
ROUND((MAX(R:R)-R103)/(365/12),0)),"")</f>
        <v>0</v>
      </c>
      <c r="R103" s="111">
        <v>45658</v>
      </c>
      <c r="S103" s="112">
        <v>0</v>
      </c>
      <c r="T103" s="113" t="str">
        <f>IF($H103="GIROSSOL II",AP103/INDEX('Resumo Operacional'!$A$1:$P$1103,17,MATCH('Detalhe Por UC'!$R103,'Resumo Operacional'!$A$1:$P$1,0)),
IF($H103="GIROSSOL II e III",AP103/INDEX('Resumo Operacional'!$A$1:$P$1103,17,MATCH('Detalhe Por UC'!$R103,'Resumo Operacional'!$A$1:$P$1,0)),
""))</f>
        <v/>
      </c>
      <c r="U103" s="113">
        <f>IF($H103="GIROSSOL III",AP103/INDEX('Resumo Operacional'!$A$1:$P$1103,53,MATCH('Detalhe Por UC'!$R103,'Resumo Operacional'!$A$1:$P$1,0)),
IF($H103="GIROSSOL II e III",AP103/INDEX('Resumo Operacional'!$A$1:$P$1103,53,MATCH('Detalhe Por UC'!$R103,'Resumo Operacional'!$A$1:$P$1,0)),
""))</f>
        <v>0</v>
      </c>
      <c r="V103" s="12"/>
      <c r="W103" s="12"/>
      <c r="X103" s="67">
        <v>0</v>
      </c>
      <c r="Y103" s="116">
        <v>0</v>
      </c>
      <c r="Z103" s="66">
        <v>0</v>
      </c>
      <c r="AA103" s="35">
        <v>0</v>
      </c>
      <c r="AB103" s="68">
        <v>0</v>
      </c>
      <c r="AC103" s="35">
        <v>0</v>
      </c>
      <c r="AD103" s="69">
        <v>0</v>
      </c>
      <c r="AE103" s="35"/>
      <c r="AF103" s="69">
        <v>0</v>
      </c>
      <c r="AG103" s="69">
        <v>0</v>
      </c>
      <c r="AH103" s="16">
        <v>0</v>
      </c>
      <c r="AI103" s="16">
        <v>0</v>
      </c>
      <c r="AJ103" s="16">
        <v>0</v>
      </c>
      <c r="AK103" s="12"/>
      <c r="AL103" s="38"/>
      <c r="AM103" s="1"/>
      <c r="AN103" s="71">
        <f t="shared" si="47"/>
        <v>0</v>
      </c>
      <c r="AO103" s="71">
        <f t="shared" si="48"/>
        <v>0</v>
      </c>
      <c r="AP103" s="71">
        <f t="shared" si="49"/>
        <v>0</v>
      </c>
      <c r="AQ103" s="72">
        <f>IF(OR($H103="GIROSSOL II",$H103="GIROSSOL II e III"),INDEX('Resumo Operacional'!$A$1:$P$1103,MATCH("Energia Injetada prevista total Fatura da Usina (TUSD)",'Resumo Operacional'!$B$1:$B$1103,0),MATCH('Detalhe Por UC'!$R103,'Resumo Operacional'!$A$1:$P$1,0))*$S103,INDEX('Resumo Operacional'!$A$1:$P$1103,53,MATCH('Detalhe Por UC'!$R103,'Resumo Operacional'!$A$1:$P$1,0))*$S103)</f>
        <v>0</v>
      </c>
      <c r="AR103" s="71">
        <f t="shared" si="50"/>
        <v>0</v>
      </c>
      <c r="AS103" s="73">
        <f t="shared" si="51"/>
        <v>0</v>
      </c>
      <c r="AT103" s="74">
        <f t="shared" si="52"/>
        <v>0</v>
      </c>
      <c r="AU103" s="74" t="str">
        <f t="shared" si="53"/>
        <v/>
      </c>
      <c r="AV103" s="74">
        <f t="shared" si="54"/>
        <v>0</v>
      </c>
      <c r="AW103" s="74">
        <f t="shared" si="55"/>
        <v>0</v>
      </c>
      <c r="AX103" s="74">
        <f t="shared" si="56"/>
        <v>0</v>
      </c>
      <c r="AY103" s="74" t="str">
        <f t="shared" si="57"/>
        <v/>
      </c>
      <c r="AZ103" s="49"/>
      <c r="BA103" s="49"/>
      <c r="BB103" s="49"/>
      <c r="BC103" s="73" t="str">
        <f t="shared" si="58"/>
        <v/>
      </c>
      <c r="BD103" s="73">
        <f t="shared" si="59"/>
        <v>0</v>
      </c>
      <c r="BE103" s="73">
        <f t="shared" si="60"/>
        <v>0</v>
      </c>
      <c r="BF103" s="77">
        <f t="shared" si="61"/>
        <v>0</v>
      </c>
      <c r="BG103" s="77">
        <f t="shared" si="62"/>
        <v>0</v>
      </c>
      <c r="BH103" s="77">
        <f t="shared" si="63"/>
        <v>0</v>
      </c>
      <c r="BI103" s="78" t="str">
        <f t="shared" si="64"/>
        <v/>
      </c>
      <c r="BJ103" s="79" t="str">
        <f t="shared" si="65"/>
        <v/>
      </c>
      <c r="BK103" s="80" t="str">
        <f t="shared" si="66"/>
        <v/>
      </c>
      <c r="BL103" s="80" t="str">
        <f t="shared" si="67"/>
        <v/>
      </c>
      <c r="BM103" s="79" t="str">
        <f t="shared" si="68"/>
        <v/>
      </c>
      <c r="BN103" s="81" t="str">
        <f t="shared" si="69"/>
        <v/>
      </c>
      <c r="BO103" s="82" t="str">
        <f t="shared" si="70"/>
        <v/>
      </c>
      <c r="BP103" s="81" t="str">
        <f t="shared" si="71"/>
        <v/>
      </c>
      <c r="BQ103" s="81" t="str">
        <f t="shared" si="72"/>
        <v/>
      </c>
      <c r="BR103" s="81" t="str">
        <f t="shared" si="73"/>
        <v/>
      </c>
      <c r="BS103" s="82">
        <f t="shared" si="74"/>
        <v>0</v>
      </c>
      <c r="BT103" s="82" t="str">
        <f t="shared" si="75"/>
        <v/>
      </c>
      <c r="BU103" s="82">
        <f t="shared" si="76"/>
        <v>0</v>
      </c>
      <c r="BV103"/>
      <c r="BW103" s="82">
        <f>IFERROR(INDEX('Infos Clientes'!$T:$T,MATCH('Detalhe Por UC'!$C103,'Infos Clientes'!B:B,0)),"")</f>
        <v>0</v>
      </c>
      <c r="BX103" s="83">
        <f t="shared" si="77"/>
        <v>0</v>
      </c>
      <c r="BY103" s="84" t="str">
        <f t="shared" si="78"/>
        <v/>
      </c>
      <c r="BZ103" s="85" t="str">
        <f>IF(_xlfn.MINIFS('Detalhe Por UC'!R:R,'Detalhe Por UC'!C:C,C103,'Detalhe Por UC'!AD:AD,"&gt;"&amp;0)=0,"",_xlfn.MINIFS('Detalhe Por UC'!R:R,'Detalhe Por UC'!C:C,C103,'Detalhe Por UC'!AD:AD,"&gt;"&amp;0))</f>
        <v/>
      </c>
      <c r="CA103" s="114" t="str">
        <f ca="1">IF(OR(S103&gt;0,AD103&gt;0),IFERROR(
SUMIFS(INDIRECT("'Infos Clientes'!$W"&amp;INDEX('Infos Clientes'!$C:$C,MATCH(C103,'Infos Clientes'!$H:$H,0))&amp;":$CZ"&amp;INDEX('Infos Clientes'!$C:$C,MATCH(C103,'Infos Clientes'!$H:$H,0))),'Infos Clientes'!$W$2:$CZ$2,"&gt;"&amp;$R103-365,'Infos Clientes'!$W$2:$CZ$2,"&lt;="&amp;$R103)/
COUNTIFS(INDIRECT("'Infos Clientes'!$W"&amp;INDEX('Infos Clientes'!$C:$C,MATCH(C103,'Infos Clientes'!$H:$H,0))&amp;":$CZ"&amp;INDEX('Infos Clientes'!$C:$C,MATCH(C103,'Infos Clientes'!$H:$H,0))),"&gt;="&amp;0,'Infos Clientes'!$W$2:$CZ$2,"&gt;"&amp;$R103-365,'Infos Clientes'!$W$2:$CZ$2,"&lt;="&amp;$R103),""),"")</f>
        <v/>
      </c>
      <c r="CB103" s="87">
        <f>VLOOKUP(C103,'Infos Clientes'!B:L,11,0)</f>
        <v>0</v>
      </c>
      <c r="CC103" s="88" t="str">
        <f t="shared" si="79"/>
        <v>A Unidade Consumidora 10/2344751-9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03" s="40"/>
      <c r="CF103" s="115">
        <f t="shared" si="80"/>
        <v>0</v>
      </c>
    </row>
    <row r="104" spans="1:84" s="104" customFormat="1" ht="16.2" hidden="1" customHeight="1" x14ac:dyDescent="0.3">
      <c r="A104" s="105" t="str">
        <f>INDEX('Infos Clientes'!$D:$D,MATCH('Detalhe Por UC'!C104,'Infos Clientes'!B:B,0))</f>
        <v>IGREJA DO EVANGELHO QUADRANGULAR</v>
      </c>
      <c r="B104" s="106" t="str">
        <f>INDEX('Infos Clientes'!$F:$F,MATCH('Detalhe Por UC'!C104,'Infos Clientes'!B:B,0))</f>
        <v>62.955.505/0172-13</v>
      </c>
      <c r="C104" s="107" t="s">
        <v>246</v>
      </c>
      <c r="D104" t="s">
        <v>351</v>
      </c>
      <c r="E104" s="1" t="s">
        <v>352</v>
      </c>
      <c r="F104" s="56" t="str">
        <f>INDEX('Infos Clientes'!$I:$I,MATCH('Detalhe Por UC'!C104,'Infos Clientes'!B:B,0))</f>
        <v>BT</v>
      </c>
      <c r="G104" s="56">
        <f>INDEX('Infos Clientes'!$J:$J,MATCH('Detalhe Por UC'!C104,'Infos Clientes'!B:B,0))</f>
        <v>0</v>
      </c>
      <c r="H104" s="108" t="s">
        <v>138</v>
      </c>
      <c r="I104" s="58">
        <f>IFERROR(VLOOKUP(C104,'Infos Clientes'!B:E,4,),"")</f>
        <v>0</v>
      </c>
      <c r="J104" s="109">
        <v>0.25</v>
      </c>
      <c r="K104" s="59">
        <f>INDEX('Infos Clientes'!$M:$M,MATCH('Detalhe Por UC'!C104,'Infos Clientes'!B:B,0))</f>
        <v>0.25</v>
      </c>
      <c r="L104" s="110"/>
      <c r="M104" s="56">
        <f>INDEX('Infos Clientes'!$N:$N,MATCH('Detalhe Por UC'!C104,'Infos Clientes'!B:B,0))</f>
        <v>0</v>
      </c>
      <c r="N104" s="56">
        <f t="shared" si="44"/>
        <v>0</v>
      </c>
      <c r="O104" s="56">
        <f t="shared" si="45"/>
        <v>0</v>
      </c>
      <c r="P104" s="56">
        <f t="shared" si="46"/>
        <v>0</v>
      </c>
      <c r="Q104" s="61">
        <f>IFERROR(IFERROR(INDEX('Infos Clientes'!$A$2:$V$9884,MATCH($C104,'Infos Clientes'!$B$2:$B$9884,0),MATCH(Q$8,'Infos Clientes'!$A$2:$V$2,0)),"")
+IF(OR(INDEX('Infos Clientes'!$A$2:$V$9884,MATCH($C104,'Infos Clientes'!$B$2:$B$9884,0),MATCH("Tempo de Fidelidade (meses)",'Infos Clientes'!$A$2:$V$2,0))=0,R104&gt;=MAX(R:R)),0,
ROUND((MAX(R:R)-R104)/(365/12),0)),"")</f>
        <v>0</v>
      </c>
      <c r="R104" s="111">
        <v>45658</v>
      </c>
      <c r="S104" s="112">
        <v>0</v>
      </c>
      <c r="T104" s="113" t="str">
        <f>IF($H104="GIROSSOL II",AP104/INDEX('Resumo Operacional'!$A$1:$P$1103,17,MATCH('Detalhe Por UC'!$R104,'Resumo Operacional'!$A$1:$P$1,0)),
IF($H104="GIROSSOL II e III",AP104/INDEX('Resumo Operacional'!$A$1:$P$1103,17,MATCH('Detalhe Por UC'!$R104,'Resumo Operacional'!$A$1:$P$1,0)),
""))</f>
        <v/>
      </c>
      <c r="U104" s="113">
        <f>IF($H104="GIROSSOL III",AP104/INDEX('Resumo Operacional'!$A$1:$P$1103,53,MATCH('Detalhe Por UC'!$R104,'Resumo Operacional'!$A$1:$P$1,0)),
IF($H104="GIROSSOL II e III",AP104/INDEX('Resumo Operacional'!$A$1:$P$1103,53,MATCH('Detalhe Por UC'!$R104,'Resumo Operacional'!$A$1:$P$1,0)),
""))</f>
        <v>0</v>
      </c>
      <c r="V104" s="12"/>
      <c r="W104" s="12"/>
      <c r="X104" s="67">
        <v>0</v>
      </c>
      <c r="Y104" s="116">
        <v>0</v>
      </c>
      <c r="Z104" s="66">
        <v>0</v>
      </c>
      <c r="AA104" s="35">
        <v>0</v>
      </c>
      <c r="AB104" s="68">
        <v>0</v>
      </c>
      <c r="AC104" s="35">
        <v>0</v>
      </c>
      <c r="AD104" s="69">
        <v>0</v>
      </c>
      <c r="AE104" s="35"/>
      <c r="AF104" s="69">
        <v>0</v>
      </c>
      <c r="AG104" s="69">
        <v>0</v>
      </c>
      <c r="AH104" s="16">
        <v>0</v>
      </c>
      <c r="AI104" s="16">
        <v>0</v>
      </c>
      <c r="AJ104" s="16">
        <v>0</v>
      </c>
      <c r="AK104" s="12"/>
      <c r="AL104" s="38"/>
      <c r="AM104" s="1"/>
      <c r="AN104" s="71">
        <f t="shared" si="47"/>
        <v>0</v>
      </c>
      <c r="AO104" s="71">
        <f t="shared" si="48"/>
        <v>0</v>
      </c>
      <c r="AP104" s="71">
        <f t="shared" si="49"/>
        <v>0</v>
      </c>
      <c r="AQ104" s="72">
        <f>IF(OR($H104="GIROSSOL II",$H104="GIROSSOL II e III"),INDEX('Resumo Operacional'!$A$1:$P$1103,MATCH("Energia Injetada prevista total Fatura da Usina (TUSD)",'Resumo Operacional'!$B$1:$B$1103,0),MATCH('Detalhe Por UC'!$R104,'Resumo Operacional'!$A$1:$P$1,0))*$S104,INDEX('Resumo Operacional'!$A$1:$P$1103,53,MATCH('Detalhe Por UC'!$R104,'Resumo Operacional'!$A$1:$P$1,0))*$S104)</f>
        <v>0</v>
      </c>
      <c r="AR104" s="71">
        <f t="shared" si="50"/>
        <v>0</v>
      </c>
      <c r="AS104" s="73">
        <f t="shared" si="51"/>
        <v>0</v>
      </c>
      <c r="AT104" s="74">
        <f t="shared" si="52"/>
        <v>0</v>
      </c>
      <c r="AU104" s="74" t="str">
        <f t="shared" si="53"/>
        <v/>
      </c>
      <c r="AV104" s="74">
        <f t="shared" si="54"/>
        <v>0</v>
      </c>
      <c r="AW104" s="74">
        <f t="shared" si="55"/>
        <v>0</v>
      </c>
      <c r="AX104" s="74">
        <f t="shared" si="56"/>
        <v>0</v>
      </c>
      <c r="AY104" s="74" t="str">
        <f t="shared" si="57"/>
        <v/>
      </c>
      <c r="AZ104" s="49"/>
      <c r="BA104" s="49"/>
      <c r="BB104" s="49"/>
      <c r="BC104" s="73" t="str">
        <f t="shared" si="58"/>
        <v/>
      </c>
      <c r="BD104" s="73">
        <f t="shared" si="59"/>
        <v>0</v>
      </c>
      <c r="BE104" s="73">
        <f t="shared" si="60"/>
        <v>0</v>
      </c>
      <c r="BF104" s="77">
        <f t="shared" si="61"/>
        <v>0</v>
      </c>
      <c r="BG104" s="77">
        <f t="shared" si="62"/>
        <v>0</v>
      </c>
      <c r="BH104" s="77">
        <f t="shared" si="63"/>
        <v>0</v>
      </c>
      <c r="BI104" s="78" t="str">
        <f t="shared" si="64"/>
        <v/>
      </c>
      <c r="BJ104" s="79" t="str">
        <f t="shared" si="65"/>
        <v/>
      </c>
      <c r="BK104" s="80" t="str">
        <f t="shared" si="66"/>
        <v/>
      </c>
      <c r="BL104" s="80" t="str">
        <f t="shared" si="67"/>
        <v/>
      </c>
      <c r="BM104" s="79" t="str">
        <f t="shared" si="68"/>
        <v/>
      </c>
      <c r="BN104" s="81" t="str">
        <f t="shared" si="69"/>
        <v/>
      </c>
      <c r="BO104" s="82" t="str">
        <f t="shared" si="70"/>
        <v/>
      </c>
      <c r="BP104" s="81" t="str">
        <f t="shared" si="71"/>
        <v/>
      </c>
      <c r="BQ104" s="81" t="str">
        <f t="shared" si="72"/>
        <v/>
      </c>
      <c r="BR104" s="81" t="str">
        <f t="shared" si="73"/>
        <v/>
      </c>
      <c r="BS104" s="82">
        <f t="shared" si="74"/>
        <v>0</v>
      </c>
      <c r="BT104" s="82" t="str">
        <f t="shared" si="75"/>
        <v/>
      </c>
      <c r="BU104" s="82">
        <f t="shared" si="76"/>
        <v>0</v>
      </c>
      <c r="BV104"/>
      <c r="BW104" s="82">
        <f>IFERROR(INDEX('Infos Clientes'!$T:$T,MATCH('Detalhe Por UC'!$C104,'Infos Clientes'!B:B,0)),"")</f>
        <v>0</v>
      </c>
      <c r="BX104" s="83">
        <f t="shared" si="77"/>
        <v>0</v>
      </c>
      <c r="BY104" s="84" t="str">
        <f t="shared" si="78"/>
        <v/>
      </c>
      <c r="BZ104" s="85" t="str">
        <f>IF(_xlfn.MINIFS('Detalhe Por UC'!R:R,'Detalhe Por UC'!C:C,C104,'Detalhe Por UC'!AD:AD,"&gt;"&amp;0)=0,"",_xlfn.MINIFS('Detalhe Por UC'!R:R,'Detalhe Por UC'!C:C,C104,'Detalhe Por UC'!AD:AD,"&gt;"&amp;0))</f>
        <v/>
      </c>
      <c r="CA104" s="114" t="str">
        <f ca="1">IF(OR(S104&gt;0,AD104&gt;0),IFERROR(
SUMIFS(INDIRECT("'Infos Clientes'!$W"&amp;INDEX('Infos Clientes'!$C:$C,MATCH(C104,'Infos Clientes'!$H:$H,0))&amp;":$CZ"&amp;INDEX('Infos Clientes'!$C:$C,MATCH(C104,'Infos Clientes'!$H:$H,0))),'Infos Clientes'!$W$2:$CZ$2,"&gt;"&amp;$R104-365,'Infos Clientes'!$W$2:$CZ$2,"&lt;="&amp;$R104)/
COUNTIFS(INDIRECT("'Infos Clientes'!$W"&amp;INDEX('Infos Clientes'!$C:$C,MATCH(C104,'Infos Clientes'!$H:$H,0))&amp;":$CZ"&amp;INDEX('Infos Clientes'!$C:$C,MATCH(C104,'Infos Clientes'!$H:$H,0))),"&gt;="&amp;0,'Infos Clientes'!$W$2:$CZ$2,"&gt;"&amp;$R104-365,'Infos Clientes'!$W$2:$CZ$2,"&lt;="&amp;$R104),""),"")</f>
        <v/>
      </c>
      <c r="CB104" s="87">
        <f>VLOOKUP(C104,'Infos Clientes'!B:L,11,0)</f>
        <v>0</v>
      </c>
      <c r="CC104" s="88" t="str">
        <f t="shared" si="79"/>
        <v>A Unidade Consumidora 10/2338577-6 economizou R$0 na fatura referente à jan/2025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04" s="40"/>
      <c r="CF104" s="115">
        <f t="shared" si="80"/>
        <v>0</v>
      </c>
    </row>
    <row r="105" spans="1:84" s="104" customFormat="1" ht="16.2" hidden="1" customHeight="1" x14ac:dyDescent="0.3">
      <c r="A105" s="105" t="str">
        <f>INDEX('Infos Clientes'!$D:$D,MATCH('Detalhe Por UC'!C105,'Infos Clientes'!B:B,0))</f>
        <v>IGREJA DO EVANGELHO QUADRANGULAR</v>
      </c>
      <c r="B105" s="106" t="str">
        <f>INDEX('Infos Clientes'!$F:$F,MATCH('Detalhe Por UC'!C105,'Infos Clientes'!B:B,0))</f>
        <v>62.955.505/0356-29</v>
      </c>
      <c r="C105" s="107" t="s">
        <v>247</v>
      </c>
      <c r="D105" t="s">
        <v>351</v>
      </c>
      <c r="E105" s="1" t="s">
        <v>352</v>
      </c>
      <c r="F105" s="56" t="str">
        <f>INDEX('Infos Clientes'!$I:$I,MATCH('Detalhe Por UC'!C105,'Infos Clientes'!B:B,0))</f>
        <v>BT</v>
      </c>
      <c r="G105" s="56" t="str">
        <f>INDEX('Infos Clientes'!$J:$J,MATCH('Detalhe Por UC'!C105,'Infos Clientes'!B:B,0))</f>
        <v>trifasico</v>
      </c>
      <c r="H105" s="108" t="s">
        <v>138</v>
      </c>
      <c r="I105" s="58">
        <f>IFERROR(VLOOKUP(C105,'Infos Clientes'!B:E,4,),"")</f>
        <v>359</v>
      </c>
      <c r="J105" s="109">
        <v>0.25</v>
      </c>
      <c r="K105" s="59">
        <f>INDEX('Infos Clientes'!$M:$M,MATCH('Detalhe Por UC'!C105,'Infos Clientes'!B:B,0))</f>
        <v>0.25</v>
      </c>
      <c r="L105" s="110"/>
      <c r="M105" s="56">
        <f>INDEX('Infos Clientes'!$N:$N,MATCH('Detalhe Por UC'!C105,'Infos Clientes'!B:B,0))</f>
        <v>0</v>
      </c>
      <c r="N105" s="56">
        <f t="shared" si="44"/>
        <v>0</v>
      </c>
      <c r="O105" s="56">
        <f t="shared" si="45"/>
        <v>4</v>
      </c>
      <c r="P105" s="56">
        <f t="shared" si="46"/>
        <v>0</v>
      </c>
      <c r="Q105" s="61">
        <f>IFERROR(IFERROR(INDEX('Infos Clientes'!$A$2:$V$9884,MATCH($C105,'Infos Clientes'!$B$2:$B$9884,0),MATCH(Q$8,'Infos Clientes'!$A$2:$V$2,0)),"")
+IF(OR(INDEX('Infos Clientes'!$A$2:$V$9884,MATCH($C105,'Infos Clientes'!$B$2:$B$9884,0),MATCH("Tempo de Fidelidade (meses)",'Infos Clientes'!$A$2:$V$2,0))=0,R105&gt;=MAX(R:R)),0,
ROUND((MAX(R:R)-R105)/(365/12),0)),"")</f>
        <v>0</v>
      </c>
      <c r="R105" s="111">
        <v>45658</v>
      </c>
      <c r="S105" s="112">
        <v>0</v>
      </c>
      <c r="T105" s="113" t="str">
        <f>IF($H105="GIROSSOL II",AP105/INDEX('Resumo Operacional'!$A$1:$P$1103,17,MATCH('Detalhe Por UC'!$R105,'Resumo Operacional'!$A$1:$P$1,0)),
IF($H105="GIROSSOL II e III",AP105/INDEX('Resumo Operacional'!$A$1:$P$1103,17,MATCH('Detalhe Por UC'!$R105,'Resumo Operacional'!$A$1:$P$1,0)),
""))</f>
        <v/>
      </c>
      <c r="U105" s="113">
        <f>IF($H105="GIROSSOL III",AP105/INDEX('Resumo Operacional'!$A$1:$P$1103,53,MATCH('Detalhe Por UC'!$R105,'Resumo Operacional'!$A$1:$P$1,0)),
IF($H105="GIROSSOL II e III",AP105/INDEX('Resumo Operacional'!$A$1:$P$1103,53,MATCH('Detalhe Por UC'!$R105,'Resumo Operacional'!$A$1:$P$1,0)),
""))</f>
        <v>6.7830514639025272E-2</v>
      </c>
      <c r="V105" s="12"/>
      <c r="W105" s="12"/>
      <c r="X105" s="67">
        <v>1.1162645218945486</v>
      </c>
      <c r="Y105" s="116">
        <v>0</v>
      </c>
      <c r="Z105" s="66">
        <v>0.99861483467381584</v>
      </c>
      <c r="AA105" s="35">
        <v>0</v>
      </c>
      <c r="AB105" s="68">
        <v>1119</v>
      </c>
      <c r="AC105" s="35">
        <v>0</v>
      </c>
      <c r="AD105" s="69">
        <v>1119</v>
      </c>
      <c r="AE105" s="35"/>
      <c r="AF105" s="60">
        <v>0</v>
      </c>
      <c r="AG105" s="69">
        <v>0</v>
      </c>
      <c r="AH105" s="16">
        <v>182.53</v>
      </c>
      <c r="AI105" s="16">
        <v>0</v>
      </c>
      <c r="AJ105" s="16">
        <v>0</v>
      </c>
      <c r="AK105" s="12"/>
      <c r="AL105" s="38"/>
      <c r="AM105" s="1"/>
      <c r="AN105" s="71">
        <f t="shared" si="47"/>
        <v>0</v>
      </c>
      <c r="AO105" s="71">
        <f t="shared" si="48"/>
        <v>0</v>
      </c>
      <c r="AP105" s="71">
        <f t="shared" si="49"/>
        <v>1119</v>
      </c>
      <c r="AQ105" s="72">
        <f>IF(OR($H105="GIROSSOL II",$H105="GIROSSOL II e III"),INDEX('Resumo Operacional'!$A$1:$P$1103,MATCH("Energia Injetada prevista total Fatura da Usina (TUSD)",'Resumo Operacional'!$B$1:$B$1103,0),MATCH('Detalhe Por UC'!$R105,'Resumo Operacional'!$A$1:$P$1,0))*$S105,INDEX('Resumo Operacional'!$A$1:$P$1103,53,MATCH('Detalhe Por UC'!$R105,'Resumo Operacional'!$A$1:$P$1,0))*$S105)</f>
        <v>0</v>
      </c>
      <c r="AR105" s="71">
        <f t="shared" si="50"/>
        <v>1119</v>
      </c>
      <c r="AS105" s="73">
        <f t="shared" si="51"/>
        <v>314.18000000000006</v>
      </c>
      <c r="AT105" s="74">
        <f t="shared" si="52"/>
        <v>314.18000000000006</v>
      </c>
      <c r="AU105" s="74">
        <f t="shared" si="53"/>
        <v>0.88096514745308296</v>
      </c>
      <c r="AV105" s="74">
        <f t="shared" si="54"/>
        <v>838.08749999999998</v>
      </c>
      <c r="AW105" s="74">
        <f t="shared" si="55"/>
        <v>0</v>
      </c>
      <c r="AX105" s="74">
        <f t="shared" si="56"/>
        <v>1117.4499999999998</v>
      </c>
      <c r="AY105" s="74">
        <f t="shared" si="57"/>
        <v>838.09</v>
      </c>
      <c r="AZ105" s="49">
        <v>838.09</v>
      </c>
      <c r="BA105" s="117">
        <v>838.09</v>
      </c>
      <c r="BB105" s="49"/>
      <c r="BC105" s="73" t="str">
        <f t="shared" si="58"/>
        <v/>
      </c>
      <c r="BD105" s="73">
        <f t="shared" si="59"/>
        <v>1431.6299999999999</v>
      </c>
      <c r="BE105" s="73">
        <f t="shared" si="60"/>
        <v>1152.2674999999999</v>
      </c>
      <c r="BF105" s="77">
        <f t="shared" si="61"/>
        <v>279.36</v>
      </c>
      <c r="BG105" s="77">
        <f t="shared" si="62"/>
        <v>83.808000000000007</v>
      </c>
      <c r="BH105" s="77">
        <f t="shared" si="63"/>
        <v>1117.4499999999998</v>
      </c>
      <c r="BI105" s="78">
        <f t="shared" si="64"/>
        <v>0.25</v>
      </c>
      <c r="BJ105" s="79">
        <f t="shared" si="65"/>
        <v>0.19513421764003272</v>
      </c>
      <c r="BK105" s="80">
        <f t="shared" si="66"/>
        <v>1152.27</v>
      </c>
      <c r="BL105" s="80">
        <f t="shared" si="67"/>
        <v>279.3599999999999</v>
      </c>
      <c r="BM105" s="79">
        <f t="shared" si="68"/>
        <v>0.19513421764003264</v>
      </c>
      <c r="BN105" s="81">
        <f t="shared" si="69"/>
        <v>0.74896336014298481</v>
      </c>
      <c r="BO105" s="82">
        <f t="shared" si="70"/>
        <v>838.09</v>
      </c>
      <c r="BP105" s="81">
        <f t="shared" si="71"/>
        <v>0.74896336014298481</v>
      </c>
      <c r="BQ105" s="81">
        <f t="shared" si="72"/>
        <v>0.86661304736371758</v>
      </c>
      <c r="BR105" s="81">
        <f t="shared" si="73"/>
        <v>1.1162645218945486</v>
      </c>
      <c r="BS105" s="82">
        <f t="shared" si="74"/>
        <v>1119</v>
      </c>
      <c r="BT105" s="82">
        <f t="shared" si="75"/>
        <v>1249.0999999999999</v>
      </c>
      <c r="BU105" s="82">
        <f t="shared" si="76"/>
        <v>1117.4499999999998</v>
      </c>
      <c r="BV105"/>
      <c r="BW105" s="82">
        <f>IFERROR(INDEX('Infos Clientes'!$T:$T,MATCH('Detalhe Por UC'!$C105,'Infos Clientes'!B:B,0)),"")</f>
        <v>883.5454545454545</v>
      </c>
      <c r="BX105" s="83">
        <f t="shared" si="77"/>
        <v>0</v>
      </c>
      <c r="BY105" s="84">
        <f t="shared" si="78"/>
        <v>0.22364902729965572</v>
      </c>
      <c r="BZ105" s="85">
        <f>IF(_xlfn.MINIFS('Detalhe Por UC'!R:R,'Detalhe Por UC'!C:C,C105,'Detalhe Por UC'!AD:AD,"&gt;"&amp;0)=0,"",_xlfn.MINIFS('Detalhe Por UC'!R:R,'Detalhe Por UC'!C:C,C105,'Detalhe Por UC'!AD:AD,"&gt;"&amp;0))</f>
        <v>45658</v>
      </c>
      <c r="CA105" s="114">
        <f ca="1">IF(OR(S105&gt;0,AD105&gt;0),IFERROR(
SUMIFS(INDIRECT("'Infos Clientes'!$W"&amp;INDEX('Infos Clientes'!$C:$C,MATCH(C105,'Infos Clientes'!$H:$H,0))&amp;":$CZ"&amp;INDEX('Infos Clientes'!$C:$C,MATCH(C105,'Infos Clientes'!$H:$H,0))),'Infos Clientes'!$W$2:$CZ$2,"&gt;"&amp;$R105-365,'Infos Clientes'!$W$2:$CZ$2,"&lt;="&amp;$R105)/
COUNTIFS(INDIRECT("'Infos Clientes'!$W"&amp;INDEX('Infos Clientes'!$C:$C,MATCH(C105,'Infos Clientes'!$H:$H,0))&amp;":$CZ"&amp;INDEX('Infos Clientes'!$C:$C,MATCH(C105,'Infos Clientes'!$H:$H,0))),"&gt;="&amp;0,'Infos Clientes'!$W$2:$CZ$2,"&gt;"&amp;$R105-365,'Infos Clientes'!$W$2:$CZ$2,"&lt;="&amp;$R105),""),"")</f>
        <v>809.91666666666663</v>
      </c>
      <c r="CB105" s="87">
        <f>VLOOKUP(C105,'Infos Clientes'!B:L,11,0)</f>
        <v>0</v>
      </c>
      <c r="CC105" s="88" t="str">
        <f t="shared" si="79"/>
        <v>A Unidade Consumidora 10/3170252-5 economizou R$279,36 na fatura referente à jan/2025  consumindo 1119 kWh em créditos de energia renovável conforme fatura de energia. A economia foi de 25% em relação ao que seria pago para a Energisa considerando os créditos consumidos. Atenção: Mantenha as contas da Energisa em dia para evitar cortes.</v>
      </c>
      <c r="CD105" s="40"/>
      <c r="CF105" s="115">
        <f t="shared" si="80"/>
        <v>-314.18000000000006</v>
      </c>
    </row>
    <row r="106" spans="1:84" s="40" customFormat="1" ht="16.2" hidden="1" customHeight="1" x14ac:dyDescent="0.3">
      <c r="A106" s="105" t="str">
        <f>INDEX('Infos Clientes'!$D:$D,MATCH('Detalhe Por UC'!C106,'Infos Clientes'!B:B,0))</f>
        <v>IGREJA DO EVANGELHO QUADRANGULAR</v>
      </c>
      <c r="B106" s="106" t="str">
        <f>INDEX('Infos Clientes'!$F:$F,MATCH('Detalhe Por UC'!C106,'Infos Clientes'!B:B,0))</f>
        <v>62.955.505/3932-07</v>
      </c>
      <c r="C106" s="31" t="s">
        <v>18</v>
      </c>
      <c r="D106" t="s">
        <v>351</v>
      </c>
      <c r="E106" s="1" t="s">
        <v>352</v>
      </c>
      <c r="F106" s="56" t="str">
        <f>INDEX('Infos Clientes'!$I:$I,MATCH('Detalhe Por UC'!C106,'Infos Clientes'!B:B,0))</f>
        <v>BT</v>
      </c>
      <c r="G106" s="56" t="str">
        <f>INDEX('Infos Clientes'!$J:$J,MATCH('Detalhe Por UC'!C106,'Infos Clientes'!B:B,0))</f>
        <v>bifasico</v>
      </c>
      <c r="H106" s="47"/>
      <c r="I106" s="58">
        <f>IFERROR(VLOOKUP(C106,'Infos Clientes'!B:E,4,),"")</f>
        <v>302</v>
      </c>
      <c r="J106" s="109">
        <v>0.25</v>
      </c>
      <c r="K106" s="59">
        <f>INDEX('Infos Clientes'!$M:$M,MATCH('Detalhe Por UC'!C106,'Infos Clientes'!B:B,0))</f>
        <v>0.25</v>
      </c>
      <c r="L106" s="110">
        <v>0</v>
      </c>
      <c r="M106" s="56">
        <f>INDEX('Infos Clientes'!$N:$N,MATCH('Detalhe Por UC'!C106,'Infos Clientes'!B:B,0))</f>
        <v>0</v>
      </c>
      <c r="N106" s="56">
        <f t="shared" si="44"/>
        <v>0</v>
      </c>
      <c r="O106" s="56">
        <f t="shared" si="45"/>
        <v>12</v>
      </c>
      <c r="P106" s="56">
        <f t="shared" si="46"/>
        <v>0</v>
      </c>
      <c r="Q106" s="61">
        <f>IFERROR(IFERROR(INDEX('Infos Clientes'!$A$2:$V$9884,MATCH($C106,'Infos Clientes'!$B$2:$B$9884,0),MATCH(Q$8,'Infos Clientes'!$A$2:$V$2,0)),"")
+IF(OR(INDEX('Infos Clientes'!$A$2:$V$9884,MATCH($C106,'Infos Clientes'!$B$2:$B$9884,0),MATCH("Tempo de Fidelidade (meses)",'Infos Clientes'!$A$2:$V$2,0))=0,R106&gt;=MAX(R:R)),0,
ROUND((MAX(R:R)-R106)/(365/12),0)),"")</f>
        <v>0</v>
      </c>
      <c r="R106" s="111">
        <v>45627</v>
      </c>
      <c r="S106" s="112">
        <v>5.0000000000000001E-3</v>
      </c>
      <c r="T106" s="113" t="str">
        <f>IF($H106="GIROSSOL II",AP106/INDEX('Resumo Operacional'!$A$1:$P$1103,17,MATCH('Detalhe Por UC'!$R106,'Resumo Operacional'!$A$1:$P$1,0)),
IF($H106="GIROSSOL II e III",AP106/INDEX('Resumo Operacional'!$A$1:$P$1103,17,MATCH('Detalhe Por UC'!$R106,'Resumo Operacional'!$A$1:$P$1,0)),
""))</f>
        <v/>
      </c>
      <c r="U106" s="113" t="str">
        <f>IF($H106="GIROSSOL III",AP106/INDEX('Resumo Operacional'!$A$1:$P$1103,53,MATCH('Detalhe Por UC'!$R106,'Resumo Operacional'!$A$1:$P$1,0)),
IF($H106="GIROSSOL II e III",AP106/INDEX('Resumo Operacional'!$A$1:$P$1103,53,MATCH('Detalhe Por UC'!$R106,'Resumo Operacional'!$A$1:$P$1,0)),
""))</f>
        <v/>
      </c>
      <c r="V106" s="67"/>
      <c r="W106" s="67"/>
      <c r="X106" s="67">
        <v>1.1186195121951219</v>
      </c>
      <c r="Y106" s="67"/>
      <c r="Z106" s="66">
        <v>1.1186499999999999</v>
      </c>
      <c r="AA106" s="18"/>
      <c r="AB106" s="68">
        <v>82</v>
      </c>
      <c r="AC106" s="69"/>
      <c r="AD106" s="69">
        <v>32</v>
      </c>
      <c r="AE106" s="35"/>
      <c r="AF106" s="69">
        <v>582</v>
      </c>
      <c r="AG106" s="69"/>
      <c r="AH106" s="119">
        <v>17.16</v>
      </c>
      <c r="AI106" s="18"/>
      <c r="AJ106" s="18"/>
      <c r="AK106" s="18"/>
      <c r="AL106" s="38"/>
      <c r="AM106" s="1"/>
      <c r="AN106" s="71">
        <f t="shared" si="47"/>
        <v>582</v>
      </c>
      <c r="AO106" s="71">
        <f t="shared" si="48"/>
        <v>0</v>
      </c>
      <c r="AP106" s="71">
        <f t="shared" si="49"/>
        <v>614</v>
      </c>
      <c r="AQ106" s="72" t="e">
        <f>IF(OR($H106="GIROSSOL II",$H106="GIROSSOL II e III"),INDEX('Resumo Operacional'!$A$1:$P$1103,MATCH("Energia Injetada prevista total Fatura da Usina (TUSD)",'Resumo Operacional'!$B$1:$B$1103,0),MATCH('Detalhe Por UC'!$R106,'Resumo Operacional'!$A$1:$P$1,0))*$S106,INDEX('Resumo Operacional'!$A$1:$P$1103,53,MATCH('Detalhe Por UC'!$R106,'Resumo Operacional'!$A$1:$P$1,0))*$S106)</f>
        <v>#N/A</v>
      </c>
      <c r="AR106" s="71" t="e">
        <f t="shared" si="50"/>
        <v>#N/A</v>
      </c>
      <c r="AS106" s="73">
        <f t="shared" si="51"/>
        <v>73.09</v>
      </c>
      <c r="AT106" s="74">
        <f t="shared" si="52"/>
        <v>73.09</v>
      </c>
      <c r="AU106" s="74">
        <f t="shared" si="53"/>
        <v>1.1186804878048779</v>
      </c>
      <c r="AV106" s="74">
        <f t="shared" si="54"/>
        <v>26.8476</v>
      </c>
      <c r="AW106" s="74">
        <f t="shared" si="55"/>
        <v>0</v>
      </c>
      <c r="AX106" s="74">
        <f t="shared" si="56"/>
        <v>35.796799999999998</v>
      </c>
      <c r="AY106" s="74">
        <f t="shared" si="57"/>
        <v>26.85</v>
      </c>
      <c r="AZ106" s="49"/>
      <c r="BA106" s="49"/>
      <c r="BB106" s="49"/>
      <c r="BC106" s="73" t="str">
        <f t="shared" si="58"/>
        <v/>
      </c>
      <c r="BD106" s="73">
        <f t="shared" si="59"/>
        <v>108.88679999999999</v>
      </c>
      <c r="BE106" s="73">
        <f t="shared" si="60"/>
        <v>99.937600000000003</v>
      </c>
      <c r="BF106" s="77">
        <f t="shared" si="61"/>
        <v>8.9499999999999993</v>
      </c>
      <c r="BG106" s="77">
        <f t="shared" si="62"/>
        <v>2.6849999999999996</v>
      </c>
      <c r="BH106" s="77">
        <f t="shared" si="63"/>
        <v>35.796799999999998</v>
      </c>
      <c r="BI106" s="78">
        <f t="shared" si="64"/>
        <v>0.25</v>
      </c>
      <c r="BJ106" s="79">
        <f t="shared" si="65"/>
        <v>8.2195454361777553E-2</v>
      </c>
      <c r="BK106" s="80">
        <f t="shared" si="66"/>
        <v>99.94</v>
      </c>
      <c r="BL106" s="80">
        <f t="shared" si="67"/>
        <v>8.9467999999999961</v>
      </c>
      <c r="BM106" s="79">
        <f t="shared" si="68"/>
        <v>8.2166066042899569E-2</v>
      </c>
      <c r="BN106" s="81">
        <f t="shared" si="69"/>
        <v>0.83906250000000004</v>
      </c>
      <c r="BO106" s="82">
        <f t="shared" si="70"/>
        <v>26.85</v>
      </c>
      <c r="BP106" s="81">
        <f t="shared" si="71"/>
        <v>0.83906250000000004</v>
      </c>
      <c r="BQ106" s="81">
        <f t="shared" si="72"/>
        <v>0.83903201219512202</v>
      </c>
      <c r="BR106" s="81">
        <f t="shared" si="73"/>
        <v>1.1186195121951219</v>
      </c>
      <c r="BS106" s="82">
        <f t="shared" si="74"/>
        <v>32</v>
      </c>
      <c r="BT106" s="82">
        <f t="shared" si="75"/>
        <v>35.795824390243901</v>
      </c>
      <c r="BU106" s="82">
        <f t="shared" si="76"/>
        <v>35.796799999999998</v>
      </c>
      <c r="BV106"/>
      <c r="BW106" s="82">
        <f>IFERROR(INDEX('Infos Clientes'!$T:$T,MATCH('Detalhe Por UC'!$C106,'Infos Clientes'!B:B,0)),"")</f>
        <v>99.833333333333329</v>
      </c>
      <c r="BX106" s="83">
        <f t="shared" si="77"/>
        <v>0</v>
      </c>
      <c r="BY106" s="84">
        <f t="shared" si="78"/>
        <v>0.24993976678571575</v>
      </c>
      <c r="BZ106" s="85">
        <f>IF(_xlfn.MINIFS('Detalhe Por UC'!R:R,'Detalhe Por UC'!C:C,C106,'Detalhe Por UC'!AD:AD,"&gt;"&amp;0)=0,"",_xlfn.MINIFS('Detalhe Por UC'!R:R,'Detalhe Por UC'!C:C,C106,'Detalhe Por UC'!AD:AD,"&gt;"&amp;0))</f>
        <v>45627</v>
      </c>
      <c r="CA106" s="114">
        <f ca="1">IF(OR(S106&gt;0,AD106&gt;0),IFERROR(
SUMIFS(INDIRECT("'Infos Clientes'!$W"&amp;INDEX('Infos Clientes'!$C:$C,MATCH(C106,'Infos Clientes'!$H:$H,0))&amp;":$CZ"&amp;INDEX('Infos Clientes'!$C:$C,MATCH(C106,'Infos Clientes'!$H:$H,0))),'Infos Clientes'!$W$2:$CZ$2,"&gt;"&amp;$R106-365,'Infos Clientes'!$W$2:$CZ$2,"&lt;="&amp;$R106)/
COUNTIFS(INDIRECT("'Infos Clientes'!$W"&amp;INDEX('Infos Clientes'!$C:$C,MATCH(C106,'Infos Clientes'!$H:$H,0))&amp;":$CZ"&amp;INDEX('Infos Clientes'!$C:$C,MATCH(C106,'Infos Clientes'!$H:$H,0))),"&gt;="&amp;0,'Infos Clientes'!$W$2:$CZ$2,"&gt;"&amp;$R106-365,'Infos Clientes'!$W$2:$CZ$2,"&lt;="&amp;$R106),""),"")</f>
        <v>101.08333333333333</v>
      </c>
      <c r="CB106" s="87">
        <f>VLOOKUP(C106,'Infos Clientes'!B:L,11,0)</f>
        <v>0</v>
      </c>
      <c r="CC106" s="88" t="str">
        <f t="shared" si="79"/>
        <v>A Unidade Consumidora 10/10232-7 economizou R$8,95 na fatura referente à dez/2024  consumindo 32 kWh em créditos de energia renovável conforme fatura de energia. A economia foi de 25% em relação ao que seria pago para a Energisa considerando os créditos consumidos. Atenção: Mantenha as contas da Energisa em dia para evitar cortes.</v>
      </c>
      <c r="CD106" s="40" t="s">
        <v>21</v>
      </c>
      <c r="CF106" s="115">
        <f t="shared" si="80"/>
        <v>-73.09</v>
      </c>
    </row>
    <row r="107" spans="1:84" s="40" customFormat="1" ht="16.2" hidden="1" customHeight="1" x14ac:dyDescent="0.3">
      <c r="A107" s="105" t="str">
        <f>INDEX('Infos Clientes'!$D:$D,MATCH('Detalhe Por UC'!C107,'Infos Clientes'!B:B,0))</f>
        <v>IGREJA DO EVANGELHO QUADRANGULAR</v>
      </c>
      <c r="B107" s="106" t="str">
        <f>INDEX('Infos Clientes'!$F:$F,MATCH('Detalhe Por UC'!C107,'Infos Clientes'!B:B,0))</f>
        <v>62.955.505/1822-57</v>
      </c>
      <c r="C107" s="31" t="s">
        <v>25</v>
      </c>
      <c r="D107" t="s">
        <v>351</v>
      </c>
      <c r="E107" s="1" t="s">
        <v>352</v>
      </c>
      <c r="F107" s="56" t="str">
        <f>INDEX('Infos Clientes'!$I:$I,MATCH('Detalhe Por UC'!C107,'Infos Clientes'!B:B,0))</f>
        <v>BT</v>
      </c>
      <c r="G107" s="56" t="str">
        <f>INDEX('Infos Clientes'!$J:$J,MATCH('Detalhe Por UC'!C107,'Infos Clientes'!B:B,0))</f>
        <v>trifasico</v>
      </c>
      <c r="H107" s="47"/>
      <c r="I107" s="58">
        <f>IFERROR(VLOOKUP(C107,'Infos Clientes'!B:E,4,),"")</f>
        <v>319</v>
      </c>
      <c r="J107" s="109">
        <v>0.25</v>
      </c>
      <c r="K107" s="59">
        <f>INDEX('Infos Clientes'!$M:$M,MATCH('Detalhe Por UC'!C107,'Infos Clientes'!B:B,0))</f>
        <v>0.25</v>
      </c>
      <c r="L107" s="110">
        <v>0</v>
      </c>
      <c r="M107" s="56">
        <f>INDEX('Infos Clientes'!$N:$N,MATCH('Detalhe Por UC'!C107,'Infos Clientes'!B:B,0))</f>
        <v>0</v>
      </c>
      <c r="N107" s="56">
        <f t="shared" si="44"/>
        <v>0</v>
      </c>
      <c r="O107" s="56">
        <f t="shared" si="45"/>
        <v>12</v>
      </c>
      <c r="P107" s="56">
        <f t="shared" si="46"/>
        <v>0</v>
      </c>
      <c r="Q107" s="61">
        <f>IFERROR(IFERROR(INDEX('Infos Clientes'!$A$2:$V$9884,MATCH($C107,'Infos Clientes'!$B$2:$B$9884,0),MATCH(Q$8,'Infos Clientes'!$A$2:$V$2,0)),"")
+IF(OR(INDEX('Infos Clientes'!$A$2:$V$9884,MATCH($C107,'Infos Clientes'!$B$2:$B$9884,0),MATCH("Tempo de Fidelidade (meses)",'Infos Clientes'!$A$2:$V$2,0))=0,R107&gt;=MAX(R:R)),0,
ROUND((MAX(R:R)-R107)/(365/12),0)),"")</f>
        <v>0</v>
      </c>
      <c r="R107" s="111">
        <v>45627</v>
      </c>
      <c r="S107" s="112">
        <v>0.06</v>
      </c>
      <c r="T107" s="113" t="str">
        <f>IF($H107="GIROSSOL II",AP107/INDEX('Resumo Operacional'!$A$1:$P$1103,17,MATCH('Detalhe Por UC'!$R107,'Resumo Operacional'!$A$1:$P$1,0)),
IF($H107="GIROSSOL II e III",AP107/INDEX('Resumo Operacional'!$A$1:$P$1103,17,MATCH('Detalhe Por UC'!$R107,'Resumo Operacional'!$A$1:$P$1,0)),
""))</f>
        <v/>
      </c>
      <c r="U107" s="113" t="str">
        <f>IF($H107="GIROSSOL III",AP107/INDEX('Resumo Operacional'!$A$1:$P$1103,53,MATCH('Detalhe Por UC'!$R107,'Resumo Operacional'!$A$1:$P$1,0)),
IF($H107="GIROSSOL II e III",AP107/INDEX('Resumo Operacional'!$A$1:$P$1103,53,MATCH('Detalhe Por UC'!$R107,'Resumo Operacional'!$A$1:$P$1,0)),
""))</f>
        <v/>
      </c>
      <c r="V107" s="67"/>
      <c r="W107" s="67"/>
      <c r="X107" s="67">
        <v>1.1198315602836879</v>
      </c>
      <c r="Y107" s="67"/>
      <c r="Z107" s="66">
        <v>1.1198417228853141</v>
      </c>
      <c r="AA107" s="18"/>
      <c r="AB107" s="68">
        <v>528</v>
      </c>
      <c r="AC107" s="69"/>
      <c r="AD107" s="69">
        <v>246</v>
      </c>
      <c r="AE107" s="35"/>
      <c r="AF107" s="69">
        <v>0</v>
      </c>
      <c r="AG107" s="120"/>
      <c r="AH107" s="119">
        <v>84.62</v>
      </c>
      <c r="AI107" s="38"/>
      <c r="AJ107" s="38"/>
      <c r="AK107" s="18"/>
      <c r="AL107" s="38"/>
      <c r="AM107" s="1"/>
      <c r="AN107" s="71">
        <f t="shared" si="47"/>
        <v>0</v>
      </c>
      <c r="AO107" s="71">
        <f t="shared" si="48"/>
        <v>0</v>
      </c>
      <c r="AP107" s="71">
        <f t="shared" si="49"/>
        <v>246</v>
      </c>
      <c r="AQ107" s="72" t="e">
        <f>IF(OR($H107="GIROSSOL II",$H107="GIROSSOL II e III"),INDEX('Resumo Operacional'!$A$1:$P$1103,MATCH("Energia Injetada prevista total Fatura da Usina (TUSD)",'Resumo Operacional'!$B$1:$B$1103,0),MATCH('Detalhe Por UC'!$R107,'Resumo Operacional'!$A$1:$P$1,0))*$S107,INDEX('Resumo Operacional'!$A$1:$P$1103,53,MATCH('Detalhe Por UC'!$R107,'Resumo Operacional'!$A$1:$P$1,0))*$S107)</f>
        <v>#N/A</v>
      </c>
      <c r="AR107" s="71" t="e">
        <f t="shared" si="50"/>
        <v>#N/A</v>
      </c>
      <c r="AS107" s="73">
        <f t="shared" si="51"/>
        <v>400.40999999999991</v>
      </c>
      <c r="AT107" s="74">
        <f t="shared" si="52"/>
        <v>400.40999999999991</v>
      </c>
      <c r="AU107" s="74">
        <f t="shared" si="53"/>
        <v>1.1198518854869404</v>
      </c>
      <c r="AV107" s="74">
        <f t="shared" si="54"/>
        <v>206.61079787234044</v>
      </c>
      <c r="AW107" s="74">
        <f t="shared" si="55"/>
        <v>0</v>
      </c>
      <c r="AX107" s="74">
        <f t="shared" si="56"/>
        <v>275.48106382978727</v>
      </c>
      <c r="AY107" s="74">
        <f t="shared" si="57"/>
        <v>206.61</v>
      </c>
      <c r="AZ107" s="49"/>
      <c r="BA107" s="49"/>
      <c r="BB107" s="49"/>
      <c r="BC107" s="73" t="str">
        <f t="shared" si="58"/>
        <v/>
      </c>
      <c r="BD107" s="73">
        <f t="shared" si="59"/>
        <v>675.89106382978719</v>
      </c>
      <c r="BE107" s="73">
        <f t="shared" si="60"/>
        <v>607.02079787234038</v>
      </c>
      <c r="BF107" s="77">
        <f t="shared" si="61"/>
        <v>68.87</v>
      </c>
      <c r="BG107" s="77">
        <f t="shared" si="62"/>
        <v>20.661000000000001</v>
      </c>
      <c r="BH107" s="77">
        <f t="shared" si="63"/>
        <v>275.48106382978727</v>
      </c>
      <c r="BI107" s="78">
        <f t="shared" si="64"/>
        <v>0.25</v>
      </c>
      <c r="BJ107" s="79">
        <f t="shared" si="65"/>
        <v>0.10189511843781952</v>
      </c>
      <c r="BK107" s="80">
        <f t="shared" si="66"/>
        <v>607.02</v>
      </c>
      <c r="BL107" s="80">
        <f t="shared" si="67"/>
        <v>68.871063829787204</v>
      </c>
      <c r="BM107" s="79">
        <f t="shared" si="68"/>
        <v>0.1018966924041643</v>
      </c>
      <c r="BN107" s="81">
        <f t="shared" si="69"/>
        <v>0.83987804878048788</v>
      </c>
      <c r="BO107" s="82">
        <f t="shared" si="70"/>
        <v>206.61</v>
      </c>
      <c r="BP107" s="81">
        <f t="shared" si="71"/>
        <v>0.83987804878048788</v>
      </c>
      <c r="BQ107" s="81">
        <f t="shared" si="72"/>
        <v>0.83986788617886166</v>
      </c>
      <c r="BR107" s="81">
        <f t="shared" si="73"/>
        <v>1.1198315602836879</v>
      </c>
      <c r="BS107" s="82">
        <f t="shared" si="74"/>
        <v>246</v>
      </c>
      <c r="BT107" s="82">
        <f t="shared" si="75"/>
        <v>275.47856382978722</v>
      </c>
      <c r="BU107" s="82">
        <f t="shared" si="76"/>
        <v>275.48106382978727</v>
      </c>
      <c r="BV107"/>
      <c r="BW107" s="82">
        <f>IFERROR(INDEX('Infos Clientes'!$T:$T,MATCH('Detalhe Por UC'!$C107,'Infos Clientes'!B:B,0)),"")</f>
        <v>453.58333333333331</v>
      </c>
      <c r="BX107" s="83">
        <f t="shared" si="77"/>
        <v>0</v>
      </c>
      <c r="BY107" s="84">
        <f t="shared" si="78"/>
        <v>0.2500051650927777</v>
      </c>
      <c r="BZ107" s="85">
        <f>IF(_xlfn.MINIFS('Detalhe Por UC'!R:R,'Detalhe Por UC'!C:C,C107,'Detalhe Por UC'!AD:AD,"&gt;"&amp;0)=0,"",_xlfn.MINIFS('Detalhe Por UC'!R:R,'Detalhe Por UC'!C:C,C107,'Detalhe Por UC'!AD:AD,"&gt;"&amp;0))</f>
        <v>45627</v>
      </c>
      <c r="CA107" s="114">
        <f ca="1">IF(OR(S107&gt;0,AD107&gt;0),IFERROR(
SUMIFS(INDIRECT("'Infos Clientes'!$W"&amp;INDEX('Infos Clientes'!$C:$C,MATCH(C107,'Infos Clientes'!$H:$H,0))&amp;":$CZ"&amp;INDEX('Infos Clientes'!$C:$C,MATCH(C107,'Infos Clientes'!$H:$H,0))),'Infos Clientes'!$W$2:$CZ$2,"&gt;"&amp;$R107-365,'Infos Clientes'!$W$2:$CZ$2,"&lt;="&amp;$R107)/
COUNTIFS(INDIRECT("'Infos Clientes'!$W"&amp;INDEX('Infos Clientes'!$C:$C,MATCH(C107,'Infos Clientes'!$H:$H,0))&amp;":$CZ"&amp;INDEX('Infos Clientes'!$C:$C,MATCH(C107,'Infos Clientes'!$H:$H,0))),"&gt;="&amp;0,'Infos Clientes'!$W$2:$CZ$2,"&gt;"&amp;$R107-365,'Infos Clientes'!$W$2:$CZ$2,"&lt;="&amp;$R107),""),"")</f>
        <v>446.5</v>
      </c>
      <c r="CB107" s="87">
        <f>VLOOKUP(C107,'Infos Clientes'!B:L,11,0)</f>
        <v>0</v>
      </c>
      <c r="CC107" s="88" t="str">
        <f t="shared" si="79"/>
        <v>A Unidade Consumidora 10/1035655-8 economizou R$68,87 na fatura referente à dez/2024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107" s="40" t="s">
        <v>27</v>
      </c>
      <c r="CF107" s="115">
        <f t="shared" si="80"/>
        <v>-400.40999999999991</v>
      </c>
    </row>
    <row r="108" spans="1:84" s="40" customFormat="1" ht="16.2" hidden="1" customHeight="1" x14ac:dyDescent="0.3">
      <c r="A108" s="105" t="str">
        <f>INDEX('Infos Clientes'!$D:$D,MATCH('Detalhe Por UC'!C108,'Infos Clientes'!B:B,0))</f>
        <v>IGREJA DO EVANGELHO QUADRANGULAR</v>
      </c>
      <c r="B108" s="106" t="str">
        <f>INDEX('Infos Clientes'!$F:$F,MATCH('Detalhe Por UC'!C108,'Infos Clientes'!B:B,0))</f>
        <v>62.955.505/8921-14</v>
      </c>
      <c r="C108" s="31" t="s">
        <v>29</v>
      </c>
      <c r="D108" t="s">
        <v>351</v>
      </c>
      <c r="E108" s="1" t="s">
        <v>352</v>
      </c>
      <c r="F108" s="56" t="str">
        <f>INDEX('Infos Clientes'!$I:$I,MATCH('Detalhe Por UC'!C108,'Infos Clientes'!B:B,0))</f>
        <v>BT</v>
      </c>
      <c r="G108" s="56" t="str">
        <f>INDEX('Infos Clientes'!$J:$J,MATCH('Detalhe Por UC'!C108,'Infos Clientes'!B:B,0))</f>
        <v>trifasico</v>
      </c>
      <c r="H108" s="47"/>
      <c r="I108" s="58">
        <f>IFERROR(VLOOKUP(C108,'Infos Clientes'!B:E,4,),"")</f>
        <v>362</v>
      </c>
      <c r="J108" s="109">
        <v>0.25</v>
      </c>
      <c r="K108" s="59">
        <f>INDEX('Infos Clientes'!$M:$M,MATCH('Detalhe Por UC'!C108,'Infos Clientes'!B:B,0))</f>
        <v>0.25</v>
      </c>
      <c r="L108" s="110">
        <v>0</v>
      </c>
      <c r="M108" s="56">
        <f>INDEX('Infos Clientes'!$N:$N,MATCH('Detalhe Por UC'!C108,'Infos Clientes'!B:B,0))</f>
        <v>0</v>
      </c>
      <c r="N108" s="56">
        <f t="shared" si="44"/>
        <v>0</v>
      </c>
      <c r="O108" s="56">
        <f t="shared" si="45"/>
        <v>12</v>
      </c>
      <c r="P108" s="56">
        <f t="shared" si="46"/>
        <v>0</v>
      </c>
      <c r="Q108" s="61">
        <f>IFERROR(IFERROR(INDEX('Infos Clientes'!$A$2:$V$9884,MATCH($C108,'Infos Clientes'!$B$2:$B$9884,0),MATCH(Q$8,'Infos Clientes'!$A$2:$V$2,0)),"")
+IF(OR(INDEX('Infos Clientes'!$A$2:$V$9884,MATCH($C108,'Infos Clientes'!$B$2:$B$9884,0),MATCH("Tempo de Fidelidade (meses)",'Infos Clientes'!$A$2:$V$2,0))=0,R108&gt;=MAX(R:R)),0,
ROUND((MAX(R:R)-R108)/(365/12),0)),"")</f>
        <v>0</v>
      </c>
      <c r="R108" s="111">
        <v>45627</v>
      </c>
      <c r="S108" s="112">
        <v>5.0000000000000001E-3</v>
      </c>
      <c r="T108" s="113" t="str">
        <f>IF($H108="GIROSSOL II",AP108/INDEX('Resumo Operacional'!$A$1:$P$1103,17,MATCH('Detalhe Por UC'!$R108,'Resumo Operacional'!$A$1:$P$1,0)),
IF($H108="GIROSSOL II e III",AP108/INDEX('Resumo Operacional'!$A$1:$P$1103,17,MATCH('Detalhe Por UC'!$R108,'Resumo Operacional'!$A$1:$P$1,0)),
""))</f>
        <v/>
      </c>
      <c r="U108" s="113" t="str">
        <f>IF($H108="GIROSSOL III",AP108/INDEX('Resumo Operacional'!$A$1:$P$1103,53,MATCH('Detalhe Por UC'!$R108,'Resumo Operacional'!$A$1:$P$1,0)),
IF($H108="GIROSSOL II e III",AP108/INDEX('Resumo Operacional'!$A$1:$P$1103,53,MATCH('Detalhe Por UC'!$R108,'Resumo Operacional'!$A$1:$P$1,0)),
""))</f>
        <v/>
      </c>
      <c r="V108" s="67"/>
      <c r="W108" s="67"/>
      <c r="X108" s="67">
        <v>1.1189111801242235</v>
      </c>
      <c r="Y108" s="121"/>
      <c r="Z108" s="66">
        <v>1.1189295081967212</v>
      </c>
      <c r="AA108" s="121"/>
      <c r="AB108" s="68">
        <v>161</v>
      </c>
      <c r="AC108" s="122"/>
      <c r="AD108" s="69">
        <v>61</v>
      </c>
      <c r="AE108" s="35"/>
      <c r="AF108" s="69">
        <v>411</v>
      </c>
      <c r="AG108" s="120"/>
      <c r="AH108" s="119">
        <v>43.25</v>
      </c>
      <c r="AI108" s="38"/>
      <c r="AJ108" s="38"/>
      <c r="AK108" s="21"/>
      <c r="AL108" s="38"/>
      <c r="AM108" s="1"/>
      <c r="AN108" s="71">
        <f t="shared" si="47"/>
        <v>411</v>
      </c>
      <c r="AO108" s="71">
        <f t="shared" si="48"/>
        <v>0</v>
      </c>
      <c r="AP108" s="71">
        <f t="shared" si="49"/>
        <v>472</v>
      </c>
      <c r="AQ108" s="72" t="e">
        <f>IF(OR($H108="GIROSSOL II",$H108="GIROSSOL II e III"),INDEX('Resumo Operacional'!$A$1:$P$1103,MATCH("Energia Injetada prevista total Fatura da Usina (TUSD)",'Resumo Operacional'!$B$1:$B$1103,0),MATCH('Detalhe Por UC'!$R108,'Resumo Operacional'!$A$1:$P$1,0))*$S108,INDEX('Resumo Operacional'!$A$1:$P$1103,53,MATCH('Detalhe Por UC'!$R108,'Resumo Operacional'!$A$1:$P$1,0))*$S108)</f>
        <v>#N/A</v>
      </c>
      <c r="AR108" s="71" t="e">
        <f t="shared" si="50"/>
        <v>#N/A</v>
      </c>
      <c r="AS108" s="73">
        <f t="shared" si="51"/>
        <v>155.13999999999999</v>
      </c>
      <c r="AT108" s="74">
        <f t="shared" si="52"/>
        <v>155.13999999999999</v>
      </c>
      <c r="AU108" s="74">
        <f t="shared" si="53"/>
        <v>1.1189478362692189</v>
      </c>
      <c r="AV108" s="74">
        <f t="shared" si="54"/>
        <v>51.191024999999996</v>
      </c>
      <c r="AW108" s="74">
        <f t="shared" si="55"/>
        <v>0</v>
      </c>
      <c r="AX108" s="74">
        <f t="shared" si="56"/>
        <v>68.2547</v>
      </c>
      <c r="AY108" s="74">
        <f t="shared" si="57"/>
        <v>51.19</v>
      </c>
      <c r="AZ108" s="49"/>
      <c r="BA108" s="49"/>
      <c r="BB108" s="49"/>
      <c r="BC108" s="73" t="str">
        <f t="shared" si="58"/>
        <v/>
      </c>
      <c r="BD108" s="73">
        <f t="shared" si="59"/>
        <v>223.3947</v>
      </c>
      <c r="BE108" s="73">
        <f t="shared" si="60"/>
        <v>206.33102499999998</v>
      </c>
      <c r="BF108" s="77">
        <f t="shared" si="61"/>
        <v>17.059999999999999</v>
      </c>
      <c r="BG108" s="77">
        <f t="shared" si="62"/>
        <v>5.1179999999999994</v>
      </c>
      <c r="BH108" s="77">
        <f t="shared" si="63"/>
        <v>68.254699999999985</v>
      </c>
      <c r="BI108" s="78">
        <f t="shared" si="64"/>
        <v>0.25</v>
      </c>
      <c r="BJ108" s="79">
        <f t="shared" si="65"/>
        <v>7.6367075852739566E-2</v>
      </c>
      <c r="BK108" s="80">
        <f t="shared" si="66"/>
        <v>206.32999999999998</v>
      </c>
      <c r="BL108" s="80">
        <f t="shared" si="67"/>
        <v>17.064700000000016</v>
      </c>
      <c r="BM108" s="79">
        <f t="shared" si="68"/>
        <v>7.6388114847845606E-2</v>
      </c>
      <c r="BN108" s="81">
        <f t="shared" si="69"/>
        <v>0.83918032786885244</v>
      </c>
      <c r="BO108" s="82">
        <f t="shared" si="70"/>
        <v>51.19</v>
      </c>
      <c r="BP108" s="81">
        <f t="shared" si="71"/>
        <v>0.83918032786885244</v>
      </c>
      <c r="BQ108" s="81">
        <f t="shared" si="72"/>
        <v>0.83916199979635475</v>
      </c>
      <c r="BR108" s="81">
        <f t="shared" si="73"/>
        <v>1.1189111801242235</v>
      </c>
      <c r="BS108" s="82">
        <f t="shared" si="74"/>
        <v>61</v>
      </c>
      <c r="BT108" s="82">
        <f t="shared" si="75"/>
        <v>68.253581987577633</v>
      </c>
      <c r="BU108" s="82">
        <f t="shared" si="76"/>
        <v>68.2547</v>
      </c>
      <c r="BV108"/>
      <c r="BW108" s="82">
        <f>IFERROR(INDEX('Infos Clientes'!$T:$T,MATCH('Detalhe Por UC'!$C108,'Infos Clientes'!B:B,0)),"")</f>
        <v>178.41666666666666</v>
      </c>
      <c r="BX108" s="83">
        <f t="shared" si="77"/>
        <v>0</v>
      </c>
      <c r="BY108" s="84">
        <f t="shared" si="78"/>
        <v>0.2500191125955239</v>
      </c>
      <c r="BZ108" s="85">
        <f>IF(_xlfn.MINIFS('Detalhe Por UC'!R:R,'Detalhe Por UC'!C:C,C108,'Detalhe Por UC'!AD:AD,"&gt;"&amp;0)=0,"",_xlfn.MINIFS('Detalhe Por UC'!R:R,'Detalhe Por UC'!C:C,C108,'Detalhe Por UC'!AD:AD,"&gt;"&amp;0))</f>
        <v>45627</v>
      </c>
      <c r="CA108" s="114">
        <f ca="1">IF(OR(S108&gt;0,AD108&gt;0),IFERROR(
SUMIFS(INDIRECT("'Infos Clientes'!$W"&amp;INDEX('Infos Clientes'!$C:$C,MATCH(C108,'Infos Clientes'!$H:$H,0))&amp;":$CZ"&amp;INDEX('Infos Clientes'!$C:$C,MATCH(C108,'Infos Clientes'!$H:$H,0))),'Infos Clientes'!$W$2:$CZ$2,"&gt;"&amp;$R108-365,'Infos Clientes'!$W$2:$CZ$2,"&lt;="&amp;$R108)/
COUNTIFS(INDIRECT("'Infos Clientes'!$W"&amp;INDEX('Infos Clientes'!$C:$C,MATCH(C108,'Infos Clientes'!$H:$H,0))&amp;":$CZ"&amp;INDEX('Infos Clientes'!$C:$C,MATCH(C108,'Infos Clientes'!$H:$H,0))),"&gt;="&amp;0,'Infos Clientes'!$W$2:$CZ$2,"&gt;"&amp;$R108-365,'Infos Clientes'!$W$2:$CZ$2,"&lt;="&amp;$R108),""),"")</f>
        <v>170.33333333333334</v>
      </c>
      <c r="CB108" s="87">
        <f>VLOOKUP(C108,'Infos Clientes'!B:L,11,0)</f>
        <v>0</v>
      </c>
      <c r="CC108" s="88" t="str">
        <f t="shared" si="79"/>
        <v>A Unidade Consumidora 10/1117293-9 economizou R$17,06 na fatura referente à dez/2024  consumindo 61 kWh em créditos de energia renovável conforme fatura de energia. A economia foi de 25% em relação ao que seria pago para a Energisa considerando os créditos consumidos. Atenção: Mantenha as contas da Energisa em dia para evitar cortes.</v>
      </c>
      <c r="CD108" s="40" t="s">
        <v>31</v>
      </c>
      <c r="CF108" s="115">
        <f t="shared" si="80"/>
        <v>-155.13999999999999</v>
      </c>
    </row>
    <row r="109" spans="1:84" s="40" customFormat="1" ht="16.2" hidden="1" customHeight="1" x14ac:dyDescent="0.3">
      <c r="A109" s="105" t="str">
        <f>INDEX('Infos Clientes'!$D:$D,MATCH('Detalhe Por UC'!C109,'Infos Clientes'!B:B,0))</f>
        <v>IGREJA DO EVANGELHO QUADRANGULAR</v>
      </c>
      <c r="B109" s="106" t="str">
        <f>INDEX('Infos Clientes'!$F:$F,MATCH('Detalhe Por UC'!C109,'Infos Clientes'!B:B,0))</f>
        <v>62.955.505/0156-01</v>
      </c>
      <c r="C109" s="31" t="s">
        <v>32</v>
      </c>
      <c r="D109" t="s">
        <v>351</v>
      </c>
      <c r="E109" s="1" t="s">
        <v>352</v>
      </c>
      <c r="F109" s="56" t="str">
        <f>INDEX('Infos Clientes'!$I:$I,MATCH('Detalhe Por UC'!C109,'Infos Clientes'!B:B,0))</f>
        <v>BT</v>
      </c>
      <c r="G109" s="56" t="str">
        <f>INDEX('Infos Clientes'!$J:$J,MATCH('Detalhe Por UC'!C109,'Infos Clientes'!B:B,0))</f>
        <v>trifasico</v>
      </c>
      <c r="H109" s="47"/>
      <c r="I109" s="58">
        <f>IFERROR(VLOOKUP(C109,'Infos Clientes'!B:E,4,),"")</f>
        <v>319</v>
      </c>
      <c r="J109" s="109">
        <v>0.25</v>
      </c>
      <c r="K109" s="59">
        <f>INDEX('Infos Clientes'!$M:$M,MATCH('Detalhe Por UC'!C109,'Infos Clientes'!B:B,0))</f>
        <v>0.25</v>
      </c>
      <c r="L109" s="110">
        <v>0</v>
      </c>
      <c r="M109" s="56">
        <f>INDEX('Infos Clientes'!$N:$N,MATCH('Detalhe Por UC'!C109,'Infos Clientes'!B:B,0))</f>
        <v>0</v>
      </c>
      <c r="N109" s="56">
        <f t="shared" si="44"/>
        <v>0</v>
      </c>
      <c r="O109" s="56">
        <f t="shared" si="45"/>
        <v>9</v>
      </c>
      <c r="P109" s="56">
        <f t="shared" si="46"/>
        <v>0</v>
      </c>
      <c r="Q109" s="61">
        <f>IFERROR(IFERROR(INDEX('Infos Clientes'!$A$2:$V$9884,MATCH($C109,'Infos Clientes'!$B$2:$B$9884,0),MATCH(Q$8,'Infos Clientes'!$A$2:$V$2,0)),"")
+IF(OR(INDEX('Infos Clientes'!$A$2:$V$9884,MATCH($C109,'Infos Clientes'!$B$2:$B$9884,0),MATCH("Tempo de Fidelidade (meses)",'Infos Clientes'!$A$2:$V$2,0))=0,R109&gt;=MAX(R:R)),0,
ROUND((MAX(R:R)-R109)/(365/12),0)),"")</f>
        <v>0</v>
      </c>
      <c r="R109" s="111">
        <v>45627</v>
      </c>
      <c r="S109" s="112">
        <v>0</v>
      </c>
      <c r="T109" s="113" t="str">
        <f>IF($H109="GIROSSOL II",AP109/INDEX('Resumo Operacional'!$A$1:$P$1103,17,MATCH('Detalhe Por UC'!$R109,'Resumo Operacional'!$A$1:$P$1,0)),
IF($H109="GIROSSOL II e III",AP109/INDEX('Resumo Operacional'!$A$1:$P$1103,17,MATCH('Detalhe Por UC'!$R109,'Resumo Operacional'!$A$1:$P$1,0)),
""))</f>
        <v/>
      </c>
      <c r="U109" s="113" t="str">
        <f>IF($H109="GIROSSOL III",AP109/INDEX('Resumo Operacional'!$A$1:$P$1103,53,MATCH('Detalhe Por UC'!$R109,'Resumo Operacional'!$A$1:$P$1,0)),
IF($H109="GIROSSOL II e III",AP109/INDEX('Resumo Operacional'!$A$1:$P$1103,53,MATCH('Detalhe Por UC'!$R109,'Resumo Operacional'!$A$1:$P$1,0)),
""))</f>
        <v/>
      </c>
      <c r="V109" s="67"/>
      <c r="W109" s="67"/>
      <c r="X109" s="67">
        <v>1.1337026018283118</v>
      </c>
      <c r="Y109" s="66"/>
      <c r="Z109" s="66">
        <v>1.1336505055742805</v>
      </c>
      <c r="AA109" s="66"/>
      <c r="AB109" s="68">
        <v>278</v>
      </c>
      <c r="AC109" s="122"/>
      <c r="AD109" s="69">
        <v>145</v>
      </c>
      <c r="AE109" s="35"/>
      <c r="AF109" s="69">
        <v>0</v>
      </c>
      <c r="AG109" s="120"/>
      <c r="AH109" s="119">
        <v>30.89</v>
      </c>
      <c r="AI109" s="38"/>
      <c r="AJ109" s="38"/>
      <c r="AK109" s="21"/>
      <c r="AL109" s="38"/>
      <c r="AM109" s="1"/>
      <c r="AN109" s="71">
        <f t="shared" si="47"/>
        <v>0</v>
      </c>
      <c r="AO109" s="71">
        <f t="shared" si="48"/>
        <v>0</v>
      </c>
      <c r="AP109" s="71">
        <f t="shared" si="49"/>
        <v>145</v>
      </c>
      <c r="AQ109" s="72" t="e">
        <f>IF(OR($H109="GIROSSOL II",$H109="GIROSSOL II e III"),INDEX('Resumo Operacional'!$A$1:$P$1103,MATCH("Energia Injetada prevista total Fatura da Usina (TUSD)",'Resumo Operacional'!$B$1:$B$1103,0),MATCH('Detalhe Por UC'!$R109,'Resumo Operacional'!$A$1:$P$1,0))*$S109,INDEX('Resumo Operacional'!$A$1:$P$1103,53,MATCH('Detalhe Por UC'!$R109,'Resumo Operacional'!$A$1:$P$1,0))*$S109)</f>
        <v>#N/A</v>
      </c>
      <c r="AR109" s="71" t="e">
        <f t="shared" si="50"/>
        <v>#N/A</v>
      </c>
      <c r="AS109" s="73">
        <f t="shared" si="51"/>
        <v>181.68</v>
      </c>
      <c r="AT109" s="74">
        <f t="shared" si="52"/>
        <v>181.68</v>
      </c>
      <c r="AU109" s="74">
        <f t="shared" si="53"/>
        <v>1.1335984093202491</v>
      </c>
      <c r="AV109" s="74">
        <f t="shared" si="54"/>
        <v>123.284492481203</v>
      </c>
      <c r="AW109" s="74">
        <f t="shared" si="55"/>
        <v>0</v>
      </c>
      <c r="AX109" s="74">
        <f t="shared" si="56"/>
        <v>164.37932330827067</v>
      </c>
      <c r="AY109" s="74">
        <f t="shared" si="57"/>
        <v>123.28</v>
      </c>
      <c r="AZ109" s="49"/>
      <c r="BA109" s="49"/>
      <c r="BB109" s="49"/>
      <c r="BC109" s="73" t="str">
        <f t="shared" si="58"/>
        <v/>
      </c>
      <c r="BD109" s="73">
        <f t="shared" si="59"/>
        <v>346.05932330827068</v>
      </c>
      <c r="BE109" s="73">
        <f t="shared" si="60"/>
        <v>304.96449248120302</v>
      </c>
      <c r="BF109" s="77">
        <f t="shared" si="61"/>
        <v>41.09</v>
      </c>
      <c r="BG109" s="77">
        <f t="shared" si="62"/>
        <v>12.327</v>
      </c>
      <c r="BH109" s="77">
        <f t="shared" si="63"/>
        <v>164.37932330827067</v>
      </c>
      <c r="BI109" s="78">
        <f t="shared" si="64"/>
        <v>0.25</v>
      </c>
      <c r="BJ109" s="79">
        <f t="shared" si="65"/>
        <v>0.11873686744569199</v>
      </c>
      <c r="BK109" s="80">
        <f t="shared" si="66"/>
        <v>304.96000000000004</v>
      </c>
      <c r="BL109" s="80">
        <f t="shared" si="67"/>
        <v>41.099323308270641</v>
      </c>
      <c r="BM109" s="79">
        <f t="shared" si="68"/>
        <v>0.11876380880413166</v>
      </c>
      <c r="BN109" s="81">
        <f t="shared" si="69"/>
        <v>0.8502068965517241</v>
      </c>
      <c r="BO109" s="82">
        <f t="shared" si="70"/>
        <v>123.28</v>
      </c>
      <c r="BP109" s="81">
        <f t="shared" si="71"/>
        <v>0.8502068965517241</v>
      </c>
      <c r="BQ109" s="81">
        <f t="shared" si="72"/>
        <v>0.85025899280575545</v>
      </c>
      <c r="BR109" s="81">
        <f t="shared" si="73"/>
        <v>1.1337026018283118</v>
      </c>
      <c r="BS109" s="82">
        <f t="shared" si="74"/>
        <v>145</v>
      </c>
      <c r="BT109" s="82">
        <f t="shared" si="75"/>
        <v>164.38687726510523</v>
      </c>
      <c r="BU109" s="82">
        <f t="shared" si="76"/>
        <v>164.37932330827067</v>
      </c>
      <c r="BV109"/>
      <c r="BW109" s="82">
        <f>IFERROR(INDEX('Infos Clientes'!$T:$T,MATCH('Detalhe Por UC'!$C109,'Infos Clientes'!B:B,0)),"")</f>
        <v>236.08333333333334</v>
      </c>
      <c r="BX109" s="83">
        <f t="shared" si="77"/>
        <v>0</v>
      </c>
      <c r="BY109" s="84">
        <f t="shared" si="78"/>
        <v>0.25001584063179311</v>
      </c>
      <c r="BZ109" s="85">
        <f>IF(_xlfn.MINIFS('Detalhe Por UC'!R:R,'Detalhe Por UC'!C:C,C109,'Detalhe Por UC'!AD:AD,"&gt;"&amp;0)=0,"",_xlfn.MINIFS('Detalhe Por UC'!R:R,'Detalhe Por UC'!C:C,C109,'Detalhe Por UC'!AD:AD,"&gt;"&amp;0))</f>
        <v>45627</v>
      </c>
      <c r="CA109" s="114">
        <f ca="1">IF(OR(S109&gt;0,AD109&gt;0),IFERROR(
SUMIFS(INDIRECT("'Infos Clientes'!$W"&amp;INDEX('Infos Clientes'!$C:$C,MATCH(C109,'Infos Clientes'!$H:$H,0))&amp;":$CZ"&amp;INDEX('Infos Clientes'!$C:$C,MATCH(C109,'Infos Clientes'!$H:$H,0))),'Infos Clientes'!$W$2:$CZ$2,"&gt;"&amp;$R109-365,'Infos Clientes'!$W$2:$CZ$2,"&lt;="&amp;$R109)/
COUNTIFS(INDIRECT("'Infos Clientes'!$W"&amp;INDEX('Infos Clientes'!$C:$C,MATCH(C109,'Infos Clientes'!$H:$H,0))&amp;":$CZ"&amp;INDEX('Infos Clientes'!$C:$C,MATCH(C109,'Infos Clientes'!$H:$H,0))),"&gt;="&amp;0,'Infos Clientes'!$W$2:$CZ$2,"&gt;"&amp;$R109-365,'Infos Clientes'!$W$2:$CZ$2,"&lt;="&amp;$R109),""),"")</f>
        <v>230.75</v>
      </c>
      <c r="CB109" s="87">
        <f>VLOOKUP(C109,'Infos Clientes'!B:L,11,0)</f>
        <v>0</v>
      </c>
      <c r="CC109" s="88" t="str">
        <f t="shared" si="79"/>
        <v>A Unidade Consumidora 10/113971-6 economizou R$41,09 na fatura referente à dez/2024  consumindo 145 kWh em créditos de energia renovável conforme fatura de energia. A economia foi de 25% em relação ao que seria pago para a Energisa considerando os créditos consumidos. Atenção: Mantenha as contas da Energisa em dia para evitar cortes.</v>
      </c>
      <c r="CD109" s="40" t="s">
        <v>34</v>
      </c>
      <c r="CF109" s="115">
        <f t="shared" si="80"/>
        <v>-181.68</v>
      </c>
    </row>
    <row r="110" spans="1:84" s="40" customFormat="1" ht="16.2" hidden="1" customHeight="1" x14ac:dyDescent="0.3">
      <c r="A110" s="105" t="str">
        <f>INDEX('Infos Clientes'!$D:$D,MATCH('Detalhe Por UC'!C110,'Infos Clientes'!B:B,0))</f>
        <v>IGREJA DO EVANGELHO QUADRANGULAR</v>
      </c>
      <c r="B110" s="106" t="str">
        <f>INDEX('Infos Clientes'!$F:$F,MATCH('Detalhe Por UC'!C110,'Infos Clientes'!B:B,0))</f>
        <v>62.955.505/1490-47</v>
      </c>
      <c r="C110" s="31" t="s">
        <v>35</v>
      </c>
      <c r="D110" t="s">
        <v>351</v>
      </c>
      <c r="E110" s="1" t="s">
        <v>352</v>
      </c>
      <c r="F110" s="56" t="str">
        <f>INDEX('Infos Clientes'!$I:$I,MATCH('Detalhe Por UC'!C110,'Infos Clientes'!B:B,0))</f>
        <v>BT</v>
      </c>
      <c r="G110" s="56" t="str">
        <f>INDEX('Infos Clientes'!$J:$J,MATCH('Detalhe Por UC'!C110,'Infos Clientes'!B:B,0))</f>
        <v>trifasico</v>
      </c>
      <c r="H110" s="47"/>
      <c r="I110" s="58">
        <f>IFERROR(VLOOKUP(C110,'Infos Clientes'!B:E,4,),"")</f>
        <v>319</v>
      </c>
      <c r="J110" s="109">
        <v>0.25</v>
      </c>
      <c r="K110" s="59">
        <f>INDEX('Infos Clientes'!$M:$M,MATCH('Detalhe Por UC'!C110,'Infos Clientes'!B:B,0))</f>
        <v>0.25</v>
      </c>
      <c r="L110" s="110">
        <v>0</v>
      </c>
      <c r="M110" s="56">
        <f>INDEX('Infos Clientes'!$N:$N,MATCH('Detalhe Por UC'!C110,'Infos Clientes'!B:B,0))</f>
        <v>0</v>
      </c>
      <c r="N110" s="56">
        <f t="shared" si="44"/>
        <v>0</v>
      </c>
      <c r="O110" s="56">
        <f t="shared" si="45"/>
        <v>12</v>
      </c>
      <c r="P110" s="56">
        <f t="shared" si="46"/>
        <v>0</v>
      </c>
      <c r="Q110" s="61">
        <f>IFERROR(IFERROR(INDEX('Infos Clientes'!$A$2:$V$9884,MATCH($C110,'Infos Clientes'!$B$2:$B$9884,0),MATCH(Q$8,'Infos Clientes'!$A$2:$V$2,0)),"")
+IF(OR(INDEX('Infos Clientes'!$A$2:$V$9884,MATCH($C110,'Infos Clientes'!$B$2:$B$9884,0),MATCH("Tempo de Fidelidade (meses)",'Infos Clientes'!$A$2:$V$2,0))=0,R110&gt;=MAX(R:R)),0,
ROUND((MAX(R:R)-R110)/(365/12),0)),"")</f>
        <v>0</v>
      </c>
      <c r="R110" s="111">
        <v>45627</v>
      </c>
      <c r="S110" s="112">
        <v>0.01</v>
      </c>
      <c r="T110" s="113" t="str">
        <f>IF($H110="GIROSSOL II",AP110/INDEX('Resumo Operacional'!$A$1:$P$1103,17,MATCH('Detalhe Por UC'!$R110,'Resumo Operacional'!$A$1:$P$1,0)),
IF($H110="GIROSSOL II e III",AP110/INDEX('Resumo Operacional'!$A$1:$P$1103,17,MATCH('Detalhe Por UC'!$R110,'Resumo Operacional'!$A$1:$P$1,0)),
""))</f>
        <v/>
      </c>
      <c r="U110" s="113" t="str">
        <f>IF($H110="GIROSSOL III",AP110/INDEX('Resumo Operacional'!$A$1:$P$1103,53,MATCH('Detalhe Por UC'!$R110,'Resumo Operacional'!$A$1:$P$1,0)),
IF($H110="GIROSSOL II e III",AP110/INDEX('Resumo Operacional'!$A$1:$P$1103,53,MATCH('Detalhe Por UC'!$R110,'Resumo Operacional'!$A$1:$P$1,0)),
""))</f>
        <v/>
      </c>
      <c r="V110" s="67"/>
      <c r="W110" s="67"/>
      <c r="X110" s="67">
        <v>1.1329244897959183</v>
      </c>
      <c r="Y110" s="66"/>
      <c r="Z110" s="66">
        <v>1.1328458333333333</v>
      </c>
      <c r="AA110" s="66"/>
      <c r="AB110" s="68">
        <v>196</v>
      </c>
      <c r="AC110" s="69"/>
      <c r="AD110" s="69">
        <v>96</v>
      </c>
      <c r="AE110" s="35"/>
      <c r="AF110" s="69">
        <v>283</v>
      </c>
      <c r="AG110" s="120"/>
      <c r="AH110" s="119">
        <v>46.78</v>
      </c>
      <c r="AI110" s="38"/>
      <c r="AJ110" s="38"/>
      <c r="AK110" s="21"/>
      <c r="AL110" s="38"/>
      <c r="AM110" s="1"/>
      <c r="AN110" s="71">
        <f t="shared" si="47"/>
        <v>283</v>
      </c>
      <c r="AO110" s="71">
        <f t="shared" si="48"/>
        <v>0</v>
      </c>
      <c r="AP110" s="71">
        <f t="shared" si="49"/>
        <v>379</v>
      </c>
      <c r="AQ110" s="72" t="e">
        <f>IF(OR($H110="GIROSSOL II",$H110="GIROSSOL II e III"),INDEX('Resumo Operacional'!$A$1:$P$1103,MATCH("Energia Injetada prevista total Fatura da Usina (TUSD)",'Resumo Operacional'!$B$1:$B$1103,0),MATCH('Detalhe Por UC'!$R110,'Resumo Operacional'!$A$1:$P$1,0))*$S110,INDEX('Resumo Operacional'!$A$1:$P$1103,53,MATCH('Detalhe Por UC'!$R110,'Resumo Operacional'!$A$1:$P$1,0))*$S110)</f>
        <v>#N/A</v>
      </c>
      <c r="AR110" s="71" t="e">
        <f t="shared" si="50"/>
        <v>#N/A</v>
      </c>
      <c r="AS110" s="73">
        <f t="shared" si="51"/>
        <v>160.07999999999998</v>
      </c>
      <c r="AT110" s="74">
        <f t="shared" si="52"/>
        <v>160.07999999999998</v>
      </c>
      <c r="AU110" s="74">
        <f t="shared" si="53"/>
        <v>1.1327671768707483</v>
      </c>
      <c r="AV110" s="74">
        <f t="shared" si="54"/>
        <v>81.564899999999994</v>
      </c>
      <c r="AW110" s="74">
        <f t="shared" si="55"/>
        <v>0</v>
      </c>
      <c r="AX110" s="74">
        <f t="shared" si="56"/>
        <v>108.75319999999999</v>
      </c>
      <c r="AY110" s="74">
        <f t="shared" si="57"/>
        <v>81.56</v>
      </c>
      <c r="AZ110" s="49"/>
      <c r="BA110" s="49"/>
      <c r="BB110" s="49"/>
      <c r="BC110" s="73" t="str">
        <f t="shared" si="58"/>
        <v/>
      </c>
      <c r="BD110" s="73">
        <f t="shared" si="59"/>
        <v>268.83319999999998</v>
      </c>
      <c r="BE110" s="73">
        <f t="shared" si="60"/>
        <v>241.64489999999998</v>
      </c>
      <c r="BF110" s="77">
        <f t="shared" si="61"/>
        <v>27.19</v>
      </c>
      <c r="BG110" s="77">
        <f t="shared" si="62"/>
        <v>8.157</v>
      </c>
      <c r="BH110" s="77">
        <f t="shared" si="63"/>
        <v>108.75319999999999</v>
      </c>
      <c r="BI110" s="78">
        <f t="shared" si="64"/>
        <v>0.25</v>
      </c>
      <c r="BJ110" s="79">
        <f t="shared" si="65"/>
        <v>0.10114078171892461</v>
      </c>
      <c r="BK110" s="80">
        <f t="shared" si="66"/>
        <v>241.64</v>
      </c>
      <c r="BL110" s="80">
        <f t="shared" si="67"/>
        <v>27.19319999999999</v>
      </c>
      <c r="BM110" s="79">
        <f t="shared" si="68"/>
        <v>0.1011526850106311</v>
      </c>
      <c r="BN110" s="81">
        <f t="shared" si="69"/>
        <v>0.84958333333333336</v>
      </c>
      <c r="BO110" s="82">
        <f t="shared" si="70"/>
        <v>81.56</v>
      </c>
      <c r="BP110" s="81">
        <f t="shared" si="71"/>
        <v>0.84958333333333336</v>
      </c>
      <c r="BQ110" s="81">
        <f t="shared" si="72"/>
        <v>0.84966198979591834</v>
      </c>
      <c r="BR110" s="81">
        <f t="shared" si="73"/>
        <v>1.1329244897959183</v>
      </c>
      <c r="BS110" s="82">
        <f t="shared" si="74"/>
        <v>96</v>
      </c>
      <c r="BT110" s="82">
        <f t="shared" si="75"/>
        <v>108.76075102040815</v>
      </c>
      <c r="BU110" s="82">
        <f t="shared" si="76"/>
        <v>108.75319999999999</v>
      </c>
      <c r="BV110"/>
      <c r="BW110" s="82">
        <f>IFERROR(INDEX('Infos Clientes'!$T:$T,MATCH('Detalhe Por UC'!$C110,'Infos Clientes'!B:B,0)),"")</f>
        <v>182.25</v>
      </c>
      <c r="BX110" s="83">
        <f t="shared" si="77"/>
        <v>0</v>
      </c>
      <c r="BY110" s="84">
        <f t="shared" si="78"/>
        <v>0.25002769606562752</v>
      </c>
      <c r="BZ110" s="85">
        <f>IF(_xlfn.MINIFS('Detalhe Por UC'!R:R,'Detalhe Por UC'!C:C,C110,'Detalhe Por UC'!AD:AD,"&gt;"&amp;0)=0,"",_xlfn.MINIFS('Detalhe Por UC'!R:R,'Detalhe Por UC'!C:C,C110,'Detalhe Por UC'!AD:AD,"&gt;"&amp;0))</f>
        <v>45627</v>
      </c>
      <c r="CA110" s="114">
        <f ca="1">IF(OR(S110&gt;0,AD110&gt;0),IFERROR(
SUMIFS(INDIRECT("'Infos Clientes'!$W"&amp;INDEX('Infos Clientes'!$C:$C,MATCH(C110,'Infos Clientes'!$H:$H,0))&amp;":$CZ"&amp;INDEX('Infos Clientes'!$C:$C,MATCH(C110,'Infos Clientes'!$H:$H,0))),'Infos Clientes'!$W$2:$CZ$2,"&gt;"&amp;$R110-365,'Infos Clientes'!$W$2:$CZ$2,"&lt;="&amp;$R110)/
COUNTIFS(INDIRECT("'Infos Clientes'!$W"&amp;INDEX('Infos Clientes'!$C:$C,MATCH(C110,'Infos Clientes'!$H:$H,0))&amp;":$CZ"&amp;INDEX('Infos Clientes'!$C:$C,MATCH(C110,'Infos Clientes'!$H:$H,0))),"&gt;="&amp;0,'Infos Clientes'!$W$2:$CZ$2,"&gt;"&amp;$R110-365,'Infos Clientes'!$W$2:$CZ$2,"&lt;="&amp;$R110),""),"")</f>
        <v>184.5</v>
      </c>
      <c r="CB110" s="87">
        <f>VLOOKUP(C110,'Infos Clientes'!B:L,11,0)</f>
        <v>0</v>
      </c>
      <c r="CC110" s="88" t="str">
        <f t="shared" si="79"/>
        <v>A Unidade Consumidora 10/1184751-4 economizou R$27,19 na fatura referente à dez/2024  consumindo 96 kWh em créditos de energia renovável conforme fatura de energia. A economia foi de 25% em relação ao que seria pago para a Energisa considerando os créditos consumidos. Atenção: Mantenha as contas da Energisa em dia para evitar cortes.</v>
      </c>
      <c r="CD110" s="40" t="s">
        <v>37</v>
      </c>
      <c r="CF110" s="115">
        <f t="shared" si="80"/>
        <v>-160.07999999999998</v>
      </c>
    </row>
    <row r="111" spans="1:84" s="40" customFormat="1" ht="16.2" hidden="1" customHeight="1" x14ac:dyDescent="0.3">
      <c r="A111" s="105" t="str">
        <f>INDEX('Infos Clientes'!$D:$D,MATCH('Detalhe Por UC'!C111,'Infos Clientes'!B:B,0))</f>
        <v>IGREJA DO EVANGELHO QUADRANGULAR</v>
      </c>
      <c r="B111" s="106" t="str">
        <f>INDEX('Infos Clientes'!$F:$F,MATCH('Detalhe Por UC'!C111,'Infos Clientes'!B:B,0))</f>
        <v>62.955.505/0800-98</v>
      </c>
      <c r="C111" s="31" t="s">
        <v>38</v>
      </c>
      <c r="D111" t="s">
        <v>351</v>
      </c>
      <c r="E111" s="1" t="s">
        <v>352</v>
      </c>
      <c r="F111" s="56" t="str">
        <f>INDEX('Infos Clientes'!$I:$I,MATCH('Detalhe Por UC'!C111,'Infos Clientes'!B:B,0))</f>
        <v>BT</v>
      </c>
      <c r="G111" s="56" t="str">
        <f>INDEX('Infos Clientes'!$J:$J,MATCH('Detalhe Por UC'!C111,'Infos Clientes'!B:B,0))</f>
        <v>trifasico</v>
      </c>
      <c r="H111" s="47"/>
      <c r="I111" s="58">
        <f>IFERROR(VLOOKUP(C111,'Infos Clientes'!B:E,4,),"")</f>
        <v>351</v>
      </c>
      <c r="J111" s="109">
        <v>0.25</v>
      </c>
      <c r="K111" s="59">
        <f>INDEX('Infos Clientes'!$M:$M,MATCH('Detalhe Por UC'!C111,'Infos Clientes'!B:B,0))</f>
        <v>0.25</v>
      </c>
      <c r="L111" s="110">
        <v>0</v>
      </c>
      <c r="M111" s="56">
        <f>INDEX('Infos Clientes'!$N:$N,MATCH('Detalhe Por UC'!C111,'Infos Clientes'!B:B,0))</f>
        <v>0</v>
      </c>
      <c r="N111" s="56">
        <f t="shared" si="44"/>
        <v>0</v>
      </c>
      <c r="O111" s="56">
        <f t="shared" si="45"/>
        <v>7</v>
      </c>
      <c r="P111" s="56">
        <f t="shared" si="46"/>
        <v>0</v>
      </c>
      <c r="Q111" s="61">
        <f>IFERROR(IFERROR(INDEX('Infos Clientes'!$A$2:$V$9884,MATCH($C111,'Infos Clientes'!$B$2:$B$9884,0),MATCH(Q$8,'Infos Clientes'!$A$2:$V$2,0)),"")
+IF(OR(INDEX('Infos Clientes'!$A$2:$V$9884,MATCH($C111,'Infos Clientes'!$B$2:$B$9884,0),MATCH("Tempo de Fidelidade (meses)",'Infos Clientes'!$A$2:$V$2,0))=0,R111&gt;=MAX(R:R)),0,
ROUND((MAX(R:R)-R111)/(365/12),0)),"")</f>
        <v>0</v>
      </c>
      <c r="R111" s="111">
        <v>45627</v>
      </c>
      <c r="S111" s="112">
        <v>3.0000000000000001E-3</v>
      </c>
      <c r="T111" s="113" t="str">
        <f>IF($H111="GIROSSOL II",AP111/INDEX('Resumo Operacional'!$A$1:$P$1103,17,MATCH('Detalhe Por UC'!$R111,'Resumo Operacional'!$A$1:$P$1,0)),
IF($H111="GIROSSOL II e III",AP111/INDEX('Resumo Operacional'!$A$1:$P$1103,17,MATCH('Detalhe Por UC'!$R111,'Resumo Operacional'!$A$1:$P$1,0)),
""))</f>
        <v/>
      </c>
      <c r="U111" s="113" t="str">
        <f>IF($H111="GIROSSOL III",AP111/INDEX('Resumo Operacional'!$A$1:$P$1103,53,MATCH('Detalhe Por UC'!$R111,'Resumo Operacional'!$A$1:$P$1,0)),
IF($H111="GIROSSOL II e III",AP111/INDEX('Resumo Operacional'!$A$1:$P$1103,53,MATCH('Detalhe Por UC'!$R111,'Resumo Operacional'!$A$1:$P$1,0)),
""))</f>
        <v/>
      </c>
      <c r="V111" s="67"/>
      <c r="W111" s="67"/>
      <c r="X111" s="67">
        <v>1.126131884057971</v>
      </c>
      <c r="Y111" s="66"/>
      <c r="Z111" s="66">
        <v>1.1256894736842105</v>
      </c>
      <c r="AA111" s="66"/>
      <c r="AB111" s="68">
        <v>138</v>
      </c>
      <c r="AC111" s="122"/>
      <c r="AD111" s="69">
        <v>38</v>
      </c>
      <c r="AE111" s="35"/>
      <c r="AF111" s="69">
        <v>732</v>
      </c>
      <c r="AG111" s="120"/>
      <c r="AH111" s="119">
        <v>16.490000000000002</v>
      </c>
      <c r="AI111" s="38"/>
      <c r="AJ111" s="38"/>
      <c r="AK111" s="21"/>
      <c r="AL111" s="38"/>
      <c r="AM111" s="1"/>
      <c r="AN111" s="71">
        <f t="shared" si="47"/>
        <v>732</v>
      </c>
      <c r="AO111" s="71">
        <f t="shared" si="48"/>
        <v>0</v>
      </c>
      <c r="AP111" s="71">
        <f t="shared" si="49"/>
        <v>770</v>
      </c>
      <c r="AQ111" s="72" t="e">
        <f>IF(OR($H111="GIROSSOL II",$H111="GIROSSOL II e III"),INDEX('Resumo Operacional'!$A$1:$P$1103,MATCH("Energia Injetada prevista total Fatura da Usina (TUSD)",'Resumo Operacional'!$B$1:$B$1103,0),MATCH('Detalhe Por UC'!$R111,'Resumo Operacional'!$A$1:$P$1,0))*$S111,INDEX('Resumo Operacional'!$A$1:$P$1103,53,MATCH('Detalhe Por UC'!$R111,'Resumo Operacional'!$A$1:$P$1,0))*$S111)</f>
        <v>#N/A</v>
      </c>
      <c r="AR111" s="71" t="e">
        <f t="shared" si="50"/>
        <v>#N/A</v>
      </c>
      <c r="AS111" s="73">
        <f t="shared" si="51"/>
        <v>129.12000000000003</v>
      </c>
      <c r="AT111" s="74">
        <f t="shared" si="52"/>
        <v>129.12000000000003</v>
      </c>
      <c r="AU111" s="74">
        <f t="shared" si="53"/>
        <v>1.1252470633104499</v>
      </c>
      <c r="AV111" s="74">
        <f t="shared" si="54"/>
        <v>32.082149999999999</v>
      </c>
      <c r="AW111" s="74">
        <f t="shared" si="55"/>
        <v>0</v>
      </c>
      <c r="AX111" s="74">
        <f t="shared" si="56"/>
        <v>42.776199999999996</v>
      </c>
      <c r="AY111" s="74">
        <f t="shared" si="57"/>
        <v>32.08</v>
      </c>
      <c r="AZ111" s="49"/>
      <c r="BA111" s="49"/>
      <c r="BB111" s="49"/>
      <c r="BC111" s="73" t="str">
        <f t="shared" si="58"/>
        <v/>
      </c>
      <c r="BD111" s="73">
        <f t="shared" si="59"/>
        <v>171.89620000000002</v>
      </c>
      <c r="BE111" s="73">
        <f t="shared" si="60"/>
        <v>161.20215000000002</v>
      </c>
      <c r="BF111" s="77">
        <f t="shared" si="61"/>
        <v>10.69</v>
      </c>
      <c r="BG111" s="77">
        <f t="shared" si="62"/>
        <v>3.2069999999999999</v>
      </c>
      <c r="BH111" s="77">
        <f t="shared" si="63"/>
        <v>42.776200000000003</v>
      </c>
      <c r="BI111" s="78">
        <f t="shared" si="64"/>
        <v>0.25</v>
      </c>
      <c r="BJ111" s="79">
        <f t="shared" si="65"/>
        <v>6.2188692943764889E-2</v>
      </c>
      <c r="BK111" s="80">
        <f t="shared" si="66"/>
        <v>161.20000000000005</v>
      </c>
      <c r="BL111" s="80">
        <f t="shared" si="67"/>
        <v>10.696199999999976</v>
      </c>
      <c r="BM111" s="79">
        <f t="shared" si="68"/>
        <v>6.2224761222179285E-2</v>
      </c>
      <c r="BN111" s="81">
        <f t="shared" si="69"/>
        <v>0.84421052631578941</v>
      </c>
      <c r="BO111" s="82">
        <f t="shared" si="70"/>
        <v>32.08</v>
      </c>
      <c r="BP111" s="81">
        <f t="shared" si="71"/>
        <v>0.84421052631578941</v>
      </c>
      <c r="BQ111" s="81">
        <f t="shared" si="72"/>
        <v>0.84465293668954999</v>
      </c>
      <c r="BR111" s="81">
        <f t="shared" si="73"/>
        <v>1.126131884057971</v>
      </c>
      <c r="BS111" s="82">
        <f t="shared" si="74"/>
        <v>38</v>
      </c>
      <c r="BT111" s="82">
        <f t="shared" si="75"/>
        <v>42.793011594202902</v>
      </c>
      <c r="BU111" s="82">
        <f t="shared" si="76"/>
        <v>42.776199999999996</v>
      </c>
      <c r="BV111"/>
      <c r="BW111" s="82">
        <f>IFERROR(INDEX('Infos Clientes'!$T:$T,MATCH('Detalhe Por UC'!$C111,'Infos Clientes'!B:B,0)),"")</f>
        <v>134.36363636363637</v>
      </c>
      <c r="BX111" s="83">
        <f t="shared" si="77"/>
        <v>0</v>
      </c>
      <c r="BY111" s="84">
        <f t="shared" si="78"/>
        <v>0.24995202724757509</v>
      </c>
      <c r="BZ111" s="85">
        <f>IF(_xlfn.MINIFS('Detalhe Por UC'!R:R,'Detalhe Por UC'!C:C,C111,'Detalhe Por UC'!AD:AD,"&gt;"&amp;0)=0,"",_xlfn.MINIFS('Detalhe Por UC'!R:R,'Detalhe Por UC'!C:C,C111,'Detalhe Por UC'!AD:AD,"&gt;"&amp;0))</f>
        <v>45627</v>
      </c>
      <c r="CA111" s="114">
        <f ca="1">IF(OR(S111&gt;0,AD111&gt;0),IFERROR(
SUMIFS(INDIRECT("'Infos Clientes'!$W"&amp;INDEX('Infos Clientes'!$C:$C,MATCH(C111,'Infos Clientes'!$H:$H,0))&amp;":$CZ"&amp;INDEX('Infos Clientes'!$C:$C,MATCH(C111,'Infos Clientes'!$H:$H,0))),'Infos Clientes'!$W$2:$CZ$2,"&gt;"&amp;$R111-365,'Infos Clientes'!$W$2:$CZ$2,"&lt;="&amp;$R111)/
COUNTIFS(INDIRECT("'Infos Clientes'!$W"&amp;INDEX('Infos Clientes'!$C:$C,MATCH(C111,'Infos Clientes'!$H:$H,0))&amp;":$CZ"&amp;INDEX('Infos Clientes'!$C:$C,MATCH(C111,'Infos Clientes'!$H:$H,0))),"&gt;="&amp;0,'Infos Clientes'!$W$2:$CZ$2,"&gt;"&amp;$R111-365,'Infos Clientes'!$W$2:$CZ$2,"&lt;="&amp;$R111),""),"")</f>
        <v>133.5</v>
      </c>
      <c r="CB111" s="87">
        <f>VLOOKUP(C111,'Infos Clientes'!B:L,11,0)</f>
        <v>0</v>
      </c>
      <c r="CC111" s="88" t="str">
        <f t="shared" si="79"/>
        <v>A Unidade Consumidora 10/135237-6 economizou R$10,69 na fatura referente à dez/2024  consumindo 38 kWh em créditos de energia renovável conforme fatura de energia. A economia foi de 25% em relação ao que seria pago para a Energisa considerando os créditos consumidos. Atenção: Mantenha as contas da Energisa em dia para evitar cortes.</v>
      </c>
      <c r="CD111" s="40" t="s">
        <v>40</v>
      </c>
      <c r="CF111" s="115">
        <f t="shared" si="80"/>
        <v>-129.12000000000003</v>
      </c>
    </row>
    <row r="112" spans="1:84" s="40" customFormat="1" ht="16.2" hidden="1" customHeight="1" x14ac:dyDescent="0.3">
      <c r="A112" s="105" t="str">
        <f>INDEX('Infos Clientes'!$D:$D,MATCH('Detalhe Por UC'!C112,'Infos Clientes'!B:B,0))</f>
        <v>IGREJA DO EVANGELHO QUADRANGULAR</v>
      </c>
      <c r="B112" s="106" t="str">
        <f>INDEX('Infos Clientes'!$F:$F,MATCH('Detalhe Por UC'!C112,'Infos Clientes'!B:B,0))</f>
        <v>62.955.505/0847-51</v>
      </c>
      <c r="C112" s="31" t="s">
        <v>41</v>
      </c>
      <c r="D112" t="s">
        <v>351</v>
      </c>
      <c r="E112" s="1" t="s">
        <v>352</v>
      </c>
      <c r="F112" s="56" t="str">
        <f>INDEX('Infos Clientes'!$I:$I,MATCH('Detalhe Por UC'!C112,'Infos Clientes'!B:B,0))</f>
        <v>BT</v>
      </c>
      <c r="G112" s="56" t="str">
        <f>INDEX('Infos Clientes'!$J:$J,MATCH('Detalhe Por UC'!C112,'Infos Clientes'!B:B,0))</f>
        <v>monofasico</v>
      </c>
      <c r="H112" s="47"/>
      <c r="I112" s="58">
        <f>IFERROR(VLOOKUP(C112,'Infos Clientes'!B:E,4,),"")</f>
        <v>349</v>
      </c>
      <c r="J112" s="109">
        <v>0.25</v>
      </c>
      <c r="K112" s="59">
        <f>INDEX('Infos Clientes'!$M:$M,MATCH('Detalhe Por UC'!C112,'Infos Clientes'!B:B,0))</f>
        <v>0.25</v>
      </c>
      <c r="L112" s="110">
        <v>0</v>
      </c>
      <c r="M112" s="56">
        <f>INDEX('Infos Clientes'!$N:$N,MATCH('Detalhe Por UC'!C112,'Infos Clientes'!B:B,0))</f>
        <v>0</v>
      </c>
      <c r="N112" s="56">
        <f t="shared" si="44"/>
        <v>0</v>
      </c>
      <c r="O112" s="56">
        <f t="shared" si="45"/>
        <v>12</v>
      </c>
      <c r="P112" s="56">
        <f t="shared" si="46"/>
        <v>0</v>
      </c>
      <c r="Q112" s="61">
        <f>IFERROR(IFERROR(INDEX('Infos Clientes'!$A$2:$V$9884,MATCH($C112,'Infos Clientes'!$B$2:$B$9884,0),MATCH(Q$8,'Infos Clientes'!$A$2:$V$2,0)),"")
+IF(OR(INDEX('Infos Clientes'!$A$2:$V$9884,MATCH($C112,'Infos Clientes'!$B$2:$B$9884,0),MATCH("Tempo de Fidelidade (meses)",'Infos Clientes'!$A$2:$V$2,0))=0,R112&gt;=MAX(R:R)),0,
ROUND((MAX(R:R)-R112)/(365/12),0)),"")</f>
        <v>0</v>
      </c>
      <c r="R112" s="111">
        <v>45627</v>
      </c>
      <c r="S112" s="112">
        <v>0.01</v>
      </c>
      <c r="T112" s="113" t="str">
        <f>IF($H112="GIROSSOL II",AP112/INDEX('Resumo Operacional'!$A$1:$P$1103,17,MATCH('Detalhe Por UC'!$R112,'Resumo Operacional'!$A$1:$P$1,0)),
IF($H112="GIROSSOL II e III",AP112/INDEX('Resumo Operacional'!$A$1:$P$1103,17,MATCH('Detalhe Por UC'!$R112,'Resumo Operacional'!$A$1:$P$1,0)),
""))</f>
        <v/>
      </c>
      <c r="U112" s="113" t="str">
        <f>IF($H112="GIROSSOL III",AP112/INDEX('Resumo Operacional'!$A$1:$P$1103,53,MATCH('Detalhe Por UC'!$R112,'Resumo Operacional'!$A$1:$P$1,0)),
IF($H112="GIROSSOL II e III",AP112/INDEX('Resumo Operacional'!$A$1:$P$1103,53,MATCH('Detalhe Por UC'!$R112,'Resumo Operacional'!$A$1:$P$1,0)),
""))</f>
        <v/>
      </c>
      <c r="V112" s="67"/>
      <c r="W112" s="67"/>
      <c r="X112" s="67">
        <v>1.1235512820512821</v>
      </c>
      <c r="Y112" s="67"/>
      <c r="Z112" s="66">
        <v>1.1235238095238098</v>
      </c>
      <c r="AA112" s="66"/>
      <c r="AB112" s="68">
        <v>156</v>
      </c>
      <c r="AC112" s="69"/>
      <c r="AD112" s="69">
        <v>126</v>
      </c>
      <c r="AE112" s="35"/>
      <c r="AF112" s="69">
        <v>36</v>
      </c>
      <c r="AG112" s="120"/>
      <c r="AH112" s="119">
        <v>62.7</v>
      </c>
      <c r="AI112" s="38"/>
      <c r="AJ112" s="38"/>
      <c r="AK112" s="21"/>
      <c r="AL112" s="38"/>
      <c r="AM112" s="1"/>
      <c r="AN112" s="71">
        <f t="shared" si="47"/>
        <v>36</v>
      </c>
      <c r="AO112" s="71">
        <f t="shared" si="48"/>
        <v>0</v>
      </c>
      <c r="AP112" s="71">
        <f t="shared" si="49"/>
        <v>162</v>
      </c>
      <c r="AQ112" s="72" t="e">
        <f>IF(OR($H112="GIROSSOL II",$H112="GIROSSOL II e III"),INDEX('Resumo Operacional'!$A$1:$P$1103,MATCH("Energia Injetada prevista total Fatura da Usina (TUSD)",'Resumo Operacional'!$B$1:$B$1103,0),MATCH('Detalhe Por UC'!$R112,'Resumo Operacional'!$A$1:$P$1,0))*$S112,INDEX('Resumo Operacional'!$A$1:$P$1103,53,MATCH('Detalhe Por UC'!$R112,'Resumo Operacional'!$A$1:$P$1,0))*$S112)</f>
        <v>#N/A</v>
      </c>
      <c r="AR112" s="71" t="e">
        <f t="shared" si="50"/>
        <v>#N/A</v>
      </c>
      <c r="AS112" s="73">
        <f t="shared" si="51"/>
        <v>96.409999999999954</v>
      </c>
      <c r="AT112" s="74">
        <f t="shared" si="52"/>
        <v>96.409999999999954</v>
      </c>
      <c r="AU112" s="74">
        <f t="shared" si="53"/>
        <v>1.1234963369963376</v>
      </c>
      <c r="AV112" s="74">
        <f t="shared" si="54"/>
        <v>106.17300000000003</v>
      </c>
      <c r="AW112" s="74">
        <f t="shared" si="55"/>
        <v>0</v>
      </c>
      <c r="AX112" s="74">
        <f t="shared" si="56"/>
        <v>141.56400000000005</v>
      </c>
      <c r="AY112" s="74">
        <f t="shared" si="57"/>
        <v>106.17</v>
      </c>
      <c r="AZ112" s="49"/>
      <c r="BA112" s="49"/>
      <c r="BB112" s="49"/>
      <c r="BC112" s="73" t="str">
        <f t="shared" si="58"/>
        <v/>
      </c>
      <c r="BD112" s="73">
        <f t="shared" si="59"/>
        <v>237.97399999999999</v>
      </c>
      <c r="BE112" s="73">
        <f t="shared" si="60"/>
        <v>202.58299999999997</v>
      </c>
      <c r="BF112" s="77">
        <f t="shared" si="61"/>
        <v>35.39</v>
      </c>
      <c r="BG112" s="77">
        <f t="shared" si="62"/>
        <v>10.616999999999999</v>
      </c>
      <c r="BH112" s="77">
        <f t="shared" si="63"/>
        <v>141.56400000000005</v>
      </c>
      <c r="BI112" s="78">
        <f t="shared" si="64"/>
        <v>0.25</v>
      </c>
      <c r="BJ112" s="79">
        <f t="shared" si="65"/>
        <v>0.14871372502878466</v>
      </c>
      <c r="BK112" s="80">
        <f t="shared" si="66"/>
        <v>202.57999999999996</v>
      </c>
      <c r="BL112" s="80">
        <f t="shared" si="67"/>
        <v>35.394000000000034</v>
      </c>
      <c r="BM112" s="79">
        <f t="shared" si="68"/>
        <v>0.148730533587703</v>
      </c>
      <c r="BN112" s="81">
        <f t="shared" si="69"/>
        <v>0.8426190476190476</v>
      </c>
      <c r="BO112" s="82">
        <f t="shared" si="70"/>
        <v>106.17</v>
      </c>
      <c r="BP112" s="81">
        <f t="shared" si="71"/>
        <v>0.8426190476190476</v>
      </c>
      <c r="BQ112" s="81">
        <f t="shared" si="72"/>
        <v>0.84264652014651986</v>
      </c>
      <c r="BR112" s="81">
        <f t="shared" si="73"/>
        <v>1.1235512820512821</v>
      </c>
      <c r="BS112" s="82">
        <f t="shared" si="74"/>
        <v>126</v>
      </c>
      <c r="BT112" s="82">
        <f t="shared" si="75"/>
        <v>141.56746153846154</v>
      </c>
      <c r="BU112" s="82">
        <f t="shared" si="76"/>
        <v>141.56400000000005</v>
      </c>
      <c r="BV112"/>
      <c r="BW112" s="82">
        <f>IFERROR(INDEX('Infos Clientes'!$T:$T,MATCH('Detalhe Por UC'!$C112,'Infos Clientes'!B:B,0)),"")</f>
        <v>156.25</v>
      </c>
      <c r="BX112" s="83">
        <f t="shared" si="77"/>
        <v>0</v>
      </c>
      <c r="BY112" s="84">
        <f t="shared" si="78"/>
        <v>0.25001507843229975</v>
      </c>
      <c r="BZ112" s="85">
        <f>IF(_xlfn.MINIFS('Detalhe Por UC'!R:R,'Detalhe Por UC'!C:C,C112,'Detalhe Por UC'!AD:AD,"&gt;"&amp;0)=0,"",_xlfn.MINIFS('Detalhe Por UC'!R:R,'Detalhe Por UC'!C:C,C112,'Detalhe Por UC'!AD:AD,"&gt;"&amp;0))</f>
        <v>45627</v>
      </c>
      <c r="CA112" s="114">
        <f ca="1">IF(OR(S112&gt;0,AD112&gt;0),IFERROR(
SUMIFS(INDIRECT("'Infos Clientes'!$W"&amp;INDEX('Infos Clientes'!$C:$C,MATCH(C112,'Infos Clientes'!$H:$H,0))&amp;":$CZ"&amp;INDEX('Infos Clientes'!$C:$C,MATCH(C112,'Infos Clientes'!$H:$H,0))),'Infos Clientes'!$W$2:$CZ$2,"&gt;"&amp;$R112-365,'Infos Clientes'!$W$2:$CZ$2,"&lt;="&amp;$R112)/
COUNTIFS(INDIRECT("'Infos Clientes'!$W"&amp;INDEX('Infos Clientes'!$C:$C,MATCH(C112,'Infos Clientes'!$H:$H,0))&amp;":$CZ"&amp;INDEX('Infos Clientes'!$C:$C,MATCH(C112,'Infos Clientes'!$H:$H,0))),"&gt;="&amp;0,'Infos Clientes'!$W$2:$CZ$2,"&gt;"&amp;$R112-365,'Infos Clientes'!$W$2:$CZ$2,"&lt;="&amp;$R112),""),"")</f>
        <v>160.41666666666666</v>
      </c>
      <c r="CB112" s="87">
        <f>VLOOKUP(C112,'Infos Clientes'!B:L,11,0)</f>
        <v>0</v>
      </c>
      <c r="CC112" s="88" t="str">
        <f t="shared" si="79"/>
        <v>A Unidade Consumidora 10/1548741-6 economizou R$35,39 na fatura referente à dez/2024  consumindo 126 kWh em créditos de energia renovável conforme fatura de energia. A economia foi de 25% em relação ao que seria pago para a Energisa considerando os créditos consumidos. Atenção: Mantenha as contas da Energisa em dia para evitar cortes.</v>
      </c>
      <c r="CD112" s="40" t="s">
        <v>43</v>
      </c>
      <c r="CF112" s="115">
        <f t="shared" si="80"/>
        <v>-96.409999999999954</v>
      </c>
    </row>
    <row r="113" spans="1:84" s="40" customFormat="1" ht="16.2" hidden="1" customHeight="1" x14ac:dyDescent="0.3">
      <c r="A113" s="105" t="str">
        <f>INDEX('Infos Clientes'!$D:$D,MATCH('Detalhe Por UC'!C113,'Infos Clientes'!B:B,0))</f>
        <v>IGREJA DO EVANGELHO QUADRANGULAR</v>
      </c>
      <c r="B113" s="106" t="str">
        <f>INDEX('Infos Clientes'!$F:$F,MATCH('Detalhe Por UC'!C113,'Infos Clientes'!B:B,0))</f>
        <v>62.955.505/0153-50</v>
      </c>
      <c r="C113" s="31" t="s">
        <v>45</v>
      </c>
      <c r="D113" t="s">
        <v>351</v>
      </c>
      <c r="E113" s="1" t="s">
        <v>352</v>
      </c>
      <c r="F113" s="56" t="str">
        <f>INDEX('Infos Clientes'!$I:$I,MATCH('Detalhe Por UC'!C113,'Infos Clientes'!B:B,0))</f>
        <v>BT</v>
      </c>
      <c r="G113" s="56" t="str">
        <f>INDEX('Infos Clientes'!$J:$J,MATCH('Detalhe Por UC'!C113,'Infos Clientes'!B:B,0))</f>
        <v>trifasico</v>
      </c>
      <c r="H113" s="47"/>
      <c r="I113" s="58">
        <f>IFERROR(VLOOKUP(C113,'Infos Clientes'!B:E,4,),"")</f>
        <v>994</v>
      </c>
      <c r="J113" s="109">
        <v>0.25</v>
      </c>
      <c r="K113" s="59">
        <f>INDEX('Infos Clientes'!$M:$M,MATCH('Detalhe Por UC'!C113,'Infos Clientes'!B:B,0))</f>
        <v>0.25</v>
      </c>
      <c r="L113" s="110">
        <v>0</v>
      </c>
      <c r="M113" s="56">
        <f>INDEX('Infos Clientes'!$N:$N,MATCH('Detalhe Por UC'!C113,'Infos Clientes'!B:B,0))</f>
        <v>0</v>
      </c>
      <c r="N113" s="56">
        <f t="shared" si="44"/>
        <v>0</v>
      </c>
      <c r="O113" s="56">
        <f t="shared" si="45"/>
        <v>12</v>
      </c>
      <c r="P113" s="56">
        <f t="shared" si="46"/>
        <v>0</v>
      </c>
      <c r="Q113" s="61">
        <f>IFERROR(IFERROR(INDEX('Infos Clientes'!$A$2:$V$9884,MATCH($C113,'Infos Clientes'!$B$2:$B$9884,0),MATCH(Q$8,'Infos Clientes'!$A$2:$V$2,0)),"")
+IF(OR(INDEX('Infos Clientes'!$A$2:$V$9884,MATCH($C113,'Infos Clientes'!$B$2:$B$9884,0),MATCH("Tempo de Fidelidade (meses)",'Infos Clientes'!$A$2:$V$2,0))=0,R113&gt;=MAX(R:R)),0,
ROUND((MAX(R:R)-R113)/(365/12),0)),"")</f>
        <v>0</v>
      </c>
      <c r="R113" s="111">
        <v>45627</v>
      </c>
      <c r="S113" s="112">
        <v>0.02</v>
      </c>
      <c r="T113" s="113" t="str">
        <f>IF($H113="GIROSSOL II",AP113/INDEX('Resumo Operacional'!$A$1:$P$1103,17,MATCH('Detalhe Por UC'!$R113,'Resumo Operacional'!$A$1:$P$1,0)),
IF($H113="GIROSSOL II e III",AP113/INDEX('Resumo Operacional'!$A$1:$P$1103,17,MATCH('Detalhe Por UC'!$R113,'Resumo Operacional'!$A$1:$P$1,0)),
""))</f>
        <v/>
      </c>
      <c r="U113" s="113" t="str">
        <f>IF($H113="GIROSSOL III",AP113/INDEX('Resumo Operacional'!$A$1:$P$1103,53,MATCH('Detalhe Por UC'!$R113,'Resumo Operacional'!$A$1:$P$1,0)),
IF($H113="GIROSSOL II e III",AP113/INDEX('Resumo Operacional'!$A$1:$P$1103,53,MATCH('Detalhe Por UC'!$R113,'Resumo Operacional'!$A$1:$P$1,0)),
""))</f>
        <v/>
      </c>
      <c r="V113" s="67"/>
      <c r="W113" s="67"/>
      <c r="X113" s="67">
        <v>1.1315525458248474</v>
      </c>
      <c r="Y113" s="67"/>
      <c r="Z113" s="66">
        <v>1.1315404092071613</v>
      </c>
      <c r="AA113" s="66"/>
      <c r="AB113" s="68">
        <v>491</v>
      </c>
      <c r="AC113" s="69"/>
      <c r="AD113" s="69">
        <v>391</v>
      </c>
      <c r="AE113" s="35"/>
      <c r="AF113" s="69">
        <v>151</v>
      </c>
      <c r="AG113" s="120"/>
      <c r="AH113" s="16">
        <v>102.42</v>
      </c>
      <c r="AI113" s="38">
        <v>-187.69</v>
      </c>
      <c r="AJ113" s="38"/>
      <c r="AK113" s="21"/>
      <c r="AL113" s="38"/>
      <c r="AM113" s="1"/>
      <c r="AN113" s="71">
        <f t="shared" si="47"/>
        <v>151</v>
      </c>
      <c r="AO113" s="71">
        <f t="shared" si="48"/>
        <v>0</v>
      </c>
      <c r="AP113" s="71">
        <f t="shared" si="49"/>
        <v>542</v>
      </c>
      <c r="AQ113" s="72" t="e">
        <f>IF(OR($H113="GIROSSOL II",$H113="GIROSSOL II e III"),INDEX('Resumo Operacional'!$A$1:$P$1103,MATCH("Energia Injetada prevista total Fatura da Usina (TUSD)",'Resumo Operacional'!$B$1:$B$1103,0),MATCH('Detalhe Por UC'!$R113,'Resumo Operacional'!$A$1:$P$1,0))*$S113,INDEX('Resumo Operacional'!$A$1:$P$1103,53,MATCH('Detalhe Por UC'!$R113,'Resumo Operacional'!$A$1:$P$1,0))*$S113)</f>
        <v>#N/A</v>
      </c>
      <c r="AR113" s="71" t="e">
        <f t="shared" si="50"/>
        <v>#N/A</v>
      </c>
      <c r="AS113" s="73">
        <f t="shared" si="51"/>
        <v>215.5800000000001</v>
      </c>
      <c r="AT113" s="74">
        <f t="shared" si="52"/>
        <v>27.8900000000001</v>
      </c>
      <c r="AU113" s="74">
        <f t="shared" si="53"/>
        <v>1.1315282725894751</v>
      </c>
      <c r="AV113" s="74">
        <f t="shared" si="54"/>
        <v>331.82422500000001</v>
      </c>
      <c r="AW113" s="74">
        <f t="shared" si="55"/>
        <v>0</v>
      </c>
      <c r="AX113" s="74">
        <f t="shared" si="56"/>
        <v>442.43230000000005</v>
      </c>
      <c r="AY113" s="74">
        <f t="shared" si="57"/>
        <v>331.82</v>
      </c>
      <c r="AZ113" s="49"/>
      <c r="BA113" s="49"/>
      <c r="BB113" s="49"/>
      <c r="BC113" s="73" t="str">
        <f t="shared" si="58"/>
        <v/>
      </c>
      <c r="BD113" s="73">
        <f t="shared" si="59"/>
        <v>658.0123000000001</v>
      </c>
      <c r="BE113" s="73">
        <f t="shared" si="60"/>
        <v>547.40422500000011</v>
      </c>
      <c r="BF113" s="77">
        <f t="shared" si="61"/>
        <v>110.61</v>
      </c>
      <c r="BG113" s="77">
        <f t="shared" si="62"/>
        <v>33.183</v>
      </c>
      <c r="BH113" s="77">
        <f t="shared" si="63"/>
        <v>442.43230000000005</v>
      </c>
      <c r="BI113" s="78">
        <f t="shared" si="64"/>
        <v>0.25</v>
      </c>
      <c r="BJ113" s="79">
        <f t="shared" si="65"/>
        <v>0.16809716170959113</v>
      </c>
      <c r="BK113" s="80">
        <f t="shared" si="66"/>
        <v>547.40000000000009</v>
      </c>
      <c r="BL113" s="80">
        <f t="shared" si="67"/>
        <v>110.6123</v>
      </c>
      <c r="BM113" s="79">
        <f t="shared" si="68"/>
        <v>0.16810065708498154</v>
      </c>
      <c r="BN113" s="81">
        <f t="shared" si="69"/>
        <v>0.84864450127877233</v>
      </c>
      <c r="BO113" s="82">
        <f t="shared" si="70"/>
        <v>331.82</v>
      </c>
      <c r="BP113" s="81">
        <f t="shared" si="71"/>
        <v>0.84864450127877233</v>
      </c>
      <c r="BQ113" s="81">
        <f t="shared" si="72"/>
        <v>0.84865663789645851</v>
      </c>
      <c r="BR113" s="81">
        <f t="shared" si="73"/>
        <v>1.1315525458248474</v>
      </c>
      <c r="BS113" s="82">
        <f t="shared" si="74"/>
        <v>391</v>
      </c>
      <c r="BT113" s="82">
        <f t="shared" si="75"/>
        <v>442.43704541751532</v>
      </c>
      <c r="BU113" s="82">
        <f t="shared" si="76"/>
        <v>442.43230000000005</v>
      </c>
      <c r="BV113"/>
      <c r="BW113" s="82">
        <f>IFERROR(INDEX('Infos Clientes'!$T:$T,MATCH('Detalhe Por UC'!$C113,'Infos Clientes'!B:B,0)),"")</f>
        <v>362.41666666666669</v>
      </c>
      <c r="BX113" s="83">
        <f t="shared" si="77"/>
        <v>0</v>
      </c>
      <c r="BY113" s="84">
        <f t="shared" si="78"/>
        <v>0.25000686797286237</v>
      </c>
      <c r="BZ113" s="85">
        <f>IF(_xlfn.MINIFS('Detalhe Por UC'!R:R,'Detalhe Por UC'!C:C,C113,'Detalhe Por UC'!AD:AD,"&gt;"&amp;0)=0,"",_xlfn.MINIFS('Detalhe Por UC'!R:R,'Detalhe Por UC'!C:C,C113,'Detalhe Por UC'!AD:AD,"&gt;"&amp;0))</f>
        <v>45627</v>
      </c>
      <c r="CA113" s="114">
        <f ca="1">IF(OR(S113&gt;0,AD113&gt;0),IFERROR(
SUMIFS(INDIRECT("'Infos Clientes'!$W"&amp;INDEX('Infos Clientes'!$C:$C,MATCH(C113,'Infos Clientes'!$H:$H,0))&amp;":$CZ"&amp;INDEX('Infos Clientes'!$C:$C,MATCH(C113,'Infos Clientes'!$H:$H,0))),'Infos Clientes'!$W$2:$CZ$2,"&gt;"&amp;$R113-365,'Infos Clientes'!$W$2:$CZ$2,"&lt;="&amp;$R113)/
COUNTIFS(INDIRECT("'Infos Clientes'!$W"&amp;INDEX('Infos Clientes'!$C:$C,MATCH(C113,'Infos Clientes'!$H:$H,0))&amp;":$CZ"&amp;INDEX('Infos Clientes'!$C:$C,MATCH(C113,'Infos Clientes'!$H:$H,0))),"&gt;="&amp;0,'Infos Clientes'!$W$2:$CZ$2,"&gt;"&amp;$R113-365,'Infos Clientes'!$W$2:$CZ$2,"&lt;="&amp;$R113),""),"")</f>
        <v>367.16666666666669</v>
      </c>
      <c r="CB113" s="87">
        <f>VLOOKUP(C113,'Infos Clientes'!B:L,11,0)</f>
        <v>0</v>
      </c>
      <c r="CC113" s="88" t="str">
        <f t="shared" si="79"/>
        <v>A Unidade Consumidora 10/156956-5 economizou R$110,61 na fatura referente à dez/2024  consumindo 391 kWh em créditos de energia renovável conforme fatura de energia. A economia foi de 25% em relação ao que seria pago para a Energisa considerando os créditos consumidos. Atenção: Mantenha as contas da Energisa em dia para evitar cortes.</v>
      </c>
      <c r="CD113" s="40" t="s">
        <v>47</v>
      </c>
      <c r="CF113" s="115">
        <f t="shared" si="80"/>
        <v>-27.8900000000001</v>
      </c>
    </row>
    <row r="114" spans="1:84" s="40" customFormat="1" ht="16.2" hidden="1" customHeight="1" x14ac:dyDescent="0.3">
      <c r="A114" s="105" t="str">
        <f>INDEX('Infos Clientes'!$D:$D,MATCH('Detalhe Por UC'!C114,'Infos Clientes'!B:B,0))</f>
        <v>IGREJA DO EVANGELHO QUADRANGULAR</v>
      </c>
      <c r="B114" s="106" t="str">
        <f>INDEX('Infos Clientes'!$F:$F,MATCH('Detalhe Por UC'!C114,'Infos Clientes'!B:B,0))</f>
        <v>62.955.505/0151-99</v>
      </c>
      <c r="C114" s="31" t="s">
        <v>48</v>
      </c>
      <c r="D114" t="s">
        <v>351</v>
      </c>
      <c r="E114" s="1" t="s">
        <v>352</v>
      </c>
      <c r="F114" s="56" t="str">
        <f>INDEX('Infos Clientes'!$I:$I,MATCH('Detalhe Por UC'!C114,'Infos Clientes'!B:B,0))</f>
        <v>BT</v>
      </c>
      <c r="G114" s="56" t="str">
        <f>INDEX('Infos Clientes'!$J:$J,MATCH('Detalhe Por UC'!C114,'Infos Clientes'!B:B,0))</f>
        <v>trifasico</v>
      </c>
      <c r="H114" s="108"/>
      <c r="I114" s="58">
        <f>IFERROR(VLOOKUP(C114,'Infos Clientes'!B:E,4,),"")</f>
        <v>306</v>
      </c>
      <c r="J114" s="109">
        <v>0.25</v>
      </c>
      <c r="K114" s="59">
        <f>INDEX('Infos Clientes'!$M:$M,MATCH('Detalhe Por UC'!C114,'Infos Clientes'!B:B,0))</f>
        <v>0.25</v>
      </c>
      <c r="L114" s="110">
        <v>0</v>
      </c>
      <c r="M114" s="56">
        <f>INDEX('Infos Clientes'!$N:$N,MATCH('Detalhe Por UC'!C114,'Infos Clientes'!B:B,0))</f>
        <v>0</v>
      </c>
      <c r="N114" s="56">
        <f t="shared" si="44"/>
        <v>0</v>
      </c>
      <c r="O114" s="56">
        <f t="shared" si="45"/>
        <v>9</v>
      </c>
      <c r="P114" s="56">
        <f t="shared" si="46"/>
        <v>0</v>
      </c>
      <c r="Q114" s="61">
        <f>IFERROR(IFERROR(INDEX('Infos Clientes'!$A$2:$V$9884,MATCH($C114,'Infos Clientes'!$B$2:$B$9884,0),MATCH(Q$8,'Infos Clientes'!$A$2:$V$2,0)),"")
+IF(OR(INDEX('Infos Clientes'!$A$2:$V$9884,MATCH($C114,'Infos Clientes'!$B$2:$B$9884,0),MATCH("Tempo de Fidelidade (meses)",'Infos Clientes'!$A$2:$V$2,0))=0,R114&gt;=MAX(R:R)),0,
ROUND((MAX(R:R)-R114)/(365/12),0)),"")</f>
        <v>0</v>
      </c>
      <c r="R114" s="111">
        <v>45627</v>
      </c>
      <c r="S114" s="112">
        <v>0.01</v>
      </c>
      <c r="T114" s="113" t="str">
        <f>IF($H114="GIROSSOL II",AP114/INDEX('Resumo Operacional'!$A$1:$P$1103,17,MATCH('Detalhe Por UC'!$R114,'Resumo Operacional'!$A$1:$P$1,0)),
IF($H114="GIROSSOL II e III",AP114/INDEX('Resumo Operacional'!$A$1:$P$1103,17,MATCH('Detalhe Por UC'!$R114,'Resumo Operacional'!$A$1:$P$1,0)),
""))</f>
        <v/>
      </c>
      <c r="U114" s="113" t="str">
        <f>IF($H114="GIROSSOL III",AP114/INDEX('Resumo Operacional'!$A$1:$P$1103,53,MATCH('Detalhe Por UC'!$R114,'Resumo Operacional'!$A$1:$P$1,0)),
IF($H114="GIROSSOL II e III",AP114/INDEX('Resumo Operacional'!$A$1:$P$1103,53,MATCH('Detalhe Por UC'!$R114,'Resumo Operacional'!$A$1:$P$1,0)),
""))</f>
        <v/>
      </c>
      <c r="V114" s="67"/>
      <c r="W114" s="67"/>
      <c r="X114" s="67">
        <v>1.1187354409317805</v>
      </c>
      <c r="Y114" s="66"/>
      <c r="Z114" s="66">
        <v>0</v>
      </c>
      <c r="AA114" s="66"/>
      <c r="AB114" s="68">
        <v>601</v>
      </c>
      <c r="AC114" s="122"/>
      <c r="AD114" s="69">
        <v>0</v>
      </c>
      <c r="AE114" s="35"/>
      <c r="AF114" s="69">
        <v>0</v>
      </c>
      <c r="AG114" s="120"/>
      <c r="AH114" s="119">
        <v>0</v>
      </c>
      <c r="AI114" s="38"/>
      <c r="AJ114" s="38"/>
      <c r="AK114" s="21"/>
      <c r="AL114" s="38"/>
      <c r="AM114" s="1"/>
      <c r="AN114" s="71">
        <f t="shared" si="47"/>
        <v>0</v>
      </c>
      <c r="AO114" s="71">
        <f t="shared" si="48"/>
        <v>0</v>
      </c>
      <c r="AP114" s="71">
        <f t="shared" si="49"/>
        <v>0</v>
      </c>
      <c r="AQ114" s="72" t="e">
        <f>IF(OR($H114="GIROSSOL II",$H114="GIROSSOL II e III"),INDEX('Resumo Operacional'!$A$1:$P$1103,MATCH("Energia Injetada prevista total Fatura da Usina (TUSD)",'Resumo Operacional'!$B$1:$B$1103,0),MATCH('Detalhe Por UC'!$R114,'Resumo Operacional'!$A$1:$P$1,0))*$S114,INDEX('Resumo Operacional'!$A$1:$P$1103,53,MATCH('Detalhe Por UC'!$R114,'Resumo Operacional'!$A$1:$P$1,0))*$S114)</f>
        <v>#N/A</v>
      </c>
      <c r="AR114" s="71" t="e">
        <f t="shared" si="50"/>
        <v>#N/A</v>
      </c>
      <c r="AS114" s="73">
        <f t="shared" si="51"/>
        <v>672.36</v>
      </c>
      <c r="AT114" s="74">
        <f t="shared" si="52"/>
        <v>672.36</v>
      </c>
      <c r="AU114" s="74" t="str">
        <f t="shared" si="53"/>
        <v/>
      </c>
      <c r="AV114" s="74">
        <f t="shared" si="54"/>
        <v>0</v>
      </c>
      <c r="AW114" s="74">
        <f t="shared" si="55"/>
        <v>0</v>
      </c>
      <c r="AX114" s="74">
        <f t="shared" si="56"/>
        <v>0</v>
      </c>
      <c r="AY114" s="74" t="str">
        <f t="shared" si="57"/>
        <v/>
      </c>
      <c r="AZ114" s="49"/>
      <c r="BA114" s="49"/>
      <c r="BB114" s="49"/>
      <c r="BC114" s="73" t="str">
        <f t="shared" si="58"/>
        <v/>
      </c>
      <c r="BD114" s="73">
        <f t="shared" si="59"/>
        <v>672.36</v>
      </c>
      <c r="BE114" s="73">
        <f t="shared" si="60"/>
        <v>672.36</v>
      </c>
      <c r="BF114" s="77">
        <f t="shared" si="61"/>
        <v>0</v>
      </c>
      <c r="BG114" s="77">
        <f t="shared" si="62"/>
        <v>0</v>
      </c>
      <c r="BH114" s="77">
        <f t="shared" si="63"/>
        <v>0</v>
      </c>
      <c r="BI114" s="78" t="str">
        <f t="shared" si="64"/>
        <v/>
      </c>
      <c r="BJ114" s="79">
        <f t="shared" si="65"/>
        <v>0</v>
      </c>
      <c r="BK114" s="80" t="str">
        <f t="shared" si="66"/>
        <v/>
      </c>
      <c r="BL114" s="80" t="str">
        <f t="shared" si="67"/>
        <v/>
      </c>
      <c r="BM114" s="79" t="str">
        <f t="shared" si="68"/>
        <v/>
      </c>
      <c r="BN114" s="81" t="str">
        <f t="shared" si="69"/>
        <v/>
      </c>
      <c r="BO114" s="82" t="str">
        <f t="shared" si="70"/>
        <v/>
      </c>
      <c r="BP114" s="81" t="str">
        <f t="shared" si="71"/>
        <v/>
      </c>
      <c r="BQ114" s="81" t="str">
        <f t="shared" si="72"/>
        <v/>
      </c>
      <c r="BR114" s="81" t="str">
        <f t="shared" si="73"/>
        <v/>
      </c>
      <c r="BS114" s="82">
        <f t="shared" si="74"/>
        <v>0</v>
      </c>
      <c r="BT114" s="82" t="str">
        <f t="shared" si="75"/>
        <v/>
      </c>
      <c r="BU114" s="82">
        <f t="shared" si="76"/>
        <v>0</v>
      </c>
      <c r="BV114"/>
      <c r="BW114" s="82">
        <f>IFERROR(INDEX('Infos Clientes'!$T:$T,MATCH('Detalhe Por UC'!$C114,'Infos Clientes'!B:B,0)),"")</f>
        <v>286.5</v>
      </c>
      <c r="BX114" s="83">
        <f t="shared" si="77"/>
        <v>0</v>
      </c>
      <c r="BY114" s="84" t="str">
        <f t="shared" si="78"/>
        <v/>
      </c>
      <c r="BZ114" s="85">
        <f>IF(_xlfn.MINIFS('Detalhe Por UC'!R:R,'Detalhe Por UC'!C:C,C114,'Detalhe Por UC'!AD:AD,"&gt;"&amp;0)=0,"",_xlfn.MINIFS('Detalhe Por UC'!R:R,'Detalhe Por UC'!C:C,C114,'Detalhe Por UC'!AD:AD,"&gt;"&amp;0))</f>
        <v>45658</v>
      </c>
      <c r="CA114" s="114">
        <f ca="1">IF(OR(S114&gt;0,AD114&gt;0),IFERROR(
SUMIFS(INDIRECT("'Infos Clientes'!$W"&amp;INDEX('Infos Clientes'!$C:$C,MATCH(C114,'Infos Clientes'!$H:$H,0))&amp;":$CZ"&amp;INDEX('Infos Clientes'!$C:$C,MATCH(C114,'Infos Clientes'!$H:$H,0))),'Infos Clientes'!$W$2:$CZ$2,"&gt;"&amp;$R114-365,'Infos Clientes'!$W$2:$CZ$2,"&lt;="&amp;$R114)/
COUNTIFS(INDIRECT("'Infos Clientes'!$W"&amp;INDEX('Infos Clientes'!$C:$C,MATCH(C114,'Infos Clientes'!$H:$H,0))&amp;":$CZ"&amp;INDEX('Infos Clientes'!$C:$C,MATCH(C114,'Infos Clientes'!$H:$H,0))),"&gt;="&amp;0,'Infos Clientes'!$W$2:$CZ$2,"&gt;"&amp;$R114-365,'Infos Clientes'!$W$2:$CZ$2,"&lt;="&amp;$R114),""),"")</f>
        <v>245.25</v>
      </c>
      <c r="CB114" s="87">
        <f>VLOOKUP(C114,'Infos Clientes'!B:L,11,0)</f>
        <v>0</v>
      </c>
      <c r="CC114" s="88" t="str">
        <f t="shared" si="79"/>
        <v>A Unidade Consumidora 10/2794432-1 economizou R$0 na fatura referente à dez/2024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14" s="40" t="s">
        <v>50</v>
      </c>
      <c r="CF114" s="115">
        <f t="shared" si="80"/>
        <v>-672.36</v>
      </c>
    </row>
    <row r="115" spans="1:84" s="40" customFormat="1" ht="16.2" hidden="1" customHeight="1" x14ac:dyDescent="0.3">
      <c r="A115" s="105" t="str">
        <f>INDEX('Infos Clientes'!$D:$D,MATCH('Detalhe Por UC'!C115,'Infos Clientes'!B:B,0))</f>
        <v>IGREJA DO EVANGELHO QUADRANGULAR</v>
      </c>
      <c r="B115" s="106" t="str">
        <f>INDEX('Infos Clientes'!$F:$F,MATCH('Detalhe Por UC'!C115,'Infos Clientes'!B:B,0))</f>
        <v>62.955.505/1973-60</v>
      </c>
      <c r="C115" s="31" t="s">
        <v>51</v>
      </c>
      <c r="D115" t="s">
        <v>351</v>
      </c>
      <c r="E115" s="1" t="s">
        <v>352</v>
      </c>
      <c r="F115" s="56" t="str">
        <f>INDEX('Infos Clientes'!$I:$I,MATCH('Detalhe Por UC'!C115,'Infos Clientes'!B:B,0))</f>
        <v>BT</v>
      </c>
      <c r="G115" s="56" t="str">
        <f>INDEX('Infos Clientes'!$J:$J,MATCH('Detalhe Por UC'!C115,'Infos Clientes'!B:B,0))</f>
        <v>trifasico</v>
      </c>
      <c r="H115" s="47"/>
      <c r="I115" s="58">
        <f>IFERROR(VLOOKUP(C115,'Infos Clientes'!B:E,4,),"")</f>
        <v>360</v>
      </c>
      <c r="J115" s="109">
        <v>0.25</v>
      </c>
      <c r="K115" s="59">
        <f>INDEX('Infos Clientes'!$M:$M,MATCH('Detalhe Por UC'!C115,'Infos Clientes'!B:B,0))</f>
        <v>0.25</v>
      </c>
      <c r="L115" s="110">
        <v>0</v>
      </c>
      <c r="M115" s="56">
        <f>INDEX('Infos Clientes'!$N:$N,MATCH('Detalhe Por UC'!C115,'Infos Clientes'!B:B,0))</f>
        <v>0</v>
      </c>
      <c r="N115" s="56">
        <f t="shared" si="44"/>
        <v>0</v>
      </c>
      <c r="O115" s="56">
        <f t="shared" si="45"/>
        <v>9</v>
      </c>
      <c r="P115" s="56">
        <f t="shared" si="46"/>
        <v>0</v>
      </c>
      <c r="Q115" s="61">
        <f>IFERROR(IFERROR(INDEX('Infos Clientes'!$A$2:$V$9884,MATCH($C115,'Infos Clientes'!$B$2:$B$9884,0),MATCH(Q$8,'Infos Clientes'!$A$2:$V$2,0)),"")
+IF(OR(INDEX('Infos Clientes'!$A$2:$V$9884,MATCH($C115,'Infos Clientes'!$B$2:$B$9884,0),MATCH("Tempo de Fidelidade (meses)",'Infos Clientes'!$A$2:$V$2,0))=0,R115&gt;=MAX(R:R)),0,
ROUND((MAX(R:R)-R115)/(365/12),0)),"")</f>
        <v>0</v>
      </c>
      <c r="R115" s="111">
        <v>45627</v>
      </c>
      <c r="S115" s="112">
        <v>0.01</v>
      </c>
      <c r="T115" s="113" t="str">
        <f>IF($H115="GIROSSOL II",AP115/INDEX('Resumo Operacional'!$A$1:$P$1103,17,MATCH('Detalhe Por UC'!$R115,'Resumo Operacional'!$A$1:$P$1,0)),
IF($H115="GIROSSOL II e III",AP115/INDEX('Resumo Operacional'!$A$1:$P$1103,17,MATCH('Detalhe Por UC'!$R115,'Resumo Operacional'!$A$1:$P$1,0)),
""))</f>
        <v/>
      </c>
      <c r="U115" s="113" t="str">
        <f>IF($H115="GIROSSOL III",AP115/INDEX('Resumo Operacional'!$A$1:$P$1103,53,MATCH('Detalhe Por UC'!$R115,'Resumo Operacional'!$A$1:$P$1,0)),
IF($H115="GIROSSOL II e III",AP115/INDEX('Resumo Operacional'!$A$1:$P$1103,53,MATCH('Detalhe Por UC'!$R115,'Resumo Operacional'!$A$1:$P$1,0)),
""))</f>
        <v/>
      </c>
      <c r="V115" s="67"/>
      <c r="W115" s="67"/>
      <c r="X115" s="67">
        <v>1.1261553191489362</v>
      </c>
      <c r="Y115" s="67"/>
      <c r="Z115" s="66">
        <v>1.1261222222222222</v>
      </c>
      <c r="AA115" s="66"/>
      <c r="AB115" s="68">
        <v>235</v>
      </c>
      <c r="AC115" s="122"/>
      <c r="AD115" s="69">
        <v>135</v>
      </c>
      <c r="AE115" s="35"/>
      <c r="AF115" s="69">
        <v>377</v>
      </c>
      <c r="AG115" s="120"/>
      <c r="AH115" s="119">
        <v>52.72</v>
      </c>
      <c r="AI115" s="38"/>
      <c r="AJ115" s="38"/>
      <c r="AK115" s="21"/>
      <c r="AL115" s="38"/>
      <c r="AM115" s="1"/>
      <c r="AN115" s="71">
        <f t="shared" si="47"/>
        <v>377</v>
      </c>
      <c r="AO115" s="71">
        <f t="shared" si="48"/>
        <v>0</v>
      </c>
      <c r="AP115" s="71">
        <f t="shared" si="49"/>
        <v>512</v>
      </c>
      <c r="AQ115" s="72" t="e">
        <f>IF(OR($H115="GIROSSOL II",$H115="GIROSSOL II e III"),INDEX('Resumo Operacional'!$A$1:$P$1103,MATCH("Energia Injetada prevista total Fatura da Usina (TUSD)",'Resumo Operacional'!$B$1:$B$1103,0),MATCH('Detalhe Por UC'!$R115,'Resumo Operacional'!$A$1:$P$1,0))*$S115,INDEX('Resumo Operacional'!$A$1:$P$1103,53,MATCH('Detalhe Por UC'!$R115,'Resumo Operacional'!$A$1:$P$1,0))*$S115)</f>
        <v>#N/A</v>
      </c>
      <c r="AR115" s="71" t="e">
        <f t="shared" si="50"/>
        <v>#N/A</v>
      </c>
      <c r="AS115" s="73">
        <f t="shared" si="51"/>
        <v>165.34</v>
      </c>
      <c r="AT115" s="74">
        <f t="shared" si="52"/>
        <v>165.34</v>
      </c>
      <c r="AU115" s="74">
        <f t="shared" si="53"/>
        <v>1.1260891252955083</v>
      </c>
      <c r="AV115" s="74">
        <f t="shared" si="54"/>
        <v>114.019875</v>
      </c>
      <c r="AW115" s="74">
        <f t="shared" si="55"/>
        <v>0</v>
      </c>
      <c r="AX115" s="74">
        <f t="shared" si="56"/>
        <v>152.0265</v>
      </c>
      <c r="AY115" s="74">
        <f t="shared" si="57"/>
        <v>114.02</v>
      </c>
      <c r="AZ115" s="49"/>
      <c r="BA115" s="49"/>
      <c r="BB115" s="49"/>
      <c r="BC115" s="73" t="str">
        <f t="shared" si="58"/>
        <v/>
      </c>
      <c r="BD115" s="73">
        <f t="shared" si="59"/>
        <v>317.36649999999997</v>
      </c>
      <c r="BE115" s="73">
        <f t="shared" si="60"/>
        <v>279.35987499999999</v>
      </c>
      <c r="BF115" s="77">
        <f t="shared" si="61"/>
        <v>38.01</v>
      </c>
      <c r="BG115" s="77">
        <f t="shared" si="62"/>
        <v>11.402999999999999</v>
      </c>
      <c r="BH115" s="77">
        <f t="shared" si="63"/>
        <v>152.0265</v>
      </c>
      <c r="BI115" s="78">
        <f t="shared" si="64"/>
        <v>0.25</v>
      </c>
      <c r="BJ115" s="79">
        <f t="shared" si="65"/>
        <v>0.11976689411138226</v>
      </c>
      <c r="BK115" s="80">
        <f t="shared" si="66"/>
        <v>279.36</v>
      </c>
      <c r="BL115" s="80">
        <f t="shared" si="67"/>
        <v>38.00649999999996</v>
      </c>
      <c r="BM115" s="79">
        <f t="shared" si="68"/>
        <v>0.11975586585225587</v>
      </c>
      <c r="BN115" s="81">
        <f t="shared" si="69"/>
        <v>0.84459259259259256</v>
      </c>
      <c r="BO115" s="82">
        <f t="shared" si="70"/>
        <v>114.02</v>
      </c>
      <c r="BP115" s="81">
        <f t="shared" si="71"/>
        <v>0.84459259259259256</v>
      </c>
      <c r="BQ115" s="81">
        <f t="shared" si="72"/>
        <v>0.8446256895193065</v>
      </c>
      <c r="BR115" s="81">
        <f t="shared" si="73"/>
        <v>1.1261553191489362</v>
      </c>
      <c r="BS115" s="82">
        <f t="shared" si="74"/>
        <v>135</v>
      </c>
      <c r="BT115" s="82">
        <f t="shared" si="75"/>
        <v>152.03096808510639</v>
      </c>
      <c r="BU115" s="82">
        <f t="shared" si="76"/>
        <v>152.0265</v>
      </c>
      <c r="BV115"/>
      <c r="BW115" s="82">
        <f>IFERROR(INDEX('Infos Clientes'!$T:$T,MATCH('Detalhe Por UC'!$C115,'Infos Clientes'!B:B,0)),"")</f>
        <v>185.66666666666666</v>
      </c>
      <c r="BX115" s="83">
        <f t="shared" si="77"/>
        <v>0</v>
      </c>
      <c r="BY115" s="84">
        <f t="shared" si="78"/>
        <v>0.2499918304718293</v>
      </c>
      <c r="BZ115" s="85">
        <f>IF(_xlfn.MINIFS('Detalhe Por UC'!R:R,'Detalhe Por UC'!C:C,C115,'Detalhe Por UC'!AD:AD,"&gt;"&amp;0)=0,"",_xlfn.MINIFS('Detalhe Por UC'!R:R,'Detalhe Por UC'!C:C,C115,'Detalhe Por UC'!AD:AD,"&gt;"&amp;0))</f>
        <v>45627</v>
      </c>
      <c r="CA115" s="114">
        <f ca="1">IF(OR(S115&gt;0,AD115&gt;0),IFERROR(
SUMIFS(INDIRECT("'Infos Clientes'!$W"&amp;INDEX('Infos Clientes'!$C:$C,MATCH(C115,'Infos Clientes'!$H:$H,0))&amp;":$CZ"&amp;INDEX('Infos Clientes'!$C:$C,MATCH(C115,'Infos Clientes'!$H:$H,0))),'Infos Clientes'!$W$2:$CZ$2,"&gt;"&amp;$R115-365,'Infos Clientes'!$W$2:$CZ$2,"&lt;="&amp;$R115)/
COUNTIFS(INDIRECT("'Infos Clientes'!$W"&amp;INDEX('Infos Clientes'!$C:$C,MATCH(C115,'Infos Clientes'!$H:$H,0))&amp;":$CZ"&amp;INDEX('Infos Clientes'!$C:$C,MATCH(C115,'Infos Clientes'!$H:$H,0))),"&gt;="&amp;0,'Infos Clientes'!$W$2:$CZ$2,"&gt;"&amp;$R115-365,'Infos Clientes'!$W$2:$CZ$2,"&lt;="&amp;$R115),""),"")</f>
        <v>182.58333333333334</v>
      </c>
      <c r="CB115" s="87">
        <f>VLOOKUP(C115,'Infos Clientes'!B:L,11,0)</f>
        <v>0</v>
      </c>
      <c r="CC115" s="88" t="str">
        <f t="shared" si="79"/>
        <v>A Unidade Consumidora 10/162736-3 economizou R$38,01 na fatura referente à dez/2024  consumindo 135 kWh em créditos de energia renovável conforme fatura de energia. A economia foi de 25% em relação ao que seria pago para a Energisa considerando os créditos consumidos. Atenção: Mantenha as contas da Energisa em dia para evitar cortes.</v>
      </c>
      <c r="CD115" s="40" t="s">
        <v>53</v>
      </c>
      <c r="CF115" s="115">
        <f t="shared" si="80"/>
        <v>-165.34</v>
      </c>
    </row>
    <row r="116" spans="1:84" s="40" customFormat="1" ht="16.2" hidden="1" customHeight="1" x14ac:dyDescent="0.3">
      <c r="A116" s="105" t="str">
        <f>INDEX('Infos Clientes'!$D:$D,MATCH('Detalhe Por UC'!C116,'Infos Clientes'!B:B,0))</f>
        <v>IGREJA DO EVANGELHO QUADRANGULAR</v>
      </c>
      <c r="B116" s="106" t="str">
        <f>INDEX('Infos Clientes'!$F:$F,MATCH('Detalhe Por UC'!C116,'Infos Clientes'!B:B,0))</f>
        <v>62.955.505/0172-13</v>
      </c>
      <c r="C116" s="31" t="s">
        <v>54</v>
      </c>
      <c r="D116" t="s">
        <v>351</v>
      </c>
      <c r="E116" s="1" t="s">
        <v>352</v>
      </c>
      <c r="F116" s="56" t="str">
        <f>INDEX('Infos Clientes'!$I:$I,MATCH('Detalhe Por UC'!C116,'Infos Clientes'!B:B,0))</f>
        <v>BT</v>
      </c>
      <c r="G116" s="56" t="str">
        <f>INDEX('Infos Clientes'!$J:$J,MATCH('Detalhe Por UC'!C116,'Infos Clientes'!B:B,0))</f>
        <v>trifasico</v>
      </c>
      <c r="H116" s="47"/>
      <c r="I116" s="58">
        <f>IFERROR(VLOOKUP(C116,'Infos Clientes'!B:E,4,),"")</f>
        <v>371</v>
      </c>
      <c r="J116" s="109">
        <v>0.25</v>
      </c>
      <c r="K116" s="59">
        <f>INDEX('Infos Clientes'!$M:$M,MATCH('Detalhe Por UC'!C116,'Infos Clientes'!B:B,0))</f>
        <v>0.25</v>
      </c>
      <c r="L116" s="110">
        <v>0</v>
      </c>
      <c r="M116" s="56">
        <f>INDEX('Infos Clientes'!$N:$N,MATCH('Detalhe Por UC'!C116,'Infos Clientes'!B:B,0))</f>
        <v>0</v>
      </c>
      <c r="N116" s="56">
        <f t="shared" si="44"/>
        <v>0</v>
      </c>
      <c r="O116" s="56">
        <f t="shared" si="45"/>
        <v>12</v>
      </c>
      <c r="P116" s="56">
        <f t="shared" si="46"/>
        <v>0</v>
      </c>
      <c r="Q116" s="61">
        <f>IFERROR(IFERROR(INDEX('Infos Clientes'!$A$2:$V$9884,MATCH($C116,'Infos Clientes'!$B$2:$B$9884,0),MATCH(Q$8,'Infos Clientes'!$A$2:$V$2,0)),"")
+IF(OR(INDEX('Infos Clientes'!$A$2:$V$9884,MATCH($C116,'Infos Clientes'!$B$2:$B$9884,0),MATCH("Tempo de Fidelidade (meses)",'Infos Clientes'!$A$2:$V$2,0))=0,R116&gt;=MAX(R:R)),0,
ROUND((MAX(R:R)-R116)/(365/12),0)),"")</f>
        <v>0</v>
      </c>
      <c r="R116" s="111">
        <v>45627</v>
      </c>
      <c r="S116" s="112">
        <v>5.0000000000000001E-3</v>
      </c>
      <c r="T116" s="113" t="str">
        <f>IF($H116="GIROSSOL II",AP116/INDEX('Resumo Operacional'!$A$1:$P$1103,17,MATCH('Detalhe Por UC'!$R116,'Resumo Operacional'!$A$1:$P$1,0)),
IF($H116="GIROSSOL II e III",AP116/INDEX('Resumo Operacional'!$A$1:$P$1103,17,MATCH('Detalhe Por UC'!$R116,'Resumo Operacional'!$A$1:$P$1,0)),
""))</f>
        <v/>
      </c>
      <c r="U116" s="113" t="str">
        <f>IF($H116="GIROSSOL III",AP116/INDEX('Resumo Operacional'!$A$1:$P$1103,53,MATCH('Detalhe Por UC'!$R116,'Resumo Operacional'!$A$1:$P$1,0)),
IF($H116="GIROSSOL II e III",AP116/INDEX('Resumo Operacional'!$A$1:$P$1103,53,MATCH('Detalhe Por UC'!$R116,'Resumo Operacional'!$A$1:$P$1,0)),
""))</f>
        <v/>
      </c>
      <c r="V116" s="67"/>
      <c r="W116" s="67"/>
      <c r="X116" s="67">
        <v>1.1307599469496021</v>
      </c>
      <c r="Y116" s="121"/>
      <c r="Z116" s="66">
        <v>1.1307454873646208</v>
      </c>
      <c r="AA116" s="121"/>
      <c r="AB116" s="68">
        <v>377</v>
      </c>
      <c r="AC116" s="122"/>
      <c r="AD116" s="69">
        <v>277</v>
      </c>
      <c r="AE116" s="35"/>
      <c r="AF116" s="69">
        <v>3915</v>
      </c>
      <c r="AG116" s="120"/>
      <c r="AH116" s="119">
        <v>42.9</v>
      </c>
      <c r="AI116" s="38"/>
      <c r="AJ116" s="38"/>
      <c r="AK116" s="21"/>
      <c r="AL116" s="38"/>
      <c r="AM116" s="1"/>
      <c r="AN116" s="71">
        <f t="shared" si="47"/>
        <v>3915</v>
      </c>
      <c r="AO116" s="71">
        <f t="shared" si="48"/>
        <v>0</v>
      </c>
      <c r="AP116" s="71">
        <f t="shared" si="49"/>
        <v>4192</v>
      </c>
      <c r="AQ116" s="72" t="e">
        <f>IF(OR($H116="GIROSSOL II",$H116="GIROSSOL II e III"),INDEX('Resumo Operacional'!$A$1:$P$1103,MATCH("Energia Injetada prevista total Fatura da Usina (TUSD)",'Resumo Operacional'!$B$1:$B$1103,0),MATCH('Detalhe Por UC'!$R116,'Resumo Operacional'!$A$1:$P$1,0))*$S116,INDEX('Resumo Operacional'!$A$1:$P$1103,53,MATCH('Detalhe Por UC'!$R116,'Resumo Operacional'!$A$1:$P$1,0))*$S116)</f>
        <v>#N/A</v>
      </c>
      <c r="AR116" s="71" t="e">
        <f t="shared" si="50"/>
        <v>#N/A</v>
      </c>
      <c r="AS116" s="73">
        <f t="shared" si="51"/>
        <v>155.98000000000005</v>
      </c>
      <c r="AT116" s="74">
        <f t="shared" si="52"/>
        <v>155.98000000000005</v>
      </c>
      <c r="AU116" s="74">
        <f t="shared" si="53"/>
        <v>1.1307310277796394</v>
      </c>
      <c r="AV116" s="74">
        <f t="shared" si="54"/>
        <v>234.91237499999997</v>
      </c>
      <c r="AW116" s="74">
        <f t="shared" si="55"/>
        <v>0</v>
      </c>
      <c r="AX116" s="74">
        <f t="shared" si="56"/>
        <v>313.21649999999994</v>
      </c>
      <c r="AY116" s="74">
        <f t="shared" si="57"/>
        <v>234.91</v>
      </c>
      <c r="AZ116" s="49"/>
      <c r="BA116" s="49"/>
      <c r="BB116" s="49"/>
      <c r="BC116" s="73" t="str">
        <f t="shared" si="58"/>
        <v/>
      </c>
      <c r="BD116" s="73">
        <f t="shared" si="59"/>
        <v>469.19649999999996</v>
      </c>
      <c r="BE116" s="73">
        <f t="shared" si="60"/>
        <v>390.89237500000002</v>
      </c>
      <c r="BF116" s="77">
        <f t="shared" si="61"/>
        <v>78.3</v>
      </c>
      <c r="BG116" s="77">
        <f t="shared" si="62"/>
        <v>23.49</v>
      </c>
      <c r="BH116" s="77">
        <f t="shared" si="63"/>
        <v>313.2165</v>
      </c>
      <c r="BI116" s="78">
        <f t="shared" si="64"/>
        <v>0.25</v>
      </c>
      <c r="BJ116" s="79">
        <f t="shared" si="65"/>
        <v>0.16688104024646391</v>
      </c>
      <c r="BK116" s="80">
        <f t="shared" si="66"/>
        <v>390.89000000000004</v>
      </c>
      <c r="BL116" s="80">
        <f t="shared" si="67"/>
        <v>78.306499999999915</v>
      </c>
      <c r="BM116" s="79">
        <f t="shared" si="68"/>
        <v>0.1668948937172377</v>
      </c>
      <c r="BN116" s="81">
        <f t="shared" si="69"/>
        <v>0.84805054151624548</v>
      </c>
      <c r="BO116" s="82">
        <f t="shared" si="70"/>
        <v>234.91</v>
      </c>
      <c r="BP116" s="81">
        <f t="shared" si="71"/>
        <v>0.84805054151624548</v>
      </c>
      <c r="BQ116" s="81">
        <f t="shared" si="72"/>
        <v>0.84806500110122685</v>
      </c>
      <c r="BR116" s="81">
        <f t="shared" si="73"/>
        <v>1.1307599469496021</v>
      </c>
      <c r="BS116" s="82">
        <f t="shared" si="74"/>
        <v>277</v>
      </c>
      <c r="BT116" s="82">
        <f t="shared" si="75"/>
        <v>313.22050530503981</v>
      </c>
      <c r="BU116" s="82">
        <f t="shared" si="76"/>
        <v>313.21649999999994</v>
      </c>
      <c r="BV116"/>
      <c r="BW116" s="82">
        <f>IFERROR(INDEX('Infos Clientes'!$T:$T,MATCH('Detalhe Por UC'!$C116,'Infos Clientes'!B:B,0)),"")</f>
        <v>418.16666666666669</v>
      </c>
      <c r="BX116" s="83">
        <f t="shared" si="77"/>
        <v>0</v>
      </c>
      <c r="BY116" s="84">
        <f t="shared" si="78"/>
        <v>0.25000438564435196</v>
      </c>
      <c r="BZ116" s="85">
        <f>IF(_xlfn.MINIFS('Detalhe Por UC'!R:R,'Detalhe Por UC'!C:C,C116,'Detalhe Por UC'!AD:AD,"&gt;"&amp;0)=0,"",_xlfn.MINIFS('Detalhe Por UC'!R:R,'Detalhe Por UC'!C:C,C116,'Detalhe Por UC'!AD:AD,"&gt;"&amp;0))</f>
        <v>45627</v>
      </c>
      <c r="CA116" s="114">
        <f ca="1">IF(OR(S116&gt;0,AD116&gt;0),IFERROR(
SUMIFS(INDIRECT("'Infos Clientes'!$W"&amp;INDEX('Infos Clientes'!$C:$C,MATCH(C116,'Infos Clientes'!$H:$H,0))&amp;":$CZ"&amp;INDEX('Infos Clientes'!$C:$C,MATCH(C116,'Infos Clientes'!$H:$H,0))),'Infos Clientes'!$W$2:$CZ$2,"&gt;"&amp;$R116-365,'Infos Clientes'!$W$2:$CZ$2,"&lt;="&amp;$R116)/
COUNTIFS(INDIRECT("'Infos Clientes'!$W"&amp;INDEX('Infos Clientes'!$C:$C,MATCH(C116,'Infos Clientes'!$H:$H,0))&amp;":$CZ"&amp;INDEX('Infos Clientes'!$C:$C,MATCH(C116,'Infos Clientes'!$H:$H,0))),"&gt;="&amp;0,'Infos Clientes'!$W$2:$CZ$2,"&gt;"&amp;$R116-365,'Infos Clientes'!$W$2:$CZ$2,"&lt;="&amp;$R116),""),"")</f>
        <v>506.83333333333331</v>
      </c>
      <c r="CB116" s="87">
        <f>VLOOKUP(C116,'Infos Clientes'!B:L,11,0)</f>
        <v>0</v>
      </c>
      <c r="CC116" s="88" t="str">
        <f t="shared" si="79"/>
        <v>A Unidade Consumidora 10/1672452-8 economizou R$78,3 na fatura referente à dez/2024  consumindo 277 kWh em créditos de energia renovável conforme fatura de energia. A economia foi de 25% em relação ao que seria pago para a Energisa considerando os créditos consumidos. Atenção: Mantenha as contas da Energisa em dia para evitar cortes.</v>
      </c>
      <c r="CD116" s="40" t="s">
        <v>56</v>
      </c>
      <c r="CF116" s="115">
        <f t="shared" si="80"/>
        <v>-155.98000000000005</v>
      </c>
    </row>
    <row r="117" spans="1:84" s="40" customFormat="1" ht="16.2" hidden="1" customHeight="1" x14ac:dyDescent="0.3">
      <c r="A117" s="105" t="str">
        <f>INDEX('Infos Clientes'!$D:$D,MATCH('Detalhe Por UC'!C117,'Infos Clientes'!B:B,0))</f>
        <v>IGREJA DO EVANGELHO QUADRANGULAR</v>
      </c>
      <c r="B117" s="106" t="str">
        <f>INDEX('Infos Clientes'!$F:$F,MATCH('Detalhe Por UC'!C117,'Infos Clientes'!B:B,0))</f>
        <v>62.955.505/4612-10</v>
      </c>
      <c r="C117" s="31" t="s">
        <v>57</v>
      </c>
      <c r="D117" t="s">
        <v>351</v>
      </c>
      <c r="E117" s="1" t="s">
        <v>352</v>
      </c>
      <c r="F117" s="56" t="str">
        <f>INDEX('Infos Clientes'!$I:$I,MATCH('Detalhe Por UC'!C117,'Infos Clientes'!B:B,0))</f>
        <v>BT</v>
      </c>
      <c r="G117" s="56" t="str">
        <f>INDEX('Infos Clientes'!$J:$J,MATCH('Detalhe Por UC'!C117,'Infos Clientes'!B:B,0))</f>
        <v>trifasico</v>
      </c>
      <c r="H117" s="47"/>
      <c r="I117" s="58">
        <f>IFERROR(VLOOKUP(C117,'Infos Clientes'!B:E,4,),"")</f>
        <v>306</v>
      </c>
      <c r="J117" s="109">
        <v>0.25</v>
      </c>
      <c r="K117" s="59">
        <f>INDEX('Infos Clientes'!$M:$M,MATCH('Detalhe Por UC'!C117,'Infos Clientes'!B:B,0))</f>
        <v>0.25</v>
      </c>
      <c r="L117" s="110">
        <v>0</v>
      </c>
      <c r="M117" s="56">
        <f>INDEX('Infos Clientes'!$N:$N,MATCH('Detalhe Por UC'!C117,'Infos Clientes'!B:B,0))</f>
        <v>0</v>
      </c>
      <c r="N117" s="56">
        <f t="shared" si="44"/>
        <v>0</v>
      </c>
      <c r="O117" s="56">
        <f t="shared" si="45"/>
        <v>12</v>
      </c>
      <c r="P117" s="56">
        <f t="shared" si="46"/>
        <v>0</v>
      </c>
      <c r="Q117" s="61">
        <f>IFERROR(IFERROR(INDEX('Infos Clientes'!$A$2:$V$9884,MATCH($C117,'Infos Clientes'!$B$2:$B$9884,0),MATCH(Q$8,'Infos Clientes'!$A$2:$V$2,0)),"")
+IF(OR(INDEX('Infos Clientes'!$A$2:$V$9884,MATCH($C117,'Infos Clientes'!$B$2:$B$9884,0),MATCH("Tempo de Fidelidade (meses)",'Infos Clientes'!$A$2:$V$2,0))=0,R117&gt;=MAX(R:R)),0,
ROUND((MAX(R:R)-R117)/(365/12),0)),"")</f>
        <v>0</v>
      </c>
      <c r="R117" s="111">
        <v>45627</v>
      </c>
      <c r="S117" s="112">
        <v>6.0000000000000001E-3</v>
      </c>
      <c r="T117" s="113" t="str">
        <f>IF($H117="GIROSSOL II",AP117/INDEX('Resumo Operacional'!$A$1:$P$1103,17,MATCH('Detalhe Por UC'!$R117,'Resumo Operacional'!$A$1:$P$1,0)),
IF($H117="GIROSSOL II e III",AP117/INDEX('Resumo Operacional'!$A$1:$P$1103,17,MATCH('Detalhe Por UC'!$R117,'Resumo Operacional'!$A$1:$P$1,0)),
""))</f>
        <v/>
      </c>
      <c r="U117" s="113" t="str">
        <f>IF($H117="GIROSSOL III",AP117/INDEX('Resumo Operacional'!$A$1:$P$1103,53,MATCH('Detalhe Por UC'!$R117,'Resumo Operacional'!$A$1:$P$1,0)),
IF($H117="GIROSSOL II e III",AP117/INDEX('Resumo Operacional'!$A$1:$P$1103,53,MATCH('Detalhe Por UC'!$R117,'Resumo Operacional'!$A$1:$P$1,0)),
""))</f>
        <v/>
      </c>
      <c r="V117" s="67"/>
      <c r="W117" s="67"/>
      <c r="X117" s="67">
        <v>1.131585794060411</v>
      </c>
      <c r="Y117" s="121"/>
      <c r="Z117" s="66">
        <v>1.1315801886792451</v>
      </c>
      <c r="AA117" s="121"/>
      <c r="AB117" s="68">
        <v>892</v>
      </c>
      <c r="AC117" s="122"/>
      <c r="AD117" s="69">
        <v>256</v>
      </c>
      <c r="AE117" s="35"/>
      <c r="AF117" s="69">
        <v>0</v>
      </c>
      <c r="AG117" s="120"/>
      <c r="AH117" s="119">
        <v>122.58</v>
      </c>
      <c r="AI117" s="38"/>
      <c r="AJ117" s="38"/>
      <c r="AK117" s="21"/>
      <c r="AL117" s="38"/>
      <c r="AM117" s="1"/>
      <c r="AN117" s="71">
        <f t="shared" si="47"/>
        <v>0</v>
      </c>
      <c r="AO117" s="71">
        <f t="shared" si="48"/>
        <v>0</v>
      </c>
      <c r="AP117" s="71">
        <f t="shared" si="49"/>
        <v>256</v>
      </c>
      <c r="AQ117" s="72" t="e">
        <f>IF(OR($H117="GIROSSOL II",$H117="GIROSSOL II e III"),INDEX('Resumo Operacional'!$A$1:$P$1103,MATCH("Energia Injetada prevista total Fatura da Usina (TUSD)",'Resumo Operacional'!$B$1:$B$1103,0),MATCH('Detalhe Por UC'!$R117,'Resumo Operacional'!$A$1:$P$1,0))*$S117,INDEX('Resumo Operacional'!$A$1:$P$1103,53,MATCH('Detalhe Por UC'!$R117,'Resumo Operacional'!$A$1:$P$1,0))*$S117)</f>
        <v>#N/A</v>
      </c>
      <c r="AR117" s="71" t="e">
        <f t="shared" si="50"/>
        <v>#N/A</v>
      </c>
      <c r="AS117" s="73">
        <f t="shared" si="51"/>
        <v>842.27</v>
      </c>
      <c r="AT117" s="74">
        <f t="shared" si="52"/>
        <v>842.27</v>
      </c>
      <c r="AU117" s="74">
        <f t="shared" si="53"/>
        <v>1.1315745832980793</v>
      </c>
      <c r="AV117" s="74">
        <f t="shared" si="54"/>
        <v>217.26339622641507</v>
      </c>
      <c r="AW117" s="74">
        <f t="shared" si="55"/>
        <v>0</v>
      </c>
      <c r="AX117" s="74">
        <f t="shared" si="56"/>
        <v>289.68452830188676</v>
      </c>
      <c r="AY117" s="74">
        <f t="shared" si="57"/>
        <v>217.26</v>
      </c>
      <c r="AZ117" s="49"/>
      <c r="BA117" s="49"/>
      <c r="BB117" s="49"/>
      <c r="BC117" s="73" t="str">
        <f t="shared" si="58"/>
        <v/>
      </c>
      <c r="BD117" s="73">
        <f t="shared" si="59"/>
        <v>1131.9545283018867</v>
      </c>
      <c r="BE117" s="73">
        <f t="shared" si="60"/>
        <v>1059.5333962264151</v>
      </c>
      <c r="BF117" s="77">
        <f t="shared" si="61"/>
        <v>72.42</v>
      </c>
      <c r="BG117" s="77">
        <f t="shared" si="62"/>
        <v>21.725999999999999</v>
      </c>
      <c r="BH117" s="77">
        <f t="shared" si="63"/>
        <v>289.68452830188676</v>
      </c>
      <c r="BI117" s="78">
        <f t="shared" si="64"/>
        <v>0.25</v>
      </c>
      <c r="BJ117" s="79">
        <f t="shared" si="65"/>
        <v>6.397783496536881E-2</v>
      </c>
      <c r="BK117" s="80">
        <f t="shared" si="66"/>
        <v>1059.53</v>
      </c>
      <c r="BL117" s="80">
        <f t="shared" si="67"/>
        <v>72.424528301886767</v>
      </c>
      <c r="BM117" s="79">
        <f t="shared" si="68"/>
        <v>6.3981835392747766E-2</v>
      </c>
      <c r="BN117" s="81">
        <f t="shared" si="69"/>
        <v>0.84867187499999996</v>
      </c>
      <c r="BO117" s="82">
        <f t="shared" si="70"/>
        <v>217.26</v>
      </c>
      <c r="BP117" s="81">
        <f t="shared" si="71"/>
        <v>0.84867187499999996</v>
      </c>
      <c r="BQ117" s="81">
        <f t="shared" si="72"/>
        <v>0.84867748038116586</v>
      </c>
      <c r="BR117" s="81">
        <f t="shared" si="73"/>
        <v>1.131585794060411</v>
      </c>
      <c r="BS117" s="82">
        <f t="shared" si="74"/>
        <v>256</v>
      </c>
      <c r="BT117" s="82">
        <f t="shared" si="75"/>
        <v>289.68596327946523</v>
      </c>
      <c r="BU117" s="82">
        <f t="shared" si="76"/>
        <v>289.68452830188676</v>
      </c>
      <c r="BV117"/>
      <c r="BW117" s="82">
        <f>IFERROR(INDEX('Infos Clientes'!$T:$T,MATCH('Detalhe Por UC'!$C117,'Infos Clientes'!B:B,0)),"")</f>
        <v>511.41666666666669</v>
      </c>
      <c r="BX117" s="83">
        <f t="shared" si="77"/>
        <v>0</v>
      </c>
      <c r="BY117" s="84">
        <f t="shared" si="78"/>
        <v>0.25001048543045051</v>
      </c>
      <c r="BZ117" s="85">
        <f>IF(_xlfn.MINIFS('Detalhe Por UC'!R:R,'Detalhe Por UC'!C:C,C117,'Detalhe Por UC'!AD:AD,"&gt;"&amp;0)=0,"",_xlfn.MINIFS('Detalhe Por UC'!R:R,'Detalhe Por UC'!C:C,C117,'Detalhe Por UC'!AD:AD,"&gt;"&amp;0))</f>
        <v>45627</v>
      </c>
      <c r="CA117" s="114">
        <f ca="1">IF(OR(S117&gt;0,AD117&gt;0),IFERROR(
SUMIFS(INDIRECT("'Infos Clientes'!$W"&amp;INDEX('Infos Clientes'!$C:$C,MATCH(C117,'Infos Clientes'!$H:$H,0))&amp;":$CZ"&amp;INDEX('Infos Clientes'!$C:$C,MATCH(C117,'Infos Clientes'!$H:$H,0))),'Infos Clientes'!$W$2:$CZ$2,"&gt;"&amp;$R117-365,'Infos Clientes'!$W$2:$CZ$2,"&lt;="&amp;$R117)/
COUNTIFS(INDIRECT("'Infos Clientes'!$W"&amp;INDEX('Infos Clientes'!$C:$C,MATCH(C117,'Infos Clientes'!$H:$H,0))&amp;":$CZ"&amp;INDEX('Infos Clientes'!$C:$C,MATCH(C117,'Infos Clientes'!$H:$H,0))),"&gt;="&amp;0,'Infos Clientes'!$W$2:$CZ$2,"&gt;"&amp;$R117-365,'Infos Clientes'!$W$2:$CZ$2,"&lt;="&amp;$R117),""),"")</f>
        <v>466.16666666666669</v>
      </c>
      <c r="CB117" s="87">
        <f>VLOOKUP(C117,'Infos Clientes'!B:L,11,0)</f>
        <v>0</v>
      </c>
      <c r="CC117" s="88" t="str">
        <f t="shared" si="79"/>
        <v>A Unidade Consumidora 10/1695011-5 economizou R$72,42 na fatura referente à dez/2024  consumindo 256 kWh em créditos de energia renovável conforme fatura de energia. A economia foi de 25% em relação ao que seria pago para a Energisa considerando os créditos consumidos. Atenção: Mantenha as contas da Energisa em dia para evitar cortes.</v>
      </c>
      <c r="CD117" s="40" t="s">
        <v>59</v>
      </c>
      <c r="CF117" s="115">
        <f t="shared" si="80"/>
        <v>-842.27</v>
      </c>
    </row>
    <row r="118" spans="1:84" s="40" customFormat="1" ht="16.2" hidden="1" customHeight="1" x14ac:dyDescent="0.3">
      <c r="A118" s="105" t="str">
        <f>INDEX('Infos Clientes'!$D:$D,MATCH('Detalhe Por UC'!C118,'Infos Clientes'!B:B,0))</f>
        <v>IGREJA DO EVANGELHO QUADRANGULAR</v>
      </c>
      <c r="B118" s="106" t="str">
        <f>INDEX('Infos Clientes'!$F:$F,MATCH('Detalhe Por UC'!C118,'Infos Clientes'!B:B,0))</f>
        <v>62.955.505/4612-10</v>
      </c>
      <c r="C118" s="31" t="s">
        <v>60</v>
      </c>
      <c r="D118" t="s">
        <v>351</v>
      </c>
      <c r="E118" s="1" t="s">
        <v>352</v>
      </c>
      <c r="F118" s="56" t="str">
        <f>INDEX('Infos Clientes'!$I:$I,MATCH('Detalhe Por UC'!C118,'Infos Clientes'!B:B,0))</f>
        <v>BT</v>
      </c>
      <c r="G118" s="56" t="str">
        <f>INDEX('Infos Clientes'!$J:$J,MATCH('Detalhe Por UC'!C118,'Infos Clientes'!B:B,0))</f>
        <v>trifasico</v>
      </c>
      <c r="H118" s="47"/>
      <c r="I118" s="58">
        <f>IFERROR(VLOOKUP(C118,'Infos Clientes'!B:E,4,),"")</f>
        <v>306</v>
      </c>
      <c r="J118" s="109">
        <v>0.25</v>
      </c>
      <c r="K118" s="59">
        <f>INDEX('Infos Clientes'!$M:$M,MATCH('Detalhe Por UC'!C118,'Infos Clientes'!B:B,0))</f>
        <v>0.25</v>
      </c>
      <c r="L118" s="110">
        <v>0</v>
      </c>
      <c r="M118" s="56">
        <f>INDEX('Infos Clientes'!$N:$N,MATCH('Detalhe Por UC'!C118,'Infos Clientes'!B:B,0))</f>
        <v>0</v>
      </c>
      <c r="N118" s="56">
        <f t="shared" si="44"/>
        <v>0</v>
      </c>
      <c r="O118" s="56">
        <f t="shared" si="45"/>
        <v>12</v>
      </c>
      <c r="P118" s="56">
        <f t="shared" si="46"/>
        <v>0</v>
      </c>
      <c r="Q118" s="61">
        <f>IFERROR(IFERROR(INDEX('Infos Clientes'!$A$2:$V$9884,MATCH($C118,'Infos Clientes'!$B$2:$B$9884,0),MATCH(Q$8,'Infos Clientes'!$A$2:$V$2,0)),"")
+IF(OR(INDEX('Infos Clientes'!$A$2:$V$9884,MATCH($C118,'Infos Clientes'!$B$2:$B$9884,0),MATCH("Tempo de Fidelidade (meses)",'Infos Clientes'!$A$2:$V$2,0))=0,R118&gt;=MAX(R:R)),0,
ROUND((MAX(R:R)-R118)/(365/12),0)),"")</f>
        <v>0</v>
      </c>
      <c r="R118" s="111">
        <v>45627</v>
      </c>
      <c r="S118" s="112">
        <v>0.01</v>
      </c>
      <c r="T118" s="113" t="str">
        <f>IF($H118="GIROSSOL II",AP118/INDEX('Resumo Operacional'!$A$1:$P$1103,17,MATCH('Detalhe Por UC'!$R118,'Resumo Operacional'!$A$1:$P$1,0)),
IF($H118="GIROSSOL II e III",AP118/INDEX('Resumo Operacional'!$A$1:$P$1103,17,MATCH('Detalhe Por UC'!$R118,'Resumo Operacional'!$A$1:$P$1,0)),
""))</f>
        <v/>
      </c>
      <c r="U118" s="113" t="str">
        <f>IF($H118="GIROSSOL III",AP118/INDEX('Resumo Operacional'!$A$1:$P$1103,53,MATCH('Detalhe Por UC'!$R118,'Resumo Operacional'!$A$1:$P$1,0)),
IF($H118="GIROSSOL II e III",AP118/INDEX('Resumo Operacional'!$A$1:$P$1103,53,MATCH('Detalhe Por UC'!$R118,'Resumo Operacional'!$A$1:$P$1,0)),
""))</f>
        <v/>
      </c>
      <c r="V118" s="67"/>
      <c r="W118" s="67"/>
      <c r="X118" s="67">
        <v>1.1315538699690404</v>
      </c>
      <c r="Y118" s="66"/>
      <c r="Z118" s="66">
        <v>1.1314883408071752</v>
      </c>
      <c r="AA118" s="66"/>
      <c r="AB118" s="68">
        <v>323</v>
      </c>
      <c r="AC118" s="69"/>
      <c r="AD118" s="69">
        <v>223</v>
      </c>
      <c r="AE118" s="35"/>
      <c r="AF118" s="69">
        <v>157</v>
      </c>
      <c r="AG118" s="120"/>
      <c r="AH118" s="119">
        <v>79.67</v>
      </c>
      <c r="AI118" s="38"/>
      <c r="AJ118" s="38"/>
      <c r="AK118" s="21"/>
      <c r="AL118" s="38"/>
      <c r="AM118" s="1"/>
      <c r="AN118" s="71">
        <f t="shared" si="47"/>
        <v>157</v>
      </c>
      <c r="AO118" s="71">
        <f t="shared" si="48"/>
        <v>0</v>
      </c>
      <c r="AP118" s="71">
        <f t="shared" si="49"/>
        <v>380</v>
      </c>
      <c r="AQ118" s="72" t="e">
        <f>IF(OR($H118="GIROSSOL II",$H118="GIROSSOL II e III"),INDEX('Resumo Operacional'!$A$1:$P$1103,MATCH("Energia Injetada prevista total Fatura da Usina (TUSD)",'Resumo Operacional'!$B$1:$B$1103,0),MATCH('Detalhe Por UC'!$R118,'Resumo Operacional'!$A$1:$P$1,0))*$S118,INDEX('Resumo Operacional'!$A$1:$P$1103,53,MATCH('Detalhe Por UC'!$R118,'Resumo Operacional'!$A$1:$P$1,0))*$S118)</f>
        <v>#N/A</v>
      </c>
      <c r="AR118" s="71" t="e">
        <f t="shared" si="50"/>
        <v>#N/A</v>
      </c>
      <c r="AS118" s="73">
        <f t="shared" si="51"/>
        <v>192.83999999999997</v>
      </c>
      <c r="AT118" s="74">
        <f t="shared" si="52"/>
        <v>192.83999999999997</v>
      </c>
      <c r="AU118" s="74">
        <f t="shared" si="53"/>
        <v>1.13142281164531</v>
      </c>
      <c r="AV118" s="74">
        <f t="shared" si="54"/>
        <v>189.24142500000005</v>
      </c>
      <c r="AW118" s="74">
        <f t="shared" si="55"/>
        <v>0</v>
      </c>
      <c r="AX118" s="74">
        <f t="shared" si="56"/>
        <v>252.32190000000006</v>
      </c>
      <c r="AY118" s="74">
        <f t="shared" si="57"/>
        <v>189.24</v>
      </c>
      <c r="AZ118" s="49"/>
      <c r="BA118" s="49"/>
      <c r="BB118" s="49"/>
      <c r="BC118" s="73" t="str">
        <f t="shared" si="58"/>
        <v/>
      </c>
      <c r="BD118" s="73">
        <f t="shared" si="59"/>
        <v>445.16190000000006</v>
      </c>
      <c r="BE118" s="73">
        <f t="shared" si="60"/>
        <v>382.08142500000002</v>
      </c>
      <c r="BF118" s="77">
        <f t="shared" si="61"/>
        <v>63.08</v>
      </c>
      <c r="BG118" s="77">
        <f t="shared" si="62"/>
        <v>18.923999999999999</v>
      </c>
      <c r="BH118" s="77">
        <f t="shared" si="63"/>
        <v>252.32190000000006</v>
      </c>
      <c r="BI118" s="78">
        <f t="shared" si="64"/>
        <v>0.25</v>
      </c>
      <c r="BJ118" s="79">
        <f t="shared" si="65"/>
        <v>0.1417012552062519</v>
      </c>
      <c r="BK118" s="80">
        <f t="shared" si="66"/>
        <v>382.08</v>
      </c>
      <c r="BL118" s="80">
        <f t="shared" si="67"/>
        <v>63.081900000000076</v>
      </c>
      <c r="BM118" s="79">
        <f t="shared" si="68"/>
        <v>0.14170552331634864</v>
      </c>
      <c r="BN118" s="81">
        <f t="shared" si="69"/>
        <v>0.84860986547085204</v>
      </c>
      <c r="BO118" s="82">
        <f t="shared" si="70"/>
        <v>189.24</v>
      </c>
      <c r="BP118" s="81">
        <f t="shared" si="71"/>
        <v>0.84860986547085204</v>
      </c>
      <c r="BQ118" s="81">
        <f t="shared" si="72"/>
        <v>0.84867539463271724</v>
      </c>
      <c r="BR118" s="81">
        <f t="shared" si="73"/>
        <v>1.1315538699690404</v>
      </c>
      <c r="BS118" s="82">
        <f t="shared" si="74"/>
        <v>223</v>
      </c>
      <c r="BT118" s="82">
        <f t="shared" si="75"/>
        <v>252.336513003096</v>
      </c>
      <c r="BU118" s="82">
        <f t="shared" si="76"/>
        <v>252.32190000000006</v>
      </c>
      <c r="BV118"/>
      <c r="BW118" s="82">
        <f>IFERROR(INDEX('Infos Clientes'!$T:$T,MATCH('Detalhe Por UC'!$C118,'Infos Clientes'!B:B,0)),"")</f>
        <v>279.08333333333331</v>
      </c>
      <c r="BX118" s="83">
        <f t="shared" si="77"/>
        <v>0</v>
      </c>
      <c r="BY118" s="84">
        <f t="shared" si="78"/>
        <v>0.24999116952696454</v>
      </c>
      <c r="BZ118" s="85">
        <f>IF(_xlfn.MINIFS('Detalhe Por UC'!R:R,'Detalhe Por UC'!C:C,C118,'Detalhe Por UC'!AD:AD,"&gt;"&amp;0)=0,"",_xlfn.MINIFS('Detalhe Por UC'!R:R,'Detalhe Por UC'!C:C,C118,'Detalhe Por UC'!AD:AD,"&gt;"&amp;0))</f>
        <v>45627</v>
      </c>
      <c r="CA118" s="114">
        <f ca="1">IF(OR(S118&gt;0,AD118&gt;0),IFERROR(
SUMIFS(INDIRECT("'Infos Clientes'!$W"&amp;INDEX('Infos Clientes'!$C:$C,MATCH(C118,'Infos Clientes'!$H:$H,0))&amp;":$CZ"&amp;INDEX('Infos Clientes'!$C:$C,MATCH(C118,'Infos Clientes'!$H:$H,0))),'Infos Clientes'!$W$2:$CZ$2,"&gt;"&amp;$R118-365,'Infos Clientes'!$W$2:$CZ$2,"&lt;="&amp;$R118)/
COUNTIFS(INDIRECT("'Infos Clientes'!$W"&amp;INDEX('Infos Clientes'!$C:$C,MATCH(C118,'Infos Clientes'!$H:$H,0))&amp;":$CZ"&amp;INDEX('Infos Clientes'!$C:$C,MATCH(C118,'Infos Clientes'!$H:$H,0))),"&gt;="&amp;0,'Infos Clientes'!$W$2:$CZ$2,"&gt;"&amp;$R118-365,'Infos Clientes'!$W$2:$CZ$2,"&lt;="&amp;$R118),""),"")</f>
        <v>279.66666666666669</v>
      </c>
      <c r="CB118" s="87">
        <f>VLOOKUP(C118,'Infos Clientes'!B:L,11,0)</f>
        <v>0</v>
      </c>
      <c r="CC118" s="88" t="str">
        <f t="shared" si="79"/>
        <v>A Unidade Consumidora 10/1698130-0 economizou R$63,08 na fatura referente à dez/2024  consumindo 223 kWh em créditos de energia renovável conforme fatura de energia. A economia foi de 25% em relação ao que seria pago para a Energisa considerando os créditos consumidos. Atenção: Mantenha as contas da Energisa em dia para evitar cortes.</v>
      </c>
      <c r="CD118" s="40" t="s">
        <v>59</v>
      </c>
      <c r="CF118" s="115">
        <f t="shared" si="80"/>
        <v>-192.83999999999997</v>
      </c>
    </row>
    <row r="119" spans="1:84" s="40" customFormat="1" ht="16.2" hidden="1" customHeight="1" x14ac:dyDescent="0.3">
      <c r="A119" s="105" t="str">
        <f>INDEX('Infos Clientes'!$D:$D,MATCH('Detalhe Por UC'!C119,'Infos Clientes'!B:B,0))</f>
        <v>IGREJA DO EVANGELHO QUADRANGULAR</v>
      </c>
      <c r="B119" s="106" t="str">
        <f>INDEX('Infos Clientes'!$F:$F,MATCH('Detalhe Por UC'!C119,'Infos Clientes'!B:B,0))</f>
        <v>62.955.505/0160-80</v>
      </c>
      <c r="C119" s="31" t="s">
        <v>61</v>
      </c>
      <c r="D119" t="s">
        <v>351</v>
      </c>
      <c r="E119" s="1" t="s">
        <v>352</v>
      </c>
      <c r="F119" s="56" t="str">
        <f>INDEX('Infos Clientes'!$I:$I,MATCH('Detalhe Por UC'!C119,'Infos Clientes'!B:B,0))</f>
        <v>BT</v>
      </c>
      <c r="G119" s="56" t="str">
        <f>INDEX('Infos Clientes'!$J:$J,MATCH('Detalhe Por UC'!C119,'Infos Clientes'!B:B,0))</f>
        <v>trifasico</v>
      </c>
      <c r="H119" s="47"/>
      <c r="I119" s="58">
        <f>IFERROR(VLOOKUP(C119,'Infos Clientes'!B:E,4,),"")</f>
        <v>357</v>
      </c>
      <c r="J119" s="109">
        <v>0.25</v>
      </c>
      <c r="K119" s="59">
        <f>INDEX('Infos Clientes'!$M:$M,MATCH('Detalhe Por UC'!C119,'Infos Clientes'!B:B,0))</f>
        <v>0.25</v>
      </c>
      <c r="L119" s="110">
        <v>0</v>
      </c>
      <c r="M119" s="56">
        <f>INDEX('Infos Clientes'!$N:$N,MATCH('Detalhe Por UC'!C119,'Infos Clientes'!B:B,0))</f>
        <v>0</v>
      </c>
      <c r="N119" s="56">
        <f t="shared" si="44"/>
        <v>0</v>
      </c>
      <c r="O119" s="56">
        <f t="shared" si="45"/>
        <v>11</v>
      </c>
      <c r="P119" s="56">
        <f t="shared" si="46"/>
        <v>0</v>
      </c>
      <c r="Q119" s="61">
        <f>IFERROR(IFERROR(INDEX('Infos Clientes'!$A$2:$V$9884,MATCH($C119,'Infos Clientes'!$B$2:$B$9884,0),MATCH(Q$8,'Infos Clientes'!$A$2:$V$2,0)),"")
+IF(OR(INDEX('Infos Clientes'!$A$2:$V$9884,MATCH($C119,'Infos Clientes'!$B$2:$B$9884,0),MATCH("Tempo de Fidelidade (meses)",'Infos Clientes'!$A$2:$V$2,0))=0,R119&gt;=MAX(R:R)),0,
ROUND((MAX(R:R)-R119)/(365/12),0)),"")</f>
        <v>0</v>
      </c>
      <c r="R119" s="111">
        <v>45627</v>
      </c>
      <c r="S119" s="112">
        <v>0.02</v>
      </c>
      <c r="T119" s="113" t="str">
        <f>IF($H119="GIROSSOL II",AP119/INDEX('Resumo Operacional'!$A$1:$P$1103,17,MATCH('Detalhe Por UC'!$R119,'Resumo Operacional'!$A$1:$P$1,0)),
IF($H119="GIROSSOL II e III",AP119/INDEX('Resumo Operacional'!$A$1:$P$1103,17,MATCH('Detalhe Por UC'!$R119,'Resumo Operacional'!$A$1:$P$1,0)),
""))</f>
        <v/>
      </c>
      <c r="U119" s="113" t="str">
        <f>IF($H119="GIROSSOL III",AP119/INDEX('Resumo Operacional'!$A$1:$P$1103,53,MATCH('Detalhe Por UC'!$R119,'Resumo Operacional'!$A$1:$P$1,0)),
IF($H119="GIROSSOL II e III",AP119/INDEX('Resumo Operacional'!$A$1:$P$1103,53,MATCH('Detalhe Por UC'!$R119,'Resumo Operacional'!$A$1:$P$1,0)),
""))</f>
        <v/>
      </c>
      <c r="V119" s="67"/>
      <c r="W119" s="67"/>
      <c r="X119" s="67">
        <v>1.1199053269635793</v>
      </c>
      <c r="Y119" s="66"/>
      <c r="Z119" s="66">
        <v>1.1199059999737246</v>
      </c>
      <c r="AA119" s="66"/>
      <c r="AB119" s="68">
        <v>945</v>
      </c>
      <c r="AC119" s="122"/>
      <c r="AD119" s="69">
        <v>739</v>
      </c>
      <c r="AE119" s="35"/>
      <c r="AF119" s="69">
        <v>0</v>
      </c>
      <c r="AG119" s="120"/>
      <c r="AH119" s="119">
        <v>0</v>
      </c>
      <c r="AI119" s="38"/>
      <c r="AJ119" s="38"/>
      <c r="AK119" s="21"/>
      <c r="AL119" s="38"/>
      <c r="AM119" s="1"/>
      <c r="AN119" s="71">
        <f t="shared" si="47"/>
        <v>0</v>
      </c>
      <c r="AO119" s="71">
        <f t="shared" si="48"/>
        <v>0</v>
      </c>
      <c r="AP119" s="71">
        <f t="shared" si="49"/>
        <v>739</v>
      </c>
      <c r="AQ119" s="72" t="e">
        <f>IF(OR($H119="GIROSSOL II",$H119="GIROSSOL II e III"),INDEX('Resumo Operacional'!$A$1:$P$1103,MATCH("Energia Injetada prevista total Fatura da Usina (TUSD)",'Resumo Operacional'!$B$1:$B$1103,0),MATCH('Detalhe Por UC'!$R119,'Resumo Operacional'!$A$1:$P$1,0))*$S119,INDEX('Resumo Operacional'!$A$1:$P$1103,53,MATCH('Detalhe Por UC'!$R119,'Resumo Operacional'!$A$1:$P$1,0))*$S119)</f>
        <v>#N/A</v>
      </c>
      <c r="AR119" s="71" t="e">
        <f t="shared" si="50"/>
        <v>#N/A</v>
      </c>
      <c r="AS119" s="73">
        <f t="shared" si="51"/>
        <v>230.69999999999993</v>
      </c>
      <c r="AT119" s="74">
        <f t="shared" si="52"/>
        <v>230.69999999999993</v>
      </c>
      <c r="AU119" s="74">
        <f t="shared" si="53"/>
        <v>1.11990667298387</v>
      </c>
      <c r="AV119" s="74">
        <f t="shared" si="54"/>
        <v>620.70790048543688</v>
      </c>
      <c r="AW119" s="74">
        <f t="shared" si="55"/>
        <v>0</v>
      </c>
      <c r="AX119" s="74">
        <f t="shared" si="56"/>
        <v>827.61053398058255</v>
      </c>
      <c r="AY119" s="74">
        <f t="shared" si="57"/>
        <v>620.71</v>
      </c>
      <c r="AZ119" s="49"/>
      <c r="BA119" s="49"/>
      <c r="BB119" s="49"/>
      <c r="BC119" s="73" t="str">
        <f t="shared" si="58"/>
        <v/>
      </c>
      <c r="BD119" s="73">
        <f t="shared" si="59"/>
        <v>1058.3105339805825</v>
      </c>
      <c r="BE119" s="73">
        <f t="shared" si="60"/>
        <v>851.40790048543681</v>
      </c>
      <c r="BF119" s="77">
        <f t="shared" si="61"/>
        <v>206.9</v>
      </c>
      <c r="BG119" s="77">
        <f t="shared" si="62"/>
        <v>62.07</v>
      </c>
      <c r="BH119" s="77">
        <f t="shared" si="63"/>
        <v>827.61053398058255</v>
      </c>
      <c r="BI119" s="78">
        <f t="shared" si="64"/>
        <v>0.25</v>
      </c>
      <c r="BJ119" s="79">
        <f t="shared" si="65"/>
        <v>0.19550027459501423</v>
      </c>
      <c r="BK119" s="80">
        <f t="shared" si="66"/>
        <v>851.41</v>
      </c>
      <c r="BL119" s="80">
        <f t="shared" si="67"/>
        <v>206.90053398058251</v>
      </c>
      <c r="BM119" s="79">
        <f t="shared" si="68"/>
        <v>0.19550077915446568</v>
      </c>
      <c r="BN119" s="81">
        <f t="shared" si="69"/>
        <v>0.83993234100135328</v>
      </c>
      <c r="BO119" s="82">
        <f t="shared" si="70"/>
        <v>620.71</v>
      </c>
      <c r="BP119" s="81">
        <f t="shared" si="71"/>
        <v>0.83993234100135328</v>
      </c>
      <c r="BQ119" s="81">
        <f t="shared" si="72"/>
        <v>0.83993166799120789</v>
      </c>
      <c r="BR119" s="81">
        <f t="shared" si="73"/>
        <v>1.1199053269635793</v>
      </c>
      <c r="BS119" s="82">
        <f t="shared" si="74"/>
        <v>739</v>
      </c>
      <c r="BT119" s="82">
        <f t="shared" si="75"/>
        <v>827.61003662608505</v>
      </c>
      <c r="BU119" s="82">
        <f t="shared" si="76"/>
        <v>827.61053398058255</v>
      </c>
      <c r="BV119"/>
      <c r="BW119" s="82">
        <f>IFERROR(INDEX('Infos Clientes'!$T:$T,MATCH('Detalhe Por UC'!$C119,'Infos Clientes'!B:B,0)),"")</f>
        <v>958.25</v>
      </c>
      <c r="BX119" s="83">
        <f t="shared" si="77"/>
        <v>0</v>
      </c>
      <c r="BY119" s="84">
        <f t="shared" si="78"/>
        <v>0.24999761339779436</v>
      </c>
      <c r="BZ119" s="85">
        <f>IF(_xlfn.MINIFS('Detalhe Por UC'!R:R,'Detalhe Por UC'!C:C,C119,'Detalhe Por UC'!AD:AD,"&gt;"&amp;0)=0,"",_xlfn.MINIFS('Detalhe Por UC'!R:R,'Detalhe Por UC'!C:C,C119,'Detalhe Por UC'!AD:AD,"&gt;"&amp;0))</f>
        <v>45627</v>
      </c>
      <c r="CA119" s="114">
        <f ca="1">IF(OR(S119&gt;0,AD119&gt;0),IFERROR(
SUMIFS(INDIRECT("'Infos Clientes'!$W"&amp;INDEX('Infos Clientes'!$C:$C,MATCH(C119,'Infos Clientes'!$H:$H,0))&amp;":$CZ"&amp;INDEX('Infos Clientes'!$C:$C,MATCH(C119,'Infos Clientes'!$H:$H,0))),'Infos Clientes'!$W$2:$CZ$2,"&gt;"&amp;$R119-365,'Infos Clientes'!$W$2:$CZ$2,"&lt;="&amp;$R119)/
COUNTIFS(INDIRECT("'Infos Clientes'!$W"&amp;INDEX('Infos Clientes'!$C:$C,MATCH(C119,'Infos Clientes'!$H:$H,0))&amp;":$CZ"&amp;INDEX('Infos Clientes'!$C:$C,MATCH(C119,'Infos Clientes'!$H:$H,0))),"&gt;="&amp;0,'Infos Clientes'!$W$2:$CZ$2,"&gt;"&amp;$R119-365,'Infos Clientes'!$W$2:$CZ$2,"&lt;="&amp;$R119),""),"")</f>
        <v>922.33333333333337</v>
      </c>
      <c r="CB119" s="87">
        <f>VLOOKUP(C119,'Infos Clientes'!B:L,11,0)</f>
        <v>0</v>
      </c>
      <c r="CC119" s="88" t="str">
        <f t="shared" si="79"/>
        <v>A Unidade Consumidora 10/18015-8 economizou R$206,9 na fatura referente à dez/2024  consumindo 739 kWh em créditos de energia renovável conforme fatura de energia. A economia foi de 25% em relação ao que seria pago para a Energisa considerando os créditos consumidos. Atenção: Mantenha as contas da Energisa em dia para evitar cortes.</v>
      </c>
      <c r="CD119" s="40" t="s">
        <v>63</v>
      </c>
      <c r="CF119" s="115">
        <f t="shared" si="80"/>
        <v>-230.69999999999993</v>
      </c>
    </row>
    <row r="120" spans="1:84" s="40" customFormat="1" ht="16.2" hidden="1" customHeight="1" x14ac:dyDescent="0.3">
      <c r="A120" s="105" t="str">
        <f>INDEX('Infos Clientes'!$D:$D,MATCH('Detalhe Por UC'!C120,'Infos Clientes'!B:B,0))</f>
        <v>IGREJA DO EVANGELHO QUADRANGULAR</v>
      </c>
      <c r="B120" s="106" t="str">
        <f>INDEX('Infos Clientes'!$F:$F,MATCH('Detalhe Por UC'!C120,'Infos Clientes'!B:B,0))</f>
        <v>62.955.505/2157-91</v>
      </c>
      <c r="C120" s="31" t="s">
        <v>64</v>
      </c>
      <c r="D120" t="s">
        <v>351</v>
      </c>
      <c r="E120" s="1" t="s">
        <v>352</v>
      </c>
      <c r="F120" s="56" t="str">
        <f>INDEX('Infos Clientes'!$I:$I,MATCH('Detalhe Por UC'!C120,'Infos Clientes'!B:B,0))</f>
        <v>BT</v>
      </c>
      <c r="G120" s="56" t="str">
        <f>INDEX('Infos Clientes'!$J:$J,MATCH('Detalhe Por UC'!C120,'Infos Clientes'!B:B,0))</f>
        <v>trifasico</v>
      </c>
      <c r="H120" s="47"/>
      <c r="I120" s="58">
        <f>IFERROR(VLOOKUP(C120,'Infos Clientes'!B:E,4,),"")</f>
        <v>349</v>
      </c>
      <c r="J120" s="109">
        <v>0.25</v>
      </c>
      <c r="K120" s="59">
        <f>INDEX('Infos Clientes'!$M:$M,MATCH('Detalhe Por UC'!C120,'Infos Clientes'!B:B,0))</f>
        <v>0.25</v>
      </c>
      <c r="L120" s="110">
        <v>0</v>
      </c>
      <c r="M120" s="56">
        <f>INDEX('Infos Clientes'!$N:$N,MATCH('Detalhe Por UC'!C120,'Infos Clientes'!B:B,0))</f>
        <v>0</v>
      </c>
      <c r="N120" s="56">
        <f t="shared" si="44"/>
        <v>0</v>
      </c>
      <c r="O120" s="56">
        <f t="shared" si="45"/>
        <v>12</v>
      </c>
      <c r="P120" s="56">
        <f t="shared" si="46"/>
        <v>0</v>
      </c>
      <c r="Q120" s="61">
        <f>IFERROR(IFERROR(INDEX('Infos Clientes'!$A$2:$V$9884,MATCH($C120,'Infos Clientes'!$B$2:$B$9884,0),MATCH(Q$8,'Infos Clientes'!$A$2:$V$2,0)),"")
+IF(OR(INDEX('Infos Clientes'!$A$2:$V$9884,MATCH($C120,'Infos Clientes'!$B$2:$B$9884,0),MATCH("Tempo de Fidelidade (meses)",'Infos Clientes'!$A$2:$V$2,0))=0,R120&gt;=MAX(R:R)),0,
ROUND((MAX(R:R)-R120)/(365/12),0)),"")</f>
        <v>0</v>
      </c>
      <c r="R120" s="111">
        <v>45627</v>
      </c>
      <c r="S120" s="112">
        <v>0.01</v>
      </c>
      <c r="T120" s="113" t="str">
        <f>IF($H120="GIROSSOL II",AP120/INDEX('Resumo Operacional'!$A$1:$P$1103,17,MATCH('Detalhe Por UC'!$R120,'Resumo Operacional'!$A$1:$P$1,0)),
IF($H120="GIROSSOL II e III",AP120/INDEX('Resumo Operacional'!$A$1:$P$1103,17,MATCH('Detalhe Por UC'!$R120,'Resumo Operacional'!$A$1:$P$1,0)),
""))</f>
        <v/>
      </c>
      <c r="U120" s="113" t="str">
        <f>IF($H120="GIROSSOL III",AP120/INDEX('Resumo Operacional'!$A$1:$P$1103,53,MATCH('Detalhe Por UC'!$R120,'Resumo Operacional'!$A$1:$P$1,0)),
IF($H120="GIROSSOL II e III",AP120/INDEX('Resumo Operacional'!$A$1:$P$1103,53,MATCH('Detalhe Por UC'!$R120,'Resumo Operacional'!$A$1:$P$1,0)),
""))</f>
        <v/>
      </c>
      <c r="V120" s="67"/>
      <c r="W120" s="67"/>
      <c r="X120" s="67">
        <v>1.1193762522146609</v>
      </c>
      <c r="Y120" s="66"/>
      <c r="Z120" s="66">
        <v>1.1193635541160771</v>
      </c>
      <c r="AA120" s="66"/>
      <c r="AB120" s="68">
        <v>984</v>
      </c>
      <c r="AC120" s="122"/>
      <c r="AD120" s="69">
        <v>493</v>
      </c>
      <c r="AE120" s="35"/>
      <c r="AF120" s="69">
        <v>0</v>
      </c>
      <c r="AG120" s="120"/>
      <c r="AH120" s="119">
        <v>196.11</v>
      </c>
      <c r="AI120" s="38"/>
      <c r="AJ120" s="38"/>
      <c r="AK120" s="21"/>
      <c r="AL120" s="38"/>
      <c r="AM120" s="1"/>
      <c r="AN120" s="71">
        <f t="shared" si="47"/>
        <v>0</v>
      </c>
      <c r="AO120" s="71">
        <f t="shared" si="48"/>
        <v>0</v>
      </c>
      <c r="AP120" s="71">
        <f t="shared" si="49"/>
        <v>493</v>
      </c>
      <c r="AQ120" s="72" t="e">
        <f>IF(OR($H120="GIROSSOL II",$H120="GIROSSOL II e III"),INDEX('Resumo Operacional'!$A$1:$P$1103,MATCH("Energia Injetada prevista total Fatura da Usina (TUSD)",'Resumo Operacional'!$B$1:$B$1103,0),MATCH('Detalhe Por UC'!$R120,'Resumo Operacional'!$A$1:$P$1,0))*$S120,INDEX('Resumo Operacional'!$A$1:$P$1103,53,MATCH('Detalhe Por UC'!$R120,'Resumo Operacional'!$A$1:$P$1,0))*$S120)</f>
        <v>#N/A</v>
      </c>
      <c r="AR120" s="71" t="e">
        <f t="shared" si="50"/>
        <v>#N/A</v>
      </c>
      <c r="AS120" s="73">
        <f t="shared" si="51"/>
        <v>745.73000000000036</v>
      </c>
      <c r="AT120" s="74">
        <f t="shared" si="52"/>
        <v>745.73000000000036</v>
      </c>
      <c r="AU120" s="74">
        <f t="shared" si="53"/>
        <v>1.1193508560174934</v>
      </c>
      <c r="AV120" s="74">
        <f t="shared" si="54"/>
        <v>413.88467413441947</v>
      </c>
      <c r="AW120" s="74">
        <f t="shared" si="55"/>
        <v>0</v>
      </c>
      <c r="AX120" s="74">
        <f t="shared" si="56"/>
        <v>551.84623217922604</v>
      </c>
      <c r="AY120" s="74">
        <f t="shared" si="57"/>
        <v>413.88</v>
      </c>
      <c r="AZ120" s="49"/>
      <c r="BA120" s="49"/>
      <c r="BB120" s="49"/>
      <c r="BC120" s="73" t="str">
        <f t="shared" si="58"/>
        <v/>
      </c>
      <c r="BD120" s="73">
        <f t="shared" si="59"/>
        <v>1297.5762321792263</v>
      </c>
      <c r="BE120" s="73">
        <f t="shared" si="60"/>
        <v>1159.6146741344198</v>
      </c>
      <c r="BF120" s="77">
        <f t="shared" si="61"/>
        <v>137.96</v>
      </c>
      <c r="BG120" s="77">
        <f t="shared" si="62"/>
        <v>41.387999999999998</v>
      </c>
      <c r="BH120" s="77">
        <f t="shared" si="63"/>
        <v>551.84623217922604</v>
      </c>
      <c r="BI120" s="78">
        <f t="shared" si="64"/>
        <v>0.25</v>
      </c>
      <c r="BJ120" s="79">
        <f t="shared" si="65"/>
        <v>0.10632130627755243</v>
      </c>
      <c r="BK120" s="80">
        <f t="shared" si="66"/>
        <v>1159.6100000000004</v>
      </c>
      <c r="BL120" s="80">
        <f t="shared" si="67"/>
        <v>137.96623217922593</v>
      </c>
      <c r="BM120" s="79">
        <f t="shared" si="68"/>
        <v>0.10632610921634814</v>
      </c>
      <c r="BN120" s="81">
        <f t="shared" si="69"/>
        <v>0.83951318458417845</v>
      </c>
      <c r="BO120" s="82">
        <f t="shared" si="70"/>
        <v>413.88</v>
      </c>
      <c r="BP120" s="81">
        <f t="shared" si="71"/>
        <v>0.83951318458417845</v>
      </c>
      <c r="BQ120" s="81">
        <f t="shared" si="72"/>
        <v>0.83952588268276218</v>
      </c>
      <c r="BR120" s="81">
        <f t="shared" si="73"/>
        <v>1.1193762522146609</v>
      </c>
      <c r="BS120" s="82">
        <f t="shared" si="74"/>
        <v>493</v>
      </c>
      <c r="BT120" s="82">
        <f t="shared" si="75"/>
        <v>551.85249234182777</v>
      </c>
      <c r="BU120" s="82">
        <f t="shared" si="76"/>
        <v>551.84623217922604</v>
      </c>
      <c r="BV120"/>
      <c r="BW120" s="82">
        <f>IFERROR(INDEX('Infos Clientes'!$T:$T,MATCH('Detalhe Por UC'!$C120,'Infos Clientes'!B:B,0)),"")</f>
        <v>802.5</v>
      </c>
      <c r="BX120" s="83">
        <f t="shared" si="77"/>
        <v>0</v>
      </c>
      <c r="BY120" s="84">
        <f t="shared" si="78"/>
        <v>0.25000563392176756</v>
      </c>
      <c r="BZ120" s="85">
        <f>IF(_xlfn.MINIFS('Detalhe Por UC'!R:R,'Detalhe Por UC'!C:C,C120,'Detalhe Por UC'!AD:AD,"&gt;"&amp;0)=0,"",_xlfn.MINIFS('Detalhe Por UC'!R:R,'Detalhe Por UC'!C:C,C120,'Detalhe Por UC'!AD:AD,"&gt;"&amp;0))</f>
        <v>45627</v>
      </c>
      <c r="CA120" s="114">
        <f ca="1">IF(OR(S120&gt;0,AD120&gt;0),IFERROR(
SUMIFS(INDIRECT("'Infos Clientes'!$W"&amp;INDEX('Infos Clientes'!$C:$C,MATCH(C120,'Infos Clientes'!$H:$H,0))&amp;":$CZ"&amp;INDEX('Infos Clientes'!$C:$C,MATCH(C120,'Infos Clientes'!$H:$H,0))),'Infos Clientes'!$W$2:$CZ$2,"&gt;"&amp;$R120-365,'Infos Clientes'!$W$2:$CZ$2,"&lt;="&amp;$R120)/
COUNTIFS(INDIRECT("'Infos Clientes'!$W"&amp;INDEX('Infos Clientes'!$C:$C,MATCH(C120,'Infos Clientes'!$H:$H,0))&amp;":$CZ"&amp;INDEX('Infos Clientes'!$C:$C,MATCH(C120,'Infos Clientes'!$H:$H,0))),"&gt;="&amp;0,'Infos Clientes'!$W$2:$CZ$2,"&gt;"&amp;$R120-365,'Infos Clientes'!$W$2:$CZ$2,"&lt;="&amp;$R120),""),"")</f>
        <v>812.33333333333337</v>
      </c>
      <c r="CB120" s="87">
        <f>VLOOKUP(C120,'Infos Clientes'!B:L,11,0)</f>
        <v>0</v>
      </c>
      <c r="CC120" s="88" t="str">
        <f t="shared" si="79"/>
        <v>A Unidade Consumidora 10/191945-5 economizou R$137,96 na fatura referente à dez/2024  consumindo 493 kWh em créditos de energia renovável conforme fatura de energia. A economia foi de 25% em relação ao que seria pago para a Energisa considerando os créditos consumidos. Atenção: Mantenha as contas da Energisa em dia para evitar cortes.</v>
      </c>
      <c r="CD120" s="40" t="s">
        <v>66</v>
      </c>
      <c r="CF120" s="115">
        <f t="shared" si="80"/>
        <v>-745.73000000000036</v>
      </c>
    </row>
    <row r="121" spans="1:84" s="40" customFormat="1" ht="16.2" hidden="1" customHeight="1" x14ac:dyDescent="0.3">
      <c r="A121" s="105" t="str">
        <f>INDEX('Infos Clientes'!$D:$D,MATCH('Detalhe Por UC'!C121,'Infos Clientes'!B:B,0))</f>
        <v>IGREJA DO EVANGELHO QUADRANGULAR</v>
      </c>
      <c r="B121" s="106" t="str">
        <f>INDEX('Infos Clientes'!$F:$F,MATCH('Detalhe Por UC'!C121,'Infos Clientes'!B:B,0))</f>
        <v>62.955.505/4194-43</v>
      </c>
      <c r="C121" s="31" t="s">
        <v>67</v>
      </c>
      <c r="D121" t="s">
        <v>351</v>
      </c>
      <c r="E121" s="1" t="s">
        <v>352</v>
      </c>
      <c r="F121" s="56" t="str">
        <f>INDEX('Infos Clientes'!$I:$I,MATCH('Detalhe Por UC'!C121,'Infos Clientes'!B:B,0))</f>
        <v>BT</v>
      </c>
      <c r="G121" s="56" t="str">
        <f>INDEX('Infos Clientes'!$J:$J,MATCH('Detalhe Por UC'!C121,'Infos Clientes'!B:B,0))</f>
        <v>bifasico</v>
      </c>
      <c r="H121" s="47"/>
      <c r="I121" s="58">
        <f>IFERROR(VLOOKUP(C121,'Infos Clientes'!B:E,4,),"")</f>
        <v>331</v>
      </c>
      <c r="J121" s="109">
        <v>0.25</v>
      </c>
      <c r="K121" s="59">
        <f>INDEX('Infos Clientes'!$M:$M,MATCH('Detalhe Por UC'!C121,'Infos Clientes'!B:B,0))</f>
        <v>0.25</v>
      </c>
      <c r="L121" s="110">
        <v>0</v>
      </c>
      <c r="M121" s="56">
        <f>INDEX('Infos Clientes'!$N:$N,MATCH('Detalhe Por UC'!C121,'Infos Clientes'!B:B,0))</f>
        <v>0</v>
      </c>
      <c r="N121" s="56">
        <f t="shared" si="44"/>
        <v>0</v>
      </c>
      <c r="O121" s="56">
        <f t="shared" si="45"/>
        <v>12</v>
      </c>
      <c r="P121" s="56">
        <f t="shared" si="46"/>
        <v>0</v>
      </c>
      <c r="Q121" s="61">
        <f>IFERROR(IFERROR(INDEX('Infos Clientes'!$A$2:$V$9884,MATCH($C121,'Infos Clientes'!$B$2:$B$9884,0),MATCH(Q$8,'Infos Clientes'!$A$2:$V$2,0)),"")
+IF(OR(INDEX('Infos Clientes'!$A$2:$V$9884,MATCH($C121,'Infos Clientes'!$B$2:$B$9884,0),MATCH("Tempo de Fidelidade (meses)",'Infos Clientes'!$A$2:$V$2,0))=0,R121&gt;=MAX(R:R)),0,
ROUND((MAX(R:R)-R121)/(365/12),0)),"")</f>
        <v>0</v>
      </c>
      <c r="R121" s="111">
        <v>45627</v>
      </c>
      <c r="S121" s="112">
        <v>0.02</v>
      </c>
      <c r="T121" s="113" t="str">
        <f>IF($H121="GIROSSOL II",AP121/INDEX('Resumo Operacional'!$A$1:$P$1103,17,MATCH('Detalhe Por UC'!$R121,'Resumo Operacional'!$A$1:$P$1,0)),
IF($H121="GIROSSOL II e III",AP121/INDEX('Resumo Operacional'!$A$1:$P$1103,17,MATCH('Detalhe Por UC'!$R121,'Resumo Operacional'!$A$1:$P$1,0)),
""))</f>
        <v/>
      </c>
      <c r="U121" s="113" t="str">
        <f>IF($H121="GIROSSOL III",AP121/INDEX('Resumo Operacional'!$A$1:$P$1103,53,MATCH('Detalhe Por UC'!$R121,'Resumo Operacional'!$A$1:$P$1,0)),
IF($H121="GIROSSOL II e III",AP121/INDEX('Resumo Operacional'!$A$1:$P$1103,53,MATCH('Detalhe Por UC'!$R121,'Resumo Operacional'!$A$1:$P$1,0)),
""))</f>
        <v/>
      </c>
      <c r="V121" s="67"/>
      <c r="W121" s="67"/>
      <c r="X121" s="67">
        <v>1.1286527716186252</v>
      </c>
      <c r="Y121" s="67"/>
      <c r="Z121" s="66">
        <v>1.1286344139650872</v>
      </c>
      <c r="AA121" s="66"/>
      <c r="AB121" s="68">
        <v>451</v>
      </c>
      <c r="AC121" s="69"/>
      <c r="AD121" s="69">
        <v>401</v>
      </c>
      <c r="AE121" s="35"/>
      <c r="AF121" s="69">
        <v>393</v>
      </c>
      <c r="AG121" s="120"/>
      <c r="AH121" s="119">
        <v>44.4</v>
      </c>
      <c r="AI121" s="38"/>
      <c r="AJ121" s="38"/>
      <c r="AK121" s="21"/>
      <c r="AL121" s="38"/>
      <c r="AM121" s="1"/>
      <c r="AN121" s="71">
        <f t="shared" si="47"/>
        <v>393</v>
      </c>
      <c r="AO121" s="71">
        <f t="shared" si="48"/>
        <v>0</v>
      </c>
      <c r="AP121" s="71">
        <f t="shared" si="49"/>
        <v>794</v>
      </c>
      <c r="AQ121" s="72" t="e">
        <f>IF(OR($H121="GIROSSOL II",$H121="GIROSSOL II e III"),INDEX('Resumo Operacional'!$A$1:$P$1103,MATCH("Energia Injetada prevista total Fatura da Usina (TUSD)",'Resumo Operacional'!$B$1:$B$1103,0),MATCH('Detalhe Por UC'!$R121,'Resumo Operacional'!$A$1:$P$1,0))*$S121,INDEX('Resumo Operacional'!$A$1:$P$1103,53,MATCH('Detalhe Por UC'!$R121,'Resumo Operacional'!$A$1:$P$1,0))*$S121)</f>
        <v>#N/A</v>
      </c>
      <c r="AR121" s="71" t="e">
        <f t="shared" si="50"/>
        <v>#N/A</v>
      </c>
      <c r="AS121" s="73">
        <f t="shared" si="51"/>
        <v>100.83999999999995</v>
      </c>
      <c r="AT121" s="74">
        <f t="shared" si="52"/>
        <v>100.83999999999995</v>
      </c>
      <c r="AU121" s="74">
        <f t="shared" si="53"/>
        <v>1.1286160563115493</v>
      </c>
      <c r="AV121" s="74">
        <f t="shared" si="54"/>
        <v>339.43680000000001</v>
      </c>
      <c r="AW121" s="74">
        <f t="shared" si="55"/>
        <v>0</v>
      </c>
      <c r="AX121" s="74">
        <f t="shared" si="56"/>
        <v>452.58240000000001</v>
      </c>
      <c r="AY121" s="74">
        <f t="shared" si="57"/>
        <v>339.44</v>
      </c>
      <c r="AZ121" s="49"/>
      <c r="BA121" s="49"/>
      <c r="BB121" s="49"/>
      <c r="BC121" s="73" t="str">
        <f t="shared" si="58"/>
        <v/>
      </c>
      <c r="BD121" s="73">
        <f t="shared" si="59"/>
        <v>553.42239999999993</v>
      </c>
      <c r="BE121" s="73">
        <f t="shared" si="60"/>
        <v>440.27679999999998</v>
      </c>
      <c r="BF121" s="77">
        <f t="shared" si="61"/>
        <v>113.15</v>
      </c>
      <c r="BG121" s="77">
        <f t="shared" si="62"/>
        <v>33.945</v>
      </c>
      <c r="BH121" s="77">
        <f t="shared" si="63"/>
        <v>452.58239999999995</v>
      </c>
      <c r="BI121" s="78">
        <f t="shared" si="64"/>
        <v>0.25</v>
      </c>
      <c r="BJ121" s="79">
        <f t="shared" si="65"/>
        <v>0.20445504193541864</v>
      </c>
      <c r="BK121" s="80">
        <f t="shared" si="66"/>
        <v>440.28</v>
      </c>
      <c r="BL121" s="80">
        <f t="shared" si="67"/>
        <v>113.14239999999995</v>
      </c>
      <c r="BM121" s="79">
        <f t="shared" si="68"/>
        <v>0.20444130920613254</v>
      </c>
      <c r="BN121" s="81">
        <f t="shared" si="69"/>
        <v>0.84648379052369072</v>
      </c>
      <c r="BO121" s="82">
        <f t="shared" si="70"/>
        <v>339.44</v>
      </c>
      <c r="BP121" s="81">
        <f t="shared" si="71"/>
        <v>0.84648379052369072</v>
      </c>
      <c r="BQ121" s="81">
        <f t="shared" si="72"/>
        <v>0.84650214817722869</v>
      </c>
      <c r="BR121" s="81">
        <f t="shared" si="73"/>
        <v>1.1286527716186252</v>
      </c>
      <c r="BS121" s="82">
        <f t="shared" si="74"/>
        <v>401</v>
      </c>
      <c r="BT121" s="82">
        <f t="shared" si="75"/>
        <v>452.58976141906868</v>
      </c>
      <c r="BU121" s="82">
        <f t="shared" si="76"/>
        <v>452.58240000000001</v>
      </c>
      <c r="BV121"/>
      <c r="BW121" s="82">
        <f>IFERROR(INDEX('Infos Clientes'!$T:$T,MATCH('Detalhe Por UC'!$C121,'Infos Clientes'!B:B,0)),"")</f>
        <v>372.25</v>
      </c>
      <c r="BX121" s="83">
        <f t="shared" si="77"/>
        <v>0</v>
      </c>
      <c r="BY121" s="84">
        <f t="shared" si="78"/>
        <v>0.2499888633035989</v>
      </c>
      <c r="BZ121" s="85">
        <f>IF(_xlfn.MINIFS('Detalhe Por UC'!R:R,'Detalhe Por UC'!C:C,C121,'Detalhe Por UC'!AD:AD,"&gt;"&amp;0)=0,"",_xlfn.MINIFS('Detalhe Por UC'!R:R,'Detalhe Por UC'!C:C,C121,'Detalhe Por UC'!AD:AD,"&gt;"&amp;0))</f>
        <v>45627</v>
      </c>
      <c r="CA121" s="114">
        <f ca="1">IF(OR(S121&gt;0,AD121&gt;0),IFERROR(
SUMIFS(INDIRECT("'Infos Clientes'!$W"&amp;INDEX('Infos Clientes'!$C:$C,MATCH(C121,'Infos Clientes'!$H:$H,0))&amp;":$CZ"&amp;INDEX('Infos Clientes'!$C:$C,MATCH(C121,'Infos Clientes'!$H:$H,0))),'Infos Clientes'!$W$2:$CZ$2,"&gt;"&amp;$R121-365,'Infos Clientes'!$W$2:$CZ$2,"&lt;="&amp;$R121)/
COUNTIFS(INDIRECT("'Infos Clientes'!$W"&amp;INDEX('Infos Clientes'!$C:$C,MATCH(C121,'Infos Clientes'!$H:$H,0))&amp;":$CZ"&amp;INDEX('Infos Clientes'!$C:$C,MATCH(C121,'Infos Clientes'!$H:$H,0))),"&gt;="&amp;0,'Infos Clientes'!$W$2:$CZ$2,"&gt;"&amp;$R121-365,'Infos Clientes'!$W$2:$CZ$2,"&lt;="&amp;$R121),""),"")</f>
        <v>387.08333333333331</v>
      </c>
      <c r="CB121" s="87">
        <f>VLOOKUP(C121,'Infos Clientes'!B:L,11,0)</f>
        <v>0</v>
      </c>
      <c r="CC121" s="88" t="str">
        <f t="shared" si="79"/>
        <v>A Unidade Consumidora 10/1939035-0 economizou R$113,15 na fatura referente à dez/2024  consumindo 401 kWh em créditos de energia renovável conforme fatura de energia. A economia foi de 25% em relação ao que seria pago para a Energisa considerando os créditos consumidos. Atenção: Mantenha as contas da Energisa em dia para evitar cortes.</v>
      </c>
      <c r="CD121" s="40" t="s">
        <v>69</v>
      </c>
      <c r="CF121" s="115">
        <f t="shared" si="80"/>
        <v>-100.83999999999995</v>
      </c>
    </row>
    <row r="122" spans="1:84" s="40" customFormat="1" ht="16.2" hidden="1" customHeight="1" x14ac:dyDescent="0.3">
      <c r="A122" s="105" t="str">
        <f>INDEX('Infos Clientes'!$D:$D,MATCH('Detalhe Por UC'!C122,'Infos Clientes'!B:B,0))</f>
        <v>IGREJA DO EVANGELHO QUADRANGULAR</v>
      </c>
      <c r="B122" s="106" t="str">
        <f>INDEX('Infos Clientes'!$F:$F,MATCH('Detalhe Por UC'!C122,'Infos Clientes'!B:B,0))</f>
        <v>62.955.505/0164-03</v>
      </c>
      <c r="C122" s="31" t="s">
        <v>70</v>
      </c>
      <c r="D122" t="s">
        <v>351</v>
      </c>
      <c r="E122" s="1" t="s">
        <v>352</v>
      </c>
      <c r="F122" s="56" t="str">
        <f>INDEX('Infos Clientes'!$I:$I,MATCH('Detalhe Por UC'!C122,'Infos Clientes'!B:B,0))</f>
        <v>BT</v>
      </c>
      <c r="G122" s="56" t="str">
        <f>INDEX('Infos Clientes'!$J:$J,MATCH('Detalhe Por UC'!C122,'Infos Clientes'!B:B,0))</f>
        <v>trifasico</v>
      </c>
      <c r="H122" s="47"/>
      <c r="I122" s="58">
        <f>IFERROR(VLOOKUP(C122,'Infos Clientes'!B:E,4,),"")</f>
        <v>371</v>
      </c>
      <c r="J122" s="109">
        <v>0.25</v>
      </c>
      <c r="K122" s="59">
        <f>INDEX('Infos Clientes'!$M:$M,MATCH('Detalhe Por UC'!C122,'Infos Clientes'!B:B,0))</f>
        <v>0.25</v>
      </c>
      <c r="L122" s="110">
        <v>0</v>
      </c>
      <c r="M122" s="56">
        <f>INDEX('Infos Clientes'!$N:$N,MATCH('Detalhe Por UC'!C122,'Infos Clientes'!B:B,0))</f>
        <v>0</v>
      </c>
      <c r="N122" s="56">
        <f t="shared" si="44"/>
        <v>0</v>
      </c>
      <c r="O122" s="56">
        <f t="shared" si="45"/>
        <v>12</v>
      </c>
      <c r="P122" s="56">
        <f t="shared" si="46"/>
        <v>0</v>
      </c>
      <c r="Q122" s="61">
        <f>IFERROR(IFERROR(INDEX('Infos Clientes'!$A$2:$V$9884,MATCH($C122,'Infos Clientes'!$B$2:$B$9884,0),MATCH(Q$8,'Infos Clientes'!$A$2:$V$2,0)),"")
+IF(OR(INDEX('Infos Clientes'!$A$2:$V$9884,MATCH($C122,'Infos Clientes'!$B$2:$B$9884,0),MATCH("Tempo de Fidelidade (meses)",'Infos Clientes'!$A$2:$V$2,0))=0,R122&gt;=MAX(R:R)),0,
ROUND((MAX(R:R)-R122)/(365/12),0)),"")</f>
        <v>0</v>
      </c>
      <c r="R122" s="111">
        <v>45627</v>
      </c>
      <c r="S122" s="112">
        <v>4.2000000000000003E-2</v>
      </c>
      <c r="T122" s="113" t="str">
        <f>IF($H122="GIROSSOL II",AP122/INDEX('Resumo Operacional'!$A$1:$P$1103,17,MATCH('Detalhe Por UC'!$R122,'Resumo Operacional'!$A$1:$P$1,0)),
IF($H122="GIROSSOL II e III",AP122/INDEX('Resumo Operacional'!$A$1:$P$1103,17,MATCH('Detalhe Por UC'!$R122,'Resumo Operacional'!$A$1:$P$1,0)),
""))</f>
        <v/>
      </c>
      <c r="U122" s="113" t="str">
        <f>IF($H122="GIROSSOL III",AP122/INDEX('Resumo Operacional'!$A$1:$P$1103,53,MATCH('Detalhe Por UC'!$R122,'Resumo Operacional'!$A$1:$P$1,0)),
IF($H122="GIROSSOL II e III",AP122/INDEX('Resumo Operacional'!$A$1:$P$1103,53,MATCH('Detalhe Por UC'!$R122,'Resumo Operacional'!$A$1:$P$1,0)),
""))</f>
        <v/>
      </c>
      <c r="V122" s="67"/>
      <c r="W122" s="67"/>
      <c r="X122" s="67">
        <v>1.1254098245614035</v>
      </c>
      <c r="Y122" s="66"/>
      <c r="Z122" s="66">
        <v>1.1254064069264069</v>
      </c>
      <c r="AA122" s="66"/>
      <c r="AB122" s="68">
        <v>760</v>
      </c>
      <c r="AC122" s="122"/>
      <c r="AD122" s="69">
        <v>385</v>
      </c>
      <c r="AE122" s="35"/>
      <c r="AF122" s="69">
        <v>0</v>
      </c>
      <c r="AG122" s="120"/>
      <c r="AH122" s="119">
        <v>182.34</v>
      </c>
      <c r="AI122" s="38"/>
      <c r="AJ122" s="38"/>
      <c r="AK122" s="21"/>
      <c r="AL122" s="38"/>
      <c r="AM122" s="1"/>
      <c r="AN122" s="71">
        <f t="shared" si="47"/>
        <v>0</v>
      </c>
      <c r="AO122" s="71">
        <f t="shared" si="48"/>
        <v>0</v>
      </c>
      <c r="AP122" s="71">
        <f t="shared" si="49"/>
        <v>385</v>
      </c>
      <c r="AQ122" s="72" t="e">
        <f>IF(OR($H122="GIROSSOL II",$H122="GIROSSOL II e III"),INDEX('Resumo Operacional'!$A$1:$P$1103,MATCH("Energia Injetada prevista total Fatura da Usina (TUSD)",'Resumo Operacional'!$B$1:$B$1103,0),MATCH('Detalhe Por UC'!$R122,'Resumo Operacional'!$A$1:$P$1,0))*$S122,INDEX('Resumo Operacional'!$A$1:$P$1103,53,MATCH('Detalhe Por UC'!$R122,'Resumo Operacional'!$A$1:$P$1,0))*$S122)</f>
        <v>#N/A</v>
      </c>
      <c r="AR122" s="71" t="e">
        <f t="shared" si="50"/>
        <v>#N/A</v>
      </c>
      <c r="AS122" s="73">
        <f t="shared" si="51"/>
        <v>604.37</v>
      </c>
      <c r="AT122" s="74">
        <f t="shared" si="52"/>
        <v>604.37</v>
      </c>
      <c r="AU122" s="74">
        <f t="shared" si="53"/>
        <v>1.1254029892914104</v>
      </c>
      <c r="AV122" s="74">
        <f t="shared" si="54"/>
        <v>324.96109999999999</v>
      </c>
      <c r="AW122" s="74">
        <f t="shared" si="55"/>
        <v>0</v>
      </c>
      <c r="AX122" s="74">
        <f t="shared" si="56"/>
        <v>433.28146666666669</v>
      </c>
      <c r="AY122" s="74">
        <f t="shared" si="57"/>
        <v>324.95999999999998</v>
      </c>
      <c r="AZ122" s="49"/>
      <c r="BA122" s="49"/>
      <c r="BB122" s="49"/>
      <c r="BC122" s="73" t="str">
        <f t="shared" si="58"/>
        <v/>
      </c>
      <c r="BD122" s="73">
        <f t="shared" si="59"/>
        <v>1037.6514666666667</v>
      </c>
      <c r="BE122" s="73">
        <f t="shared" si="60"/>
        <v>929.33109999999999</v>
      </c>
      <c r="BF122" s="77">
        <f t="shared" si="61"/>
        <v>108.32</v>
      </c>
      <c r="BG122" s="77">
        <f t="shared" si="62"/>
        <v>32.495999999999995</v>
      </c>
      <c r="BH122" s="77">
        <f t="shared" si="63"/>
        <v>433.28146666666669</v>
      </c>
      <c r="BI122" s="78">
        <f t="shared" si="64"/>
        <v>0.25</v>
      </c>
      <c r="BJ122" s="79">
        <f t="shared" si="65"/>
        <v>0.10438957923701034</v>
      </c>
      <c r="BK122" s="80">
        <f t="shared" si="66"/>
        <v>929.32999999999993</v>
      </c>
      <c r="BL122" s="80">
        <f t="shared" si="67"/>
        <v>108.32146666666677</v>
      </c>
      <c r="BM122" s="79">
        <f t="shared" si="68"/>
        <v>0.10439099268527682</v>
      </c>
      <c r="BN122" s="81">
        <f t="shared" si="69"/>
        <v>0.84405194805194805</v>
      </c>
      <c r="BO122" s="82">
        <f t="shared" si="70"/>
        <v>324.95999999999998</v>
      </c>
      <c r="BP122" s="81">
        <f t="shared" si="71"/>
        <v>0.84405194805194805</v>
      </c>
      <c r="BQ122" s="81">
        <f t="shared" si="72"/>
        <v>0.84405536568694461</v>
      </c>
      <c r="BR122" s="81">
        <f t="shared" si="73"/>
        <v>1.1254098245614035</v>
      </c>
      <c r="BS122" s="82">
        <f t="shared" si="74"/>
        <v>385</v>
      </c>
      <c r="BT122" s="82">
        <f t="shared" si="75"/>
        <v>433.28278245614035</v>
      </c>
      <c r="BU122" s="82">
        <f t="shared" si="76"/>
        <v>433.28146666666669</v>
      </c>
      <c r="BV122"/>
      <c r="BW122" s="82">
        <f>IFERROR(INDEX('Infos Clientes'!$T:$T,MATCH('Detalhe Por UC'!$C122,'Infos Clientes'!B:B,0)),"")</f>
        <v>796.66666666666663</v>
      </c>
      <c r="BX122" s="83">
        <f t="shared" si="77"/>
        <v>0</v>
      </c>
      <c r="BY122" s="84">
        <f t="shared" si="78"/>
        <v>0.25000177955982283</v>
      </c>
      <c r="BZ122" s="85">
        <f>IF(_xlfn.MINIFS('Detalhe Por UC'!R:R,'Detalhe Por UC'!C:C,C122,'Detalhe Por UC'!AD:AD,"&gt;"&amp;0)=0,"",_xlfn.MINIFS('Detalhe Por UC'!R:R,'Detalhe Por UC'!C:C,C122,'Detalhe Por UC'!AD:AD,"&gt;"&amp;0))</f>
        <v>45627</v>
      </c>
      <c r="CA122" s="114">
        <f ca="1">IF(OR(S122&gt;0,AD122&gt;0),IFERROR(
SUMIFS(INDIRECT("'Infos Clientes'!$W"&amp;INDEX('Infos Clientes'!$C:$C,MATCH(C122,'Infos Clientes'!$H:$H,0))&amp;":$CZ"&amp;INDEX('Infos Clientes'!$C:$C,MATCH(C122,'Infos Clientes'!$H:$H,0))),'Infos Clientes'!$W$2:$CZ$2,"&gt;"&amp;$R122-365,'Infos Clientes'!$W$2:$CZ$2,"&lt;="&amp;$R122)/
COUNTIFS(INDIRECT("'Infos Clientes'!$W"&amp;INDEX('Infos Clientes'!$C:$C,MATCH(C122,'Infos Clientes'!$H:$H,0))&amp;":$CZ"&amp;INDEX('Infos Clientes'!$C:$C,MATCH(C122,'Infos Clientes'!$H:$H,0))),"&gt;="&amp;0,'Infos Clientes'!$W$2:$CZ$2,"&gt;"&amp;$R122-365,'Infos Clientes'!$W$2:$CZ$2,"&lt;="&amp;$R122),""),"")</f>
        <v>816.66666666666663</v>
      </c>
      <c r="CB122" s="87">
        <f>VLOOKUP(C122,'Infos Clientes'!B:L,11,0)</f>
        <v>0</v>
      </c>
      <c r="CC122" s="88" t="str">
        <f t="shared" si="79"/>
        <v>A Unidade Consumidora 10/202838-9 economizou R$108,32 na fatura referente à dez/2024  consumindo 385 kWh em créditos de energia renovável conforme fatura de energia. A economia foi de 25% em relação ao que seria pago para a Energisa considerando os créditos consumidos. Atenção: Mantenha as contas da Energisa em dia para evitar cortes.</v>
      </c>
      <c r="CD122" s="40" t="s">
        <v>72</v>
      </c>
      <c r="CF122" s="115">
        <f t="shared" si="80"/>
        <v>-604.37</v>
      </c>
    </row>
    <row r="123" spans="1:84" s="40" customFormat="1" ht="16.2" hidden="1" customHeight="1" x14ac:dyDescent="0.3">
      <c r="A123" s="105" t="str">
        <f>INDEX('Infos Clientes'!$D:$D,MATCH('Detalhe Por UC'!C123,'Infos Clientes'!B:B,0))</f>
        <v>IGREJA DO EVANGELHO QUADRANGULAR</v>
      </c>
      <c r="B123" s="106" t="str">
        <f>INDEX('Infos Clientes'!$F:$F,MATCH('Detalhe Por UC'!C123,'Infos Clientes'!B:B,0))</f>
        <v>62.955.505/0170-51</v>
      </c>
      <c r="C123" s="31" t="s">
        <v>73</v>
      </c>
      <c r="D123" t="s">
        <v>351</v>
      </c>
      <c r="E123" s="1" t="s">
        <v>352</v>
      </c>
      <c r="F123" s="56" t="str">
        <f>INDEX('Infos Clientes'!$I:$I,MATCH('Detalhe Por UC'!C123,'Infos Clientes'!B:B,0))</f>
        <v>BT</v>
      </c>
      <c r="G123" s="56" t="str">
        <f>INDEX('Infos Clientes'!$J:$J,MATCH('Detalhe Por UC'!C123,'Infos Clientes'!B:B,0))</f>
        <v>bifasico</v>
      </c>
      <c r="H123" s="108" t="s">
        <v>24</v>
      </c>
      <c r="I123" s="58">
        <f>IFERROR(VLOOKUP(C123,'Infos Clientes'!B:E,4,),"")</f>
        <v>306</v>
      </c>
      <c r="J123" s="109">
        <v>0.25</v>
      </c>
      <c r="K123" s="59">
        <f>INDEX('Infos Clientes'!$M:$M,MATCH('Detalhe Por UC'!C123,'Infos Clientes'!B:B,0))</f>
        <v>0.25</v>
      </c>
      <c r="L123" s="110">
        <v>0</v>
      </c>
      <c r="M123" s="56">
        <f>INDEX('Infos Clientes'!$N:$N,MATCH('Detalhe Por UC'!C123,'Infos Clientes'!B:B,0))</f>
        <v>0</v>
      </c>
      <c r="N123" s="56">
        <f t="shared" si="44"/>
        <v>0</v>
      </c>
      <c r="O123" s="56">
        <f t="shared" si="45"/>
        <v>12</v>
      </c>
      <c r="P123" s="56">
        <f t="shared" si="46"/>
        <v>0</v>
      </c>
      <c r="Q123" s="61">
        <f>IFERROR(IFERROR(INDEX('Infos Clientes'!$A$2:$V$9884,MATCH($C123,'Infos Clientes'!$B$2:$B$9884,0),MATCH(Q$8,'Infos Clientes'!$A$2:$V$2,0)),"")
+IF(OR(INDEX('Infos Clientes'!$A$2:$V$9884,MATCH($C123,'Infos Clientes'!$B$2:$B$9884,0),MATCH("Tempo de Fidelidade (meses)",'Infos Clientes'!$A$2:$V$2,0))=0,R123&gt;=MAX(R:R)),0,
ROUND((MAX(R:R)-R123)/(365/12),0)),"")</f>
        <v>0</v>
      </c>
      <c r="R123" s="111">
        <v>45627</v>
      </c>
      <c r="S123" s="112">
        <v>0.01</v>
      </c>
      <c r="T123" s="113" t="e">
        <f>IF($H123="GIROSSOL II",AP123/INDEX('Resumo Operacional'!$A$1:$P$1103,17,MATCH('Detalhe Por UC'!$R123,'Resumo Operacional'!$A$1:$P$1,0)),
IF($H123="GIROSSOL II e III",AP123/INDEX('Resumo Operacional'!$A$1:$P$1103,17,MATCH('Detalhe Por UC'!$R123,'Resumo Operacional'!$A$1:$P$1,0)),
""))</f>
        <v>#N/A</v>
      </c>
      <c r="U123" s="113" t="str">
        <f>IF($H123="GIROSSOL III",AP123/INDEX('Resumo Operacional'!$A$1:$P$1103,53,MATCH('Detalhe Por UC'!$R123,'Resumo Operacional'!$A$1:$P$1,0)),
IF($H123="GIROSSOL II e III",AP123/INDEX('Resumo Operacional'!$A$1:$P$1103,53,MATCH('Detalhe Por UC'!$R123,'Resumo Operacional'!$A$1:$P$1,0)),
""))</f>
        <v/>
      </c>
      <c r="V123" s="67"/>
      <c r="W123" s="67"/>
      <c r="X123" s="67">
        <v>1.1362658227848101</v>
      </c>
      <c r="Y123" s="67"/>
      <c r="Z123" s="66">
        <v>1.1361111111111111</v>
      </c>
      <c r="AA123" s="66"/>
      <c r="AB123" s="68">
        <v>158</v>
      </c>
      <c r="AC123" s="69"/>
      <c r="AD123" s="69">
        <v>108</v>
      </c>
      <c r="AE123" s="35"/>
      <c r="AF123" s="69">
        <v>95</v>
      </c>
      <c r="AG123" s="120">
        <v>0</v>
      </c>
      <c r="AH123" s="119">
        <v>21.45</v>
      </c>
      <c r="AI123" s="38"/>
      <c r="AJ123" s="38"/>
      <c r="AK123" s="21"/>
      <c r="AL123" s="38"/>
      <c r="AM123" s="1"/>
      <c r="AN123" s="71">
        <f t="shared" si="47"/>
        <v>95</v>
      </c>
      <c r="AO123" s="71">
        <f t="shared" si="48"/>
        <v>0</v>
      </c>
      <c r="AP123" s="71">
        <f t="shared" si="49"/>
        <v>203</v>
      </c>
      <c r="AQ123" s="72" t="e">
        <f>IF(OR($H123="GIROSSOL II",$H123="GIROSSOL II e III"),INDEX('Resumo Operacional'!$A$1:$P$1103,MATCH("Energia Injetada prevista total Fatura da Usina (TUSD)",'Resumo Operacional'!$B$1:$B$1103,0),MATCH('Detalhe Por UC'!$R123,'Resumo Operacional'!$A$1:$P$1,0))*$S123,INDEX('Resumo Operacional'!$A$1:$P$1103,53,MATCH('Detalhe Por UC'!$R123,'Resumo Operacional'!$A$1:$P$1,0))*$S123)</f>
        <v>#N/A</v>
      </c>
      <c r="AR123" s="71" t="e">
        <f t="shared" si="50"/>
        <v>#N/A</v>
      </c>
      <c r="AS123" s="73">
        <f t="shared" si="51"/>
        <v>78.280000000000015</v>
      </c>
      <c r="AT123" s="74">
        <f t="shared" si="52"/>
        <v>78.280000000000015</v>
      </c>
      <c r="AU123" s="74">
        <f t="shared" si="53"/>
        <v>1.135956399437412</v>
      </c>
      <c r="AV123" s="74">
        <f t="shared" si="54"/>
        <v>92.024999999999991</v>
      </c>
      <c r="AW123" s="74">
        <f t="shared" si="55"/>
        <v>0</v>
      </c>
      <c r="AX123" s="74">
        <f t="shared" si="56"/>
        <v>122.69999999999999</v>
      </c>
      <c r="AY123" s="74">
        <f t="shared" si="57"/>
        <v>92.03</v>
      </c>
      <c r="AZ123" s="49"/>
      <c r="BA123" s="49"/>
      <c r="BB123" s="49"/>
      <c r="BC123" s="73" t="str">
        <f t="shared" si="58"/>
        <v/>
      </c>
      <c r="BD123" s="73">
        <f t="shared" si="59"/>
        <v>200.98</v>
      </c>
      <c r="BE123" s="73">
        <f t="shared" si="60"/>
        <v>170.30500000000001</v>
      </c>
      <c r="BF123" s="77">
        <f t="shared" si="61"/>
        <v>30.68</v>
      </c>
      <c r="BG123" s="77">
        <f t="shared" si="62"/>
        <v>9.2039999999999988</v>
      </c>
      <c r="BH123" s="77">
        <f t="shared" si="63"/>
        <v>122.7</v>
      </c>
      <c r="BI123" s="78">
        <f t="shared" si="64"/>
        <v>0.25</v>
      </c>
      <c r="BJ123" s="79">
        <f t="shared" si="65"/>
        <v>0.15265200517464425</v>
      </c>
      <c r="BK123" s="80">
        <f t="shared" si="66"/>
        <v>170.31</v>
      </c>
      <c r="BL123" s="80">
        <f t="shared" si="67"/>
        <v>30.669999999999987</v>
      </c>
      <c r="BM123" s="79">
        <f t="shared" si="68"/>
        <v>0.15260224897999797</v>
      </c>
      <c r="BN123" s="81">
        <f t="shared" si="69"/>
        <v>0.85212962962962968</v>
      </c>
      <c r="BO123" s="82">
        <f t="shared" si="70"/>
        <v>92.03</v>
      </c>
      <c r="BP123" s="81">
        <f t="shared" si="71"/>
        <v>0.85212962962962968</v>
      </c>
      <c r="BQ123" s="81">
        <f t="shared" si="72"/>
        <v>0.85228434130332875</v>
      </c>
      <c r="BR123" s="81">
        <f t="shared" si="73"/>
        <v>1.1362658227848101</v>
      </c>
      <c r="BS123" s="82">
        <f t="shared" si="74"/>
        <v>108</v>
      </c>
      <c r="BT123" s="82">
        <f t="shared" si="75"/>
        <v>122.7167088607595</v>
      </c>
      <c r="BU123" s="82">
        <f t="shared" si="76"/>
        <v>122.69999999999999</v>
      </c>
      <c r="BV123"/>
      <c r="BW123" s="82">
        <f>IFERROR(INDEX('Infos Clientes'!$T:$T,MATCH('Detalhe Por UC'!$C123,'Infos Clientes'!B:B,0)),"")</f>
        <v>153.91666666666666</v>
      </c>
      <c r="BX123" s="83">
        <f t="shared" si="77"/>
        <v>0</v>
      </c>
      <c r="BY123" s="84">
        <f t="shared" si="78"/>
        <v>0.24992521625396347</v>
      </c>
      <c r="BZ123" s="85">
        <f>IF(_xlfn.MINIFS('Detalhe Por UC'!R:R,'Detalhe Por UC'!C:C,C123,'Detalhe Por UC'!AD:AD,"&gt;"&amp;0)=0,"",_xlfn.MINIFS('Detalhe Por UC'!R:R,'Detalhe Por UC'!C:C,C123,'Detalhe Por UC'!AD:AD,"&gt;"&amp;0))</f>
        <v>45627</v>
      </c>
      <c r="CA123" s="114">
        <f ca="1">IF(OR(S123&gt;0,AD123&gt;0),IFERROR(
SUMIFS(INDIRECT("'Infos Clientes'!$W"&amp;INDEX('Infos Clientes'!$C:$C,MATCH(C123,'Infos Clientes'!$H:$H,0))&amp;":$CZ"&amp;INDEX('Infos Clientes'!$C:$C,MATCH(C123,'Infos Clientes'!$H:$H,0))),'Infos Clientes'!$W$2:$CZ$2,"&gt;"&amp;$R123-365,'Infos Clientes'!$W$2:$CZ$2,"&lt;="&amp;$R123)/
COUNTIFS(INDIRECT("'Infos Clientes'!$W"&amp;INDEX('Infos Clientes'!$C:$C,MATCH(C123,'Infos Clientes'!$H:$H,0))&amp;":$CZ"&amp;INDEX('Infos Clientes'!$C:$C,MATCH(C123,'Infos Clientes'!$H:$H,0))),"&gt;="&amp;0,'Infos Clientes'!$W$2:$CZ$2,"&gt;"&amp;$R123-365,'Infos Clientes'!$W$2:$CZ$2,"&lt;="&amp;$R123),""),"")</f>
        <v>154.41666666666666</v>
      </c>
      <c r="CB123" s="87">
        <f>VLOOKUP(C123,'Infos Clientes'!B:L,11,0)</f>
        <v>0</v>
      </c>
      <c r="CC123" s="88" t="str">
        <f t="shared" si="79"/>
        <v>A Unidade Consumidora 10/218777-1 economizou R$30,68 na fatura referente à dez/2024  consumindo 108 kWh em créditos de energia renovável conforme fatura de energia. A economia foi de 25% em relação ao que seria pago para a Energisa considerando os créditos consumidos. Atenção: Mantenha as contas da Energisa em dia para evitar cortes.</v>
      </c>
      <c r="CD123" s="40" t="s">
        <v>75</v>
      </c>
      <c r="CF123" s="115">
        <f t="shared" si="80"/>
        <v>-78.280000000000015</v>
      </c>
    </row>
    <row r="124" spans="1:84" s="40" customFormat="1" ht="16.2" hidden="1" customHeight="1" x14ac:dyDescent="0.3">
      <c r="A124" s="105" t="str">
        <f>INDEX('Infos Clientes'!$D:$D,MATCH('Detalhe Por UC'!C124,'Infos Clientes'!B:B,0))</f>
        <v>IGREJA DO EVANGELHO QUADRANGULAR</v>
      </c>
      <c r="B124" s="106" t="str">
        <f>INDEX('Infos Clientes'!$F:$F,MATCH('Detalhe Por UC'!C124,'Infos Clientes'!B:B,0))</f>
        <v>62.955.505/0408-94</v>
      </c>
      <c r="C124" s="31" t="s">
        <v>76</v>
      </c>
      <c r="D124" t="s">
        <v>351</v>
      </c>
      <c r="E124" s="1" t="s">
        <v>352</v>
      </c>
      <c r="F124" s="56" t="str">
        <f>INDEX('Infos Clientes'!$I:$I,MATCH('Detalhe Por UC'!C124,'Infos Clientes'!B:B,0))</f>
        <v>BT</v>
      </c>
      <c r="G124" s="56" t="str">
        <f>INDEX('Infos Clientes'!$J:$J,MATCH('Detalhe Por UC'!C124,'Infos Clientes'!B:B,0))</f>
        <v>bifasico</v>
      </c>
      <c r="H124" s="47"/>
      <c r="I124" s="58">
        <f>IFERROR(VLOOKUP(C124,'Infos Clientes'!B:E,4,),"")</f>
        <v>371</v>
      </c>
      <c r="J124" s="109">
        <v>0.25</v>
      </c>
      <c r="K124" s="59">
        <f>INDEX('Infos Clientes'!$M:$M,MATCH('Detalhe Por UC'!C124,'Infos Clientes'!B:B,0))</f>
        <v>0.25</v>
      </c>
      <c r="L124" s="110">
        <v>0</v>
      </c>
      <c r="M124" s="56">
        <f>INDEX('Infos Clientes'!$N:$N,MATCH('Detalhe Por UC'!C124,'Infos Clientes'!B:B,0))</f>
        <v>0</v>
      </c>
      <c r="N124" s="56">
        <f t="shared" si="44"/>
        <v>0</v>
      </c>
      <c r="O124" s="56">
        <f t="shared" si="45"/>
        <v>11</v>
      </c>
      <c r="P124" s="56">
        <f t="shared" si="46"/>
        <v>0</v>
      </c>
      <c r="Q124" s="61">
        <f>IFERROR(IFERROR(INDEX('Infos Clientes'!$A$2:$V$9884,MATCH($C124,'Infos Clientes'!$B$2:$B$9884,0),MATCH(Q$8,'Infos Clientes'!$A$2:$V$2,0)),"")
+IF(OR(INDEX('Infos Clientes'!$A$2:$V$9884,MATCH($C124,'Infos Clientes'!$B$2:$B$9884,0),MATCH("Tempo de Fidelidade (meses)",'Infos Clientes'!$A$2:$V$2,0))=0,R124&gt;=MAX(R:R)),0,
ROUND((MAX(R:R)-R124)/(365/12),0)),"")</f>
        <v>0</v>
      </c>
      <c r="R124" s="111">
        <v>45627</v>
      </c>
      <c r="S124" s="112">
        <v>0.01</v>
      </c>
      <c r="T124" s="113" t="str">
        <f>IF($H124="GIROSSOL II",AP124/INDEX('Resumo Operacional'!$A$1:$P$1103,17,MATCH('Detalhe Por UC'!$R124,'Resumo Operacional'!$A$1:$P$1,0)),
IF($H124="GIROSSOL II e III",AP124/INDEX('Resumo Operacional'!$A$1:$P$1103,17,MATCH('Detalhe Por UC'!$R124,'Resumo Operacional'!$A$1:$P$1,0)),
""))</f>
        <v/>
      </c>
      <c r="U124" s="113" t="str">
        <f>IF($H124="GIROSSOL III",AP124/INDEX('Resumo Operacional'!$A$1:$P$1103,53,MATCH('Detalhe Por UC'!$R124,'Resumo Operacional'!$A$1:$P$1,0)),
IF($H124="GIROSSOL II e III",AP124/INDEX('Resumo Operacional'!$A$1:$P$1103,53,MATCH('Detalhe Por UC'!$R124,'Resumo Operacional'!$A$1:$P$1,0)),
""))</f>
        <v/>
      </c>
      <c r="V124" s="67"/>
      <c r="W124" s="67"/>
      <c r="X124" s="67">
        <v>1.1262406015037594</v>
      </c>
      <c r="Y124" s="67"/>
      <c r="Z124" s="66">
        <v>1.1262650602409638</v>
      </c>
      <c r="AA124" s="66"/>
      <c r="AB124" s="68">
        <v>133</v>
      </c>
      <c r="AC124" s="69"/>
      <c r="AD124" s="69">
        <v>83</v>
      </c>
      <c r="AE124" s="35"/>
      <c r="AF124" s="69">
        <v>136</v>
      </c>
      <c r="AG124" s="120"/>
      <c r="AH124" s="119">
        <v>30.64</v>
      </c>
      <c r="AI124" s="38"/>
      <c r="AJ124" s="38"/>
      <c r="AK124" s="21"/>
      <c r="AL124" s="38"/>
      <c r="AM124" s="1"/>
      <c r="AN124" s="71">
        <f t="shared" si="47"/>
        <v>136</v>
      </c>
      <c r="AO124" s="71">
        <f t="shared" si="48"/>
        <v>0</v>
      </c>
      <c r="AP124" s="71">
        <f t="shared" si="49"/>
        <v>219</v>
      </c>
      <c r="AQ124" s="72" t="e">
        <f>IF(OR($H124="GIROSSOL II",$H124="GIROSSOL II e III"),INDEX('Resumo Operacional'!$A$1:$P$1103,MATCH("Energia Injetada prevista total Fatura da Usina (TUSD)",'Resumo Operacional'!$B$1:$B$1103,0),MATCH('Detalhe Por UC'!$R124,'Resumo Operacional'!$A$1:$P$1,0))*$S124,INDEX('Resumo Operacional'!$A$1:$P$1103,53,MATCH('Detalhe Por UC'!$R124,'Resumo Operacional'!$A$1:$P$1,0))*$S124)</f>
        <v>#N/A</v>
      </c>
      <c r="AR124" s="71" t="e">
        <f t="shared" si="50"/>
        <v>#N/A</v>
      </c>
      <c r="AS124" s="73">
        <f t="shared" si="51"/>
        <v>86.949999999999989</v>
      </c>
      <c r="AT124" s="74">
        <f t="shared" si="52"/>
        <v>86.949999999999989</v>
      </c>
      <c r="AU124" s="74">
        <f t="shared" si="53"/>
        <v>1.1262895189781683</v>
      </c>
      <c r="AV124" s="74">
        <f t="shared" si="54"/>
        <v>70.11</v>
      </c>
      <c r="AW124" s="74">
        <f t="shared" si="55"/>
        <v>0</v>
      </c>
      <c r="AX124" s="74">
        <f t="shared" si="56"/>
        <v>93.48</v>
      </c>
      <c r="AY124" s="74">
        <f t="shared" si="57"/>
        <v>70.11</v>
      </c>
      <c r="AZ124" s="49"/>
      <c r="BA124" s="49"/>
      <c r="BB124" s="49"/>
      <c r="BC124" s="73" t="str">
        <f t="shared" si="58"/>
        <v/>
      </c>
      <c r="BD124" s="73">
        <f t="shared" si="59"/>
        <v>180.43</v>
      </c>
      <c r="BE124" s="73">
        <f t="shared" si="60"/>
        <v>157.06</v>
      </c>
      <c r="BF124" s="77">
        <f t="shared" si="61"/>
        <v>23.37</v>
      </c>
      <c r="BG124" s="77">
        <f t="shared" si="62"/>
        <v>7.0110000000000001</v>
      </c>
      <c r="BH124" s="77">
        <f t="shared" si="63"/>
        <v>93.48</v>
      </c>
      <c r="BI124" s="78">
        <f t="shared" si="64"/>
        <v>0.25</v>
      </c>
      <c r="BJ124" s="79">
        <f t="shared" si="65"/>
        <v>0.12952391509172531</v>
      </c>
      <c r="BK124" s="80">
        <f t="shared" si="66"/>
        <v>157.06</v>
      </c>
      <c r="BL124" s="80">
        <f t="shared" si="67"/>
        <v>23.370000000000005</v>
      </c>
      <c r="BM124" s="79">
        <f t="shared" si="68"/>
        <v>0.12952391509172534</v>
      </c>
      <c r="BN124" s="81">
        <f t="shared" si="69"/>
        <v>0.84469879518072288</v>
      </c>
      <c r="BO124" s="82">
        <f t="shared" si="70"/>
        <v>70.11</v>
      </c>
      <c r="BP124" s="81">
        <f t="shared" si="71"/>
        <v>0.84469879518072288</v>
      </c>
      <c r="BQ124" s="81">
        <f t="shared" si="72"/>
        <v>0.84467433644351841</v>
      </c>
      <c r="BR124" s="81">
        <f t="shared" si="73"/>
        <v>1.1262406015037594</v>
      </c>
      <c r="BS124" s="82">
        <f t="shared" si="74"/>
        <v>83</v>
      </c>
      <c r="BT124" s="82">
        <f t="shared" si="75"/>
        <v>93.477969924812029</v>
      </c>
      <c r="BU124" s="82">
        <f t="shared" si="76"/>
        <v>93.48</v>
      </c>
      <c r="BV124"/>
      <c r="BW124" s="82">
        <f>IFERROR(INDEX('Infos Clientes'!$T:$T,MATCH('Detalhe Por UC'!$C124,'Infos Clientes'!B:B,0)),"")</f>
        <v>157.66666666666666</v>
      </c>
      <c r="BX124" s="83">
        <f t="shared" si="77"/>
        <v>0</v>
      </c>
      <c r="BY124" s="84">
        <f t="shared" si="78"/>
        <v>0.25000542928774983</v>
      </c>
      <c r="BZ124" s="85">
        <f>IF(_xlfn.MINIFS('Detalhe Por UC'!R:R,'Detalhe Por UC'!C:C,C124,'Detalhe Por UC'!AD:AD,"&gt;"&amp;0)=0,"",_xlfn.MINIFS('Detalhe Por UC'!R:R,'Detalhe Por UC'!C:C,C124,'Detalhe Por UC'!AD:AD,"&gt;"&amp;0))</f>
        <v>45627</v>
      </c>
      <c r="CA124" s="114">
        <f ca="1">IF(OR(S124&gt;0,AD124&gt;0),IFERROR(
SUMIFS(INDIRECT("'Infos Clientes'!$W"&amp;INDEX('Infos Clientes'!$C:$C,MATCH(C124,'Infos Clientes'!$H:$H,0))&amp;":$CZ"&amp;INDEX('Infos Clientes'!$C:$C,MATCH(C124,'Infos Clientes'!$H:$H,0))),'Infos Clientes'!$W$2:$CZ$2,"&gt;"&amp;$R124-365,'Infos Clientes'!$W$2:$CZ$2,"&lt;="&amp;$R124)/
COUNTIFS(INDIRECT("'Infos Clientes'!$W"&amp;INDEX('Infos Clientes'!$C:$C,MATCH(C124,'Infos Clientes'!$H:$H,0))&amp;":$CZ"&amp;INDEX('Infos Clientes'!$C:$C,MATCH(C124,'Infos Clientes'!$H:$H,0))),"&gt;="&amp;0,'Infos Clientes'!$W$2:$CZ$2,"&gt;"&amp;$R124-365,'Infos Clientes'!$W$2:$CZ$2,"&lt;="&amp;$R124),""),"")</f>
        <v>158.25</v>
      </c>
      <c r="CB124" s="87">
        <f>VLOOKUP(C124,'Infos Clientes'!B:L,11,0)</f>
        <v>0</v>
      </c>
      <c r="CC124" s="88" t="str">
        <f t="shared" si="79"/>
        <v>A Unidade Consumidora 10/226667-4 economizou R$23,37 na fatura referente à dez/2024  consumindo 83 kWh em créditos de energia renovável conforme fatura de energia. A economia foi de 25% em relação ao que seria pago para a Energisa considerando os créditos consumidos. Atenção: Mantenha as contas da Energisa em dia para evitar cortes.</v>
      </c>
      <c r="CD124" s="40" t="s">
        <v>78</v>
      </c>
      <c r="CF124" s="115">
        <f t="shared" si="80"/>
        <v>-86.949999999999989</v>
      </c>
    </row>
    <row r="125" spans="1:84" s="40" customFormat="1" ht="16.2" hidden="1" customHeight="1" x14ac:dyDescent="0.3">
      <c r="A125" s="105" t="str">
        <f>INDEX('Infos Clientes'!$D:$D,MATCH('Detalhe Por UC'!C125,'Infos Clientes'!B:B,0))</f>
        <v>IGREJA DO EVANGELHO QUADRANGULAR</v>
      </c>
      <c r="B125" s="106" t="str">
        <f>INDEX('Infos Clientes'!$F:$F,MATCH('Detalhe Por UC'!C125,'Infos Clientes'!B:B,0))</f>
        <v>62.955.505/0172-13</v>
      </c>
      <c r="C125" s="31" t="s">
        <v>79</v>
      </c>
      <c r="D125" t="s">
        <v>351</v>
      </c>
      <c r="E125" s="1" t="s">
        <v>352</v>
      </c>
      <c r="F125" s="56" t="str">
        <f>INDEX('Infos Clientes'!$I:$I,MATCH('Detalhe Por UC'!C125,'Infos Clientes'!B:B,0))</f>
        <v>BT</v>
      </c>
      <c r="G125" s="56" t="str">
        <f>INDEX('Infos Clientes'!$J:$J,MATCH('Detalhe Por UC'!C125,'Infos Clientes'!B:B,0))</f>
        <v>trifasico</v>
      </c>
      <c r="H125" s="47"/>
      <c r="I125" s="58">
        <f>IFERROR(VLOOKUP(C125,'Infos Clientes'!B:E,4,),"")</f>
        <v>371</v>
      </c>
      <c r="J125" s="109">
        <v>0.25</v>
      </c>
      <c r="K125" s="59">
        <f>INDEX('Infos Clientes'!$M:$M,MATCH('Detalhe Por UC'!C125,'Infos Clientes'!B:B,0))</f>
        <v>0.25</v>
      </c>
      <c r="L125" s="110">
        <v>0</v>
      </c>
      <c r="M125" s="56">
        <f>INDEX('Infos Clientes'!$N:$N,MATCH('Detalhe Por UC'!C125,'Infos Clientes'!B:B,0))</f>
        <v>0</v>
      </c>
      <c r="N125" s="56">
        <f t="shared" si="44"/>
        <v>0</v>
      </c>
      <c r="O125" s="56">
        <f t="shared" si="45"/>
        <v>8</v>
      </c>
      <c r="P125" s="56">
        <f t="shared" si="46"/>
        <v>0</v>
      </c>
      <c r="Q125" s="61">
        <f>IFERROR(IFERROR(INDEX('Infos Clientes'!$A$2:$V$9884,MATCH($C125,'Infos Clientes'!$B$2:$B$9884,0),MATCH(Q$8,'Infos Clientes'!$A$2:$V$2,0)),"")
+IF(OR(INDEX('Infos Clientes'!$A$2:$V$9884,MATCH($C125,'Infos Clientes'!$B$2:$B$9884,0),MATCH("Tempo de Fidelidade (meses)",'Infos Clientes'!$A$2:$V$2,0))=0,R125&gt;=MAX(R:R)),0,
ROUND((MAX(R:R)-R125)/(365/12),0)),"")</f>
        <v>0</v>
      </c>
      <c r="R125" s="111">
        <v>45627</v>
      </c>
      <c r="S125" s="112">
        <v>6.0000000000000001E-3</v>
      </c>
      <c r="T125" s="113" t="str">
        <f>IF($H125="GIROSSOL II",AP125/INDEX('Resumo Operacional'!$A$1:$P$1103,17,MATCH('Detalhe Por UC'!$R125,'Resumo Operacional'!$A$1:$P$1,0)),
IF($H125="GIROSSOL II e III",AP125/INDEX('Resumo Operacional'!$A$1:$P$1103,17,MATCH('Detalhe Por UC'!$R125,'Resumo Operacional'!$A$1:$P$1,0)),
""))</f>
        <v/>
      </c>
      <c r="U125" s="113" t="str">
        <f>IF($H125="GIROSSOL III",AP125/INDEX('Resumo Operacional'!$A$1:$P$1103,53,MATCH('Detalhe Por UC'!$R125,'Resumo Operacional'!$A$1:$P$1,0)),
IF($H125="GIROSSOL II e III",AP125/INDEX('Resumo Operacional'!$A$1:$P$1103,53,MATCH('Detalhe Por UC'!$R125,'Resumo Operacional'!$A$1:$P$1,0)),
""))</f>
        <v/>
      </c>
      <c r="V125" s="67"/>
      <c r="W125" s="67"/>
      <c r="X125" s="67">
        <v>1.125566318537859</v>
      </c>
      <c r="Y125" s="67"/>
      <c r="Z125" s="66">
        <v>1.1255190812720848</v>
      </c>
      <c r="AA125" s="66"/>
      <c r="AB125" s="68">
        <v>383</v>
      </c>
      <c r="AC125" s="123"/>
      <c r="AD125" s="69">
        <v>283</v>
      </c>
      <c r="AE125" s="35"/>
      <c r="AF125" s="69">
        <v>317</v>
      </c>
      <c r="AG125" s="120"/>
      <c r="AH125" s="119">
        <v>46.089999999999996</v>
      </c>
      <c r="AI125" s="38"/>
      <c r="AJ125" s="38"/>
      <c r="AK125" s="124"/>
      <c r="AL125" s="38"/>
      <c r="AM125" s="1"/>
      <c r="AN125" s="71">
        <f t="shared" si="47"/>
        <v>317</v>
      </c>
      <c r="AO125" s="71">
        <f t="shared" si="48"/>
        <v>0</v>
      </c>
      <c r="AP125" s="71">
        <f t="shared" si="49"/>
        <v>600</v>
      </c>
      <c r="AQ125" s="72" t="e">
        <f>IF(OR($H125="GIROSSOL II",$H125="GIROSSOL II e III"),INDEX('Resumo Operacional'!$A$1:$P$1103,MATCH("Energia Injetada prevista total Fatura da Usina (TUSD)",'Resumo Operacional'!$B$1:$B$1103,0),MATCH('Detalhe Por UC'!$R125,'Resumo Operacional'!$A$1:$P$1,0))*$S125,INDEX('Resumo Operacional'!$A$1:$P$1103,53,MATCH('Detalhe Por UC'!$R125,'Resumo Operacional'!$A$1:$P$1,0))*$S125)</f>
        <v>#N/A</v>
      </c>
      <c r="AR125" s="71" t="e">
        <f t="shared" si="50"/>
        <v>#N/A</v>
      </c>
      <c r="AS125" s="73">
        <f t="shared" si="51"/>
        <v>158.66</v>
      </c>
      <c r="AT125" s="74">
        <f t="shared" si="52"/>
        <v>158.66</v>
      </c>
      <c r="AU125" s="74">
        <f t="shared" si="53"/>
        <v>1.1254718440063105</v>
      </c>
      <c r="AV125" s="74">
        <f t="shared" si="54"/>
        <v>238.891425</v>
      </c>
      <c r="AW125" s="74">
        <f t="shared" si="55"/>
        <v>0</v>
      </c>
      <c r="AX125" s="74">
        <f t="shared" si="56"/>
        <v>318.52190000000002</v>
      </c>
      <c r="AY125" s="74">
        <f t="shared" si="57"/>
        <v>238.89</v>
      </c>
      <c r="AZ125" s="49"/>
      <c r="BA125" s="49"/>
      <c r="BB125" s="49"/>
      <c r="BC125" s="73" t="str">
        <f t="shared" si="58"/>
        <v/>
      </c>
      <c r="BD125" s="73">
        <f t="shared" si="59"/>
        <v>477.18189999999998</v>
      </c>
      <c r="BE125" s="73">
        <f t="shared" si="60"/>
        <v>397.55142499999999</v>
      </c>
      <c r="BF125" s="77">
        <f t="shared" si="61"/>
        <v>79.63</v>
      </c>
      <c r="BG125" s="77">
        <f t="shared" si="62"/>
        <v>23.888999999999999</v>
      </c>
      <c r="BH125" s="77">
        <f t="shared" si="63"/>
        <v>318.52189999999996</v>
      </c>
      <c r="BI125" s="78">
        <f t="shared" si="64"/>
        <v>0.25</v>
      </c>
      <c r="BJ125" s="79">
        <f t="shared" si="65"/>
        <v>0.16687556673880546</v>
      </c>
      <c r="BK125" s="80">
        <f t="shared" si="66"/>
        <v>397.54999999999995</v>
      </c>
      <c r="BL125" s="80">
        <f t="shared" si="67"/>
        <v>79.63190000000003</v>
      </c>
      <c r="BM125" s="79">
        <f t="shared" si="68"/>
        <v>0.16687954844892489</v>
      </c>
      <c r="BN125" s="81">
        <f t="shared" si="69"/>
        <v>0.84413427561837451</v>
      </c>
      <c r="BO125" s="82">
        <f t="shared" si="70"/>
        <v>238.89</v>
      </c>
      <c r="BP125" s="81">
        <f t="shared" si="71"/>
        <v>0.84413427561837451</v>
      </c>
      <c r="BQ125" s="81">
        <f t="shared" si="72"/>
        <v>0.84418151288414878</v>
      </c>
      <c r="BR125" s="81">
        <f t="shared" si="73"/>
        <v>1.125566318537859</v>
      </c>
      <c r="BS125" s="82">
        <f t="shared" si="74"/>
        <v>283</v>
      </c>
      <c r="BT125" s="82">
        <f t="shared" si="75"/>
        <v>318.53526814621409</v>
      </c>
      <c r="BU125" s="82">
        <f t="shared" si="76"/>
        <v>318.52190000000002</v>
      </c>
      <c r="BV125"/>
      <c r="BW125" s="82">
        <f>IFERROR(INDEX('Infos Clientes'!$T:$T,MATCH('Detalhe Por UC'!$C125,'Infos Clientes'!B:B,0)),"")</f>
        <v>166.66666666666666</v>
      </c>
      <c r="BX125" s="83">
        <f t="shared" si="77"/>
        <v>0</v>
      </c>
      <c r="BY125" s="84">
        <f t="shared" si="78"/>
        <v>0.24999398171334472</v>
      </c>
      <c r="BZ125" s="85">
        <f>IF(_xlfn.MINIFS('Detalhe Por UC'!R:R,'Detalhe Por UC'!C:C,C125,'Detalhe Por UC'!AD:AD,"&gt;"&amp;0)=0,"",_xlfn.MINIFS('Detalhe Por UC'!R:R,'Detalhe Por UC'!C:C,C125,'Detalhe Por UC'!AD:AD,"&gt;"&amp;0))</f>
        <v>45627</v>
      </c>
      <c r="CA125" s="114">
        <f ca="1">IF(OR(S125&gt;0,AD125&gt;0),IFERROR(
SUMIFS(INDIRECT("'Infos Clientes'!$W"&amp;INDEX('Infos Clientes'!$C:$C,MATCH(C125,'Infos Clientes'!$H:$H,0))&amp;":$CZ"&amp;INDEX('Infos Clientes'!$C:$C,MATCH(C125,'Infos Clientes'!$H:$H,0))),'Infos Clientes'!$W$2:$CZ$2,"&gt;"&amp;$R125-365,'Infos Clientes'!$W$2:$CZ$2,"&lt;="&amp;$R125)/
COUNTIFS(INDIRECT("'Infos Clientes'!$W"&amp;INDEX('Infos Clientes'!$C:$C,MATCH(C125,'Infos Clientes'!$H:$H,0))&amp;":$CZ"&amp;INDEX('Infos Clientes'!$C:$C,MATCH(C125,'Infos Clientes'!$H:$H,0))),"&gt;="&amp;0,'Infos Clientes'!$W$2:$CZ$2,"&gt;"&amp;$R125-365,'Infos Clientes'!$W$2:$CZ$2,"&lt;="&amp;$R125),""),"")</f>
        <v>155.16666666666666</v>
      </c>
      <c r="CB125" s="87">
        <f>VLOOKUP(C125,'Infos Clientes'!B:L,11,0)</f>
        <v>0</v>
      </c>
      <c r="CC125" s="88" t="str">
        <f t="shared" si="79"/>
        <v>A Unidade Consumidora 10/237441-1 economizou R$79,63 na fatura referente à dez/2024  consumindo 283 kWh em créditos de energia renovável conforme fatura de energia. A economia foi de 25% em relação ao que seria pago para a Energisa considerando os créditos consumidos. Atenção: Mantenha as contas da Energisa em dia para evitar cortes.</v>
      </c>
      <c r="CD125" s="40" t="s">
        <v>80</v>
      </c>
      <c r="CF125" s="115">
        <f t="shared" si="80"/>
        <v>-158.66</v>
      </c>
    </row>
    <row r="126" spans="1:84" s="40" customFormat="1" ht="16.2" hidden="1" customHeight="1" x14ac:dyDescent="0.3">
      <c r="A126" s="105" t="str">
        <f>INDEX('Infos Clientes'!$D:$D,MATCH('Detalhe Por UC'!C126,'Infos Clientes'!B:B,0))</f>
        <v>IGREJA DO EVANGELHO QUADRANGULAR</v>
      </c>
      <c r="B126" s="106" t="str">
        <f>INDEX('Infos Clientes'!$F:$F,MATCH('Detalhe Por UC'!C126,'Infos Clientes'!B:B,0))</f>
        <v>62.955.505/1821-76</v>
      </c>
      <c r="C126" s="31" t="s">
        <v>81</v>
      </c>
      <c r="D126" t="s">
        <v>351</v>
      </c>
      <c r="E126" s="1" t="s">
        <v>352</v>
      </c>
      <c r="F126" s="56" t="str">
        <f>INDEX('Infos Clientes'!$I:$I,MATCH('Detalhe Por UC'!C126,'Infos Clientes'!B:B,0))</f>
        <v>BT</v>
      </c>
      <c r="G126" s="56" t="str">
        <f>INDEX('Infos Clientes'!$J:$J,MATCH('Detalhe Por UC'!C126,'Infos Clientes'!B:B,0))</f>
        <v>bifasico</v>
      </c>
      <c r="H126" s="47"/>
      <c r="I126" s="58">
        <f>IFERROR(VLOOKUP(C126,'Infos Clientes'!B:E,4,),"")</f>
        <v>362</v>
      </c>
      <c r="J126" s="109">
        <v>0.25</v>
      </c>
      <c r="K126" s="59">
        <f>INDEX('Infos Clientes'!$M:$M,MATCH('Detalhe Por UC'!C126,'Infos Clientes'!B:B,0))</f>
        <v>0.25</v>
      </c>
      <c r="L126" s="110">
        <v>0</v>
      </c>
      <c r="M126" s="56">
        <f>INDEX('Infos Clientes'!$N:$N,MATCH('Detalhe Por UC'!C126,'Infos Clientes'!B:B,0))</f>
        <v>0</v>
      </c>
      <c r="N126" s="56">
        <f t="shared" si="44"/>
        <v>0</v>
      </c>
      <c r="O126" s="56">
        <f t="shared" si="45"/>
        <v>12</v>
      </c>
      <c r="P126" s="56">
        <f t="shared" si="46"/>
        <v>0</v>
      </c>
      <c r="Q126" s="61">
        <f>IFERROR(IFERROR(INDEX('Infos Clientes'!$A$2:$V$9884,MATCH($C126,'Infos Clientes'!$B$2:$B$9884,0),MATCH(Q$8,'Infos Clientes'!$A$2:$V$2,0)),"")
+IF(OR(INDEX('Infos Clientes'!$A$2:$V$9884,MATCH($C126,'Infos Clientes'!$B$2:$B$9884,0),MATCH("Tempo de Fidelidade (meses)",'Infos Clientes'!$A$2:$V$2,0))=0,R126&gt;=MAX(R:R)),0,
ROUND((MAX(R:R)-R126)/(365/12),0)),"")</f>
        <v>0</v>
      </c>
      <c r="R126" s="111">
        <v>45627</v>
      </c>
      <c r="S126" s="112">
        <v>5.0000000000000001E-3</v>
      </c>
      <c r="T126" s="113" t="str">
        <f>IF($H126="GIROSSOL II",AP126/INDEX('Resumo Operacional'!$A$1:$P$1103,17,MATCH('Detalhe Por UC'!$R126,'Resumo Operacional'!$A$1:$P$1,0)),
IF($H126="GIROSSOL II e III",AP126/INDEX('Resumo Operacional'!$A$1:$P$1103,17,MATCH('Detalhe Por UC'!$R126,'Resumo Operacional'!$A$1:$P$1,0)),
""))</f>
        <v/>
      </c>
      <c r="U126" s="113" t="str">
        <f>IF($H126="GIROSSOL III",AP126/INDEX('Resumo Operacional'!$A$1:$P$1103,53,MATCH('Detalhe Por UC'!$R126,'Resumo Operacional'!$A$1:$P$1,0)),
IF($H126="GIROSSOL II e III",AP126/INDEX('Resumo Operacional'!$A$1:$P$1103,53,MATCH('Detalhe Por UC'!$R126,'Resumo Operacional'!$A$1:$P$1,0)),
""))</f>
        <v/>
      </c>
      <c r="V126" s="67"/>
      <c r="W126" s="67"/>
      <c r="X126" s="67">
        <v>1.1320288135593222</v>
      </c>
      <c r="Y126" s="121"/>
      <c r="Z126" s="66">
        <v>1.1319290322580646</v>
      </c>
      <c r="AA126" s="121"/>
      <c r="AB126" s="68">
        <v>236</v>
      </c>
      <c r="AC126" s="122"/>
      <c r="AD126" s="69">
        <v>186</v>
      </c>
      <c r="AE126" s="35"/>
      <c r="AF126" s="69">
        <v>188</v>
      </c>
      <c r="AG126" s="120"/>
      <c r="AH126" s="119">
        <v>18.420000000000002</v>
      </c>
      <c r="AI126" s="38"/>
      <c r="AJ126" s="38"/>
      <c r="AK126" s="21"/>
      <c r="AL126" s="38"/>
      <c r="AM126" s="1"/>
      <c r="AN126" s="71">
        <f t="shared" si="47"/>
        <v>188</v>
      </c>
      <c r="AO126" s="71">
        <f t="shared" si="48"/>
        <v>0</v>
      </c>
      <c r="AP126" s="71">
        <f t="shared" si="49"/>
        <v>374</v>
      </c>
      <c r="AQ126" s="72" t="e">
        <f>IF(OR($H126="GIROSSOL II",$H126="GIROSSOL II e III"),INDEX('Resumo Operacional'!$A$1:$P$1103,MATCH("Energia Injetada prevista total Fatura da Usina (TUSD)",'Resumo Operacional'!$B$1:$B$1103,0),MATCH('Detalhe Por UC'!$R126,'Resumo Operacional'!$A$1:$P$1,0))*$S126,INDEX('Resumo Operacional'!$A$1:$P$1103,53,MATCH('Detalhe Por UC'!$R126,'Resumo Operacional'!$A$1:$P$1,0))*$S126)</f>
        <v>#N/A</v>
      </c>
      <c r="AR126" s="71" t="e">
        <f t="shared" si="50"/>
        <v>#N/A</v>
      </c>
      <c r="AS126" s="73">
        <f t="shared" si="51"/>
        <v>75.040000000000035</v>
      </c>
      <c r="AT126" s="74">
        <f t="shared" si="52"/>
        <v>75.040000000000035</v>
      </c>
      <c r="AU126" s="74">
        <f t="shared" si="53"/>
        <v>1.1318292509568071</v>
      </c>
      <c r="AV126" s="74">
        <f t="shared" si="54"/>
        <v>157.90410000000003</v>
      </c>
      <c r="AW126" s="74">
        <f t="shared" si="55"/>
        <v>0</v>
      </c>
      <c r="AX126" s="74">
        <f t="shared" si="56"/>
        <v>210.53880000000001</v>
      </c>
      <c r="AY126" s="74">
        <f t="shared" si="57"/>
        <v>157.9</v>
      </c>
      <c r="AZ126" s="49"/>
      <c r="BA126" s="49"/>
      <c r="BB126" s="49"/>
      <c r="BC126" s="73" t="str">
        <f t="shared" si="58"/>
        <v/>
      </c>
      <c r="BD126" s="73">
        <f t="shared" si="59"/>
        <v>285.57880000000006</v>
      </c>
      <c r="BE126" s="73">
        <f t="shared" si="60"/>
        <v>232.94410000000005</v>
      </c>
      <c r="BF126" s="77">
        <f t="shared" si="61"/>
        <v>52.63</v>
      </c>
      <c r="BG126" s="77">
        <f t="shared" si="62"/>
        <v>15.789</v>
      </c>
      <c r="BH126" s="77">
        <f t="shared" si="63"/>
        <v>210.53880000000004</v>
      </c>
      <c r="BI126" s="78">
        <f t="shared" si="64"/>
        <v>0.25</v>
      </c>
      <c r="BJ126" s="79">
        <f t="shared" si="65"/>
        <v>0.18429239145202653</v>
      </c>
      <c r="BK126" s="80">
        <f t="shared" si="66"/>
        <v>232.94000000000005</v>
      </c>
      <c r="BL126" s="80">
        <f t="shared" si="67"/>
        <v>52.638800000000003</v>
      </c>
      <c r="BM126" s="79">
        <f t="shared" si="68"/>
        <v>0.18432320606431568</v>
      </c>
      <c r="BN126" s="81">
        <f t="shared" si="69"/>
        <v>0.84892473118279577</v>
      </c>
      <c r="BO126" s="82">
        <f t="shared" si="70"/>
        <v>157.9</v>
      </c>
      <c r="BP126" s="81">
        <f t="shared" si="71"/>
        <v>0.84892473118279577</v>
      </c>
      <c r="BQ126" s="81">
        <f t="shared" si="72"/>
        <v>0.84902451248405331</v>
      </c>
      <c r="BR126" s="81">
        <f t="shared" si="73"/>
        <v>1.1320288135593222</v>
      </c>
      <c r="BS126" s="82">
        <f t="shared" si="74"/>
        <v>186</v>
      </c>
      <c r="BT126" s="82">
        <f t="shared" si="75"/>
        <v>210.55735932203393</v>
      </c>
      <c r="BU126" s="82">
        <f t="shared" si="76"/>
        <v>210.53880000000001</v>
      </c>
      <c r="BV126"/>
      <c r="BW126" s="82">
        <f>IFERROR(INDEX('Infos Clientes'!$T:$T,MATCH('Detalhe Por UC'!$C126,'Infos Clientes'!B:B,0)),"")</f>
        <v>153.91666666666666</v>
      </c>
      <c r="BX126" s="83">
        <f t="shared" si="77"/>
        <v>0</v>
      </c>
      <c r="BY126" s="84">
        <f t="shared" si="78"/>
        <v>0.24999743618313694</v>
      </c>
      <c r="BZ126" s="85">
        <f>IF(_xlfn.MINIFS('Detalhe Por UC'!R:R,'Detalhe Por UC'!C:C,C126,'Detalhe Por UC'!AD:AD,"&gt;"&amp;0)=0,"",_xlfn.MINIFS('Detalhe Por UC'!R:R,'Detalhe Por UC'!C:C,C126,'Detalhe Por UC'!AD:AD,"&gt;"&amp;0))</f>
        <v>45627</v>
      </c>
      <c r="CA126" s="114">
        <f ca="1">IF(OR(S126&gt;0,AD126&gt;0),IFERROR(
SUMIFS(INDIRECT("'Infos Clientes'!$W"&amp;INDEX('Infos Clientes'!$C:$C,MATCH(C126,'Infos Clientes'!$H:$H,0))&amp;":$CZ"&amp;INDEX('Infos Clientes'!$C:$C,MATCH(C126,'Infos Clientes'!$H:$H,0))),'Infos Clientes'!$W$2:$CZ$2,"&gt;"&amp;$R126-365,'Infos Clientes'!$W$2:$CZ$2,"&lt;="&amp;$R126)/
COUNTIFS(INDIRECT("'Infos Clientes'!$W"&amp;INDEX('Infos Clientes'!$C:$C,MATCH(C126,'Infos Clientes'!$H:$H,0))&amp;":$CZ"&amp;INDEX('Infos Clientes'!$C:$C,MATCH(C126,'Infos Clientes'!$H:$H,0))),"&gt;="&amp;0,'Infos Clientes'!$W$2:$CZ$2,"&gt;"&amp;$R126-365,'Infos Clientes'!$W$2:$CZ$2,"&lt;="&amp;$R126),""),"")</f>
        <v>145.75</v>
      </c>
      <c r="CB126" s="87">
        <f>VLOOKUP(C126,'Infos Clientes'!B:L,11,0)</f>
        <v>0</v>
      </c>
      <c r="CC126" s="88" t="str">
        <f t="shared" si="79"/>
        <v>A Unidade Consumidora 10/257864-9 economizou R$52,63 na fatura referente à dez/2024  consumindo 186 kWh em créditos de energia renovável conforme fatura de energia. A economia foi de 25% em relação ao que seria pago para a Energisa considerando os créditos consumidos. Atenção: Mantenha as contas da Energisa em dia para evitar cortes.</v>
      </c>
      <c r="CD126" s="40" t="s">
        <v>83</v>
      </c>
      <c r="CF126" s="115">
        <f t="shared" si="80"/>
        <v>-75.040000000000035</v>
      </c>
    </row>
    <row r="127" spans="1:84" s="40" customFormat="1" ht="16.2" hidden="1" customHeight="1" x14ac:dyDescent="0.3">
      <c r="A127" s="105" t="str">
        <f>INDEX('Infos Clientes'!$D:$D,MATCH('Detalhe Por UC'!C127,'Infos Clientes'!B:B,0))</f>
        <v>IGREJA DO EVANGELHO QUADRANGULAR</v>
      </c>
      <c r="B127" s="106" t="str">
        <f>INDEX('Infos Clientes'!$F:$F,MATCH('Detalhe Por UC'!C127,'Infos Clientes'!B:B,0))</f>
        <v>62.955.505/3793-95</v>
      </c>
      <c r="C127" s="31" t="s">
        <v>84</v>
      </c>
      <c r="D127" t="s">
        <v>351</v>
      </c>
      <c r="E127" s="1" t="s">
        <v>352</v>
      </c>
      <c r="F127" s="56" t="str">
        <f>INDEX('Infos Clientes'!$I:$I,MATCH('Detalhe Por UC'!C127,'Infos Clientes'!B:B,0))</f>
        <v>BT</v>
      </c>
      <c r="G127" s="56" t="str">
        <f>INDEX('Infos Clientes'!$J:$J,MATCH('Detalhe Por UC'!C127,'Infos Clientes'!B:B,0))</f>
        <v>trifasico</v>
      </c>
      <c r="H127" s="47"/>
      <c r="I127" s="58">
        <f>IFERROR(VLOOKUP(C127,'Infos Clientes'!B:E,4,),"")</f>
        <v>302</v>
      </c>
      <c r="J127" s="109">
        <v>0.25</v>
      </c>
      <c r="K127" s="59">
        <f>INDEX('Infos Clientes'!$M:$M,MATCH('Detalhe Por UC'!C127,'Infos Clientes'!B:B,0))</f>
        <v>0.25</v>
      </c>
      <c r="L127" s="110">
        <v>0</v>
      </c>
      <c r="M127" s="56">
        <f>INDEX('Infos Clientes'!$N:$N,MATCH('Detalhe Por UC'!C127,'Infos Clientes'!B:B,0))</f>
        <v>0</v>
      </c>
      <c r="N127" s="56">
        <f t="shared" si="44"/>
        <v>0</v>
      </c>
      <c r="O127" s="56">
        <f t="shared" si="45"/>
        <v>12</v>
      </c>
      <c r="P127" s="56">
        <f t="shared" si="46"/>
        <v>0</v>
      </c>
      <c r="Q127" s="61">
        <f>IFERROR(IFERROR(INDEX('Infos Clientes'!$A$2:$V$9884,MATCH($C127,'Infos Clientes'!$B$2:$B$9884,0),MATCH(Q$8,'Infos Clientes'!$A$2:$V$2,0)),"")
+IF(OR(INDEX('Infos Clientes'!$A$2:$V$9884,MATCH($C127,'Infos Clientes'!$B$2:$B$9884,0),MATCH("Tempo de Fidelidade (meses)",'Infos Clientes'!$A$2:$V$2,0))=0,R127&gt;=MAX(R:R)),0,
ROUND((MAX(R:R)-R127)/(365/12),0)),"")</f>
        <v>0</v>
      </c>
      <c r="R127" s="111">
        <v>45627</v>
      </c>
      <c r="S127" s="112">
        <v>0.06</v>
      </c>
      <c r="T127" s="113" t="str">
        <f>IF($H127="GIROSSOL II",AP127/INDEX('Resumo Operacional'!$A$1:$P$1103,17,MATCH('Detalhe Por UC'!$R127,'Resumo Operacional'!$A$1:$P$1,0)),
IF($H127="GIROSSOL II e III",AP127/INDEX('Resumo Operacional'!$A$1:$P$1103,17,MATCH('Detalhe Por UC'!$R127,'Resumo Operacional'!$A$1:$P$1,0)),
""))</f>
        <v/>
      </c>
      <c r="U127" s="113" t="str">
        <f>IF($H127="GIROSSOL III",AP127/INDEX('Resumo Operacional'!$A$1:$P$1103,53,MATCH('Detalhe Por UC'!$R127,'Resumo Operacional'!$A$1:$P$1,0)),
IF($H127="GIROSSOL II e III",AP127/INDEX('Resumo Operacional'!$A$1:$P$1103,53,MATCH('Detalhe Por UC'!$R127,'Resumo Operacional'!$A$1:$P$1,0)),
""))</f>
        <v/>
      </c>
      <c r="V127" s="67"/>
      <c r="W127" s="67"/>
      <c r="X127" s="67">
        <v>1.136438596491228</v>
      </c>
      <c r="Y127" s="67"/>
      <c r="Z127" s="66">
        <v>1.1364327485380117</v>
      </c>
      <c r="AA127" s="66"/>
      <c r="AB127" s="68">
        <v>1140</v>
      </c>
      <c r="AC127" s="69"/>
      <c r="AD127" s="69">
        <v>513</v>
      </c>
      <c r="AE127" s="35"/>
      <c r="AF127" s="69">
        <v>0</v>
      </c>
      <c r="AG127" s="120"/>
      <c r="AH127" s="119">
        <v>40.589999999999996</v>
      </c>
      <c r="AI127" s="38"/>
      <c r="AJ127" s="38"/>
      <c r="AK127" s="21"/>
      <c r="AL127" s="38"/>
      <c r="AM127" s="1"/>
      <c r="AN127" s="71">
        <f t="shared" si="47"/>
        <v>0</v>
      </c>
      <c r="AO127" s="71">
        <f t="shared" si="48"/>
        <v>0</v>
      </c>
      <c r="AP127" s="71">
        <f t="shared" si="49"/>
        <v>513</v>
      </c>
      <c r="AQ127" s="72" t="e">
        <f>IF(OR($H127="GIROSSOL II",$H127="GIROSSOL II e III"),INDEX('Resumo Operacional'!$A$1:$P$1103,MATCH("Energia Injetada prevista total Fatura da Usina (TUSD)",'Resumo Operacional'!$B$1:$B$1103,0),MATCH('Detalhe Por UC'!$R127,'Resumo Operacional'!$A$1:$P$1,0))*$S127,INDEX('Resumo Operacional'!$A$1:$P$1103,53,MATCH('Detalhe Por UC'!$R127,'Resumo Operacional'!$A$1:$P$1,0))*$S127)</f>
        <v>#N/A</v>
      </c>
      <c r="AR127" s="71" t="e">
        <f t="shared" si="50"/>
        <v>#N/A</v>
      </c>
      <c r="AS127" s="73">
        <f t="shared" si="51"/>
        <v>753.14</v>
      </c>
      <c r="AT127" s="74">
        <f t="shared" si="52"/>
        <v>753.14</v>
      </c>
      <c r="AU127" s="74">
        <f t="shared" si="53"/>
        <v>1.1364269005847953</v>
      </c>
      <c r="AV127" s="74">
        <f t="shared" si="54"/>
        <v>437.24250000000001</v>
      </c>
      <c r="AW127" s="74">
        <f t="shared" si="55"/>
        <v>0</v>
      </c>
      <c r="AX127" s="74">
        <f t="shared" si="56"/>
        <v>582.99</v>
      </c>
      <c r="AY127" s="74">
        <f t="shared" si="57"/>
        <v>437.24</v>
      </c>
      <c r="AZ127" s="49"/>
      <c r="BA127" s="49"/>
      <c r="BB127" s="49"/>
      <c r="BC127" s="73" t="str">
        <f t="shared" si="58"/>
        <v/>
      </c>
      <c r="BD127" s="73">
        <f t="shared" si="59"/>
        <v>1336.1299999999999</v>
      </c>
      <c r="BE127" s="73">
        <f t="shared" si="60"/>
        <v>1190.3824999999999</v>
      </c>
      <c r="BF127" s="77">
        <f t="shared" si="61"/>
        <v>145.75</v>
      </c>
      <c r="BG127" s="77">
        <f t="shared" si="62"/>
        <v>43.725000000000001</v>
      </c>
      <c r="BH127" s="77">
        <f t="shared" si="63"/>
        <v>582.99</v>
      </c>
      <c r="BI127" s="78">
        <f t="shared" si="64"/>
        <v>0.25</v>
      </c>
      <c r="BJ127" s="79">
        <f t="shared" si="65"/>
        <v>0.10908369694565649</v>
      </c>
      <c r="BK127" s="80">
        <f t="shared" si="66"/>
        <v>1190.3800000000001</v>
      </c>
      <c r="BL127" s="80">
        <f t="shared" si="67"/>
        <v>145.74999999999977</v>
      </c>
      <c r="BM127" s="79">
        <f t="shared" si="68"/>
        <v>0.10908369694565632</v>
      </c>
      <c r="BN127" s="81">
        <f t="shared" si="69"/>
        <v>0.85231968810916181</v>
      </c>
      <c r="BO127" s="82">
        <f t="shared" si="70"/>
        <v>437.24</v>
      </c>
      <c r="BP127" s="81">
        <f t="shared" si="71"/>
        <v>0.85231968810916181</v>
      </c>
      <c r="BQ127" s="81">
        <f t="shared" si="72"/>
        <v>0.85232553606237815</v>
      </c>
      <c r="BR127" s="81">
        <f t="shared" si="73"/>
        <v>1.136438596491228</v>
      </c>
      <c r="BS127" s="82">
        <f t="shared" si="74"/>
        <v>513</v>
      </c>
      <c r="BT127" s="82">
        <f t="shared" si="75"/>
        <v>582.99299999999994</v>
      </c>
      <c r="BU127" s="82">
        <f t="shared" si="76"/>
        <v>582.99</v>
      </c>
      <c r="BV127"/>
      <c r="BW127" s="82">
        <f>IFERROR(INDEX('Infos Clientes'!$T:$T,MATCH('Detalhe Por UC'!$C127,'Infos Clientes'!B:B,0)),"")</f>
        <v>818</v>
      </c>
      <c r="BX127" s="83">
        <f t="shared" si="77"/>
        <v>0</v>
      </c>
      <c r="BY127" s="84">
        <f t="shared" si="78"/>
        <v>0.25000300175130746</v>
      </c>
      <c r="BZ127" s="85">
        <f>IF(_xlfn.MINIFS('Detalhe Por UC'!R:R,'Detalhe Por UC'!C:C,C127,'Detalhe Por UC'!AD:AD,"&gt;"&amp;0)=0,"",_xlfn.MINIFS('Detalhe Por UC'!R:R,'Detalhe Por UC'!C:C,C127,'Detalhe Por UC'!AD:AD,"&gt;"&amp;0))</f>
        <v>45627</v>
      </c>
      <c r="CA127" s="114">
        <f ca="1">IF(OR(S127&gt;0,AD127&gt;0),IFERROR(
SUMIFS(INDIRECT("'Infos Clientes'!$W"&amp;INDEX('Infos Clientes'!$C:$C,MATCH(C127,'Infos Clientes'!$H:$H,0))&amp;":$CZ"&amp;INDEX('Infos Clientes'!$C:$C,MATCH(C127,'Infos Clientes'!$H:$H,0))),'Infos Clientes'!$W$2:$CZ$2,"&gt;"&amp;$R127-365,'Infos Clientes'!$W$2:$CZ$2,"&lt;="&amp;$R127)/
COUNTIFS(INDIRECT("'Infos Clientes'!$W"&amp;INDEX('Infos Clientes'!$C:$C,MATCH(C127,'Infos Clientes'!$H:$H,0))&amp;":$CZ"&amp;INDEX('Infos Clientes'!$C:$C,MATCH(C127,'Infos Clientes'!$H:$H,0))),"&gt;="&amp;0,'Infos Clientes'!$W$2:$CZ$2,"&gt;"&amp;$R127-365,'Infos Clientes'!$W$2:$CZ$2,"&lt;="&amp;$R127),""),"")</f>
        <v>807.5</v>
      </c>
      <c r="CB127" s="87">
        <f>VLOOKUP(C127,'Infos Clientes'!B:L,11,0)</f>
        <v>0</v>
      </c>
      <c r="CC127" s="88" t="str">
        <f t="shared" si="79"/>
        <v>A Unidade Consumidora 10/2599101-9 economizou R$145,75 na fatura referente à dez/2024  consumindo 513 kWh em créditos de energia renovável conforme fatura de energia. A economia foi de 25% em relação ao que seria pago para a Energisa considerando os créditos consumidos. Atenção: Mantenha as contas da Energisa em dia para evitar cortes.</v>
      </c>
      <c r="CD127" s="40" t="s">
        <v>86</v>
      </c>
      <c r="CF127" s="115">
        <f t="shared" si="80"/>
        <v>-753.14</v>
      </c>
    </row>
    <row r="128" spans="1:84" s="40" customFormat="1" ht="16.2" hidden="1" customHeight="1" x14ac:dyDescent="0.3">
      <c r="A128" s="105" t="str">
        <f>INDEX('Infos Clientes'!$D:$D,MATCH('Detalhe Por UC'!C128,'Infos Clientes'!B:B,0))</f>
        <v>IGREJA DO EVANGELHO QUADRANGULAR</v>
      </c>
      <c r="B128" s="106" t="str">
        <f>INDEX('Infos Clientes'!$F:$F,MATCH('Detalhe Por UC'!C128,'Infos Clientes'!B:B,0))</f>
        <v>62.955.505/0172-13</v>
      </c>
      <c r="C128" s="31" t="s">
        <v>87</v>
      </c>
      <c r="D128" t="s">
        <v>351</v>
      </c>
      <c r="E128" s="1" t="s">
        <v>352</v>
      </c>
      <c r="F128" s="56" t="str">
        <f>INDEX('Infos Clientes'!$I:$I,MATCH('Detalhe Por UC'!C128,'Infos Clientes'!B:B,0))</f>
        <v>BT</v>
      </c>
      <c r="G128" s="56" t="str">
        <f>INDEX('Infos Clientes'!$J:$J,MATCH('Detalhe Por UC'!C128,'Infos Clientes'!B:B,0))</f>
        <v>trifasico</v>
      </c>
      <c r="H128" s="47"/>
      <c r="I128" s="58">
        <f>IFERROR(VLOOKUP(C128,'Infos Clientes'!B:E,4,),"")</f>
        <v>371</v>
      </c>
      <c r="J128" s="109">
        <v>0.25</v>
      </c>
      <c r="K128" s="59">
        <f>INDEX('Infos Clientes'!$M:$M,MATCH('Detalhe Por UC'!C128,'Infos Clientes'!B:B,0))</f>
        <v>0.25</v>
      </c>
      <c r="L128" s="110">
        <v>0</v>
      </c>
      <c r="M128" s="56">
        <f>INDEX('Infos Clientes'!$N:$N,MATCH('Detalhe Por UC'!C128,'Infos Clientes'!B:B,0))</f>
        <v>0</v>
      </c>
      <c r="N128" s="56">
        <f t="shared" si="44"/>
        <v>0</v>
      </c>
      <c r="O128" s="56">
        <f t="shared" si="45"/>
        <v>12</v>
      </c>
      <c r="P128" s="56">
        <f t="shared" si="46"/>
        <v>0</v>
      </c>
      <c r="Q128" s="61">
        <f>IFERROR(IFERROR(INDEX('Infos Clientes'!$A$2:$V$9884,MATCH($C128,'Infos Clientes'!$B$2:$B$9884,0),MATCH(Q$8,'Infos Clientes'!$A$2:$V$2,0)),"")
+IF(OR(INDEX('Infos Clientes'!$A$2:$V$9884,MATCH($C128,'Infos Clientes'!$B$2:$B$9884,0),MATCH("Tempo de Fidelidade (meses)",'Infos Clientes'!$A$2:$V$2,0))=0,R128&gt;=MAX(R:R)),0,
ROUND((MAX(R:R)-R128)/(365/12),0)),"")</f>
        <v>0</v>
      </c>
      <c r="R128" s="111">
        <v>45627</v>
      </c>
      <c r="S128" s="112">
        <v>0.06</v>
      </c>
      <c r="T128" s="113" t="str">
        <f>IF($H128="GIROSSOL II",AP128/INDEX('Resumo Operacional'!$A$1:$P$1103,17,MATCH('Detalhe Por UC'!$R128,'Resumo Operacional'!$A$1:$P$1,0)),
IF($H128="GIROSSOL II e III",AP128/INDEX('Resumo Operacional'!$A$1:$P$1103,17,MATCH('Detalhe Por UC'!$R128,'Resumo Operacional'!$A$1:$P$1,0)),
""))</f>
        <v/>
      </c>
      <c r="U128" s="113" t="str">
        <f>IF($H128="GIROSSOL III",AP128/INDEX('Resumo Operacional'!$A$1:$P$1103,53,MATCH('Detalhe Por UC'!$R128,'Resumo Operacional'!$A$1:$P$1,0)),
IF($H128="GIROSSOL II e III",AP128/INDEX('Resumo Operacional'!$A$1:$P$1103,53,MATCH('Detalhe Por UC'!$R128,'Resumo Operacional'!$A$1:$P$1,0)),
""))</f>
        <v/>
      </c>
      <c r="V128" s="67"/>
      <c r="W128" s="67"/>
      <c r="X128" s="67">
        <v>1.1179374395999726</v>
      </c>
      <c r="Y128" s="66"/>
      <c r="Z128" s="66">
        <v>1.117940725159035</v>
      </c>
      <c r="AA128" s="66"/>
      <c r="AB128" s="68">
        <v>1255</v>
      </c>
      <c r="AC128" s="122"/>
      <c r="AD128" s="69">
        <v>616</v>
      </c>
      <c r="AE128" s="35"/>
      <c r="AF128" s="69">
        <v>0</v>
      </c>
      <c r="AG128" s="120"/>
      <c r="AH128" s="119">
        <v>52.959999999999994</v>
      </c>
      <c r="AI128" s="38"/>
      <c r="AJ128" s="38"/>
      <c r="AK128" s="21"/>
      <c r="AL128" s="38"/>
      <c r="AM128" s="1"/>
      <c r="AN128" s="71">
        <f t="shared" si="47"/>
        <v>0</v>
      </c>
      <c r="AO128" s="71">
        <f t="shared" si="48"/>
        <v>0</v>
      </c>
      <c r="AP128" s="71">
        <f t="shared" si="49"/>
        <v>616</v>
      </c>
      <c r="AQ128" s="72" t="e">
        <f>IF(OR($H128="GIROSSOL II",$H128="GIROSSOL II e III"),INDEX('Resumo Operacional'!$A$1:$P$1103,MATCH("Energia Injetada prevista total Fatura da Usina (TUSD)",'Resumo Operacional'!$B$1:$B$1103,0),MATCH('Detalhe Por UC'!$R128,'Resumo Operacional'!$A$1:$P$1,0))*$S128,INDEX('Resumo Operacional'!$A$1:$P$1103,53,MATCH('Detalhe Por UC'!$R128,'Resumo Operacional'!$A$1:$P$1,0))*$S128)</f>
        <v>#N/A</v>
      </c>
      <c r="AR128" s="71" t="e">
        <f t="shared" si="50"/>
        <v>#N/A</v>
      </c>
      <c r="AS128" s="73">
        <f t="shared" si="51"/>
        <v>767.32000000000016</v>
      </c>
      <c r="AT128" s="74">
        <f t="shared" si="52"/>
        <v>767.32000000000016</v>
      </c>
      <c r="AU128" s="74">
        <f t="shared" si="53"/>
        <v>1.1179440107180973</v>
      </c>
      <c r="AV128" s="74">
        <f t="shared" si="54"/>
        <v>516.48861502347415</v>
      </c>
      <c r="AW128" s="74">
        <f t="shared" si="55"/>
        <v>0</v>
      </c>
      <c r="AX128" s="74">
        <f t="shared" si="56"/>
        <v>688.65148669796554</v>
      </c>
      <c r="AY128" s="74">
        <f t="shared" si="57"/>
        <v>516.49</v>
      </c>
      <c r="AZ128" s="49"/>
      <c r="BA128" s="49"/>
      <c r="BB128" s="49"/>
      <c r="BC128" s="73" t="str">
        <f t="shared" si="58"/>
        <v/>
      </c>
      <c r="BD128" s="73">
        <f t="shared" si="59"/>
        <v>1455.9714866979657</v>
      </c>
      <c r="BE128" s="73">
        <f t="shared" si="60"/>
        <v>1283.8086150234744</v>
      </c>
      <c r="BF128" s="77">
        <f t="shared" si="61"/>
        <v>172.16</v>
      </c>
      <c r="BG128" s="77">
        <f t="shared" si="62"/>
        <v>51.647999999999996</v>
      </c>
      <c r="BH128" s="77">
        <f t="shared" si="63"/>
        <v>688.65148669796554</v>
      </c>
      <c r="BI128" s="78">
        <f t="shared" si="64"/>
        <v>0.25</v>
      </c>
      <c r="BJ128" s="79">
        <f t="shared" si="65"/>
        <v>0.11824407385232934</v>
      </c>
      <c r="BK128" s="80">
        <f t="shared" si="66"/>
        <v>1283.8100000000002</v>
      </c>
      <c r="BL128" s="80">
        <f t="shared" si="67"/>
        <v>172.16148669796553</v>
      </c>
      <c r="BM128" s="79">
        <f t="shared" si="68"/>
        <v>0.11824509495609346</v>
      </c>
      <c r="BN128" s="81">
        <f t="shared" si="69"/>
        <v>0.83845779220779226</v>
      </c>
      <c r="BO128" s="82">
        <f t="shared" si="70"/>
        <v>516.49</v>
      </c>
      <c r="BP128" s="81">
        <f t="shared" si="71"/>
        <v>0.83845779220779226</v>
      </c>
      <c r="BQ128" s="81">
        <f t="shared" si="72"/>
        <v>0.83845450664872989</v>
      </c>
      <c r="BR128" s="81">
        <f t="shared" si="73"/>
        <v>1.1179374395999726</v>
      </c>
      <c r="BS128" s="82">
        <f t="shared" si="74"/>
        <v>616</v>
      </c>
      <c r="BT128" s="82">
        <f t="shared" si="75"/>
        <v>688.6494627935831</v>
      </c>
      <c r="BU128" s="82">
        <f t="shared" si="76"/>
        <v>688.65148669796554</v>
      </c>
      <c r="BV128"/>
      <c r="BW128" s="82">
        <f>IFERROR(INDEX('Infos Clientes'!$T:$T,MATCH('Detalhe Por UC'!$C128,'Infos Clientes'!B:B,0)),"")</f>
        <v>1056.1666666666667</v>
      </c>
      <c r="BX128" s="83">
        <f t="shared" si="77"/>
        <v>0</v>
      </c>
      <c r="BY128" s="84">
        <f t="shared" si="78"/>
        <v>0.24999872358801137</v>
      </c>
      <c r="BZ128" s="85">
        <f>IF(_xlfn.MINIFS('Detalhe Por UC'!R:R,'Detalhe Por UC'!C:C,C128,'Detalhe Por UC'!AD:AD,"&gt;"&amp;0)=0,"",_xlfn.MINIFS('Detalhe Por UC'!R:R,'Detalhe Por UC'!C:C,C128,'Detalhe Por UC'!AD:AD,"&gt;"&amp;0))</f>
        <v>45627</v>
      </c>
      <c r="CA128" s="114">
        <f ca="1">IF(OR(S128&gt;0,AD128&gt;0),IFERROR(
SUMIFS(INDIRECT("'Infos Clientes'!$W"&amp;INDEX('Infos Clientes'!$C:$C,MATCH(C128,'Infos Clientes'!$H:$H,0))&amp;":$CZ"&amp;INDEX('Infos Clientes'!$C:$C,MATCH(C128,'Infos Clientes'!$H:$H,0))),'Infos Clientes'!$W$2:$CZ$2,"&gt;"&amp;$R128-365,'Infos Clientes'!$W$2:$CZ$2,"&lt;="&amp;$R128)/
COUNTIFS(INDIRECT("'Infos Clientes'!$W"&amp;INDEX('Infos Clientes'!$C:$C,MATCH(C128,'Infos Clientes'!$H:$H,0))&amp;":$CZ"&amp;INDEX('Infos Clientes'!$C:$C,MATCH(C128,'Infos Clientes'!$H:$H,0))),"&gt;="&amp;0,'Infos Clientes'!$W$2:$CZ$2,"&gt;"&amp;$R128-365,'Infos Clientes'!$W$2:$CZ$2,"&lt;="&amp;$R128),""),"")</f>
        <v>999.16666666666663</v>
      </c>
      <c r="CB128" s="87">
        <f>VLOOKUP(C128,'Infos Clientes'!B:L,11,0)</f>
        <v>0</v>
      </c>
      <c r="CC128" s="88" t="str">
        <f t="shared" si="79"/>
        <v>A Unidade Consumidora 10/2605731-5 economizou R$172,16 na fatura referente à dez/2024  consumindo 616 kWh em créditos de energia renovável conforme fatura de energia. A economia foi de 25% em relação ao que seria pago para a Energisa considerando os créditos consumidos. Atenção: Mantenha as contas da Energisa em dia para evitar cortes.</v>
      </c>
      <c r="CD128" s="40" t="s">
        <v>56</v>
      </c>
      <c r="CF128" s="115">
        <f t="shared" si="80"/>
        <v>-767.32000000000016</v>
      </c>
    </row>
    <row r="129" spans="1:84" s="40" customFormat="1" ht="16.2" hidden="1" customHeight="1" x14ac:dyDescent="0.3">
      <c r="A129" s="105" t="str">
        <f>INDEX('Infos Clientes'!$D:$D,MATCH('Detalhe Por UC'!C129,'Infos Clientes'!B:B,0))</f>
        <v>IGREJA DO EVANGELHO QUADRANGULAR</v>
      </c>
      <c r="B129" s="106" t="str">
        <f>INDEX('Infos Clientes'!$F:$F,MATCH('Detalhe Por UC'!C129,'Infos Clientes'!B:B,0))</f>
        <v>62.955.505/0884-04</v>
      </c>
      <c r="C129" s="31" t="s">
        <v>88</v>
      </c>
      <c r="D129" t="s">
        <v>351</v>
      </c>
      <c r="E129" s="1" t="s">
        <v>352</v>
      </c>
      <c r="F129" s="56" t="str">
        <f>INDEX('Infos Clientes'!$I:$I,MATCH('Detalhe Por UC'!C129,'Infos Clientes'!B:B,0))</f>
        <v>BT</v>
      </c>
      <c r="G129" s="56" t="str">
        <f>INDEX('Infos Clientes'!$J:$J,MATCH('Detalhe Por UC'!C129,'Infos Clientes'!B:B,0))</f>
        <v>trifasico</v>
      </c>
      <c r="H129" s="47"/>
      <c r="I129" s="58">
        <f>IFERROR(VLOOKUP(C129,'Infos Clientes'!B:E,4,),"")</f>
        <v>994</v>
      </c>
      <c r="J129" s="109">
        <v>0.25</v>
      </c>
      <c r="K129" s="59">
        <f>INDEX('Infos Clientes'!$M:$M,MATCH('Detalhe Por UC'!C129,'Infos Clientes'!B:B,0))</f>
        <v>0.25</v>
      </c>
      <c r="L129" s="110">
        <v>0</v>
      </c>
      <c r="M129" s="56">
        <f>INDEX('Infos Clientes'!$N:$N,MATCH('Detalhe Por UC'!C129,'Infos Clientes'!B:B,0))</f>
        <v>0</v>
      </c>
      <c r="N129" s="56">
        <f t="shared" si="44"/>
        <v>0</v>
      </c>
      <c r="O129" s="56">
        <f t="shared" si="45"/>
        <v>12</v>
      </c>
      <c r="P129" s="56">
        <f t="shared" si="46"/>
        <v>0</v>
      </c>
      <c r="Q129" s="61">
        <f>IFERROR(IFERROR(INDEX('Infos Clientes'!$A$2:$V$9884,MATCH($C129,'Infos Clientes'!$B$2:$B$9884,0),MATCH(Q$8,'Infos Clientes'!$A$2:$V$2,0)),"")
+IF(OR(INDEX('Infos Clientes'!$A$2:$V$9884,MATCH($C129,'Infos Clientes'!$B$2:$B$9884,0),MATCH("Tempo de Fidelidade (meses)",'Infos Clientes'!$A$2:$V$2,0))=0,R129&gt;=MAX(R:R)),0,
ROUND((MAX(R:R)-R129)/(365/12),0)),"")</f>
        <v>0</v>
      </c>
      <c r="R129" s="111">
        <v>45627</v>
      </c>
      <c r="S129" s="112">
        <v>0.02</v>
      </c>
      <c r="T129" s="113" t="str">
        <f>IF($H129="GIROSSOL II",AP129/INDEX('Resumo Operacional'!$A$1:$P$1103,17,MATCH('Detalhe Por UC'!$R129,'Resumo Operacional'!$A$1:$P$1,0)),
IF($H129="GIROSSOL II e III",AP129/INDEX('Resumo Operacional'!$A$1:$P$1103,17,MATCH('Detalhe Por UC'!$R129,'Resumo Operacional'!$A$1:$P$1,0)),
""))</f>
        <v/>
      </c>
      <c r="U129" s="113" t="str">
        <f>IF($H129="GIROSSOL III",AP129/INDEX('Resumo Operacional'!$A$1:$P$1103,53,MATCH('Detalhe Por UC'!$R129,'Resumo Operacional'!$A$1:$P$1,0)),
IF($H129="GIROSSOL II e III",AP129/INDEX('Resumo Operacional'!$A$1:$P$1103,53,MATCH('Detalhe Por UC'!$R129,'Resumo Operacional'!$A$1:$P$1,0)),
""))</f>
        <v/>
      </c>
      <c r="V129" s="67"/>
      <c r="W129" s="67"/>
      <c r="X129" s="67">
        <v>1.1187465753424657</v>
      </c>
      <c r="Y129" s="66"/>
      <c r="Z129" s="66">
        <v>1.1187264150943397</v>
      </c>
      <c r="AA129" s="66"/>
      <c r="AB129" s="68">
        <v>365</v>
      </c>
      <c r="AC129" s="122"/>
      <c r="AD129" s="69">
        <v>265</v>
      </c>
      <c r="AE129" s="35"/>
      <c r="AF129" s="69">
        <v>835</v>
      </c>
      <c r="AG129" s="120"/>
      <c r="AH129" s="119">
        <v>61.29</v>
      </c>
      <c r="AI129" s="38"/>
      <c r="AJ129" s="38"/>
      <c r="AK129" s="21"/>
      <c r="AL129" s="38"/>
      <c r="AM129" s="1"/>
      <c r="AN129" s="71">
        <f t="shared" si="47"/>
        <v>835</v>
      </c>
      <c r="AO129" s="71">
        <f t="shared" si="48"/>
        <v>0</v>
      </c>
      <c r="AP129" s="71">
        <f t="shared" si="49"/>
        <v>1100</v>
      </c>
      <c r="AQ129" s="72" t="e">
        <f>IF(OR($H129="GIROSSOL II",$H129="GIROSSOL II e III"),INDEX('Resumo Operacional'!$A$1:$P$1103,MATCH("Energia Injetada prevista total Fatura da Usina (TUSD)",'Resumo Operacional'!$B$1:$B$1103,0),MATCH('Detalhe Por UC'!$R129,'Resumo Operacional'!$A$1:$P$1,0))*$S129,INDEX('Resumo Operacional'!$A$1:$P$1103,53,MATCH('Detalhe Por UC'!$R129,'Resumo Operacional'!$A$1:$P$1,0))*$S129)</f>
        <v>#N/A</v>
      </c>
      <c r="AR129" s="71" t="e">
        <f t="shared" si="50"/>
        <v>#N/A</v>
      </c>
      <c r="AS129" s="73">
        <f t="shared" si="51"/>
        <v>173.16999999999993</v>
      </c>
      <c r="AT129" s="74">
        <f t="shared" si="52"/>
        <v>173.16999999999993</v>
      </c>
      <c r="AU129" s="74">
        <f t="shared" si="53"/>
        <v>1.1187062548462137</v>
      </c>
      <c r="AV129" s="74">
        <f t="shared" si="54"/>
        <v>222.34687499999998</v>
      </c>
      <c r="AW129" s="74">
        <f t="shared" si="55"/>
        <v>0</v>
      </c>
      <c r="AX129" s="74">
        <f t="shared" si="56"/>
        <v>296.46250000000003</v>
      </c>
      <c r="AY129" s="74">
        <f t="shared" si="57"/>
        <v>222.35</v>
      </c>
      <c r="AZ129" s="49"/>
      <c r="BA129" s="49"/>
      <c r="BB129" s="49"/>
      <c r="BC129" s="73" t="str">
        <f t="shared" si="58"/>
        <v/>
      </c>
      <c r="BD129" s="73">
        <f t="shared" si="59"/>
        <v>469.63249999999999</v>
      </c>
      <c r="BE129" s="73">
        <f t="shared" si="60"/>
        <v>395.51687499999991</v>
      </c>
      <c r="BF129" s="77">
        <f t="shared" si="61"/>
        <v>74.12</v>
      </c>
      <c r="BG129" s="77">
        <f t="shared" si="62"/>
        <v>22.236000000000001</v>
      </c>
      <c r="BH129" s="77">
        <f t="shared" si="63"/>
        <v>296.46249999999998</v>
      </c>
      <c r="BI129" s="78">
        <f t="shared" si="64"/>
        <v>0.25</v>
      </c>
      <c r="BJ129" s="79">
        <f t="shared" si="65"/>
        <v>0.15782553379504188</v>
      </c>
      <c r="BK129" s="80">
        <f t="shared" si="66"/>
        <v>395.51999999999992</v>
      </c>
      <c r="BL129" s="80">
        <f t="shared" si="67"/>
        <v>74.112500000000068</v>
      </c>
      <c r="BM129" s="79">
        <f t="shared" si="68"/>
        <v>0.15780956386110431</v>
      </c>
      <c r="BN129" s="81">
        <f t="shared" si="69"/>
        <v>0.83905660377358493</v>
      </c>
      <c r="BO129" s="82">
        <f t="shared" si="70"/>
        <v>222.35</v>
      </c>
      <c r="BP129" s="81">
        <f t="shared" si="71"/>
        <v>0.83905660377358493</v>
      </c>
      <c r="BQ129" s="81">
        <f t="shared" si="72"/>
        <v>0.83907676402171094</v>
      </c>
      <c r="BR129" s="81">
        <f t="shared" si="73"/>
        <v>1.1187465753424657</v>
      </c>
      <c r="BS129" s="82">
        <f t="shared" si="74"/>
        <v>265</v>
      </c>
      <c r="BT129" s="82">
        <f t="shared" si="75"/>
        <v>296.46784246575339</v>
      </c>
      <c r="BU129" s="82">
        <f t="shared" si="76"/>
        <v>296.46250000000003</v>
      </c>
      <c r="BV129"/>
      <c r="BW129" s="82">
        <f>IFERROR(INDEX('Infos Clientes'!$T:$T,MATCH('Detalhe Por UC'!$C129,'Infos Clientes'!B:B,0)),"")</f>
        <v>335.75</v>
      </c>
      <c r="BX129" s="83">
        <f t="shared" si="77"/>
        <v>0</v>
      </c>
      <c r="BY129" s="84">
        <f t="shared" si="78"/>
        <v>0.24998495413060234</v>
      </c>
      <c r="BZ129" s="85">
        <f>IF(_xlfn.MINIFS('Detalhe Por UC'!R:R,'Detalhe Por UC'!C:C,C129,'Detalhe Por UC'!AD:AD,"&gt;"&amp;0)=0,"",_xlfn.MINIFS('Detalhe Por UC'!R:R,'Detalhe Por UC'!C:C,C129,'Detalhe Por UC'!AD:AD,"&gt;"&amp;0))</f>
        <v>45627</v>
      </c>
      <c r="CA129" s="114">
        <f ca="1">IF(OR(S129&gt;0,AD129&gt;0),IFERROR(
SUMIFS(INDIRECT("'Infos Clientes'!$W"&amp;INDEX('Infos Clientes'!$C:$C,MATCH(C129,'Infos Clientes'!$H:$H,0))&amp;":$CZ"&amp;INDEX('Infos Clientes'!$C:$C,MATCH(C129,'Infos Clientes'!$H:$H,0))),'Infos Clientes'!$W$2:$CZ$2,"&gt;"&amp;$R129-365,'Infos Clientes'!$W$2:$CZ$2,"&lt;="&amp;$R129)/
COUNTIFS(INDIRECT("'Infos Clientes'!$W"&amp;INDEX('Infos Clientes'!$C:$C,MATCH(C129,'Infos Clientes'!$H:$H,0))&amp;":$CZ"&amp;INDEX('Infos Clientes'!$C:$C,MATCH(C129,'Infos Clientes'!$H:$H,0))),"&gt;="&amp;0,'Infos Clientes'!$W$2:$CZ$2,"&gt;"&amp;$R129-365,'Infos Clientes'!$W$2:$CZ$2,"&lt;="&amp;$R129),""),"")</f>
        <v>332.08333333333331</v>
      </c>
      <c r="CB129" s="87">
        <f>VLOOKUP(C129,'Infos Clientes'!B:L,11,0)</f>
        <v>0</v>
      </c>
      <c r="CC129" s="88" t="str">
        <f t="shared" si="79"/>
        <v>A Unidade Consumidora 10/276283-9 economizou R$74,12 na fatura referente à dez/2024  consumindo 265 kWh em créditos de energia renovável conforme fatura de energia. A economia foi de 25% em relação ao que seria pago para a Energisa considerando os créditos consumidos. Atenção: Mantenha as contas da Energisa em dia para evitar cortes.</v>
      </c>
      <c r="CD129" s="40" t="s">
        <v>90</v>
      </c>
      <c r="CF129" s="115">
        <f t="shared" si="80"/>
        <v>-173.16999999999993</v>
      </c>
    </row>
    <row r="130" spans="1:84" s="40" customFormat="1" ht="16.2" hidden="1" customHeight="1" x14ac:dyDescent="0.3">
      <c r="A130" s="105" t="str">
        <f>INDEX('Infos Clientes'!$D:$D,MATCH('Detalhe Por UC'!C130,'Infos Clientes'!B:B,0))</f>
        <v>IGREJA DO EVANGELHO QUADRANGULAR</v>
      </c>
      <c r="B130" s="106" t="str">
        <f>INDEX('Infos Clientes'!$F:$F,MATCH('Detalhe Por UC'!C130,'Infos Clientes'!B:B,0))</f>
        <v>62.955.505/0676-60</v>
      </c>
      <c r="C130" s="31" t="s">
        <v>91</v>
      </c>
      <c r="D130" t="s">
        <v>351</v>
      </c>
      <c r="E130" s="1" t="s">
        <v>352</v>
      </c>
      <c r="F130" s="56" t="str">
        <f>INDEX('Infos Clientes'!$I:$I,MATCH('Detalhe Por UC'!C130,'Infos Clientes'!B:B,0))</f>
        <v>BT</v>
      </c>
      <c r="G130" s="56" t="str">
        <f>INDEX('Infos Clientes'!$J:$J,MATCH('Detalhe Por UC'!C130,'Infos Clientes'!B:B,0))</f>
        <v>trifasico</v>
      </c>
      <c r="H130" s="47"/>
      <c r="I130" s="58">
        <f>IFERROR(VLOOKUP(C130,'Infos Clientes'!B:E,4,),"")</f>
        <v>357</v>
      </c>
      <c r="J130" s="109">
        <v>0.25</v>
      </c>
      <c r="K130" s="59">
        <f>INDEX('Infos Clientes'!$M:$M,MATCH('Detalhe Por UC'!C130,'Infos Clientes'!B:B,0))</f>
        <v>0.25</v>
      </c>
      <c r="L130" s="110">
        <v>0</v>
      </c>
      <c r="M130" s="56">
        <f>INDEX('Infos Clientes'!$N:$N,MATCH('Detalhe Por UC'!C130,'Infos Clientes'!B:B,0))</f>
        <v>0</v>
      </c>
      <c r="N130" s="56">
        <f t="shared" si="44"/>
        <v>0</v>
      </c>
      <c r="O130" s="56">
        <f t="shared" si="45"/>
        <v>12</v>
      </c>
      <c r="P130" s="56">
        <f t="shared" si="46"/>
        <v>0</v>
      </c>
      <c r="Q130" s="61">
        <f>IFERROR(IFERROR(INDEX('Infos Clientes'!$A$2:$V$9884,MATCH($C130,'Infos Clientes'!$B$2:$B$9884,0),MATCH(Q$8,'Infos Clientes'!$A$2:$V$2,0)),"")
+IF(OR(INDEX('Infos Clientes'!$A$2:$V$9884,MATCH($C130,'Infos Clientes'!$B$2:$B$9884,0),MATCH("Tempo de Fidelidade (meses)",'Infos Clientes'!$A$2:$V$2,0))=0,R130&gt;=MAX(R:R)),0,
ROUND((MAX(R:R)-R130)/(365/12),0)),"")</f>
        <v>0</v>
      </c>
      <c r="R130" s="111">
        <v>45627</v>
      </c>
      <c r="S130" s="112">
        <v>0.04</v>
      </c>
      <c r="T130" s="113" t="str">
        <f>IF($H130="GIROSSOL II",AP130/INDEX('Resumo Operacional'!$A$1:$P$1103,17,MATCH('Detalhe Por UC'!$R130,'Resumo Operacional'!$A$1:$P$1,0)),
IF($H130="GIROSSOL II e III",AP130/INDEX('Resumo Operacional'!$A$1:$P$1103,17,MATCH('Detalhe Por UC'!$R130,'Resumo Operacional'!$A$1:$P$1,0)),
""))</f>
        <v/>
      </c>
      <c r="U130" s="113" t="str">
        <f>IF($H130="GIROSSOL III",AP130/INDEX('Resumo Operacional'!$A$1:$P$1103,53,MATCH('Detalhe Por UC'!$R130,'Resumo Operacional'!$A$1:$P$1,0)),
IF($H130="GIROSSOL II e III",AP130/INDEX('Resumo Operacional'!$A$1:$P$1103,53,MATCH('Detalhe Por UC'!$R130,'Resumo Operacional'!$A$1:$P$1,0)),
""))</f>
        <v/>
      </c>
      <c r="V130" s="67"/>
      <c r="W130" s="67"/>
      <c r="X130" s="67">
        <v>1.1308609786700126</v>
      </c>
      <c r="Y130" s="67"/>
      <c r="Z130" s="66">
        <v>1.1308553802008607</v>
      </c>
      <c r="AA130" s="66"/>
      <c r="AB130" s="68">
        <v>797</v>
      </c>
      <c r="AC130" s="69"/>
      <c r="AD130" s="69">
        <v>697</v>
      </c>
      <c r="AE130" s="35"/>
      <c r="AF130" s="69">
        <v>54</v>
      </c>
      <c r="AG130" s="120"/>
      <c r="AH130" s="119">
        <v>0</v>
      </c>
      <c r="AI130" s="38"/>
      <c r="AJ130" s="38"/>
      <c r="AK130" s="21"/>
      <c r="AL130" s="38"/>
      <c r="AM130" s="1"/>
      <c r="AN130" s="71">
        <f t="shared" si="47"/>
        <v>54</v>
      </c>
      <c r="AO130" s="71">
        <f t="shared" si="48"/>
        <v>0</v>
      </c>
      <c r="AP130" s="71">
        <f t="shared" si="49"/>
        <v>751</v>
      </c>
      <c r="AQ130" s="72" t="e">
        <f>IF(OR($H130="GIROSSOL II",$H130="GIROSSOL II e III"),INDEX('Resumo Operacional'!$A$1:$P$1103,MATCH("Energia Injetada prevista total Fatura da Usina (TUSD)",'Resumo Operacional'!$B$1:$B$1103,0),MATCH('Detalhe Por UC'!$R130,'Resumo Operacional'!$A$1:$P$1,0))*$S130,INDEX('Resumo Operacional'!$A$1:$P$1103,53,MATCH('Detalhe Por UC'!$R130,'Resumo Operacional'!$A$1:$P$1,0))*$S130)</f>
        <v>#N/A</v>
      </c>
      <c r="AR130" s="71" t="e">
        <f t="shared" si="50"/>
        <v>#N/A</v>
      </c>
      <c r="AS130" s="73">
        <f t="shared" si="51"/>
        <v>113.09000000000003</v>
      </c>
      <c r="AT130" s="74">
        <f t="shared" si="52"/>
        <v>113.09000000000003</v>
      </c>
      <c r="AU130" s="74">
        <f t="shared" si="53"/>
        <v>1.1308497817317089</v>
      </c>
      <c r="AV130" s="74">
        <f t="shared" si="54"/>
        <v>591.15464999999995</v>
      </c>
      <c r="AW130" s="74">
        <f t="shared" si="55"/>
        <v>0</v>
      </c>
      <c r="AX130" s="74">
        <f t="shared" si="56"/>
        <v>788.20619999999997</v>
      </c>
      <c r="AY130" s="74">
        <f t="shared" si="57"/>
        <v>591.15</v>
      </c>
      <c r="AZ130" s="49"/>
      <c r="BA130" s="49"/>
      <c r="BB130" s="49"/>
      <c r="BC130" s="73" t="str">
        <f t="shared" si="58"/>
        <v/>
      </c>
      <c r="BD130" s="73">
        <f t="shared" si="59"/>
        <v>901.2962</v>
      </c>
      <c r="BE130" s="73">
        <f t="shared" si="60"/>
        <v>704.24464999999998</v>
      </c>
      <c r="BF130" s="77">
        <f t="shared" si="61"/>
        <v>197.05</v>
      </c>
      <c r="BG130" s="77">
        <f t="shared" si="62"/>
        <v>59.115000000000002</v>
      </c>
      <c r="BH130" s="77">
        <f t="shared" si="63"/>
        <v>788.20619999999985</v>
      </c>
      <c r="BI130" s="78">
        <f t="shared" si="64"/>
        <v>0.25</v>
      </c>
      <c r="BJ130" s="79">
        <f t="shared" si="65"/>
        <v>0.21862956928033206</v>
      </c>
      <c r="BK130" s="80">
        <f t="shared" si="66"/>
        <v>704.24</v>
      </c>
      <c r="BL130" s="80">
        <f t="shared" si="67"/>
        <v>197.05619999999999</v>
      </c>
      <c r="BM130" s="79">
        <f t="shared" si="68"/>
        <v>0.21863644826195872</v>
      </c>
      <c r="BN130" s="81">
        <f t="shared" si="69"/>
        <v>0.8481348637015782</v>
      </c>
      <c r="BO130" s="82">
        <f t="shared" si="70"/>
        <v>591.15</v>
      </c>
      <c r="BP130" s="81">
        <f t="shared" si="71"/>
        <v>0.8481348637015782</v>
      </c>
      <c r="BQ130" s="81">
        <f t="shared" si="72"/>
        <v>0.84814046217073003</v>
      </c>
      <c r="BR130" s="81">
        <f t="shared" si="73"/>
        <v>1.1308609786700126</v>
      </c>
      <c r="BS130" s="82">
        <f t="shared" si="74"/>
        <v>697</v>
      </c>
      <c r="BT130" s="82">
        <f t="shared" si="75"/>
        <v>788.21010213299871</v>
      </c>
      <c r="BU130" s="82">
        <f t="shared" si="76"/>
        <v>788.20619999999997</v>
      </c>
      <c r="BV130"/>
      <c r="BW130" s="82">
        <f>IFERROR(INDEX('Infos Clientes'!$T:$T,MATCH('Detalhe Por UC'!$C130,'Infos Clientes'!B:B,0)),"")</f>
        <v>708</v>
      </c>
      <c r="BX130" s="83">
        <f t="shared" si="77"/>
        <v>0</v>
      </c>
      <c r="BY130" s="84">
        <f t="shared" si="78"/>
        <v>0.25000466178591252</v>
      </c>
      <c r="BZ130" s="85">
        <f>IF(_xlfn.MINIFS('Detalhe Por UC'!R:R,'Detalhe Por UC'!C:C,C130,'Detalhe Por UC'!AD:AD,"&gt;"&amp;0)=0,"",_xlfn.MINIFS('Detalhe Por UC'!R:R,'Detalhe Por UC'!C:C,C130,'Detalhe Por UC'!AD:AD,"&gt;"&amp;0))</f>
        <v>45627</v>
      </c>
      <c r="CA130" s="114">
        <f ca="1">IF(OR(S130&gt;0,AD130&gt;0),IFERROR(
SUMIFS(INDIRECT("'Infos Clientes'!$W"&amp;INDEX('Infos Clientes'!$C:$C,MATCH(C130,'Infos Clientes'!$H:$H,0))&amp;":$CZ"&amp;INDEX('Infos Clientes'!$C:$C,MATCH(C130,'Infos Clientes'!$H:$H,0))),'Infos Clientes'!$W$2:$CZ$2,"&gt;"&amp;$R130-365,'Infos Clientes'!$W$2:$CZ$2,"&lt;="&amp;$R130)/
COUNTIFS(INDIRECT("'Infos Clientes'!$W"&amp;INDEX('Infos Clientes'!$C:$C,MATCH(C130,'Infos Clientes'!$H:$H,0))&amp;":$CZ"&amp;INDEX('Infos Clientes'!$C:$C,MATCH(C130,'Infos Clientes'!$H:$H,0))),"&gt;="&amp;0,'Infos Clientes'!$W$2:$CZ$2,"&gt;"&amp;$R130-365,'Infos Clientes'!$W$2:$CZ$2,"&lt;="&amp;$R130),""),"")</f>
        <v>710.83333333333337</v>
      </c>
      <c r="CB130" s="87">
        <f>VLOOKUP(C130,'Infos Clientes'!B:L,11,0)</f>
        <v>0</v>
      </c>
      <c r="CC130" s="88" t="str">
        <f t="shared" si="79"/>
        <v>A Unidade Consumidora 10/29964-4 economizou R$197,05 na fatura referente à dez/2024  consumindo 697 kWh em créditos de energia renovável conforme fatura de energia. A economia foi de 25% em relação ao que seria pago para a Energisa considerando os créditos consumidos. Atenção: Mantenha as contas da Energisa em dia para evitar cortes.</v>
      </c>
      <c r="CD130" s="40" t="s">
        <v>93</v>
      </c>
      <c r="CF130" s="115">
        <f t="shared" si="80"/>
        <v>-113.09000000000003</v>
      </c>
    </row>
    <row r="131" spans="1:84" s="40" customFormat="1" ht="16.2" hidden="1" customHeight="1" x14ac:dyDescent="0.3">
      <c r="A131" s="105" t="str">
        <f>INDEX('Infos Clientes'!$D:$D,MATCH('Detalhe Por UC'!C131,'Infos Clientes'!B:B,0))</f>
        <v>IGREJA DO EVANGELHO QUADRANGULAR</v>
      </c>
      <c r="B131" s="106" t="str">
        <f>INDEX('Infos Clientes'!$F:$F,MATCH('Detalhe Por UC'!C131,'Infos Clientes'!B:B,0))</f>
        <v>62.955.505/0577-89</v>
      </c>
      <c r="C131" s="31" t="s">
        <v>94</v>
      </c>
      <c r="D131" t="s">
        <v>351</v>
      </c>
      <c r="E131" s="1" t="s">
        <v>352</v>
      </c>
      <c r="F131" s="56" t="str">
        <f>INDEX('Infos Clientes'!$I:$I,MATCH('Detalhe Por UC'!C131,'Infos Clientes'!B:B,0))</f>
        <v>BT</v>
      </c>
      <c r="G131" s="56" t="str">
        <f>INDEX('Infos Clientes'!$J:$J,MATCH('Detalhe Por UC'!C131,'Infos Clientes'!B:B,0))</f>
        <v>bifasico</v>
      </c>
      <c r="H131" s="108"/>
      <c r="I131" s="58">
        <f>IFERROR(VLOOKUP(C131,'Infos Clientes'!B:E,4,),"")</f>
        <v>319</v>
      </c>
      <c r="J131" s="109">
        <v>0.25</v>
      </c>
      <c r="K131" s="59">
        <f>INDEX('Infos Clientes'!$M:$M,MATCH('Detalhe Por UC'!C131,'Infos Clientes'!B:B,0))</f>
        <v>0.25</v>
      </c>
      <c r="L131" s="110">
        <v>0</v>
      </c>
      <c r="M131" s="56">
        <f>INDEX('Infos Clientes'!$N:$N,MATCH('Detalhe Por UC'!C131,'Infos Clientes'!B:B,0))</f>
        <v>0</v>
      </c>
      <c r="N131" s="56">
        <f t="shared" si="44"/>
        <v>0</v>
      </c>
      <c r="O131" s="56">
        <f t="shared" si="45"/>
        <v>10</v>
      </c>
      <c r="P131" s="56">
        <f t="shared" si="46"/>
        <v>0</v>
      </c>
      <c r="Q131" s="61">
        <f>IFERROR(IFERROR(INDEX('Infos Clientes'!$A$2:$V$9884,MATCH($C131,'Infos Clientes'!$B$2:$B$9884,0),MATCH(Q$8,'Infos Clientes'!$A$2:$V$2,0)),"")
+IF(OR(INDEX('Infos Clientes'!$A$2:$V$9884,MATCH($C131,'Infos Clientes'!$B$2:$B$9884,0),MATCH("Tempo de Fidelidade (meses)",'Infos Clientes'!$A$2:$V$2,0))=0,R131&gt;=MAX(R:R)),0,
ROUND((MAX(R:R)-R131)/(365/12),0)),"")</f>
        <v>0</v>
      </c>
      <c r="R131" s="111">
        <v>45627</v>
      </c>
      <c r="S131" s="112">
        <v>0.02</v>
      </c>
      <c r="T131" s="113" t="str">
        <f>IF($H131="GIROSSOL II",AP131/INDEX('Resumo Operacional'!$A$1:$P$1103,17,MATCH('Detalhe Por UC'!$R131,'Resumo Operacional'!$A$1:$P$1,0)),
IF($H131="GIROSSOL II e III",AP131/INDEX('Resumo Operacional'!$A$1:$P$1103,17,MATCH('Detalhe Por UC'!$R131,'Resumo Operacional'!$A$1:$P$1,0)),
""))</f>
        <v/>
      </c>
      <c r="U131" s="113" t="str">
        <f>IF($H131="GIROSSOL III",AP131/INDEX('Resumo Operacional'!$A$1:$P$1103,53,MATCH('Detalhe Por UC'!$R131,'Resumo Operacional'!$A$1:$P$1,0)),
IF($H131="GIROSSOL II e III",AP131/INDEX('Resumo Operacional'!$A$1:$P$1103,53,MATCH('Detalhe Por UC'!$R131,'Resumo Operacional'!$A$1:$P$1,0)),
""))</f>
        <v/>
      </c>
      <c r="V131" s="67"/>
      <c r="W131" s="67"/>
      <c r="X131" s="67">
        <v>1.1262290502793295</v>
      </c>
      <c r="Y131" s="67"/>
      <c r="Z131" s="66">
        <v>0</v>
      </c>
      <c r="AA131" s="66"/>
      <c r="AB131" s="68">
        <v>358</v>
      </c>
      <c r="AC131" s="122"/>
      <c r="AD131" s="69">
        <v>0</v>
      </c>
      <c r="AE131" s="35"/>
      <c r="AF131" s="69">
        <v>0</v>
      </c>
      <c r="AG131" s="120"/>
      <c r="AH131" s="119">
        <v>67.88</v>
      </c>
      <c r="AI131" s="38"/>
      <c r="AJ131" s="38"/>
      <c r="AK131" s="21"/>
      <c r="AL131" s="38"/>
      <c r="AM131" s="1"/>
      <c r="AN131" s="71">
        <f t="shared" si="47"/>
        <v>0</v>
      </c>
      <c r="AO131" s="71">
        <f t="shared" si="48"/>
        <v>0</v>
      </c>
      <c r="AP131" s="71">
        <f t="shared" si="49"/>
        <v>0</v>
      </c>
      <c r="AQ131" s="72" t="e">
        <f>IF(OR($H131="GIROSSOL II",$H131="GIROSSOL II e III"),INDEX('Resumo Operacional'!$A$1:$P$1103,MATCH("Energia Injetada prevista total Fatura da Usina (TUSD)",'Resumo Operacional'!$B$1:$B$1103,0),MATCH('Detalhe Por UC'!$R131,'Resumo Operacional'!$A$1:$P$1,0))*$S131,INDEX('Resumo Operacional'!$A$1:$P$1103,53,MATCH('Detalhe Por UC'!$R131,'Resumo Operacional'!$A$1:$P$1,0))*$S131)</f>
        <v>#N/A</v>
      </c>
      <c r="AR131" s="71" t="e">
        <f t="shared" si="50"/>
        <v>#N/A</v>
      </c>
      <c r="AS131" s="73">
        <f t="shared" si="51"/>
        <v>471.06999999999994</v>
      </c>
      <c r="AT131" s="74">
        <f t="shared" si="52"/>
        <v>471.06999999999994</v>
      </c>
      <c r="AU131" s="74" t="str">
        <f t="shared" si="53"/>
        <v/>
      </c>
      <c r="AV131" s="74">
        <f t="shared" si="54"/>
        <v>0</v>
      </c>
      <c r="AW131" s="74">
        <f t="shared" si="55"/>
        <v>0</v>
      </c>
      <c r="AX131" s="74">
        <f t="shared" si="56"/>
        <v>0</v>
      </c>
      <c r="AY131" s="74" t="str">
        <f t="shared" si="57"/>
        <v/>
      </c>
      <c r="AZ131" s="49"/>
      <c r="BA131" s="49"/>
      <c r="BB131" s="49"/>
      <c r="BC131" s="73" t="str">
        <f t="shared" si="58"/>
        <v/>
      </c>
      <c r="BD131" s="73">
        <f t="shared" si="59"/>
        <v>471.06999999999994</v>
      </c>
      <c r="BE131" s="73">
        <f t="shared" si="60"/>
        <v>471.06999999999994</v>
      </c>
      <c r="BF131" s="77">
        <f t="shared" si="61"/>
        <v>0</v>
      </c>
      <c r="BG131" s="77">
        <f t="shared" si="62"/>
        <v>0</v>
      </c>
      <c r="BH131" s="77">
        <f t="shared" si="63"/>
        <v>0</v>
      </c>
      <c r="BI131" s="78" t="str">
        <f t="shared" si="64"/>
        <v/>
      </c>
      <c r="BJ131" s="79">
        <f t="shared" si="65"/>
        <v>0</v>
      </c>
      <c r="BK131" s="80" t="str">
        <f t="shared" si="66"/>
        <v/>
      </c>
      <c r="BL131" s="80" t="str">
        <f t="shared" si="67"/>
        <v/>
      </c>
      <c r="BM131" s="79" t="str">
        <f t="shared" si="68"/>
        <v/>
      </c>
      <c r="BN131" s="81" t="str">
        <f t="shared" si="69"/>
        <v/>
      </c>
      <c r="BO131" s="82" t="str">
        <f t="shared" si="70"/>
        <v/>
      </c>
      <c r="BP131" s="81" t="str">
        <f t="shared" si="71"/>
        <v/>
      </c>
      <c r="BQ131" s="81" t="str">
        <f t="shared" si="72"/>
        <v/>
      </c>
      <c r="BR131" s="81" t="str">
        <f t="shared" si="73"/>
        <v/>
      </c>
      <c r="BS131" s="82">
        <f t="shared" si="74"/>
        <v>0</v>
      </c>
      <c r="BT131" s="82" t="str">
        <f t="shared" si="75"/>
        <v/>
      </c>
      <c r="BU131" s="82">
        <f t="shared" si="76"/>
        <v>0</v>
      </c>
      <c r="BV131"/>
      <c r="BW131" s="82">
        <f>IFERROR(INDEX('Infos Clientes'!$T:$T,MATCH('Detalhe Por UC'!$C131,'Infos Clientes'!B:B,0)),"")</f>
        <v>55.25</v>
      </c>
      <c r="BX131" s="83">
        <f t="shared" si="77"/>
        <v>0</v>
      </c>
      <c r="BY131" s="84" t="str">
        <f t="shared" si="78"/>
        <v/>
      </c>
      <c r="BZ131" s="85">
        <f>IF(_xlfn.MINIFS('Detalhe Por UC'!R:R,'Detalhe Por UC'!C:C,C131,'Detalhe Por UC'!AD:AD,"&gt;"&amp;0)=0,"",_xlfn.MINIFS('Detalhe Por UC'!R:R,'Detalhe Por UC'!C:C,C131,'Detalhe Por UC'!AD:AD,"&gt;"&amp;0))</f>
        <v>45689</v>
      </c>
      <c r="CA131" s="114">
        <f ca="1">IF(OR(S131&gt;0,AD131&gt;0),IFERROR(
SUMIFS(INDIRECT("'Infos Clientes'!$W"&amp;INDEX('Infos Clientes'!$C:$C,MATCH(C131,'Infos Clientes'!$H:$H,0))&amp;":$CZ"&amp;INDEX('Infos Clientes'!$C:$C,MATCH(C131,'Infos Clientes'!$H:$H,0))),'Infos Clientes'!$W$2:$CZ$2,"&gt;"&amp;$R131-365,'Infos Clientes'!$W$2:$CZ$2,"&lt;="&amp;$R131)/
COUNTIFS(INDIRECT("'Infos Clientes'!$W"&amp;INDEX('Infos Clientes'!$C:$C,MATCH(C131,'Infos Clientes'!$H:$H,0))&amp;":$CZ"&amp;INDEX('Infos Clientes'!$C:$C,MATCH(C131,'Infos Clientes'!$H:$H,0))),"&gt;="&amp;0,'Infos Clientes'!$W$2:$CZ$2,"&gt;"&amp;$R131-365,'Infos Clientes'!$W$2:$CZ$2,"&lt;="&amp;$R131),""),"")</f>
        <v>29.833333333333332</v>
      </c>
      <c r="CB131" s="87">
        <f>VLOOKUP(C131,'Infos Clientes'!B:L,11,0)</f>
        <v>0</v>
      </c>
      <c r="CC131" s="88" t="str">
        <f t="shared" si="79"/>
        <v>A Unidade Consumidora 10/3005226-0 economizou R$0 na fatura referente à dez/2024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31" s="40" t="s">
        <v>96</v>
      </c>
      <c r="CF131" s="115">
        <f t="shared" si="80"/>
        <v>-471.06999999999994</v>
      </c>
    </row>
    <row r="132" spans="1:84" s="40" customFormat="1" ht="16.2" hidden="1" customHeight="1" x14ac:dyDescent="0.3">
      <c r="A132" s="105" t="str">
        <f>INDEX('Infos Clientes'!$D:$D,MATCH('Detalhe Por UC'!C132,'Infos Clientes'!B:B,0))</f>
        <v>IGREJA DO EVANGELHO QUADRANGULAR</v>
      </c>
      <c r="B132" s="106" t="str">
        <f>INDEX('Infos Clientes'!$F:$F,MATCH('Detalhe Por UC'!C132,'Infos Clientes'!B:B,0))</f>
        <v>62.955.505/0160-80</v>
      </c>
      <c r="C132" s="31" t="s">
        <v>97</v>
      </c>
      <c r="D132" t="s">
        <v>351</v>
      </c>
      <c r="E132" s="1" t="s">
        <v>352</v>
      </c>
      <c r="F132" s="56" t="str">
        <f>INDEX('Infos Clientes'!$I:$I,MATCH('Detalhe Por UC'!C132,'Infos Clientes'!B:B,0))</f>
        <v>BT</v>
      </c>
      <c r="G132" s="56" t="str">
        <f>INDEX('Infos Clientes'!$J:$J,MATCH('Detalhe Por UC'!C132,'Infos Clientes'!B:B,0))</f>
        <v>trifasico</v>
      </c>
      <c r="H132" s="47"/>
      <c r="I132" s="58">
        <f>IFERROR(VLOOKUP(C132,'Infos Clientes'!B:E,4,),"")</f>
        <v>357</v>
      </c>
      <c r="J132" s="109">
        <v>0.25</v>
      </c>
      <c r="K132" s="59">
        <f>INDEX('Infos Clientes'!$M:$M,MATCH('Detalhe Por UC'!C132,'Infos Clientes'!B:B,0))</f>
        <v>0.25</v>
      </c>
      <c r="L132" s="110">
        <v>0</v>
      </c>
      <c r="M132" s="56">
        <f>INDEX('Infos Clientes'!$N:$N,MATCH('Detalhe Por UC'!C132,'Infos Clientes'!B:B,0))</f>
        <v>0</v>
      </c>
      <c r="N132" s="56">
        <f t="shared" si="44"/>
        <v>0</v>
      </c>
      <c r="O132" s="56">
        <f t="shared" si="45"/>
        <v>11</v>
      </c>
      <c r="P132" s="56">
        <f t="shared" si="46"/>
        <v>0</v>
      </c>
      <c r="Q132" s="61">
        <f>IFERROR(IFERROR(INDEX('Infos Clientes'!$A$2:$V$9884,MATCH($C132,'Infos Clientes'!$B$2:$B$9884,0),MATCH(Q$8,'Infos Clientes'!$A$2:$V$2,0)),"")
+IF(OR(INDEX('Infos Clientes'!$A$2:$V$9884,MATCH($C132,'Infos Clientes'!$B$2:$B$9884,0),MATCH("Tempo de Fidelidade (meses)",'Infos Clientes'!$A$2:$V$2,0))=0,R132&gt;=MAX(R:R)),0,
ROUND((MAX(R:R)-R132)/(365/12),0)),"")</f>
        <v>0</v>
      </c>
      <c r="R132" s="111">
        <v>45627</v>
      </c>
      <c r="S132" s="112">
        <v>0.02</v>
      </c>
      <c r="T132" s="113" t="str">
        <f>IF($H132="GIROSSOL II",AP132/INDEX('Resumo Operacional'!$A$1:$P$1103,17,MATCH('Detalhe Por UC'!$R132,'Resumo Operacional'!$A$1:$P$1,0)),
IF($H132="GIROSSOL II e III",AP132/INDEX('Resumo Operacional'!$A$1:$P$1103,17,MATCH('Detalhe Por UC'!$R132,'Resumo Operacional'!$A$1:$P$1,0)),
""))</f>
        <v/>
      </c>
      <c r="U132" s="113" t="str">
        <f>IF($H132="GIROSSOL III",AP132/INDEX('Resumo Operacional'!$A$1:$P$1103,53,MATCH('Detalhe Por UC'!$R132,'Resumo Operacional'!$A$1:$P$1,0)),
IF($H132="GIROSSOL II e III",AP132/INDEX('Resumo Operacional'!$A$1:$P$1103,53,MATCH('Detalhe Por UC'!$R132,'Resumo Operacional'!$A$1:$P$1,0)),
""))</f>
        <v/>
      </c>
      <c r="V132" s="67"/>
      <c r="W132" s="67"/>
      <c r="X132" s="67">
        <v>1.1384619808306708</v>
      </c>
      <c r="Y132" s="66"/>
      <c r="Z132" s="66">
        <v>1.1384167300380228</v>
      </c>
      <c r="AA132" s="66"/>
      <c r="AB132" s="68">
        <v>626</v>
      </c>
      <c r="AC132" s="122"/>
      <c r="AD132" s="69">
        <v>526</v>
      </c>
      <c r="AE132" s="35"/>
      <c r="AF132" s="69">
        <v>381</v>
      </c>
      <c r="AG132" s="120"/>
      <c r="AH132" s="119">
        <v>98.06</v>
      </c>
      <c r="AI132" s="38"/>
      <c r="AJ132" s="38"/>
      <c r="AK132" s="21"/>
      <c r="AL132" s="38"/>
      <c r="AM132" s="1"/>
      <c r="AN132" s="71">
        <f t="shared" si="47"/>
        <v>381</v>
      </c>
      <c r="AO132" s="71">
        <f t="shared" si="48"/>
        <v>0</v>
      </c>
      <c r="AP132" s="71">
        <f t="shared" si="49"/>
        <v>907</v>
      </c>
      <c r="AQ132" s="72" t="e">
        <f>IF(OR($H132="GIROSSOL II",$H132="GIROSSOL II e III"),INDEX('Resumo Operacional'!$A$1:$P$1103,MATCH("Energia Injetada prevista total Fatura da Usina (TUSD)",'Resumo Operacional'!$B$1:$B$1103,0),MATCH('Detalhe Por UC'!$R132,'Resumo Operacional'!$A$1:$P$1,0))*$S132,INDEX('Resumo Operacional'!$A$1:$P$1103,53,MATCH('Detalhe Por UC'!$R132,'Resumo Operacional'!$A$1:$P$1,0))*$S132)</f>
        <v>#N/A</v>
      </c>
      <c r="AR132" s="71" t="e">
        <f t="shared" si="50"/>
        <v>#N/A</v>
      </c>
      <c r="AS132" s="73">
        <f t="shared" si="51"/>
        <v>211.93</v>
      </c>
      <c r="AT132" s="74">
        <f t="shared" si="52"/>
        <v>211.93</v>
      </c>
      <c r="AU132" s="74">
        <f t="shared" si="53"/>
        <v>1.1383714792453747</v>
      </c>
      <c r="AV132" s="74">
        <f t="shared" si="54"/>
        <v>449.10539999999997</v>
      </c>
      <c r="AW132" s="74">
        <f t="shared" si="55"/>
        <v>0</v>
      </c>
      <c r="AX132" s="74">
        <f t="shared" si="56"/>
        <v>598.80719999999997</v>
      </c>
      <c r="AY132" s="74">
        <f t="shared" si="57"/>
        <v>449.11</v>
      </c>
      <c r="AZ132" s="49"/>
      <c r="BA132" s="49"/>
      <c r="BB132" s="49"/>
      <c r="BC132" s="73" t="str">
        <f t="shared" si="58"/>
        <v/>
      </c>
      <c r="BD132" s="73">
        <f t="shared" si="59"/>
        <v>810.73720000000003</v>
      </c>
      <c r="BE132" s="73">
        <f t="shared" si="60"/>
        <v>661.03539999999998</v>
      </c>
      <c r="BF132" s="77">
        <f t="shared" si="61"/>
        <v>149.69999999999999</v>
      </c>
      <c r="BG132" s="77">
        <f t="shared" si="62"/>
        <v>44.91</v>
      </c>
      <c r="BH132" s="77">
        <f t="shared" si="63"/>
        <v>598.80720000000008</v>
      </c>
      <c r="BI132" s="78">
        <f t="shared" si="64"/>
        <v>0.25</v>
      </c>
      <c r="BJ132" s="79">
        <f t="shared" si="65"/>
        <v>0.18464676346416567</v>
      </c>
      <c r="BK132" s="80">
        <f t="shared" si="66"/>
        <v>661.04</v>
      </c>
      <c r="BL132" s="80">
        <f t="shared" si="67"/>
        <v>149.69720000000007</v>
      </c>
      <c r="BM132" s="79">
        <f t="shared" si="68"/>
        <v>0.18464330981728735</v>
      </c>
      <c r="BN132" s="81">
        <f t="shared" si="69"/>
        <v>0.85382129277566543</v>
      </c>
      <c r="BO132" s="82">
        <f t="shared" si="70"/>
        <v>449.11</v>
      </c>
      <c r="BP132" s="81">
        <f t="shared" si="71"/>
        <v>0.85382129277566543</v>
      </c>
      <c r="BQ132" s="81">
        <f t="shared" si="72"/>
        <v>0.85386654356831349</v>
      </c>
      <c r="BR132" s="81">
        <f t="shared" si="73"/>
        <v>1.1384619808306708</v>
      </c>
      <c r="BS132" s="82">
        <f t="shared" si="74"/>
        <v>526</v>
      </c>
      <c r="BT132" s="82">
        <f t="shared" si="75"/>
        <v>598.83100191693291</v>
      </c>
      <c r="BU132" s="82">
        <f t="shared" si="76"/>
        <v>598.80719999999997</v>
      </c>
      <c r="BV132"/>
      <c r="BW132" s="82">
        <f>IFERROR(INDEX('Infos Clientes'!$T:$T,MATCH('Detalhe Por UC'!$C132,'Infos Clientes'!B:B,0)),"")</f>
        <v>468.66666666666669</v>
      </c>
      <c r="BX132" s="83">
        <f t="shared" si="77"/>
        <v>0</v>
      </c>
      <c r="BY132" s="84">
        <f t="shared" si="78"/>
        <v>0.24998238154137065</v>
      </c>
      <c r="BZ132" s="85">
        <f>IF(_xlfn.MINIFS('Detalhe Por UC'!R:R,'Detalhe Por UC'!C:C,C132,'Detalhe Por UC'!AD:AD,"&gt;"&amp;0)=0,"",_xlfn.MINIFS('Detalhe Por UC'!R:R,'Detalhe Por UC'!C:C,C132,'Detalhe Por UC'!AD:AD,"&gt;"&amp;0))</f>
        <v>45627</v>
      </c>
      <c r="CA132" s="114">
        <f ca="1">IF(OR(S132&gt;0,AD132&gt;0),IFERROR(
SUMIFS(INDIRECT("'Infos Clientes'!$W"&amp;INDEX('Infos Clientes'!$C:$C,MATCH(C132,'Infos Clientes'!$H:$H,0))&amp;":$CZ"&amp;INDEX('Infos Clientes'!$C:$C,MATCH(C132,'Infos Clientes'!$H:$H,0))),'Infos Clientes'!$W$2:$CZ$2,"&gt;"&amp;$R132-365,'Infos Clientes'!$W$2:$CZ$2,"&lt;="&amp;$R132)/
COUNTIFS(INDIRECT("'Infos Clientes'!$W"&amp;INDEX('Infos Clientes'!$C:$C,MATCH(C132,'Infos Clientes'!$H:$H,0))&amp;":$CZ"&amp;INDEX('Infos Clientes'!$C:$C,MATCH(C132,'Infos Clientes'!$H:$H,0))),"&gt;="&amp;0,'Infos Clientes'!$W$2:$CZ$2,"&gt;"&amp;$R132-365,'Infos Clientes'!$W$2:$CZ$2,"&lt;="&amp;$R132),""),"")</f>
        <v>467.33333333333331</v>
      </c>
      <c r="CB132" s="87">
        <f>VLOOKUP(C132,'Infos Clientes'!B:L,11,0)</f>
        <v>0</v>
      </c>
      <c r="CC132" s="88" t="str">
        <f t="shared" si="79"/>
        <v>A Unidade Consumidora 10/3030784-7 economizou R$149,7 na fatura referente à dez/2024  consumindo 526 kWh em créditos de energia renovável conforme fatura de energia. A economia foi de 25% em relação ao que seria pago para a Energisa considerando os créditos consumidos. Atenção: Mantenha as contas da Energisa em dia para evitar cortes.</v>
      </c>
      <c r="CD132" s="40" t="s">
        <v>98</v>
      </c>
      <c r="CF132" s="115">
        <f t="shared" si="80"/>
        <v>-211.93</v>
      </c>
    </row>
    <row r="133" spans="1:84" s="40" customFormat="1" ht="16.2" hidden="1" customHeight="1" x14ac:dyDescent="0.3">
      <c r="A133" s="105" t="str">
        <f>INDEX('Infos Clientes'!$D:$D,MATCH('Detalhe Por UC'!C133,'Infos Clientes'!B:B,0))</f>
        <v>IGREJA DO EVANGELHO QUADRANGULAR</v>
      </c>
      <c r="B133" s="106" t="str">
        <f>INDEX('Infos Clientes'!$F:$F,MATCH('Detalhe Por UC'!C133,'Infos Clientes'!B:B,0))</f>
        <v>62.955.505/4194-43</v>
      </c>
      <c r="C133" s="31" t="s">
        <v>99</v>
      </c>
      <c r="D133" t="s">
        <v>351</v>
      </c>
      <c r="E133" s="1" t="s">
        <v>352</v>
      </c>
      <c r="F133" s="56" t="str">
        <f>INDEX('Infos Clientes'!$I:$I,MATCH('Detalhe Por UC'!C133,'Infos Clientes'!B:B,0))</f>
        <v>BT</v>
      </c>
      <c r="G133" s="56" t="str">
        <f>INDEX('Infos Clientes'!$J:$J,MATCH('Detalhe Por UC'!C133,'Infos Clientes'!B:B,0))</f>
        <v>trifasico</v>
      </c>
      <c r="H133" s="47"/>
      <c r="I133" s="58">
        <f>IFERROR(VLOOKUP(C133,'Infos Clientes'!B:E,4,),"")</f>
        <v>331</v>
      </c>
      <c r="J133" s="109">
        <v>0.25</v>
      </c>
      <c r="K133" s="59">
        <f>INDEX('Infos Clientes'!$M:$M,MATCH('Detalhe Por UC'!C133,'Infos Clientes'!B:B,0))</f>
        <v>0.25</v>
      </c>
      <c r="L133" s="110">
        <v>0</v>
      </c>
      <c r="M133" s="56">
        <f>INDEX('Infos Clientes'!$N:$N,MATCH('Detalhe Por UC'!C133,'Infos Clientes'!B:B,0))</f>
        <v>0</v>
      </c>
      <c r="N133" s="56">
        <f t="shared" si="44"/>
        <v>0</v>
      </c>
      <c r="O133" s="56">
        <f t="shared" si="45"/>
        <v>12</v>
      </c>
      <c r="P133" s="56">
        <f t="shared" si="46"/>
        <v>0</v>
      </c>
      <c r="Q133" s="61">
        <f>IFERROR(IFERROR(INDEX('Infos Clientes'!$A$2:$V$9884,MATCH($C133,'Infos Clientes'!$B$2:$B$9884,0),MATCH(Q$8,'Infos Clientes'!$A$2:$V$2,0)),"")
+IF(OR(INDEX('Infos Clientes'!$A$2:$V$9884,MATCH($C133,'Infos Clientes'!$B$2:$B$9884,0),MATCH("Tempo de Fidelidade (meses)",'Infos Clientes'!$A$2:$V$2,0))=0,R133&gt;=MAX(R:R)),0,
ROUND((MAX(R:R)-R133)/(365/12),0)),"")</f>
        <v>0</v>
      </c>
      <c r="R133" s="111">
        <v>45627</v>
      </c>
      <c r="S133" s="112">
        <v>0.02</v>
      </c>
      <c r="T133" s="113" t="str">
        <f>IF($H133="GIROSSOL II",AP133/INDEX('Resumo Operacional'!$A$1:$P$1103,17,MATCH('Detalhe Por UC'!$R133,'Resumo Operacional'!$A$1:$P$1,0)),
IF($H133="GIROSSOL II e III",AP133/INDEX('Resumo Operacional'!$A$1:$P$1103,17,MATCH('Detalhe Por UC'!$R133,'Resumo Operacional'!$A$1:$P$1,0)),
""))</f>
        <v/>
      </c>
      <c r="U133" s="113" t="str">
        <f>IF($H133="GIROSSOL III",AP133/INDEX('Resumo Operacional'!$A$1:$P$1103,53,MATCH('Detalhe Por UC'!$R133,'Resumo Operacional'!$A$1:$P$1,0)),
IF($H133="GIROSSOL II e III",AP133/INDEX('Resumo Operacional'!$A$1:$P$1103,53,MATCH('Detalhe Por UC'!$R133,'Resumo Operacional'!$A$1:$P$1,0)),
""))</f>
        <v/>
      </c>
      <c r="V133" s="67"/>
      <c r="W133" s="67"/>
      <c r="X133" s="67">
        <v>1.1255031017369728</v>
      </c>
      <c r="Y133" s="66"/>
      <c r="Z133" s="66">
        <v>1.1254690812720847</v>
      </c>
      <c r="AA133" s="66"/>
      <c r="AB133" s="68">
        <v>403</v>
      </c>
      <c r="AC133" s="69"/>
      <c r="AD133" s="69">
        <v>283</v>
      </c>
      <c r="AE133" s="35"/>
      <c r="AF133" s="69">
        <v>0</v>
      </c>
      <c r="AG133" s="120"/>
      <c r="AH133" s="119">
        <v>0</v>
      </c>
      <c r="AI133" s="38"/>
      <c r="AJ133" s="38"/>
      <c r="AK133" s="21"/>
      <c r="AL133" s="38"/>
      <c r="AM133" s="1"/>
      <c r="AN133" s="71">
        <f t="shared" si="47"/>
        <v>0</v>
      </c>
      <c r="AO133" s="71">
        <f t="shared" si="48"/>
        <v>0</v>
      </c>
      <c r="AP133" s="71">
        <f t="shared" si="49"/>
        <v>283</v>
      </c>
      <c r="AQ133" s="72" t="e">
        <f>IF(OR($H133="GIROSSOL II",$H133="GIROSSOL II e III"),INDEX('Resumo Operacional'!$A$1:$P$1103,MATCH("Energia Injetada prevista total Fatura da Usina (TUSD)",'Resumo Operacional'!$B$1:$B$1103,0),MATCH('Detalhe Por UC'!$R133,'Resumo Operacional'!$A$1:$P$1,0))*$S133,INDEX('Resumo Operacional'!$A$1:$P$1103,53,MATCH('Detalhe Por UC'!$R133,'Resumo Operacional'!$A$1:$P$1,0))*$S133)</f>
        <v>#N/A</v>
      </c>
      <c r="AR133" s="71" t="e">
        <f t="shared" si="50"/>
        <v>#N/A</v>
      </c>
      <c r="AS133" s="73">
        <f t="shared" si="51"/>
        <v>135.07000000000005</v>
      </c>
      <c r="AT133" s="74">
        <f t="shared" si="52"/>
        <v>135.07000000000005</v>
      </c>
      <c r="AU133" s="74">
        <f t="shared" si="53"/>
        <v>1.1254350608071966</v>
      </c>
      <c r="AV133" s="74">
        <f t="shared" si="54"/>
        <v>238.88081249999996</v>
      </c>
      <c r="AW133" s="74">
        <f t="shared" si="55"/>
        <v>0</v>
      </c>
      <c r="AX133" s="74">
        <f t="shared" si="56"/>
        <v>318.50774999999999</v>
      </c>
      <c r="AY133" s="74">
        <f t="shared" si="57"/>
        <v>238.88</v>
      </c>
      <c r="AZ133" s="49"/>
      <c r="BA133" s="49"/>
      <c r="BB133" s="49"/>
      <c r="BC133" s="73" t="str">
        <f t="shared" si="58"/>
        <v/>
      </c>
      <c r="BD133" s="73">
        <f t="shared" si="59"/>
        <v>453.57775000000004</v>
      </c>
      <c r="BE133" s="73">
        <f t="shared" si="60"/>
        <v>373.95081249999998</v>
      </c>
      <c r="BF133" s="77">
        <f t="shared" si="61"/>
        <v>79.63</v>
      </c>
      <c r="BG133" s="77">
        <f t="shared" si="62"/>
        <v>23.888999999999999</v>
      </c>
      <c r="BH133" s="77">
        <f t="shared" si="63"/>
        <v>318.50774999999999</v>
      </c>
      <c r="BI133" s="78">
        <f t="shared" si="64"/>
        <v>0.25</v>
      </c>
      <c r="BJ133" s="79">
        <f t="shared" si="65"/>
        <v>0.17555975794668055</v>
      </c>
      <c r="BK133" s="80">
        <f t="shared" si="66"/>
        <v>373.95000000000005</v>
      </c>
      <c r="BL133" s="80">
        <f t="shared" si="67"/>
        <v>79.627749999999992</v>
      </c>
      <c r="BM133" s="79">
        <f t="shared" si="68"/>
        <v>0.17555479738589466</v>
      </c>
      <c r="BN133" s="81">
        <f t="shared" si="69"/>
        <v>0.84409893992932861</v>
      </c>
      <c r="BO133" s="82">
        <f t="shared" si="70"/>
        <v>238.88</v>
      </c>
      <c r="BP133" s="81">
        <f t="shared" si="71"/>
        <v>0.84409893992932861</v>
      </c>
      <c r="BQ133" s="81">
        <f t="shared" si="72"/>
        <v>0.8441329603942167</v>
      </c>
      <c r="BR133" s="81">
        <f t="shared" si="73"/>
        <v>1.1255031017369728</v>
      </c>
      <c r="BS133" s="82">
        <f t="shared" si="74"/>
        <v>283</v>
      </c>
      <c r="BT133" s="82">
        <f t="shared" si="75"/>
        <v>318.51737779156332</v>
      </c>
      <c r="BU133" s="82">
        <f t="shared" si="76"/>
        <v>318.50774999999999</v>
      </c>
      <c r="BV133"/>
      <c r="BW133" s="82">
        <f>IFERROR(INDEX('Infos Clientes'!$T:$T,MATCH('Detalhe Por UC'!$C133,'Infos Clientes'!B:B,0)),"")</f>
        <v>433.16666666666669</v>
      </c>
      <c r="BX133" s="83">
        <f t="shared" si="77"/>
        <v>0</v>
      </c>
      <c r="BY133" s="84">
        <f t="shared" si="78"/>
        <v>0.2499949941572987</v>
      </c>
      <c r="BZ133" s="85">
        <f>IF(_xlfn.MINIFS('Detalhe Por UC'!R:R,'Detalhe Por UC'!C:C,C133,'Detalhe Por UC'!AD:AD,"&gt;"&amp;0)=0,"",_xlfn.MINIFS('Detalhe Por UC'!R:R,'Detalhe Por UC'!C:C,C133,'Detalhe Por UC'!AD:AD,"&gt;"&amp;0))</f>
        <v>45627</v>
      </c>
      <c r="CA133" s="114">
        <f ca="1">IF(OR(S133&gt;0,AD133&gt;0),IFERROR(
SUMIFS(INDIRECT("'Infos Clientes'!$W"&amp;INDEX('Infos Clientes'!$C:$C,MATCH(C133,'Infos Clientes'!$H:$H,0))&amp;":$CZ"&amp;INDEX('Infos Clientes'!$C:$C,MATCH(C133,'Infos Clientes'!$H:$H,0))),'Infos Clientes'!$W$2:$CZ$2,"&gt;"&amp;$R133-365,'Infos Clientes'!$W$2:$CZ$2,"&lt;="&amp;$R133)/
COUNTIFS(INDIRECT("'Infos Clientes'!$W"&amp;INDEX('Infos Clientes'!$C:$C,MATCH(C133,'Infos Clientes'!$H:$H,0))&amp;":$CZ"&amp;INDEX('Infos Clientes'!$C:$C,MATCH(C133,'Infos Clientes'!$H:$H,0))),"&gt;="&amp;0,'Infos Clientes'!$W$2:$CZ$2,"&gt;"&amp;$R133-365,'Infos Clientes'!$W$2:$CZ$2,"&lt;="&amp;$R133),""),"")</f>
        <v>450.75</v>
      </c>
      <c r="CB133" s="87">
        <f>VLOOKUP(C133,'Infos Clientes'!B:L,11,0)</f>
        <v>0</v>
      </c>
      <c r="CC133" s="88" t="str">
        <f t="shared" si="79"/>
        <v>A Unidade Consumidora 10/3092868-3 economizou R$79,63 na fatura referente à dez/2024  consumindo 283 kWh em créditos de energia renovável conforme fatura de energia. A economia foi de 25% em relação ao que seria pago para a Energisa considerando os créditos consumidos. Atenção: Mantenha as contas da Energisa em dia para evitar cortes.</v>
      </c>
      <c r="CD133" s="40" t="s">
        <v>100</v>
      </c>
      <c r="CF133" s="115">
        <f t="shared" si="80"/>
        <v>-135.07000000000005</v>
      </c>
    </row>
    <row r="134" spans="1:84" s="40" customFormat="1" ht="16.2" hidden="1" customHeight="1" x14ac:dyDescent="0.3">
      <c r="A134" s="105" t="str">
        <f>INDEX('Infos Clientes'!$D:$D,MATCH('Detalhe Por UC'!C134,'Infos Clientes'!B:B,0))</f>
        <v>IGREJA DO EVANGELHO QUADRANGULAR</v>
      </c>
      <c r="B134" s="106" t="str">
        <f>INDEX('Infos Clientes'!$F:$F,MATCH('Detalhe Por UC'!C134,'Infos Clientes'!B:B,0))</f>
        <v>62.955.505/0170-51</v>
      </c>
      <c r="C134" s="107" t="s">
        <v>101</v>
      </c>
      <c r="D134" t="s">
        <v>351</v>
      </c>
      <c r="E134" s="1" t="s">
        <v>352</v>
      </c>
      <c r="F134" s="56" t="str">
        <f>INDEX('Infos Clientes'!$I:$I,MATCH('Detalhe Por UC'!C134,'Infos Clientes'!B:B,0))</f>
        <v>BT</v>
      </c>
      <c r="G134" s="56" t="str">
        <f>INDEX('Infos Clientes'!$J:$J,MATCH('Detalhe Por UC'!C134,'Infos Clientes'!B:B,0))</f>
        <v>bifasico</v>
      </c>
      <c r="H134" s="108"/>
      <c r="I134" s="58">
        <f>IFERROR(VLOOKUP(C134,'Infos Clientes'!B:E,4,),"")</f>
        <v>306</v>
      </c>
      <c r="J134" s="109">
        <v>0.25</v>
      </c>
      <c r="K134" s="59">
        <f>INDEX('Infos Clientes'!$M:$M,MATCH('Detalhe Por UC'!C134,'Infos Clientes'!B:B,0))</f>
        <v>0.25</v>
      </c>
      <c r="L134" s="110">
        <v>0</v>
      </c>
      <c r="M134" s="56">
        <f>INDEX('Infos Clientes'!$N:$N,MATCH('Detalhe Por UC'!C134,'Infos Clientes'!B:B,0))</f>
        <v>0</v>
      </c>
      <c r="N134" s="56">
        <f t="shared" si="44"/>
        <v>0</v>
      </c>
      <c r="O134" s="56">
        <f t="shared" si="45"/>
        <v>0</v>
      </c>
      <c r="P134" s="56">
        <f t="shared" si="46"/>
        <v>0</v>
      </c>
      <c r="Q134" s="61">
        <f>IFERROR(IFERROR(INDEX('Infos Clientes'!$A$2:$V$9884,MATCH($C134,'Infos Clientes'!$B$2:$B$9884,0),MATCH(Q$8,'Infos Clientes'!$A$2:$V$2,0)),"")
+IF(OR(INDEX('Infos Clientes'!$A$2:$V$9884,MATCH($C134,'Infos Clientes'!$B$2:$B$9884,0),MATCH("Tempo de Fidelidade (meses)",'Infos Clientes'!$A$2:$V$2,0))=0,R134&gt;=MAX(R:R)),0,
ROUND((MAX(R:R)-R134)/(365/12),0)),"")</f>
        <v>0</v>
      </c>
      <c r="R134" s="111">
        <v>45627</v>
      </c>
      <c r="S134" s="112"/>
      <c r="T134" s="113" t="str">
        <f>IF($H134="GIROSSOL II",AP134/INDEX('Resumo Operacional'!$A$1:$P$1103,17,MATCH('Detalhe Por UC'!$R134,'Resumo Operacional'!$A$1:$P$1,0)),
IF($H134="GIROSSOL II e III",AP134/INDEX('Resumo Operacional'!$A$1:$P$1103,17,MATCH('Detalhe Por UC'!$R134,'Resumo Operacional'!$A$1:$P$1,0)),
""))</f>
        <v/>
      </c>
      <c r="U134" s="113" t="str">
        <f>IF($H134="GIROSSOL III",AP134/INDEX('Resumo Operacional'!$A$1:$P$1103,53,MATCH('Detalhe Por UC'!$R134,'Resumo Operacional'!$A$1:$P$1,0)),
IF($H134="GIROSSOL II e III",AP134/INDEX('Resumo Operacional'!$A$1:$P$1103,53,MATCH('Detalhe Por UC'!$R134,'Resumo Operacional'!$A$1:$P$1,0)),
""))</f>
        <v/>
      </c>
      <c r="V134" s="67"/>
      <c r="W134" s="67"/>
      <c r="X134" s="67">
        <v>1.1298996655518396</v>
      </c>
      <c r="Y134" s="67"/>
      <c r="Z134" s="66">
        <v>0</v>
      </c>
      <c r="AA134" s="66"/>
      <c r="AB134" s="68">
        <v>299</v>
      </c>
      <c r="AC134" s="69"/>
      <c r="AD134" s="69">
        <v>0</v>
      </c>
      <c r="AE134" s="35"/>
      <c r="AF134" s="69">
        <v>0</v>
      </c>
      <c r="AG134" s="120"/>
      <c r="AH134" s="119">
        <v>38.61</v>
      </c>
      <c r="AI134" s="38"/>
      <c r="AJ134" s="38"/>
      <c r="AK134" s="21"/>
      <c r="AL134" s="38"/>
      <c r="AM134" s="1"/>
      <c r="AN134" s="71">
        <f t="shared" si="47"/>
        <v>0</v>
      </c>
      <c r="AO134" s="71">
        <f t="shared" si="48"/>
        <v>0</v>
      </c>
      <c r="AP134" s="71">
        <f t="shared" si="49"/>
        <v>0</v>
      </c>
      <c r="AQ134" s="72" t="e">
        <f>IF(OR($H134="GIROSSOL II",$H134="GIROSSOL II e III"),INDEX('Resumo Operacional'!$A$1:$P$1103,MATCH("Energia Injetada prevista total Fatura da Usina (TUSD)",'Resumo Operacional'!$B$1:$B$1103,0),MATCH('Detalhe Por UC'!$R134,'Resumo Operacional'!$A$1:$P$1,0))*$S134,INDEX('Resumo Operacional'!$A$1:$P$1103,53,MATCH('Detalhe Por UC'!$R134,'Resumo Operacional'!$A$1:$P$1,0))*$S134)</f>
        <v>#N/A</v>
      </c>
      <c r="AR134" s="71" t="e">
        <f t="shared" si="50"/>
        <v>#N/A</v>
      </c>
      <c r="AS134" s="73">
        <f t="shared" si="51"/>
        <v>376.45000000000005</v>
      </c>
      <c r="AT134" s="74">
        <f t="shared" si="52"/>
        <v>376.45000000000005</v>
      </c>
      <c r="AU134" s="74" t="str">
        <f t="shared" si="53"/>
        <v/>
      </c>
      <c r="AV134" s="74">
        <f t="shared" si="54"/>
        <v>0</v>
      </c>
      <c r="AW134" s="74">
        <f t="shared" si="55"/>
        <v>0</v>
      </c>
      <c r="AX134" s="74">
        <f t="shared" si="56"/>
        <v>0</v>
      </c>
      <c r="AY134" s="74" t="str">
        <f t="shared" si="57"/>
        <v/>
      </c>
      <c r="AZ134" s="49"/>
      <c r="BA134" s="49"/>
      <c r="BB134" s="49"/>
      <c r="BC134" s="73" t="str">
        <f t="shared" si="58"/>
        <v/>
      </c>
      <c r="BD134" s="73">
        <f t="shared" si="59"/>
        <v>376.45000000000005</v>
      </c>
      <c r="BE134" s="73">
        <f t="shared" si="60"/>
        <v>376.45000000000005</v>
      </c>
      <c r="BF134" s="77">
        <f t="shared" si="61"/>
        <v>0</v>
      </c>
      <c r="BG134" s="77">
        <f t="shared" si="62"/>
        <v>0</v>
      </c>
      <c r="BH134" s="77">
        <f t="shared" si="63"/>
        <v>0</v>
      </c>
      <c r="BI134" s="78" t="str">
        <f t="shared" si="64"/>
        <v/>
      </c>
      <c r="BJ134" s="79">
        <f t="shared" si="65"/>
        <v>0</v>
      </c>
      <c r="BK134" s="80" t="str">
        <f t="shared" si="66"/>
        <v/>
      </c>
      <c r="BL134" s="80" t="str">
        <f t="shared" si="67"/>
        <v/>
      </c>
      <c r="BM134" s="79" t="str">
        <f t="shared" si="68"/>
        <v/>
      </c>
      <c r="BN134" s="81" t="str">
        <f t="shared" si="69"/>
        <v/>
      </c>
      <c r="BO134" s="82" t="str">
        <f t="shared" si="70"/>
        <v/>
      </c>
      <c r="BP134" s="81" t="str">
        <f t="shared" si="71"/>
        <v/>
      </c>
      <c r="BQ134" s="81" t="str">
        <f t="shared" si="72"/>
        <v/>
      </c>
      <c r="BR134" s="81" t="str">
        <f t="shared" si="73"/>
        <v/>
      </c>
      <c r="BS134" s="82">
        <f t="shared" si="74"/>
        <v>0</v>
      </c>
      <c r="BT134" s="82" t="str">
        <f t="shared" si="75"/>
        <v/>
      </c>
      <c r="BU134" s="82">
        <f t="shared" si="76"/>
        <v>0</v>
      </c>
      <c r="BV134"/>
      <c r="BW134" s="82">
        <f>IFERROR(INDEX('Infos Clientes'!$T:$T,MATCH('Detalhe Por UC'!$C134,'Infos Clientes'!B:B,0)),"")</f>
        <v>49.5</v>
      </c>
      <c r="BX134" s="83">
        <f t="shared" si="77"/>
        <v>0</v>
      </c>
      <c r="BY134" s="84" t="str">
        <f t="shared" si="78"/>
        <v/>
      </c>
      <c r="BZ134" s="85" t="str">
        <f>IF(_xlfn.MINIFS('Detalhe Por UC'!R:R,'Detalhe Por UC'!C:C,C134,'Detalhe Por UC'!AD:AD,"&gt;"&amp;0)=0,"",_xlfn.MINIFS('Detalhe Por UC'!R:R,'Detalhe Por UC'!C:C,C134,'Detalhe Por UC'!AD:AD,"&gt;"&amp;0))</f>
        <v/>
      </c>
      <c r="CA134" s="114" t="str">
        <f ca="1">IF(OR(S134&gt;0,AD134&gt;0),IFERROR(
SUMIFS(INDIRECT("'Infos Clientes'!$W"&amp;INDEX('Infos Clientes'!$C:$C,MATCH(C134,'Infos Clientes'!$H:$H,0))&amp;":$CZ"&amp;INDEX('Infos Clientes'!$C:$C,MATCH(C134,'Infos Clientes'!$H:$H,0))),'Infos Clientes'!$W$2:$CZ$2,"&gt;"&amp;$R134-365,'Infos Clientes'!$W$2:$CZ$2,"&lt;="&amp;$R134)/
COUNTIFS(INDIRECT("'Infos Clientes'!$W"&amp;INDEX('Infos Clientes'!$C:$C,MATCH(C134,'Infos Clientes'!$H:$H,0))&amp;":$CZ"&amp;INDEX('Infos Clientes'!$C:$C,MATCH(C134,'Infos Clientes'!$H:$H,0))),"&gt;="&amp;0,'Infos Clientes'!$W$2:$CZ$2,"&gt;"&amp;$R134-365,'Infos Clientes'!$W$2:$CZ$2,"&lt;="&amp;$R134),""),"")</f>
        <v/>
      </c>
      <c r="CB134" s="87">
        <f>VLOOKUP(C134,'Infos Clientes'!B:L,11,0)</f>
        <v>0</v>
      </c>
      <c r="CC134" s="88" t="str">
        <f t="shared" si="79"/>
        <v>A Unidade Consumidora 10/3214521-1 economizou R$0 na fatura referente à dez/2024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34" s="40" t="s">
        <v>75</v>
      </c>
      <c r="CF134" s="115">
        <f t="shared" si="80"/>
        <v>-376.45000000000005</v>
      </c>
    </row>
    <row r="135" spans="1:84" s="40" customFormat="1" ht="16.2" hidden="1" customHeight="1" x14ac:dyDescent="0.3">
      <c r="A135" s="105" t="str">
        <f>INDEX('Infos Clientes'!$D:$D,MATCH('Detalhe Por UC'!C135,'Infos Clientes'!B:B,0))</f>
        <v>IGREJA DO EVANGELHO QUADRANGULAR</v>
      </c>
      <c r="B135" s="106" t="str">
        <f>INDEX('Infos Clientes'!$F:$F,MATCH('Detalhe Por UC'!C135,'Infos Clientes'!B:B,0))</f>
        <v>62.955.505/0151-99</v>
      </c>
      <c r="C135" s="31" t="s">
        <v>102</v>
      </c>
      <c r="D135" t="s">
        <v>351</v>
      </c>
      <c r="E135" s="1" t="s">
        <v>352</v>
      </c>
      <c r="F135" s="56" t="str">
        <f>INDEX('Infos Clientes'!$I:$I,MATCH('Detalhe Por UC'!C135,'Infos Clientes'!B:B,0))</f>
        <v>BT</v>
      </c>
      <c r="G135" s="56" t="str">
        <f>INDEX('Infos Clientes'!$J:$J,MATCH('Detalhe Por UC'!C135,'Infos Clientes'!B:B,0))</f>
        <v>trifasico</v>
      </c>
      <c r="H135" s="47"/>
      <c r="I135" s="58">
        <f>IFERROR(VLOOKUP(C135,'Infos Clientes'!B:E,4,),"")</f>
        <v>306</v>
      </c>
      <c r="J135" s="109">
        <v>0.25</v>
      </c>
      <c r="K135" s="59">
        <f>INDEX('Infos Clientes'!$M:$M,MATCH('Detalhe Por UC'!C135,'Infos Clientes'!B:B,0))</f>
        <v>0.25</v>
      </c>
      <c r="L135" s="110">
        <v>0</v>
      </c>
      <c r="M135" s="56">
        <f>INDEX('Infos Clientes'!$N:$N,MATCH('Detalhe Por UC'!C135,'Infos Clientes'!B:B,0))</f>
        <v>0</v>
      </c>
      <c r="N135" s="56">
        <f t="shared" si="44"/>
        <v>0</v>
      </c>
      <c r="O135" s="56">
        <f t="shared" si="45"/>
        <v>12</v>
      </c>
      <c r="P135" s="56">
        <f t="shared" si="46"/>
        <v>0</v>
      </c>
      <c r="Q135" s="61">
        <f>IFERROR(IFERROR(INDEX('Infos Clientes'!$A$2:$V$9884,MATCH($C135,'Infos Clientes'!$B$2:$B$9884,0),MATCH(Q$8,'Infos Clientes'!$A$2:$V$2,0)),"")
+IF(OR(INDEX('Infos Clientes'!$A$2:$V$9884,MATCH($C135,'Infos Clientes'!$B$2:$B$9884,0),MATCH("Tempo de Fidelidade (meses)",'Infos Clientes'!$A$2:$V$2,0))=0,R135&gt;=MAX(R:R)),0,
ROUND((MAX(R:R)-R135)/(365/12),0)),"")</f>
        <v>0</v>
      </c>
      <c r="R135" s="111">
        <v>45627</v>
      </c>
      <c r="S135" s="112">
        <v>0.21</v>
      </c>
      <c r="T135" s="113" t="str">
        <f>IF($H135="GIROSSOL II",AP135/INDEX('Resumo Operacional'!$A$1:$P$1103,17,MATCH('Detalhe Por UC'!$R135,'Resumo Operacional'!$A$1:$P$1,0)),
IF($H135="GIROSSOL II e III",AP135/INDEX('Resumo Operacional'!$A$1:$P$1103,17,MATCH('Detalhe Por UC'!$R135,'Resumo Operacional'!$A$1:$P$1,0)),
""))</f>
        <v/>
      </c>
      <c r="U135" s="113" t="str">
        <f>IF($H135="GIROSSOL III",AP135/INDEX('Resumo Operacional'!$A$1:$P$1103,53,MATCH('Detalhe Por UC'!$R135,'Resumo Operacional'!$A$1:$P$1,0)),
IF($H135="GIROSSOL II e III",AP135/INDEX('Resumo Operacional'!$A$1:$P$1103,53,MATCH('Detalhe Por UC'!$R135,'Resumo Operacional'!$A$1:$P$1,0)),
""))</f>
        <v/>
      </c>
      <c r="V135" s="67"/>
      <c r="W135" s="67"/>
      <c r="X135" s="67">
        <v>1.133666416510319</v>
      </c>
      <c r="Y135" s="66"/>
      <c r="Z135" s="66">
        <v>1.1336651072124757</v>
      </c>
      <c r="AA135" s="66"/>
      <c r="AB135" s="68">
        <v>2665</v>
      </c>
      <c r="AC135" s="122"/>
      <c r="AD135" s="69">
        <v>2565</v>
      </c>
      <c r="AE135" s="35"/>
      <c r="AF135" s="69">
        <v>2</v>
      </c>
      <c r="AG135" s="120"/>
      <c r="AH135" s="119">
        <v>0</v>
      </c>
      <c r="AI135" s="38"/>
      <c r="AJ135" s="38"/>
      <c r="AK135" s="21"/>
      <c r="AL135" s="38"/>
      <c r="AM135" s="1"/>
      <c r="AN135" s="71">
        <f t="shared" si="47"/>
        <v>2</v>
      </c>
      <c r="AO135" s="71">
        <f t="shared" si="48"/>
        <v>0</v>
      </c>
      <c r="AP135" s="71">
        <f t="shared" si="49"/>
        <v>2567</v>
      </c>
      <c r="AQ135" s="72" t="e">
        <f>IF(OR($H135="GIROSSOL II",$H135="GIROSSOL II e III"),INDEX('Resumo Operacional'!$A$1:$P$1103,MATCH("Energia Injetada prevista total Fatura da Usina (TUSD)",'Resumo Operacional'!$B$1:$B$1103,0),MATCH('Detalhe Por UC'!$R135,'Resumo Operacional'!$A$1:$P$1,0))*$S135,INDEX('Resumo Operacional'!$A$1:$P$1103,53,MATCH('Detalhe Por UC'!$R135,'Resumo Operacional'!$A$1:$P$1,0))*$S135)</f>
        <v>#N/A</v>
      </c>
      <c r="AR135" s="71" t="e">
        <f t="shared" si="50"/>
        <v>#N/A</v>
      </c>
      <c r="AS135" s="73">
        <f t="shared" si="51"/>
        <v>113.36999999999989</v>
      </c>
      <c r="AT135" s="74">
        <f t="shared" si="52"/>
        <v>113.36999999999989</v>
      </c>
      <c r="AU135" s="74">
        <f t="shared" si="53"/>
        <v>1.1336637979146325</v>
      </c>
      <c r="AV135" s="74">
        <f t="shared" si="54"/>
        <v>2180.88825</v>
      </c>
      <c r="AW135" s="74">
        <f t="shared" si="55"/>
        <v>0</v>
      </c>
      <c r="AX135" s="74">
        <f t="shared" si="56"/>
        <v>2907.8510000000001</v>
      </c>
      <c r="AY135" s="74">
        <f t="shared" si="57"/>
        <v>2180.89</v>
      </c>
      <c r="AZ135" s="49"/>
      <c r="BA135" s="49"/>
      <c r="BB135" s="49"/>
      <c r="BC135" s="73" t="str">
        <f t="shared" si="58"/>
        <v/>
      </c>
      <c r="BD135" s="73">
        <f t="shared" si="59"/>
        <v>3021.221</v>
      </c>
      <c r="BE135" s="73">
        <f t="shared" si="60"/>
        <v>2294.2582499999999</v>
      </c>
      <c r="BF135" s="77">
        <f t="shared" si="61"/>
        <v>726.96</v>
      </c>
      <c r="BG135" s="77">
        <f t="shared" si="62"/>
        <v>218.08799999999999</v>
      </c>
      <c r="BH135" s="77">
        <f t="shared" si="63"/>
        <v>2907.8510000000001</v>
      </c>
      <c r="BI135" s="78">
        <f t="shared" si="64"/>
        <v>0.25</v>
      </c>
      <c r="BJ135" s="79">
        <f t="shared" si="65"/>
        <v>0.24061794883591767</v>
      </c>
      <c r="BK135" s="80">
        <f t="shared" si="66"/>
        <v>2294.2599999999998</v>
      </c>
      <c r="BL135" s="80">
        <f t="shared" si="67"/>
        <v>726.96100000000024</v>
      </c>
      <c r="BM135" s="79">
        <f t="shared" si="68"/>
        <v>0.24061827982792394</v>
      </c>
      <c r="BN135" s="81">
        <f t="shared" si="69"/>
        <v>0.85024951267056526</v>
      </c>
      <c r="BO135" s="82">
        <f t="shared" si="70"/>
        <v>2180.89</v>
      </c>
      <c r="BP135" s="81">
        <f t="shared" si="71"/>
        <v>0.85024951267056526</v>
      </c>
      <c r="BQ135" s="81">
        <f t="shared" si="72"/>
        <v>0.85025082196840851</v>
      </c>
      <c r="BR135" s="81">
        <f t="shared" si="73"/>
        <v>1.133666416510319</v>
      </c>
      <c r="BS135" s="82">
        <f t="shared" si="74"/>
        <v>2565</v>
      </c>
      <c r="BT135" s="82">
        <f t="shared" si="75"/>
        <v>2907.8543583489682</v>
      </c>
      <c r="BU135" s="82">
        <f t="shared" si="76"/>
        <v>2907.8510000000001</v>
      </c>
      <c r="BV135"/>
      <c r="BW135" s="82">
        <f>IFERROR(INDEX('Infos Clientes'!$T:$T,MATCH('Detalhe Por UC'!$C135,'Infos Clientes'!B:B,0)),"")</f>
        <v>2675.750833333333</v>
      </c>
      <c r="BX135" s="83">
        <f t="shared" si="77"/>
        <v>0</v>
      </c>
      <c r="BY135" s="84">
        <f t="shared" si="78"/>
        <v>0.249999109450845</v>
      </c>
      <c r="BZ135" s="85">
        <f>IF(_xlfn.MINIFS('Detalhe Por UC'!R:R,'Detalhe Por UC'!C:C,C135,'Detalhe Por UC'!AD:AD,"&gt;"&amp;0)=0,"",_xlfn.MINIFS('Detalhe Por UC'!R:R,'Detalhe Por UC'!C:C,C135,'Detalhe Por UC'!AD:AD,"&gt;"&amp;0))</f>
        <v>45627</v>
      </c>
      <c r="CA135" s="114">
        <f ca="1">IF(OR(S135&gt;0,AD135&gt;0),IFERROR(
SUMIFS(INDIRECT("'Infos Clientes'!$W"&amp;INDEX('Infos Clientes'!$C:$C,MATCH(C135,'Infos Clientes'!$H:$H,0))&amp;":$CZ"&amp;INDEX('Infos Clientes'!$C:$C,MATCH(C135,'Infos Clientes'!$H:$H,0))),'Infos Clientes'!$W$2:$CZ$2,"&gt;"&amp;$R135-365,'Infos Clientes'!$W$2:$CZ$2,"&lt;="&amp;$R135)/
COUNTIFS(INDIRECT("'Infos Clientes'!$W"&amp;INDEX('Infos Clientes'!$C:$C,MATCH(C135,'Infos Clientes'!$H:$H,0))&amp;":$CZ"&amp;INDEX('Infos Clientes'!$C:$C,MATCH(C135,'Infos Clientes'!$H:$H,0))),"&gt;="&amp;0,'Infos Clientes'!$W$2:$CZ$2,"&gt;"&amp;$R135-365,'Infos Clientes'!$W$2:$CZ$2,"&lt;="&amp;$R135),""),"")</f>
        <v>2647.7966666666666</v>
      </c>
      <c r="CB135" s="87">
        <f>VLOOKUP(C135,'Infos Clientes'!B:L,11,0)</f>
        <v>0</v>
      </c>
      <c r="CC135" s="88" t="str">
        <f t="shared" si="79"/>
        <v>A Unidade Consumidora 10/364440-8 economizou R$726,96 na fatura referente à dez/2024  consumindo 2565 kWh em créditos de energia renovável conforme fatura de energia. A economia foi de 25% em relação ao que seria pago para a Energisa considerando os créditos consumidos. Atenção: Mantenha as contas da Energisa em dia para evitar cortes.</v>
      </c>
      <c r="CD135" s="40" t="s">
        <v>86</v>
      </c>
      <c r="CF135" s="115">
        <f t="shared" si="80"/>
        <v>-113.36999999999989</v>
      </c>
    </row>
    <row r="136" spans="1:84" s="40" customFormat="1" ht="16.2" hidden="1" customHeight="1" x14ac:dyDescent="0.3">
      <c r="A136" s="105" t="str">
        <f>INDEX('Infos Clientes'!$D:$D,MATCH('Detalhe Por UC'!C136,'Infos Clientes'!B:B,0))</f>
        <v>IGREJA DO EVANGELHO QUADRANGULAR</v>
      </c>
      <c r="B136" s="106" t="str">
        <f>INDEX('Infos Clientes'!$F:$F,MATCH('Detalhe Por UC'!C136,'Infos Clientes'!B:B,0))</f>
        <v>62.955.505/0001-67</v>
      </c>
      <c r="C136" s="31" t="s">
        <v>103</v>
      </c>
      <c r="D136" t="s">
        <v>351</v>
      </c>
      <c r="E136" s="1" t="s">
        <v>352</v>
      </c>
      <c r="F136" s="56" t="str">
        <f>INDEX('Infos Clientes'!$I:$I,MATCH('Detalhe Por UC'!C136,'Infos Clientes'!B:B,0))</f>
        <v>BT</v>
      </c>
      <c r="G136" s="56" t="str">
        <f>INDEX('Infos Clientes'!$J:$J,MATCH('Detalhe Por UC'!C136,'Infos Clientes'!B:B,0))</f>
        <v>monofasico</v>
      </c>
      <c r="H136" s="47"/>
      <c r="I136" s="58">
        <f>IFERROR(VLOOKUP(C136,'Infos Clientes'!B:E,4,),"")</f>
        <v>306</v>
      </c>
      <c r="J136" s="109">
        <v>0.25</v>
      </c>
      <c r="K136" s="59">
        <f>INDEX('Infos Clientes'!$M:$M,MATCH('Detalhe Por UC'!C136,'Infos Clientes'!B:B,0))</f>
        <v>0.25</v>
      </c>
      <c r="L136" s="110">
        <v>0</v>
      </c>
      <c r="M136" s="56">
        <f>INDEX('Infos Clientes'!$N:$N,MATCH('Detalhe Por UC'!C136,'Infos Clientes'!B:B,0))</f>
        <v>0</v>
      </c>
      <c r="N136" s="56">
        <f t="shared" si="44"/>
        <v>0</v>
      </c>
      <c r="O136" s="56">
        <f t="shared" si="45"/>
        <v>12</v>
      </c>
      <c r="P136" s="56">
        <f t="shared" si="46"/>
        <v>0</v>
      </c>
      <c r="Q136" s="61">
        <f>IFERROR(IFERROR(INDEX('Infos Clientes'!$A$2:$V$9884,MATCH($C136,'Infos Clientes'!$B$2:$B$9884,0),MATCH(Q$8,'Infos Clientes'!$A$2:$V$2,0)),"")
+IF(OR(INDEX('Infos Clientes'!$A$2:$V$9884,MATCH($C136,'Infos Clientes'!$B$2:$B$9884,0),MATCH("Tempo de Fidelidade (meses)",'Infos Clientes'!$A$2:$V$2,0))=0,R136&gt;=MAX(R:R)),0,
ROUND((MAX(R:R)-R136)/(365/12),0)),"")</f>
        <v>0</v>
      </c>
      <c r="R136" s="111">
        <v>45627</v>
      </c>
      <c r="S136" s="112">
        <v>7.0000000000000001E-3</v>
      </c>
      <c r="T136" s="113" t="str">
        <f>IF($H136="GIROSSOL II",AP136/INDEX('Resumo Operacional'!$A$1:$P$1103,17,MATCH('Detalhe Por UC'!$R136,'Resumo Operacional'!$A$1:$P$1,0)),
IF($H136="GIROSSOL II e III",AP136/INDEX('Resumo Operacional'!$A$1:$P$1103,17,MATCH('Detalhe Por UC'!$R136,'Resumo Operacional'!$A$1:$P$1,0)),
""))</f>
        <v/>
      </c>
      <c r="U136" s="113" t="str">
        <f>IF($H136="GIROSSOL III",AP136/INDEX('Resumo Operacional'!$A$1:$P$1103,53,MATCH('Detalhe Por UC'!$R136,'Resumo Operacional'!$A$1:$P$1,0)),
IF($H136="GIROSSOL II e III",AP136/INDEX('Resumo Operacional'!$A$1:$P$1103,53,MATCH('Detalhe Por UC'!$R136,'Resumo Operacional'!$A$1:$P$1,0)),
""))</f>
        <v/>
      </c>
      <c r="V136" s="67"/>
      <c r="W136" s="67"/>
      <c r="X136" s="67">
        <v>1.1329166666666666</v>
      </c>
      <c r="Y136" s="66"/>
      <c r="Z136" s="66">
        <v>1.1328666666666667</v>
      </c>
      <c r="AA136" s="66"/>
      <c r="AB136" s="68">
        <v>80</v>
      </c>
      <c r="AC136" s="122"/>
      <c r="AD136" s="69">
        <v>50</v>
      </c>
      <c r="AE136" s="35"/>
      <c r="AF136" s="69">
        <v>272</v>
      </c>
      <c r="AG136" s="120"/>
      <c r="AH136" s="119">
        <v>0.79</v>
      </c>
      <c r="AI136" s="38"/>
      <c r="AJ136" s="38"/>
      <c r="AK136" s="21"/>
      <c r="AL136" s="38"/>
      <c r="AM136" s="1"/>
      <c r="AN136" s="71">
        <f t="shared" si="47"/>
        <v>272</v>
      </c>
      <c r="AO136" s="71">
        <f t="shared" si="48"/>
        <v>0</v>
      </c>
      <c r="AP136" s="71">
        <f t="shared" si="49"/>
        <v>322</v>
      </c>
      <c r="AQ136" s="72" t="e">
        <f>IF(OR($H136="GIROSSOL II",$H136="GIROSSOL II e III"),INDEX('Resumo Operacional'!$A$1:$P$1103,MATCH("Energia Injetada prevista total Fatura da Usina (TUSD)",'Resumo Operacional'!$B$1:$B$1103,0),MATCH('Detalhe Por UC'!$R136,'Resumo Operacional'!$A$1:$P$1,0))*$S136,INDEX('Resumo Operacional'!$A$1:$P$1103,53,MATCH('Detalhe Por UC'!$R136,'Resumo Operacional'!$A$1:$P$1,0))*$S136)</f>
        <v>#N/A</v>
      </c>
      <c r="AR136" s="71" t="e">
        <f t="shared" si="50"/>
        <v>#N/A</v>
      </c>
      <c r="AS136" s="73">
        <f t="shared" si="51"/>
        <v>34.779999999999994</v>
      </c>
      <c r="AT136" s="74">
        <f t="shared" si="52"/>
        <v>34.779999999999994</v>
      </c>
      <c r="AU136" s="74">
        <f t="shared" si="53"/>
        <v>1.1328166666666668</v>
      </c>
      <c r="AV136" s="74">
        <f t="shared" si="54"/>
        <v>42.482500000000002</v>
      </c>
      <c r="AW136" s="74">
        <f t="shared" si="55"/>
        <v>0</v>
      </c>
      <c r="AX136" s="74">
        <f t="shared" si="56"/>
        <v>56.643333333333331</v>
      </c>
      <c r="AY136" s="74">
        <f t="shared" si="57"/>
        <v>42.48</v>
      </c>
      <c r="AZ136" s="49"/>
      <c r="BA136" s="49"/>
      <c r="BB136" s="49"/>
      <c r="BC136" s="73" t="str">
        <f t="shared" si="58"/>
        <v/>
      </c>
      <c r="BD136" s="73">
        <f t="shared" si="59"/>
        <v>91.423333333333332</v>
      </c>
      <c r="BE136" s="73">
        <f t="shared" si="60"/>
        <v>77.262499999999989</v>
      </c>
      <c r="BF136" s="77">
        <f t="shared" si="61"/>
        <v>14.16</v>
      </c>
      <c r="BG136" s="77">
        <f t="shared" si="62"/>
        <v>4.2480000000000002</v>
      </c>
      <c r="BH136" s="77">
        <f t="shared" si="63"/>
        <v>56.643333333333331</v>
      </c>
      <c r="BI136" s="78">
        <f t="shared" si="64"/>
        <v>0.25</v>
      </c>
      <c r="BJ136" s="79">
        <f t="shared" si="65"/>
        <v>0.15488387355525576</v>
      </c>
      <c r="BK136" s="80">
        <f t="shared" si="66"/>
        <v>77.259999999999991</v>
      </c>
      <c r="BL136" s="80">
        <f t="shared" si="67"/>
        <v>14.163333333333341</v>
      </c>
      <c r="BM136" s="79">
        <f t="shared" si="68"/>
        <v>0.15492033397746754</v>
      </c>
      <c r="BN136" s="81">
        <f t="shared" si="69"/>
        <v>0.84959999999999991</v>
      </c>
      <c r="BO136" s="82">
        <f t="shared" si="70"/>
        <v>42.48</v>
      </c>
      <c r="BP136" s="81">
        <f t="shared" si="71"/>
        <v>0.84959999999999991</v>
      </c>
      <c r="BQ136" s="81">
        <f t="shared" si="72"/>
        <v>0.84964999999999979</v>
      </c>
      <c r="BR136" s="81">
        <f t="shared" si="73"/>
        <v>1.1329166666666666</v>
      </c>
      <c r="BS136" s="82">
        <f t="shared" si="74"/>
        <v>50</v>
      </c>
      <c r="BT136" s="82">
        <f t="shared" si="75"/>
        <v>56.645833333333329</v>
      </c>
      <c r="BU136" s="82">
        <f t="shared" si="76"/>
        <v>56.643333333333331</v>
      </c>
      <c r="BV136"/>
      <c r="BW136" s="82">
        <f>IFERROR(INDEX('Infos Clientes'!$T:$T,MATCH('Detalhe Por UC'!$C136,'Infos Clientes'!B:B,0)),"")</f>
        <v>144</v>
      </c>
      <c r="BX136" s="83">
        <f t="shared" si="77"/>
        <v>0</v>
      </c>
      <c r="BY136" s="84">
        <f t="shared" si="78"/>
        <v>0.25003310040456062</v>
      </c>
      <c r="BZ136" s="85">
        <f>IF(_xlfn.MINIFS('Detalhe Por UC'!R:R,'Detalhe Por UC'!C:C,C136,'Detalhe Por UC'!AD:AD,"&gt;"&amp;0)=0,"",_xlfn.MINIFS('Detalhe Por UC'!R:R,'Detalhe Por UC'!C:C,C136,'Detalhe Por UC'!AD:AD,"&gt;"&amp;0))</f>
        <v>45627</v>
      </c>
      <c r="CA136" s="114">
        <f ca="1">IF(OR(S136&gt;0,AD136&gt;0),IFERROR(
SUMIFS(INDIRECT("'Infos Clientes'!$W"&amp;INDEX('Infos Clientes'!$C:$C,MATCH(C136,'Infos Clientes'!$H:$H,0))&amp;":$CZ"&amp;INDEX('Infos Clientes'!$C:$C,MATCH(C136,'Infos Clientes'!$H:$H,0))),'Infos Clientes'!$W$2:$CZ$2,"&gt;"&amp;$R136-365,'Infos Clientes'!$W$2:$CZ$2,"&lt;="&amp;$R136)/
COUNTIFS(INDIRECT("'Infos Clientes'!$W"&amp;INDEX('Infos Clientes'!$C:$C,MATCH(C136,'Infos Clientes'!$H:$H,0))&amp;":$CZ"&amp;INDEX('Infos Clientes'!$C:$C,MATCH(C136,'Infos Clientes'!$H:$H,0))),"&gt;="&amp;0,'Infos Clientes'!$W$2:$CZ$2,"&gt;"&amp;$R136-365,'Infos Clientes'!$W$2:$CZ$2,"&lt;="&amp;$R136),""),"")</f>
        <v>152.83333333333334</v>
      </c>
      <c r="CB136" s="87">
        <f>VLOOKUP(C136,'Infos Clientes'!B:L,11,0)</f>
        <v>0</v>
      </c>
      <c r="CC136" s="88" t="str">
        <f t="shared" si="79"/>
        <v>A Unidade Consumidora 10/384823-1 economizou R$14,16 na fatura referente à dez/2024  consumindo 50 kWh em créditos de energia renovável conforme fatura de energia. A economia foi de 25% em relação ao que seria pago para a Energisa considerando os créditos consumidos. Atenção: Mantenha as contas da Energisa em dia para evitar cortes.</v>
      </c>
      <c r="CD136" s="40" t="s">
        <v>105</v>
      </c>
      <c r="CF136" s="115">
        <f t="shared" si="80"/>
        <v>-34.779999999999994</v>
      </c>
    </row>
    <row r="137" spans="1:84" s="40" customFormat="1" ht="16.2" hidden="1" customHeight="1" x14ac:dyDescent="0.3">
      <c r="A137" s="105" t="str">
        <f>INDEX('Infos Clientes'!$D:$D,MATCH('Detalhe Por UC'!C137,'Infos Clientes'!B:B,0))</f>
        <v>IGREJA DO EVANGELHO QUADRANGULAR</v>
      </c>
      <c r="B137" s="106" t="str">
        <f>INDEX('Infos Clientes'!$F:$F,MATCH('Detalhe Por UC'!C137,'Infos Clientes'!B:B,0))</f>
        <v>62.955.505/0001-67</v>
      </c>
      <c r="C137" s="31" t="s">
        <v>106</v>
      </c>
      <c r="D137" t="s">
        <v>351</v>
      </c>
      <c r="E137" s="1" t="s">
        <v>352</v>
      </c>
      <c r="F137" s="56" t="str">
        <f>INDEX('Infos Clientes'!$I:$I,MATCH('Detalhe Por UC'!C137,'Infos Clientes'!B:B,0))</f>
        <v>BT</v>
      </c>
      <c r="G137" s="56" t="str">
        <f>INDEX('Infos Clientes'!$J:$J,MATCH('Detalhe Por UC'!C137,'Infos Clientes'!B:B,0))</f>
        <v>bifasico</v>
      </c>
      <c r="H137" s="47"/>
      <c r="I137" s="58">
        <f>IFERROR(VLOOKUP(C137,'Infos Clientes'!B:E,4,),"")</f>
        <v>302</v>
      </c>
      <c r="J137" s="109">
        <v>0.25</v>
      </c>
      <c r="K137" s="59">
        <f>INDEX('Infos Clientes'!$M:$M,MATCH('Detalhe Por UC'!C137,'Infos Clientes'!B:B,0))</f>
        <v>0.25</v>
      </c>
      <c r="L137" s="110">
        <v>0</v>
      </c>
      <c r="M137" s="56">
        <f>INDEX('Infos Clientes'!$N:$N,MATCH('Detalhe Por UC'!C137,'Infos Clientes'!B:B,0))</f>
        <v>0</v>
      </c>
      <c r="N137" s="56">
        <f t="shared" ref="N137:N200" si="81">COUNTIFS(C:C,C137,J:J,L137)</f>
        <v>0</v>
      </c>
      <c r="O137" s="56">
        <f t="shared" ref="O137:O200" si="82">COUNTIFS(C:C,C137,AD:AD,"&gt;0")</f>
        <v>11</v>
      </c>
      <c r="P137" s="56">
        <f t="shared" ref="P137:P200" si="83">M137-N137</f>
        <v>0</v>
      </c>
      <c r="Q137" s="61">
        <f>IFERROR(IFERROR(INDEX('Infos Clientes'!$A$2:$V$9884,MATCH($C137,'Infos Clientes'!$B$2:$B$9884,0),MATCH(Q$8,'Infos Clientes'!$A$2:$V$2,0)),"")
+IF(OR(INDEX('Infos Clientes'!$A$2:$V$9884,MATCH($C137,'Infos Clientes'!$B$2:$B$9884,0),MATCH("Tempo de Fidelidade (meses)",'Infos Clientes'!$A$2:$V$2,0))=0,R137&gt;=MAX(R:R)),0,
ROUND((MAX(R:R)-R137)/(365/12),0)),"")</f>
        <v>0</v>
      </c>
      <c r="R137" s="111">
        <v>45627</v>
      </c>
      <c r="S137" s="112">
        <v>5.0000000000000001E-3</v>
      </c>
      <c r="T137" s="113" t="str">
        <f>IF($H137="GIROSSOL II",AP137/INDEX('Resumo Operacional'!$A$1:$P$1103,17,MATCH('Detalhe Por UC'!$R137,'Resumo Operacional'!$A$1:$P$1,0)),
IF($H137="GIROSSOL II e III",AP137/INDEX('Resumo Operacional'!$A$1:$P$1103,17,MATCH('Detalhe Por UC'!$R137,'Resumo Operacional'!$A$1:$P$1,0)),
""))</f>
        <v/>
      </c>
      <c r="U137" s="113" t="str">
        <f>IF($H137="GIROSSOL III",AP137/INDEX('Resumo Operacional'!$A$1:$P$1103,53,MATCH('Detalhe Por UC'!$R137,'Resumo Operacional'!$A$1:$P$1,0)),
IF($H137="GIROSSOL II e III",AP137/INDEX('Resumo Operacional'!$A$1:$P$1103,53,MATCH('Detalhe Por UC'!$R137,'Resumo Operacional'!$A$1:$P$1,0)),
""))</f>
        <v/>
      </c>
      <c r="V137" s="67"/>
      <c r="W137" s="67"/>
      <c r="X137" s="67">
        <v>1.117619512195122</v>
      </c>
      <c r="Y137" s="66"/>
      <c r="Z137" s="66">
        <v>1.1176280701754386</v>
      </c>
      <c r="AA137" s="66"/>
      <c r="AB137" s="68">
        <v>164</v>
      </c>
      <c r="AC137" s="122"/>
      <c r="AD137" s="69">
        <v>114</v>
      </c>
      <c r="AE137" s="35"/>
      <c r="AF137" s="69">
        <v>401</v>
      </c>
      <c r="AG137" s="120"/>
      <c r="AH137" s="119">
        <v>0</v>
      </c>
      <c r="AI137" s="38"/>
      <c r="AJ137" s="38"/>
      <c r="AK137" s="21"/>
      <c r="AL137" s="38"/>
      <c r="AM137" s="1"/>
      <c r="AN137" s="71">
        <f t="shared" ref="AN137:AN200" si="84">IF(X137="","",AF137-SUMIFS(AF:AF,$C:$C,$C137,$R:$R,EDATE($R137,-1)))</f>
        <v>401</v>
      </c>
      <c r="AO137" s="71">
        <f t="shared" ref="AO137:AO200" si="85">IF(X137="","",AG137-SUMIFS(AG:AG,$H:$H,$H137,$C:$C,$C137,$R:$R,EDATE($R137,-1)))</f>
        <v>0</v>
      </c>
      <c r="AP137" s="71">
        <f t="shared" ref="AP137:AP200" si="86">IFERROR(IF(D137="CRÉD. CONSUMIDO",SUM(AD137,AE137,AN137,AO137),IF(D137="GERADO",AQ137)),"")</f>
        <v>515</v>
      </c>
      <c r="AQ137" s="72" t="e">
        <f>IF(OR($H137="GIROSSOL II",$H137="GIROSSOL II e III"),INDEX('Resumo Operacional'!$A$1:$P$1103,MATCH("Energia Injetada prevista total Fatura da Usina (TUSD)",'Resumo Operacional'!$B$1:$B$1103,0),MATCH('Detalhe Por UC'!$R137,'Resumo Operacional'!$A$1:$P$1,0))*$S137,INDEX('Resumo Operacional'!$A$1:$P$1103,53,MATCH('Detalhe Por UC'!$R137,'Resumo Operacional'!$A$1:$P$1,0))*$S137)</f>
        <v>#N/A</v>
      </c>
      <c r="AR137" s="71" t="e">
        <f t="shared" ref="AR137:AR200" si="87">IF(X137="","",AP137-AQ137)</f>
        <v>#N/A</v>
      </c>
      <c r="AS137" s="73">
        <f t="shared" ref="AS137:AS200" si="88">IFERROR((X137*AB137-Z137*AD137+Y137*AC137-AA137*AE137)+AH137+
IF(F137&lt;&gt;"BT",0,
IF(AND(G137="trifasico",AD137=0,AB137&lt;100),X137*(100-(AB137-AD137)),
IF(AND(G137="bifasico",AD137=0,AB137&lt;50),X137*(50-(AB137-AD137)),
IF(AND(G137="monofasico",AD137=0,AB137&lt;30),X137*(30-(AB137-AD137)),0)))),"")</f>
        <v>55.879999999999995</v>
      </c>
      <c r="AT137" s="74">
        <f t="shared" ref="AT137:AT200" si="89">IFERROR(AS137+AI137+AJ137,"")</f>
        <v>55.879999999999995</v>
      </c>
      <c r="AU137" s="74">
        <f t="shared" ref="AU137:AU200" si="90">IFERROR((Z137*AD137+AA137*AE137)/(AD137+AE137)-((X137-Z137)*AD137+(Y137-AA137)*AE137)/(AD137+AE137),"")</f>
        <v>1.1176366281557553</v>
      </c>
      <c r="AV137" s="74">
        <f t="shared" ref="AV137:AV200" si="91">IFERROR(IF(AND(E137="FINAL-Ñ.COMP",D137="CRÉD. CONSUMIDO"),(X137*(1-J137)-(X137-Z137))*AD137+(Y137*(1-J137)-(Y137-AA137))*AE137,
IF(AND(E137="T.COMP",D137="CRÉD. CONSUMIDO"),Z137*(1-J137)*AD137+AA137*(1-J137)*AE137,
IF(AND(E137="T.S.IMP",D137="CRÉD. CONSUMIDO"),V137*(1-J137)*AD137+W137*(1-J137)*AE137,
IF(AND(E137="T.S.IMP",D137="GERADO"),V137*(1-J137)*AQ137+W137*(1-J137)*AQ137,
IF(AND(E137="T.COMP",D137="GERADO"),AU137*(1-J137)*AQ137,
IF(AND(E137="FINAL-Ñ.COMP",D137="GERADO"),(AU137*(1-J137)-(X137-Z137))*AQ137,"ERRO")))))),"")</f>
        <v>95.557200000000009</v>
      </c>
      <c r="AW137" s="74">
        <f t="shared" ref="AW137:AW200" si="92">IF(45658=R137,0,IF(
SUMIFS($BA:$BA,$C:$C,$C137,$R:$R,EDATE($R137,-1))
&gt;=0,
SUMIFS(AY:AY,$C:$C,$C137,$R:$R,EDATE($R137,-1))-SUMIFS(BA:BA,$C:$C,$C137,$R:$R,EDATE($R137,-1)),0))</f>
        <v>0</v>
      </c>
      <c r="AX137" s="74">
        <f t="shared" ref="AX137:AX200" si="93">IFERROR(IF(AND(E137="FINAL-Ñ.COMP",D137="CRÉD. CONSUMIDO"),(X137-(X137-Z137))*AD137+(Y137-(Y137-AA137))*AE137,
IF(AND(E137="T.COMP",D137="CRÉD. CONSUMIDO"),Z137*AD137+AA137*AE137,
IF(AND(E137="T.S.IMP",D137="CRÉD. CONSUMIDO"),V137*AD137+W137*AE137,
IF(AND(E137="T.S.IMP",D137="GERADO"),V137*AQ137+W137*AQ137,
IF(AND(E137="T.COMP",D137="GERADO"),AU137*AQ137,
IF(AND(E137="FINAL-Ñ.COMP",D137="GERADO"),(AU137-(X137-Z137))*AQ137,"ERRO"))))))+AW137,"")</f>
        <v>127.40960000000001</v>
      </c>
      <c r="AY137" s="74">
        <f t="shared" ref="AY137:AY200" si="94">IF(AV137=0,IF(AW137=0,"",AW137),IFERROR(ROUND(IF(SUMIFS($BA:$BA,$C:$C,$C137,$R:$R,EDATE($R137,-1))&gt;0,AV137+AW137,AV137),2),""))</f>
        <v>95.56</v>
      </c>
      <c r="AZ137" s="49"/>
      <c r="BA137" s="49"/>
      <c r="BB137" s="49"/>
      <c r="BC137" s="73" t="str">
        <f t="shared" ref="BC137:BC200" si="95">IF(BB137&gt;BA137,BB137-BA137,"")</f>
        <v/>
      </c>
      <c r="BD137" s="73">
        <f t="shared" ref="BD137:BD200" si="96">IF(AB137&gt;0,X137*AB137+Y137*AC137+AH137,AH137+
IF(AND(G137="trifasico",AB137-AD137=0),X137*(100-(AB137-AD137)),
IF(AND(G137="bifasico",AB137-AD137=0),X137*(50-(AB137-AD137)),
IF(AND(G137="monofasico",AB137-AD137=0),X137*(30-(AB137-AD137)),0))))</f>
        <v>183.28960000000001</v>
      </c>
      <c r="BE137" s="73">
        <f t="shared" ref="BE137:BE200" si="97">IFERROR(AS137+AV137,"")</f>
        <v>151.43720000000002</v>
      </c>
      <c r="BF137" s="77">
        <f t="shared" ref="BF137:BF200" si="98">ROUND(BD137-BE137,2)</f>
        <v>31.85</v>
      </c>
      <c r="BG137" s="77">
        <f t="shared" ref="BG137:BG200" si="99">BF137*0.3</f>
        <v>9.5549999999999997</v>
      </c>
      <c r="BH137" s="77">
        <f t="shared" ref="BH137:BH200" si="100">(X137*AD137)-((X137-Z137)*AD137)</f>
        <v>127.40960000000001</v>
      </c>
      <c r="BI137" s="78">
        <f t="shared" ref="BI137:BI200" si="101">IFERROR(ROUND(IFERROR(IF(BF137=0,"",BF137/(AY137+Z137*J137*AD137+AA137*J137*AE137)),0),2),"")</f>
        <v>0.25</v>
      </c>
      <c r="BJ137" s="79">
        <f t="shared" ref="BJ137:BJ200" si="102">IFERROR(BF137/BD137,"")</f>
        <v>0.17376872446663641</v>
      </c>
      <c r="BK137" s="80">
        <f t="shared" ref="BK137:BK200" si="103">IFERROR(AS137+AY137,"")</f>
        <v>151.44</v>
      </c>
      <c r="BL137" s="80">
        <f t="shared" ref="BL137:BL200" si="104">IFERROR(BD137-BK137,"")</f>
        <v>31.849600000000009</v>
      </c>
      <c r="BM137" s="79">
        <f t="shared" ref="BM137:BM200" si="105">IFERROR(IF(BL137=0,"",BL137/BD137),"")</f>
        <v>0.17376654212786763</v>
      </c>
      <c r="BN137" s="81">
        <f t="shared" ref="BN137:BN200" si="106">IFERROR(IF(AD137="","",AY137/(AD137+AE137)),"")</f>
        <v>0.83824561403508779</v>
      </c>
      <c r="BO137" s="82">
        <f t="shared" ref="BO137:BO200" si="107">IF(OR(BN137="",BN137=0),"",BN137*(AD137+AE137))</f>
        <v>95.56</v>
      </c>
      <c r="BP137" s="81">
        <f t="shared" ref="BP137:BP200" si="108">IFERROR(IF(AD137="","",AY137/AD137),"")</f>
        <v>0.83824561403508779</v>
      </c>
      <c r="BQ137" s="81">
        <f t="shared" ref="BQ137:BQ200" si="109">IFERROR(BP137+(X137-Z137),"")</f>
        <v>0.83823705605477117</v>
      </c>
      <c r="BR137" s="81">
        <f t="shared" ref="BR137:BR200" si="110">IFERROR(IF(AD137="","",(X137*AD137+Y137*AE137)/(AD137+AE137)),"")</f>
        <v>1.117619512195122</v>
      </c>
      <c r="BS137" s="82">
        <f t="shared" ref="BS137:BS200" si="111">IFERROR(IF(D137="gerado",AQ137,AD137),"")</f>
        <v>114</v>
      </c>
      <c r="BT137" s="82">
        <f t="shared" ref="BT137:BT200" si="112">IF(OR(BR137="",BR137=0),"",BR137*(AD137+AE137))</f>
        <v>127.40862439024392</v>
      </c>
      <c r="BU137" s="82">
        <f t="shared" ref="BU137:BU200" si="113">IFERROR(BS137*Z137,"")</f>
        <v>127.40960000000001</v>
      </c>
      <c r="BV137"/>
      <c r="BW137" s="82">
        <f>IFERROR(INDEX('Infos Clientes'!$T:$T,MATCH('Detalhe Por UC'!$C137,'Infos Clientes'!B:B,0)),"")</f>
        <v>147.33333333333334</v>
      </c>
      <c r="BX137" s="83">
        <f t="shared" ref="BX137:BX200" si="114">IFERROR(BW137*Q137,"")</f>
        <v>0</v>
      </c>
      <c r="BY137" s="84">
        <f t="shared" ref="BY137:BY200" si="115">IFERROR((X137-BQ137)/X137,"")</f>
        <v>0.24997993779798491</v>
      </c>
      <c r="BZ137" s="85">
        <f>IF(_xlfn.MINIFS('Detalhe Por UC'!R:R,'Detalhe Por UC'!C:C,C137,'Detalhe Por UC'!AD:AD,"&gt;"&amp;0)=0,"",_xlfn.MINIFS('Detalhe Por UC'!R:R,'Detalhe Por UC'!C:C,C137,'Detalhe Por UC'!AD:AD,"&gt;"&amp;0))</f>
        <v>45627</v>
      </c>
      <c r="CA137" s="114">
        <f ca="1">IF(OR(S137&gt;0,AD137&gt;0),IFERROR(
SUMIFS(INDIRECT("'Infos Clientes'!$W"&amp;INDEX('Infos Clientes'!$C:$C,MATCH(C137,'Infos Clientes'!$H:$H,0))&amp;":$CZ"&amp;INDEX('Infos Clientes'!$C:$C,MATCH(C137,'Infos Clientes'!$H:$H,0))),'Infos Clientes'!$W$2:$CZ$2,"&gt;"&amp;$R137-365,'Infos Clientes'!$W$2:$CZ$2,"&lt;="&amp;$R137)/
COUNTIFS(INDIRECT("'Infos Clientes'!$W"&amp;INDEX('Infos Clientes'!$C:$C,MATCH(C137,'Infos Clientes'!$H:$H,0))&amp;":$CZ"&amp;INDEX('Infos Clientes'!$C:$C,MATCH(C137,'Infos Clientes'!$H:$H,0))),"&gt;="&amp;0,'Infos Clientes'!$W$2:$CZ$2,"&gt;"&amp;$R137-365,'Infos Clientes'!$W$2:$CZ$2,"&lt;="&amp;$R137),""),"")</f>
        <v>154.25</v>
      </c>
      <c r="CB137" s="87">
        <f>VLOOKUP(C137,'Infos Clientes'!B:L,11,0)</f>
        <v>0</v>
      </c>
      <c r="CC137" s="88" t="str">
        <f t="shared" ref="CC137:CC200" si="116">"A Unidade Consumidora "&amp;C137&amp;" economizou R$"&amp;BF137&amp;" na fatura referente à "&amp;TEXT(R137,"mmm/aaaa")&amp;"  consumindo "&amp;AD137&amp;" kWh em créditos de energia renovável conforme fatura de energia. A economia foi de "&amp;$J137*100&amp;"% em relação ao que seria pago para a Energisa considerando os créditos consumidos. Atenção: Mantenha as contas da Energisa em dia para evitar cortes."</f>
        <v>A Unidade Consumidora 10/452884-0 economizou R$31,85 na fatura referente à dez/2024  consumindo 114 kWh em créditos de energia renovável conforme fatura de energia. A economia foi de 25% em relação ao que seria pago para a Energisa considerando os créditos consumidos. Atenção: Mantenha as contas da Energisa em dia para evitar cortes.</v>
      </c>
      <c r="CD137" s="40" t="s">
        <v>107</v>
      </c>
      <c r="CF137" s="115">
        <f t="shared" ref="CF137:CF200" si="117">CE137-AT137</f>
        <v>-55.879999999999995</v>
      </c>
    </row>
    <row r="138" spans="1:84" s="40" customFormat="1" ht="16.2" hidden="1" customHeight="1" x14ac:dyDescent="0.3">
      <c r="A138" s="105" t="str">
        <f>INDEX('Infos Clientes'!$D:$D,MATCH('Detalhe Por UC'!C138,'Infos Clientes'!B:B,0))</f>
        <v>IGREJA DO EVANGELHO QUADRANGULAR</v>
      </c>
      <c r="B138" s="106" t="str">
        <f>INDEX('Infos Clientes'!$F:$F,MATCH('Detalhe Por UC'!C138,'Infos Clientes'!B:B,0))</f>
        <v>62.955.505/2730-58</v>
      </c>
      <c r="C138" s="31" t="s">
        <v>108</v>
      </c>
      <c r="D138" t="s">
        <v>351</v>
      </c>
      <c r="E138" s="1" t="s">
        <v>352</v>
      </c>
      <c r="F138" s="56" t="str">
        <f>INDEX('Infos Clientes'!$I:$I,MATCH('Detalhe Por UC'!C138,'Infos Clientes'!B:B,0))</f>
        <v>BT</v>
      </c>
      <c r="G138" s="56" t="str">
        <f>INDEX('Infos Clientes'!$J:$J,MATCH('Detalhe Por UC'!C138,'Infos Clientes'!B:B,0))</f>
        <v>trifasico</v>
      </c>
      <c r="H138" s="47"/>
      <c r="I138" s="58">
        <f>IFERROR(VLOOKUP(C138,'Infos Clientes'!B:E,4,),"")</f>
        <v>306</v>
      </c>
      <c r="J138" s="109">
        <v>0.25</v>
      </c>
      <c r="K138" s="59">
        <f>INDEX('Infos Clientes'!$M:$M,MATCH('Detalhe Por UC'!C138,'Infos Clientes'!B:B,0))</f>
        <v>0.25</v>
      </c>
      <c r="L138" s="110">
        <v>0</v>
      </c>
      <c r="M138" s="56">
        <f>INDEX('Infos Clientes'!$N:$N,MATCH('Detalhe Por UC'!C138,'Infos Clientes'!B:B,0))</f>
        <v>0</v>
      </c>
      <c r="N138" s="56">
        <f t="shared" si="81"/>
        <v>0</v>
      </c>
      <c r="O138" s="56">
        <f t="shared" si="82"/>
        <v>12</v>
      </c>
      <c r="P138" s="56">
        <f t="shared" si="83"/>
        <v>0</v>
      </c>
      <c r="Q138" s="61">
        <f>IFERROR(IFERROR(INDEX('Infos Clientes'!$A$2:$V$9884,MATCH($C138,'Infos Clientes'!$B$2:$B$9884,0),MATCH(Q$8,'Infos Clientes'!$A$2:$V$2,0)),"")
+IF(OR(INDEX('Infos Clientes'!$A$2:$V$9884,MATCH($C138,'Infos Clientes'!$B$2:$B$9884,0),MATCH("Tempo de Fidelidade (meses)",'Infos Clientes'!$A$2:$V$2,0))=0,R138&gt;=MAX(R:R)),0,
ROUND((MAX(R:R)-R138)/(365/12),0)),"")</f>
        <v>0</v>
      </c>
      <c r="R138" s="111">
        <v>45627</v>
      </c>
      <c r="S138" s="112">
        <v>6.0000000000000001E-3</v>
      </c>
      <c r="T138" s="113" t="str">
        <f>IF($H138="GIROSSOL II",AP138/INDEX('Resumo Operacional'!$A$1:$P$1103,17,MATCH('Detalhe Por UC'!$R138,'Resumo Operacional'!$A$1:$P$1,0)),
IF($H138="GIROSSOL II e III",AP138/INDEX('Resumo Operacional'!$A$1:$P$1103,17,MATCH('Detalhe Por UC'!$R138,'Resumo Operacional'!$A$1:$P$1,0)),
""))</f>
        <v/>
      </c>
      <c r="U138" s="113" t="str">
        <f>IF($H138="GIROSSOL III",AP138/INDEX('Resumo Operacional'!$A$1:$P$1103,53,MATCH('Detalhe Por UC'!$R138,'Resumo Operacional'!$A$1:$P$1,0)),
IF($H138="GIROSSOL II e III",AP138/INDEX('Resumo Operacional'!$A$1:$P$1103,53,MATCH('Detalhe Por UC'!$R138,'Resumo Operacional'!$A$1:$P$1,0)),
""))</f>
        <v/>
      </c>
      <c r="V138" s="67"/>
      <c r="W138" s="67"/>
      <c r="X138" s="67">
        <v>1.1337380952380953</v>
      </c>
      <c r="Y138" s="67"/>
      <c r="Z138" s="66">
        <v>1.1336818181818182</v>
      </c>
      <c r="AA138" s="121"/>
      <c r="AB138" s="68">
        <v>210</v>
      </c>
      <c r="AC138" s="122"/>
      <c r="AD138" s="69">
        <v>110</v>
      </c>
      <c r="AE138" s="35"/>
      <c r="AF138" s="69">
        <v>281</v>
      </c>
      <c r="AG138" s="120"/>
      <c r="AH138" s="119">
        <v>0</v>
      </c>
      <c r="AI138" s="38"/>
      <c r="AJ138" s="38"/>
      <c r="AK138" s="21"/>
      <c r="AL138" s="38"/>
      <c r="AM138" s="1"/>
      <c r="AN138" s="71">
        <f t="shared" si="84"/>
        <v>281</v>
      </c>
      <c r="AO138" s="71">
        <f t="shared" si="85"/>
        <v>0</v>
      </c>
      <c r="AP138" s="71">
        <f t="shared" si="86"/>
        <v>391</v>
      </c>
      <c r="AQ138" s="72" t="e">
        <f>IF(OR($H138="GIROSSOL II",$H138="GIROSSOL II e III"),INDEX('Resumo Operacional'!$A$1:$P$1103,MATCH("Energia Injetada prevista total Fatura da Usina (TUSD)",'Resumo Operacional'!$B$1:$B$1103,0),MATCH('Detalhe Por UC'!$R138,'Resumo Operacional'!$A$1:$P$1,0))*$S138,INDEX('Resumo Operacional'!$A$1:$P$1103,53,MATCH('Detalhe Por UC'!$R138,'Resumo Operacional'!$A$1:$P$1,0))*$S138)</f>
        <v>#N/A</v>
      </c>
      <c r="AR138" s="71" t="e">
        <f t="shared" si="87"/>
        <v>#N/A</v>
      </c>
      <c r="AS138" s="73">
        <f t="shared" si="88"/>
        <v>113.38</v>
      </c>
      <c r="AT138" s="74">
        <f t="shared" si="89"/>
        <v>113.38</v>
      </c>
      <c r="AU138" s="74">
        <f t="shared" si="90"/>
        <v>1.1336255411255411</v>
      </c>
      <c r="AV138" s="74">
        <f t="shared" si="91"/>
        <v>93.528750000000002</v>
      </c>
      <c r="AW138" s="74">
        <f t="shared" si="92"/>
        <v>0</v>
      </c>
      <c r="AX138" s="74">
        <f t="shared" si="93"/>
        <v>124.70500000000001</v>
      </c>
      <c r="AY138" s="74">
        <f t="shared" si="94"/>
        <v>93.53</v>
      </c>
      <c r="AZ138" s="49"/>
      <c r="BA138" s="49"/>
      <c r="BB138" s="49"/>
      <c r="BC138" s="73" t="str">
        <f t="shared" si="95"/>
        <v/>
      </c>
      <c r="BD138" s="73">
        <f t="shared" si="96"/>
        <v>238.08500000000001</v>
      </c>
      <c r="BE138" s="73">
        <f t="shared" si="97"/>
        <v>206.90875</v>
      </c>
      <c r="BF138" s="77">
        <f t="shared" si="98"/>
        <v>31.18</v>
      </c>
      <c r="BG138" s="77">
        <f t="shared" si="99"/>
        <v>9.3539999999999992</v>
      </c>
      <c r="BH138" s="77">
        <f t="shared" si="100"/>
        <v>124.705</v>
      </c>
      <c r="BI138" s="78">
        <f t="shared" si="101"/>
        <v>0.25</v>
      </c>
      <c r="BJ138" s="79">
        <f t="shared" si="102"/>
        <v>0.13096163135014804</v>
      </c>
      <c r="BK138" s="80">
        <f t="shared" si="103"/>
        <v>206.91</v>
      </c>
      <c r="BL138" s="80">
        <f t="shared" si="104"/>
        <v>31.175000000000011</v>
      </c>
      <c r="BM138" s="79">
        <f t="shared" si="105"/>
        <v>0.13094063044710927</v>
      </c>
      <c r="BN138" s="81">
        <f t="shared" si="106"/>
        <v>0.85027272727272729</v>
      </c>
      <c r="BO138" s="82">
        <f t="shared" si="107"/>
        <v>93.53</v>
      </c>
      <c r="BP138" s="81">
        <f t="shared" si="108"/>
        <v>0.85027272727272729</v>
      </c>
      <c r="BQ138" s="81">
        <f t="shared" si="109"/>
        <v>0.85032900432900438</v>
      </c>
      <c r="BR138" s="81">
        <f t="shared" si="110"/>
        <v>1.1337380952380953</v>
      </c>
      <c r="BS138" s="82">
        <f t="shared" si="111"/>
        <v>110</v>
      </c>
      <c r="BT138" s="82">
        <f t="shared" si="112"/>
        <v>124.71119047619048</v>
      </c>
      <c r="BU138" s="82">
        <f t="shared" si="113"/>
        <v>124.70500000000001</v>
      </c>
      <c r="BV138"/>
      <c r="BW138" s="82">
        <f>IFERROR(INDEX('Infos Clientes'!$T:$T,MATCH('Detalhe Por UC'!$C138,'Infos Clientes'!B:B,0)),"")</f>
        <v>187.5</v>
      </c>
      <c r="BX138" s="83">
        <f t="shared" si="114"/>
        <v>0</v>
      </c>
      <c r="BY138" s="84">
        <f t="shared" si="115"/>
        <v>0.24997756721720854</v>
      </c>
      <c r="BZ138" s="85">
        <f>IF(_xlfn.MINIFS('Detalhe Por UC'!R:R,'Detalhe Por UC'!C:C,C138,'Detalhe Por UC'!AD:AD,"&gt;"&amp;0)=0,"",_xlfn.MINIFS('Detalhe Por UC'!R:R,'Detalhe Por UC'!C:C,C138,'Detalhe Por UC'!AD:AD,"&gt;"&amp;0))</f>
        <v>45627</v>
      </c>
      <c r="CA138" s="114">
        <f ca="1">IF(OR(S138&gt;0,AD138&gt;0),IFERROR(
SUMIFS(INDIRECT("'Infos Clientes'!$W"&amp;INDEX('Infos Clientes'!$C:$C,MATCH(C138,'Infos Clientes'!$H:$H,0))&amp;":$CZ"&amp;INDEX('Infos Clientes'!$C:$C,MATCH(C138,'Infos Clientes'!$H:$H,0))),'Infos Clientes'!$W$2:$CZ$2,"&gt;"&amp;$R138-365,'Infos Clientes'!$W$2:$CZ$2,"&lt;="&amp;$R138)/
COUNTIFS(INDIRECT("'Infos Clientes'!$W"&amp;INDEX('Infos Clientes'!$C:$C,MATCH(C138,'Infos Clientes'!$H:$H,0))&amp;":$CZ"&amp;INDEX('Infos Clientes'!$C:$C,MATCH(C138,'Infos Clientes'!$H:$H,0))),"&gt;="&amp;0,'Infos Clientes'!$W$2:$CZ$2,"&gt;"&amp;$R138-365,'Infos Clientes'!$W$2:$CZ$2,"&lt;="&amp;$R138),""),"")</f>
        <v>195</v>
      </c>
      <c r="CB138" s="87">
        <f>VLOOKUP(C138,'Infos Clientes'!B:L,11,0)</f>
        <v>0</v>
      </c>
      <c r="CC138" s="88" t="str">
        <f t="shared" si="116"/>
        <v>A Unidade Consumidora 10/501586-2 economizou R$31,18 na fatura referente à dez/2024  consumindo 110 kWh em créditos de energia renovável conforme fatura de energia. A economia foi de 25% em relação ao que seria pago para a Energisa considerando os créditos consumidos. Atenção: Mantenha as contas da Energisa em dia para evitar cortes.</v>
      </c>
      <c r="CD138" s="40" t="s">
        <v>110</v>
      </c>
      <c r="CF138" s="115">
        <f t="shared" si="117"/>
        <v>-113.38</v>
      </c>
    </row>
    <row r="139" spans="1:84" s="40" customFormat="1" ht="16.2" hidden="1" customHeight="1" x14ac:dyDescent="0.3">
      <c r="A139" s="105" t="str">
        <f>INDEX('Infos Clientes'!$D:$D,MATCH('Detalhe Por UC'!C139,'Infos Clientes'!B:B,0))</f>
        <v>IGREJA DO EVANGELHO QUADRANGULAR</v>
      </c>
      <c r="B139" s="106" t="str">
        <f>INDEX('Infos Clientes'!$F:$F,MATCH('Detalhe Por UC'!C139,'Infos Clientes'!B:B,0))</f>
        <v>62.955.505/3671-17</v>
      </c>
      <c r="C139" s="31" t="s">
        <v>111</v>
      </c>
      <c r="D139" t="s">
        <v>351</v>
      </c>
      <c r="E139" s="1" t="s">
        <v>352</v>
      </c>
      <c r="F139" s="56" t="str">
        <f>INDEX('Infos Clientes'!$I:$I,MATCH('Detalhe Por UC'!C139,'Infos Clientes'!B:B,0))</f>
        <v>BT</v>
      </c>
      <c r="G139" s="56" t="str">
        <f>INDEX('Infos Clientes'!$J:$J,MATCH('Detalhe Por UC'!C139,'Infos Clientes'!B:B,0))</f>
        <v>trifasico</v>
      </c>
      <c r="H139" s="47"/>
      <c r="I139" s="58">
        <f>IFERROR(VLOOKUP(C139,'Infos Clientes'!B:E,4,),"")</f>
        <v>358</v>
      </c>
      <c r="J139" s="109">
        <v>0.25</v>
      </c>
      <c r="K139" s="59">
        <f>INDEX('Infos Clientes'!$M:$M,MATCH('Detalhe Por UC'!C139,'Infos Clientes'!B:B,0))</f>
        <v>0.25</v>
      </c>
      <c r="L139" s="110">
        <v>0</v>
      </c>
      <c r="M139" s="56">
        <f>INDEX('Infos Clientes'!$N:$N,MATCH('Detalhe Por UC'!C139,'Infos Clientes'!B:B,0))</f>
        <v>0</v>
      </c>
      <c r="N139" s="56">
        <f t="shared" si="81"/>
        <v>0</v>
      </c>
      <c r="O139" s="56">
        <f t="shared" si="82"/>
        <v>12</v>
      </c>
      <c r="P139" s="56">
        <f t="shared" si="83"/>
        <v>0</v>
      </c>
      <c r="Q139" s="61">
        <f>IFERROR(IFERROR(INDEX('Infos Clientes'!$A$2:$V$9884,MATCH($C139,'Infos Clientes'!$B$2:$B$9884,0),MATCH(Q$8,'Infos Clientes'!$A$2:$V$2,0)),"")
+IF(OR(INDEX('Infos Clientes'!$A$2:$V$9884,MATCH($C139,'Infos Clientes'!$B$2:$B$9884,0),MATCH("Tempo de Fidelidade (meses)",'Infos Clientes'!$A$2:$V$2,0))=0,R139&gt;=MAX(R:R)),0,
ROUND((MAX(R:R)-R139)/(365/12),0)),"")</f>
        <v>0</v>
      </c>
      <c r="R139" s="111">
        <v>45627</v>
      </c>
      <c r="S139" s="112">
        <v>0.02</v>
      </c>
      <c r="T139" s="113" t="str">
        <f>IF($H139="GIROSSOL II",AP139/INDEX('Resumo Operacional'!$A$1:$P$1103,17,MATCH('Detalhe Por UC'!$R139,'Resumo Operacional'!$A$1:$P$1,0)),
IF($H139="GIROSSOL II e III",AP139/INDEX('Resumo Operacional'!$A$1:$P$1103,17,MATCH('Detalhe Por UC'!$R139,'Resumo Operacional'!$A$1:$P$1,0)),
""))</f>
        <v/>
      </c>
      <c r="U139" s="113" t="str">
        <f>IF($H139="GIROSSOL III",AP139/INDEX('Resumo Operacional'!$A$1:$P$1103,53,MATCH('Detalhe Por UC'!$R139,'Resumo Operacional'!$A$1:$P$1,0)),
IF($H139="GIROSSOL II e III",AP139/INDEX('Resumo Operacional'!$A$1:$P$1103,53,MATCH('Detalhe Por UC'!$R139,'Resumo Operacional'!$A$1:$P$1,0)),
""))</f>
        <v/>
      </c>
      <c r="V139" s="67"/>
      <c r="W139" s="67"/>
      <c r="X139" s="67">
        <v>1.1283792545286313</v>
      </c>
      <c r="Y139" s="67"/>
      <c r="Z139" s="66">
        <v>1.1283684919210053</v>
      </c>
      <c r="AA139" s="66"/>
      <c r="AB139" s="68">
        <v>813</v>
      </c>
      <c r="AC139" s="69"/>
      <c r="AD139" s="69">
        <v>256</v>
      </c>
      <c r="AE139" s="35"/>
      <c r="AF139" s="69">
        <v>0</v>
      </c>
      <c r="AG139" s="120"/>
      <c r="AH139" s="119">
        <v>124</v>
      </c>
      <c r="AI139" s="38"/>
      <c r="AJ139" s="38"/>
      <c r="AK139" s="21"/>
      <c r="AL139" s="38"/>
      <c r="AM139" s="1"/>
      <c r="AN139" s="71">
        <f t="shared" si="84"/>
        <v>0</v>
      </c>
      <c r="AO139" s="71">
        <f t="shared" si="85"/>
        <v>0</v>
      </c>
      <c r="AP139" s="71">
        <f t="shared" si="86"/>
        <v>256</v>
      </c>
      <c r="AQ139" s="72" t="e">
        <f>IF(OR($H139="GIROSSOL II",$H139="GIROSSOL II e III"),INDEX('Resumo Operacional'!$A$1:$P$1103,MATCH("Energia Injetada prevista total Fatura da Usina (TUSD)",'Resumo Operacional'!$B$1:$B$1103,0),MATCH('Detalhe Por UC'!$R139,'Resumo Operacional'!$A$1:$P$1,0))*$S139,INDEX('Resumo Operacional'!$A$1:$P$1103,53,MATCH('Detalhe Por UC'!$R139,'Resumo Operacional'!$A$1:$P$1,0))*$S139)</f>
        <v>#N/A</v>
      </c>
      <c r="AR139" s="71" t="e">
        <f t="shared" si="87"/>
        <v>#N/A</v>
      </c>
      <c r="AS139" s="73">
        <f t="shared" si="88"/>
        <v>752.50999999999988</v>
      </c>
      <c r="AT139" s="74">
        <f t="shared" si="89"/>
        <v>752.50999999999988</v>
      </c>
      <c r="AU139" s="74">
        <f t="shared" si="90"/>
        <v>1.1283577293133793</v>
      </c>
      <c r="AV139" s="74">
        <f t="shared" si="91"/>
        <v>216.64675044883302</v>
      </c>
      <c r="AW139" s="74">
        <f t="shared" si="92"/>
        <v>0</v>
      </c>
      <c r="AX139" s="74">
        <f t="shared" si="93"/>
        <v>288.86233393177736</v>
      </c>
      <c r="AY139" s="74">
        <f t="shared" si="94"/>
        <v>216.65</v>
      </c>
      <c r="AZ139" s="49"/>
      <c r="BA139" s="49"/>
      <c r="BB139" s="49"/>
      <c r="BC139" s="73" t="str">
        <f t="shared" si="95"/>
        <v/>
      </c>
      <c r="BD139" s="73">
        <f t="shared" si="96"/>
        <v>1041.3723339317771</v>
      </c>
      <c r="BE139" s="73">
        <f t="shared" si="97"/>
        <v>969.1567504488329</v>
      </c>
      <c r="BF139" s="77">
        <f t="shared" si="98"/>
        <v>72.22</v>
      </c>
      <c r="BG139" s="77">
        <f t="shared" si="99"/>
        <v>21.666</v>
      </c>
      <c r="BH139" s="77">
        <f t="shared" si="100"/>
        <v>288.86233393177736</v>
      </c>
      <c r="BI139" s="78">
        <f t="shared" si="101"/>
        <v>0.25</v>
      </c>
      <c r="BJ139" s="79">
        <f t="shared" si="102"/>
        <v>6.9350795720996478E-2</v>
      </c>
      <c r="BK139" s="80">
        <f t="shared" si="103"/>
        <v>969.15999999999985</v>
      </c>
      <c r="BL139" s="80">
        <f t="shared" si="104"/>
        <v>72.212333931777266</v>
      </c>
      <c r="BM139" s="79">
        <f t="shared" si="105"/>
        <v>6.934343421543987E-2</v>
      </c>
      <c r="BN139" s="81">
        <f t="shared" si="106"/>
        <v>0.84628906250000002</v>
      </c>
      <c r="BO139" s="82">
        <f t="shared" si="107"/>
        <v>216.65</v>
      </c>
      <c r="BP139" s="81">
        <f t="shared" si="108"/>
        <v>0.84628906250000002</v>
      </c>
      <c r="BQ139" s="81">
        <f t="shared" si="109"/>
        <v>0.84629982510762602</v>
      </c>
      <c r="BR139" s="81">
        <f t="shared" si="110"/>
        <v>1.1283792545286313</v>
      </c>
      <c r="BS139" s="82">
        <f t="shared" si="111"/>
        <v>256</v>
      </c>
      <c r="BT139" s="82">
        <f t="shared" si="112"/>
        <v>288.86508915932961</v>
      </c>
      <c r="BU139" s="82">
        <f t="shared" si="113"/>
        <v>288.86233393177736</v>
      </c>
      <c r="BV139"/>
      <c r="BW139" s="82">
        <f>IFERROR(INDEX('Infos Clientes'!$T:$T,MATCH('Detalhe Por UC'!$C139,'Infos Clientes'!B:B,0)),"")</f>
        <v>586</v>
      </c>
      <c r="BX139" s="83">
        <f t="shared" si="114"/>
        <v>0</v>
      </c>
      <c r="BY139" s="84">
        <f t="shared" si="115"/>
        <v>0.2499863660989062</v>
      </c>
      <c r="BZ139" s="85">
        <f>IF(_xlfn.MINIFS('Detalhe Por UC'!R:R,'Detalhe Por UC'!C:C,C139,'Detalhe Por UC'!AD:AD,"&gt;"&amp;0)=0,"",_xlfn.MINIFS('Detalhe Por UC'!R:R,'Detalhe Por UC'!C:C,C139,'Detalhe Por UC'!AD:AD,"&gt;"&amp;0))</f>
        <v>45627</v>
      </c>
      <c r="CA139" s="114">
        <f ca="1">IF(OR(S139&gt;0,AD139&gt;0),IFERROR(
SUMIFS(INDIRECT("'Infos Clientes'!$W"&amp;INDEX('Infos Clientes'!$C:$C,MATCH(C139,'Infos Clientes'!$H:$H,0))&amp;":$CZ"&amp;INDEX('Infos Clientes'!$C:$C,MATCH(C139,'Infos Clientes'!$H:$H,0))),'Infos Clientes'!$W$2:$CZ$2,"&gt;"&amp;$R139-365,'Infos Clientes'!$W$2:$CZ$2,"&lt;="&amp;$R139)/
COUNTIFS(INDIRECT("'Infos Clientes'!$W"&amp;INDEX('Infos Clientes'!$C:$C,MATCH(C139,'Infos Clientes'!$H:$H,0))&amp;":$CZ"&amp;INDEX('Infos Clientes'!$C:$C,MATCH(C139,'Infos Clientes'!$H:$H,0))),"&gt;="&amp;0,'Infos Clientes'!$W$2:$CZ$2,"&gt;"&amp;$R139-365,'Infos Clientes'!$W$2:$CZ$2,"&lt;="&amp;$R139),""),"")</f>
        <v>601</v>
      </c>
      <c r="CB139" s="87">
        <f>VLOOKUP(C139,'Infos Clientes'!B:L,11,0)</f>
        <v>0</v>
      </c>
      <c r="CC139" s="88" t="str">
        <f t="shared" si="116"/>
        <v>A Unidade Consumidora 10/510330-4 economizou R$72,22 na fatura referente à dez/2024  consumindo 256 kWh em créditos de energia renovável conforme fatura de energia. A economia foi de 25% em relação ao que seria pago para a Energisa considerando os créditos consumidos. Atenção: Mantenha as contas da Energisa em dia para evitar cortes.</v>
      </c>
      <c r="CD139" s="40" t="s">
        <v>113</v>
      </c>
      <c r="CF139" s="115">
        <f t="shared" si="117"/>
        <v>-752.50999999999988</v>
      </c>
    </row>
    <row r="140" spans="1:84" s="40" customFormat="1" ht="16.2" hidden="1" customHeight="1" x14ac:dyDescent="0.3">
      <c r="A140" s="105" t="str">
        <f>INDEX('Infos Clientes'!$D:$D,MATCH('Detalhe Por UC'!C140,'Infos Clientes'!B:B,0))</f>
        <v>IGREJA DO EVANGELHO QUADRANGULAR</v>
      </c>
      <c r="B140" s="106" t="str">
        <f>INDEX('Infos Clientes'!$F:$F,MATCH('Detalhe Por UC'!C140,'Infos Clientes'!B:B,0))</f>
        <v>62.955.505/0160-80</v>
      </c>
      <c r="C140" s="31" t="s">
        <v>114</v>
      </c>
      <c r="D140" t="s">
        <v>351</v>
      </c>
      <c r="E140" s="1" t="s">
        <v>352</v>
      </c>
      <c r="F140" s="56" t="str">
        <f>INDEX('Infos Clientes'!$I:$I,MATCH('Detalhe Por UC'!C140,'Infos Clientes'!B:B,0))</f>
        <v>BT</v>
      </c>
      <c r="G140" s="56" t="str">
        <f>INDEX('Infos Clientes'!$J:$J,MATCH('Detalhe Por UC'!C140,'Infos Clientes'!B:B,0))</f>
        <v>bifasico</v>
      </c>
      <c r="H140" s="47"/>
      <c r="I140" s="58">
        <f>IFERROR(VLOOKUP(C140,'Infos Clientes'!B:E,4,),"")</f>
        <v>357</v>
      </c>
      <c r="J140" s="109">
        <v>0.25</v>
      </c>
      <c r="K140" s="59">
        <f>INDEX('Infos Clientes'!$M:$M,MATCH('Detalhe Por UC'!C140,'Infos Clientes'!B:B,0))</f>
        <v>0.25</v>
      </c>
      <c r="L140" s="110">
        <v>0</v>
      </c>
      <c r="M140" s="56">
        <f>INDEX('Infos Clientes'!$N:$N,MATCH('Detalhe Por UC'!C140,'Infos Clientes'!B:B,0))</f>
        <v>0</v>
      </c>
      <c r="N140" s="56">
        <f t="shared" si="81"/>
        <v>0</v>
      </c>
      <c r="O140" s="56">
        <f t="shared" si="82"/>
        <v>12</v>
      </c>
      <c r="P140" s="56">
        <f t="shared" si="83"/>
        <v>0</v>
      </c>
      <c r="Q140" s="61">
        <f>IFERROR(IFERROR(INDEX('Infos Clientes'!$A$2:$V$9884,MATCH($C140,'Infos Clientes'!$B$2:$B$9884,0),MATCH(Q$8,'Infos Clientes'!$A$2:$V$2,0)),"")
+IF(OR(INDEX('Infos Clientes'!$A$2:$V$9884,MATCH($C140,'Infos Clientes'!$B$2:$B$9884,0),MATCH("Tempo de Fidelidade (meses)",'Infos Clientes'!$A$2:$V$2,0))=0,R140&gt;=MAX(R:R)),0,
ROUND((MAX(R:R)-R140)/(365/12),0)),"")</f>
        <v>0</v>
      </c>
      <c r="R140" s="111">
        <v>45627</v>
      </c>
      <c r="S140" s="112">
        <v>0.02</v>
      </c>
      <c r="T140" s="113" t="str">
        <f>IF($H140="GIROSSOL II",AP140/INDEX('Resumo Operacional'!$A$1:$P$1103,17,MATCH('Detalhe Por UC'!$R140,'Resumo Operacional'!$A$1:$P$1,0)),
IF($H140="GIROSSOL II e III",AP140/INDEX('Resumo Operacional'!$A$1:$P$1103,17,MATCH('Detalhe Por UC'!$R140,'Resumo Operacional'!$A$1:$P$1,0)),
""))</f>
        <v/>
      </c>
      <c r="U140" s="113" t="str">
        <f>IF($H140="GIROSSOL III",AP140/INDEX('Resumo Operacional'!$A$1:$P$1103,53,MATCH('Detalhe Por UC'!$R140,'Resumo Operacional'!$A$1:$P$1,0)),
IF($H140="GIROSSOL II e III",AP140/INDEX('Resumo Operacional'!$A$1:$P$1103,53,MATCH('Detalhe Por UC'!$R140,'Resumo Operacional'!$A$1:$P$1,0)),
""))</f>
        <v/>
      </c>
      <c r="V140" s="67"/>
      <c r="W140" s="67"/>
      <c r="X140" s="67">
        <v>1.1362450592885376</v>
      </c>
      <c r="Y140" s="67"/>
      <c r="Z140" s="66">
        <v>1.1362068965517242</v>
      </c>
      <c r="AA140" s="66"/>
      <c r="AB140" s="68">
        <v>253</v>
      </c>
      <c r="AC140" s="69"/>
      <c r="AD140" s="69">
        <v>203</v>
      </c>
      <c r="AE140" s="35"/>
      <c r="AF140" s="69">
        <v>255</v>
      </c>
      <c r="AG140" s="120"/>
      <c r="AH140" s="119">
        <v>61.29</v>
      </c>
      <c r="AI140" s="38"/>
      <c r="AJ140" s="38"/>
      <c r="AK140" s="21"/>
      <c r="AL140" s="38"/>
      <c r="AM140" s="1"/>
      <c r="AN140" s="71">
        <f t="shared" si="84"/>
        <v>255</v>
      </c>
      <c r="AO140" s="71">
        <f t="shared" si="85"/>
        <v>0</v>
      </c>
      <c r="AP140" s="71">
        <f t="shared" si="86"/>
        <v>458</v>
      </c>
      <c r="AQ140" s="72" t="e">
        <f>IF(OR($H140="GIROSSOL II",$H140="GIROSSOL II e III"),INDEX('Resumo Operacional'!$A$1:$P$1103,MATCH("Energia Injetada prevista total Fatura da Usina (TUSD)",'Resumo Operacional'!$B$1:$B$1103,0),MATCH('Detalhe Por UC'!$R140,'Resumo Operacional'!$A$1:$P$1,0))*$S140,INDEX('Resumo Operacional'!$A$1:$P$1103,53,MATCH('Detalhe Por UC'!$R140,'Resumo Operacional'!$A$1:$P$1,0))*$S140)</f>
        <v>#N/A</v>
      </c>
      <c r="AR140" s="71" t="e">
        <f t="shared" si="87"/>
        <v>#N/A</v>
      </c>
      <c r="AS140" s="73">
        <f t="shared" si="88"/>
        <v>118.10999999999999</v>
      </c>
      <c r="AT140" s="74">
        <f t="shared" si="89"/>
        <v>118.10999999999999</v>
      </c>
      <c r="AU140" s="74">
        <f t="shared" si="90"/>
        <v>1.1361687338149109</v>
      </c>
      <c r="AV140" s="74">
        <f t="shared" si="91"/>
        <v>172.98750000000004</v>
      </c>
      <c r="AW140" s="74">
        <f t="shared" si="92"/>
        <v>0</v>
      </c>
      <c r="AX140" s="74">
        <f t="shared" si="93"/>
        <v>230.65000000000003</v>
      </c>
      <c r="AY140" s="74">
        <f t="shared" si="94"/>
        <v>172.99</v>
      </c>
      <c r="AZ140" s="49"/>
      <c r="BA140" s="49"/>
      <c r="BB140" s="49"/>
      <c r="BC140" s="73" t="str">
        <f t="shared" si="95"/>
        <v/>
      </c>
      <c r="BD140" s="73">
        <f t="shared" si="96"/>
        <v>348.76000000000005</v>
      </c>
      <c r="BE140" s="73">
        <f t="shared" si="97"/>
        <v>291.09750000000003</v>
      </c>
      <c r="BF140" s="77">
        <f t="shared" si="98"/>
        <v>57.66</v>
      </c>
      <c r="BG140" s="77">
        <f t="shared" si="99"/>
        <v>17.297999999999998</v>
      </c>
      <c r="BH140" s="77">
        <f t="shared" si="100"/>
        <v>230.65</v>
      </c>
      <c r="BI140" s="78">
        <f t="shared" si="101"/>
        <v>0.25</v>
      </c>
      <c r="BJ140" s="79">
        <f t="shared" si="102"/>
        <v>0.16532859272852388</v>
      </c>
      <c r="BK140" s="80">
        <f t="shared" si="103"/>
        <v>291.10000000000002</v>
      </c>
      <c r="BL140" s="80">
        <f t="shared" si="104"/>
        <v>57.660000000000025</v>
      </c>
      <c r="BM140" s="79">
        <f t="shared" si="105"/>
        <v>0.16532859272852396</v>
      </c>
      <c r="BN140" s="81">
        <f t="shared" si="106"/>
        <v>0.85216748768472916</v>
      </c>
      <c r="BO140" s="82">
        <f t="shared" si="107"/>
        <v>172.99</v>
      </c>
      <c r="BP140" s="81">
        <f t="shared" si="108"/>
        <v>0.85216748768472916</v>
      </c>
      <c r="BQ140" s="81">
        <f t="shared" si="109"/>
        <v>0.8522056504215425</v>
      </c>
      <c r="BR140" s="81">
        <f t="shared" si="110"/>
        <v>1.1362450592885376</v>
      </c>
      <c r="BS140" s="82">
        <f t="shared" si="111"/>
        <v>203</v>
      </c>
      <c r="BT140" s="82">
        <f t="shared" si="112"/>
        <v>230.65774703557312</v>
      </c>
      <c r="BU140" s="82">
        <f t="shared" si="113"/>
        <v>230.65000000000003</v>
      </c>
      <c r="BV140"/>
      <c r="BW140" s="82">
        <f>IFERROR(INDEX('Infos Clientes'!$T:$T,MATCH('Detalhe Por UC'!$C140,'Infos Clientes'!B:B,0)),"")</f>
        <v>215.58333333333334</v>
      </c>
      <c r="BX140" s="83">
        <f t="shared" si="114"/>
        <v>0</v>
      </c>
      <c r="BY140" s="84">
        <f t="shared" si="115"/>
        <v>0.24998076475232112</v>
      </c>
      <c r="BZ140" s="85">
        <f>IF(_xlfn.MINIFS('Detalhe Por UC'!R:R,'Detalhe Por UC'!C:C,C140,'Detalhe Por UC'!AD:AD,"&gt;"&amp;0)=0,"",_xlfn.MINIFS('Detalhe Por UC'!R:R,'Detalhe Por UC'!C:C,C140,'Detalhe Por UC'!AD:AD,"&gt;"&amp;0))</f>
        <v>45627</v>
      </c>
      <c r="CA140" s="114">
        <f ca="1">IF(OR(S140&gt;0,AD140&gt;0),IFERROR(
SUMIFS(INDIRECT("'Infos Clientes'!$W"&amp;INDEX('Infos Clientes'!$C:$C,MATCH(C140,'Infos Clientes'!$H:$H,0))&amp;":$CZ"&amp;INDEX('Infos Clientes'!$C:$C,MATCH(C140,'Infos Clientes'!$H:$H,0))),'Infos Clientes'!$W$2:$CZ$2,"&gt;"&amp;$R140-365,'Infos Clientes'!$W$2:$CZ$2,"&lt;="&amp;$R140)/
COUNTIFS(INDIRECT("'Infos Clientes'!$W"&amp;INDEX('Infos Clientes'!$C:$C,MATCH(C140,'Infos Clientes'!$H:$H,0))&amp;":$CZ"&amp;INDEX('Infos Clientes'!$C:$C,MATCH(C140,'Infos Clientes'!$H:$H,0))),"&gt;="&amp;0,'Infos Clientes'!$W$2:$CZ$2,"&gt;"&amp;$R140-365,'Infos Clientes'!$W$2:$CZ$2,"&lt;="&amp;$R140),""),"")</f>
        <v>217.33333333333334</v>
      </c>
      <c r="CB140" s="87">
        <f>VLOOKUP(C140,'Infos Clientes'!B:L,11,0)</f>
        <v>0</v>
      </c>
      <c r="CC140" s="88" t="str">
        <f t="shared" si="116"/>
        <v>A Unidade Consumidora 10/511753-6 economizou R$57,66 na fatura referente à dez/2024  consumindo 203 kWh em créditos de energia renovável conforme fatura de energia. A economia foi de 25% em relação ao que seria pago para a Energisa considerando os créditos consumidos. Atenção: Mantenha as contas da Energisa em dia para evitar cortes.</v>
      </c>
      <c r="CD140" s="40" t="s">
        <v>115</v>
      </c>
      <c r="CF140" s="115">
        <f t="shared" si="117"/>
        <v>-118.10999999999999</v>
      </c>
    </row>
    <row r="141" spans="1:84" s="40" customFormat="1" ht="16.2" hidden="1" customHeight="1" x14ac:dyDescent="0.3">
      <c r="A141" s="105" t="str">
        <f>INDEX('Infos Clientes'!$D:$D,MATCH('Detalhe Por UC'!C141,'Infos Clientes'!B:B,0))</f>
        <v>IGREJA DO EVANGELHO QUADRANGULAR</v>
      </c>
      <c r="B141" s="106" t="str">
        <f>INDEX('Infos Clientes'!$F:$F,MATCH('Detalhe Por UC'!C141,'Infos Clientes'!B:B,0))</f>
        <v>62.955.505/3216-30</v>
      </c>
      <c r="C141" s="31" t="s">
        <v>116</v>
      </c>
      <c r="D141" t="s">
        <v>351</v>
      </c>
      <c r="E141" s="1" t="s">
        <v>352</v>
      </c>
      <c r="F141" s="56" t="str">
        <f>INDEX('Infos Clientes'!$I:$I,MATCH('Detalhe Por UC'!C141,'Infos Clientes'!B:B,0))</f>
        <v>BT</v>
      </c>
      <c r="G141" s="56" t="str">
        <f>INDEX('Infos Clientes'!$J:$J,MATCH('Detalhe Por UC'!C141,'Infos Clientes'!B:B,0))</f>
        <v>trifasico</v>
      </c>
      <c r="H141" s="47"/>
      <c r="I141" s="58">
        <f>IFERROR(VLOOKUP(C141,'Infos Clientes'!B:E,4,),"")</f>
        <v>371</v>
      </c>
      <c r="J141" s="109">
        <v>0.25</v>
      </c>
      <c r="K141" s="59">
        <f>INDEX('Infos Clientes'!$M:$M,MATCH('Detalhe Por UC'!C141,'Infos Clientes'!B:B,0))</f>
        <v>0.25</v>
      </c>
      <c r="L141" s="110">
        <v>0</v>
      </c>
      <c r="M141" s="56">
        <f>INDEX('Infos Clientes'!$N:$N,MATCH('Detalhe Por UC'!C141,'Infos Clientes'!B:B,0))</f>
        <v>0</v>
      </c>
      <c r="N141" s="56">
        <f t="shared" si="81"/>
        <v>0</v>
      </c>
      <c r="O141" s="56">
        <f t="shared" si="82"/>
        <v>9</v>
      </c>
      <c r="P141" s="56">
        <f t="shared" si="83"/>
        <v>0</v>
      </c>
      <c r="Q141" s="61">
        <f>IFERROR(IFERROR(INDEX('Infos Clientes'!$A$2:$V$9884,MATCH($C141,'Infos Clientes'!$B$2:$B$9884,0),MATCH(Q$8,'Infos Clientes'!$A$2:$V$2,0)),"")
+IF(OR(INDEX('Infos Clientes'!$A$2:$V$9884,MATCH($C141,'Infos Clientes'!$B$2:$B$9884,0),MATCH("Tempo de Fidelidade (meses)",'Infos Clientes'!$A$2:$V$2,0))=0,R141&gt;=MAX(R:R)),0,
ROUND((MAX(R:R)-R141)/(365/12),0)),"")</f>
        <v>0</v>
      </c>
      <c r="R141" s="111">
        <v>45627</v>
      </c>
      <c r="S141" s="112">
        <v>0</v>
      </c>
      <c r="T141" s="113" t="str">
        <f>IF($H141="GIROSSOL II",AP141/INDEX('Resumo Operacional'!$A$1:$P$1103,17,MATCH('Detalhe Por UC'!$R141,'Resumo Operacional'!$A$1:$P$1,0)),
IF($H141="GIROSSOL II e III",AP141/INDEX('Resumo Operacional'!$A$1:$P$1103,17,MATCH('Detalhe Por UC'!$R141,'Resumo Operacional'!$A$1:$P$1,0)),
""))</f>
        <v/>
      </c>
      <c r="U141" s="113" t="str">
        <f>IF($H141="GIROSSOL III",AP141/INDEX('Resumo Operacional'!$A$1:$P$1103,53,MATCH('Detalhe Por UC'!$R141,'Resumo Operacional'!$A$1:$P$1,0)),
IF($H141="GIROSSOL II e III",AP141/INDEX('Resumo Operacional'!$A$1:$P$1103,53,MATCH('Detalhe Por UC'!$R141,'Resumo Operacional'!$A$1:$P$1,0)),
""))</f>
        <v/>
      </c>
      <c r="V141" s="67"/>
      <c r="W141" s="67"/>
      <c r="X141" s="67">
        <v>1.1364142615084507</v>
      </c>
      <c r="Y141" s="66"/>
      <c r="Z141" s="66">
        <v>1.1363782161009139</v>
      </c>
      <c r="AA141" s="66"/>
      <c r="AB141" s="68">
        <v>553</v>
      </c>
      <c r="AC141" s="69"/>
      <c r="AD141" s="69">
        <v>299</v>
      </c>
      <c r="AE141" s="35"/>
      <c r="AF141" s="69">
        <v>0</v>
      </c>
      <c r="AG141" s="120"/>
      <c r="AH141" s="119">
        <v>122.58</v>
      </c>
      <c r="AI141" s="38"/>
      <c r="AJ141" s="38"/>
      <c r="AK141" s="18"/>
      <c r="AL141" s="38"/>
      <c r="AM141" s="1"/>
      <c r="AN141" s="71">
        <f t="shared" si="84"/>
        <v>0</v>
      </c>
      <c r="AO141" s="71">
        <f t="shared" si="85"/>
        <v>0</v>
      </c>
      <c r="AP141" s="71">
        <f t="shared" si="86"/>
        <v>299</v>
      </c>
      <c r="AQ141" s="72" t="e">
        <f>IF(OR($H141="GIROSSOL II",$H141="GIROSSOL II e III"),INDEX('Resumo Operacional'!$A$1:$P$1103,MATCH("Energia Injetada prevista total Fatura da Usina (TUSD)",'Resumo Operacional'!$B$1:$B$1103,0),MATCH('Detalhe Por UC'!$R141,'Resumo Operacional'!$A$1:$P$1,0))*$S141,INDEX('Resumo Operacional'!$A$1:$P$1103,53,MATCH('Detalhe Por UC'!$R141,'Resumo Operacional'!$A$1:$P$1,0))*$S141)</f>
        <v>#N/A</v>
      </c>
      <c r="AR141" s="71" t="e">
        <f t="shared" si="87"/>
        <v>#N/A</v>
      </c>
      <c r="AS141" s="73">
        <f t="shared" si="88"/>
        <v>411.24</v>
      </c>
      <c r="AT141" s="74">
        <f t="shared" si="89"/>
        <v>411.24</v>
      </c>
      <c r="AU141" s="74">
        <f t="shared" si="90"/>
        <v>1.1363421706933772</v>
      </c>
      <c r="AV141" s="74">
        <f t="shared" si="91"/>
        <v>254.83281496062997</v>
      </c>
      <c r="AW141" s="74">
        <f t="shared" si="92"/>
        <v>0</v>
      </c>
      <c r="AX141" s="74">
        <f t="shared" si="93"/>
        <v>339.77708661417324</v>
      </c>
      <c r="AY141" s="74">
        <f t="shared" si="94"/>
        <v>254.83</v>
      </c>
      <c r="AZ141" s="49"/>
      <c r="BA141" s="49"/>
      <c r="BB141" s="49"/>
      <c r="BC141" s="73" t="str">
        <f t="shared" si="95"/>
        <v/>
      </c>
      <c r="BD141" s="73">
        <f t="shared" si="96"/>
        <v>751.01708661417331</v>
      </c>
      <c r="BE141" s="73">
        <f t="shared" si="97"/>
        <v>666.07281496063001</v>
      </c>
      <c r="BF141" s="77">
        <f t="shared" si="98"/>
        <v>84.94</v>
      </c>
      <c r="BG141" s="77">
        <f t="shared" si="99"/>
        <v>25.481999999999999</v>
      </c>
      <c r="BH141" s="77">
        <f t="shared" si="100"/>
        <v>339.77708661417324</v>
      </c>
      <c r="BI141" s="78">
        <f t="shared" si="101"/>
        <v>0.25</v>
      </c>
      <c r="BJ141" s="79">
        <f t="shared" si="102"/>
        <v>0.11309995673059431</v>
      </c>
      <c r="BK141" s="80">
        <f t="shared" si="103"/>
        <v>666.07</v>
      </c>
      <c r="BL141" s="80">
        <f t="shared" si="104"/>
        <v>84.947086614173259</v>
      </c>
      <c r="BM141" s="79">
        <f t="shared" si="105"/>
        <v>0.11310939275315567</v>
      </c>
      <c r="BN141" s="81">
        <f t="shared" si="106"/>
        <v>0.85227424749163883</v>
      </c>
      <c r="BO141" s="82">
        <f t="shared" si="107"/>
        <v>254.83</v>
      </c>
      <c r="BP141" s="81">
        <f t="shared" si="108"/>
        <v>0.85227424749163883</v>
      </c>
      <c r="BQ141" s="81">
        <f t="shared" si="109"/>
        <v>0.85231029289917559</v>
      </c>
      <c r="BR141" s="81">
        <f t="shared" si="110"/>
        <v>1.1364142615084507</v>
      </c>
      <c r="BS141" s="82">
        <f t="shared" si="111"/>
        <v>299</v>
      </c>
      <c r="BT141" s="82">
        <f t="shared" si="112"/>
        <v>339.78786419102676</v>
      </c>
      <c r="BU141" s="82">
        <f t="shared" si="113"/>
        <v>339.77708661417324</v>
      </c>
      <c r="BV141"/>
      <c r="BW141" s="82">
        <f>IFERROR(INDEX('Infos Clientes'!$T:$T,MATCH('Detalhe Por UC'!$C141,'Infos Clientes'!B:B,0)),"")</f>
        <v>513.41666666666663</v>
      </c>
      <c r="BX141" s="83">
        <f t="shared" si="114"/>
        <v>0</v>
      </c>
      <c r="BY141" s="84">
        <f t="shared" si="115"/>
        <v>0.25000035482849531</v>
      </c>
      <c r="BZ141" s="85">
        <f>IF(_xlfn.MINIFS('Detalhe Por UC'!R:R,'Detalhe Por UC'!C:C,C141,'Detalhe Por UC'!AD:AD,"&gt;"&amp;0)=0,"",_xlfn.MINIFS('Detalhe Por UC'!R:R,'Detalhe Por UC'!C:C,C141,'Detalhe Por UC'!AD:AD,"&gt;"&amp;0))</f>
        <v>45627</v>
      </c>
      <c r="CA141" s="114">
        <f ca="1">IF(OR(S141&gt;0,AD141&gt;0),IFERROR(
SUMIFS(INDIRECT("'Infos Clientes'!$W"&amp;INDEX('Infos Clientes'!$C:$C,MATCH(C141,'Infos Clientes'!$H:$H,0))&amp;":$CZ"&amp;INDEX('Infos Clientes'!$C:$C,MATCH(C141,'Infos Clientes'!$H:$H,0))),'Infos Clientes'!$W$2:$CZ$2,"&gt;"&amp;$R141-365,'Infos Clientes'!$W$2:$CZ$2,"&lt;="&amp;$R141)/
COUNTIFS(INDIRECT("'Infos Clientes'!$W"&amp;INDEX('Infos Clientes'!$C:$C,MATCH(C141,'Infos Clientes'!$H:$H,0))&amp;":$CZ"&amp;INDEX('Infos Clientes'!$C:$C,MATCH(C141,'Infos Clientes'!$H:$H,0))),"&gt;="&amp;0,'Infos Clientes'!$W$2:$CZ$2,"&gt;"&amp;$R141-365,'Infos Clientes'!$W$2:$CZ$2,"&lt;="&amp;$R141),""),"")</f>
        <v>504.91666666666669</v>
      </c>
      <c r="CB141" s="87">
        <f>VLOOKUP(C141,'Infos Clientes'!B:L,11,0)</f>
        <v>0</v>
      </c>
      <c r="CC141" s="88" t="str">
        <f t="shared" si="116"/>
        <v>A Unidade Consumidora 10/513413-5 economizou R$84,94 na fatura referente à dez/2024  consumindo 299 kWh em créditos de energia renovável conforme fatura de energia. A economia foi de 25% em relação ao que seria pago para a Energisa considerando os créditos consumidos. Atenção: Mantenha as contas da Energisa em dia para evitar cortes.</v>
      </c>
      <c r="CD141" s="40" t="s">
        <v>118</v>
      </c>
      <c r="CF141" s="115">
        <f t="shared" si="117"/>
        <v>-411.24</v>
      </c>
    </row>
    <row r="142" spans="1:84" s="40" customFormat="1" ht="16.2" hidden="1" customHeight="1" x14ac:dyDescent="0.3">
      <c r="A142" s="105" t="str">
        <f>INDEX('Infos Clientes'!$D:$D,MATCH('Detalhe Por UC'!C142,'Infos Clientes'!B:B,0))</f>
        <v>IGREJA DO EVANGELHO QUADRANGULAR</v>
      </c>
      <c r="B142" s="106" t="str">
        <f>INDEX('Infos Clientes'!$F:$F,MATCH('Detalhe Por UC'!C142,'Infos Clientes'!B:B,0))</f>
        <v>62.955.505/3932-07</v>
      </c>
      <c r="C142" s="31" t="s">
        <v>119</v>
      </c>
      <c r="D142" t="s">
        <v>351</v>
      </c>
      <c r="E142" s="1" t="s">
        <v>352</v>
      </c>
      <c r="F142" s="56" t="str">
        <f>INDEX('Infos Clientes'!$I:$I,MATCH('Detalhe Por UC'!C142,'Infos Clientes'!B:B,0))</f>
        <v>BT</v>
      </c>
      <c r="G142" s="56" t="str">
        <f>INDEX('Infos Clientes'!$J:$J,MATCH('Detalhe Por UC'!C142,'Infos Clientes'!B:B,0))</f>
        <v>trifasico</v>
      </c>
      <c r="H142" s="47"/>
      <c r="I142" s="58">
        <f>IFERROR(VLOOKUP(C142,'Infos Clientes'!B:E,4,),"")</f>
        <v>302</v>
      </c>
      <c r="J142" s="109">
        <v>0.25</v>
      </c>
      <c r="K142" s="59">
        <f>INDEX('Infos Clientes'!$M:$M,MATCH('Detalhe Por UC'!C142,'Infos Clientes'!B:B,0))</f>
        <v>0.25</v>
      </c>
      <c r="L142" s="110">
        <v>0</v>
      </c>
      <c r="M142" s="56">
        <f>INDEX('Infos Clientes'!$N:$N,MATCH('Detalhe Por UC'!C142,'Infos Clientes'!B:B,0))</f>
        <v>0</v>
      </c>
      <c r="N142" s="56">
        <f t="shared" si="81"/>
        <v>0</v>
      </c>
      <c r="O142" s="56">
        <f t="shared" si="82"/>
        <v>12</v>
      </c>
      <c r="P142" s="56">
        <f t="shared" si="83"/>
        <v>0</v>
      </c>
      <c r="Q142" s="61">
        <f>IFERROR(IFERROR(INDEX('Infos Clientes'!$A$2:$V$9884,MATCH($C142,'Infos Clientes'!$B$2:$B$9884,0),MATCH(Q$8,'Infos Clientes'!$A$2:$V$2,0)),"")
+IF(OR(INDEX('Infos Clientes'!$A$2:$V$9884,MATCH($C142,'Infos Clientes'!$B$2:$B$9884,0),MATCH("Tempo de Fidelidade (meses)",'Infos Clientes'!$A$2:$V$2,0))=0,R142&gt;=MAX(R:R)),0,
ROUND((MAX(R:R)-R142)/(365/12),0)),"")</f>
        <v>0</v>
      </c>
      <c r="R142" s="111">
        <v>45627</v>
      </c>
      <c r="S142" s="112">
        <v>0.1</v>
      </c>
      <c r="T142" s="113" t="str">
        <f>IF($H142="GIROSSOL II",AP142/INDEX('Resumo Operacional'!$A$1:$P$1103,17,MATCH('Detalhe Por UC'!$R142,'Resumo Operacional'!$A$1:$P$1,0)),
IF($H142="GIROSSOL II e III",AP142/INDEX('Resumo Operacional'!$A$1:$P$1103,17,MATCH('Detalhe Por UC'!$R142,'Resumo Operacional'!$A$1:$P$1,0)),
""))</f>
        <v/>
      </c>
      <c r="U142" s="113" t="str">
        <f>IF($H142="GIROSSOL III",AP142/INDEX('Resumo Operacional'!$A$1:$P$1103,53,MATCH('Detalhe Por UC'!$R142,'Resumo Operacional'!$A$1:$P$1,0)),
IF($H142="GIROSSOL II e III",AP142/INDEX('Resumo Operacional'!$A$1:$P$1103,53,MATCH('Detalhe Por UC'!$R142,'Resumo Operacional'!$A$1:$P$1,0)),
""))</f>
        <v/>
      </c>
      <c r="V142" s="67"/>
      <c r="W142" s="67"/>
      <c r="X142" s="67">
        <v>1.1328912974549508</v>
      </c>
      <c r="Y142" s="66"/>
      <c r="Z142" s="66">
        <v>1.1328911418681489</v>
      </c>
      <c r="AA142" s="66"/>
      <c r="AB142" s="68">
        <v>2993.72</v>
      </c>
      <c r="AC142" s="69"/>
      <c r="AD142" s="69">
        <v>1283</v>
      </c>
      <c r="AE142" s="35"/>
      <c r="AF142" s="69">
        <v>0</v>
      </c>
      <c r="AG142" s="120"/>
      <c r="AH142" s="119">
        <v>283.25</v>
      </c>
      <c r="AI142" s="38"/>
      <c r="AJ142" s="38"/>
      <c r="AK142" s="21"/>
      <c r="AL142" s="38"/>
      <c r="AM142" s="1"/>
      <c r="AN142" s="71">
        <f t="shared" si="84"/>
        <v>0</v>
      </c>
      <c r="AO142" s="71">
        <f t="shared" si="85"/>
        <v>0</v>
      </c>
      <c r="AP142" s="71">
        <f t="shared" si="86"/>
        <v>1283</v>
      </c>
      <c r="AQ142" s="72" t="e">
        <f>IF(OR($H142="GIROSSOL II",$H142="GIROSSOL II e III"),INDEX('Resumo Operacional'!$A$1:$P$1103,MATCH("Energia Injetada prevista total Fatura da Usina (TUSD)",'Resumo Operacional'!$B$1:$B$1103,0),MATCH('Detalhe Por UC'!$R142,'Resumo Operacional'!$A$1:$P$1,0))*$S142,INDEX('Resumo Operacional'!$A$1:$P$1103,53,MATCH('Detalhe Por UC'!$R142,'Resumo Operacional'!$A$1:$P$1,0))*$S142)</f>
        <v>#N/A</v>
      </c>
      <c r="AR142" s="71" t="e">
        <f t="shared" si="87"/>
        <v>#N/A</v>
      </c>
      <c r="AS142" s="73">
        <f t="shared" si="88"/>
        <v>2221.3100000000004</v>
      </c>
      <c r="AT142" s="74">
        <f t="shared" si="89"/>
        <v>2221.3100000000004</v>
      </c>
      <c r="AU142" s="74">
        <f t="shared" si="90"/>
        <v>1.132890986281347</v>
      </c>
      <c r="AV142" s="74">
        <f t="shared" si="91"/>
        <v>1090.1245012626262</v>
      </c>
      <c r="AW142" s="74">
        <f t="shared" si="92"/>
        <v>0</v>
      </c>
      <c r="AX142" s="74">
        <f t="shared" si="93"/>
        <v>1453.4993350168349</v>
      </c>
      <c r="AY142" s="74">
        <f t="shared" si="94"/>
        <v>1090.1199999999999</v>
      </c>
      <c r="AZ142" s="49"/>
      <c r="BA142" s="49"/>
      <c r="BB142" s="49"/>
      <c r="BC142" s="73" t="str">
        <f t="shared" si="95"/>
        <v/>
      </c>
      <c r="BD142" s="73">
        <f t="shared" si="96"/>
        <v>3674.8093350168351</v>
      </c>
      <c r="BE142" s="73">
        <f t="shared" si="97"/>
        <v>3311.4345012626263</v>
      </c>
      <c r="BF142" s="77">
        <f t="shared" si="98"/>
        <v>363.37</v>
      </c>
      <c r="BG142" s="77">
        <f t="shared" si="99"/>
        <v>109.011</v>
      </c>
      <c r="BH142" s="77">
        <f t="shared" si="100"/>
        <v>1453.4993350168349</v>
      </c>
      <c r="BI142" s="78">
        <f t="shared" si="101"/>
        <v>0.25</v>
      </c>
      <c r="BJ142" s="79">
        <f t="shared" si="102"/>
        <v>9.8881320600089126E-2</v>
      </c>
      <c r="BK142" s="80">
        <f t="shared" si="103"/>
        <v>3311.4300000000003</v>
      </c>
      <c r="BL142" s="80">
        <f t="shared" si="104"/>
        <v>363.37933501683483</v>
      </c>
      <c r="BM142" s="79">
        <f t="shared" si="105"/>
        <v>9.8883860872517923E-2</v>
      </c>
      <c r="BN142" s="81">
        <f t="shared" si="106"/>
        <v>0.84966484801247066</v>
      </c>
      <c r="BO142" s="82">
        <f t="shared" si="107"/>
        <v>1090.1199999999999</v>
      </c>
      <c r="BP142" s="81">
        <f t="shared" si="108"/>
        <v>0.84966484801247066</v>
      </c>
      <c r="BQ142" s="81">
        <f t="shared" si="109"/>
        <v>0.84966500359927255</v>
      </c>
      <c r="BR142" s="81">
        <f t="shared" si="110"/>
        <v>1.1328912974549508</v>
      </c>
      <c r="BS142" s="82">
        <f t="shared" si="111"/>
        <v>1283</v>
      </c>
      <c r="BT142" s="82">
        <f t="shared" si="112"/>
        <v>1453.4995346347018</v>
      </c>
      <c r="BU142" s="82">
        <f t="shared" si="113"/>
        <v>1453.4993350168349</v>
      </c>
      <c r="BV142"/>
      <c r="BW142" s="82">
        <f>IFERROR(INDEX('Infos Clientes'!$T:$T,MATCH('Detalhe Por UC'!$C142,'Infos Clientes'!B:B,0)),"")</f>
        <v>1810.6008333333332</v>
      </c>
      <c r="BX142" s="83">
        <f t="shared" si="114"/>
        <v>0</v>
      </c>
      <c r="BY142" s="84">
        <f t="shared" si="115"/>
        <v>0.25000306251089432</v>
      </c>
      <c r="BZ142" s="85">
        <f>IF(_xlfn.MINIFS('Detalhe Por UC'!R:R,'Detalhe Por UC'!C:C,C142,'Detalhe Por UC'!AD:AD,"&gt;"&amp;0)=0,"",_xlfn.MINIFS('Detalhe Por UC'!R:R,'Detalhe Por UC'!C:C,C142,'Detalhe Por UC'!AD:AD,"&gt;"&amp;0))</f>
        <v>45627</v>
      </c>
      <c r="CA142" s="114">
        <f ca="1">IF(OR(S142&gt;0,AD142&gt;0),IFERROR(
SUMIFS(INDIRECT("'Infos Clientes'!$W"&amp;INDEX('Infos Clientes'!$C:$C,MATCH(C142,'Infos Clientes'!$H:$H,0))&amp;":$CZ"&amp;INDEX('Infos Clientes'!$C:$C,MATCH(C142,'Infos Clientes'!$H:$H,0))),'Infos Clientes'!$W$2:$CZ$2,"&gt;"&amp;$R142-365,'Infos Clientes'!$W$2:$CZ$2,"&lt;="&amp;$R142)/
COUNTIFS(INDIRECT("'Infos Clientes'!$W"&amp;INDEX('Infos Clientes'!$C:$C,MATCH(C142,'Infos Clientes'!$H:$H,0))&amp;":$CZ"&amp;INDEX('Infos Clientes'!$C:$C,MATCH(C142,'Infos Clientes'!$H:$H,0))),"&gt;="&amp;0,'Infos Clientes'!$W$2:$CZ$2,"&gt;"&amp;$R142-365,'Infos Clientes'!$W$2:$CZ$2,"&lt;="&amp;$R142),""),"")</f>
        <v>1821.0066666666669</v>
      </c>
      <c r="CB142" s="87">
        <f>VLOOKUP(C142,'Infos Clientes'!B:L,11,0)</f>
        <v>0</v>
      </c>
      <c r="CC142" s="88" t="str">
        <f t="shared" si="116"/>
        <v>A Unidade Consumidora 10/5202-7 economizou R$363,37 na fatura referente à dez/2024  consumindo 1283 kWh em créditos de energia renovável conforme fatura de energia. A economia foi de 25% em relação ao que seria pago para a Energisa considerando os créditos consumidos. Atenção: Mantenha as contas da Energisa em dia para evitar cortes.</v>
      </c>
      <c r="CD142" s="40" t="s">
        <v>107</v>
      </c>
      <c r="CF142" s="115">
        <f t="shared" si="117"/>
        <v>-2221.3100000000004</v>
      </c>
    </row>
    <row r="143" spans="1:84" s="40" customFormat="1" ht="16.2" hidden="1" customHeight="1" x14ac:dyDescent="0.3">
      <c r="A143" s="105" t="str">
        <f>INDEX('Infos Clientes'!$D:$D,MATCH('Detalhe Por UC'!C143,'Infos Clientes'!B:B,0))</f>
        <v>IGREJA DO EVANGELHO QUADRANGULAR</v>
      </c>
      <c r="B143" s="106" t="str">
        <f>INDEX('Infos Clientes'!$F:$F,MATCH('Detalhe Por UC'!C143,'Infos Clientes'!B:B,0))</f>
        <v>62.955.505/1935-34</v>
      </c>
      <c r="C143" s="31" t="s">
        <v>120</v>
      </c>
      <c r="D143" t="s">
        <v>351</v>
      </c>
      <c r="E143" s="1" t="s">
        <v>352</v>
      </c>
      <c r="F143" s="56" t="str">
        <f>INDEX('Infos Clientes'!$I:$I,MATCH('Detalhe Por UC'!C143,'Infos Clientes'!B:B,0))</f>
        <v>BT</v>
      </c>
      <c r="G143" s="56" t="str">
        <f>INDEX('Infos Clientes'!$J:$J,MATCH('Detalhe Por UC'!C143,'Infos Clientes'!B:B,0))</f>
        <v>trifasico</v>
      </c>
      <c r="H143" s="47"/>
      <c r="I143" s="58">
        <f>IFERROR(VLOOKUP(C143,'Infos Clientes'!B:E,4,),"")</f>
        <v>994</v>
      </c>
      <c r="J143" s="109">
        <v>0.25</v>
      </c>
      <c r="K143" s="59">
        <f>INDEX('Infos Clientes'!$M:$M,MATCH('Detalhe Por UC'!C143,'Infos Clientes'!B:B,0))</f>
        <v>0.25</v>
      </c>
      <c r="L143" s="110">
        <v>0</v>
      </c>
      <c r="M143" s="56">
        <f>INDEX('Infos Clientes'!$N:$N,MATCH('Detalhe Por UC'!C143,'Infos Clientes'!B:B,0))</f>
        <v>0</v>
      </c>
      <c r="N143" s="56">
        <f t="shared" si="81"/>
        <v>0</v>
      </c>
      <c r="O143" s="56">
        <f t="shared" si="82"/>
        <v>12</v>
      </c>
      <c r="P143" s="56">
        <f t="shared" si="83"/>
        <v>0</v>
      </c>
      <c r="Q143" s="61">
        <f>IFERROR(IFERROR(INDEX('Infos Clientes'!$A$2:$V$9884,MATCH($C143,'Infos Clientes'!$B$2:$B$9884,0),MATCH(Q$8,'Infos Clientes'!$A$2:$V$2,0)),"")
+IF(OR(INDEX('Infos Clientes'!$A$2:$V$9884,MATCH($C143,'Infos Clientes'!$B$2:$B$9884,0),MATCH("Tempo de Fidelidade (meses)",'Infos Clientes'!$A$2:$V$2,0))=0,R143&gt;=MAX(R:R)),0,
ROUND((MAX(R:R)-R143)/(365/12),0)),"")</f>
        <v>0</v>
      </c>
      <c r="R143" s="111">
        <v>45627</v>
      </c>
      <c r="S143" s="112">
        <v>0.01</v>
      </c>
      <c r="T143" s="113" t="str">
        <f>IF($H143="GIROSSOL II",AP143/INDEX('Resumo Operacional'!$A$1:$P$1103,17,MATCH('Detalhe Por UC'!$R143,'Resumo Operacional'!$A$1:$P$1,0)),
IF($H143="GIROSSOL II e III",AP143/INDEX('Resumo Operacional'!$A$1:$P$1103,17,MATCH('Detalhe Por UC'!$R143,'Resumo Operacional'!$A$1:$P$1,0)),
""))</f>
        <v/>
      </c>
      <c r="U143" s="113" t="str">
        <f>IF($H143="GIROSSOL III",AP143/INDEX('Resumo Operacional'!$A$1:$P$1103,53,MATCH('Detalhe Por UC'!$R143,'Resumo Operacional'!$A$1:$P$1,0)),
IF($H143="GIROSSOL II e III",AP143/INDEX('Resumo Operacional'!$A$1:$P$1103,53,MATCH('Detalhe Por UC'!$R143,'Resumo Operacional'!$A$1:$P$1,0)),
""))</f>
        <v/>
      </c>
      <c r="V143" s="67"/>
      <c r="W143" s="67"/>
      <c r="X143" s="67">
        <v>1.1327471395881006</v>
      </c>
      <c r="Y143" s="66"/>
      <c r="Z143" s="66">
        <v>1.1327314540059348</v>
      </c>
      <c r="AA143" s="66"/>
      <c r="AB143" s="68">
        <v>437</v>
      </c>
      <c r="AC143" s="69"/>
      <c r="AD143" s="69">
        <v>337</v>
      </c>
      <c r="AE143" s="35"/>
      <c r="AF143" s="69">
        <v>169</v>
      </c>
      <c r="AG143" s="120"/>
      <c r="AH143" s="119">
        <v>97.63</v>
      </c>
      <c r="AI143" s="38"/>
      <c r="AJ143" s="38"/>
      <c r="AK143" s="21"/>
      <c r="AL143" s="38"/>
      <c r="AM143" s="1"/>
      <c r="AN143" s="71">
        <f t="shared" si="84"/>
        <v>169</v>
      </c>
      <c r="AO143" s="71">
        <f t="shared" si="85"/>
        <v>0</v>
      </c>
      <c r="AP143" s="71">
        <f t="shared" si="86"/>
        <v>506</v>
      </c>
      <c r="AQ143" s="72" t="e">
        <f>IF(OR($H143="GIROSSOL II",$H143="GIROSSOL II e III"),INDEX('Resumo Operacional'!$A$1:$P$1103,MATCH("Energia Injetada prevista total Fatura da Usina (TUSD)",'Resumo Operacional'!$B$1:$B$1103,0),MATCH('Detalhe Por UC'!$R143,'Resumo Operacional'!$A$1:$P$1,0))*$S143,INDEX('Resumo Operacional'!$A$1:$P$1103,53,MATCH('Detalhe Por UC'!$R143,'Resumo Operacional'!$A$1:$P$1,0))*$S143)</f>
        <v>#N/A</v>
      </c>
      <c r="AR143" s="71" t="e">
        <f t="shared" si="87"/>
        <v>#N/A</v>
      </c>
      <c r="AS143" s="73">
        <f t="shared" si="88"/>
        <v>210.90999999999997</v>
      </c>
      <c r="AT143" s="74">
        <f t="shared" si="89"/>
        <v>210.90999999999997</v>
      </c>
      <c r="AU143" s="74">
        <f t="shared" si="90"/>
        <v>1.132715768423769</v>
      </c>
      <c r="AV143" s="74">
        <f t="shared" si="91"/>
        <v>286.29787500000003</v>
      </c>
      <c r="AW143" s="74">
        <f t="shared" si="92"/>
        <v>0</v>
      </c>
      <c r="AX143" s="74">
        <f t="shared" si="93"/>
        <v>381.73050000000001</v>
      </c>
      <c r="AY143" s="74">
        <f t="shared" si="94"/>
        <v>286.3</v>
      </c>
      <c r="AZ143" s="49"/>
      <c r="BA143" s="49"/>
      <c r="BB143" s="49"/>
      <c r="BC143" s="73" t="str">
        <f t="shared" si="95"/>
        <v/>
      </c>
      <c r="BD143" s="73">
        <f t="shared" si="96"/>
        <v>592.64049999999997</v>
      </c>
      <c r="BE143" s="73">
        <f t="shared" si="97"/>
        <v>497.207875</v>
      </c>
      <c r="BF143" s="77">
        <f t="shared" si="98"/>
        <v>95.43</v>
      </c>
      <c r="BG143" s="77">
        <f t="shared" si="99"/>
        <v>28.629000000000001</v>
      </c>
      <c r="BH143" s="77">
        <f t="shared" si="100"/>
        <v>381.73050000000001</v>
      </c>
      <c r="BI143" s="78">
        <f t="shared" si="101"/>
        <v>0.25</v>
      </c>
      <c r="BJ143" s="79">
        <f t="shared" si="102"/>
        <v>0.16102510712649576</v>
      </c>
      <c r="BK143" s="80">
        <f t="shared" si="103"/>
        <v>497.21</v>
      </c>
      <c r="BL143" s="80">
        <f t="shared" si="104"/>
        <v>95.430499999999995</v>
      </c>
      <c r="BM143" s="79">
        <f t="shared" si="105"/>
        <v>0.16102595080828935</v>
      </c>
      <c r="BN143" s="81">
        <f t="shared" si="106"/>
        <v>0.84955489614243329</v>
      </c>
      <c r="BO143" s="82">
        <f t="shared" si="107"/>
        <v>286.3</v>
      </c>
      <c r="BP143" s="81">
        <f t="shared" si="108"/>
        <v>0.84955489614243329</v>
      </c>
      <c r="BQ143" s="81">
        <f t="shared" si="109"/>
        <v>0.84957058172459909</v>
      </c>
      <c r="BR143" s="81">
        <f t="shared" si="110"/>
        <v>1.1327471395881006</v>
      </c>
      <c r="BS143" s="82">
        <f t="shared" si="111"/>
        <v>337</v>
      </c>
      <c r="BT143" s="82">
        <f t="shared" si="112"/>
        <v>381.7357860411899</v>
      </c>
      <c r="BU143" s="82">
        <f t="shared" si="113"/>
        <v>381.73050000000001</v>
      </c>
      <c r="BV143"/>
      <c r="BW143" s="82">
        <f>IFERROR(INDEX('Infos Clientes'!$T:$T,MATCH('Detalhe Por UC'!$C143,'Infos Clientes'!B:B,0)),"")</f>
        <v>350.91666666666669</v>
      </c>
      <c r="BX143" s="83">
        <f t="shared" si="114"/>
        <v>0</v>
      </c>
      <c r="BY143" s="84">
        <f t="shared" si="115"/>
        <v>0.24999097147707</v>
      </c>
      <c r="BZ143" s="85">
        <f>IF(_xlfn.MINIFS('Detalhe Por UC'!R:R,'Detalhe Por UC'!C:C,C143,'Detalhe Por UC'!AD:AD,"&gt;"&amp;0)=0,"",_xlfn.MINIFS('Detalhe Por UC'!R:R,'Detalhe Por UC'!C:C,C143,'Detalhe Por UC'!AD:AD,"&gt;"&amp;0))</f>
        <v>45627</v>
      </c>
      <c r="CA143" s="114">
        <f ca="1">IF(OR(S143&gt;0,AD143&gt;0),IFERROR(
SUMIFS(INDIRECT("'Infos Clientes'!$W"&amp;INDEX('Infos Clientes'!$C:$C,MATCH(C143,'Infos Clientes'!$H:$H,0))&amp;":$CZ"&amp;INDEX('Infos Clientes'!$C:$C,MATCH(C143,'Infos Clientes'!$H:$H,0))),'Infos Clientes'!$W$2:$CZ$2,"&gt;"&amp;$R143-365,'Infos Clientes'!$W$2:$CZ$2,"&lt;="&amp;$R143)/
COUNTIFS(INDIRECT("'Infos Clientes'!$W"&amp;INDEX('Infos Clientes'!$C:$C,MATCH(C143,'Infos Clientes'!$H:$H,0))&amp;":$CZ"&amp;INDEX('Infos Clientes'!$C:$C,MATCH(C143,'Infos Clientes'!$H:$H,0))),"&gt;="&amp;0,'Infos Clientes'!$W$2:$CZ$2,"&gt;"&amp;$R143-365,'Infos Clientes'!$W$2:$CZ$2,"&lt;="&amp;$R143),""),"")</f>
        <v>353.58333333333331</v>
      </c>
      <c r="CB143" s="87">
        <f>VLOOKUP(C143,'Infos Clientes'!B:L,11,0)</f>
        <v>0</v>
      </c>
      <c r="CC143" s="88" t="str">
        <f t="shared" si="116"/>
        <v>A Unidade Consumidora 10/532081-7 economizou R$95,43 na fatura referente à dez/2024  consumindo 337 kWh em créditos de energia renovável conforme fatura de energia. A economia foi de 25% em relação ao que seria pago para a Energisa considerando os créditos consumidos. Atenção: Mantenha as contas da Energisa em dia para evitar cortes.</v>
      </c>
      <c r="CD143" s="40" t="s">
        <v>122</v>
      </c>
      <c r="CF143" s="115">
        <f t="shared" si="117"/>
        <v>-210.90999999999997</v>
      </c>
    </row>
    <row r="144" spans="1:84" s="40" customFormat="1" ht="16.2" hidden="1" customHeight="1" x14ac:dyDescent="0.3">
      <c r="A144" s="105" t="str">
        <f>INDEX('Infos Clientes'!$D:$D,MATCH('Detalhe Por UC'!C144,'Infos Clientes'!B:B,0))</f>
        <v>IGREJA DO EVANGELHO QUADRANGULAR</v>
      </c>
      <c r="B144" s="106" t="str">
        <f>INDEX('Infos Clientes'!$F:$F,MATCH('Detalhe Por UC'!C144,'Infos Clientes'!B:B,0))</f>
        <v>62.955.505/3593-60</v>
      </c>
      <c r="C144" s="31" t="s">
        <v>123</v>
      </c>
      <c r="D144" t="s">
        <v>351</v>
      </c>
      <c r="E144" s="1" t="s">
        <v>352</v>
      </c>
      <c r="F144" s="56" t="str">
        <f>INDEX('Infos Clientes'!$I:$I,MATCH('Detalhe Por UC'!C144,'Infos Clientes'!B:B,0))</f>
        <v>BT</v>
      </c>
      <c r="G144" s="56" t="str">
        <f>INDEX('Infos Clientes'!$J:$J,MATCH('Detalhe Por UC'!C144,'Infos Clientes'!B:B,0))</f>
        <v>trifasico</v>
      </c>
      <c r="H144" s="47"/>
      <c r="I144" s="58">
        <f>IFERROR(VLOOKUP(C144,'Infos Clientes'!B:E,4,),"")</f>
        <v>351</v>
      </c>
      <c r="J144" s="109">
        <v>0.25</v>
      </c>
      <c r="K144" s="59">
        <f>INDEX('Infos Clientes'!$M:$M,MATCH('Detalhe Por UC'!C144,'Infos Clientes'!B:B,0))</f>
        <v>0.25</v>
      </c>
      <c r="L144" s="110">
        <v>0</v>
      </c>
      <c r="M144" s="56">
        <f>INDEX('Infos Clientes'!$N:$N,MATCH('Detalhe Por UC'!C144,'Infos Clientes'!B:B,0))</f>
        <v>0</v>
      </c>
      <c r="N144" s="56">
        <f t="shared" si="81"/>
        <v>0</v>
      </c>
      <c r="O144" s="56">
        <f t="shared" si="82"/>
        <v>12</v>
      </c>
      <c r="P144" s="56">
        <f t="shared" si="83"/>
        <v>0</v>
      </c>
      <c r="Q144" s="61">
        <f>IFERROR(IFERROR(INDEX('Infos Clientes'!$A$2:$V$9884,MATCH($C144,'Infos Clientes'!$B$2:$B$9884,0),MATCH(Q$8,'Infos Clientes'!$A$2:$V$2,0)),"")
+IF(OR(INDEX('Infos Clientes'!$A$2:$V$9884,MATCH($C144,'Infos Clientes'!$B$2:$B$9884,0),MATCH("Tempo de Fidelidade (meses)",'Infos Clientes'!$A$2:$V$2,0))=0,R144&gt;=MAX(R:R)),0,
ROUND((MAX(R:R)-R144)/(365/12),0)),"")</f>
        <v>0</v>
      </c>
      <c r="R144" s="111">
        <v>45627</v>
      </c>
      <c r="S144" s="112">
        <v>0.04</v>
      </c>
      <c r="T144" s="113" t="str">
        <f>IF($H144="GIROSSOL II",AP144/INDEX('Resumo Operacional'!$A$1:$P$1103,17,MATCH('Detalhe Por UC'!$R144,'Resumo Operacional'!$A$1:$P$1,0)),
IF($H144="GIROSSOL II e III",AP144/INDEX('Resumo Operacional'!$A$1:$P$1103,17,MATCH('Detalhe Por UC'!$R144,'Resumo Operacional'!$A$1:$P$1,0)),
""))</f>
        <v/>
      </c>
      <c r="U144" s="113" t="str">
        <f>IF($H144="GIROSSOL III",AP144/INDEX('Resumo Operacional'!$A$1:$P$1103,53,MATCH('Detalhe Por UC'!$R144,'Resumo Operacional'!$A$1:$P$1,0)),
IF($H144="GIROSSOL II e III",AP144/INDEX('Resumo Operacional'!$A$1:$P$1103,53,MATCH('Detalhe Por UC'!$R144,'Resumo Operacional'!$A$1:$P$1,0)),
""))</f>
        <v/>
      </c>
      <c r="V144" s="67"/>
      <c r="W144" s="67"/>
      <c r="X144" s="67">
        <v>1.1187278761061947</v>
      </c>
      <c r="Y144" s="66"/>
      <c r="Z144" s="66">
        <v>1.118738038707821</v>
      </c>
      <c r="AA144" s="66"/>
      <c r="AB144" s="68">
        <v>472</v>
      </c>
      <c r="AC144" s="122"/>
      <c r="AD144" s="69">
        <v>246</v>
      </c>
      <c r="AE144" s="35"/>
      <c r="AF144" s="69">
        <v>0</v>
      </c>
      <c r="AG144" s="120"/>
      <c r="AH144" s="119">
        <v>85.8</v>
      </c>
      <c r="AI144" s="38"/>
      <c r="AJ144" s="38"/>
      <c r="AK144" s="21"/>
      <c r="AL144" s="38"/>
      <c r="AM144" s="1"/>
      <c r="AN144" s="71">
        <f t="shared" si="84"/>
        <v>0</v>
      </c>
      <c r="AO144" s="71">
        <f t="shared" si="85"/>
        <v>0</v>
      </c>
      <c r="AP144" s="71">
        <f t="shared" si="86"/>
        <v>246</v>
      </c>
      <c r="AQ144" s="72" t="e">
        <f>IF(OR($H144="GIROSSOL II",$H144="GIROSSOL II e III"),INDEX('Resumo Operacional'!$A$1:$P$1103,MATCH("Energia Injetada prevista total Fatura da Usina (TUSD)",'Resumo Operacional'!$B$1:$B$1103,0),MATCH('Detalhe Por UC'!$R144,'Resumo Operacional'!$A$1:$P$1,0))*$S144,INDEX('Resumo Operacional'!$A$1:$P$1103,53,MATCH('Detalhe Por UC'!$R144,'Resumo Operacional'!$A$1:$P$1,0))*$S144)</f>
        <v>#N/A</v>
      </c>
      <c r="AR144" s="71" t="e">
        <f t="shared" si="87"/>
        <v>#N/A</v>
      </c>
      <c r="AS144" s="73">
        <f t="shared" si="88"/>
        <v>338.63</v>
      </c>
      <c r="AT144" s="74">
        <f t="shared" si="89"/>
        <v>338.63</v>
      </c>
      <c r="AU144" s="74">
        <f t="shared" si="90"/>
        <v>1.1187482013094472</v>
      </c>
      <c r="AV144" s="74">
        <f t="shared" si="91"/>
        <v>206.40716814159296</v>
      </c>
      <c r="AW144" s="74">
        <f t="shared" si="92"/>
        <v>0</v>
      </c>
      <c r="AX144" s="74">
        <f t="shared" si="93"/>
        <v>275.20955752212393</v>
      </c>
      <c r="AY144" s="74">
        <f t="shared" si="94"/>
        <v>206.41</v>
      </c>
      <c r="AZ144" s="49"/>
      <c r="BA144" s="49"/>
      <c r="BB144" s="49"/>
      <c r="BC144" s="73" t="str">
        <f t="shared" si="95"/>
        <v/>
      </c>
      <c r="BD144" s="73">
        <f t="shared" si="96"/>
        <v>613.83955752212387</v>
      </c>
      <c r="BE144" s="73">
        <f t="shared" si="97"/>
        <v>545.03716814159293</v>
      </c>
      <c r="BF144" s="77">
        <f t="shared" si="98"/>
        <v>68.8</v>
      </c>
      <c r="BG144" s="77">
        <f t="shared" si="99"/>
        <v>20.639999999999997</v>
      </c>
      <c r="BH144" s="77">
        <f t="shared" si="100"/>
        <v>275.20955752212393</v>
      </c>
      <c r="BI144" s="78">
        <f t="shared" si="101"/>
        <v>0.25</v>
      </c>
      <c r="BJ144" s="79">
        <f t="shared" si="102"/>
        <v>0.11208140491584452</v>
      </c>
      <c r="BK144" s="80">
        <f t="shared" si="103"/>
        <v>545.04</v>
      </c>
      <c r="BL144" s="80">
        <f t="shared" si="104"/>
        <v>68.799557522123905</v>
      </c>
      <c r="BM144" s="79">
        <f t="shared" si="105"/>
        <v>0.11208068407947828</v>
      </c>
      <c r="BN144" s="81">
        <f t="shared" si="106"/>
        <v>0.83906504065040644</v>
      </c>
      <c r="BO144" s="82">
        <f t="shared" si="107"/>
        <v>206.41</v>
      </c>
      <c r="BP144" s="81">
        <f t="shared" si="108"/>
        <v>0.83906504065040644</v>
      </c>
      <c r="BQ144" s="81">
        <f t="shared" si="109"/>
        <v>0.83905487804878021</v>
      </c>
      <c r="BR144" s="81">
        <f t="shared" si="110"/>
        <v>1.1187278761061945</v>
      </c>
      <c r="BS144" s="82">
        <f t="shared" si="111"/>
        <v>246</v>
      </c>
      <c r="BT144" s="82">
        <f t="shared" si="112"/>
        <v>275.20705752212388</v>
      </c>
      <c r="BU144" s="82">
        <f t="shared" si="113"/>
        <v>275.20955752212393</v>
      </c>
      <c r="BV144"/>
      <c r="BW144" s="82">
        <f>IFERROR(INDEX('Infos Clientes'!$T:$T,MATCH('Detalhe Por UC'!$C144,'Infos Clientes'!B:B,0)),"")</f>
        <v>409.33333333333331</v>
      </c>
      <c r="BX144" s="83">
        <f t="shared" si="114"/>
        <v>0</v>
      </c>
      <c r="BY144" s="84">
        <f t="shared" si="115"/>
        <v>0.24999198109806167</v>
      </c>
      <c r="BZ144" s="85">
        <f>IF(_xlfn.MINIFS('Detalhe Por UC'!R:R,'Detalhe Por UC'!C:C,C144,'Detalhe Por UC'!AD:AD,"&gt;"&amp;0)=0,"",_xlfn.MINIFS('Detalhe Por UC'!R:R,'Detalhe Por UC'!C:C,C144,'Detalhe Por UC'!AD:AD,"&gt;"&amp;0))</f>
        <v>45627</v>
      </c>
      <c r="CA144" s="114">
        <f ca="1">IF(OR(S144&gt;0,AD144&gt;0),IFERROR(
SUMIFS(INDIRECT("'Infos Clientes'!$W"&amp;INDEX('Infos Clientes'!$C:$C,MATCH(C144,'Infos Clientes'!$H:$H,0))&amp;":$CZ"&amp;INDEX('Infos Clientes'!$C:$C,MATCH(C144,'Infos Clientes'!$H:$H,0))),'Infos Clientes'!$W$2:$CZ$2,"&gt;"&amp;$R144-365,'Infos Clientes'!$W$2:$CZ$2,"&lt;="&amp;$R144)/
COUNTIFS(INDIRECT("'Infos Clientes'!$W"&amp;INDEX('Infos Clientes'!$C:$C,MATCH(C144,'Infos Clientes'!$H:$H,0))&amp;":$CZ"&amp;INDEX('Infos Clientes'!$C:$C,MATCH(C144,'Infos Clientes'!$H:$H,0))),"&gt;="&amp;0,'Infos Clientes'!$W$2:$CZ$2,"&gt;"&amp;$R144-365,'Infos Clientes'!$W$2:$CZ$2,"&lt;="&amp;$R144),""),"")</f>
        <v>407.25</v>
      </c>
      <c r="CB144" s="87">
        <f>VLOOKUP(C144,'Infos Clientes'!B:L,11,0)</f>
        <v>0</v>
      </c>
      <c r="CC144" s="88" t="str">
        <f t="shared" si="116"/>
        <v>A Unidade Consumidora 10/532723-4 economizou R$68,8 na fatura referente à dez/2024  consumindo 246 kWh em créditos de energia renovável conforme fatura de energia. A economia foi de 25% em relação ao que seria pago para a Energisa considerando os créditos consumidos. Atenção: Mantenha as contas da Energisa em dia para evitar cortes.</v>
      </c>
      <c r="CD144" s="40" t="s">
        <v>125</v>
      </c>
      <c r="CF144" s="115">
        <f t="shared" si="117"/>
        <v>-338.63</v>
      </c>
    </row>
    <row r="145" spans="1:84" s="40" customFormat="1" ht="16.2" hidden="1" customHeight="1" x14ac:dyDescent="0.3">
      <c r="A145" s="105" t="str">
        <f>INDEX('Infos Clientes'!$D:$D,MATCH('Detalhe Por UC'!C145,'Infos Clientes'!B:B,0))</f>
        <v>IGREJA DO EVANGELHO QUADRANGULAR</v>
      </c>
      <c r="B145" s="106" t="str">
        <f>INDEX('Infos Clientes'!$F:$F,MATCH('Detalhe Por UC'!C145,'Infos Clientes'!B:B,0))</f>
        <v>62.955.505/4027-10</v>
      </c>
      <c r="C145" s="31" t="s">
        <v>126</v>
      </c>
      <c r="D145" t="s">
        <v>351</v>
      </c>
      <c r="E145" s="1" t="s">
        <v>352</v>
      </c>
      <c r="F145" s="56" t="str">
        <f>INDEX('Infos Clientes'!$I:$I,MATCH('Detalhe Por UC'!C145,'Infos Clientes'!B:B,0))</f>
        <v>BT</v>
      </c>
      <c r="G145" s="56" t="str">
        <f>INDEX('Infos Clientes'!$J:$J,MATCH('Detalhe Por UC'!C145,'Infos Clientes'!B:B,0))</f>
        <v>trifasico</v>
      </c>
      <c r="H145" s="47"/>
      <c r="I145" s="58">
        <f>IFERROR(VLOOKUP(C145,'Infos Clientes'!B:E,4,),"")</f>
        <v>994</v>
      </c>
      <c r="J145" s="109">
        <v>0.25</v>
      </c>
      <c r="K145" s="59">
        <f>INDEX('Infos Clientes'!$M:$M,MATCH('Detalhe Por UC'!C145,'Infos Clientes'!B:B,0))</f>
        <v>0.25</v>
      </c>
      <c r="L145" s="110">
        <v>0</v>
      </c>
      <c r="M145" s="56">
        <f>INDEX('Infos Clientes'!$N:$N,MATCH('Detalhe Por UC'!C145,'Infos Clientes'!B:B,0))</f>
        <v>0</v>
      </c>
      <c r="N145" s="56">
        <f t="shared" si="81"/>
        <v>0</v>
      </c>
      <c r="O145" s="56">
        <f t="shared" si="82"/>
        <v>12</v>
      </c>
      <c r="P145" s="56">
        <f t="shared" si="83"/>
        <v>0</v>
      </c>
      <c r="Q145" s="61">
        <f>IFERROR(IFERROR(INDEX('Infos Clientes'!$A$2:$V$9884,MATCH($C145,'Infos Clientes'!$B$2:$B$9884,0),MATCH(Q$8,'Infos Clientes'!$A$2:$V$2,0)),"")
+IF(OR(INDEX('Infos Clientes'!$A$2:$V$9884,MATCH($C145,'Infos Clientes'!$B$2:$B$9884,0),MATCH("Tempo de Fidelidade (meses)",'Infos Clientes'!$A$2:$V$2,0))=0,R145&gt;=MAX(R:R)),0,
ROUND((MAX(R:R)-R145)/(365/12),0)),"")</f>
        <v>0</v>
      </c>
      <c r="R145" s="111">
        <v>45627</v>
      </c>
      <c r="S145" s="112">
        <v>0.02</v>
      </c>
      <c r="T145" s="113" t="str">
        <f>IF($H145="GIROSSOL II",AP145/INDEX('Resumo Operacional'!$A$1:$P$1103,17,MATCH('Detalhe Por UC'!$R145,'Resumo Operacional'!$A$1:$P$1,0)),
IF($H145="GIROSSOL II e III",AP145/INDEX('Resumo Operacional'!$A$1:$P$1103,17,MATCH('Detalhe Por UC'!$R145,'Resumo Operacional'!$A$1:$P$1,0)),
""))</f>
        <v/>
      </c>
      <c r="U145" s="113" t="str">
        <f>IF($H145="GIROSSOL III",AP145/INDEX('Resumo Operacional'!$A$1:$P$1103,53,MATCH('Detalhe Por UC'!$R145,'Resumo Operacional'!$A$1:$P$1,0)),
IF($H145="GIROSSOL II e III",AP145/INDEX('Resumo Operacional'!$A$1:$P$1103,53,MATCH('Detalhe Por UC'!$R145,'Resumo Operacional'!$A$1:$P$1,0)),
""))</f>
        <v/>
      </c>
      <c r="V145" s="67"/>
      <c r="W145" s="67"/>
      <c r="X145" s="67">
        <v>1.1254500000000001</v>
      </c>
      <c r="Y145" s="66"/>
      <c r="Z145" s="66">
        <v>1.1254222222222223</v>
      </c>
      <c r="AA145" s="66"/>
      <c r="AB145" s="68">
        <v>280</v>
      </c>
      <c r="AC145" s="122"/>
      <c r="AD145" s="69">
        <v>180</v>
      </c>
      <c r="AE145" s="35"/>
      <c r="AF145" s="69">
        <v>230</v>
      </c>
      <c r="AG145" s="120"/>
      <c r="AH145" s="119">
        <v>59.51</v>
      </c>
      <c r="AI145" s="38"/>
      <c r="AJ145" s="38" t="s">
        <v>276</v>
      </c>
      <c r="AK145" s="21"/>
      <c r="AL145" s="38"/>
      <c r="AM145" s="1"/>
      <c r="AN145" s="71">
        <f t="shared" si="84"/>
        <v>230</v>
      </c>
      <c r="AO145" s="71">
        <f t="shared" si="85"/>
        <v>0</v>
      </c>
      <c r="AP145" s="71">
        <f t="shared" si="86"/>
        <v>410</v>
      </c>
      <c r="AQ145" s="72" t="e">
        <f>IF(OR($H145="GIROSSOL II",$H145="GIROSSOL II e III"),INDEX('Resumo Operacional'!$A$1:$P$1103,MATCH("Energia Injetada prevista total Fatura da Usina (TUSD)",'Resumo Operacional'!$B$1:$B$1103,0),MATCH('Detalhe Por UC'!$R145,'Resumo Operacional'!$A$1:$P$1,0))*$S145,INDEX('Resumo Operacional'!$A$1:$P$1103,53,MATCH('Detalhe Por UC'!$R145,'Resumo Operacional'!$A$1:$P$1,0))*$S145)</f>
        <v>#N/A</v>
      </c>
      <c r="AR145" s="71" t="e">
        <f t="shared" si="87"/>
        <v>#N/A</v>
      </c>
      <c r="AS145" s="73">
        <f t="shared" si="88"/>
        <v>172.06</v>
      </c>
      <c r="AT145" s="74" t="str">
        <f t="shared" si="89"/>
        <v/>
      </c>
      <c r="AU145" s="74">
        <f t="shared" si="90"/>
        <v>1.1253944444444446</v>
      </c>
      <c r="AV145" s="74">
        <f t="shared" si="91"/>
        <v>151.93200000000002</v>
      </c>
      <c r="AW145" s="74">
        <f t="shared" si="92"/>
        <v>0</v>
      </c>
      <c r="AX145" s="74">
        <f t="shared" si="93"/>
        <v>202.57600000000002</v>
      </c>
      <c r="AY145" s="74">
        <f t="shared" si="94"/>
        <v>151.93</v>
      </c>
      <c r="AZ145" s="49"/>
      <c r="BA145" s="49"/>
      <c r="BB145" s="49"/>
      <c r="BC145" s="73" t="str">
        <f t="shared" si="95"/>
        <v/>
      </c>
      <c r="BD145" s="73">
        <f t="shared" si="96"/>
        <v>374.63600000000002</v>
      </c>
      <c r="BE145" s="73">
        <f t="shared" si="97"/>
        <v>323.99200000000002</v>
      </c>
      <c r="BF145" s="77">
        <f t="shared" si="98"/>
        <v>50.64</v>
      </c>
      <c r="BG145" s="77">
        <f t="shared" si="99"/>
        <v>15.192</v>
      </c>
      <c r="BH145" s="77">
        <f t="shared" si="100"/>
        <v>202.57600000000002</v>
      </c>
      <c r="BI145" s="78">
        <f t="shared" si="101"/>
        <v>0.25</v>
      </c>
      <c r="BJ145" s="79">
        <f t="shared" si="102"/>
        <v>0.13517120618413606</v>
      </c>
      <c r="BK145" s="80">
        <f t="shared" si="103"/>
        <v>323.99</v>
      </c>
      <c r="BL145" s="80">
        <f t="shared" si="104"/>
        <v>50.646000000000015</v>
      </c>
      <c r="BM145" s="79">
        <f t="shared" si="105"/>
        <v>0.1351872217298925</v>
      </c>
      <c r="BN145" s="81">
        <f t="shared" si="106"/>
        <v>0.84405555555555556</v>
      </c>
      <c r="BO145" s="82">
        <f t="shared" si="107"/>
        <v>151.93</v>
      </c>
      <c r="BP145" s="81">
        <f t="shared" si="108"/>
        <v>0.84405555555555556</v>
      </c>
      <c r="BQ145" s="81">
        <f t="shared" si="109"/>
        <v>0.8440833333333333</v>
      </c>
      <c r="BR145" s="81">
        <f t="shared" si="110"/>
        <v>1.1254500000000001</v>
      </c>
      <c r="BS145" s="82">
        <f t="shared" si="111"/>
        <v>180</v>
      </c>
      <c r="BT145" s="82">
        <f t="shared" si="112"/>
        <v>202.58100000000002</v>
      </c>
      <c r="BU145" s="82">
        <f t="shared" si="113"/>
        <v>202.57600000000002</v>
      </c>
      <c r="BV145"/>
      <c r="BW145" s="82">
        <f>IFERROR(INDEX('Infos Clientes'!$T:$T,MATCH('Detalhe Por UC'!$C145,'Infos Clientes'!B:B,0)),"")</f>
        <v>274.25</v>
      </c>
      <c r="BX145" s="83">
        <f t="shared" si="114"/>
        <v>0</v>
      </c>
      <c r="BY145" s="84">
        <f t="shared" si="115"/>
        <v>0.25000370222281465</v>
      </c>
      <c r="BZ145" s="85">
        <f>IF(_xlfn.MINIFS('Detalhe Por UC'!R:R,'Detalhe Por UC'!C:C,C145,'Detalhe Por UC'!AD:AD,"&gt;"&amp;0)=0,"",_xlfn.MINIFS('Detalhe Por UC'!R:R,'Detalhe Por UC'!C:C,C145,'Detalhe Por UC'!AD:AD,"&gt;"&amp;0))</f>
        <v>45627</v>
      </c>
      <c r="CA145" s="114">
        <f ca="1">IF(OR(S145&gt;0,AD145&gt;0),IFERROR(
SUMIFS(INDIRECT("'Infos Clientes'!$W"&amp;INDEX('Infos Clientes'!$C:$C,MATCH(C145,'Infos Clientes'!$H:$H,0))&amp;":$CZ"&amp;INDEX('Infos Clientes'!$C:$C,MATCH(C145,'Infos Clientes'!$H:$H,0))),'Infos Clientes'!$W$2:$CZ$2,"&gt;"&amp;$R145-365,'Infos Clientes'!$W$2:$CZ$2,"&lt;="&amp;$R145)/
COUNTIFS(INDIRECT("'Infos Clientes'!$W"&amp;INDEX('Infos Clientes'!$C:$C,MATCH(C145,'Infos Clientes'!$H:$H,0))&amp;":$CZ"&amp;INDEX('Infos Clientes'!$C:$C,MATCH(C145,'Infos Clientes'!$H:$H,0))),"&gt;="&amp;0,'Infos Clientes'!$W$2:$CZ$2,"&gt;"&amp;$R145-365,'Infos Clientes'!$W$2:$CZ$2,"&lt;="&amp;$R145),""),"")</f>
        <v>268.83333333333331</v>
      </c>
      <c r="CB145" s="87">
        <f>VLOOKUP(C145,'Infos Clientes'!B:L,11,0)</f>
        <v>0</v>
      </c>
      <c r="CC145" s="88" t="str">
        <f t="shared" si="116"/>
        <v>A Unidade Consumidora 10/931327-1 economizou R$50,64 na fatura referente à dez/2024  consumindo 180 kWh em créditos de energia renovável conforme fatura de energia. A economia foi de 25% em relação ao que seria pago para a Energisa considerando os créditos consumidos. Atenção: Mantenha as contas da Energisa em dia para evitar cortes.</v>
      </c>
      <c r="CD145" s="40" t="s">
        <v>128</v>
      </c>
      <c r="CF145" s="115" t="e">
        <f t="shared" si="117"/>
        <v>#VALUE!</v>
      </c>
    </row>
    <row r="146" spans="1:84" s="40" customFormat="1" ht="16.2" hidden="1" customHeight="1" x14ac:dyDescent="0.3">
      <c r="A146" s="105" t="str">
        <f>INDEX('Infos Clientes'!$D:$D,MATCH('Detalhe Por UC'!C146,'Infos Clientes'!B:B,0))</f>
        <v>IGREJA DO EVANGELHO QUADRANGULAR</v>
      </c>
      <c r="B146" s="106" t="str">
        <f>INDEX('Infos Clientes'!$F:$F,MATCH('Detalhe Por UC'!C146,'Infos Clientes'!B:B,0))</f>
        <v>62.955.505/0155-12</v>
      </c>
      <c r="C146" s="31" t="s">
        <v>129</v>
      </c>
      <c r="D146" t="s">
        <v>351</v>
      </c>
      <c r="E146" s="1" t="s">
        <v>352</v>
      </c>
      <c r="F146" s="56" t="str">
        <f>INDEX('Infos Clientes'!$I:$I,MATCH('Detalhe Por UC'!C146,'Infos Clientes'!B:B,0))</f>
        <v>BT</v>
      </c>
      <c r="G146" s="56" t="str">
        <f>INDEX('Infos Clientes'!$J:$J,MATCH('Detalhe Por UC'!C146,'Infos Clientes'!B:B,0))</f>
        <v>trifasico</v>
      </c>
      <c r="H146" s="47"/>
      <c r="I146" s="58">
        <f>IFERROR(VLOOKUP(C146,'Infos Clientes'!B:E,4,),"")</f>
        <v>358</v>
      </c>
      <c r="J146" s="109">
        <v>0.25</v>
      </c>
      <c r="K146" s="59">
        <f>INDEX('Infos Clientes'!$M:$M,MATCH('Detalhe Por UC'!C146,'Infos Clientes'!B:B,0))</f>
        <v>0.25</v>
      </c>
      <c r="L146" s="110">
        <v>0</v>
      </c>
      <c r="M146" s="56">
        <f>INDEX('Infos Clientes'!$N:$N,MATCH('Detalhe Por UC'!C146,'Infos Clientes'!B:B,0))</f>
        <v>0</v>
      </c>
      <c r="N146" s="56">
        <f t="shared" si="81"/>
        <v>0</v>
      </c>
      <c r="O146" s="56">
        <f t="shared" si="82"/>
        <v>11</v>
      </c>
      <c r="P146" s="56">
        <f t="shared" si="83"/>
        <v>0</v>
      </c>
      <c r="Q146" s="61">
        <f>IFERROR(IFERROR(INDEX('Infos Clientes'!$A$2:$V$9884,MATCH($C146,'Infos Clientes'!$B$2:$B$9884,0),MATCH(Q$8,'Infos Clientes'!$A$2:$V$2,0)),"")
+IF(OR(INDEX('Infos Clientes'!$A$2:$V$9884,MATCH($C146,'Infos Clientes'!$B$2:$B$9884,0),MATCH("Tempo de Fidelidade (meses)",'Infos Clientes'!$A$2:$V$2,0))=0,R146&gt;=MAX(R:R)),0,
ROUND((MAX(R:R)-R146)/(365/12),0)),"")</f>
        <v>0</v>
      </c>
      <c r="R146" s="111">
        <v>45627</v>
      </c>
      <c r="S146" s="112">
        <v>5.0000000000000001E-3</v>
      </c>
      <c r="T146" s="113" t="str">
        <f>IF($H146="GIROSSOL II",AP146/INDEX('Resumo Operacional'!$A$1:$P$1103,17,MATCH('Detalhe Por UC'!$R146,'Resumo Operacional'!$A$1:$P$1,0)),
IF($H146="GIROSSOL II e III",AP146/INDEX('Resumo Operacional'!$A$1:$P$1103,17,MATCH('Detalhe Por UC'!$R146,'Resumo Operacional'!$A$1:$P$1,0)),
""))</f>
        <v/>
      </c>
      <c r="U146" s="113" t="str">
        <f>IF($H146="GIROSSOL III",AP146/INDEX('Resumo Operacional'!$A$1:$P$1103,53,MATCH('Detalhe Por UC'!$R146,'Resumo Operacional'!$A$1:$P$1,0)),
IF($H146="GIROSSOL II e III",AP146/INDEX('Resumo Operacional'!$A$1:$P$1103,53,MATCH('Detalhe Por UC'!$R146,'Resumo Operacional'!$A$1:$P$1,0)),
""))</f>
        <v/>
      </c>
      <c r="V146" s="67"/>
      <c r="W146" s="67"/>
      <c r="X146" s="67">
        <v>1.1372222222222221</v>
      </c>
      <c r="Y146" s="67"/>
      <c r="Z146" s="66">
        <v>1.137</v>
      </c>
      <c r="AA146" s="66"/>
      <c r="AB146" s="68">
        <v>135</v>
      </c>
      <c r="AC146" s="122"/>
      <c r="AD146" s="69">
        <v>35</v>
      </c>
      <c r="AE146" s="35"/>
      <c r="AF146" s="69">
        <v>786</v>
      </c>
      <c r="AG146" s="120"/>
      <c r="AH146" s="119">
        <v>52.64</v>
      </c>
      <c r="AI146" s="38"/>
      <c r="AJ146" s="38"/>
      <c r="AK146" s="21"/>
      <c r="AL146" s="38"/>
      <c r="AM146" s="1"/>
      <c r="AN146" s="71">
        <f t="shared" si="84"/>
        <v>786</v>
      </c>
      <c r="AO146" s="71">
        <f t="shared" si="85"/>
        <v>0</v>
      </c>
      <c r="AP146" s="71">
        <f t="shared" si="86"/>
        <v>821</v>
      </c>
      <c r="AQ146" s="72" t="e">
        <f>IF(OR($H146="GIROSSOL II",$H146="GIROSSOL II e III"),INDEX('Resumo Operacional'!$A$1:$P$1103,MATCH("Energia Injetada prevista total Fatura da Usina (TUSD)",'Resumo Operacional'!$B$1:$B$1103,0),MATCH('Detalhe Por UC'!$R146,'Resumo Operacional'!$A$1:$P$1,0))*$S146,INDEX('Resumo Operacional'!$A$1:$P$1103,53,MATCH('Detalhe Por UC'!$R146,'Resumo Operacional'!$A$1:$P$1,0))*$S146)</f>
        <v>#N/A</v>
      </c>
      <c r="AR146" s="71" t="e">
        <f t="shared" si="87"/>
        <v>#N/A</v>
      </c>
      <c r="AS146" s="73">
        <f t="shared" si="88"/>
        <v>166.36999999999998</v>
      </c>
      <c r="AT146" s="74">
        <f t="shared" si="89"/>
        <v>166.36999999999998</v>
      </c>
      <c r="AU146" s="74">
        <f t="shared" si="90"/>
        <v>1.1367777777777779</v>
      </c>
      <c r="AV146" s="74">
        <f t="shared" si="91"/>
        <v>29.846250000000001</v>
      </c>
      <c r="AW146" s="74">
        <f t="shared" si="92"/>
        <v>0</v>
      </c>
      <c r="AX146" s="74">
        <f t="shared" si="93"/>
        <v>39.795000000000002</v>
      </c>
      <c r="AY146" s="74">
        <f t="shared" si="94"/>
        <v>29.85</v>
      </c>
      <c r="AZ146" s="49"/>
      <c r="BA146" s="49"/>
      <c r="BB146" s="49"/>
      <c r="BC146" s="73" t="str">
        <f t="shared" si="95"/>
        <v/>
      </c>
      <c r="BD146" s="73">
        <f t="shared" si="96"/>
        <v>206.16499999999996</v>
      </c>
      <c r="BE146" s="73">
        <f t="shared" si="97"/>
        <v>196.21624999999997</v>
      </c>
      <c r="BF146" s="77">
        <f t="shared" si="98"/>
        <v>9.9499999999999993</v>
      </c>
      <c r="BG146" s="77">
        <f t="shared" si="99"/>
        <v>2.9849999999999999</v>
      </c>
      <c r="BH146" s="77">
        <f t="shared" si="100"/>
        <v>39.795000000000002</v>
      </c>
      <c r="BI146" s="78">
        <f t="shared" si="101"/>
        <v>0.25</v>
      </c>
      <c r="BJ146" s="79">
        <f t="shared" si="102"/>
        <v>4.8262314165838045E-2</v>
      </c>
      <c r="BK146" s="80">
        <f t="shared" si="103"/>
        <v>196.21999999999997</v>
      </c>
      <c r="BL146" s="80">
        <f t="shared" si="104"/>
        <v>9.9449999999999932</v>
      </c>
      <c r="BM146" s="79">
        <f t="shared" si="105"/>
        <v>4.8238061746659205E-2</v>
      </c>
      <c r="BN146" s="81">
        <f t="shared" si="106"/>
        <v>0.85285714285714287</v>
      </c>
      <c r="BO146" s="82">
        <f t="shared" si="107"/>
        <v>29.85</v>
      </c>
      <c r="BP146" s="81">
        <f t="shared" si="108"/>
        <v>0.85285714285714287</v>
      </c>
      <c r="BQ146" s="81">
        <f t="shared" si="109"/>
        <v>0.85307936507936499</v>
      </c>
      <c r="BR146" s="81">
        <f t="shared" si="110"/>
        <v>1.1372222222222221</v>
      </c>
      <c r="BS146" s="82">
        <f t="shared" si="111"/>
        <v>35</v>
      </c>
      <c r="BT146" s="82">
        <f t="shared" si="112"/>
        <v>39.802777777777777</v>
      </c>
      <c r="BU146" s="82">
        <f t="shared" si="113"/>
        <v>39.795000000000002</v>
      </c>
      <c r="BV146"/>
      <c r="BW146" s="82">
        <f>IFERROR(INDEX('Infos Clientes'!$T:$T,MATCH('Detalhe Por UC'!$C146,'Infos Clientes'!B:B,0)),"")</f>
        <v>123.5</v>
      </c>
      <c r="BX146" s="83">
        <f t="shared" si="114"/>
        <v>0</v>
      </c>
      <c r="BY146" s="84">
        <f t="shared" si="115"/>
        <v>0.24985693349152072</v>
      </c>
      <c r="BZ146" s="85">
        <f>IF(_xlfn.MINIFS('Detalhe Por UC'!R:R,'Detalhe Por UC'!C:C,C146,'Detalhe Por UC'!AD:AD,"&gt;"&amp;0)=0,"",_xlfn.MINIFS('Detalhe Por UC'!R:R,'Detalhe Por UC'!C:C,C146,'Detalhe Por UC'!AD:AD,"&gt;"&amp;0))</f>
        <v>45627</v>
      </c>
      <c r="CA146" s="114">
        <f ca="1">IF(OR(S146&gt;0,AD146&gt;0),IFERROR(
SUMIFS(INDIRECT("'Infos Clientes'!$W"&amp;INDEX('Infos Clientes'!$C:$C,MATCH(C146,'Infos Clientes'!$H:$H,0))&amp;":$CZ"&amp;INDEX('Infos Clientes'!$C:$C,MATCH(C146,'Infos Clientes'!$H:$H,0))),'Infos Clientes'!$W$2:$CZ$2,"&gt;"&amp;$R146-365,'Infos Clientes'!$W$2:$CZ$2,"&lt;="&amp;$R146)/
COUNTIFS(INDIRECT("'Infos Clientes'!$W"&amp;INDEX('Infos Clientes'!$C:$C,MATCH(C146,'Infos Clientes'!$H:$H,0))&amp;":$CZ"&amp;INDEX('Infos Clientes'!$C:$C,MATCH(C146,'Infos Clientes'!$H:$H,0))),"&gt;="&amp;0,'Infos Clientes'!$W$2:$CZ$2,"&gt;"&amp;$R146-365,'Infos Clientes'!$W$2:$CZ$2,"&lt;="&amp;$R146),""),"")</f>
        <v>126.25</v>
      </c>
      <c r="CB146" s="87">
        <f>VLOOKUP(C146,'Infos Clientes'!B:L,11,0)</f>
        <v>0</v>
      </c>
      <c r="CC146" s="88" t="str">
        <f t="shared" si="116"/>
        <v>A Unidade Consumidora 10/987178-1 economizou R$9,95 na fatura referente à dez/2024  consumindo 35 kWh em créditos de energia renovável conforme fatura de energia. A economia foi de 25% em relação ao que seria pago para a Energisa considerando os créditos consumidos. Atenção: Mantenha as contas da Energisa em dia para evitar cortes.</v>
      </c>
      <c r="CD146" s="40" t="s">
        <v>131</v>
      </c>
      <c r="CF146" s="115">
        <f t="shared" si="117"/>
        <v>-166.36999999999998</v>
      </c>
    </row>
    <row r="147" spans="1:84" s="40" customFormat="1" ht="16.2" hidden="1" customHeight="1" x14ac:dyDescent="0.3">
      <c r="A147" s="105" t="str">
        <f>INDEX('Infos Clientes'!$D:$D,MATCH('Detalhe Por UC'!C147,'Infos Clientes'!B:B,0))</f>
        <v>IGREJA DO EVANGELHO QUADRANGULAR</v>
      </c>
      <c r="B147" s="106" t="str">
        <f>INDEX('Infos Clientes'!$F:$F,MATCH('Detalhe Por UC'!C147,'Infos Clientes'!B:B,0))</f>
        <v>62.955.505/0914-56</v>
      </c>
      <c r="C147" s="107" t="s">
        <v>132</v>
      </c>
      <c r="D147" t="s">
        <v>351</v>
      </c>
      <c r="E147" s="1" t="s">
        <v>352</v>
      </c>
      <c r="F147" s="56">
        <f>INDEX('Infos Clientes'!$I:$I,MATCH('Detalhe Por UC'!C147,'Infos Clientes'!B:B,0))</f>
        <v>0</v>
      </c>
      <c r="G147" s="56">
        <f>INDEX('Infos Clientes'!$J:$J,MATCH('Detalhe Por UC'!C147,'Infos Clientes'!B:B,0))</f>
        <v>0</v>
      </c>
      <c r="H147" s="47"/>
      <c r="I147" s="58">
        <f>IFERROR(VLOOKUP(C147,'Infos Clientes'!B:E,4,),"")</f>
        <v>0</v>
      </c>
      <c r="J147" s="109">
        <v>0</v>
      </c>
      <c r="K147" s="59">
        <f>INDEX('Infos Clientes'!$M:$M,MATCH('Detalhe Por UC'!C147,'Infos Clientes'!B:B,0))</f>
        <v>0</v>
      </c>
      <c r="L147" s="110">
        <v>0</v>
      </c>
      <c r="M147" s="56">
        <f>INDEX('Infos Clientes'!$N:$N,MATCH('Detalhe Por UC'!C147,'Infos Clientes'!B:B,0))</f>
        <v>0</v>
      </c>
      <c r="N147" s="56">
        <f t="shared" si="81"/>
        <v>6</v>
      </c>
      <c r="O147" s="56">
        <f t="shared" si="82"/>
        <v>0</v>
      </c>
      <c r="P147" s="56">
        <f t="shared" si="83"/>
        <v>-6</v>
      </c>
      <c r="Q147" s="61">
        <f>IFERROR(IFERROR(INDEX('Infos Clientes'!$A$2:$V$9884,MATCH($C147,'Infos Clientes'!$B$2:$B$9884,0),MATCH(Q$8,'Infos Clientes'!$A$2:$V$2,0)),"")
+IF(OR(INDEX('Infos Clientes'!$A$2:$V$9884,MATCH($C147,'Infos Clientes'!$B$2:$B$9884,0),MATCH("Tempo de Fidelidade (meses)",'Infos Clientes'!$A$2:$V$2,0))=0,R147&gt;=MAX(R:R)),0,
ROUND((MAX(R:R)-R147)/(365/12),0)),"")</f>
        <v>0</v>
      </c>
      <c r="R147" s="111">
        <v>45627</v>
      </c>
      <c r="S147" s="112">
        <v>0.02</v>
      </c>
      <c r="T147" s="113" t="str">
        <f>IF($H147="GIROSSOL II",AP147/INDEX('Resumo Operacional'!$A$1:$P$1103,17,MATCH('Detalhe Por UC'!$R147,'Resumo Operacional'!$A$1:$P$1,0)),
IF($H147="GIROSSOL II e III",AP147/INDEX('Resumo Operacional'!$A$1:$P$1103,17,MATCH('Detalhe Por UC'!$R147,'Resumo Operacional'!$A$1:$P$1,0)),
""))</f>
        <v/>
      </c>
      <c r="U147" s="113" t="str">
        <f>IF($H147="GIROSSOL III",AP147/INDEX('Resumo Operacional'!$A$1:$P$1103,53,MATCH('Detalhe Por UC'!$R147,'Resumo Operacional'!$A$1:$P$1,0)),
IF($H147="GIROSSOL II e III",AP147/INDEX('Resumo Operacional'!$A$1:$P$1103,53,MATCH('Detalhe Por UC'!$R147,'Resumo Operacional'!$A$1:$P$1,0)),
""))</f>
        <v/>
      </c>
      <c r="V147" s="18"/>
      <c r="W147" s="18"/>
      <c r="X147" s="18"/>
      <c r="Y147" s="46"/>
      <c r="Z147" s="18"/>
      <c r="AA147" s="18"/>
      <c r="AB147" s="18"/>
      <c r="AC147" s="18"/>
      <c r="AD147" s="18"/>
      <c r="AE147" s="35"/>
      <c r="AF147" s="18"/>
      <c r="AG147" s="18"/>
      <c r="AH147" s="38"/>
      <c r="AI147"/>
      <c r="AJ147"/>
      <c r="AK147"/>
      <c r="AL147"/>
      <c r="AM147" s="1"/>
      <c r="AN147" s="71" t="str">
        <f t="shared" si="84"/>
        <v/>
      </c>
      <c r="AO147" s="71" t="str">
        <f t="shared" si="85"/>
        <v/>
      </c>
      <c r="AP147" s="71">
        <f t="shared" si="86"/>
        <v>0</v>
      </c>
      <c r="AQ147" s="72" t="e">
        <f>IF(OR($H147="GIROSSOL II",$H147="GIROSSOL II e III"),INDEX('Resumo Operacional'!$A$1:$P$1103,MATCH("Energia Injetada prevista total Fatura da Usina (TUSD)",'Resumo Operacional'!$B$1:$B$1103,0),MATCH('Detalhe Por UC'!$R147,'Resumo Operacional'!$A$1:$P$1,0))*$S147,INDEX('Resumo Operacional'!$A$1:$P$1103,53,MATCH('Detalhe Por UC'!$R147,'Resumo Operacional'!$A$1:$P$1,0))*$S147)</f>
        <v>#N/A</v>
      </c>
      <c r="AR147" s="71" t="str">
        <f t="shared" si="87"/>
        <v/>
      </c>
      <c r="AS147" s="73">
        <f t="shared" si="88"/>
        <v>0</v>
      </c>
      <c r="AT147" s="74">
        <f t="shared" si="89"/>
        <v>0</v>
      </c>
      <c r="AU147" s="74" t="str">
        <f t="shared" si="90"/>
        <v/>
      </c>
      <c r="AV147" s="74">
        <f t="shared" si="91"/>
        <v>0</v>
      </c>
      <c r="AW147" s="74">
        <f t="shared" si="92"/>
        <v>0</v>
      </c>
      <c r="AX147" s="74">
        <f t="shared" si="93"/>
        <v>0</v>
      </c>
      <c r="AY147" s="74" t="str">
        <f t="shared" si="94"/>
        <v/>
      </c>
      <c r="AZ147" s="49"/>
      <c r="BA147" s="49"/>
      <c r="BB147" s="49"/>
      <c r="BC147" s="73" t="str">
        <f t="shared" si="95"/>
        <v/>
      </c>
      <c r="BD147" s="73">
        <f t="shared" si="96"/>
        <v>0</v>
      </c>
      <c r="BE147" s="73">
        <f t="shared" si="97"/>
        <v>0</v>
      </c>
      <c r="BF147" s="77">
        <f t="shared" si="98"/>
        <v>0</v>
      </c>
      <c r="BG147" s="77">
        <f t="shared" si="99"/>
        <v>0</v>
      </c>
      <c r="BH147" s="77">
        <f t="shared" si="100"/>
        <v>0</v>
      </c>
      <c r="BI147" s="78" t="str">
        <f t="shared" si="101"/>
        <v/>
      </c>
      <c r="BJ147" s="79" t="str">
        <f t="shared" si="102"/>
        <v/>
      </c>
      <c r="BK147" s="80" t="str">
        <f t="shared" si="103"/>
        <v/>
      </c>
      <c r="BL147" s="80" t="str">
        <f t="shared" si="104"/>
        <v/>
      </c>
      <c r="BM147" s="79" t="str">
        <f t="shared" si="105"/>
        <v/>
      </c>
      <c r="BN147" s="81" t="str">
        <f t="shared" si="106"/>
        <v/>
      </c>
      <c r="BO147" s="82" t="str">
        <f t="shared" si="107"/>
        <v/>
      </c>
      <c r="BP147" s="81" t="str">
        <f t="shared" si="108"/>
        <v/>
      </c>
      <c r="BQ147" s="81" t="str">
        <f t="shared" si="109"/>
        <v/>
      </c>
      <c r="BR147" s="81" t="str">
        <f t="shared" si="110"/>
        <v/>
      </c>
      <c r="BS147" s="82">
        <f t="shared" si="111"/>
        <v>0</v>
      </c>
      <c r="BT147" s="82" t="str">
        <f t="shared" si="112"/>
        <v/>
      </c>
      <c r="BU147" s="82">
        <f t="shared" si="113"/>
        <v>0</v>
      </c>
      <c r="BV147"/>
      <c r="BW147" s="82">
        <f>IFERROR(INDEX('Infos Clientes'!$T:$T,MATCH('Detalhe Por UC'!$C147,'Infos Clientes'!B:B,0)),"")</f>
        <v>0</v>
      </c>
      <c r="BX147" s="83">
        <f t="shared" si="114"/>
        <v>0</v>
      </c>
      <c r="BY147" s="84" t="str">
        <f t="shared" si="115"/>
        <v/>
      </c>
      <c r="BZ147" s="85" t="str">
        <f>IF(_xlfn.MINIFS('Detalhe Por UC'!R:R,'Detalhe Por UC'!C:C,C147,'Detalhe Por UC'!AD:AD,"&gt;"&amp;0)=0,"",_xlfn.MINIFS('Detalhe Por UC'!R:R,'Detalhe Por UC'!C:C,C147,'Detalhe Por UC'!AD:AD,"&gt;"&amp;0))</f>
        <v/>
      </c>
      <c r="CA147" s="114">
        <f ca="1">IF(OR(S147&gt;0,AD147&gt;0),IFERROR(
SUMIFS(INDIRECT("'Infos Clientes'!$W"&amp;INDEX('Infos Clientes'!$C:$C,MATCH(C147,'Infos Clientes'!$H:$H,0))&amp;":$CZ"&amp;INDEX('Infos Clientes'!$C:$C,MATCH(C147,'Infos Clientes'!$H:$H,0))),'Infos Clientes'!$W$2:$CZ$2,"&gt;"&amp;$R147-365,'Infos Clientes'!$W$2:$CZ$2,"&lt;="&amp;$R147)/
COUNTIFS(INDIRECT("'Infos Clientes'!$W"&amp;INDEX('Infos Clientes'!$C:$C,MATCH(C147,'Infos Clientes'!$H:$H,0))&amp;":$CZ"&amp;INDEX('Infos Clientes'!$C:$C,MATCH(C147,'Infos Clientes'!$H:$H,0))),"&gt;="&amp;0,'Infos Clientes'!$W$2:$CZ$2,"&gt;"&amp;$R147-365,'Infos Clientes'!$W$2:$CZ$2,"&lt;="&amp;$R147),""),"")</f>
        <v>136</v>
      </c>
      <c r="CB147" s="87">
        <f>VLOOKUP(C147,'Infos Clientes'!B:L,11,0)</f>
        <v>0</v>
      </c>
      <c r="CC147" s="88" t="str">
        <f t="shared" si="116"/>
        <v>A Unidade Consumidora 10/104720-8 economizou R$0 na fatura referente à dez/2024  consumindo  kWh em créditos de energia renovável conforme fatura de energia. A economia foi de 0% em relação ao que seria pago para a Energisa considerando os créditos consumidos. Atenção: Mantenha as contas da Energisa em dia para evitar cortes.</v>
      </c>
      <c r="CF147" s="115">
        <f t="shared" si="117"/>
        <v>0</v>
      </c>
    </row>
    <row r="148" spans="1:84" s="40" customFormat="1" ht="16.2" hidden="1" customHeight="1" x14ac:dyDescent="0.3">
      <c r="A148" s="105" t="str">
        <f>INDEX('Infos Clientes'!$D:$D,MATCH('Detalhe Por UC'!C148,'Infos Clientes'!B:B,0))</f>
        <v>IGREJA DO EVANGELHO QUADRANGULAR</v>
      </c>
      <c r="B148" s="106" t="str">
        <f>INDEX('Infos Clientes'!$F:$F,MATCH('Detalhe Por UC'!C148,'Infos Clientes'!B:B,0))</f>
        <v>62.955.505/0914-56</v>
      </c>
      <c r="C148" s="107" t="s">
        <v>134</v>
      </c>
      <c r="D148" t="s">
        <v>351</v>
      </c>
      <c r="E148" s="1" t="s">
        <v>352</v>
      </c>
      <c r="F148" s="56" t="str">
        <f>INDEX('Infos Clientes'!$I:$I,MATCH('Detalhe Por UC'!C148,'Infos Clientes'!B:B,0))</f>
        <v>BT</v>
      </c>
      <c r="G148" s="56" t="str">
        <f>INDEX('Infos Clientes'!$J:$J,MATCH('Detalhe Por UC'!C148,'Infos Clientes'!B:B,0))</f>
        <v>monofasico</v>
      </c>
      <c r="H148" s="47"/>
      <c r="I148" s="58">
        <f>IFERROR(VLOOKUP(C148,'Infos Clientes'!B:E,4,),"")</f>
        <v>0</v>
      </c>
      <c r="J148" s="109">
        <v>0.25</v>
      </c>
      <c r="K148" s="59">
        <f>INDEX('Infos Clientes'!$M:$M,MATCH('Detalhe Por UC'!C148,'Infos Clientes'!B:B,0))</f>
        <v>0.25</v>
      </c>
      <c r="L148" s="125">
        <v>0</v>
      </c>
      <c r="M148" s="56">
        <f>INDEX('Infos Clientes'!$N:$N,MATCH('Detalhe Por UC'!C148,'Infos Clientes'!B:B,0))</f>
        <v>0</v>
      </c>
      <c r="N148" s="56">
        <f t="shared" si="81"/>
        <v>0</v>
      </c>
      <c r="O148" s="56">
        <f t="shared" si="82"/>
        <v>10</v>
      </c>
      <c r="P148" s="56">
        <f t="shared" si="83"/>
        <v>0</v>
      </c>
      <c r="Q148" s="61">
        <f>IFERROR(IFERROR(INDEX('Infos Clientes'!$A$2:$V$9884,MATCH($C148,'Infos Clientes'!$B$2:$B$9884,0),MATCH(Q$8,'Infos Clientes'!$A$2:$V$2,0)),"")
+IF(OR(INDEX('Infos Clientes'!$A$2:$V$9884,MATCH($C148,'Infos Clientes'!$B$2:$B$9884,0),MATCH("Tempo de Fidelidade (meses)",'Infos Clientes'!$A$2:$V$2,0))=0,R148&gt;=MAX(R:R)),0,
ROUND((MAX(R:R)-R148)/(365/12),0)),"")</f>
        <v>0</v>
      </c>
      <c r="R148" s="111">
        <v>45627</v>
      </c>
      <c r="S148" s="17">
        <v>0.02</v>
      </c>
      <c r="T148" s="113" t="str">
        <f>IF($H148="GIROSSOL II",AP148/INDEX('Resumo Operacional'!$A$1:$P$1103,17,MATCH('Detalhe Por UC'!$R148,'Resumo Operacional'!$A$1:$P$1,0)),
IF($H148="GIROSSOL II e III",AP148/INDEX('Resumo Operacional'!$A$1:$P$1103,17,MATCH('Detalhe Por UC'!$R148,'Resumo Operacional'!$A$1:$P$1,0)),
""))</f>
        <v/>
      </c>
      <c r="U148" s="113" t="str">
        <f>IF($H148="GIROSSOL III",AP148/INDEX('Resumo Operacional'!$A$1:$P$1103,53,MATCH('Detalhe Por UC'!$R148,'Resumo Operacional'!$A$1:$P$1,0)),
IF($H148="GIROSSOL II e III",AP148/INDEX('Resumo Operacional'!$A$1:$P$1103,53,MATCH('Detalhe Por UC'!$R148,'Resumo Operacional'!$A$1:$P$1,0)),
""))</f>
        <v/>
      </c>
      <c r="V148" s="18"/>
      <c r="W148" s="18"/>
      <c r="X148" s="18"/>
      <c r="Y148" s="46"/>
      <c r="Z148" s="18"/>
      <c r="AA148" s="18"/>
      <c r="AB148" s="18"/>
      <c r="AC148" s="18"/>
      <c r="AD148" s="18"/>
      <c r="AE148" s="35"/>
      <c r="AF148" s="18"/>
      <c r="AG148" s="18"/>
      <c r="AH148" s="38"/>
      <c r="AI148"/>
      <c r="AJ148"/>
      <c r="AK148"/>
      <c r="AL148"/>
      <c r="AM148" s="1"/>
      <c r="AN148" s="71" t="str">
        <f t="shared" si="84"/>
        <v/>
      </c>
      <c r="AO148" s="71" t="str">
        <f t="shared" si="85"/>
        <v/>
      </c>
      <c r="AP148" s="71">
        <f t="shared" si="86"/>
        <v>0</v>
      </c>
      <c r="AQ148" s="72" t="e">
        <f>IF(OR($H148="GIROSSOL II",$H148="GIROSSOL II e III"),INDEX('Resumo Operacional'!$A$1:$P$1103,MATCH("Energia Injetada prevista total Fatura da Usina (TUSD)",'Resumo Operacional'!$B$1:$B$1103,0),MATCH('Detalhe Por UC'!$R148,'Resumo Operacional'!$A$1:$P$1,0))*$S148,INDEX('Resumo Operacional'!$A$1:$P$1103,53,MATCH('Detalhe Por UC'!$R148,'Resumo Operacional'!$A$1:$P$1,0))*$S148)</f>
        <v>#N/A</v>
      </c>
      <c r="AR148" s="71" t="str">
        <f t="shared" si="87"/>
        <v/>
      </c>
      <c r="AS148" s="73">
        <f t="shared" si="88"/>
        <v>0</v>
      </c>
      <c r="AT148" s="74">
        <f t="shared" si="89"/>
        <v>0</v>
      </c>
      <c r="AU148" s="74" t="str">
        <f t="shared" si="90"/>
        <v/>
      </c>
      <c r="AV148" s="74">
        <f t="shared" si="91"/>
        <v>0</v>
      </c>
      <c r="AW148" s="74">
        <f t="shared" si="92"/>
        <v>0</v>
      </c>
      <c r="AX148" s="74">
        <f t="shared" si="93"/>
        <v>0</v>
      </c>
      <c r="AY148" s="74" t="str">
        <f t="shared" si="94"/>
        <v/>
      </c>
      <c r="AZ148" s="126"/>
      <c r="BA148" s="49"/>
      <c r="BB148" s="49"/>
      <c r="BC148" s="73" t="str">
        <f t="shared" si="95"/>
        <v/>
      </c>
      <c r="BD148" s="73">
        <f t="shared" si="96"/>
        <v>0</v>
      </c>
      <c r="BE148" s="73">
        <f t="shared" si="97"/>
        <v>0</v>
      </c>
      <c r="BF148" s="77">
        <f t="shared" si="98"/>
        <v>0</v>
      </c>
      <c r="BG148" s="77">
        <f t="shared" si="99"/>
        <v>0</v>
      </c>
      <c r="BH148" s="77">
        <f t="shared" si="100"/>
        <v>0</v>
      </c>
      <c r="BI148" s="78" t="str">
        <f t="shared" si="101"/>
        <v/>
      </c>
      <c r="BJ148" s="79" t="str">
        <f t="shared" si="102"/>
        <v/>
      </c>
      <c r="BK148" s="80" t="str">
        <f t="shared" si="103"/>
        <v/>
      </c>
      <c r="BL148" s="80" t="str">
        <f t="shared" si="104"/>
        <v/>
      </c>
      <c r="BM148" s="79" t="str">
        <f t="shared" si="105"/>
        <v/>
      </c>
      <c r="BN148" s="81" t="str">
        <f t="shared" si="106"/>
        <v/>
      </c>
      <c r="BO148" s="82" t="str">
        <f t="shared" si="107"/>
        <v/>
      </c>
      <c r="BP148" s="81" t="str">
        <f t="shared" si="108"/>
        <v/>
      </c>
      <c r="BQ148" s="81" t="str">
        <f t="shared" si="109"/>
        <v/>
      </c>
      <c r="BR148" s="81" t="str">
        <f t="shared" si="110"/>
        <v/>
      </c>
      <c r="BS148" s="82">
        <f t="shared" si="111"/>
        <v>0</v>
      </c>
      <c r="BT148" s="82" t="str">
        <f t="shared" si="112"/>
        <v/>
      </c>
      <c r="BU148" s="82">
        <f t="shared" si="113"/>
        <v>0</v>
      </c>
      <c r="BV148"/>
      <c r="BW148" s="82">
        <f>IFERROR(INDEX('Infos Clientes'!$T:$T,MATCH('Detalhe Por UC'!$C148,'Infos Clientes'!B:B,0)),"")</f>
        <v>0</v>
      </c>
      <c r="BX148" s="83">
        <f t="shared" si="114"/>
        <v>0</v>
      </c>
      <c r="BY148" s="84" t="str">
        <f t="shared" si="115"/>
        <v/>
      </c>
      <c r="BZ148" s="85">
        <f>IF(_xlfn.MINIFS('Detalhe Por UC'!R:R,'Detalhe Por UC'!C:C,C148,'Detalhe Por UC'!AD:AD,"&gt;"&amp;0)=0,"",_xlfn.MINIFS('Detalhe Por UC'!R:R,'Detalhe Por UC'!C:C,C148,'Detalhe Por UC'!AD:AD,"&gt;"&amp;0))</f>
        <v>45658</v>
      </c>
      <c r="CA148" s="114">
        <f ca="1">IF(OR(S148&gt;0,AD148&gt;0),IFERROR(
SUMIFS(INDIRECT("'Infos Clientes'!$W"&amp;INDEX('Infos Clientes'!$C:$C,MATCH(C148,'Infos Clientes'!$H:$H,0))&amp;":$CZ"&amp;INDEX('Infos Clientes'!$C:$C,MATCH(C148,'Infos Clientes'!$H:$H,0))),'Infos Clientes'!$W$2:$CZ$2,"&gt;"&amp;$R148-365,'Infos Clientes'!$W$2:$CZ$2,"&lt;="&amp;$R148)/
COUNTIFS(INDIRECT("'Infos Clientes'!$W"&amp;INDEX('Infos Clientes'!$C:$C,MATCH(C148,'Infos Clientes'!$H:$H,0))&amp;":$CZ"&amp;INDEX('Infos Clientes'!$C:$C,MATCH(C148,'Infos Clientes'!$H:$H,0))),"&gt;="&amp;0,'Infos Clientes'!$W$2:$CZ$2,"&gt;"&amp;$R148-365,'Infos Clientes'!$W$2:$CZ$2,"&lt;="&amp;$R148),""),"")</f>
        <v>137</v>
      </c>
      <c r="CB148" s="87">
        <f>VLOOKUP(C148,'Infos Clientes'!B:L,11,0)</f>
        <v>0</v>
      </c>
      <c r="CC148" s="88" t="str">
        <f t="shared" si="116"/>
        <v>A Unidade Consumidora 10/150263-2 economizou R$0 na fatura referente à dez/2024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F148" s="115">
        <f t="shared" si="117"/>
        <v>0</v>
      </c>
    </row>
    <row r="149" spans="1:84" s="40" customFormat="1" ht="16.2" hidden="1" customHeight="1" x14ac:dyDescent="0.3">
      <c r="A149" s="105" t="str">
        <f>INDEX('Infos Clientes'!$D:$D,MATCH('Detalhe Por UC'!C149,'Infos Clientes'!B:B,0))</f>
        <v>IGREJA DO EVANGELHO QUADRANGULAR</v>
      </c>
      <c r="B149" s="106" t="str">
        <f>INDEX('Infos Clientes'!$F:$F,MATCH('Detalhe Por UC'!C149,'Infos Clientes'!B:B,0))</f>
        <v>62.955.505/3932-07</v>
      </c>
      <c r="C149" s="44" t="s">
        <v>18</v>
      </c>
      <c r="D149" t="s">
        <v>351</v>
      </c>
      <c r="E149" s="1" t="s">
        <v>352</v>
      </c>
      <c r="F149" s="56" t="str">
        <f>INDEX('Infos Clientes'!$I:$I,MATCH('Detalhe Por UC'!C149,'Infos Clientes'!B:B,0))</f>
        <v>BT</v>
      </c>
      <c r="G149" s="56" t="str">
        <f>INDEX('Infos Clientes'!$J:$J,MATCH('Detalhe Por UC'!C149,'Infos Clientes'!B:B,0))</f>
        <v>bifasico</v>
      </c>
      <c r="H149" s="108" t="s">
        <v>353</v>
      </c>
      <c r="I149" s="58">
        <f>IFERROR(VLOOKUP(C149,'Infos Clientes'!B:E,4,),"")</f>
        <v>302</v>
      </c>
      <c r="J149" s="109">
        <v>0.25</v>
      </c>
      <c r="K149" s="59">
        <f>INDEX('Infos Clientes'!$M:$M,MATCH('Detalhe Por UC'!C149,'Infos Clientes'!B:B,0))</f>
        <v>0.25</v>
      </c>
      <c r="L149" s="125">
        <v>0</v>
      </c>
      <c r="M149" s="56">
        <f>INDEX('Infos Clientes'!$N:$N,MATCH('Detalhe Por UC'!C149,'Infos Clientes'!B:B,0))</f>
        <v>0</v>
      </c>
      <c r="N149" s="56">
        <f t="shared" si="81"/>
        <v>0</v>
      </c>
      <c r="O149" s="56">
        <f t="shared" si="82"/>
        <v>12</v>
      </c>
      <c r="P149" s="56">
        <f t="shared" si="83"/>
        <v>0</v>
      </c>
      <c r="Q149" s="61">
        <f>IFERROR(IFERROR(INDEX('Infos Clientes'!$A$2:$V$9884,MATCH($C149,'Infos Clientes'!$B$2:$B$9884,0),MATCH(Q$8,'Infos Clientes'!$A$2:$V$2,0)),"")
+IF(OR(INDEX('Infos Clientes'!$A$2:$V$9884,MATCH($C149,'Infos Clientes'!$B$2:$B$9884,0),MATCH("Tempo de Fidelidade (meses)",'Infos Clientes'!$A$2:$V$2,0))=0,R149&gt;=MAX(R:R)),0,
ROUND((MAX(R:R)-R149)/(365/12),0)),"")</f>
        <v>0</v>
      </c>
      <c r="R149" s="111">
        <v>45689</v>
      </c>
      <c r="S149" s="112">
        <v>5.0000000000000001E-3</v>
      </c>
      <c r="T149" s="113">
        <f>IF($H149="GIROSSOL II",AP149/INDEX('Resumo Operacional'!$A$1:$P$1103,17,MATCH('Detalhe Por UC'!$R149,'Resumo Operacional'!$A$1:$P$1,0)),
IF($H149="GIROSSOL II e III",AP149/INDEX('Resumo Operacional'!$A$1:$P$1103,17,MATCH('Detalhe Por UC'!$R149,'Resumo Operacional'!$A$1:$P$1,0)),
""))</f>
        <v>1.5629933691190402E-2</v>
      </c>
      <c r="U149" s="113">
        <f>IF($H149="GIROSSOL III",AP149/INDEX('Resumo Operacional'!$A$1:$P$1103,53,MATCH('Detalhe Por UC'!$R149,'Resumo Operacional'!$A$1:$P$1,0)),
IF($H149="GIROSSOL II e III",AP149/INDEX('Resumo Operacional'!$A$1:$P$1103,53,MATCH('Detalhe Por UC'!$R149,'Resumo Operacional'!$A$1:$P$1,0)),
""))</f>
        <v>1.3687266694317711E-2</v>
      </c>
      <c r="V149" s="18"/>
      <c r="W149" s="54"/>
      <c r="X149" s="127">
        <v>1.1162561576354679</v>
      </c>
      <c r="Y149" s="127">
        <v>0</v>
      </c>
      <c r="Z149" s="127">
        <v>1.0643827160493826</v>
      </c>
      <c r="AA149" s="127">
        <v>0</v>
      </c>
      <c r="AB149" s="127">
        <v>203</v>
      </c>
      <c r="AC149" s="127">
        <v>0</v>
      </c>
      <c r="AD149" s="127">
        <v>162</v>
      </c>
      <c r="AE149" s="35"/>
      <c r="AF149" s="127">
        <v>793</v>
      </c>
      <c r="AG149" s="127">
        <v>0</v>
      </c>
      <c r="AH149" s="127">
        <v>42.9</v>
      </c>
      <c r="AI149" s="127">
        <v>0</v>
      </c>
      <c r="AJ149" s="127">
        <v>0</v>
      </c>
      <c r="AK149" s="128"/>
      <c r="AL149"/>
      <c r="AM149"/>
      <c r="AN149" s="71">
        <f t="shared" si="84"/>
        <v>36</v>
      </c>
      <c r="AO149" s="71">
        <f t="shared" si="85"/>
        <v>0</v>
      </c>
      <c r="AP149" s="71">
        <f t="shared" si="86"/>
        <v>198</v>
      </c>
      <c r="AQ149" s="72">
        <f>IF(OR($H149="GIROSSOL II",$H149="GIROSSOL II e III"),INDEX('Resumo Operacional'!$A$1:$P$1103,MATCH("Energia Injetada prevista total Fatura da Usina (TUSD)",'Resumo Operacional'!$B$1:$B$1103,0),MATCH('Detalhe Por UC'!$R149,'Resumo Operacional'!$A$1:$P$1,0))*$S149,INDEX('Resumo Operacional'!$A$1:$P$1103,53,MATCH('Detalhe Por UC'!$R149,'Resumo Operacional'!$A$1:$P$1,0))*$S149)</f>
        <v>63.34</v>
      </c>
      <c r="AR149" s="71">
        <f t="shared" si="87"/>
        <v>134.66</v>
      </c>
      <c r="AS149" s="73">
        <f t="shared" si="88"/>
        <v>97.070000000000022</v>
      </c>
      <c r="AT149" s="74">
        <f t="shared" si="89"/>
        <v>97.070000000000022</v>
      </c>
      <c r="AU149" s="74">
        <f t="shared" si="90"/>
        <v>1.0125092744632973</v>
      </c>
      <c r="AV149" s="74">
        <f t="shared" si="91"/>
        <v>129.32249999999999</v>
      </c>
      <c r="AW149" s="74">
        <f t="shared" si="92"/>
        <v>0</v>
      </c>
      <c r="AX149" s="74">
        <f t="shared" si="93"/>
        <v>172.42999999999998</v>
      </c>
      <c r="AY149" s="74">
        <f t="shared" si="94"/>
        <v>129.32</v>
      </c>
      <c r="AZ149" s="49">
        <v>129.32</v>
      </c>
      <c r="BA149" s="49">
        <v>129.32</v>
      </c>
      <c r="BB149" s="49">
        <v>129.32</v>
      </c>
      <c r="BC149" s="73" t="str">
        <f t="shared" si="95"/>
        <v/>
      </c>
      <c r="BD149" s="73">
        <f t="shared" si="96"/>
        <v>269.5</v>
      </c>
      <c r="BE149" s="73">
        <f t="shared" si="97"/>
        <v>226.39250000000001</v>
      </c>
      <c r="BF149" s="77">
        <f t="shared" si="98"/>
        <v>43.11</v>
      </c>
      <c r="BG149" s="77">
        <f t="shared" si="99"/>
        <v>12.933</v>
      </c>
      <c r="BH149" s="77">
        <f t="shared" si="100"/>
        <v>172.42999999999998</v>
      </c>
      <c r="BI149" s="78">
        <f t="shared" si="101"/>
        <v>0.25</v>
      </c>
      <c r="BJ149" s="79">
        <f t="shared" si="102"/>
        <v>0.15996289424860854</v>
      </c>
      <c r="BK149" s="80">
        <f t="shared" si="103"/>
        <v>226.39000000000001</v>
      </c>
      <c r="BL149" s="80">
        <f t="shared" si="104"/>
        <v>43.109999999999985</v>
      </c>
      <c r="BM149" s="79">
        <f t="shared" si="105"/>
        <v>0.15996289424860849</v>
      </c>
      <c r="BN149" s="81">
        <f t="shared" si="106"/>
        <v>0.79827160493827154</v>
      </c>
      <c r="BO149" s="82">
        <f t="shared" si="107"/>
        <v>129.32</v>
      </c>
      <c r="BP149" s="81">
        <f t="shared" si="108"/>
        <v>0.79827160493827154</v>
      </c>
      <c r="BQ149" s="81">
        <f t="shared" si="109"/>
        <v>0.85014504652435685</v>
      </c>
      <c r="BR149" s="81">
        <f t="shared" si="110"/>
        <v>1.1162561576354679</v>
      </c>
      <c r="BS149" s="82">
        <f t="shared" si="111"/>
        <v>162</v>
      </c>
      <c r="BT149" s="82">
        <f t="shared" si="112"/>
        <v>180.8334975369458</v>
      </c>
      <c r="BU149" s="82">
        <f t="shared" si="113"/>
        <v>172.42999999999998</v>
      </c>
      <c r="BV149"/>
      <c r="BW149" s="82">
        <f>IFERROR(INDEX('Infos Clientes'!$T:$T,MATCH('Detalhe Por UC'!$C149,'Infos Clientes'!B:B,0)),"")</f>
        <v>99.833333333333329</v>
      </c>
      <c r="BX149" s="83">
        <f t="shared" si="114"/>
        <v>0</v>
      </c>
      <c r="BY149" s="84">
        <f t="shared" si="115"/>
        <v>0.2383960968912425</v>
      </c>
      <c r="BZ149" s="85">
        <f>IF(_xlfn.MINIFS('Detalhe Por UC'!R:R,'Detalhe Por UC'!C:C,C149,'Detalhe Por UC'!AD:AD,"&gt;"&amp;0)=0,"",_xlfn.MINIFS('Detalhe Por UC'!R:R,'Detalhe Por UC'!C:C,C149,'Detalhe Por UC'!AD:AD,"&gt;"&amp;0))</f>
        <v>45627</v>
      </c>
      <c r="CA149" s="114">
        <f ca="1">IF(OR(S149&gt;0,AD149&gt;0),IFERROR(
SUMIFS(INDIRECT("'Infos Clientes'!$W"&amp;INDEX('Infos Clientes'!$C:$C,MATCH(C149,'Infos Clientes'!$H:$H,0))&amp;":$CZ"&amp;INDEX('Infos Clientes'!$C:$C,MATCH(C149,'Infos Clientes'!$H:$H,0))),'Infos Clientes'!$W$2:$CZ$2,"&gt;"&amp;$R149-365,'Infos Clientes'!$W$2:$CZ$2,"&lt;="&amp;$R149)/
COUNTIFS(INDIRECT("'Infos Clientes'!$W"&amp;INDEX('Infos Clientes'!$C:$C,MATCH(C149,'Infos Clientes'!$H:$H,0))&amp;":$CZ"&amp;INDEX('Infos Clientes'!$C:$C,MATCH(C149,'Infos Clientes'!$H:$H,0))),"&gt;="&amp;0,'Infos Clientes'!$W$2:$CZ$2,"&gt;"&amp;$R149-365,'Infos Clientes'!$W$2:$CZ$2,"&lt;="&amp;$R149),""),"")</f>
        <v>110.25</v>
      </c>
      <c r="CB149" s="87">
        <f>VLOOKUP(C149,'Infos Clientes'!B:L,11,0)</f>
        <v>0</v>
      </c>
      <c r="CC149" s="88" t="str">
        <f t="shared" si="116"/>
        <v>A Unidade Consumidora 10/10232-7 economizou R$43,11 na fatura referente à fev/2025  consumindo 162 kWh em créditos de energia renovável conforme fatura de energia. A economia foi de 25% em relação ao que seria pago para a Energisa considerando os créditos consumidos. Atenção: Mantenha as contas da Energisa em dia para evitar cortes.</v>
      </c>
      <c r="CD149" s="40" t="s">
        <v>21</v>
      </c>
      <c r="CF149" s="115">
        <f t="shared" si="117"/>
        <v>-97.070000000000022</v>
      </c>
    </row>
    <row r="150" spans="1:84" s="40" customFormat="1" ht="16.2" hidden="1" customHeight="1" x14ac:dyDescent="0.3">
      <c r="A150" s="105" t="str">
        <f>INDEX('Infos Clientes'!$D:$D,MATCH('Detalhe Por UC'!C150,'Infos Clientes'!B:B,0))</f>
        <v>IGREJA DO EVANGELHO QUADRANGULAR</v>
      </c>
      <c r="B150" s="106" t="str">
        <f>INDEX('Infos Clientes'!$F:$F,MATCH('Detalhe Por UC'!C150,'Infos Clientes'!B:B,0))</f>
        <v>62.955.505/1822-57</v>
      </c>
      <c r="C150" s="44" t="s">
        <v>25</v>
      </c>
      <c r="D150" t="s">
        <v>351</v>
      </c>
      <c r="E150" s="1" t="s">
        <v>352</v>
      </c>
      <c r="F150" s="56" t="str">
        <f>INDEX('Infos Clientes'!$I:$I,MATCH('Detalhe Por UC'!C150,'Infos Clientes'!B:B,0))</f>
        <v>BT</v>
      </c>
      <c r="G150" s="56" t="str">
        <f>INDEX('Infos Clientes'!$J:$J,MATCH('Detalhe Por UC'!C150,'Infos Clientes'!B:B,0))</f>
        <v>trifasico</v>
      </c>
      <c r="H150" s="108" t="s">
        <v>353</v>
      </c>
      <c r="I150" s="58">
        <f>IFERROR(VLOOKUP(C150,'Infos Clientes'!B:E,4,),"")</f>
        <v>319</v>
      </c>
      <c r="J150" s="109">
        <v>0.25</v>
      </c>
      <c r="K150" s="59">
        <f>INDEX('Infos Clientes'!$M:$M,MATCH('Detalhe Por UC'!C150,'Infos Clientes'!B:B,0))</f>
        <v>0.25</v>
      </c>
      <c r="L150" s="125">
        <v>0</v>
      </c>
      <c r="M150" s="56">
        <f>INDEX('Infos Clientes'!$N:$N,MATCH('Detalhe Por UC'!C150,'Infos Clientes'!B:B,0))</f>
        <v>0</v>
      </c>
      <c r="N150" s="56">
        <f t="shared" si="81"/>
        <v>0</v>
      </c>
      <c r="O150" s="56">
        <f t="shared" si="82"/>
        <v>12</v>
      </c>
      <c r="P150" s="56">
        <f t="shared" si="83"/>
        <v>0</v>
      </c>
      <c r="Q150" s="61">
        <f>IFERROR(IFERROR(INDEX('Infos Clientes'!$A$2:$V$9884,MATCH($C150,'Infos Clientes'!$B$2:$B$9884,0),MATCH(Q$8,'Infos Clientes'!$A$2:$V$2,0)),"")
+IF(OR(INDEX('Infos Clientes'!$A$2:$V$9884,MATCH($C150,'Infos Clientes'!$B$2:$B$9884,0),MATCH("Tempo de Fidelidade (meses)",'Infos Clientes'!$A$2:$V$2,0))=0,R150&gt;=MAX(R:R)),0,
ROUND((MAX(R:R)-R150)/(365/12),0)),"")</f>
        <v>0</v>
      </c>
      <c r="R150" s="111">
        <v>45689</v>
      </c>
      <c r="S150" s="112">
        <v>0.06</v>
      </c>
      <c r="T150" s="113">
        <f>IF($H150="GIROSSOL II",AP150/INDEX('Resumo Operacional'!$A$1:$P$1103,17,MATCH('Detalhe Por UC'!$R150,'Resumo Operacional'!$A$1:$P$1,0)),
IF($H150="GIROSSOL II e III",AP150/INDEX('Resumo Operacional'!$A$1:$P$1103,17,MATCH('Detalhe Por UC'!$R150,'Resumo Operacional'!$A$1:$P$1,0)),
""))</f>
        <v>8.8411746131986102E-2</v>
      </c>
      <c r="U150" s="113">
        <f>IF($H150="GIROSSOL III",AP150/INDEX('Resumo Operacional'!$A$1:$P$1103,53,MATCH('Detalhe Por UC'!$R150,'Resumo Operacional'!$A$1:$P$1,0)),
IF($H150="GIROSSOL II e III",AP150/INDEX('Resumo Operacional'!$A$1:$P$1103,53,MATCH('Detalhe Por UC'!$R150,'Resumo Operacional'!$A$1:$P$1,0)),
""))</f>
        <v>7.7422922715332507E-2</v>
      </c>
      <c r="V150" s="18"/>
      <c r="W150" s="54"/>
      <c r="X150" s="127">
        <v>1.1162586605080831</v>
      </c>
      <c r="Y150" s="127">
        <v>0</v>
      </c>
      <c r="Z150" s="127">
        <v>1.0061154855643046</v>
      </c>
      <c r="AA150" s="127">
        <v>0</v>
      </c>
      <c r="AB150" s="127">
        <v>433</v>
      </c>
      <c r="AC150" s="127">
        <v>0</v>
      </c>
      <c r="AD150" s="127">
        <v>381</v>
      </c>
      <c r="AE150" s="35"/>
      <c r="AF150" s="127">
        <v>1508</v>
      </c>
      <c r="AG150" s="127">
        <v>0</v>
      </c>
      <c r="AH150" s="127">
        <v>73.8</v>
      </c>
      <c r="AI150" s="127">
        <v>0</v>
      </c>
      <c r="AJ150" s="127">
        <v>0</v>
      </c>
      <c r="AK150" s="31"/>
      <c r="AL150"/>
      <c r="AM150"/>
      <c r="AN150" s="71">
        <f t="shared" si="84"/>
        <v>739</v>
      </c>
      <c r="AO150" s="71">
        <f t="shared" si="85"/>
        <v>0</v>
      </c>
      <c r="AP150" s="71">
        <f t="shared" si="86"/>
        <v>1120</v>
      </c>
      <c r="AQ150" s="72">
        <f>IF(OR($H150="GIROSSOL II",$H150="GIROSSOL II e III"),INDEX('Resumo Operacional'!$A$1:$P$1103,MATCH("Energia Injetada prevista total Fatura da Usina (TUSD)",'Resumo Operacional'!$B$1:$B$1103,0),MATCH('Detalhe Por UC'!$R150,'Resumo Operacional'!$A$1:$P$1,0))*$S150,INDEX('Resumo Operacional'!$A$1:$P$1103,53,MATCH('Detalhe Por UC'!$R150,'Resumo Operacional'!$A$1:$P$1,0))*$S150)</f>
        <v>760.07999999999993</v>
      </c>
      <c r="AR150" s="71">
        <f t="shared" si="87"/>
        <v>359.92000000000007</v>
      </c>
      <c r="AS150" s="73">
        <f t="shared" si="88"/>
        <v>173.80999999999995</v>
      </c>
      <c r="AT150" s="74">
        <f t="shared" si="89"/>
        <v>173.80999999999995</v>
      </c>
      <c r="AU150" s="74">
        <f t="shared" si="90"/>
        <v>0.89597231062052618</v>
      </c>
      <c r="AV150" s="74">
        <f t="shared" si="91"/>
        <v>287.49750000000006</v>
      </c>
      <c r="AW150" s="74">
        <f t="shared" si="92"/>
        <v>0</v>
      </c>
      <c r="AX150" s="74">
        <f t="shared" si="93"/>
        <v>383.33000000000004</v>
      </c>
      <c r="AY150" s="74">
        <f t="shared" si="94"/>
        <v>287.5</v>
      </c>
      <c r="AZ150" s="49">
        <v>287.5</v>
      </c>
      <c r="BA150" s="49">
        <v>287.5</v>
      </c>
      <c r="BB150" s="49">
        <v>287.5</v>
      </c>
      <c r="BC150" s="73" t="str">
        <f t="shared" si="95"/>
        <v/>
      </c>
      <c r="BD150" s="73">
        <f t="shared" si="96"/>
        <v>557.14</v>
      </c>
      <c r="BE150" s="73">
        <f t="shared" si="97"/>
        <v>461.3075</v>
      </c>
      <c r="BF150" s="77">
        <f t="shared" si="98"/>
        <v>95.83</v>
      </c>
      <c r="BG150" s="77">
        <f t="shared" si="99"/>
        <v>28.748999999999999</v>
      </c>
      <c r="BH150" s="77">
        <f t="shared" si="100"/>
        <v>383.3300000000001</v>
      </c>
      <c r="BI150" s="78">
        <f t="shared" si="101"/>
        <v>0.25</v>
      </c>
      <c r="BJ150" s="79">
        <f t="shared" si="102"/>
        <v>0.17200344617151883</v>
      </c>
      <c r="BK150" s="80">
        <f t="shared" si="103"/>
        <v>461.30999999999995</v>
      </c>
      <c r="BL150" s="80">
        <f t="shared" si="104"/>
        <v>95.830000000000041</v>
      </c>
      <c r="BM150" s="79">
        <f t="shared" si="105"/>
        <v>0.17200344617151891</v>
      </c>
      <c r="BN150" s="81">
        <f t="shared" si="106"/>
        <v>0.75459317585301833</v>
      </c>
      <c r="BO150" s="82">
        <f t="shared" si="107"/>
        <v>287.5</v>
      </c>
      <c r="BP150" s="81">
        <f t="shared" si="108"/>
        <v>0.75459317585301833</v>
      </c>
      <c r="BQ150" s="81">
        <f t="shared" si="109"/>
        <v>0.86473635079679678</v>
      </c>
      <c r="BR150" s="81">
        <f t="shared" si="110"/>
        <v>1.1162586605080831</v>
      </c>
      <c r="BS150" s="82">
        <f t="shared" si="111"/>
        <v>381</v>
      </c>
      <c r="BT150" s="82">
        <f t="shared" si="112"/>
        <v>425.29454965357968</v>
      </c>
      <c r="BU150" s="82">
        <f t="shared" si="113"/>
        <v>383.33000000000004</v>
      </c>
      <c r="BV150"/>
      <c r="BW150" s="82">
        <f>IFERROR(INDEX('Infos Clientes'!$T:$T,MATCH('Detalhe Por UC'!$C150,'Infos Clientes'!B:B,0)),"")</f>
        <v>453.58333333333331</v>
      </c>
      <c r="BX150" s="83">
        <f t="shared" si="114"/>
        <v>0</v>
      </c>
      <c r="BY150" s="84">
        <f t="shared" si="115"/>
        <v>0.22532618882150654</v>
      </c>
      <c r="BZ150" s="85">
        <f>IF(_xlfn.MINIFS('Detalhe Por UC'!R:R,'Detalhe Por UC'!C:C,C150,'Detalhe Por UC'!AD:AD,"&gt;"&amp;0)=0,"",_xlfn.MINIFS('Detalhe Por UC'!R:R,'Detalhe Por UC'!C:C,C150,'Detalhe Por UC'!AD:AD,"&gt;"&amp;0))</f>
        <v>45627</v>
      </c>
      <c r="CA150" s="114">
        <f ca="1">IF(OR(S150&gt;0,AD150&gt;0),IFERROR(
SUMIFS(INDIRECT("'Infos Clientes'!$W"&amp;INDEX('Infos Clientes'!$C:$C,MATCH(C150,'Infos Clientes'!$H:$H,0))&amp;":$CZ"&amp;INDEX('Infos Clientes'!$C:$C,MATCH(C150,'Infos Clientes'!$H:$H,0))),'Infos Clientes'!$W$2:$CZ$2,"&gt;"&amp;$R150-365,'Infos Clientes'!$W$2:$CZ$2,"&lt;="&amp;$R150)/
COUNTIFS(INDIRECT("'Infos Clientes'!$W"&amp;INDEX('Infos Clientes'!$C:$C,MATCH(C150,'Infos Clientes'!$H:$H,0))&amp;":$CZ"&amp;INDEX('Infos Clientes'!$C:$C,MATCH(C150,'Infos Clientes'!$H:$H,0))),"&gt;="&amp;0,'Infos Clientes'!$W$2:$CZ$2,"&gt;"&amp;$R150-365,'Infos Clientes'!$W$2:$CZ$2,"&lt;="&amp;$R150),""),"")</f>
        <v>440.41666666666669</v>
      </c>
      <c r="CB150" s="87">
        <f>VLOOKUP(C150,'Infos Clientes'!B:L,11,0)</f>
        <v>0</v>
      </c>
      <c r="CC150" s="88" t="str">
        <f t="shared" si="116"/>
        <v>A Unidade Consumidora 10/1035655-8 economizou R$95,83 na fatura referente à fev/2025  consumindo 381 kWh em créditos de energia renovável conforme fatura de energia. A economia foi de 25% em relação ao que seria pago para a Energisa considerando os créditos consumidos. Atenção: Mantenha as contas da Energisa em dia para evitar cortes.</v>
      </c>
      <c r="CD150" s="40" t="s">
        <v>27</v>
      </c>
      <c r="CF150" s="115">
        <f t="shared" si="117"/>
        <v>-173.80999999999995</v>
      </c>
    </row>
    <row r="151" spans="1:84" s="40" customFormat="1" ht="16.2" hidden="1" customHeight="1" x14ac:dyDescent="0.3">
      <c r="A151" s="105" t="str">
        <f>INDEX('Infos Clientes'!$D:$D,MATCH('Detalhe Por UC'!C151,'Infos Clientes'!B:B,0))</f>
        <v>IGREJA DO EVANGELHO QUADRANGULAR</v>
      </c>
      <c r="B151" s="106" t="str">
        <f>INDEX('Infos Clientes'!$F:$F,MATCH('Detalhe Por UC'!C151,'Infos Clientes'!B:B,0))</f>
        <v>62.955.505/8921-14</v>
      </c>
      <c r="C151" s="44" t="s">
        <v>29</v>
      </c>
      <c r="D151" t="s">
        <v>351</v>
      </c>
      <c r="E151" s="1" t="s">
        <v>352</v>
      </c>
      <c r="F151" s="56" t="str">
        <f>INDEX('Infos Clientes'!$I:$I,MATCH('Detalhe Por UC'!C151,'Infos Clientes'!B:B,0))</f>
        <v>BT</v>
      </c>
      <c r="G151" s="56" t="str">
        <f>INDEX('Infos Clientes'!$J:$J,MATCH('Detalhe Por UC'!C151,'Infos Clientes'!B:B,0))</f>
        <v>trifasico</v>
      </c>
      <c r="H151" s="108" t="s">
        <v>353</v>
      </c>
      <c r="I151" s="58">
        <f>IFERROR(VLOOKUP(C151,'Infos Clientes'!B:E,4,),"")</f>
        <v>362</v>
      </c>
      <c r="J151" s="109">
        <v>0.25</v>
      </c>
      <c r="K151" s="59">
        <f>INDEX('Infos Clientes'!$M:$M,MATCH('Detalhe Por UC'!C151,'Infos Clientes'!B:B,0))</f>
        <v>0.25</v>
      </c>
      <c r="L151" s="125">
        <v>0</v>
      </c>
      <c r="M151" s="56">
        <f>INDEX('Infos Clientes'!$N:$N,MATCH('Detalhe Por UC'!C151,'Infos Clientes'!B:B,0))</f>
        <v>0</v>
      </c>
      <c r="N151" s="56">
        <f t="shared" si="81"/>
        <v>0</v>
      </c>
      <c r="O151" s="56">
        <f t="shared" si="82"/>
        <v>12</v>
      </c>
      <c r="P151" s="56">
        <f t="shared" si="83"/>
        <v>0</v>
      </c>
      <c r="Q151" s="61">
        <f>IFERROR(IFERROR(INDEX('Infos Clientes'!$A$2:$V$9884,MATCH($C151,'Infos Clientes'!$B$2:$B$9884,0),MATCH(Q$8,'Infos Clientes'!$A$2:$V$2,0)),"")
+IF(OR(INDEX('Infos Clientes'!$A$2:$V$9884,MATCH($C151,'Infos Clientes'!$B$2:$B$9884,0),MATCH("Tempo de Fidelidade (meses)",'Infos Clientes'!$A$2:$V$2,0))=0,R151&gt;=MAX(R:R)),0,
ROUND((MAX(R:R)-R151)/(365/12),0)),"")</f>
        <v>0</v>
      </c>
      <c r="R151" s="111">
        <v>45689</v>
      </c>
      <c r="S151" s="112">
        <v>5.0000000000000001E-3</v>
      </c>
      <c r="T151" s="113">
        <f>IF($H151="GIROSSOL II",AP151/INDEX('Resumo Operacional'!$A$1:$P$1103,17,MATCH('Detalhe Por UC'!$R151,'Resumo Operacional'!$A$1:$P$1,0)),
IF($H151="GIROSSOL II e III",AP151/INDEX('Resumo Operacional'!$A$1:$P$1103,17,MATCH('Detalhe Por UC'!$R151,'Resumo Operacional'!$A$1:$P$1,0)),
""))</f>
        <v>1.5629933691190402E-2</v>
      </c>
      <c r="U151" s="113">
        <f>IF($H151="GIROSSOL III",AP151/INDEX('Resumo Operacional'!$A$1:$P$1103,53,MATCH('Detalhe Por UC'!$R151,'Resumo Operacional'!$A$1:$P$1,0)),
IF($H151="GIROSSOL II e III",AP151/INDEX('Resumo Operacional'!$A$1:$P$1103,53,MATCH('Detalhe Por UC'!$R151,'Resumo Operacional'!$A$1:$P$1,0)),
""))</f>
        <v>1.3687266694317711E-2</v>
      </c>
      <c r="V151" s="18"/>
      <c r="W151" s="54"/>
      <c r="X151" s="127">
        <v>1.1162573099415205</v>
      </c>
      <c r="Y151" s="127">
        <v>0</v>
      </c>
      <c r="Z151" s="127">
        <v>1.0650666666666666</v>
      </c>
      <c r="AA151" s="127">
        <v>0</v>
      </c>
      <c r="AB151" s="127">
        <v>171</v>
      </c>
      <c r="AC151" s="127">
        <v>0</v>
      </c>
      <c r="AD151" s="127">
        <v>75</v>
      </c>
      <c r="AE151" s="35"/>
      <c r="AF151" s="127">
        <v>561</v>
      </c>
      <c r="AG151" s="127">
        <v>0</v>
      </c>
      <c r="AH151" s="127">
        <v>36.770000000000003</v>
      </c>
      <c r="AI151" s="127">
        <v>0</v>
      </c>
      <c r="AJ151" s="127">
        <v>0</v>
      </c>
      <c r="AK151" s="31"/>
      <c r="AL151"/>
      <c r="AM151"/>
      <c r="AN151" s="71">
        <f t="shared" si="84"/>
        <v>123</v>
      </c>
      <c r="AO151" s="71">
        <f t="shared" si="85"/>
        <v>0</v>
      </c>
      <c r="AP151" s="71">
        <f t="shared" si="86"/>
        <v>198</v>
      </c>
      <c r="AQ151" s="72">
        <f>IF(OR($H151="GIROSSOL II",$H151="GIROSSOL II e III"),INDEX('Resumo Operacional'!$A$1:$P$1103,MATCH("Energia Injetada prevista total Fatura da Usina (TUSD)",'Resumo Operacional'!$B$1:$B$1103,0),MATCH('Detalhe Por UC'!$R151,'Resumo Operacional'!$A$1:$P$1,0))*$S151,INDEX('Resumo Operacional'!$A$1:$P$1103,53,MATCH('Detalhe Por UC'!$R151,'Resumo Operacional'!$A$1:$P$1,0))*$S151)</f>
        <v>63.34</v>
      </c>
      <c r="AR151" s="71">
        <f t="shared" si="87"/>
        <v>134.66</v>
      </c>
      <c r="AS151" s="73">
        <f t="shared" si="88"/>
        <v>147.77000000000001</v>
      </c>
      <c r="AT151" s="74">
        <f t="shared" si="89"/>
        <v>147.77000000000001</v>
      </c>
      <c r="AU151" s="74">
        <f t="shared" si="90"/>
        <v>1.0138760233918127</v>
      </c>
      <c r="AV151" s="74">
        <f t="shared" si="91"/>
        <v>59.91</v>
      </c>
      <c r="AW151" s="74">
        <f t="shared" si="92"/>
        <v>0</v>
      </c>
      <c r="AX151" s="74">
        <f t="shared" si="93"/>
        <v>79.88</v>
      </c>
      <c r="AY151" s="74">
        <f t="shared" si="94"/>
        <v>59.91</v>
      </c>
      <c r="AZ151" s="49">
        <v>59.91</v>
      </c>
      <c r="BA151" s="49">
        <v>59.91</v>
      </c>
      <c r="BB151" s="49">
        <v>59.91</v>
      </c>
      <c r="BC151" s="73" t="str">
        <f t="shared" si="95"/>
        <v/>
      </c>
      <c r="BD151" s="73">
        <f t="shared" si="96"/>
        <v>227.65</v>
      </c>
      <c r="BE151" s="73">
        <f t="shared" si="97"/>
        <v>207.68</v>
      </c>
      <c r="BF151" s="77">
        <f t="shared" si="98"/>
        <v>19.97</v>
      </c>
      <c r="BG151" s="77">
        <f t="shared" si="99"/>
        <v>5.9909999999999997</v>
      </c>
      <c r="BH151" s="77">
        <f t="shared" si="100"/>
        <v>79.88</v>
      </c>
      <c r="BI151" s="78">
        <f t="shared" si="101"/>
        <v>0.25</v>
      </c>
      <c r="BJ151" s="79">
        <f t="shared" si="102"/>
        <v>8.7722380847792658E-2</v>
      </c>
      <c r="BK151" s="80">
        <f t="shared" si="103"/>
        <v>207.68</v>
      </c>
      <c r="BL151" s="80">
        <f t="shared" si="104"/>
        <v>19.97</v>
      </c>
      <c r="BM151" s="79">
        <f t="shared" si="105"/>
        <v>8.7722380847792658E-2</v>
      </c>
      <c r="BN151" s="81">
        <f t="shared" si="106"/>
        <v>0.79879999999999995</v>
      </c>
      <c r="BO151" s="82">
        <f t="shared" si="107"/>
        <v>59.91</v>
      </c>
      <c r="BP151" s="81">
        <f t="shared" si="108"/>
        <v>0.79879999999999995</v>
      </c>
      <c r="BQ151" s="81">
        <f t="shared" si="109"/>
        <v>0.84999064327485385</v>
      </c>
      <c r="BR151" s="81">
        <f t="shared" si="110"/>
        <v>1.1162573099415205</v>
      </c>
      <c r="BS151" s="82">
        <f t="shared" si="111"/>
        <v>75</v>
      </c>
      <c r="BT151" s="82">
        <f t="shared" si="112"/>
        <v>83.719298245614041</v>
      </c>
      <c r="BU151" s="82">
        <f t="shared" si="113"/>
        <v>79.88</v>
      </c>
      <c r="BV151"/>
      <c r="BW151" s="82">
        <f>IFERROR(INDEX('Infos Clientes'!$T:$T,MATCH('Detalhe Por UC'!$C151,'Infos Clientes'!B:B,0)),"")</f>
        <v>178.41666666666666</v>
      </c>
      <c r="BX151" s="83">
        <f t="shared" si="114"/>
        <v>0</v>
      </c>
      <c r="BY151" s="84">
        <f t="shared" si="115"/>
        <v>0.23853520536462697</v>
      </c>
      <c r="BZ151" s="85">
        <f>IF(_xlfn.MINIFS('Detalhe Por UC'!R:R,'Detalhe Por UC'!C:C,C151,'Detalhe Por UC'!AD:AD,"&gt;"&amp;0)=0,"",_xlfn.MINIFS('Detalhe Por UC'!R:R,'Detalhe Por UC'!C:C,C151,'Detalhe Por UC'!AD:AD,"&gt;"&amp;0))</f>
        <v>45627</v>
      </c>
      <c r="CA151" s="114">
        <f ca="1">IF(OR(S151&gt;0,AD151&gt;0),IFERROR(
SUMIFS(INDIRECT("'Infos Clientes'!$W"&amp;INDEX('Infos Clientes'!$C:$C,MATCH(C151,'Infos Clientes'!$H:$H,0))&amp;":$CZ"&amp;INDEX('Infos Clientes'!$C:$C,MATCH(C151,'Infos Clientes'!$H:$H,0))),'Infos Clientes'!$W$2:$CZ$2,"&gt;"&amp;$R151-365,'Infos Clientes'!$W$2:$CZ$2,"&lt;="&amp;$R151)/
COUNTIFS(INDIRECT("'Infos Clientes'!$W"&amp;INDEX('Infos Clientes'!$C:$C,MATCH(C151,'Infos Clientes'!$H:$H,0))&amp;":$CZ"&amp;INDEX('Infos Clientes'!$C:$C,MATCH(C151,'Infos Clientes'!$H:$H,0))),"&gt;="&amp;0,'Infos Clientes'!$W$2:$CZ$2,"&gt;"&amp;$R151-365,'Infos Clientes'!$W$2:$CZ$2,"&lt;="&amp;$R151),""),"")</f>
        <v>179.25</v>
      </c>
      <c r="CB151" s="87">
        <f>VLOOKUP(C151,'Infos Clientes'!B:L,11,0)</f>
        <v>0</v>
      </c>
      <c r="CC151" s="88" t="str">
        <f t="shared" si="116"/>
        <v>A Unidade Consumidora 10/1117293-9 economizou R$19,97 na fatura referente à fev/2025  consumindo 75 kWh em créditos de energia renovável conforme fatura de energia. A economia foi de 25% em relação ao que seria pago para a Energisa considerando os créditos consumidos. Atenção: Mantenha as contas da Energisa em dia para evitar cortes.</v>
      </c>
      <c r="CD151" s="40" t="s">
        <v>31</v>
      </c>
      <c r="CF151" s="115">
        <f t="shared" si="117"/>
        <v>-147.77000000000001</v>
      </c>
    </row>
    <row r="152" spans="1:84" s="40" customFormat="1" ht="16.2" hidden="1" customHeight="1" x14ac:dyDescent="0.3">
      <c r="A152" s="105" t="str">
        <f>INDEX('Infos Clientes'!$D:$D,MATCH('Detalhe Por UC'!C152,'Infos Clientes'!B:B,0))</f>
        <v>IGREJA DO EVANGELHO QUADRANGULAR</v>
      </c>
      <c r="B152" s="106" t="str">
        <f>INDEX('Infos Clientes'!$F:$F,MATCH('Detalhe Por UC'!C152,'Infos Clientes'!B:B,0))</f>
        <v>62.955.505/0156-01</v>
      </c>
      <c r="C152" s="44" t="s">
        <v>32</v>
      </c>
      <c r="D152" t="s">
        <v>351</v>
      </c>
      <c r="E152" s="1" t="s">
        <v>352</v>
      </c>
      <c r="F152" s="56" t="str">
        <f>INDEX('Infos Clientes'!$I:$I,MATCH('Detalhe Por UC'!C152,'Infos Clientes'!B:B,0))</f>
        <v>BT</v>
      </c>
      <c r="G152" s="56" t="str">
        <f>INDEX('Infos Clientes'!$J:$J,MATCH('Detalhe Por UC'!C152,'Infos Clientes'!B:B,0))</f>
        <v>trifasico</v>
      </c>
      <c r="H152" s="108" t="s">
        <v>24</v>
      </c>
      <c r="I152" s="58">
        <f>IFERROR(VLOOKUP(C152,'Infos Clientes'!B:E,4,),"")</f>
        <v>319</v>
      </c>
      <c r="J152" s="109">
        <v>0.25</v>
      </c>
      <c r="K152" s="59">
        <f>INDEX('Infos Clientes'!$M:$M,MATCH('Detalhe Por UC'!C152,'Infos Clientes'!B:B,0))</f>
        <v>0.25</v>
      </c>
      <c r="L152" s="125">
        <v>0</v>
      </c>
      <c r="M152" s="56">
        <f>INDEX('Infos Clientes'!$N:$N,MATCH('Detalhe Por UC'!C152,'Infos Clientes'!B:B,0))</f>
        <v>0</v>
      </c>
      <c r="N152" s="56">
        <f t="shared" si="81"/>
        <v>0</v>
      </c>
      <c r="O152" s="56">
        <f t="shared" si="82"/>
        <v>9</v>
      </c>
      <c r="P152" s="56">
        <f t="shared" si="83"/>
        <v>0</v>
      </c>
      <c r="Q152" s="61">
        <f>IFERROR(IFERROR(INDEX('Infos Clientes'!$A$2:$V$9884,MATCH($C152,'Infos Clientes'!$B$2:$B$9884,0),MATCH(Q$8,'Infos Clientes'!$A$2:$V$2,0)),"")
+IF(OR(INDEX('Infos Clientes'!$A$2:$V$9884,MATCH($C152,'Infos Clientes'!$B$2:$B$9884,0),MATCH("Tempo de Fidelidade (meses)",'Infos Clientes'!$A$2:$V$2,0))=0,R152&gt;=MAX(R:R)),0,
ROUND((MAX(R:R)-R152)/(365/12),0)),"")</f>
        <v>0</v>
      </c>
      <c r="R152" s="111">
        <v>45689</v>
      </c>
      <c r="S152" s="112">
        <v>0</v>
      </c>
      <c r="T152" s="113">
        <f>IF($H152="GIROSSOL II",AP152/INDEX('Resumo Operacional'!$A$1:$P$1103,17,MATCH('Detalhe Por UC'!$R152,'Resumo Operacional'!$A$1:$P$1,0)),
IF($H152="GIROSSOL II e III",AP152/INDEX('Resumo Operacional'!$A$1:$P$1103,17,MATCH('Detalhe Por UC'!$R152,'Resumo Operacional'!$A$1:$P$1,0)),
""))</f>
        <v>1.089359014840543E-2</v>
      </c>
      <c r="U152" s="113" t="str">
        <f>IF($H152="GIROSSOL III",AP152/INDEX('Resumo Operacional'!$A$1:$P$1103,53,MATCH('Detalhe Por UC'!$R152,'Resumo Operacional'!$A$1:$P$1,0)),
IF($H152="GIROSSOL II e III",AP152/INDEX('Resumo Operacional'!$A$1:$P$1103,53,MATCH('Detalhe Por UC'!$R152,'Resumo Operacional'!$A$1:$P$1,0)),
""))</f>
        <v/>
      </c>
      <c r="V152" s="18"/>
      <c r="W152" s="54"/>
      <c r="X152" s="127">
        <v>1.1162654320987655</v>
      </c>
      <c r="Y152" s="127">
        <v>0</v>
      </c>
      <c r="Z152" s="127">
        <v>1.116231884057971</v>
      </c>
      <c r="AA152" s="127">
        <v>0</v>
      </c>
      <c r="AB152" s="127">
        <v>324</v>
      </c>
      <c r="AC152" s="127">
        <v>0</v>
      </c>
      <c r="AD152" s="127">
        <v>138</v>
      </c>
      <c r="AE152" s="35"/>
      <c r="AF152" s="127">
        <v>0</v>
      </c>
      <c r="AG152" s="127">
        <v>0</v>
      </c>
      <c r="AH152" s="127">
        <v>32.979999999999997</v>
      </c>
      <c r="AI152" s="127">
        <v>0</v>
      </c>
      <c r="AJ152" s="127">
        <v>0</v>
      </c>
      <c r="AK152" s="31"/>
      <c r="AL152"/>
      <c r="AM152"/>
      <c r="AN152" s="71">
        <f t="shared" si="84"/>
        <v>0</v>
      </c>
      <c r="AO152" s="71">
        <f t="shared" si="85"/>
        <v>0</v>
      </c>
      <c r="AP152" s="71">
        <f t="shared" si="86"/>
        <v>138</v>
      </c>
      <c r="AQ152" s="72">
        <f>IF(OR($H152="GIROSSOL II",$H152="GIROSSOL II e III"),INDEX('Resumo Operacional'!$A$1:$P$1103,MATCH("Energia Injetada prevista total Fatura da Usina (TUSD)",'Resumo Operacional'!$B$1:$B$1103,0),MATCH('Detalhe Por UC'!$R152,'Resumo Operacional'!$A$1:$P$1,0))*$S152,INDEX('Resumo Operacional'!$A$1:$P$1103,53,MATCH('Detalhe Por UC'!$R152,'Resumo Operacional'!$A$1:$P$1,0))*$S152)</f>
        <v>0</v>
      </c>
      <c r="AR152" s="71">
        <f t="shared" si="87"/>
        <v>138</v>
      </c>
      <c r="AS152" s="73">
        <f t="shared" si="88"/>
        <v>240.61</v>
      </c>
      <c r="AT152" s="74">
        <f t="shared" si="89"/>
        <v>240.61</v>
      </c>
      <c r="AU152" s="74">
        <f t="shared" si="90"/>
        <v>1.1161983360171766</v>
      </c>
      <c r="AV152" s="74">
        <f t="shared" si="91"/>
        <v>115.53000000000002</v>
      </c>
      <c r="AW152" s="74">
        <f t="shared" si="92"/>
        <v>0</v>
      </c>
      <c r="AX152" s="74">
        <f t="shared" si="93"/>
        <v>154.04</v>
      </c>
      <c r="AY152" s="74">
        <f t="shared" si="94"/>
        <v>115.53</v>
      </c>
      <c r="AZ152" s="129">
        <v>115.53</v>
      </c>
      <c r="BA152" s="49">
        <v>115.53</v>
      </c>
      <c r="BB152" s="49">
        <v>115.53</v>
      </c>
      <c r="BC152" s="73" t="str">
        <f t="shared" si="95"/>
        <v/>
      </c>
      <c r="BD152" s="73">
        <f t="shared" si="96"/>
        <v>394.65000000000003</v>
      </c>
      <c r="BE152" s="73">
        <f t="shared" si="97"/>
        <v>356.14000000000004</v>
      </c>
      <c r="BF152" s="77">
        <f t="shared" si="98"/>
        <v>38.51</v>
      </c>
      <c r="BG152" s="77">
        <f t="shared" si="99"/>
        <v>11.552999999999999</v>
      </c>
      <c r="BH152" s="77">
        <f t="shared" si="100"/>
        <v>154.04</v>
      </c>
      <c r="BI152" s="78">
        <f t="shared" si="101"/>
        <v>0.25</v>
      </c>
      <c r="BJ152" s="79">
        <f t="shared" si="102"/>
        <v>9.7580134296211818E-2</v>
      </c>
      <c r="BK152" s="80">
        <f t="shared" si="103"/>
        <v>356.14</v>
      </c>
      <c r="BL152" s="80">
        <f t="shared" si="104"/>
        <v>38.510000000000048</v>
      </c>
      <c r="BM152" s="79">
        <f t="shared" si="105"/>
        <v>9.7580134296211943E-2</v>
      </c>
      <c r="BN152" s="81">
        <f t="shared" si="106"/>
        <v>0.83717391304347832</v>
      </c>
      <c r="BO152" s="82">
        <f t="shared" si="107"/>
        <v>115.53000000000002</v>
      </c>
      <c r="BP152" s="81">
        <f t="shared" si="108"/>
        <v>0.83717391304347832</v>
      </c>
      <c r="BQ152" s="81">
        <f t="shared" si="109"/>
        <v>0.8372074610842728</v>
      </c>
      <c r="BR152" s="81">
        <f t="shared" si="110"/>
        <v>1.1162654320987655</v>
      </c>
      <c r="BS152" s="82">
        <f t="shared" si="111"/>
        <v>138</v>
      </c>
      <c r="BT152" s="82">
        <f t="shared" si="112"/>
        <v>154.04462962962964</v>
      </c>
      <c r="BU152" s="82">
        <f t="shared" si="113"/>
        <v>154.04</v>
      </c>
      <c r="BV152"/>
      <c r="BW152" s="82">
        <f>IFERROR(INDEX('Infos Clientes'!$T:$T,MATCH('Detalhe Por UC'!$C152,'Infos Clientes'!B:B,0)),"")</f>
        <v>236.08333333333334</v>
      </c>
      <c r="BX152" s="83">
        <f t="shared" si="114"/>
        <v>0</v>
      </c>
      <c r="BY152" s="84">
        <f t="shared" si="115"/>
        <v>0.24999248654490455</v>
      </c>
      <c r="BZ152" s="85">
        <f>IF(_xlfn.MINIFS('Detalhe Por UC'!R:R,'Detalhe Por UC'!C:C,C152,'Detalhe Por UC'!AD:AD,"&gt;"&amp;0)=0,"",_xlfn.MINIFS('Detalhe Por UC'!R:R,'Detalhe Por UC'!C:C,C152,'Detalhe Por UC'!AD:AD,"&gt;"&amp;0))</f>
        <v>45627</v>
      </c>
      <c r="CA152" s="114">
        <f ca="1">IF(OR(S152&gt;0,AD152&gt;0),IFERROR(
SUMIFS(INDIRECT("'Infos Clientes'!$W"&amp;INDEX('Infos Clientes'!$C:$C,MATCH(C152,'Infos Clientes'!$H:$H,0))&amp;":$CZ"&amp;INDEX('Infos Clientes'!$C:$C,MATCH(C152,'Infos Clientes'!$H:$H,0))),'Infos Clientes'!$W$2:$CZ$2,"&gt;"&amp;$R152-365,'Infos Clientes'!$W$2:$CZ$2,"&lt;="&amp;$R152)/
COUNTIFS(INDIRECT("'Infos Clientes'!$W"&amp;INDEX('Infos Clientes'!$C:$C,MATCH(C152,'Infos Clientes'!$H:$H,0))&amp;":$CZ"&amp;INDEX('Infos Clientes'!$C:$C,MATCH(C152,'Infos Clientes'!$H:$H,0))),"&gt;="&amp;0,'Infos Clientes'!$W$2:$CZ$2,"&gt;"&amp;$R152-365,'Infos Clientes'!$W$2:$CZ$2,"&lt;="&amp;$R152),""),"")</f>
        <v>243.91666666666666</v>
      </c>
      <c r="CB152" s="87">
        <f>VLOOKUP(C152,'Infos Clientes'!B:L,11,0)</f>
        <v>0</v>
      </c>
      <c r="CC152" s="88" t="str">
        <f t="shared" si="116"/>
        <v>A Unidade Consumidora 10/113971-6 economizou R$38,51 na fatura referente à fev/2025  consumindo 138 kWh em créditos de energia renovável conforme fatura de energia. A economia foi de 25% em relação ao que seria pago para a Energisa considerando os créditos consumidos. Atenção: Mantenha as contas da Energisa em dia para evitar cortes.</v>
      </c>
      <c r="CD152" s="40" t="s">
        <v>34</v>
      </c>
      <c r="CF152" s="115">
        <f t="shared" si="117"/>
        <v>-240.61</v>
      </c>
    </row>
    <row r="153" spans="1:84" s="40" customFormat="1" ht="16.2" hidden="1" customHeight="1" x14ac:dyDescent="0.3">
      <c r="A153" s="105" t="str">
        <f>INDEX('Infos Clientes'!$D:$D,MATCH('Detalhe Por UC'!C153,'Infos Clientes'!B:B,0))</f>
        <v>IGREJA DO EVANGELHO QUADRANGULAR</v>
      </c>
      <c r="B153" s="106" t="str">
        <f>INDEX('Infos Clientes'!$F:$F,MATCH('Detalhe Por UC'!C153,'Infos Clientes'!B:B,0))</f>
        <v>62.955.505/1490-47</v>
      </c>
      <c r="C153" s="44" t="s">
        <v>35</v>
      </c>
      <c r="D153" t="s">
        <v>351</v>
      </c>
      <c r="E153" s="1" t="s">
        <v>352</v>
      </c>
      <c r="F153" s="56" t="str">
        <f>INDEX('Infos Clientes'!$I:$I,MATCH('Detalhe Por UC'!C153,'Infos Clientes'!B:B,0))</f>
        <v>BT</v>
      </c>
      <c r="G153" s="56" t="str">
        <f>INDEX('Infos Clientes'!$J:$J,MATCH('Detalhe Por UC'!C153,'Infos Clientes'!B:B,0))</f>
        <v>trifasico</v>
      </c>
      <c r="H153" s="108" t="s">
        <v>24</v>
      </c>
      <c r="I153" s="58">
        <f>IFERROR(VLOOKUP(C153,'Infos Clientes'!B:E,4,),"")</f>
        <v>319</v>
      </c>
      <c r="J153" s="109">
        <v>0.25</v>
      </c>
      <c r="K153" s="59">
        <f>INDEX('Infos Clientes'!$M:$M,MATCH('Detalhe Por UC'!C153,'Infos Clientes'!B:B,0))</f>
        <v>0.25</v>
      </c>
      <c r="L153" s="125">
        <v>0</v>
      </c>
      <c r="M153" s="56">
        <f>INDEX('Infos Clientes'!$N:$N,MATCH('Detalhe Por UC'!C153,'Infos Clientes'!B:B,0))</f>
        <v>0</v>
      </c>
      <c r="N153" s="56">
        <f t="shared" si="81"/>
        <v>0</v>
      </c>
      <c r="O153" s="56">
        <f t="shared" si="82"/>
        <v>12</v>
      </c>
      <c r="P153" s="56">
        <f t="shared" si="83"/>
        <v>0</v>
      </c>
      <c r="Q153" s="61">
        <f>IFERROR(IFERROR(INDEX('Infos Clientes'!$A$2:$V$9884,MATCH($C153,'Infos Clientes'!$B$2:$B$9884,0),MATCH(Q$8,'Infos Clientes'!$A$2:$V$2,0)),"")
+IF(OR(INDEX('Infos Clientes'!$A$2:$V$9884,MATCH($C153,'Infos Clientes'!$B$2:$B$9884,0),MATCH("Tempo de Fidelidade (meses)",'Infos Clientes'!$A$2:$V$2,0))=0,R153&gt;=MAX(R:R)),0,
ROUND((MAX(R:R)-R153)/(365/12),0)),"")</f>
        <v>0</v>
      </c>
      <c r="R153" s="111">
        <v>45689</v>
      </c>
      <c r="S153" s="112">
        <v>0.01</v>
      </c>
      <c r="T153" s="113">
        <f>IF($H153="GIROSSOL II",AP153/INDEX('Resumo Operacional'!$A$1:$P$1103,17,MATCH('Detalhe Por UC'!$R153,'Resumo Operacional'!$A$1:$P$1,0)),
IF($H153="GIROSSOL II e III",AP153/INDEX('Resumo Operacional'!$A$1:$P$1103,17,MATCH('Detalhe Por UC'!$R153,'Resumo Operacional'!$A$1:$P$1,0)),
""))</f>
        <v>2.3839595832017682E-2</v>
      </c>
      <c r="U153" s="113" t="str">
        <f>IF($H153="GIROSSOL III",AP153/INDEX('Resumo Operacional'!$A$1:$P$1103,53,MATCH('Detalhe Por UC'!$R153,'Resumo Operacional'!$A$1:$P$1,0)),
IF($H153="GIROSSOL II e III",AP153/INDEX('Resumo Operacional'!$A$1:$P$1103,53,MATCH('Detalhe Por UC'!$R153,'Resumo Operacional'!$A$1:$P$1,0)),
""))</f>
        <v/>
      </c>
      <c r="V153" s="18"/>
      <c r="W153" s="54"/>
      <c r="X153" s="127">
        <v>1.1162422360248447</v>
      </c>
      <c r="Y153" s="127">
        <v>0</v>
      </c>
      <c r="Z153" s="127">
        <v>1.1162162162162164</v>
      </c>
      <c r="AA153" s="127">
        <v>0</v>
      </c>
      <c r="AB153" s="127">
        <v>322</v>
      </c>
      <c r="AC153" s="127">
        <v>0</v>
      </c>
      <c r="AD153" s="127">
        <v>222</v>
      </c>
      <c r="AE153" s="35"/>
      <c r="AF153" s="127">
        <v>418</v>
      </c>
      <c r="AG153" s="127">
        <v>0</v>
      </c>
      <c r="AH153" s="127">
        <v>68.83</v>
      </c>
      <c r="AI153" s="127">
        <v>0</v>
      </c>
      <c r="AJ153" s="127">
        <v>0</v>
      </c>
      <c r="AK153" s="31"/>
      <c r="AL153"/>
      <c r="AM153"/>
      <c r="AN153" s="71">
        <f t="shared" si="84"/>
        <v>80</v>
      </c>
      <c r="AO153" s="71">
        <f t="shared" si="85"/>
        <v>0</v>
      </c>
      <c r="AP153" s="71">
        <f t="shared" si="86"/>
        <v>302</v>
      </c>
      <c r="AQ153" s="72">
        <f>IF(OR($H153="GIROSSOL II",$H153="GIROSSOL II e III"),INDEX('Resumo Operacional'!$A$1:$P$1103,MATCH("Energia Injetada prevista total Fatura da Usina (TUSD)",'Resumo Operacional'!$B$1:$B$1103,0),MATCH('Detalhe Por UC'!$R153,'Resumo Operacional'!$A$1:$P$1,0))*$S153,INDEX('Resumo Operacional'!$A$1:$P$1103,53,MATCH('Detalhe Por UC'!$R153,'Resumo Operacional'!$A$1:$P$1,0))*$S153)</f>
        <v>126.68</v>
      </c>
      <c r="AR153" s="71">
        <f t="shared" si="87"/>
        <v>175.32</v>
      </c>
      <c r="AS153" s="73">
        <f t="shared" si="88"/>
        <v>180.45999999999998</v>
      </c>
      <c r="AT153" s="74">
        <f t="shared" si="89"/>
        <v>180.45999999999998</v>
      </c>
      <c r="AU153" s="74">
        <f t="shared" si="90"/>
        <v>1.116190196407588</v>
      </c>
      <c r="AV153" s="74">
        <f t="shared" si="91"/>
        <v>185.85000000000002</v>
      </c>
      <c r="AW153" s="74">
        <f t="shared" si="92"/>
        <v>0</v>
      </c>
      <c r="AX153" s="74">
        <f t="shared" si="93"/>
        <v>247.80000000000004</v>
      </c>
      <c r="AY153" s="74">
        <f t="shared" si="94"/>
        <v>185.85</v>
      </c>
      <c r="AZ153" s="49">
        <v>185.85</v>
      </c>
      <c r="BA153" s="49">
        <v>185.85</v>
      </c>
      <c r="BB153" s="49">
        <v>185.85</v>
      </c>
      <c r="BC153" s="73" t="str">
        <f t="shared" si="95"/>
        <v/>
      </c>
      <c r="BD153" s="73">
        <f t="shared" si="96"/>
        <v>428.26</v>
      </c>
      <c r="BE153" s="73">
        <f t="shared" si="97"/>
        <v>366.31</v>
      </c>
      <c r="BF153" s="77">
        <f t="shared" si="98"/>
        <v>61.95</v>
      </c>
      <c r="BG153" s="77">
        <f t="shared" si="99"/>
        <v>18.585000000000001</v>
      </c>
      <c r="BH153" s="77">
        <f t="shared" si="100"/>
        <v>247.80000000000004</v>
      </c>
      <c r="BI153" s="78">
        <f t="shared" si="101"/>
        <v>0.25</v>
      </c>
      <c r="BJ153" s="79">
        <f t="shared" si="102"/>
        <v>0.14465511605099707</v>
      </c>
      <c r="BK153" s="80">
        <f t="shared" si="103"/>
        <v>366.30999999999995</v>
      </c>
      <c r="BL153" s="80">
        <f t="shared" si="104"/>
        <v>61.950000000000045</v>
      </c>
      <c r="BM153" s="79">
        <f t="shared" si="105"/>
        <v>0.14465511605099718</v>
      </c>
      <c r="BN153" s="81">
        <f t="shared" si="106"/>
        <v>0.8371621621621621</v>
      </c>
      <c r="BO153" s="82">
        <f t="shared" si="107"/>
        <v>185.85</v>
      </c>
      <c r="BP153" s="81">
        <f t="shared" si="108"/>
        <v>0.8371621621621621</v>
      </c>
      <c r="BQ153" s="81">
        <f t="shared" si="109"/>
        <v>0.83718818197079048</v>
      </c>
      <c r="BR153" s="81">
        <f t="shared" si="110"/>
        <v>1.1162422360248447</v>
      </c>
      <c r="BS153" s="82">
        <f t="shared" si="111"/>
        <v>222</v>
      </c>
      <c r="BT153" s="82">
        <f t="shared" si="112"/>
        <v>247.80577639751553</v>
      </c>
      <c r="BU153" s="82">
        <f t="shared" si="113"/>
        <v>247.80000000000004</v>
      </c>
      <c r="BV153"/>
      <c r="BW153" s="82">
        <f>IFERROR(INDEX('Infos Clientes'!$T:$T,MATCH('Detalhe Por UC'!$C153,'Infos Clientes'!B:B,0)),"")</f>
        <v>182.25</v>
      </c>
      <c r="BX153" s="83">
        <f t="shared" si="114"/>
        <v>0</v>
      </c>
      <c r="BY153" s="84">
        <f t="shared" si="115"/>
        <v>0.24999417245473518</v>
      </c>
      <c r="BZ153" s="85">
        <f>IF(_xlfn.MINIFS('Detalhe Por UC'!R:R,'Detalhe Por UC'!C:C,C153,'Detalhe Por UC'!AD:AD,"&gt;"&amp;0)=0,"",_xlfn.MINIFS('Detalhe Por UC'!R:R,'Detalhe Por UC'!C:C,C153,'Detalhe Por UC'!AD:AD,"&gt;"&amp;0))</f>
        <v>45627</v>
      </c>
      <c r="CA153" s="114">
        <f ca="1">IF(OR(S153&gt;0,AD153&gt;0),IFERROR(
SUMIFS(INDIRECT("'Infos Clientes'!$W"&amp;INDEX('Infos Clientes'!$C:$C,MATCH(C153,'Infos Clientes'!$H:$H,0))&amp;":$CZ"&amp;INDEX('Infos Clientes'!$C:$C,MATCH(C153,'Infos Clientes'!$H:$H,0))),'Infos Clientes'!$W$2:$CZ$2,"&gt;"&amp;$R153-365,'Infos Clientes'!$W$2:$CZ$2,"&lt;="&amp;$R153)/
COUNTIFS(INDIRECT("'Infos Clientes'!$W"&amp;INDEX('Infos Clientes'!$C:$C,MATCH(C153,'Infos Clientes'!$H:$H,0))&amp;":$CZ"&amp;INDEX('Infos Clientes'!$C:$C,MATCH(C153,'Infos Clientes'!$H:$H,0))),"&gt;="&amp;0,'Infos Clientes'!$W$2:$CZ$2,"&gt;"&amp;$R153-365,'Infos Clientes'!$W$2:$CZ$2,"&lt;="&amp;$R153),""),"")</f>
        <v>192</v>
      </c>
      <c r="CB153" s="87">
        <f>VLOOKUP(C153,'Infos Clientes'!B:L,11,0)</f>
        <v>0</v>
      </c>
      <c r="CC153" s="88" t="str">
        <f t="shared" si="116"/>
        <v>A Unidade Consumidora 10/1184751-4 economizou R$61,95 na fatura referente à fev/2025  consumindo 222 kWh em créditos de energia renovável conforme fatura de energia. A economia foi de 25% em relação ao que seria pago para a Energisa considerando os créditos consumidos. Atenção: Mantenha as contas da Energisa em dia para evitar cortes.</v>
      </c>
      <c r="CD153" s="40" t="s">
        <v>37</v>
      </c>
      <c r="CF153" s="115">
        <f t="shared" si="117"/>
        <v>-180.45999999999998</v>
      </c>
    </row>
    <row r="154" spans="1:84" s="40" customFormat="1" ht="16.2" hidden="1" customHeight="1" x14ac:dyDescent="0.3">
      <c r="A154" s="105" t="str">
        <f>INDEX('Infos Clientes'!$D:$D,MATCH('Detalhe Por UC'!C154,'Infos Clientes'!B:B,0))</f>
        <v>IGREJA DO EVANGELHO QUADRANGULAR</v>
      </c>
      <c r="B154" s="106" t="str">
        <f>INDEX('Infos Clientes'!$F:$F,MATCH('Detalhe Por UC'!C154,'Infos Clientes'!B:B,0))</f>
        <v>62.955.505/0800-98</v>
      </c>
      <c r="C154" s="44" t="s">
        <v>38</v>
      </c>
      <c r="D154" t="s">
        <v>351</v>
      </c>
      <c r="E154" s="1" t="s">
        <v>352</v>
      </c>
      <c r="F154" s="56" t="str">
        <f>INDEX('Infos Clientes'!$I:$I,MATCH('Detalhe Por UC'!C154,'Infos Clientes'!B:B,0))</f>
        <v>BT</v>
      </c>
      <c r="G154" s="56" t="str">
        <f>INDEX('Infos Clientes'!$J:$J,MATCH('Detalhe Por UC'!C154,'Infos Clientes'!B:B,0))</f>
        <v>trifasico</v>
      </c>
      <c r="H154" s="108" t="s">
        <v>24</v>
      </c>
      <c r="I154" s="58">
        <f>IFERROR(VLOOKUP(C154,'Infos Clientes'!B:E,4,),"")</f>
        <v>351</v>
      </c>
      <c r="J154" s="109">
        <v>0.25</v>
      </c>
      <c r="K154" s="59">
        <f>INDEX('Infos Clientes'!$M:$M,MATCH('Detalhe Por UC'!C154,'Infos Clientes'!B:B,0))</f>
        <v>0.25</v>
      </c>
      <c r="L154" s="125">
        <v>0</v>
      </c>
      <c r="M154" s="56">
        <f>INDEX('Infos Clientes'!$N:$N,MATCH('Detalhe Por UC'!C154,'Infos Clientes'!B:B,0))</f>
        <v>0</v>
      </c>
      <c r="N154" s="56">
        <f t="shared" si="81"/>
        <v>0</v>
      </c>
      <c r="O154" s="56">
        <f t="shared" si="82"/>
        <v>7</v>
      </c>
      <c r="P154" s="56">
        <f t="shared" si="83"/>
        <v>0</v>
      </c>
      <c r="Q154" s="61">
        <f>IFERROR(IFERROR(INDEX('Infos Clientes'!$A$2:$V$9884,MATCH($C154,'Infos Clientes'!$B$2:$B$9884,0),MATCH(Q$8,'Infos Clientes'!$A$2:$V$2,0)),"")
+IF(OR(INDEX('Infos Clientes'!$A$2:$V$9884,MATCH($C154,'Infos Clientes'!$B$2:$B$9884,0),MATCH("Tempo de Fidelidade (meses)",'Infos Clientes'!$A$2:$V$2,0))=0,R154&gt;=MAX(R:R)),0,
ROUND((MAX(R:R)-R154)/(365/12),0)),"")</f>
        <v>0</v>
      </c>
      <c r="R154" s="111">
        <v>45689</v>
      </c>
      <c r="S154" s="112">
        <v>3.0000000000000001E-3</v>
      </c>
      <c r="T154" s="113">
        <f>IF($H154="GIROSSOL II",AP154/INDEX('Resumo Operacional'!$A$1:$P$1103,17,MATCH('Detalhe Por UC'!$R154,'Resumo Operacional'!$A$1:$P$1,0)),
IF($H154="GIROSSOL II e III",AP154/INDEX('Resumo Operacional'!$A$1:$P$1103,17,MATCH('Detalhe Por UC'!$R154,'Resumo Operacional'!$A$1:$P$1,0)),
""))</f>
        <v>1.089359014840543E-2</v>
      </c>
      <c r="U154" s="113" t="str">
        <f>IF($H154="GIROSSOL III",AP154/INDEX('Resumo Operacional'!$A$1:$P$1103,53,MATCH('Detalhe Por UC'!$R154,'Resumo Operacional'!$A$1:$P$1,0)),
IF($H154="GIROSSOL II e III",AP154/INDEX('Resumo Operacional'!$A$1:$P$1103,53,MATCH('Detalhe Por UC'!$R154,'Resumo Operacional'!$A$1:$P$1,0)),
""))</f>
        <v/>
      </c>
      <c r="V154" s="18"/>
      <c r="W154" s="54"/>
      <c r="X154" s="127">
        <v>1.1162264150943395</v>
      </c>
      <c r="Y154" s="127">
        <v>0</v>
      </c>
      <c r="Z154" s="127">
        <v>1.116206896551724</v>
      </c>
      <c r="AA154" s="127">
        <v>0</v>
      </c>
      <c r="AB154" s="127">
        <v>159</v>
      </c>
      <c r="AC154" s="127">
        <v>0</v>
      </c>
      <c r="AD154" s="127">
        <v>58</v>
      </c>
      <c r="AE154" s="35"/>
      <c r="AF154" s="127">
        <v>935</v>
      </c>
      <c r="AG154" s="127">
        <v>0</v>
      </c>
      <c r="AH154" s="127">
        <v>18.36</v>
      </c>
      <c r="AI154" s="127">
        <v>0</v>
      </c>
      <c r="AJ154" s="127">
        <v>0</v>
      </c>
      <c r="AK154" s="31"/>
      <c r="AL154"/>
      <c r="AM154"/>
      <c r="AN154" s="71">
        <f t="shared" si="84"/>
        <v>80</v>
      </c>
      <c r="AO154" s="71">
        <f t="shared" si="85"/>
        <v>0</v>
      </c>
      <c r="AP154" s="71">
        <f t="shared" si="86"/>
        <v>138</v>
      </c>
      <c r="AQ154" s="72">
        <f>IF(OR($H154="GIROSSOL II",$H154="GIROSSOL II e III"),INDEX('Resumo Operacional'!$A$1:$P$1103,MATCH("Energia Injetada prevista total Fatura da Usina (TUSD)",'Resumo Operacional'!$B$1:$B$1103,0),MATCH('Detalhe Por UC'!$R154,'Resumo Operacional'!$A$1:$P$1,0))*$S154,INDEX('Resumo Operacional'!$A$1:$P$1103,53,MATCH('Detalhe Por UC'!$R154,'Resumo Operacional'!$A$1:$P$1,0))*$S154)</f>
        <v>38.003999999999998</v>
      </c>
      <c r="AR154" s="71">
        <f t="shared" si="87"/>
        <v>99.996000000000009</v>
      </c>
      <c r="AS154" s="73">
        <f t="shared" si="88"/>
        <v>131.1</v>
      </c>
      <c r="AT154" s="74">
        <f t="shared" si="89"/>
        <v>131.1</v>
      </c>
      <c r="AU154" s="74">
        <f t="shared" si="90"/>
        <v>1.1161873780091085</v>
      </c>
      <c r="AV154" s="74">
        <f t="shared" si="91"/>
        <v>48.554999999999993</v>
      </c>
      <c r="AW154" s="74">
        <f t="shared" si="92"/>
        <v>0</v>
      </c>
      <c r="AX154" s="74">
        <f t="shared" si="93"/>
        <v>64.739999999999995</v>
      </c>
      <c r="AY154" s="74">
        <f t="shared" si="94"/>
        <v>48.56</v>
      </c>
      <c r="AZ154" s="49">
        <v>48.56</v>
      </c>
      <c r="BA154" s="49"/>
      <c r="BB154" s="49"/>
      <c r="BC154" s="73" t="str">
        <f t="shared" si="95"/>
        <v/>
      </c>
      <c r="BD154" s="73">
        <f t="shared" si="96"/>
        <v>195.83999999999997</v>
      </c>
      <c r="BE154" s="73">
        <f t="shared" si="97"/>
        <v>179.65499999999997</v>
      </c>
      <c r="BF154" s="77">
        <f t="shared" si="98"/>
        <v>16.190000000000001</v>
      </c>
      <c r="BG154" s="77">
        <f t="shared" si="99"/>
        <v>4.8570000000000002</v>
      </c>
      <c r="BH154" s="77">
        <f t="shared" si="100"/>
        <v>64.739999999999995</v>
      </c>
      <c r="BI154" s="78">
        <f t="shared" si="101"/>
        <v>0.25</v>
      </c>
      <c r="BJ154" s="79">
        <f t="shared" si="102"/>
        <v>8.2669526143790861E-2</v>
      </c>
      <c r="BK154" s="80">
        <f t="shared" si="103"/>
        <v>179.66</v>
      </c>
      <c r="BL154" s="80">
        <f t="shared" si="104"/>
        <v>16.179999999999978</v>
      </c>
      <c r="BM154" s="79">
        <f t="shared" si="105"/>
        <v>8.2618464052287482E-2</v>
      </c>
      <c r="BN154" s="81">
        <f t="shared" si="106"/>
        <v>0.83724137931034481</v>
      </c>
      <c r="BO154" s="82">
        <f t="shared" si="107"/>
        <v>48.56</v>
      </c>
      <c r="BP154" s="81">
        <f t="shared" si="108"/>
        <v>0.83724137931034481</v>
      </c>
      <c r="BQ154" s="81">
        <f t="shared" si="109"/>
        <v>0.83726089785296032</v>
      </c>
      <c r="BR154" s="81">
        <f t="shared" si="110"/>
        <v>1.1162264150943395</v>
      </c>
      <c r="BS154" s="82">
        <f t="shared" si="111"/>
        <v>58</v>
      </c>
      <c r="BT154" s="82">
        <f t="shared" si="112"/>
        <v>64.741132075471697</v>
      </c>
      <c r="BU154" s="82">
        <f t="shared" si="113"/>
        <v>64.739999999999995</v>
      </c>
      <c r="BV154"/>
      <c r="BW154" s="82">
        <f>IFERROR(INDEX('Infos Clientes'!$T:$T,MATCH('Detalhe Por UC'!$C154,'Infos Clientes'!B:B,0)),"")</f>
        <v>134.36363636363637</v>
      </c>
      <c r="BX154" s="83">
        <f t="shared" si="114"/>
        <v>0</v>
      </c>
      <c r="BY154" s="84">
        <f t="shared" si="115"/>
        <v>0.24991839779907199</v>
      </c>
      <c r="BZ154" s="85">
        <f>IF(_xlfn.MINIFS('Detalhe Por UC'!R:R,'Detalhe Por UC'!C:C,C154,'Detalhe Por UC'!AD:AD,"&gt;"&amp;0)=0,"",_xlfn.MINIFS('Detalhe Por UC'!R:R,'Detalhe Por UC'!C:C,C154,'Detalhe Por UC'!AD:AD,"&gt;"&amp;0))</f>
        <v>45627</v>
      </c>
      <c r="CA154" s="114">
        <f ca="1">IF(OR(S154&gt;0,AD154&gt;0),IFERROR(
SUMIFS(INDIRECT("'Infos Clientes'!$W"&amp;INDEX('Infos Clientes'!$C:$C,MATCH(C154,'Infos Clientes'!$H:$H,0))&amp;":$CZ"&amp;INDEX('Infos Clientes'!$C:$C,MATCH(C154,'Infos Clientes'!$H:$H,0))),'Infos Clientes'!$W$2:$CZ$2,"&gt;"&amp;$R154-365,'Infos Clientes'!$W$2:$CZ$2,"&lt;="&amp;$R154)/
COUNTIFS(INDIRECT("'Infos Clientes'!$W"&amp;INDEX('Infos Clientes'!$C:$C,MATCH(C154,'Infos Clientes'!$H:$H,0))&amp;":$CZ"&amp;INDEX('Infos Clientes'!$C:$C,MATCH(C154,'Infos Clientes'!$H:$H,0))),"&gt;="&amp;0,'Infos Clientes'!$W$2:$CZ$2,"&gt;"&amp;$R154-365,'Infos Clientes'!$W$2:$CZ$2,"&lt;="&amp;$R154),""),"")</f>
        <v>135.09090909090909</v>
      </c>
      <c r="CB154" s="87">
        <f>VLOOKUP(C154,'Infos Clientes'!B:L,11,0)</f>
        <v>0</v>
      </c>
      <c r="CC154" s="88" t="str">
        <f t="shared" si="116"/>
        <v>A Unidade Consumidora 10/135237-6 economizou R$16,19 na fatura referente à fev/2025  consumindo 58 kWh em créditos de energia renovável conforme fatura de energia. A economia foi de 25% em relação ao que seria pago para a Energisa considerando os créditos consumidos. Atenção: Mantenha as contas da Energisa em dia para evitar cortes.</v>
      </c>
      <c r="CD154" s="40" t="s">
        <v>40</v>
      </c>
      <c r="CF154" s="115">
        <f t="shared" si="117"/>
        <v>-131.1</v>
      </c>
    </row>
    <row r="155" spans="1:84" s="40" customFormat="1" ht="16.2" hidden="1" customHeight="1" x14ac:dyDescent="0.3">
      <c r="A155" s="105" t="str">
        <f>INDEX('Infos Clientes'!$D:$D,MATCH('Detalhe Por UC'!C155,'Infos Clientes'!B:B,0))</f>
        <v>IGREJA DO EVANGELHO QUADRANGULAR</v>
      </c>
      <c r="B155" s="106" t="str">
        <f>INDEX('Infos Clientes'!$F:$F,MATCH('Detalhe Por UC'!C155,'Infos Clientes'!B:B,0))</f>
        <v>62.955.505/0847-51</v>
      </c>
      <c r="C155" s="44" t="s">
        <v>41</v>
      </c>
      <c r="D155" t="s">
        <v>351</v>
      </c>
      <c r="E155" s="1" t="s">
        <v>352</v>
      </c>
      <c r="F155" s="56" t="str">
        <f>INDEX('Infos Clientes'!$I:$I,MATCH('Detalhe Por UC'!C155,'Infos Clientes'!B:B,0))</f>
        <v>BT</v>
      </c>
      <c r="G155" s="56" t="str">
        <f>INDEX('Infos Clientes'!$J:$J,MATCH('Detalhe Por UC'!C155,'Infos Clientes'!B:B,0))</f>
        <v>monofasico</v>
      </c>
      <c r="H155" s="108" t="s">
        <v>353</v>
      </c>
      <c r="I155" s="58">
        <f>IFERROR(VLOOKUP(C155,'Infos Clientes'!B:E,4,),"")</f>
        <v>349</v>
      </c>
      <c r="J155" s="109">
        <v>0.25</v>
      </c>
      <c r="K155" s="59">
        <f>INDEX('Infos Clientes'!$M:$M,MATCH('Detalhe Por UC'!C155,'Infos Clientes'!B:B,0))</f>
        <v>0.25</v>
      </c>
      <c r="L155" s="125">
        <v>0</v>
      </c>
      <c r="M155" s="56">
        <f>INDEX('Infos Clientes'!$N:$N,MATCH('Detalhe Por UC'!C155,'Infos Clientes'!B:B,0))</f>
        <v>0</v>
      </c>
      <c r="N155" s="56">
        <f t="shared" si="81"/>
        <v>0</v>
      </c>
      <c r="O155" s="56">
        <f t="shared" si="82"/>
        <v>12</v>
      </c>
      <c r="P155" s="56">
        <f t="shared" si="83"/>
        <v>0</v>
      </c>
      <c r="Q155" s="61">
        <f>IFERROR(IFERROR(INDEX('Infos Clientes'!$A$2:$V$9884,MATCH($C155,'Infos Clientes'!$B$2:$B$9884,0),MATCH(Q$8,'Infos Clientes'!$A$2:$V$2,0)),"")
+IF(OR(INDEX('Infos Clientes'!$A$2:$V$9884,MATCH($C155,'Infos Clientes'!$B$2:$B$9884,0),MATCH("Tempo de Fidelidade (meses)",'Infos Clientes'!$A$2:$V$2,0))=0,R155&gt;=MAX(R:R)),0,
ROUND((MAX(R:R)-R155)/(365/12),0)),"")</f>
        <v>0</v>
      </c>
      <c r="R155" s="111">
        <v>45689</v>
      </c>
      <c r="S155" s="112">
        <v>0.01</v>
      </c>
      <c r="T155" s="113">
        <f>IF($H155="GIROSSOL II",AP155/INDEX('Resumo Operacional'!$A$1:$P$1103,17,MATCH('Detalhe Por UC'!$R155,'Resumo Operacional'!$A$1:$P$1,0)),
IF($H155="GIROSSOL II e III",AP155/INDEX('Resumo Operacional'!$A$1:$P$1103,17,MATCH('Detalhe Por UC'!$R155,'Resumo Operacional'!$A$1:$P$1,0)),
""))</f>
        <v>2.1313545942532364E-2</v>
      </c>
      <c r="U155" s="113">
        <f>IF($H155="GIROSSOL III",AP155/INDEX('Resumo Operacional'!$A$1:$P$1103,53,MATCH('Detalhe Por UC'!$R155,'Resumo Operacional'!$A$1:$P$1,0)),
IF($H155="GIROSSOL II e III",AP155/INDEX('Resumo Operacional'!$A$1:$P$1103,53,MATCH('Detalhe Por UC'!$R155,'Resumo Operacional'!$A$1:$P$1,0)),
""))</f>
        <v>1.8664454583160513E-2</v>
      </c>
      <c r="V155" s="18"/>
      <c r="W155" s="54"/>
      <c r="X155" s="127">
        <v>1.1162209302325581</v>
      </c>
      <c r="Y155" s="127">
        <v>0</v>
      </c>
      <c r="Z155" s="127">
        <v>1.0401290322580645</v>
      </c>
      <c r="AA155" s="127">
        <v>0</v>
      </c>
      <c r="AB155" s="127">
        <v>172</v>
      </c>
      <c r="AC155" s="127">
        <v>0</v>
      </c>
      <c r="AD155" s="127">
        <v>155</v>
      </c>
      <c r="AE155" s="35"/>
      <c r="AF155" s="127">
        <v>301</v>
      </c>
      <c r="AG155" s="127">
        <v>0</v>
      </c>
      <c r="AH155" s="127">
        <v>62.040000000000006</v>
      </c>
      <c r="AI155" s="127">
        <v>0</v>
      </c>
      <c r="AJ155" s="127">
        <v>0</v>
      </c>
      <c r="AK155" s="31"/>
      <c r="AL155"/>
      <c r="AM155"/>
      <c r="AN155" s="71">
        <f t="shared" si="84"/>
        <v>115</v>
      </c>
      <c r="AO155" s="71">
        <f t="shared" si="85"/>
        <v>0</v>
      </c>
      <c r="AP155" s="71">
        <f t="shared" si="86"/>
        <v>270</v>
      </c>
      <c r="AQ155" s="72">
        <f>IF(OR($H155="GIROSSOL II",$H155="GIROSSOL II e III"),INDEX('Resumo Operacional'!$A$1:$P$1103,MATCH("Energia Injetada prevista total Fatura da Usina (TUSD)",'Resumo Operacional'!$B$1:$B$1103,0),MATCH('Detalhe Por UC'!$R155,'Resumo Operacional'!$A$1:$P$1,0))*$S155,INDEX('Resumo Operacional'!$A$1:$P$1103,53,MATCH('Detalhe Por UC'!$R155,'Resumo Operacional'!$A$1:$P$1,0))*$S155)</f>
        <v>126.68</v>
      </c>
      <c r="AR155" s="71">
        <f t="shared" si="87"/>
        <v>143.32</v>
      </c>
      <c r="AS155" s="73">
        <f t="shared" si="88"/>
        <v>92.809999999999988</v>
      </c>
      <c r="AT155" s="74">
        <f t="shared" si="89"/>
        <v>92.809999999999988</v>
      </c>
      <c r="AU155" s="74">
        <f t="shared" si="90"/>
        <v>0.96403713428357096</v>
      </c>
      <c r="AV155" s="74">
        <f t="shared" si="91"/>
        <v>120.91500000000001</v>
      </c>
      <c r="AW155" s="74">
        <f t="shared" si="92"/>
        <v>0</v>
      </c>
      <c r="AX155" s="74">
        <f t="shared" si="93"/>
        <v>161.22</v>
      </c>
      <c r="AY155" s="74">
        <f t="shared" si="94"/>
        <v>120.92</v>
      </c>
      <c r="AZ155" s="49">
        <v>120.92</v>
      </c>
      <c r="BA155" s="49">
        <v>120.92</v>
      </c>
      <c r="BB155" s="49">
        <v>120.92</v>
      </c>
      <c r="BC155" s="73" t="str">
        <f t="shared" si="95"/>
        <v/>
      </c>
      <c r="BD155" s="73">
        <f t="shared" si="96"/>
        <v>254.02999999999997</v>
      </c>
      <c r="BE155" s="73">
        <f t="shared" si="97"/>
        <v>213.72499999999999</v>
      </c>
      <c r="BF155" s="77">
        <f t="shared" si="98"/>
        <v>40.31</v>
      </c>
      <c r="BG155" s="77">
        <f t="shared" si="99"/>
        <v>12.093</v>
      </c>
      <c r="BH155" s="77">
        <f t="shared" si="100"/>
        <v>161.22</v>
      </c>
      <c r="BI155" s="78">
        <f t="shared" si="101"/>
        <v>0.25</v>
      </c>
      <c r="BJ155" s="79">
        <f t="shared" si="102"/>
        <v>0.15868204542770542</v>
      </c>
      <c r="BK155" s="80">
        <f t="shared" si="103"/>
        <v>213.73</v>
      </c>
      <c r="BL155" s="80">
        <f t="shared" si="104"/>
        <v>40.299999999999983</v>
      </c>
      <c r="BM155" s="79">
        <f t="shared" si="105"/>
        <v>0.15864267999842532</v>
      </c>
      <c r="BN155" s="81">
        <f t="shared" si="106"/>
        <v>0.78012903225806451</v>
      </c>
      <c r="BO155" s="82">
        <f t="shared" si="107"/>
        <v>120.92</v>
      </c>
      <c r="BP155" s="81">
        <f t="shared" si="108"/>
        <v>0.78012903225806451</v>
      </c>
      <c r="BQ155" s="81">
        <f t="shared" si="109"/>
        <v>0.85622093023255808</v>
      </c>
      <c r="BR155" s="81">
        <f t="shared" si="110"/>
        <v>1.1162209302325581</v>
      </c>
      <c r="BS155" s="82">
        <f t="shared" si="111"/>
        <v>155</v>
      </c>
      <c r="BT155" s="82">
        <f t="shared" si="112"/>
        <v>173.01424418604651</v>
      </c>
      <c r="BU155" s="82">
        <f t="shared" si="113"/>
        <v>161.22</v>
      </c>
      <c r="BV155"/>
      <c r="BW155" s="82">
        <f>IFERROR(INDEX('Infos Clientes'!$T:$T,MATCH('Detalhe Por UC'!$C155,'Infos Clientes'!B:B,0)),"")</f>
        <v>156.25</v>
      </c>
      <c r="BX155" s="83">
        <f t="shared" si="114"/>
        <v>0</v>
      </c>
      <c r="BY155" s="84">
        <f t="shared" si="115"/>
        <v>0.23292879837491537</v>
      </c>
      <c r="BZ155" s="85">
        <f>IF(_xlfn.MINIFS('Detalhe Por UC'!R:R,'Detalhe Por UC'!C:C,C155,'Detalhe Por UC'!AD:AD,"&gt;"&amp;0)=0,"",_xlfn.MINIFS('Detalhe Por UC'!R:R,'Detalhe Por UC'!C:C,C155,'Detalhe Por UC'!AD:AD,"&gt;"&amp;0))</f>
        <v>45627</v>
      </c>
      <c r="CA155" s="114">
        <f ca="1">IF(OR(S155&gt;0,AD155&gt;0),IFERROR(
SUMIFS(INDIRECT("'Infos Clientes'!$W"&amp;INDEX('Infos Clientes'!$C:$C,MATCH(C155,'Infos Clientes'!$H:$H,0))&amp;":$CZ"&amp;INDEX('Infos Clientes'!$C:$C,MATCH(C155,'Infos Clientes'!$H:$H,0))),'Infos Clientes'!$W$2:$CZ$2,"&gt;"&amp;$R155-365,'Infos Clientes'!$W$2:$CZ$2,"&lt;="&amp;$R155)/
COUNTIFS(INDIRECT("'Infos Clientes'!$W"&amp;INDEX('Infos Clientes'!$C:$C,MATCH(C155,'Infos Clientes'!$H:$H,0))&amp;":$CZ"&amp;INDEX('Infos Clientes'!$C:$C,MATCH(C155,'Infos Clientes'!$H:$H,0))),"&gt;="&amp;0,'Infos Clientes'!$W$2:$CZ$2,"&gt;"&amp;$R155-365,'Infos Clientes'!$W$2:$CZ$2,"&lt;="&amp;$R155),""),"")</f>
        <v>153.75</v>
      </c>
      <c r="CB155" s="87">
        <f>VLOOKUP(C155,'Infos Clientes'!B:L,11,0)</f>
        <v>0</v>
      </c>
      <c r="CC155" s="88" t="str">
        <f t="shared" si="116"/>
        <v>A Unidade Consumidora 10/1548741-6 economizou R$40,31 na fatura referente à fev/2025  consumindo 155 kWh em créditos de energia renovável conforme fatura de energia. A economia foi de 25% em relação ao que seria pago para a Energisa considerando os créditos consumidos. Atenção: Mantenha as contas da Energisa em dia para evitar cortes.</v>
      </c>
      <c r="CD155" s="40" t="s">
        <v>43</v>
      </c>
      <c r="CF155" s="115">
        <f t="shared" si="117"/>
        <v>-92.809999999999988</v>
      </c>
    </row>
    <row r="156" spans="1:84" s="40" customFormat="1" ht="16.2" hidden="1" customHeight="1" x14ac:dyDescent="0.3">
      <c r="A156" s="105" t="str">
        <f>INDEX('Infos Clientes'!$D:$D,MATCH('Detalhe Por UC'!C156,'Infos Clientes'!B:B,0))</f>
        <v>IGREJA DO EVANGELHO QUADRANGULAR</v>
      </c>
      <c r="B156" s="106" t="str">
        <f>INDEX('Infos Clientes'!$F:$F,MATCH('Detalhe Por UC'!C156,'Infos Clientes'!B:B,0))</f>
        <v>62.955.505/0153-50</v>
      </c>
      <c r="C156" s="44" t="s">
        <v>45</v>
      </c>
      <c r="D156" t="s">
        <v>351</v>
      </c>
      <c r="E156" s="1" t="s">
        <v>352</v>
      </c>
      <c r="F156" s="56" t="str">
        <f>INDEX('Infos Clientes'!$I:$I,MATCH('Detalhe Por UC'!C156,'Infos Clientes'!B:B,0))</f>
        <v>BT</v>
      </c>
      <c r="G156" s="56" t="str">
        <f>INDEX('Infos Clientes'!$J:$J,MATCH('Detalhe Por UC'!C156,'Infos Clientes'!B:B,0))</f>
        <v>trifasico</v>
      </c>
      <c r="H156" s="108" t="s">
        <v>353</v>
      </c>
      <c r="I156" s="58">
        <f>IFERROR(VLOOKUP(C156,'Infos Clientes'!B:E,4,),"")</f>
        <v>994</v>
      </c>
      <c r="J156" s="109">
        <v>0.25</v>
      </c>
      <c r="K156" s="59">
        <f>INDEX('Infos Clientes'!$M:$M,MATCH('Detalhe Por UC'!C156,'Infos Clientes'!B:B,0))</f>
        <v>0.25</v>
      </c>
      <c r="L156" s="125">
        <v>0</v>
      </c>
      <c r="M156" s="56">
        <f>INDEX('Infos Clientes'!$N:$N,MATCH('Detalhe Por UC'!C156,'Infos Clientes'!B:B,0))</f>
        <v>0</v>
      </c>
      <c r="N156" s="56">
        <f t="shared" si="81"/>
        <v>0</v>
      </c>
      <c r="O156" s="56">
        <f t="shared" si="82"/>
        <v>12</v>
      </c>
      <c r="P156" s="56">
        <f t="shared" si="83"/>
        <v>0</v>
      </c>
      <c r="Q156" s="61">
        <f>IFERROR(IFERROR(INDEX('Infos Clientes'!$A$2:$V$9884,MATCH($C156,'Infos Clientes'!$B$2:$B$9884,0),MATCH(Q$8,'Infos Clientes'!$A$2:$V$2,0)),"")
+IF(OR(INDEX('Infos Clientes'!$A$2:$V$9884,MATCH($C156,'Infos Clientes'!$B$2:$B$9884,0),MATCH("Tempo de Fidelidade (meses)",'Infos Clientes'!$A$2:$V$2,0))=0,R156&gt;=MAX(R:R)),0,
ROUND((MAX(R:R)-R156)/(365/12),0)),"")</f>
        <v>0</v>
      </c>
      <c r="R156" s="111">
        <v>45689</v>
      </c>
      <c r="S156" s="112">
        <v>0.02</v>
      </c>
      <c r="T156" s="113">
        <f>IF($H156="GIROSSOL II",AP156/INDEX('Resumo Operacional'!$A$1:$P$1103,17,MATCH('Detalhe Por UC'!$R156,'Resumo Operacional'!$A$1:$P$1,0)),
IF($H156="GIROSSOL II e III",AP156/INDEX('Resumo Operacional'!$A$1:$P$1103,17,MATCH('Detalhe Por UC'!$R156,'Resumo Operacional'!$A$1:$P$1,0)),
""))</f>
        <v>4.7837069782128198E-2</v>
      </c>
      <c r="U156" s="113">
        <f>IF($H156="GIROSSOL III",AP156/INDEX('Resumo Operacional'!$A$1:$P$1103,53,MATCH('Detalhe Por UC'!$R156,'Resumo Operacional'!$A$1:$P$1,0)),
IF($H156="GIROSSOL II e III",AP156/INDEX('Resumo Operacional'!$A$1:$P$1103,53,MATCH('Detalhe Por UC'!$R156,'Resumo Operacional'!$A$1:$P$1,0)),
""))</f>
        <v>4.1891331397760266E-2</v>
      </c>
      <c r="V156" s="18"/>
      <c r="W156" s="54"/>
      <c r="X156" s="127">
        <v>1.116265306122449</v>
      </c>
      <c r="Y156" s="127">
        <v>0</v>
      </c>
      <c r="Z156" s="127">
        <v>1.0577272727272728</v>
      </c>
      <c r="AA156" s="127">
        <v>0</v>
      </c>
      <c r="AB156" s="127">
        <v>490</v>
      </c>
      <c r="AC156" s="127">
        <v>0</v>
      </c>
      <c r="AD156" s="127">
        <v>418</v>
      </c>
      <c r="AE156" s="35"/>
      <c r="AF156" s="127">
        <v>289</v>
      </c>
      <c r="AG156" s="127">
        <v>0</v>
      </c>
      <c r="AH156" s="127">
        <v>98.15</v>
      </c>
      <c r="AI156" s="127">
        <v>0</v>
      </c>
      <c r="AJ156" s="127">
        <v>0</v>
      </c>
      <c r="AK156" s="31"/>
      <c r="AL156"/>
      <c r="AM156"/>
      <c r="AN156" s="71">
        <f t="shared" si="84"/>
        <v>188</v>
      </c>
      <c r="AO156" s="71">
        <f t="shared" si="85"/>
        <v>0</v>
      </c>
      <c r="AP156" s="71">
        <f t="shared" si="86"/>
        <v>606</v>
      </c>
      <c r="AQ156" s="72">
        <f>IF(OR($H156="GIROSSOL II",$H156="GIROSSOL II e III"),INDEX('Resumo Operacional'!$A$1:$P$1103,MATCH("Energia Injetada prevista total Fatura da Usina (TUSD)",'Resumo Operacional'!$B$1:$B$1103,0),MATCH('Detalhe Por UC'!$R156,'Resumo Operacional'!$A$1:$P$1,0))*$S156,INDEX('Resumo Operacional'!$A$1:$P$1103,53,MATCH('Detalhe Por UC'!$R156,'Resumo Operacional'!$A$1:$P$1,0))*$S156)</f>
        <v>253.36</v>
      </c>
      <c r="AR156" s="71">
        <f t="shared" si="87"/>
        <v>352.64</v>
      </c>
      <c r="AS156" s="73">
        <f t="shared" si="88"/>
        <v>202.98999999999998</v>
      </c>
      <c r="AT156" s="74">
        <f t="shared" si="89"/>
        <v>202.98999999999998</v>
      </c>
      <c r="AU156" s="74">
        <f t="shared" si="90"/>
        <v>0.99918923933209669</v>
      </c>
      <c r="AV156" s="74">
        <f t="shared" si="91"/>
        <v>331.59750000000008</v>
      </c>
      <c r="AW156" s="74">
        <f t="shared" si="92"/>
        <v>0</v>
      </c>
      <c r="AX156" s="74">
        <f t="shared" si="93"/>
        <v>442.13000000000005</v>
      </c>
      <c r="AY156" s="74">
        <f t="shared" si="94"/>
        <v>331.6</v>
      </c>
      <c r="AZ156" s="49">
        <v>331.6</v>
      </c>
      <c r="BA156" s="49">
        <v>331.6</v>
      </c>
      <c r="BB156" s="49">
        <v>331.6</v>
      </c>
      <c r="BC156" s="73" t="str">
        <f t="shared" si="95"/>
        <v/>
      </c>
      <c r="BD156" s="73">
        <f t="shared" si="96"/>
        <v>645.12</v>
      </c>
      <c r="BE156" s="73">
        <f t="shared" si="97"/>
        <v>534.58750000000009</v>
      </c>
      <c r="BF156" s="77">
        <f t="shared" si="98"/>
        <v>110.53</v>
      </c>
      <c r="BG156" s="77">
        <f t="shared" si="99"/>
        <v>33.158999999999999</v>
      </c>
      <c r="BH156" s="77">
        <f t="shared" si="100"/>
        <v>442.13</v>
      </c>
      <c r="BI156" s="78">
        <f t="shared" si="101"/>
        <v>0.25</v>
      </c>
      <c r="BJ156" s="79">
        <f t="shared" si="102"/>
        <v>0.17133246527777779</v>
      </c>
      <c r="BK156" s="80">
        <f t="shared" si="103"/>
        <v>534.59</v>
      </c>
      <c r="BL156" s="80">
        <f t="shared" si="104"/>
        <v>110.52999999999997</v>
      </c>
      <c r="BM156" s="79">
        <f t="shared" si="105"/>
        <v>0.17133246527777773</v>
      </c>
      <c r="BN156" s="81">
        <f t="shared" si="106"/>
        <v>0.79330143540669862</v>
      </c>
      <c r="BO156" s="82">
        <f t="shared" si="107"/>
        <v>331.6</v>
      </c>
      <c r="BP156" s="81">
        <f t="shared" si="108"/>
        <v>0.79330143540669862</v>
      </c>
      <c r="BQ156" s="81">
        <f t="shared" si="109"/>
        <v>0.85183946880187478</v>
      </c>
      <c r="BR156" s="81">
        <f t="shared" si="110"/>
        <v>1.116265306122449</v>
      </c>
      <c r="BS156" s="82">
        <f t="shared" si="111"/>
        <v>418</v>
      </c>
      <c r="BT156" s="82">
        <f t="shared" si="112"/>
        <v>466.59889795918366</v>
      </c>
      <c r="BU156" s="82">
        <f t="shared" si="113"/>
        <v>442.13000000000005</v>
      </c>
      <c r="BV156"/>
      <c r="BW156" s="82">
        <f>IFERROR(INDEX('Infos Clientes'!$T:$T,MATCH('Detalhe Por UC'!$C156,'Infos Clientes'!B:B,0)),"")</f>
        <v>362.41666666666669</v>
      </c>
      <c r="BX156" s="83">
        <f t="shared" si="114"/>
        <v>0</v>
      </c>
      <c r="BY156" s="84">
        <f t="shared" si="115"/>
        <v>0.23688440003488559</v>
      </c>
      <c r="BZ156" s="85">
        <f>IF(_xlfn.MINIFS('Detalhe Por UC'!R:R,'Detalhe Por UC'!C:C,C156,'Detalhe Por UC'!AD:AD,"&gt;"&amp;0)=0,"",_xlfn.MINIFS('Detalhe Por UC'!R:R,'Detalhe Por UC'!C:C,C156,'Detalhe Por UC'!AD:AD,"&gt;"&amp;0))</f>
        <v>45627</v>
      </c>
      <c r="CA156" s="114">
        <f ca="1">IF(OR(S156&gt;0,AD156&gt;0),IFERROR(
SUMIFS(INDIRECT("'Infos Clientes'!$W"&amp;INDEX('Infos Clientes'!$C:$C,MATCH(C156,'Infos Clientes'!$H:$H,0))&amp;":$CZ"&amp;INDEX('Infos Clientes'!$C:$C,MATCH(C156,'Infos Clientes'!$H:$H,0))),'Infos Clientes'!$W$2:$CZ$2,"&gt;"&amp;$R156-365,'Infos Clientes'!$W$2:$CZ$2,"&lt;="&amp;$R156)/
COUNTIFS(INDIRECT("'Infos Clientes'!$W"&amp;INDEX('Infos Clientes'!$C:$C,MATCH(C156,'Infos Clientes'!$H:$H,0))&amp;":$CZ"&amp;INDEX('Infos Clientes'!$C:$C,MATCH(C156,'Infos Clientes'!$H:$H,0))),"&gt;="&amp;0,'Infos Clientes'!$W$2:$CZ$2,"&gt;"&amp;$R156-365,'Infos Clientes'!$W$2:$CZ$2,"&lt;="&amp;$R156),""),"")</f>
        <v>368.33333333333331</v>
      </c>
      <c r="CB156" s="87">
        <f>VLOOKUP(C156,'Infos Clientes'!B:L,11,0)</f>
        <v>0</v>
      </c>
      <c r="CC156" s="88" t="str">
        <f t="shared" si="116"/>
        <v>A Unidade Consumidora 10/156956-5 economizou R$110,53 na fatura referente à fev/2025  consumindo 418 kWh em créditos de energia renovável conforme fatura de energia. A economia foi de 25% em relação ao que seria pago para a Energisa considerando os créditos consumidos. Atenção: Mantenha as contas da Energisa em dia para evitar cortes.</v>
      </c>
      <c r="CD156" s="40" t="s">
        <v>47</v>
      </c>
      <c r="CF156" s="115">
        <f t="shared" si="117"/>
        <v>-202.98999999999998</v>
      </c>
    </row>
    <row r="157" spans="1:84" s="40" customFormat="1" ht="16.2" hidden="1" customHeight="1" x14ac:dyDescent="0.3">
      <c r="A157" s="105" t="str">
        <f>INDEX('Infos Clientes'!$D:$D,MATCH('Detalhe Por UC'!C157,'Infos Clientes'!B:B,0))</f>
        <v>IGREJA DO EVANGELHO QUADRANGULAR</v>
      </c>
      <c r="B157" s="106" t="str">
        <f>INDEX('Infos Clientes'!$F:$F,MATCH('Detalhe Por UC'!C157,'Infos Clientes'!B:B,0))</f>
        <v>62.955.505/0151-99</v>
      </c>
      <c r="C157" s="44" t="s">
        <v>48</v>
      </c>
      <c r="D157" t="s">
        <v>351</v>
      </c>
      <c r="E157" s="1" t="s">
        <v>352</v>
      </c>
      <c r="F157" s="56" t="str">
        <f>INDEX('Infos Clientes'!$I:$I,MATCH('Detalhe Por UC'!C157,'Infos Clientes'!B:B,0))</f>
        <v>BT</v>
      </c>
      <c r="G157" s="56" t="str">
        <f>INDEX('Infos Clientes'!$J:$J,MATCH('Detalhe Por UC'!C157,'Infos Clientes'!B:B,0))</f>
        <v>trifasico</v>
      </c>
      <c r="H157" s="108" t="s">
        <v>138</v>
      </c>
      <c r="I157" s="58">
        <f>IFERROR(VLOOKUP(C157,'Infos Clientes'!B:E,4,),"")</f>
        <v>306</v>
      </c>
      <c r="J157" s="109">
        <v>0.25</v>
      </c>
      <c r="K157" s="59">
        <f>INDEX('Infos Clientes'!$M:$M,MATCH('Detalhe Por UC'!C157,'Infos Clientes'!B:B,0))</f>
        <v>0.25</v>
      </c>
      <c r="L157" s="125">
        <v>0</v>
      </c>
      <c r="M157" s="56">
        <f>INDEX('Infos Clientes'!$N:$N,MATCH('Detalhe Por UC'!C157,'Infos Clientes'!B:B,0))</f>
        <v>0</v>
      </c>
      <c r="N157" s="56">
        <f t="shared" si="81"/>
        <v>0</v>
      </c>
      <c r="O157" s="56">
        <f t="shared" si="82"/>
        <v>9</v>
      </c>
      <c r="P157" s="56">
        <f t="shared" si="83"/>
        <v>0</v>
      </c>
      <c r="Q157" s="61">
        <f>IFERROR(IFERROR(INDEX('Infos Clientes'!$A$2:$V$9884,MATCH($C157,'Infos Clientes'!$B$2:$B$9884,0),MATCH(Q$8,'Infos Clientes'!$A$2:$V$2,0)),"")
+IF(OR(INDEX('Infos Clientes'!$A$2:$V$9884,MATCH($C157,'Infos Clientes'!$B$2:$B$9884,0),MATCH("Tempo de Fidelidade (meses)",'Infos Clientes'!$A$2:$V$2,0))=0,R157&gt;=MAX(R:R)),0,
ROUND((MAX(R:R)-R157)/(365/12),0)),"")</f>
        <v>0</v>
      </c>
      <c r="R157" s="111">
        <v>45689</v>
      </c>
      <c r="S157" s="112">
        <v>0.01</v>
      </c>
      <c r="T157" s="113" t="str">
        <f>IF($H157="GIROSSOL II",AP157/INDEX('Resumo Operacional'!$A$1:$P$1103,17,MATCH('Detalhe Por UC'!$R157,'Resumo Operacional'!$A$1:$P$1,0)),
IF($H157="GIROSSOL II e III",AP157/INDEX('Resumo Operacional'!$A$1:$P$1103,17,MATCH('Detalhe Por UC'!$R157,'Resumo Operacional'!$A$1:$P$1,0)),
""))</f>
        <v/>
      </c>
      <c r="U157" s="113">
        <f>IF($H157="GIROSSOL III",AP157/INDEX('Resumo Operacional'!$A$1:$P$1103,53,MATCH('Detalhe Por UC'!$R157,'Resumo Operacional'!$A$1:$P$1,0)),
IF($H157="GIROSSOL II e III",AP157/INDEX('Resumo Operacional'!$A$1:$P$1103,53,MATCH('Detalhe Por UC'!$R157,'Resumo Operacional'!$A$1:$P$1,0)),
""))</f>
        <v>9.9543757776856083E-3</v>
      </c>
      <c r="V157" s="18"/>
      <c r="W157" s="54"/>
      <c r="X157" s="127">
        <v>1.1162630480167015</v>
      </c>
      <c r="Y157" s="127">
        <v>0</v>
      </c>
      <c r="Z157" s="127">
        <v>0.97409722222222217</v>
      </c>
      <c r="AA157" s="127">
        <v>0</v>
      </c>
      <c r="AB157" s="127">
        <v>479</v>
      </c>
      <c r="AC157" s="127">
        <v>0</v>
      </c>
      <c r="AD157" s="127">
        <v>144</v>
      </c>
      <c r="AE157" s="35"/>
      <c r="AF157" s="127">
        <v>0</v>
      </c>
      <c r="AG157" s="127">
        <v>0</v>
      </c>
      <c r="AH157" s="127">
        <v>8.0300000000000011</v>
      </c>
      <c r="AI157" s="127">
        <v>0</v>
      </c>
      <c r="AJ157" s="127">
        <v>0</v>
      </c>
      <c r="AK157" s="31"/>
      <c r="AL157"/>
      <c r="AM157"/>
      <c r="AN157" s="71">
        <f t="shared" si="84"/>
        <v>0</v>
      </c>
      <c r="AO157" s="71">
        <f t="shared" si="85"/>
        <v>0</v>
      </c>
      <c r="AP157" s="71">
        <f t="shared" si="86"/>
        <v>144</v>
      </c>
      <c r="AQ157" s="72">
        <f>IF(OR($H157="GIROSSOL II",$H157="GIROSSOL II e III"),INDEX('Resumo Operacional'!$A$1:$P$1103,MATCH("Energia Injetada prevista total Fatura da Usina (TUSD)",'Resumo Operacional'!$B$1:$B$1103,0),MATCH('Detalhe Por UC'!$R157,'Resumo Operacional'!$A$1:$P$1,0))*$S157,INDEX('Resumo Operacional'!$A$1:$P$1103,53,MATCH('Detalhe Por UC'!$R157,'Resumo Operacional'!$A$1:$P$1,0))*$S157)</f>
        <v>144.66</v>
      </c>
      <c r="AR157" s="71">
        <f t="shared" si="87"/>
        <v>-0.65999999999999659</v>
      </c>
      <c r="AS157" s="73">
        <f t="shared" si="88"/>
        <v>402.45000000000005</v>
      </c>
      <c r="AT157" s="74">
        <f t="shared" si="89"/>
        <v>402.45000000000005</v>
      </c>
      <c r="AU157" s="74">
        <f t="shared" si="90"/>
        <v>0.83193139642774272</v>
      </c>
      <c r="AV157" s="74">
        <f t="shared" si="91"/>
        <v>105.20249999999999</v>
      </c>
      <c r="AW157" s="74">
        <f t="shared" si="92"/>
        <v>0</v>
      </c>
      <c r="AX157" s="74">
        <f t="shared" si="93"/>
        <v>140.26999999999998</v>
      </c>
      <c r="AY157" s="74">
        <f t="shared" si="94"/>
        <v>105.2</v>
      </c>
      <c r="AZ157" s="49">
        <v>105.2</v>
      </c>
      <c r="BA157" s="49">
        <v>105.2</v>
      </c>
      <c r="BB157" s="49">
        <v>105.2</v>
      </c>
      <c r="BC157" s="73" t="str">
        <f t="shared" si="95"/>
        <v/>
      </c>
      <c r="BD157" s="73">
        <f t="shared" si="96"/>
        <v>542.72</v>
      </c>
      <c r="BE157" s="73">
        <f t="shared" si="97"/>
        <v>507.65250000000003</v>
      </c>
      <c r="BF157" s="77">
        <f t="shared" si="98"/>
        <v>35.07</v>
      </c>
      <c r="BG157" s="77">
        <f t="shared" si="99"/>
        <v>10.520999999999999</v>
      </c>
      <c r="BH157" s="77">
        <f t="shared" si="100"/>
        <v>140.26999999999998</v>
      </c>
      <c r="BI157" s="78">
        <f t="shared" si="101"/>
        <v>0.25</v>
      </c>
      <c r="BJ157" s="79">
        <f t="shared" si="102"/>
        <v>6.4618956367924529E-2</v>
      </c>
      <c r="BK157" s="80">
        <f t="shared" si="103"/>
        <v>507.65000000000003</v>
      </c>
      <c r="BL157" s="80">
        <f t="shared" si="104"/>
        <v>35.069999999999993</v>
      </c>
      <c r="BM157" s="79">
        <f t="shared" si="105"/>
        <v>6.4618956367924515E-2</v>
      </c>
      <c r="BN157" s="81">
        <f t="shared" si="106"/>
        <v>0.73055555555555562</v>
      </c>
      <c r="BO157" s="82">
        <f t="shared" si="107"/>
        <v>105.20000000000002</v>
      </c>
      <c r="BP157" s="81">
        <f t="shared" si="108"/>
        <v>0.73055555555555562</v>
      </c>
      <c r="BQ157" s="81">
        <f t="shared" si="109"/>
        <v>0.87272138135003496</v>
      </c>
      <c r="BR157" s="81">
        <f t="shared" si="110"/>
        <v>1.1162630480167015</v>
      </c>
      <c r="BS157" s="82">
        <f t="shared" si="111"/>
        <v>144</v>
      </c>
      <c r="BT157" s="82">
        <f t="shared" si="112"/>
        <v>160.74187891440502</v>
      </c>
      <c r="BU157" s="82">
        <f t="shared" si="113"/>
        <v>140.26999999999998</v>
      </c>
      <c r="BV157"/>
      <c r="BW157" s="82">
        <f>IFERROR(INDEX('Infos Clientes'!$T:$T,MATCH('Detalhe Por UC'!$C157,'Infos Clientes'!B:B,0)),"")</f>
        <v>286.5</v>
      </c>
      <c r="BX157" s="83">
        <f t="shared" si="114"/>
        <v>0</v>
      </c>
      <c r="BY157" s="84">
        <f t="shared" si="115"/>
        <v>0.21817587449425513</v>
      </c>
      <c r="BZ157" s="85">
        <f>IF(_xlfn.MINIFS('Detalhe Por UC'!R:R,'Detalhe Por UC'!C:C,C157,'Detalhe Por UC'!AD:AD,"&gt;"&amp;0)=0,"",_xlfn.MINIFS('Detalhe Por UC'!R:R,'Detalhe Por UC'!C:C,C157,'Detalhe Por UC'!AD:AD,"&gt;"&amp;0))</f>
        <v>45658</v>
      </c>
      <c r="CA157" s="114">
        <f ca="1">IF(OR(S157&gt;0,AD157&gt;0),IFERROR(
SUMIFS(INDIRECT("'Infos Clientes'!$W"&amp;INDEX('Infos Clientes'!$C:$C,MATCH(C157,'Infos Clientes'!$H:$H,0))&amp;":$CZ"&amp;INDEX('Infos Clientes'!$C:$C,MATCH(C157,'Infos Clientes'!$H:$H,0))),'Infos Clientes'!$W$2:$CZ$2,"&gt;"&amp;$R157-365,'Infos Clientes'!$W$2:$CZ$2,"&lt;="&amp;$R157)/
COUNTIFS(INDIRECT("'Infos Clientes'!$W"&amp;INDEX('Infos Clientes'!$C:$C,MATCH(C157,'Infos Clientes'!$H:$H,0))&amp;":$CZ"&amp;INDEX('Infos Clientes'!$C:$C,MATCH(C157,'Infos Clientes'!$H:$H,0))),"&gt;="&amp;0,'Infos Clientes'!$W$2:$CZ$2,"&gt;"&amp;$R157-365,'Infos Clientes'!$W$2:$CZ$2,"&lt;="&amp;$R157),""),"")</f>
        <v>326.41666666666669</v>
      </c>
      <c r="CB157" s="87">
        <f>VLOOKUP(C157,'Infos Clientes'!B:L,11,0)</f>
        <v>0</v>
      </c>
      <c r="CC157" s="88" t="str">
        <f t="shared" si="116"/>
        <v>A Unidade Consumidora 10/2794432-1 economizou R$35,07 na fatura referente à fev/2025  consumindo 144 kWh em créditos de energia renovável conforme fatura de energia. A economia foi de 25% em relação ao que seria pago para a Energisa considerando os créditos consumidos. Atenção: Mantenha as contas da Energisa em dia para evitar cortes.</v>
      </c>
      <c r="CD157" s="40" t="s">
        <v>50</v>
      </c>
      <c r="CF157" s="115">
        <f t="shared" si="117"/>
        <v>-402.45000000000005</v>
      </c>
    </row>
    <row r="158" spans="1:84" s="40" customFormat="1" ht="16.2" hidden="1" customHeight="1" x14ac:dyDescent="0.3">
      <c r="A158" s="105" t="str">
        <f>INDEX('Infos Clientes'!$D:$D,MATCH('Detalhe Por UC'!C158,'Infos Clientes'!B:B,0))</f>
        <v>IGREJA DO EVANGELHO QUADRANGULAR</v>
      </c>
      <c r="B158" s="106" t="str">
        <f>INDEX('Infos Clientes'!$F:$F,MATCH('Detalhe Por UC'!C158,'Infos Clientes'!B:B,0))</f>
        <v>62.955.505/1973-60</v>
      </c>
      <c r="C158" s="31" t="s">
        <v>51</v>
      </c>
      <c r="D158" t="s">
        <v>351</v>
      </c>
      <c r="E158" s="1" t="s">
        <v>352</v>
      </c>
      <c r="F158" s="56" t="str">
        <f>INDEX('Infos Clientes'!$I:$I,MATCH('Detalhe Por UC'!C158,'Infos Clientes'!B:B,0))</f>
        <v>BT</v>
      </c>
      <c r="G158" s="56" t="str">
        <f>INDEX('Infos Clientes'!$J:$J,MATCH('Detalhe Por UC'!C158,'Infos Clientes'!B:B,0))</f>
        <v>trifasico</v>
      </c>
      <c r="H158" s="108" t="s">
        <v>353</v>
      </c>
      <c r="I158" s="58">
        <f>IFERROR(VLOOKUP(C158,'Infos Clientes'!B:E,4,),"")</f>
        <v>360</v>
      </c>
      <c r="J158" s="109">
        <v>0.25</v>
      </c>
      <c r="K158" s="59">
        <f>INDEX('Infos Clientes'!$M:$M,MATCH('Detalhe Por UC'!C158,'Infos Clientes'!B:B,0))</f>
        <v>0.25</v>
      </c>
      <c r="L158" s="125">
        <v>0</v>
      </c>
      <c r="M158" s="56">
        <f>INDEX('Infos Clientes'!$N:$N,MATCH('Detalhe Por UC'!C158,'Infos Clientes'!B:B,0))</f>
        <v>0</v>
      </c>
      <c r="N158" s="56">
        <f t="shared" si="81"/>
        <v>0</v>
      </c>
      <c r="O158" s="56">
        <f t="shared" si="82"/>
        <v>9</v>
      </c>
      <c r="P158" s="56">
        <f t="shared" si="83"/>
        <v>0</v>
      </c>
      <c r="Q158" s="61">
        <f>IFERROR(IFERROR(INDEX('Infos Clientes'!$A$2:$V$9884,MATCH($C158,'Infos Clientes'!$B$2:$B$9884,0),MATCH(Q$8,'Infos Clientes'!$A$2:$V$2,0)),"")
+IF(OR(INDEX('Infos Clientes'!$A$2:$V$9884,MATCH($C158,'Infos Clientes'!$B$2:$B$9884,0),MATCH("Tempo de Fidelidade (meses)",'Infos Clientes'!$A$2:$V$2,0))=0,R158&gt;=MAX(R:R)),0,
ROUND((MAX(R:R)-R158)/(365/12),0)),"")</f>
        <v>0</v>
      </c>
      <c r="R158" s="111">
        <v>45689</v>
      </c>
      <c r="S158" s="112">
        <v>0.01</v>
      </c>
      <c r="T158" s="113">
        <f>IF($H158="GIROSSOL II",AP158/INDEX('Resumo Operacional'!$A$1:$P$1103,17,MATCH('Detalhe Por UC'!$R158,'Resumo Operacional'!$A$1:$P$1,0)),
IF($H158="GIROSSOL II e III",AP158/INDEX('Resumo Operacional'!$A$1:$P$1103,17,MATCH('Detalhe Por UC'!$R158,'Resumo Operacional'!$A$1:$P$1,0)),
""))</f>
        <v>2.3839595832017682E-2</v>
      </c>
      <c r="U158" s="113">
        <f>IF($H158="GIROSSOL III",AP158/INDEX('Resumo Operacional'!$A$1:$P$1103,53,MATCH('Detalhe Por UC'!$R158,'Resumo Operacional'!$A$1:$P$1,0)),
IF($H158="GIROSSOL II e III",AP158/INDEX('Resumo Operacional'!$A$1:$P$1103,53,MATCH('Detalhe Por UC'!$R158,'Resumo Operacional'!$A$1:$P$1,0)),
""))</f>
        <v>2.0876538089312873E-2</v>
      </c>
      <c r="V158" s="18"/>
      <c r="W158" s="54"/>
      <c r="X158" s="127">
        <v>1.11625</v>
      </c>
      <c r="Y158" s="127">
        <v>0</v>
      </c>
      <c r="Z158" s="127">
        <v>1.0931413612565444</v>
      </c>
      <c r="AA158" s="127">
        <v>0</v>
      </c>
      <c r="AB158" s="127">
        <v>472</v>
      </c>
      <c r="AC158" s="127">
        <v>0</v>
      </c>
      <c r="AD158" s="127">
        <v>382</v>
      </c>
      <c r="AE158" s="35"/>
      <c r="AF158" s="127">
        <v>188</v>
      </c>
      <c r="AG158" s="127">
        <v>0</v>
      </c>
      <c r="AH158" s="127">
        <v>98.06</v>
      </c>
      <c r="AI158" s="127">
        <v>0</v>
      </c>
      <c r="AJ158" s="127">
        <v>0</v>
      </c>
      <c r="AK158" s="31"/>
      <c r="AL158"/>
      <c r="AM158"/>
      <c r="AN158" s="71">
        <f t="shared" si="84"/>
        <v>-80</v>
      </c>
      <c r="AO158" s="71">
        <f t="shared" si="85"/>
        <v>0</v>
      </c>
      <c r="AP158" s="71">
        <f t="shared" si="86"/>
        <v>302</v>
      </c>
      <c r="AQ158" s="72">
        <f>IF(OR($H158="GIROSSOL II",$H158="GIROSSOL II e III"),INDEX('Resumo Operacional'!$A$1:$P$1103,MATCH("Energia Injetada prevista total Fatura da Usina (TUSD)",'Resumo Operacional'!$B$1:$B$1103,0),MATCH('Detalhe Por UC'!$R158,'Resumo Operacional'!$A$1:$P$1,0))*$S158,INDEX('Resumo Operacional'!$A$1:$P$1103,53,MATCH('Detalhe Por UC'!$R158,'Resumo Operacional'!$A$1:$P$1,0))*$S158)</f>
        <v>126.68</v>
      </c>
      <c r="AR158" s="71">
        <f t="shared" si="87"/>
        <v>175.32</v>
      </c>
      <c r="AS158" s="73">
        <f t="shared" si="88"/>
        <v>207.35000000000008</v>
      </c>
      <c r="AT158" s="74">
        <f t="shared" si="89"/>
        <v>207.35000000000008</v>
      </c>
      <c r="AU158" s="74">
        <f t="shared" si="90"/>
        <v>1.0700327225130888</v>
      </c>
      <c r="AV158" s="74">
        <f t="shared" si="91"/>
        <v>313.18499999999995</v>
      </c>
      <c r="AW158" s="74">
        <f t="shared" si="92"/>
        <v>0</v>
      </c>
      <c r="AX158" s="74">
        <f t="shared" si="93"/>
        <v>417.57999999999993</v>
      </c>
      <c r="AY158" s="74">
        <f t="shared" si="94"/>
        <v>313.19</v>
      </c>
      <c r="AZ158" s="49">
        <v>313.19</v>
      </c>
      <c r="BA158" s="49">
        <v>313.19</v>
      </c>
      <c r="BB158" s="49">
        <v>313.19</v>
      </c>
      <c r="BC158" s="73" t="str">
        <f t="shared" si="95"/>
        <v/>
      </c>
      <c r="BD158" s="73">
        <f t="shared" si="96"/>
        <v>624.93000000000006</v>
      </c>
      <c r="BE158" s="73">
        <f t="shared" si="97"/>
        <v>520.53500000000008</v>
      </c>
      <c r="BF158" s="77">
        <f t="shared" si="98"/>
        <v>104.4</v>
      </c>
      <c r="BG158" s="77">
        <f t="shared" si="99"/>
        <v>31.32</v>
      </c>
      <c r="BH158" s="77">
        <f t="shared" si="100"/>
        <v>417.57999999999993</v>
      </c>
      <c r="BI158" s="78">
        <f t="shared" si="101"/>
        <v>0.25</v>
      </c>
      <c r="BJ158" s="79">
        <f t="shared" si="102"/>
        <v>0.16705871057558447</v>
      </c>
      <c r="BK158" s="80">
        <f t="shared" si="103"/>
        <v>520.54000000000008</v>
      </c>
      <c r="BL158" s="80">
        <f t="shared" si="104"/>
        <v>104.38999999999999</v>
      </c>
      <c r="BM158" s="79">
        <f t="shared" si="105"/>
        <v>0.1670427087833837</v>
      </c>
      <c r="BN158" s="81">
        <f t="shared" si="106"/>
        <v>0.81986910994764395</v>
      </c>
      <c r="BO158" s="82">
        <f t="shared" si="107"/>
        <v>313.19</v>
      </c>
      <c r="BP158" s="81">
        <f t="shared" si="108"/>
        <v>0.81986910994764395</v>
      </c>
      <c r="BQ158" s="81">
        <f t="shared" si="109"/>
        <v>0.84297774869109954</v>
      </c>
      <c r="BR158" s="81">
        <f t="shared" si="110"/>
        <v>1.11625</v>
      </c>
      <c r="BS158" s="82">
        <f t="shared" si="111"/>
        <v>382</v>
      </c>
      <c r="BT158" s="82">
        <f t="shared" si="112"/>
        <v>426.40749999999997</v>
      </c>
      <c r="BU158" s="82">
        <f t="shared" si="113"/>
        <v>417.57999999999993</v>
      </c>
      <c r="BV158"/>
      <c r="BW158" s="82">
        <f>IFERROR(INDEX('Infos Clientes'!$T:$T,MATCH('Detalhe Por UC'!$C158,'Infos Clientes'!B:B,0)),"")</f>
        <v>185.66666666666666</v>
      </c>
      <c r="BX158" s="83">
        <f t="shared" si="114"/>
        <v>0</v>
      </c>
      <c r="BY158" s="84">
        <f t="shared" si="115"/>
        <v>0.244812767130034</v>
      </c>
      <c r="BZ158" s="85">
        <f>IF(_xlfn.MINIFS('Detalhe Por UC'!R:R,'Detalhe Por UC'!C:C,C158,'Detalhe Por UC'!AD:AD,"&gt;"&amp;0)=0,"",_xlfn.MINIFS('Detalhe Por UC'!R:R,'Detalhe Por UC'!C:C,C158,'Detalhe Por UC'!AD:AD,"&gt;"&amp;0))</f>
        <v>45627</v>
      </c>
      <c r="CA158" s="114">
        <f ca="1">IF(OR(S158&gt;0,AD158&gt;0),IFERROR(
SUMIFS(INDIRECT("'Infos Clientes'!$W"&amp;INDEX('Infos Clientes'!$C:$C,MATCH(C158,'Infos Clientes'!$H:$H,0))&amp;":$CZ"&amp;INDEX('Infos Clientes'!$C:$C,MATCH(C158,'Infos Clientes'!$H:$H,0))),'Infos Clientes'!$W$2:$CZ$2,"&gt;"&amp;$R158-365,'Infos Clientes'!$W$2:$CZ$2,"&lt;="&amp;$R158)/
COUNTIFS(INDIRECT("'Infos Clientes'!$W"&amp;INDEX('Infos Clientes'!$C:$C,MATCH(C158,'Infos Clientes'!$H:$H,0))&amp;":$CZ"&amp;INDEX('Infos Clientes'!$C:$C,MATCH(C158,'Infos Clientes'!$H:$H,0))),"&gt;="&amp;0,'Infos Clientes'!$W$2:$CZ$2,"&gt;"&amp;$R158-365,'Infos Clientes'!$W$2:$CZ$2,"&lt;="&amp;$R158),""),"")</f>
        <v>210</v>
      </c>
      <c r="CB158" s="87">
        <f>VLOOKUP(C158,'Infos Clientes'!B:L,11,0)</f>
        <v>0</v>
      </c>
      <c r="CC158" s="88" t="str">
        <f t="shared" si="116"/>
        <v>A Unidade Consumidora 10/162736-3 economizou R$104,4 na fatura referente à fev/2025  consumindo 382 kWh em créditos de energia renovável conforme fatura de energia. A economia foi de 25% em relação ao que seria pago para a Energisa considerando os créditos consumidos. Atenção: Mantenha as contas da Energisa em dia para evitar cortes.</v>
      </c>
      <c r="CD158" s="40" t="s">
        <v>53</v>
      </c>
      <c r="CF158" s="115">
        <f t="shared" si="117"/>
        <v>-207.35000000000008</v>
      </c>
    </row>
    <row r="159" spans="1:84" s="40" customFormat="1" ht="16.2" hidden="1" customHeight="1" x14ac:dyDescent="0.3">
      <c r="A159" s="105" t="str">
        <f>INDEX('Infos Clientes'!$D:$D,MATCH('Detalhe Por UC'!C159,'Infos Clientes'!B:B,0))</f>
        <v>IGREJA DO EVANGELHO QUADRANGULAR</v>
      </c>
      <c r="B159" s="106" t="str">
        <f>INDEX('Infos Clientes'!$F:$F,MATCH('Detalhe Por UC'!C159,'Infos Clientes'!B:B,0))</f>
        <v>62.955.505/0172-13</v>
      </c>
      <c r="C159" s="31" t="s">
        <v>54</v>
      </c>
      <c r="D159" t="s">
        <v>351</v>
      </c>
      <c r="E159" s="1" t="s">
        <v>352</v>
      </c>
      <c r="F159" s="56" t="str">
        <f>INDEX('Infos Clientes'!$I:$I,MATCH('Detalhe Por UC'!C159,'Infos Clientes'!B:B,0))</f>
        <v>BT</v>
      </c>
      <c r="G159" s="56" t="str">
        <f>INDEX('Infos Clientes'!$J:$J,MATCH('Detalhe Por UC'!C159,'Infos Clientes'!B:B,0))</f>
        <v>trifasico</v>
      </c>
      <c r="H159" s="108" t="s">
        <v>24</v>
      </c>
      <c r="I159" s="58">
        <f>IFERROR(VLOOKUP(C159,'Infos Clientes'!B:E,4,),"")</f>
        <v>371</v>
      </c>
      <c r="J159" s="109">
        <v>0.25</v>
      </c>
      <c r="K159" s="59">
        <f>INDEX('Infos Clientes'!$M:$M,MATCH('Detalhe Por UC'!C159,'Infos Clientes'!B:B,0))</f>
        <v>0.25</v>
      </c>
      <c r="L159" s="125">
        <v>0</v>
      </c>
      <c r="M159" s="56">
        <f>INDEX('Infos Clientes'!$N:$N,MATCH('Detalhe Por UC'!C159,'Infos Clientes'!B:B,0))</f>
        <v>0</v>
      </c>
      <c r="N159" s="56">
        <f t="shared" si="81"/>
        <v>0</v>
      </c>
      <c r="O159" s="56">
        <f t="shared" si="82"/>
        <v>12</v>
      </c>
      <c r="P159" s="56">
        <f t="shared" si="83"/>
        <v>0</v>
      </c>
      <c r="Q159" s="61">
        <f>IFERROR(IFERROR(INDEX('Infos Clientes'!$A$2:$V$9884,MATCH($C159,'Infos Clientes'!$B$2:$B$9884,0),MATCH(Q$8,'Infos Clientes'!$A$2:$V$2,0)),"")
+IF(OR(INDEX('Infos Clientes'!$A$2:$V$9884,MATCH($C159,'Infos Clientes'!$B$2:$B$9884,0),MATCH("Tempo de Fidelidade (meses)",'Infos Clientes'!$A$2:$V$2,0))=0,R159&gt;=MAX(R:R)),0,
ROUND((MAX(R:R)-R159)/(365/12),0)),"")</f>
        <v>0</v>
      </c>
      <c r="R159" s="111">
        <v>45689</v>
      </c>
      <c r="S159" s="112">
        <v>5.0000000000000001E-3</v>
      </c>
      <c r="T159" s="113">
        <f>IF($H159="GIROSSOL II",AP159/INDEX('Resumo Operacional'!$A$1:$P$1103,17,MATCH('Detalhe Por UC'!$R159,'Resumo Operacional'!$A$1:$P$1,0)),
IF($H159="GIROSSOL II e III",AP159/INDEX('Resumo Operacional'!$A$1:$P$1103,17,MATCH('Detalhe Por UC'!$R159,'Resumo Operacional'!$A$1:$P$1,0)),
""))</f>
        <v>1.7366592990211555E-2</v>
      </c>
      <c r="U159" s="113" t="str">
        <f>IF($H159="GIROSSOL III",AP159/INDEX('Resumo Operacional'!$A$1:$P$1103,53,MATCH('Detalhe Por UC'!$R159,'Resumo Operacional'!$A$1:$P$1,0)),
IF($H159="GIROSSOL II e III",AP159/INDEX('Resumo Operacional'!$A$1:$P$1103,53,MATCH('Detalhe Por UC'!$R159,'Resumo Operacional'!$A$1:$P$1,0)),
""))</f>
        <v/>
      </c>
      <c r="V159" s="18"/>
      <c r="W159" s="54"/>
      <c r="X159" s="127">
        <v>1.116258865248227</v>
      </c>
      <c r="Y159" s="127">
        <v>0</v>
      </c>
      <c r="Z159" s="127">
        <v>1.1162500000000002</v>
      </c>
      <c r="AA159" s="127">
        <v>0</v>
      </c>
      <c r="AB159" s="127">
        <v>564</v>
      </c>
      <c r="AC159" s="127">
        <v>0</v>
      </c>
      <c r="AD159" s="127">
        <v>464</v>
      </c>
      <c r="AE159" s="35"/>
      <c r="AF159" s="127">
        <v>3575</v>
      </c>
      <c r="AG159" s="127">
        <v>0</v>
      </c>
      <c r="AH159" s="127">
        <v>67.42</v>
      </c>
      <c r="AI159" s="127">
        <v>0</v>
      </c>
      <c r="AJ159" s="127">
        <v>0</v>
      </c>
      <c r="AK159" s="31"/>
      <c r="AL159"/>
      <c r="AM159"/>
      <c r="AN159" s="71">
        <f t="shared" si="84"/>
        <v>-244</v>
      </c>
      <c r="AO159" s="71">
        <f t="shared" si="85"/>
        <v>0</v>
      </c>
      <c r="AP159" s="71">
        <f t="shared" si="86"/>
        <v>220</v>
      </c>
      <c r="AQ159" s="72">
        <f>IF(OR($H159="GIROSSOL II",$H159="GIROSSOL II e III"),INDEX('Resumo Operacional'!$A$1:$P$1103,MATCH("Energia Injetada prevista total Fatura da Usina (TUSD)",'Resumo Operacional'!$B$1:$B$1103,0),MATCH('Detalhe Por UC'!$R159,'Resumo Operacional'!$A$1:$P$1,0))*$S159,INDEX('Resumo Operacional'!$A$1:$P$1103,53,MATCH('Detalhe Por UC'!$R159,'Resumo Operacional'!$A$1:$P$1,0))*$S159)</f>
        <v>63.34</v>
      </c>
      <c r="AR159" s="71">
        <f t="shared" si="87"/>
        <v>156.66</v>
      </c>
      <c r="AS159" s="73">
        <f t="shared" si="88"/>
        <v>179.05</v>
      </c>
      <c r="AT159" s="74">
        <f t="shared" si="89"/>
        <v>179.05</v>
      </c>
      <c r="AU159" s="74">
        <f t="shared" si="90"/>
        <v>1.1162411347517733</v>
      </c>
      <c r="AV159" s="74">
        <f t="shared" si="91"/>
        <v>388.4550000000001</v>
      </c>
      <c r="AW159" s="74">
        <f t="shared" si="92"/>
        <v>0</v>
      </c>
      <c r="AX159" s="74">
        <f t="shared" si="93"/>
        <v>517.94000000000005</v>
      </c>
      <c r="AY159" s="74">
        <f t="shared" si="94"/>
        <v>388.46</v>
      </c>
      <c r="AZ159" s="49">
        <v>388.46</v>
      </c>
      <c r="BA159" s="49">
        <v>388.46</v>
      </c>
      <c r="BB159" s="49">
        <v>388.46</v>
      </c>
      <c r="BC159" s="73" t="str">
        <f t="shared" si="95"/>
        <v/>
      </c>
      <c r="BD159" s="73">
        <f t="shared" si="96"/>
        <v>696.99</v>
      </c>
      <c r="BE159" s="73">
        <f t="shared" si="97"/>
        <v>567.50500000000011</v>
      </c>
      <c r="BF159" s="77">
        <f t="shared" si="98"/>
        <v>129.49</v>
      </c>
      <c r="BG159" s="77">
        <f t="shared" si="99"/>
        <v>38.847000000000001</v>
      </c>
      <c r="BH159" s="77">
        <f t="shared" si="100"/>
        <v>517.94000000000005</v>
      </c>
      <c r="BI159" s="78">
        <f t="shared" si="101"/>
        <v>0.25</v>
      </c>
      <c r="BJ159" s="79">
        <f t="shared" si="102"/>
        <v>0.18578458801417524</v>
      </c>
      <c r="BK159" s="80">
        <f t="shared" si="103"/>
        <v>567.51</v>
      </c>
      <c r="BL159" s="80">
        <f t="shared" si="104"/>
        <v>129.48000000000002</v>
      </c>
      <c r="BM159" s="79">
        <f t="shared" si="105"/>
        <v>0.18577024060603453</v>
      </c>
      <c r="BN159" s="81">
        <f t="shared" si="106"/>
        <v>0.83719827586206896</v>
      </c>
      <c r="BO159" s="82">
        <f t="shared" si="107"/>
        <v>388.46</v>
      </c>
      <c r="BP159" s="81">
        <f t="shared" si="108"/>
        <v>0.83719827586206896</v>
      </c>
      <c r="BQ159" s="81">
        <f t="shared" si="109"/>
        <v>0.83720714111029582</v>
      </c>
      <c r="BR159" s="81">
        <f t="shared" si="110"/>
        <v>1.116258865248227</v>
      </c>
      <c r="BS159" s="82">
        <f t="shared" si="111"/>
        <v>464</v>
      </c>
      <c r="BT159" s="82">
        <f t="shared" si="112"/>
        <v>517.94411347517735</v>
      </c>
      <c r="BU159" s="82">
        <f t="shared" si="113"/>
        <v>517.94000000000005</v>
      </c>
      <c r="BV159"/>
      <c r="BW159" s="82">
        <f>IFERROR(INDEX('Infos Clientes'!$T:$T,MATCH('Detalhe Por UC'!$C159,'Infos Clientes'!B:B,0)),"")</f>
        <v>418.16666666666669</v>
      </c>
      <c r="BX159" s="83">
        <f t="shared" si="114"/>
        <v>0</v>
      </c>
      <c r="BY159" s="84">
        <f t="shared" si="115"/>
        <v>0.24998836096668076</v>
      </c>
      <c r="BZ159" s="85">
        <f>IF(_xlfn.MINIFS('Detalhe Por UC'!R:R,'Detalhe Por UC'!C:C,C159,'Detalhe Por UC'!AD:AD,"&gt;"&amp;0)=0,"",_xlfn.MINIFS('Detalhe Por UC'!R:R,'Detalhe Por UC'!C:C,C159,'Detalhe Por UC'!AD:AD,"&gt;"&amp;0))</f>
        <v>45627</v>
      </c>
      <c r="CA159" s="114">
        <f ca="1">IF(OR(S159&gt;0,AD159&gt;0),IFERROR(
SUMIFS(INDIRECT("'Infos Clientes'!$W"&amp;INDEX('Infos Clientes'!$C:$C,MATCH(C159,'Infos Clientes'!$H:$H,0))&amp;":$CZ"&amp;INDEX('Infos Clientes'!$C:$C,MATCH(C159,'Infos Clientes'!$H:$H,0))),'Infos Clientes'!$W$2:$CZ$2,"&gt;"&amp;$R159-365,'Infos Clientes'!$W$2:$CZ$2,"&lt;="&amp;$R159)/
COUNTIFS(INDIRECT("'Infos Clientes'!$W"&amp;INDEX('Infos Clientes'!$C:$C,MATCH(C159,'Infos Clientes'!$H:$H,0))&amp;":$CZ"&amp;INDEX('Infos Clientes'!$C:$C,MATCH(C159,'Infos Clientes'!$H:$H,0))),"&gt;="&amp;0,'Infos Clientes'!$W$2:$CZ$2,"&gt;"&amp;$R159-365,'Infos Clientes'!$W$2:$CZ$2,"&lt;="&amp;$R159),""),"")</f>
        <v>393.16666666666669</v>
      </c>
      <c r="CB159" s="87">
        <f>VLOOKUP(C159,'Infos Clientes'!B:L,11,0)</f>
        <v>0</v>
      </c>
      <c r="CC159" s="88" t="str">
        <f t="shared" si="116"/>
        <v>A Unidade Consumidora 10/1672452-8 economizou R$129,49 na fatura referente à fev/2025  consumindo 464 kWh em créditos de energia renovável conforme fatura de energia. A economia foi de 25% em relação ao que seria pago para a Energisa considerando os créditos consumidos. Atenção: Mantenha as contas da Energisa em dia para evitar cortes.</v>
      </c>
      <c r="CD159" s="40" t="s">
        <v>56</v>
      </c>
      <c r="CF159" s="115">
        <f t="shared" si="117"/>
        <v>-179.05</v>
      </c>
    </row>
    <row r="160" spans="1:84" s="40" customFormat="1" ht="16.2" hidden="1" customHeight="1" x14ac:dyDescent="0.3">
      <c r="A160" s="105" t="str">
        <f>INDEX('Infos Clientes'!$D:$D,MATCH('Detalhe Por UC'!C160,'Infos Clientes'!B:B,0))</f>
        <v>IGREJA DO EVANGELHO QUADRANGULAR</v>
      </c>
      <c r="B160" s="106" t="str">
        <f>INDEX('Infos Clientes'!$F:$F,MATCH('Detalhe Por UC'!C160,'Infos Clientes'!B:B,0))</f>
        <v>62.955.505/4612-10</v>
      </c>
      <c r="C160" s="31" t="s">
        <v>57</v>
      </c>
      <c r="D160" t="s">
        <v>351</v>
      </c>
      <c r="E160" s="1" t="s">
        <v>352</v>
      </c>
      <c r="F160" s="56" t="str">
        <f>INDEX('Infos Clientes'!$I:$I,MATCH('Detalhe Por UC'!C160,'Infos Clientes'!B:B,0))</f>
        <v>BT</v>
      </c>
      <c r="G160" s="56" t="str">
        <f>INDEX('Infos Clientes'!$J:$J,MATCH('Detalhe Por UC'!C160,'Infos Clientes'!B:B,0))</f>
        <v>trifasico</v>
      </c>
      <c r="H160" s="108" t="s">
        <v>353</v>
      </c>
      <c r="I160" s="58">
        <f>IFERROR(VLOOKUP(C160,'Infos Clientes'!B:E,4,),"")</f>
        <v>306</v>
      </c>
      <c r="J160" s="109">
        <v>0.25</v>
      </c>
      <c r="K160" s="59">
        <f>INDEX('Infos Clientes'!$M:$M,MATCH('Detalhe Por UC'!C160,'Infos Clientes'!B:B,0))</f>
        <v>0.25</v>
      </c>
      <c r="L160" s="125">
        <v>0</v>
      </c>
      <c r="M160" s="56">
        <f>INDEX('Infos Clientes'!$N:$N,MATCH('Detalhe Por UC'!C160,'Infos Clientes'!B:B,0))</f>
        <v>0</v>
      </c>
      <c r="N160" s="56">
        <f t="shared" si="81"/>
        <v>0</v>
      </c>
      <c r="O160" s="56">
        <f t="shared" si="82"/>
        <v>12</v>
      </c>
      <c r="P160" s="56">
        <f t="shared" si="83"/>
        <v>0</v>
      </c>
      <c r="Q160" s="61">
        <f>IFERROR(IFERROR(INDEX('Infos Clientes'!$A$2:$V$9884,MATCH($C160,'Infos Clientes'!$B$2:$B$9884,0),MATCH(Q$8,'Infos Clientes'!$A$2:$V$2,0)),"")
+IF(OR(INDEX('Infos Clientes'!$A$2:$V$9884,MATCH($C160,'Infos Clientes'!$B$2:$B$9884,0),MATCH("Tempo de Fidelidade (meses)",'Infos Clientes'!$A$2:$V$2,0))=0,R160&gt;=MAX(R:R)),0,
ROUND((MAX(R:R)-R160)/(365/12),0)),"")</f>
        <v>0</v>
      </c>
      <c r="R160" s="111">
        <v>45689</v>
      </c>
      <c r="S160" s="112">
        <v>6.0000000000000001E-3</v>
      </c>
      <c r="T160" s="113">
        <f>IF($H160="GIROSSOL II",AP160/INDEX('Resumo Operacional'!$A$1:$P$1103,17,MATCH('Detalhe Por UC'!$R160,'Resumo Operacional'!$A$1:$P$1,0)),
IF($H160="GIROSSOL II e III",AP160/INDEX('Resumo Operacional'!$A$1:$P$1103,17,MATCH('Detalhe Por UC'!$R160,'Resumo Operacional'!$A$1:$P$1,0)),
""))</f>
        <v>2.9602147142406061E-2</v>
      </c>
      <c r="U160" s="113">
        <f>IF($H160="GIROSSOL III",AP160/INDEX('Resumo Operacional'!$A$1:$P$1103,53,MATCH('Detalhe Por UC'!$R160,'Resumo Operacional'!$A$1:$P$1,0)),
IF($H160="GIROSSOL II e III",AP160/INDEX('Resumo Operacional'!$A$1:$P$1103,53,MATCH('Detalhe Por UC'!$R160,'Resumo Operacional'!$A$1:$P$1,0)),
""))</f>
        <v>2.5922853587722935E-2</v>
      </c>
      <c r="V160" s="18"/>
      <c r="W160" s="54"/>
      <c r="X160" s="127">
        <v>1.1162580645161289</v>
      </c>
      <c r="Y160" s="127">
        <v>0</v>
      </c>
      <c r="Z160" s="127">
        <v>1.0790933333333332</v>
      </c>
      <c r="AA160" s="127">
        <v>0</v>
      </c>
      <c r="AB160" s="127">
        <v>930</v>
      </c>
      <c r="AC160" s="127">
        <v>0</v>
      </c>
      <c r="AD160" s="127">
        <v>375</v>
      </c>
      <c r="AE160" s="35"/>
      <c r="AF160" s="127">
        <v>0</v>
      </c>
      <c r="AG160" s="127">
        <v>0</v>
      </c>
      <c r="AH160" s="127">
        <v>136.77999999999997</v>
      </c>
      <c r="AI160" s="127">
        <v>0</v>
      </c>
      <c r="AJ160" s="127">
        <v>0</v>
      </c>
      <c r="AK160" s="31"/>
      <c r="AL160"/>
      <c r="AM160"/>
      <c r="AN160" s="71">
        <f t="shared" si="84"/>
        <v>0</v>
      </c>
      <c r="AO160" s="71">
        <f t="shared" si="85"/>
        <v>0</v>
      </c>
      <c r="AP160" s="71">
        <f t="shared" si="86"/>
        <v>375</v>
      </c>
      <c r="AQ160" s="72">
        <f>IF(OR($H160="GIROSSOL II",$H160="GIROSSOL II e III"),INDEX('Resumo Operacional'!$A$1:$P$1103,MATCH("Energia Injetada prevista total Fatura da Usina (TUSD)",'Resumo Operacional'!$B$1:$B$1103,0),MATCH('Detalhe Por UC'!$R160,'Resumo Operacional'!$A$1:$P$1,0))*$S160,INDEX('Resumo Operacional'!$A$1:$P$1103,53,MATCH('Detalhe Por UC'!$R160,'Resumo Operacional'!$A$1:$P$1,0))*$S160)</f>
        <v>76.007999999999996</v>
      </c>
      <c r="AR160" s="71">
        <f t="shared" si="87"/>
        <v>298.99200000000002</v>
      </c>
      <c r="AS160" s="73">
        <f t="shared" si="88"/>
        <v>770.2399999999999</v>
      </c>
      <c r="AT160" s="74">
        <f t="shared" si="89"/>
        <v>770.2399999999999</v>
      </c>
      <c r="AU160" s="74">
        <f t="shared" si="90"/>
        <v>1.0419286021505376</v>
      </c>
      <c r="AV160" s="74">
        <f t="shared" si="91"/>
        <v>303.49499999999995</v>
      </c>
      <c r="AW160" s="74">
        <f t="shared" si="92"/>
        <v>0</v>
      </c>
      <c r="AX160" s="74">
        <f t="shared" si="93"/>
        <v>404.65999999999997</v>
      </c>
      <c r="AY160" s="74">
        <f t="shared" si="94"/>
        <v>303.5</v>
      </c>
      <c r="AZ160" s="49">
        <v>303.5</v>
      </c>
      <c r="BA160" s="49">
        <v>303.5</v>
      </c>
      <c r="BB160" s="49">
        <v>303.5</v>
      </c>
      <c r="BC160" s="73" t="str">
        <f t="shared" si="95"/>
        <v/>
      </c>
      <c r="BD160" s="73">
        <f t="shared" si="96"/>
        <v>1174.8999999999999</v>
      </c>
      <c r="BE160" s="73">
        <f t="shared" si="97"/>
        <v>1073.7349999999999</v>
      </c>
      <c r="BF160" s="77">
        <f t="shared" si="98"/>
        <v>101.17</v>
      </c>
      <c r="BG160" s="77">
        <f t="shared" si="99"/>
        <v>30.350999999999999</v>
      </c>
      <c r="BH160" s="77">
        <f t="shared" si="100"/>
        <v>404.65999999999997</v>
      </c>
      <c r="BI160" s="78">
        <f t="shared" si="101"/>
        <v>0.25</v>
      </c>
      <c r="BJ160" s="79">
        <f t="shared" si="102"/>
        <v>8.6109456123925454E-2</v>
      </c>
      <c r="BK160" s="80">
        <f t="shared" si="103"/>
        <v>1073.7399999999998</v>
      </c>
      <c r="BL160" s="80">
        <f t="shared" si="104"/>
        <v>101.16000000000008</v>
      </c>
      <c r="BM160" s="79">
        <f t="shared" si="105"/>
        <v>8.6100944761256362E-2</v>
      </c>
      <c r="BN160" s="81">
        <f t="shared" si="106"/>
        <v>0.80933333333333335</v>
      </c>
      <c r="BO160" s="82">
        <f t="shared" si="107"/>
        <v>303.5</v>
      </c>
      <c r="BP160" s="81">
        <f t="shared" si="108"/>
        <v>0.80933333333333335</v>
      </c>
      <c r="BQ160" s="81">
        <f t="shared" si="109"/>
        <v>0.84649806451612897</v>
      </c>
      <c r="BR160" s="81">
        <f t="shared" si="110"/>
        <v>1.1162580645161289</v>
      </c>
      <c r="BS160" s="82">
        <f t="shared" si="111"/>
        <v>375</v>
      </c>
      <c r="BT160" s="82">
        <f t="shared" si="112"/>
        <v>418.5967741935483</v>
      </c>
      <c r="BU160" s="82">
        <f t="shared" si="113"/>
        <v>404.65999999999997</v>
      </c>
      <c r="BV160"/>
      <c r="BW160" s="82">
        <f>IFERROR(INDEX('Infos Clientes'!$T:$T,MATCH('Detalhe Por UC'!$C160,'Infos Clientes'!B:B,0)),"")</f>
        <v>511.41666666666669</v>
      </c>
      <c r="BX160" s="83">
        <f t="shared" si="114"/>
        <v>0</v>
      </c>
      <c r="BY160" s="84">
        <f t="shared" si="115"/>
        <v>0.24166454745116164</v>
      </c>
      <c r="BZ160" s="85">
        <f>IF(_xlfn.MINIFS('Detalhe Por UC'!R:R,'Detalhe Por UC'!C:C,C160,'Detalhe Por UC'!AD:AD,"&gt;"&amp;0)=0,"",_xlfn.MINIFS('Detalhe Por UC'!R:R,'Detalhe Por UC'!C:C,C160,'Detalhe Por UC'!AD:AD,"&gt;"&amp;0))</f>
        <v>45627</v>
      </c>
      <c r="CA160" s="114">
        <f ca="1">IF(OR(S160&gt;0,AD160&gt;0),IFERROR(
SUMIFS(INDIRECT("'Infos Clientes'!$W"&amp;INDEX('Infos Clientes'!$C:$C,MATCH(C160,'Infos Clientes'!$H:$H,0))&amp;":$CZ"&amp;INDEX('Infos Clientes'!$C:$C,MATCH(C160,'Infos Clientes'!$H:$H,0))),'Infos Clientes'!$W$2:$CZ$2,"&gt;"&amp;$R160-365,'Infos Clientes'!$W$2:$CZ$2,"&lt;="&amp;$R160)/
COUNTIFS(INDIRECT("'Infos Clientes'!$W"&amp;INDEX('Infos Clientes'!$C:$C,MATCH(C160,'Infos Clientes'!$H:$H,0))&amp;":$CZ"&amp;INDEX('Infos Clientes'!$C:$C,MATCH(C160,'Infos Clientes'!$H:$H,0))),"&gt;="&amp;0,'Infos Clientes'!$W$2:$CZ$2,"&gt;"&amp;$R160-365,'Infos Clientes'!$W$2:$CZ$2,"&lt;="&amp;$R160),""),"")</f>
        <v>574.83333333333337</v>
      </c>
      <c r="CB160" s="87">
        <f>VLOOKUP(C160,'Infos Clientes'!B:L,11,0)</f>
        <v>0</v>
      </c>
      <c r="CC160" s="88" t="str">
        <f t="shared" si="116"/>
        <v>A Unidade Consumidora 10/1695011-5 economizou R$101,17 na fatura referente à fev/2025  consumindo 375 kWh em créditos de energia renovável conforme fatura de energia. A economia foi de 25% em relação ao que seria pago para a Energisa considerando os créditos consumidos. Atenção: Mantenha as contas da Energisa em dia para evitar cortes.</v>
      </c>
      <c r="CD160" s="40" t="s">
        <v>59</v>
      </c>
      <c r="CF160" s="115">
        <f t="shared" si="117"/>
        <v>-770.2399999999999</v>
      </c>
    </row>
    <row r="161" spans="1:84" s="40" customFormat="1" ht="16.2" hidden="1" customHeight="1" x14ac:dyDescent="0.3">
      <c r="A161" s="105" t="str">
        <f>INDEX('Infos Clientes'!$D:$D,MATCH('Detalhe Por UC'!C161,'Infos Clientes'!B:B,0))</f>
        <v>IGREJA DO EVANGELHO QUADRANGULAR</v>
      </c>
      <c r="B161" s="106" t="str">
        <f>INDEX('Infos Clientes'!$F:$F,MATCH('Detalhe Por UC'!C161,'Infos Clientes'!B:B,0))</f>
        <v>62.955.505/4612-10</v>
      </c>
      <c r="C161" s="31" t="s">
        <v>60</v>
      </c>
      <c r="D161" t="s">
        <v>351</v>
      </c>
      <c r="E161" s="1" t="s">
        <v>352</v>
      </c>
      <c r="F161" s="56" t="str">
        <f>INDEX('Infos Clientes'!$I:$I,MATCH('Detalhe Por UC'!C161,'Infos Clientes'!B:B,0))</f>
        <v>BT</v>
      </c>
      <c r="G161" s="56" t="str">
        <f>INDEX('Infos Clientes'!$J:$J,MATCH('Detalhe Por UC'!C161,'Infos Clientes'!B:B,0))</f>
        <v>trifasico</v>
      </c>
      <c r="H161" s="108" t="s">
        <v>353</v>
      </c>
      <c r="I161" s="58">
        <f>IFERROR(VLOOKUP(C161,'Infos Clientes'!B:E,4,),"")</f>
        <v>306</v>
      </c>
      <c r="J161" s="109">
        <v>0.25</v>
      </c>
      <c r="K161" s="59">
        <f>INDEX('Infos Clientes'!$M:$M,MATCH('Detalhe Por UC'!C161,'Infos Clientes'!B:B,0))</f>
        <v>0.25</v>
      </c>
      <c r="L161" s="125">
        <v>0</v>
      </c>
      <c r="M161" s="56">
        <f>INDEX('Infos Clientes'!$N:$N,MATCH('Detalhe Por UC'!C161,'Infos Clientes'!B:B,0))</f>
        <v>0</v>
      </c>
      <c r="N161" s="56">
        <f t="shared" si="81"/>
        <v>0</v>
      </c>
      <c r="O161" s="56">
        <f t="shared" si="82"/>
        <v>12</v>
      </c>
      <c r="P161" s="56">
        <f t="shared" si="83"/>
        <v>0</v>
      </c>
      <c r="Q161" s="61">
        <f>IFERROR(IFERROR(INDEX('Infos Clientes'!$A$2:$V$9884,MATCH($C161,'Infos Clientes'!$B$2:$B$9884,0),MATCH(Q$8,'Infos Clientes'!$A$2:$V$2,0)),"")
+IF(OR(INDEX('Infos Clientes'!$A$2:$V$9884,MATCH($C161,'Infos Clientes'!$B$2:$B$9884,0),MATCH("Tempo de Fidelidade (meses)",'Infos Clientes'!$A$2:$V$2,0))=0,R161&gt;=MAX(R:R)),0,
ROUND((MAX(R:R)-R161)/(365/12),0)),"")</f>
        <v>0</v>
      </c>
      <c r="R161" s="111">
        <v>45689</v>
      </c>
      <c r="S161" s="112">
        <v>0.01</v>
      </c>
      <c r="T161" s="113">
        <f>IF($H161="GIROSSOL II",AP161/INDEX('Resumo Operacional'!$A$1:$P$1103,17,MATCH('Detalhe Por UC'!$R161,'Resumo Operacional'!$A$1:$P$1,0)),
IF($H161="GIROSSOL II e III",AP161/INDEX('Resumo Operacional'!$A$1:$P$1103,17,MATCH('Detalhe Por UC'!$R161,'Resumo Operacional'!$A$1:$P$1,0)),
""))</f>
        <v>2.3839595832017682E-2</v>
      </c>
      <c r="U161" s="113">
        <f>IF($H161="GIROSSOL III",AP161/INDEX('Resumo Operacional'!$A$1:$P$1103,53,MATCH('Detalhe Por UC'!$R161,'Resumo Operacional'!$A$1:$P$1,0)),
IF($H161="GIROSSOL II e III",AP161/INDEX('Resumo Operacional'!$A$1:$P$1103,53,MATCH('Detalhe Por UC'!$R161,'Resumo Operacional'!$A$1:$P$1,0)),
""))</f>
        <v>2.0876538089312873E-2</v>
      </c>
      <c r="V161" s="18"/>
      <c r="W161" s="54"/>
      <c r="X161" s="127">
        <v>1.1162533692722372</v>
      </c>
      <c r="Y161" s="127">
        <v>0</v>
      </c>
      <c r="Z161" s="127">
        <v>1.0497269624573378</v>
      </c>
      <c r="AA161" s="127">
        <v>0</v>
      </c>
      <c r="AB161" s="127">
        <v>371</v>
      </c>
      <c r="AC161" s="127">
        <v>0</v>
      </c>
      <c r="AD161" s="127">
        <v>293</v>
      </c>
      <c r="AE161" s="35"/>
      <c r="AF161" s="127">
        <v>50</v>
      </c>
      <c r="AG161" s="127">
        <v>0</v>
      </c>
      <c r="AH161" s="127">
        <v>82.2</v>
      </c>
      <c r="AI161" s="127">
        <v>0</v>
      </c>
      <c r="AJ161" s="127">
        <v>0</v>
      </c>
      <c r="AK161" s="31"/>
      <c r="AL161"/>
      <c r="AM161"/>
      <c r="AN161" s="71">
        <f t="shared" si="84"/>
        <v>9</v>
      </c>
      <c r="AO161" s="71">
        <f t="shared" si="85"/>
        <v>0</v>
      </c>
      <c r="AP161" s="71">
        <f t="shared" si="86"/>
        <v>302</v>
      </c>
      <c r="AQ161" s="72">
        <f>IF(OR($H161="GIROSSOL II",$H161="GIROSSOL II e III"),INDEX('Resumo Operacional'!$A$1:$P$1103,MATCH("Energia Injetada prevista total Fatura da Usina (TUSD)",'Resumo Operacional'!$B$1:$B$1103,0),MATCH('Detalhe Por UC'!$R161,'Resumo Operacional'!$A$1:$P$1,0))*$S161,INDEX('Resumo Operacional'!$A$1:$P$1103,53,MATCH('Detalhe Por UC'!$R161,'Resumo Operacional'!$A$1:$P$1,0))*$S161)</f>
        <v>126.68</v>
      </c>
      <c r="AR161" s="71">
        <f t="shared" si="87"/>
        <v>175.32</v>
      </c>
      <c r="AS161" s="73">
        <f t="shared" si="88"/>
        <v>188.76</v>
      </c>
      <c r="AT161" s="74">
        <f t="shared" si="89"/>
        <v>188.76</v>
      </c>
      <c r="AU161" s="74">
        <f t="shared" si="90"/>
        <v>0.98320055564243836</v>
      </c>
      <c r="AV161" s="74">
        <f t="shared" si="91"/>
        <v>230.67749999999998</v>
      </c>
      <c r="AW161" s="74">
        <f t="shared" si="92"/>
        <v>0</v>
      </c>
      <c r="AX161" s="74">
        <f t="shared" si="93"/>
        <v>307.57</v>
      </c>
      <c r="AY161" s="74">
        <f t="shared" si="94"/>
        <v>230.68</v>
      </c>
      <c r="AZ161" s="49">
        <v>230.68</v>
      </c>
      <c r="BA161" s="49">
        <v>230.68</v>
      </c>
      <c r="BB161" s="49">
        <v>230.68</v>
      </c>
      <c r="BC161" s="73" t="str">
        <f t="shared" si="95"/>
        <v/>
      </c>
      <c r="BD161" s="73">
        <f t="shared" si="96"/>
        <v>496.33</v>
      </c>
      <c r="BE161" s="73">
        <f t="shared" si="97"/>
        <v>419.4375</v>
      </c>
      <c r="BF161" s="77">
        <f t="shared" si="98"/>
        <v>76.89</v>
      </c>
      <c r="BG161" s="77">
        <f t="shared" si="99"/>
        <v>23.067</v>
      </c>
      <c r="BH161" s="77">
        <f t="shared" si="100"/>
        <v>307.56999999999994</v>
      </c>
      <c r="BI161" s="78">
        <f t="shared" si="101"/>
        <v>0.25</v>
      </c>
      <c r="BJ161" s="79">
        <f t="shared" si="102"/>
        <v>0.15491709145125221</v>
      </c>
      <c r="BK161" s="80">
        <f t="shared" si="103"/>
        <v>419.44</v>
      </c>
      <c r="BL161" s="80">
        <f t="shared" si="104"/>
        <v>76.889999999999986</v>
      </c>
      <c r="BM161" s="79">
        <f t="shared" si="105"/>
        <v>0.15491709145125218</v>
      </c>
      <c r="BN161" s="81">
        <f t="shared" si="106"/>
        <v>0.78730375426621158</v>
      </c>
      <c r="BO161" s="82">
        <f t="shared" si="107"/>
        <v>230.67999999999998</v>
      </c>
      <c r="BP161" s="81">
        <f t="shared" si="108"/>
        <v>0.78730375426621158</v>
      </c>
      <c r="BQ161" s="81">
        <f t="shared" si="109"/>
        <v>0.85383016108111098</v>
      </c>
      <c r="BR161" s="81">
        <f t="shared" si="110"/>
        <v>1.1162533692722372</v>
      </c>
      <c r="BS161" s="82">
        <f t="shared" si="111"/>
        <v>293</v>
      </c>
      <c r="BT161" s="82">
        <f t="shared" si="112"/>
        <v>327.06223719676547</v>
      </c>
      <c r="BU161" s="82">
        <f t="shared" si="113"/>
        <v>307.57</v>
      </c>
      <c r="BV161"/>
      <c r="BW161" s="82">
        <f>IFERROR(INDEX('Infos Clientes'!$T:$T,MATCH('Detalhe Por UC'!$C161,'Infos Clientes'!B:B,0)),"")</f>
        <v>279.08333333333331</v>
      </c>
      <c r="BX161" s="83">
        <f t="shared" si="114"/>
        <v>0</v>
      </c>
      <c r="BY161" s="84">
        <f t="shared" si="115"/>
        <v>0.23509286996573012</v>
      </c>
      <c r="BZ161" s="85">
        <f>IF(_xlfn.MINIFS('Detalhe Por UC'!R:R,'Detalhe Por UC'!C:C,C161,'Detalhe Por UC'!AD:AD,"&gt;"&amp;0)=0,"",_xlfn.MINIFS('Detalhe Por UC'!R:R,'Detalhe Por UC'!C:C,C161,'Detalhe Por UC'!AD:AD,"&gt;"&amp;0))</f>
        <v>45627</v>
      </c>
      <c r="CA161" s="114">
        <f ca="1">IF(OR(S161&gt;0,AD161&gt;0),IFERROR(
SUMIFS(INDIRECT("'Infos Clientes'!$W"&amp;INDEX('Infos Clientes'!$C:$C,MATCH(C161,'Infos Clientes'!$H:$H,0))&amp;":$CZ"&amp;INDEX('Infos Clientes'!$C:$C,MATCH(C161,'Infos Clientes'!$H:$H,0))),'Infos Clientes'!$W$2:$CZ$2,"&gt;"&amp;$R161-365,'Infos Clientes'!$W$2:$CZ$2,"&lt;="&amp;$R161)/
COUNTIFS(INDIRECT("'Infos Clientes'!$W"&amp;INDEX('Infos Clientes'!$C:$C,MATCH(C161,'Infos Clientes'!$H:$H,0))&amp;":$CZ"&amp;INDEX('Infos Clientes'!$C:$C,MATCH(C161,'Infos Clientes'!$H:$H,0))),"&gt;="&amp;0,'Infos Clientes'!$W$2:$CZ$2,"&gt;"&amp;$R161-365,'Infos Clientes'!$W$2:$CZ$2,"&lt;="&amp;$R161),""),"")</f>
        <v>281.25</v>
      </c>
      <c r="CB161" s="87">
        <f>VLOOKUP(C161,'Infos Clientes'!B:L,11,0)</f>
        <v>0</v>
      </c>
      <c r="CC161" s="88" t="str">
        <f t="shared" si="116"/>
        <v>A Unidade Consumidora 10/1698130-0 economizou R$76,89 na fatura referente à fev/2025  consumindo 293 kWh em créditos de energia renovável conforme fatura de energia. A economia foi de 25% em relação ao que seria pago para a Energisa considerando os créditos consumidos. Atenção: Mantenha as contas da Energisa em dia para evitar cortes.</v>
      </c>
      <c r="CD161" s="40" t="s">
        <v>59</v>
      </c>
      <c r="CF161" s="115">
        <f t="shared" si="117"/>
        <v>-188.76</v>
      </c>
    </row>
    <row r="162" spans="1:84" s="40" customFormat="1" ht="16.2" hidden="1" customHeight="1" x14ac:dyDescent="0.3">
      <c r="A162" s="105" t="str">
        <f>INDEX('Infos Clientes'!$D:$D,MATCH('Detalhe Por UC'!C162,'Infos Clientes'!B:B,0))</f>
        <v>IGREJA DO EVANGELHO QUADRANGULAR</v>
      </c>
      <c r="B162" s="106" t="str">
        <f>INDEX('Infos Clientes'!$F:$F,MATCH('Detalhe Por UC'!C162,'Infos Clientes'!B:B,0))</f>
        <v>62.955.505/0160-80</v>
      </c>
      <c r="C162" s="31" t="s">
        <v>61</v>
      </c>
      <c r="D162" t="s">
        <v>351</v>
      </c>
      <c r="E162" s="1" t="s">
        <v>352</v>
      </c>
      <c r="F162" s="56" t="str">
        <f>INDEX('Infos Clientes'!$I:$I,MATCH('Detalhe Por UC'!C162,'Infos Clientes'!B:B,0))</f>
        <v>BT</v>
      </c>
      <c r="G162" s="56" t="str">
        <f>INDEX('Infos Clientes'!$J:$J,MATCH('Detalhe Por UC'!C162,'Infos Clientes'!B:B,0))</f>
        <v>trifasico</v>
      </c>
      <c r="H162" s="108" t="s">
        <v>353</v>
      </c>
      <c r="I162" s="58">
        <f>IFERROR(VLOOKUP(C162,'Infos Clientes'!B:E,4,),"")</f>
        <v>357</v>
      </c>
      <c r="J162" s="109">
        <v>0.25</v>
      </c>
      <c r="K162" s="59">
        <f>INDEX('Infos Clientes'!$M:$M,MATCH('Detalhe Por UC'!C162,'Infos Clientes'!B:B,0))</f>
        <v>0.25</v>
      </c>
      <c r="L162" s="125">
        <v>0</v>
      </c>
      <c r="M162" s="56">
        <f>INDEX('Infos Clientes'!$N:$N,MATCH('Detalhe Por UC'!C162,'Infos Clientes'!B:B,0))</f>
        <v>0</v>
      </c>
      <c r="N162" s="56">
        <f t="shared" si="81"/>
        <v>0</v>
      </c>
      <c r="O162" s="56">
        <f t="shared" si="82"/>
        <v>11</v>
      </c>
      <c r="P162" s="56">
        <f t="shared" si="83"/>
        <v>0</v>
      </c>
      <c r="Q162" s="61">
        <f>IFERROR(IFERROR(INDEX('Infos Clientes'!$A$2:$V$9884,MATCH($C162,'Infos Clientes'!$B$2:$B$9884,0),MATCH(Q$8,'Infos Clientes'!$A$2:$V$2,0)),"")
+IF(OR(INDEX('Infos Clientes'!$A$2:$V$9884,MATCH($C162,'Infos Clientes'!$B$2:$B$9884,0),MATCH("Tempo de Fidelidade (meses)",'Infos Clientes'!$A$2:$V$2,0))=0,R162&gt;=MAX(R:R)),0,
ROUND((MAX(R:R)-R162)/(365/12),0)),"")</f>
        <v>0</v>
      </c>
      <c r="R162" s="111">
        <v>45689</v>
      </c>
      <c r="S162" s="112">
        <v>0.02</v>
      </c>
      <c r="T162" s="113">
        <f>IF($H162="GIROSSOL II",AP162/INDEX('Resumo Operacional'!$A$1:$P$1103,17,MATCH('Detalhe Por UC'!$R162,'Resumo Operacional'!$A$1:$P$1,0)),
IF($H162="GIROSSOL II e III",AP162/INDEX('Resumo Operacional'!$A$1:$P$1103,17,MATCH('Detalhe Por UC'!$R162,'Resumo Operacional'!$A$1:$P$1,0)),
""))</f>
        <v>8.2807072939690557E-2</v>
      </c>
      <c r="U162" s="113">
        <f>IF($H162="GIROSSOL III",AP162/INDEX('Resumo Operacional'!$A$1:$P$1103,53,MATCH('Detalhe Por UC'!$R162,'Resumo Operacional'!$A$1:$P$1,0)),
IF($H162="GIROSSOL II e III",AP162/INDEX('Resumo Operacional'!$A$1:$P$1103,53,MATCH('Detalhe Por UC'!$R162,'Resumo Operacional'!$A$1:$P$1,0)),
""))</f>
        <v>7.2514862436056968E-2</v>
      </c>
      <c r="V162" s="18"/>
      <c r="W162" s="54"/>
      <c r="X162" s="127">
        <v>1.1162606837606837</v>
      </c>
      <c r="Y162" s="127">
        <v>0</v>
      </c>
      <c r="Z162" s="127">
        <v>1.077097142857143</v>
      </c>
      <c r="AA162" s="127">
        <v>0</v>
      </c>
      <c r="AB162" s="127">
        <v>936</v>
      </c>
      <c r="AC162" s="127">
        <v>0</v>
      </c>
      <c r="AD162" s="127">
        <v>875</v>
      </c>
      <c r="AE162" s="35"/>
      <c r="AF162" s="127">
        <v>174</v>
      </c>
      <c r="AG162" s="127">
        <v>0</v>
      </c>
      <c r="AH162" s="127">
        <v>0</v>
      </c>
      <c r="AI162" s="127">
        <v>0</v>
      </c>
      <c r="AJ162" s="127">
        <v>0</v>
      </c>
      <c r="AK162" s="31"/>
      <c r="AL162"/>
      <c r="AM162"/>
      <c r="AN162" s="71">
        <f t="shared" si="84"/>
        <v>174</v>
      </c>
      <c r="AO162" s="71">
        <f t="shared" si="85"/>
        <v>0</v>
      </c>
      <c r="AP162" s="71">
        <f t="shared" si="86"/>
        <v>1049</v>
      </c>
      <c r="AQ162" s="72">
        <f>IF(OR($H162="GIROSSOL II",$H162="GIROSSOL II e III"),INDEX('Resumo Operacional'!$A$1:$P$1103,MATCH("Energia Injetada prevista total Fatura da Usina (TUSD)",'Resumo Operacional'!$B$1:$B$1103,0),MATCH('Detalhe Por UC'!$R162,'Resumo Operacional'!$A$1:$P$1,0))*$S162,INDEX('Resumo Operacional'!$A$1:$P$1103,53,MATCH('Detalhe Por UC'!$R162,'Resumo Operacional'!$A$1:$P$1,0))*$S162)</f>
        <v>253.36</v>
      </c>
      <c r="AR162" s="71">
        <f t="shared" si="87"/>
        <v>795.64</v>
      </c>
      <c r="AS162" s="73">
        <f t="shared" si="88"/>
        <v>102.35999999999979</v>
      </c>
      <c r="AT162" s="74">
        <f t="shared" si="89"/>
        <v>102.35999999999979</v>
      </c>
      <c r="AU162" s="74">
        <f t="shared" si="90"/>
        <v>1.0379336019536023</v>
      </c>
      <c r="AV162" s="74">
        <f t="shared" si="91"/>
        <v>706.84500000000003</v>
      </c>
      <c r="AW162" s="74">
        <f t="shared" si="92"/>
        <v>0</v>
      </c>
      <c r="AX162" s="74">
        <f t="shared" si="93"/>
        <v>942.46000000000015</v>
      </c>
      <c r="AY162" s="74">
        <f t="shared" si="94"/>
        <v>706.85</v>
      </c>
      <c r="AZ162" s="49">
        <v>706.85</v>
      </c>
      <c r="BA162" s="49">
        <v>706.85</v>
      </c>
      <c r="BB162" s="49">
        <v>706.85</v>
      </c>
      <c r="BC162" s="73" t="str">
        <f t="shared" si="95"/>
        <v/>
      </c>
      <c r="BD162" s="73">
        <f t="shared" si="96"/>
        <v>1044.82</v>
      </c>
      <c r="BE162" s="73">
        <f t="shared" si="97"/>
        <v>809.20499999999981</v>
      </c>
      <c r="BF162" s="77">
        <f t="shared" si="98"/>
        <v>235.62</v>
      </c>
      <c r="BG162" s="77">
        <f t="shared" si="99"/>
        <v>70.685999999999993</v>
      </c>
      <c r="BH162" s="77">
        <f t="shared" si="100"/>
        <v>942.46</v>
      </c>
      <c r="BI162" s="78">
        <f t="shared" si="101"/>
        <v>0.25</v>
      </c>
      <c r="BJ162" s="79">
        <f t="shared" si="102"/>
        <v>0.22551252847380412</v>
      </c>
      <c r="BK162" s="80">
        <f t="shared" si="103"/>
        <v>809.20999999999981</v>
      </c>
      <c r="BL162" s="80">
        <f t="shared" si="104"/>
        <v>235.61000000000013</v>
      </c>
      <c r="BM162" s="79">
        <f t="shared" si="105"/>
        <v>0.22550295744721593</v>
      </c>
      <c r="BN162" s="81">
        <f t="shared" si="106"/>
        <v>0.80782857142857145</v>
      </c>
      <c r="BO162" s="82">
        <f t="shared" si="107"/>
        <v>706.85</v>
      </c>
      <c r="BP162" s="81">
        <f t="shared" si="108"/>
        <v>0.80782857142857145</v>
      </c>
      <c r="BQ162" s="81">
        <f t="shared" si="109"/>
        <v>0.84699211233211213</v>
      </c>
      <c r="BR162" s="81">
        <f t="shared" si="110"/>
        <v>1.1162606837606837</v>
      </c>
      <c r="BS162" s="82">
        <f t="shared" si="111"/>
        <v>875</v>
      </c>
      <c r="BT162" s="82">
        <f t="shared" si="112"/>
        <v>976.72809829059815</v>
      </c>
      <c r="BU162" s="82">
        <f t="shared" si="113"/>
        <v>942.46000000000015</v>
      </c>
      <c r="BV162"/>
      <c r="BW162" s="82">
        <f>IFERROR(INDEX('Infos Clientes'!$T:$T,MATCH('Detalhe Por UC'!$C162,'Infos Clientes'!B:B,0)),"")</f>
        <v>958.25</v>
      </c>
      <c r="BX162" s="83">
        <f t="shared" si="114"/>
        <v>0</v>
      </c>
      <c r="BY162" s="84">
        <f t="shared" si="115"/>
        <v>0.24122373505210751</v>
      </c>
      <c r="BZ162" s="85">
        <f>IF(_xlfn.MINIFS('Detalhe Por UC'!R:R,'Detalhe Por UC'!C:C,C162,'Detalhe Por UC'!AD:AD,"&gt;"&amp;0)=0,"",_xlfn.MINIFS('Detalhe Por UC'!R:R,'Detalhe Por UC'!C:C,C162,'Detalhe Por UC'!AD:AD,"&gt;"&amp;0))</f>
        <v>45627</v>
      </c>
      <c r="CA162" s="114">
        <f ca="1">IF(OR(S162&gt;0,AD162&gt;0),IFERROR(
SUMIFS(INDIRECT("'Infos Clientes'!$W"&amp;INDEX('Infos Clientes'!$C:$C,MATCH(C162,'Infos Clientes'!$H:$H,0))&amp;":$CZ"&amp;INDEX('Infos Clientes'!$C:$C,MATCH(C162,'Infos Clientes'!$H:$H,0))),'Infos Clientes'!$W$2:$CZ$2,"&gt;"&amp;$R162-365,'Infos Clientes'!$W$2:$CZ$2,"&lt;="&amp;$R162)/
COUNTIFS(INDIRECT("'Infos Clientes'!$W"&amp;INDEX('Infos Clientes'!$C:$C,MATCH(C162,'Infos Clientes'!$H:$H,0))&amp;":$CZ"&amp;INDEX('Infos Clientes'!$C:$C,MATCH(C162,'Infos Clientes'!$H:$H,0))),"&gt;="&amp;0,'Infos Clientes'!$W$2:$CZ$2,"&gt;"&amp;$R162-365,'Infos Clientes'!$W$2:$CZ$2,"&lt;="&amp;$R162),""),"")</f>
        <v>959.83333333333337</v>
      </c>
      <c r="CB162" s="87">
        <f>VLOOKUP(C162,'Infos Clientes'!B:L,11,0)</f>
        <v>0</v>
      </c>
      <c r="CC162" s="88" t="str">
        <f t="shared" si="116"/>
        <v>A Unidade Consumidora 10/18015-8 economizou R$235,62 na fatura referente à fev/2025  consumindo 875 kWh em créditos de energia renovável conforme fatura de energia. A economia foi de 25% em relação ao que seria pago para a Energisa considerando os créditos consumidos. Atenção: Mantenha as contas da Energisa em dia para evitar cortes.</v>
      </c>
      <c r="CD162" s="40" t="s">
        <v>63</v>
      </c>
      <c r="CF162" s="115">
        <f t="shared" si="117"/>
        <v>-102.35999999999979</v>
      </c>
    </row>
    <row r="163" spans="1:84" s="40" customFormat="1" ht="16.2" hidden="1" customHeight="1" x14ac:dyDescent="0.3">
      <c r="A163" s="105" t="str">
        <f>INDEX('Infos Clientes'!$D:$D,MATCH('Detalhe Por UC'!C163,'Infos Clientes'!B:B,0))</f>
        <v>IGREJA DO EVANGELHO QUADRANGULAR</v>
      </c>
      <c r="B163" s="106" t="str">
        <f>INDEX('Infos Clientes'!$F:$F,MATCH('Detalhe Por UC'!C163,'Infos Clientes'!B:B,0))</f>
        <v>62.955.505/2157-91</v>
      </c>
      <c r="C163" s="31" t="s">
        <v>64</v>
      </c>
      <c r="D163" t="s">
        <v>351</v>
      </c>
      <c r="E163" s="1" t="s">
        <v>352</v>
      </c>
      <c r="F163" s="56" t="str">
        <f>INDEX('Infos Clientes'!$I:$I,MATCH('Detalhe Por UC'!C163,'Infos Clientes'!B:B,0))</f>
        <v>BT</v>
      </c>
      <c r="G163" s="56" t="str">
        <f>INDEX('Infos Clientes'!$J:$J,MATCH('Detalhe Por UC'!C163,'Infos Clientes'!B:B,0))</f>
        <v>trifasico</v>
      </c>
      <c r="H163" s="108" t="s">
        <v>353</v>
      </c>
      <c r="I163" s="58">
        <f>IFERROR(VLOOKUP(C163,'Infos Clientes'!B:E,4,),"")</f>
        <v>349</v>
      </c>
      <c r="J163" s="109">
        <v>0.25</v>
      </c>
      <c r="K163" s="59">
        <f>INDEX('Infos Clientes'!$M:$M,MATCH('Detalhe Por UC'!C163,'Infos Clientes'!B:B,0))</f>
        <v>0.25</v>
      </c>
      <c r="L163" s="125">
        <v>0</v>
      </c>
      <c r="M163" s="56">
        <f>INDEX('Infos Clientes'!$N:$N,MATCH('Detalhe Por UC'!C163,'Infos Clientes'!B:B,0))</f>
        <v>0</v>
      </c>
      <c r="N163" s="56">
        <f t="shared" si="81"/>
        <v>0</v>
      </c>
      <c r="O163" s="56">
        <f t="shared" si="82"/>
        <v>12</v>
      </c>
      <c r="P163" s="56">
        <f t="shared" si="83"/>
        <v>0</v>
      </c>
      <c r="Q163" s="61">
        <f>IFERROR(IFERROR(INDEX('Infos Clientes'!$A$2:$V$9884,MATCH($C163,'Infos Clientes'!$B$2:$B$9884,0),MATCH(Q$8,'Infos Clientes'!$A$2:$V$2,0)),"")
+IF(OR(INDEX('Infos Clientes'!$A$2:$V$9884,MATCH($C163,'Infos Clientes'!$B$2:$B$9884,0),MATCH("Tempo de Fidelidade (meses)",'Infos Clientes'!$A$2:$V$2,0))=0,R163&gt;=MAX(R:R)),0,
ROUND((MAX(R:R)-R163)/(365/12),0)),"")</f>
        <v>0</v>
      </c>
      <c r="R163" s="111">
        <v>45689</v>
      </c>
      <c r="S163" s="112">
        <v>0.01</v>
      </c>
      <c r="T163" s="113">
        <f>IF($H163="GIROSSOL II",AP163/INDEX('Resumo Operacional'!$A$1:$P$1103,17,MATCH('Detalhe Por UC'!$R163,'Resumo Operacional'!$A$1:$P$1,0)),
IF($H163="GIROSSOL II e III",AP163/INDEX('Resumo Operacional'!$A$1:$P$1103,17,MATCH('Detalhe Por UC'!$R163,'Resumo Operacional'!$A$1:$P$1,0)),
""))</f>
        <v>5.1310388380170512E-2</v>
      </c>
      <c r="U163" s="113">
        <f>IF($H163="GIROSSOL III",AP163/INDEX('Resumo Operacional'!$A$1:$P$1103,53,MATCH('Detalhe Por UC'!$R163,'Resumo Operacional'!$A$1:$P$1,0)),
IF($H163="GIROSSOL II e III",AP163/INDEX('Resumo Operacional'!$A$1:$P$1103,53,MATCH('Detalhe Por UC'!$R163,'Resumo Operacional'!$A$1:$P$1,0)),
""))</f>
        <v>4.4932946218719759E-2</v>
      </c>
      <c r="V163" s="18"/>
      <c r="W163" s="54"/>
      <c r="X163" s="127">
        <v>1.1162572421784474</v>
      </c>
      <c r="Y163" s="127">
        <v>0</v>
      </c>
      <c r="Z163" s="127">
        <v>1.0847692307692309</v>
      </c>
      <c r="AA163" s="127">
        <v>0</v>
      </c>
      <c r="AB163" s="127">
        <v>863</v>
      </c>
      <c r="AC163" s="127">
        <v>0</v>
      </c>
      <c r="AD163" s="127">
        <v>650</v>
      </c>
      <c r="AE163" s="35"/>
      <c r="AF163" s="127">
        <v>0</v>
      </c>
      <c r="AG163" s="127">
        <v>0</v>
      </c>
      <c r="AH163" s="127">
        <v>183.87</v>
      </c>
      <c r="AI163" s="127">
        <v>0</v>
      </c>
      <c r="AJ163" s="127">
        <v>0</v>
      </c>
      <c r="AK163" s="31"/>
      <c r="AL163"/>
      <c r="AM163"/>
      <c r="AN163" s="71">
        <f t="shared" si="84"/>
        <v>0</v>
      </c>
      <c r="AO163" s="71">
        <f t="shared" si="85"/>
        <v>0</v>
      </c>
      <c r="AP163" s="71">
        <f t="shared" si="86"/>
        <v>650</v>
      </c>
      <c r="AQ163" s="72">
        <f>IF(OR($H163="GIROSSOL II",$H163="GIROSSOL II e III"),INDEX('Resumo Operacional'!$A$1:$P$1103,MATCH("Energia Injetada prevista total Fatura da Usina (TUSD)",'Resumo Operacional'!$B$1:$B$1103,0),MATCH('Detalhe Por UC'!$R163,'Resumo Operacional'!$A$1:$P$1,0))*$S163,INDEX('Resumo Operacional'!$A$1:$P$1103,53,MATCH('Detalhe Por UC'!$R163,'Resumo Operacional'!$A$1:$P$1,0))*$S163)</f>
        <v>126.68</v>
      </c>
      <c r="AR163" s="71">
        <f t="shared" si="87"/>
        <v>523.31999999999994</v>
      </c>
      <c r="AS163" s="73">
        <f t="shared" si="88"/>
        <v>442.09999999999991</v>
      </c>
      <c r="AT163" s="74">
        <f t="shared" si="89"/>
        <v>442.09999999999991</v>
      </c>
      <c r="AU163" s="74">
        <f t="shared" si="90"/>
        <v>1.0532812193600145</v>
      </c>
      <c r="AV163" s="74">
        <f t="shared" si="91"/>
        <v>528.82500000000005</v>
      </c>
      <c r="AW163" s="74">
        <f t="shared" si="92"/>
        <v>0</v>
      </c>
      <c r="AX163" s="74">
        <f t="shared" si="93"/>
        <v>705.10000000000014</v>
      </c>
      <c r="AY163" s="74">
        <f t="shared" si="94"/>
        <v>528.83000000000004</v>
      </c>
      <c r="AZ163" s="49">
        <v>528.83000000000004</v>
      </c>
      <c r="BA163" s="49">
        <v>528.83000000000004</v>
      </c>
      <c r="BB163" s="49">
        <v>528.83000000000004</v>
      </c>
      <c r="BC163" s="73" t="str">
        <f t="shared" si="95"/>
        <v/>
      </c>
      <c r="BD163" s="73">
        <f t="shared" si="96"/>
        <v>1147.2</v>
      </c>
      <c r="BE163" s="73">
        <f t="shared" si="97"/>
        <v>970.92499999999995</v>
      </c>
      <c r="BF163" s="77">
        <f t="shared" si="98"/>
        <v>176.28</v>
      </c>
      <c r="BG163" s="77">
        <f t="shared" si="99"/>
        <v>52.884</v>
      </c>
      <c r="BH163" s="77">
        <f t="shared" si="100"/>
        <v>705.10000000000014</v>
      </c>
      <c r="BI163" s="78">
        <f t="shared" si="101"/>
        <v>0.25</v>
      </c>
      <c r="BJ163" s="79">
        <f t="shared" si="102"/>
        <v>0.15366108786610877</v>
      </c>
      <c r="BK163" s="80">
        <f t="shared" si="103"/>
        <v>970.93</v>
      </c>
      <c r="BL163" s="80">
        <f t="shared" si="104"/>
        <v>176.2700000000001</v>
      </c>
      <c r="BM163" s="79">
        <f t="shared" si="105"/>
        <v>0.15365237099023718</v>
      </c>
      <c r="BN163" s="81">
        <f t="shared" si="106"/>
        <v>0.81358461538461546</v>
      </c>
      <c r="BO163" s="82">
        <f t="shared" si="107"/>
        <v>528.83000000000004</v>
      </c>
      <c r="BP163" s="81">
        <f t="shared" si="108"/>
        <v>0.81358461538461546</v>
      </c>
      <c r="BQ163" s="81">
        <f t="shared" si="109"/>
        <v>0.84507262679383188</v>
      </c>
      <c r="BR163" s="81">
        <f t="shared" si="110"/>
        <v>1.1162572421784474</v>
      </c>
      <c r="BS163" s="82">
        <f t="shared" si="111"/>
        <v>650</v>
      </c>
      <c r="BT163" s="82">
        <f t="shared" si="112"/>
        <v>725.56720741599077</v>
      </c>
      <c r="BU163" s="82">
        <f t="shared" si="113"/>
        <v>705.10000000000014</v>
      </c>
      <c r="BV163"/>
      <c r="BW163" s="82">
        <f>IFERROR(INDEX('Infos Clientes'!$T:$T,MATCH('Detalhe Por UC'!$C163,'Infos Clientes'!B:B,0)),"")</f>
        <v>802.5</v>
      </c>
      <c r="BX163" s="83">
        <f t="shared" si="114"/>
        <v>0</v>
      </c>
      <c r="BY163" s="84">
        <f t="shared" si="115"/>
        <v>0.2429409683877001</v>
      </c>
      <c r="BZ163" s="85">
        <f>IF(_xlfn.MINIFS('Detalhe Por UC'!R:R,'Detalhe Por UC'!C:C,C163,'Detalhe Por UC'!AD:AD,"&gt;"&amp;0)=0,"",_xlfn.MINIFS('Detalhe Por UC'!R:R,'Detalhe Por UC'!C:C,C163,'Detalhe Por UC'!AD:AD,"&gt;"&amp;0))</f>
        <v>45627</v>
      </c>
      <c r="CA163" s="114">
        <f ca="1">IF(OR(S163&gt;0,AD163&gt;0),IFERROR(
SUMIFS(INDIRECT("'Infos Clientes'!$W"&amp;INDEX('Infos Clientes'!$C:$C,MATCH(C163,'Infos Clientes'!$H:$H,0))&amp;":$CZ"&amp;INDEX('Infos Clientes'!$C:$C,MATCH(C163,'Infos Clientes'!$H:$H,0))),'Infos Clientes'!$W$2:$CZ$2,"&gt;"&amp;$R163-365,'Infos Clientes'!$W$2:$CZ$2,"&lt;="&amp;$R163)/
COUNTIFS(INDIRECT("'Infos Clientes'!$W"&amp;INDEX('Infos Clientes'!$C:$C,MATCH(C163,'Infos Clientes'!$H:$H,0))&amp;":$CZ"&amp;INDEX('Infos Clientes'!$C:$C,MATCH(C163,'Infos Clientes'!$H:$H,0))),"&gt;="&amp;0,'Infos Clientes'!$W$2:$CZ$2,"&gt;"&amp;$R163-365,'Infos Clientes'!$W$2:$CZ$2,"&lt;="&amp;$R163),""),"")</f>
        <v>796</v>
      </c>
      <c r="CB163" s="87">
        <f>VLOOKUP(C163,'Infos Clientes'!B:L,11,0)</f>
        <v>0</v>
      </c>
      <c r="CC163" s="88" t="str">
        <f t="shared" si="116"/>
        <v>A Unidade Consumidora 10/191945-5 economizou R$176,28 na fatura referente à fev/2025  consumindo 650 kWh em créditos de energia renovável conforme fatura de energia. A economia foi de 25% em relação ao que seria pago para a Energisa considerando os créditos consumidos. Atenção: Mantenha as contas da Energisa em dia para evitar cortes.</v>
      </c>
      <c r="CD163" s="40" t="s">
        <v>66</v>
      </c>
      <c r="CF163" s="115">
        <f t="shared" si="117"/>
        <v>-442.09999999999991</v>
      </c>
    </row>
    <row r="164" spans="1:84" s="40" customFormat="1" ht="16.2" hidden="1" customHeight="1" x14ac:dyDescent="0.3">
      <c r="A164" s="105" t="str">
        <f>INDEX('Infos Clientes'!$D:$D,MATCH('Detalhe Por UC'!C164,'Infos Clientes'!B:B,0))</f>
        <v>IGREJA DO EVANGELHO QUADRANGULAR</v>
      </c>
      <c r="B164" s="106" t="str">
        <f>INDEX('Infos Clientes'!$F:$F,MATCH('Detalhe Por UC'!C164,'Infos Clientes'!B:B,0))</f>
        <v>62.955.505/4194-43</v>
      </c>
      <c r="C164" s="31" t="s">
        <v>67</v>
      </c>
      <c r="D164" t="s">
        <v>351</v>
      </c>
      <c r="E164" s="1" t="s">
        <v>352</v>
      </c>
      <c r="F164" s="56" t="str">
        <f>INDEX('Infos Clientes'!$I:$I,MATCH('Detalhe Por UC'!C164,'Infos Clientes'!B:B,0))</f>
        <v>BT</v>
      </c>
      <c r="G164" s="56" t="str">
        <f>INDEX('Infos Clientes'!$J:$J,MATCH('Detalhe Por UC'!C164,'Infos Clientes'!B:B,0))</f>
        <v>bifasico</v>
      </c>
      <c r="H164" s="108" t="s">
        <v>24</v>
      </c>
      <c r="I164" s="58">
        <f>IFERROR(VLOOKUP(C164,'Infos Clientes'!B:E,4,),"")</f>
        <v>331</v>
      </c>
      <c r="J164" s="109">
        <v>0.25</v>
      </c>
      <c r="K164" s="59">
        <f>INDEX('Infos Clientes'!$M:$M,MATCH('Detalhe Por UC'!C164,'Infos Clientes'!B:B,0))</f>
        <v>0.25</v>
      </c>
      <c r="L164" s="125">
        <v>0</v>
      </c>
      <c r="M164" s="56">
        <f>INDEX('Infos Clientes'!$N:$N,MATCH('Detalhe Por UC'!C164,'Infos Clientes'!B:B,0))</f>
        <v>0</v>
      </c>
      <c r="N164" s="56">
        <f t="shared" si="81"/>
        <v>0</v>
      </c>
      <c r="O164" s="56">
        <f t="shared" si="82"/>
        <v>12</v>
      </c>
      <c r="P164" s="56">
        <f t="shared" si="83"/>
        <v>0</v>
      </c>
      <c r="Q164" s="61">
        <f>IFERROR(IFERROR(INDEX('Infos Clientes'!$A$2:$V$9884,MATCH($C164,'Infos Clientes'!$B$2:$B$9884,0),MATCH(Q$8,'Infos Clientes'!$A$2:$V$2,0)),"")
+IF(OR(INDEX('Infos Clientes'!$A$2:$V$9884,MATCH($C164,'Infos Clientes'!$B$2:$B$9884,0),MATCH("Tempo de Fidelidade (meses)",'Infos Clientes'!$A$2:$V$2,0))=0,R164&gt;=MAX(R:R)),0,
ROUND((MAX(R:R)-R164)/(365/12),0)),"")</f>
        <v>0</v>
      </c>
      <c r="R164" s="111">
        <v>45689</v>
      </c>
      <c r="S164" s="112">
        <v>0.02</v>
      </c>
      <c r="T164" s="113">
        <f>IF($H164="GIROSSOL II",AP164/INDEX('Resumo Operacional'!$A$1:$P$1103,17,MATCH('Detalhe Por UC'!$R164,'Resumo Operacional'!$A$1:$P$1,0)),
IF($H164="GIROSSOL II e III",AP164/INDEX('Resumo Operacional'!$A$1:$P$1103,17,MATCH('Detalhe Por UC'!$R164,'Resumo Operacional'!$A$1:$P$1,0)),
""))</f>
        <v>4.7837069782128198E-2</v>
      </c>
      <c r="U164" s="113" t="str">
        <f>IF($H164="GIROSSOL III",AP164/INDEX('Resumo Operacional'!$A$1:$P$1103,53,MATCH('Detalhe Por UC'!$R164,'Resumo Operacional'!$A$1:$P$1,0)),
IF($H164="GIROSSOL II e III",AP164/INDEX('Resumo Operacional'!$A$1:$P$1103,53,MATCH('Detalhe Por UC'!$R164,'Resumo Operacional'!$A$1:$P$1,0)),
""))</f>
        <v/>
      </c>
      <c r="V164" s="18"/>
      <c r="W164" s="54"/>
      <c r="X164" s="127">
        <v>1.1162589928057554</v>
      </c>
      <c r="Y164" s="127">
        <v>0</v>
      </c>
      <c r="Z164" s="127">
        <v>1.1017426273458446</v>
      </c>
      <c r="AA164" s="127">
        <v>0</v>
      </c>
      <c r="AB164" s="127">
        <v>417</v>
      </c>
      <c r="AC164" s="127">
        <v>0</v>
      </c>
      <c r="AD164" s="127">
        <v>373</v>
      </c>
      <c r="AE164" s="35"/>
      <c r="AF164" s="127">
        <v>536</v>
      </c>
      <c r="AG164" s="127">
        <v>0</v>
      </c>
      <c r="AH164" s="127">
        <v>44.129999999999995</v>
      </c>
      <c r="AI164" s="127">
        <v>0</v>
      </c>
      <c r="AJ164" s="127">
        <v>0</v>
      </c>
      <c r="AK164" s="31"/>
      <c r="AL164"/>
      <c r="AM164"/>
      <c r="AN164" s="71">
        <f t="shared" si="84"/>
        <v>233</v>
      </c>
      <c r="AO164" s="71">
        <f t="shared" si="85"/>
        <v>0</v>
      </c>
      <c r="AP164" s="71">
        <f t="shared" si="86"/>
        <v>606</v>
      </c>
      <c r="AQ164" s="72">
        <f>IF(OR($H164="GIROSSOL II",$H164="GIROSSOL II e III"),INDEX('Resumo Operacional'!$A$1:$P$1103,MATCH("Energia Injetada prevista total Fatura da Usina (TUSD)",'Resumo Operacional'!$B$1:$B$1103,0),MATCH('Detalhe Por UC'!$R164,'Resumo Operacional'!$A$1:$P$1,0))*$S164,INDEX('Resumo Operacional'!$A$1:$P$1103,53,MATCH('Detalhe Por UC'!$R164,'Resumo Operacional'!$A$1:$P$1,0))*$S164)</f>
        <v>253.36</v>
      </c>
      <c r="AR164" s="71">
        <f t="shared" si="87"/>
        <v>352.64</v>
      </c>
      <c r="AS164" s="73">
        <f t="shared" si="88"/>
        <v>98.659999999999911</v>
      </c>
      <c r="AT164" s="74">
        <f t="shared" si="89"/>
        <v>98.659999999999911</v>
      </c>
      <c r="AU164" s="74">
        <f t="shared" si="90"/>
        <v>1.0872262618859339</v>
      </c>
      <c r="AV164" s="74">
        <f t="shared" si="91"/>
        <v>308.21250000000003</v>
      </c>
      <c r="AW164" s="74">
        <f t="shared" si="92"/>
        <v>0</v>
      </c>
      <c r="AX164" s="74">
        <f t="shared" si="93"/>
        <v>410.95000000000005</v>
      </c>
      <c r="AY164" s="74">
        <f t="shared" si="94"/>
        <v>308.20999999999998</v>
      </c>
      <c r="AZ164" s="49">
        <v>308.20999999999998</v>
      </c>
      <c r="BA164" s="49">
        <v>308.20999999999998</v>
      </c>
      <c r="BB164" s="49">
        <v>308.20999999999998</v>
      </c>
      <c r="BC164" s="73" t="str">
        <f t="shared" si="95"/>
        <v/>
      </c>
      <c r="BD164" s="73">
        <f t="shared" si="96"/>
        <v>509.60999999999996</v>
      </c>
      <c r="BE164" s="73">
        <f t="shared" si="97"/>
        <v>406.87249999999995</v>
      </c>
      <c r="BF164" s="77">
        <f t="shared" si="98"/>
        <v>102.74</v>
      </c>
      <c r="BG164" s="77">
        <f t="shared" si="99"/>
        <v>30.821999999999996</v>
      </c>
      <c r="BH164" s="77">
        <f t="shared" si="100"/>
        <v>410.95000000000005</v>
      </c>
      <c r="BI164" s="78">
        <f t="shared" si="101"/>
        <v>0.25</v>
      </c>
      <c r="BJ164" s="79">
        <f t="shared" si="102"/>
        <v>0.20160514903553697</v>
      </c>
      <c r="BK164" s="80">
        <f t="shared" si="103"/>
        <v>406.86999999999989</v>
      </c>
      <c r="BL164" s="80">
        <f t="shared" si="104"/>
        <v>102.74000000000007</v>
      </c>
      <c r="BM164" s="79">
        <f t="shared" si="105"/>
        <v>0.20160514903553711</v>
      </c>
      <c r="BN164" s="81">
        <f t="shared" si="106"/>
        <v>0.82630026809651469</v>
      </c>
      <c r="BO164" s="82">
        <f t="shared" si="107"/>
        <v>308.20999999999998</v>
      </c>
      <c r="BP164" s="81">
        <f t="shared" si="108"/>
        <v>0.82630026809651469</v>
      </c>
      <c r="BQ164" s="81">
        <f t="shared" si="109"/>
        <v>0.84081663355642544</v>
      </c>
      <c r="BR164" s="81">
        <f t="shared" si="110"/>
        <v>1.1162589928057554</v>
      </c>
      <c r="BS164" s="82">
        <f t="shared" si="111"/>
        <v>373</v>
      </c>
      <c r="BT164" s="82">
        <f t="shared" si="112"/>
        <v>416.36460431654677</v>
      </c>
      <c r="BU164" s="82">
        <f t="shared" si="113"/>
        <v>410.95000000000005</v>
      </c>
      <c r="BV164"/>
      <c r="BW164" s="82">
        <f>IFERROR(INDEX('Infos Clientes'!$T:$T,MATCH('Detalhe Por UC'!$C164,'Infos Clientes'!B:B,0)),"")</f>
        <v>372.25</v>
      </c>
      <c r="BX164" s="83">
        <f t="shared" si="114"/>
        <v>0</v>
      </c>
      <c r="BY164" s="84">
        <f t="shared" si="115"/>
        <v>0.24675488486502228</v>
      </c>
      <c r="BZ164" s="85">
        <f>IF(_xlfn.MINIFS('Detalhe Por UC'!R:R,'Detalhe Por UC'!C:C,C164,'Detalhe Por UC'!AD:AD,"&gt;"&amp;0)=0,"",_xlfn.MINIFS('Detalhe Por UC'!R:R,'Detalhe Por UC'!C:C,C164,'Detalhe Por UC'!AD:AD,"&gt;"&amp;0))</f>
        <v>45627</v>
      </c>
      <c r="CA164" s="114">
        <f ca="1">IF(OR(S164&gt;0,AD164&gt;0),IFERROR(
SUMIFS(INDIRECT("'Infos Clientes'!$W"&amp;INDEX('Infos Clientes'!$C:$C,MATCH(C164,'Infos Clientes'!$H:$H,0))&amp;":$CZ"&amp;INDEX('Infos Clientes'!$C:$C,MATCH(C164,'Infos Clientes'!$H:$H,0))),'Infos Clientes'!$W$2:$CZ$2,"&gt;"&amp;$R164-365,'Infos Clientes'!$W$2:$CZ$2,"&lt;="&amp;$R164)/
COUNTIFS(INDIRECT("'Infos Clientes'!$W"&amp;INDEX('Infos Clientes'!$C:$C,MATCH(C164,'Infos Clientes'!$H:$H,0))&amp;":$CZ"&amp;INDEX('Infos Clientes'!$C:$C,MATCH(C164,'Infos Clientes'!$H:$H,0))),"&gt;="&amp;0,'Infos Clientes'!$W$2:$CZ$2,"&gt;"&amp;$R164-365,'Infos Clientes'!$W$2:$CZ$2,"&lt;="&amp;$R164),""),"")</f>
        <v>371.5</v>
      </c>
      <c r="CB164" s="87">
        <f>VLOOKUP(C164,'Infos Clientes'!B:L,11,0)</f>
        <v>0</v>
      </c>
      <c r="CC164" s="88" t="str">
        <f t="shared" si="116"/>
        <v>A Unidade Consumidora 10/1939035-0 economizou R$102,74 na fatura referente à fev/2025  consumindo 373 kWh em créditos de energia renovável conforme fatura de energia. A economia foi de 25% em relação ao que seria pago para a Energisa considerando os créditos consumidos. Atenção: Mantenha as contas da Energisa em dia para evitar cortes.</v>
      </c>
      <c r="CD164" s="40" t="s">
        <v>69</v>
      </c>
      <c r="CF164" s="115">
        <f t="shared" si="117"/>
        <v>-98.659999999999911</v>
      </c>
    </row>
    <row r="165" spans="1:84" s="40" customFormat="1" ht="16.2" hidden="1" customHeight="1" x14ac:dyDescent="0.3">
      <c r="A165" s="105" t="str">
        <f>INDEX('Infos Clientes'!$D:$D,MATCH('Detalhe Por UC'!C165,'Infos Clientes'!B:B,0))</f>
        <v>IGREJA DO EVANGELHO QUADRANGULAR</v>
      </c>
      <c r="B165" s="106" t="str">
        <f>INDEX('Infos Clientes'!$F:$F,MATCH('Detalhe Por UC'!C165,'Infos Clientes'!B:B,0))</f>
        <v>62.955.505/0164-03</v>
      </c>
      <c r="C165" s="31" t="s">
        <v>70</v>
      </c>
      <c r="D165" t="s">
        <v>351</v>
      </c>
      <c r="E165" s="1" t="s">
        <v>352</v>
      </c>
      <c r="F165" s="56" t="str">
        <f>INDEX('Infos Clientes'!$I:$I,MATCH('Detalhe Por UC'!C165,'Infos Clientes'!B:B,0))</f>
        <v>BT</v>
      </c>
      <c r="G165" s="56" t="str">
        <f>INDEX('Infos Clientes'!$J:$J,MATCH('Detalhe Por UC'!C165,'Infos Clientes'!B:B,0))</f>
        <v>trifasico</v>
      </c>
      <c r="H165" s="108" t="s">
        <v>353</v>
      </c>
      <c r="I165" s="58">
        <f>IFERROR(VLOOKUP(C165,'Infos Clientes'!B:E,4,),"")</f>
        <v>371</v>
      </c>
      <c r="J165" s="109">
        <v>0.25</v>
      </c>
      <c r="K165" s="59">
        <f>INDEX('Infos Clientes'!$M:$M,MATCH('Detalhe Por UC'!C165,'Infos Clientes'!B:B,0))</f>
        <v>0.25</v>
      </c>
      <c r="L165" s="125">
        <v>0</v>
      </c>
      <c r="M165" s="56">
        <f>INDEX('Infos Clientes'!$N:$N,MATCH('Detalhe Por UC'!C165,'Infos Clientes'!B:B,0))</f>
        <v>0</v>
      </c>
      <c r="N165" s="56">
        <f t="shared" si="81"/>
        <v>0</v>
      </c>
      <c r="O165" s="56">
        <f t="shared" si="82"/>
        <v>12</v>
      </c>
      <c r="P165" s="56">
        <f t="shared" si="83"/>
        <v>0</v>
      </c>
      <c r="Q165" s="61">
        <f>IFERROR(IFERROR(INDEX('Infos Clientes'!$A$2:$V$9884,MATCH($C165,'Infos Clientes'!$B$2:$B$9884,0),MATCH(Q$8,'Infos Clientes'!$A$2:$V$2,0)),"")
+IF(OR(INDEX('Infos Clientes'!$A$2:$V$9884,MATCH($C165,'Infos Clientes'!$B$2:$B$9884,0),MATCH("Tempo de Fidelidade (meses)",'Infos Clientes'!$A$2:$V$2,0))=0,R165&gt;=MAX(R:R)),0,
ROUND((MAX(R:R)-R165)/(365/12),0)),"")</f>
        <v>0</v>
      </c>
      <c r="R165" s="111">
        <v>45689</v>
      </c>
      <c r="S165" s="112">
        <v>4.2000000000000003E-2</v>
      </c>
      <c r="T165" s="113">
        <f>IF($H165="GIROSSOL II",AP165/INDEX('Resumo Operacional'!$A$1:$P$1103,17,MATCH('Detalhe Por UC'!$R165,'Resumo Operacional'!$A$1:$P$1,0)),
IF($H165="GIROSSOL II e III",AP165/INDEX('Resumo Operacional'!$A$1:$P$1103,17,MATCH('Detalhe Por UC'!$R165,'Resumo Operacional'!$A$1:$P$1,0)),
""))</f>
        <v>8.746447742342911E-2</v>
      </c>
      <c r="U165" s="113">
        <f>IF($H165="GIROSSOL III",AP165/INDEX('Resumo Operacional'!$A$1:$P$1103,53,MATCH('Detalhe Por UC'!$R165,'Resumo Operacional'!$A$1:$P$1,0)),
IF($H165="GIROSSOL II e III",AP165/INDEX('Resumo Operacional'!$A$1:$P$1103,53,MATCH('Detalhe Por UC'!$R165,'Resumo Operacional'!$A$1:$P$1,0)),
""))</f>
        <v>7.6593391400525374E-2</v>
      </c>
      <c r="V165" s="18"/>
      <c r="W165" s="54"/>
      <c r="X165" s="127">
        <v>1.1162604166666665</v>
      </c>
      <c r="Y165" s="127">
        <v>0</v>
      </c>
      <c r="Z165" s="127">
        <v>1.027387669801463</v>
      </c>
      <c r="AA165" s="127">
        <v>0</v>
      </c>
      <c r="AB165" s="127">
        <v>960</v>
      </c>
      <c r="AC165" s="127">
        <v>0</v>
      </c>
      <c r="AD165" s="127">
        <v>957</v>
      </c>
      <c r="AE165" s="35"/>
      <c r="AF165" s="127">
        <v>151</v>
      </c>
      <c r="AG165" s="127">
        <v>0</v>
      </c>
      <c r="AH165" s="127">
        <v>182.33999999999997</v>
      </c>
      <c r="AI165" s="127">
        <v>0</v>
      </c>
      <c r="AJ165" s="127">
        <v>0</v>
      </c>
      <c r="AK165" s="31"/>
      <c r="AL165"/>
      <c r="AM165"/>
      <c r="AN165" s="71">
        <f t="shared" si="84"/>
        <v>151</v>
      </c>
      <c r="AO165" s="71">
        <f t="shared" si="85"/>
        <v>0</v>
      </c>
      <c r="AP165" s="71">
        <f t="shared" si="86"/>
        <v>1108</v>
      </c>
      <c r="AQ165" s="72">
        <f>IF(OR($H165="GIROSSOL II",$H165="GIROSSOL II e III"),INDEX('Resumo Operacional'!$A$1:$P$1103,MATCH("Energia Injetada prevista total Fatura da Usina (TUSD)",'Resumo Operacional'!$B$1:$B$1103,0),MATCH('Detalhe Por UC'!$R165,'Resumo Operacional'!$A$1:$P$1,0))*$S165,INDEX('Resumo Operacional'!$A$1:$P$1103,53,MATCH('Detalhe Por UC'!$R165,'Resumo Operacional'!$A$1:$P$1,0))*$S165)</f>
        <v>532.05600000000004</v>
      </c>
      <c r="AR165" s="71">
        <f t="shared" si="87"/>
        <v>575.94399999999996</v>
      </c>
      <c r="AS165" s="73">
        <f t="shared" si="88"/>
        <v>270.73999999999972</v>
      </c>
      <c r="AT165" s="74">
        <f t="shared" si="89"/>
        <v>270.73999999999972</v>
      </c>
      <c r="AU165" s="74">
        <f t="shared" si="90"/>
        <v>0.93851492293625949</v>
      </c>
      <c r="AV165" s="74">
        <f t="shared" si="91"/>
        <v>737.40750000000003</v>
      </c>
      <c r="AW165" s="74">
        <f t="shared" si="92"/>
        <v>0</v>
      </c>
      <c r="AX165" s="74">
        <f t="shared" si="93"/>
        <v>983.21000000000015</v>
      </c>
      <c r="AY165" s="74">
        <f t="shared" si="94"/>
        <v>737.41</v>
      </c>
      <c r="AZ165" s="49">
        <v>737.41</v>
      </c>
      <c r="BA165" s="49">
        <v>737.41</v>
      </c>
      <c r="BB165" s="49">
        <v>737.41</v>
      </c>
      <c r="BC165" s="73" t="str">
        <f t="shared" si="95"/>
        <v/>
      </c>
      <c r="BD165" s="73">
        <f t="shared" si="96"/>
        <v>1253.9499999999998</v>
      </c>
      <c r="BE165" s="73">
        <f t="shared" si="97"/>
        <v>1008.1474999999998</v>
      </c>
      <c r="BF165" s="77">
        <f t="shared" si="98"/>
        <v>245.8</v>
      </c>
      <c r="BG165" s="77">
        <f t="shared" si="99"/>
        <v>73.739999999999995</v>
      </c>
      <c r="BH165" s="77">
        <f t="shared" si="100"/>
        <v>983.21000000000015</v>
      </c>
      <c r="BI165" s="78">
        <f t="shared" si="101"/>
        <v>0.25</v>
      </c>
      <c r="BJ165" s="79">
        <f t="shared" si="102"/>
        <v>0.19602057498305359</v>
      </c>
      <c r="BK165" s="80">
        <f t="shared" si="103"/>
        <v>1008.1499999999996</v>
      </c>
      <c r="BL165" s="80">
        <f t="shared" si="104"/>
        <v>245.80000000000018</v>
      </c>
      <c r="BM165" s="79">
        <f t="shared" si="105"/>
        <v>0.19602057498305372</v>
      </c>
      <c r="BN165" s="81">
        <f t="shared" si="106"/>
        <v>0.77054336468129569</v>
      </c>
      <c r="BO165" s="82">
        <f t="shared" si="107"/>
        <v>737.41</v>
      </c>
      <c r="BP165" s="81">
        <f t="shared" si="108"/>
        <v>0.77054336468129569</v>
      </c>
      <c r="BQ165" s="81">
        <f t="shared" si="109"/>
        <v>0.85941611154649922</v>
      </c>
      <c r="BR165" s="81">
        <f t="shared" si="110"/>
        <v>1.1162604166666665</v>
      </c>
      <c r="BS165" s="82">
        <f t="shared" si="111"/>
        <v>957</v>
      </c>
      <c r="BT165" s="82">
        <f t="shared" si="112"/>
        <v>1068.2612187499999</v>
      </c>
      <c r="BU165" s="82">
        <f t="shared" si="113"/>
        <v>983.21000000000015</v>
      </c>
      <c r="BV165"/>
      <c r="BW165" s="82">
        <f>IFERROR(INDEX('Infos Clientes'!$T:$T,MATCH('Detalhe Por UC'!$C165,'Infos Clientes'!B:B,0)),"")</f>
        <v>796.66666666666663</v>
      </c>
      <c r="BX165" s="83">
        <f t="shared" si="114"/>
        <v>0</v>
      </c>
      <c r="BY165" s="84">
        <f t="shared" si="115"/>
        <v>0.23009353488242984</v>
      </c>
      <c r="BZ165" s="85">
        <f>IF(_xlfn.MINIFS('Detalhe Por UC'!R:R,'Detalhe Por UC'!C:C,C165,'Detalhe Por UC'!AD:AD,"&gt;"&amp;0)=0,"",_xlfn.MINIFS('Detalhe Por UC'!R:R,'Detalhe Por UC'!C:C,C165,'Detalhe Por UC'!AD:AD,"&gt;"&amp;0))</f>
        <v>45627</v>
      </c>
      <c r="CA165" s="114">
        <f ca="1">IF(OR(S165&gt;0,AD165&gt;0),IFERROR(
SUMIFS(INDIRECT("'Infos Clientes'!$W"&amp;INDEX('Infos Clientes'!$C:$C,MATCH(C165,'Infos Clientes'!$H:$H,0))&amp;":$CZ"&amp;INDEX('Infos Clientes'!$C:$C,MATCH(C165,'Infos Clientes'!$H:$H,0))),'Infos Clientes'!$W$2:$CZ$2,"&gt;"&amp;$R165-365,'Infos Clientes'!$W$2:$CZ$2,"&lt;="&amp;$R165)/
COUNTIFS(INDIRECT("'Infos Clientes'!$W"&amp;INDEX('Infos Clientes'!$C:$C,MATCH(C165,'Infos Clientes'!$H:$H,0))&amp;":$CZ"&amp;INDEX('Infos Clientes'!$C:$C,MATCH(C165,'Infos Clientes'!$H:$H,0))),"&gt;="&amp;0,'Infos Clientes'!$W$2:$CZ$2,"&gt;"&amp;$R165-365,'Infos Clientes'!$W$2:$CZ$2,"&lt;="&amp;$R165),""),"")</f>
        <v>803.33333333333337</v>
      </c>
      <c r="CB165" s="87">
        <f>VLOOKUP(C165,'Infos Clientes'!B:L,11,0)</f>
        <v>0</v>
      </c>
      <c r="CC165" s="88" t="str">
        <f t="shared" si="116"/>
        <v>A Unidade Consumidora 10/202838-9 economizou R$245,8 na fatura referente à fev/2025  consumindo 957 kWh em créditos de energia renovável conforme fatura de energia. A economia foi de 25% em relação ao que seria pago para a Energisa considerando os créditos consumidos. Atenção: Mantenha as contas da Energisa em dia para evitar cortes.</v>
      </c>
      <c r="CD165" s="40" t="s">
        <v>72</v>
      </c>
      <c r="CF165" s="115">
        <f t="shared" si="117"/>
        <v>-270.73999999999972</v>
      </c>
    </row>
    <row r="166" spans="1:84" s="40" customFormat="1" ht="16.2" hidden="1" customHeight="1" x14ac:dyDescent="0.3">
      <c r="A166" s="105" t="str">
        <f>INDEX('Infos Clientes'!$D:$D,MATCH('Detalhe Por UC'!C166,'Infos Clientes'!B:B,0))</f>
        <v>IGREJA DO EVANGELHO QUADRANGULAR</v>
      </c>
      <c r="B166" s="106" t="str">
        <f>INDEX('Infos Clientes'!$F:$F,MATCH('Detalhe Por UC'!C166,'Infos Clientes'!B:B,0))</f>
        <v>62.955.505/0170-51</v>
      </c>
      <c r="C166" s="31" t="s">
        <v>73</v>
      </c>
      <c r="D166" t="s">
        <v>351</v>
      </c>
      <c r="E166" s="1" t="s">
        <v>352</v>
      </c>
      <c r="F166" s="56" t="str">
        <f>INDEX('Infos Clientes'!$I:$I,MATCH('Detalhe Por UC'!C166,'Infos Clientes'!B:B,0))</f>
        <v>BT</v>
      </c>
      <c r="G166" s="56" t="str">
        <f>INDEX('Infos Clientes'!$J:$J,MATCH('Detalhe Por UC'!C166,'Infos Clientes'!B:B,0))</f>
        <v>bifasico</v>
      </c>
      <c r="H166" s="108" t="s">
        <v>353</v>
      </c>
      <c r="I166" s="58">
        <f>IFERROR(VLOOKUP(C166,'Infos Clientes'!B:E,4,),"")</f>
        <v>306</v>
      </c>
      <c r="J166" s="109">
        <v>0.25</v>
      </c>
      <c r="K166" s="59">
        <f>INDEX('Infos Clientes'!$M:$M,MATCH('Detalhe Por UC'!C166,'Infos Clientes'!B:B,0))</f>
        <v>0.25</v>
      </c>
      <c r="L166" s="125">
        <v>0</v>
      </c>
      <c r="M166" s="56">
        <f>INDEX('Infos Clientes'!$N:$N,MATCH('Detalhe Por UC'!C166,'Infos Clientes'!B:B,0))</f>
        <v>0</v>
      </c>
      <c r="N166" s="56">
        <f t="shared" si="81"/>
        <v>0</v>
      </c>
      <c r="O166" s="56">
        <f t="shared" si="82"/>
        <v>12</v>
      </c>
      <c r="P166" s="56">
        <f t="shared" si="83"/>
        <v>0</v>
      </c>
      <c r="Q166" s="61">
        <f>IFERROR(IFERROR(INDEX('Infos Clientes'!$A$2:$V$9884,MATCH($C166,'Infos Clientes'!$B$2:$B$9884,0),MATCH(Q$8,'Infos Clientes'!$A$2:$V$2,0)),"")
+IF(OR(INDEX('Infos Clientes'!$A$2:$V$9884,MATCH($C166,'Infos Clientes'!$B$2:$B$9884,0),MATCH("Tempo de Fidelidade (meses)",'Infos Clientes'!$A$2:$V$2,0))=0,R166&gt;=MAX(R:R)),0,
ROUND((MAX(R:R)-R166)/(365/12),0)),"")</f>
        <v>0</v>
      </c>
      <c r="R166" s="111">
        <v>45689</v>
      </c>
      <c r="S166" s="112">
        <v>0.01</v>
      </c>
      <c r="T166" s="113">
        <f>IF($H166="GIROSSOL II",AP166/INDEX('Resumo Operacional'!$A$1:$P$1103,17,MATCH('Detalhe Por UC'!$R166,'Resumo Operacional'!$A$1:$P$1,0)),
IF($H166="GIROSSOL II e III",AP166/INDEX('Resumo Operacional'!$A$1:$P$1103,17,MATCH('Detalhe Por UC'!$R166,'Resumo Operacional'!$A$1:$P$1,0)),
""))</f>
        <v>2.3839595832017682E-2</v>
      </c>
      <c r="U166" s="113">
        <f>IF($H166="GIROSSOL III",AP166/INDEX('Resumo Operacional'!$A$1:$P$1103,53,MATCH('Detalhe Por UC'!$R166,'Resumo Operacional'!$A$1:$P$1,0)),
IF($H166="GIROSSOL II e III",AP166/INDEX('Resumo Operacional'!$A$1:$P$1103,53,MATCH('Detalhe Por UC'!$R166,'Resumo Operacional'!$A$1:$P$1,0)),
""))</f>
        <v>2.0876538089312873E-2</v>
      </c>
      <c r="V166" s="18"/>
      <c r="W166" s="54"/>
      <c r="X166" s="127">
        <v>1.1162569832402234</v>
      </c>
      <c r="Y166" s="127">
        <v>0</v>
      </c>
      <c r="Z166" s="127">
        <v>1.1107058014503626</v>
      </c>
      <c r="AA166" s="127">
        <v>0</v>
      </c>
      <c r="AB166" s="127">
        <v>179</v>
      </c>
      <c r="AC166" s="127">
        <v>0</v>
      </c>
      <c r="AD166" s="127">
        <v>129</v>
      </c>
      <c r="AE166" s="35"/>
      <c r="AF166" s="127">
        <v>293</v>
      </c>
      <c r="AG166" s="127">
        <v>0</v>
      </c>
      <c r="AH166" s="127">
        <v>21.45</v>
      </c>
      <c r="AI166" s="127">
        <v>0</v>
      </c>
      <c r="AJ166" s="127">
        <v>0</v>
      </c>
      <c r="AK166" s="31"/>
      <c r="AL166"/>
      <c r="AM166"/>
      <c r="AN166" s="71">
        <f t="shared" si="84"/>
        <v>173</v>
      </c>
      <c r="AO166" s="71">
        <f t="shared" si="85"/>
        <v>0</v>
      </c>
      <c r="AP166" s="71">
        <f t="shared" si="86"/>
        <v>302</v>
      </c>
      <c r="AQ166" s="72">
        <f>IF(OR($H166="GIROSSOL II",$H166="GIROSSOL II e III"),INDEX('Resumo Operacional'!$A$1:$P$1103,MATCH("Energia Injetada prevista total Fatura da Usina (TUSD)",'Resumo Operacional'!$B$1:$B$1103,0),MATCH('Detalhe Por UC'!$R166,'Resumo Operacional'!$A$1:$P$1,0))*$S166,INDEX('Resumo Operacional'!$A$1:$P$1103,53,MATCH('Detalhe Por UC'!$R166,'Resumo Operacional'!$A$1:$P$1,0))*$S166)</f>
        <v>126.68</v>
      </c>
      <c r="AR166" s="71">
        <f t="shared" si="87"/>
        <v>175.32</v>
      </c>
      <c r="AS166" s="73">
        <f t="shared" si="88"/>
        <v>77.978951612903202</v>
      </c>
      <c r="AT166" s="74">
        <f t="shared" si="89"/>
        <v>77.978951612903202</v>
      </c>
      <c r="AU166" s="74">
        <f t="shared" si="90"/>
        <v>1.1051546196605018</v>
      </c>
      <c r="AV166" s="74">
        <f t="shared" si="91"/>
        <v>107.46078629032259</v>
      </c>
      <c r="AW166" s="74">
        <f t="shared" si="92"/>
        <v>0</v>
      </c>
      <c r="AX166" s="74">
        <f t="shared" si="93"/>
        <v>143.28104838709677</v>
      </c>
      <c r="AY166" s="74">
        <f t="shared" si="94"/>
        <v>107.46</v>
      </c>
      <c r="AZ166" s="129">
        <v>107.46</v>
      </c>
      <c r="BA166" s="49">
        <v>107.46</v>
      </c>
      <c r="BB166" s="49">
        <v>107.46</v>
      </c>
      <c r="BC166" s="73" t="str">
        <f t="shared" si="95"/>
        <v/>
      </c>
      <c r="BD166" s="73">
        <f t="shared" si="96"/>
        <v>221.25999999999996</v>
      </c>
      <c r="BE166" s="73">
        <f t="shared" si="97"/>
        <v>185.43973790322579</v>
      </c>
      <c r="BF166" s="77">
        <f t="shared" si="98"/>
        <v>35.82</v>
      </c>
      <c r="BG166" s="77">
        <f t="shared" si="99"/>
        <v>10.746</v>
      </c>
      <c r="BH166" s="77">
        <f t="shared" si="100"/>
        <v>143.28104838709677</v>
      </c>
      <c r="BI166" s="78">
        <f t="shared" si="101"/>
        <v>0.25</v>
      </c>
      <c r="BJ166" s="79">
        <f t="shared" si="102"/>
        <v>0.16189098797794452</v>
      </c>
      <c r="BK166" s="80">
        <f t="shared" si="103"/>
        <v>185.4389516129032</v>
      </c>
      <c r="BL166" s="80">
        <f t="shared" si="104"/>
        <v>35.821048387096766</v>
      </c>
      <c r="BM166" s="79">
        <f t="shared" si="105"/>
        <v>0.16189572623653969</v>
      </c>
      <c r="BN166" s="81">
        <f t="shared" si="106"/>
        <v>0.83302325581395342</v>
      </c>
      <c r="BO166" s="82">
        <f t="shared" si="107"/>
        <v>107.46</v>
      </c>
      <c r="BP166" s="81">
        <f t="shared" si="108"/>
        <v>0.83302325581395342</v>
      </c>
      <c r="BQ166" s="81">
        <f t="shared" si="109"/>
        <v>0.83857443760381423</v>
      </c>
      <c r="BR166" s="81">
        <f t="shared" si="110"/>
        <v>1.1162569832402234</v>
      </c>
      <c r="BS166" s="82">
        <f t="shared" si="111"/>
        <v>129</v>
      </c>
      <c r="BT166" s="82">
        <f t="shared" si="112"/>
        <v>143.99715083798881</v>
      </c>
      <c r="BU166" s="82">
        <f t="shared" si="113"/>
        <v>143.28104838709677</v>
      </c>
      <c r="BV166"/>
      <c r="BW166" s="82">
        <f>IFERROR(INDEX('Infos Clientes'!$T:$T,MATCH('Detalhe Por UC'!$C166,'Infos Clientes'!B:B,0)),"")</f>
        <v>153.91666666666666</v>
      </c>
      <c r="BX166" s="83">
        <f t="shared" si="114"/>
        <v>0</v>
      </c>
      <c r="BY166" s="84">
        <f t="shared" si="115"/>
        <v>0.24876220243690125</v>
      </c>
      <c r="BZ166" s="85">
        <f>IF(_xlfn.MINIFS('Detalhe Por UC'!R:R,'Detalhe Por UC'!C:C,C166,'Detalhe Por UC'!AD:AD,"&gt;"&amp;0)=0,"",_xlfn.MINIFS('Detalhe Por UC'!R:R,'Detalhe Por UC'!C:C,C166,'Detalhe Por UC'!AD:AD,"&gt;"&amp;0))</f>
        <v>45627</v>
      </c>
      <c r="CA166" s="114">
        <f ca="1">IF(OR(S166&gt;0,AD166&gt;0),IFERROR(
SUMIFS(INDIRECT("'Infos Clientes'!$W"&amp;INDEX('Infos Clientes'!$C:$C,MATCH(C166,'Infos Clientes'!$H:$H,0))&amp;":$CZ"&amp;INDEX('Infos Clientes'!$C:$C,MATCH(C166,'Infos Clientes'!$H:$H,0))),'Infos Clientes'!$W$2:$CZ$2,"&gt;"&amp;$R166-365,'Infos Clientes'!$W$2:$CZ$2,"&lt;="&amp;$R166)/
COUNTIFS(INDIRECT("'Infos Clientes'!$W"&amp;INDEX('Infos Clientes'!$C:$C,MATCH(C166,'Infos Clientes'!$H:$H,0))&amp;":$CZ"&amp;INDEX('Infos Clientes'!$C:$C,MATCH(C166,'Infos Clientes'!$H:$H,0))),"&gt;="&amp;0,'Infos Clientes'!$W$2:$CZ$2,"&gt;"&amp;$R166-365,'Infos Clientes'!$W$2:$CZ$2,"&lt;="&amp;$R166),""),"")</f>
        <v>156.25</v>
      </c>
      <c r="CB166" s="87">
        <f>VLOOKUP(C166,'Infos Clientes'!B:L,11,0)</f>
        <v>0</v>
      </c>
      <c r="CC166" s="88" t="str">
        <f t="shared" si="116"/>
        <v>A Unidade Consumidora 10/218777-1 economizou R$35,82 na fatura referente à fev/2025  consumindo 129 kWh em créditos de energia renovável conforme fatura de energia. A economia foi de 25% em relação ao que seria pago para a Energisa considerando os créditos consumidos. Atenção: Mantenha as contas da Energisa em dia para evitar cortes.</v>
      </c>
      <c r="CD166" s="40" t="s">
        <v>75</v>
      </c>
      <c r="CF166" s="115">
        <f t="shared" si="117"/>
        <v>-77.978951612903202</v>
      </c>
    </row>
    <row r="167" spans="1:84" s="40" customFormat="1" ht="16.2" hidden="1" customHeight="1" x14ac:dyDescent="0.3">
      <c r="A167" s="105" t="str">
        <f>INDEX('Infos Clientes'!$D:$D,MATCH('Detalhe Por UC'!C167,'Infos Clientes'!B:B,0))</f>
        <v>IGREJA DO EVANGELHO QUADRANGULAR</v>
      </c>
      <c r="B167" s="106" t="str">
        <f>INDEX('Infos Clientes'!$F:$F,MATCH('Detalhe Por UC'!C167,'Infos Clientes'!B:B,0))</f>
        <v>62.955.505/0408-94</v>
      </c>
      <c r="C167" s="31" t="s">
        <v>76</v>
      </c>
      <c r="D167" t="s">
        <v>351</v>
      </c>
      <c r="E167" s="1" t="s">
        <v>352</v>
      </c>
      <c r="F167" s="56" t="str">
        <f>INDEX('Infos Clientes'!$I:$I,MATCH('Detalhe Por UC'!C167,'Infos Clientes'!B:B,0))</f>
        <v>BT</v>
      </c>
      <c r="G167" s="56" t="str">
        <f>INDEX('Infos Clientes'!$J:$J,MATCH('Detalhe Por UC'!C167,'Infos Clientes'!B:B,0))</f>
        <v>bifasico</v>
      </c>
      <c r="H167" s="108" t="s">
        <v>24</v>
      </c>
      <c r="I167" s="58">
        <f>IFERROR(VLOOKUP(C167,'Infos Clientes'!B:E,4,),"")</f>
        <v>371</v>
      </c>
      <c r="J167" s="109">
        <v>0.25</v>
      </c>
      <c r="K167" s="59">
        <f>INDEX('Infos Clientes'!$M:$M,MATCH('Detalhe Por UC'!C167,'Infos Clientes'!B:B,0))</f>
        <v>0.25</v>
      </c>
      <c r="L167" s="125">
        <v>0</v>
      </c>
      <c r="M167" s="56">
        <f>INDEX('Infos Clientes'!$N:$N,MATCH('Detalhe Por UC'!C167,'Infos Clientes'!B:B,0))</f>
        <v>0</v>
      </c>
      <c r="N167" s="56">
        <f t="shared" si="81"/>
        <v>0</v>
      </c>
      <c r="O167" s="56">
        <f t="shared" si="82"/>
        <v>11</v>
      </c>
      <c r="P167" s="56">
        <f t="shared" si="83"/>
        <v>0</v>
      </c>
      <c r="Q167" s="61">
        <f>IFERROR(IFERROR(INDEX('Infos Clientes'!$A$2:$V$9884,MATCH($C167,'Infos Clientes'!$B$2:$B$9884,0),MATCH(Q$8,'Infos Clientes'!$A$2:$V$2,0)),"")
+IF(OR(INDEX('Infos Clientes'!$A$2:$V$9884,MATCH($C167,'Infos Clientes'!$B$2:$B$9884,0),MATCH("Tempo de Fidelidade (meses)",'Infos Clientes'!$A$2:$V$2,0))=0,R167&gt;=MAX(R:R)),0,
ROUND((MAX(R:R)-R167)/(365/12),0)),"")</f>
        <v>0</v>
      </c>
      <c r="R167" s="111">
        <v>45689</v>
      </c>
      <c r="S167" s="112">
        <v>0.01</v>
      </c>
      <c r="T167" s="113">
        <f>IF($H167="GIROSSOL II",AP167/INDEX('Resumo Operacional'!$A$1:$P$1103,17,MATCH('Detalhe Por UC'!$R167,'Resumo Operacional'!$A$1:$P$1,0)),
IF($H167="GIROSSOL II e III",AP167/INDEX('Resumo Operacional'!$A$1:$P$1103,17,MATCH('Detalhe Por UC'!$R167,'Resumo Operacional'!$A$1:$P$1,0)),
""))</f>
        <v>2.3839595832017682E-2</v>
      </c>
      <c r="U167" s="113" t="str">
        <f>IF($H167="GIROSSOL III",AP167/INDEX('Resumo Operacional'!$A$1:$P$1103,53,MATCH('Detalhe Por UC'!$R167,'Resumo Operacional'!$A$1:$P$1,0)),
IF($H167="GIROSSOL II e III",AP167/INDEX('Resumo Operacional'!$A$1:$P$1103,53,MATCH('Detalhe Por UC'!$R167,'Resumo Operacional'!$A$1:$P$1,0)),
""))</f>
        <v/>
      </c>
      <c r="V167" s="18"/>
      <c r="W167" s="54"/>
      <c r="X167" s="127">
        <v>1.1162416107382549</v>
      </c>
      <c r="Y167" s="127">
        <v>0</v>
      </c>
      <c r="Z167" s="127">
        <v>1.1161616161616161</v>
      </c>
      <c r="AA167" s="127">
        <v>0</v>
      </c>
      <c r="AB167" s="127">
        <v>149</v>
      </c>
      <c r="AC167" s="127">
        <v>0</v>
      </c>
      <c r="AD167" s="127">
        <v>99</v>
      </c>
      <c r="AE167" s="35"/>
      <c r="AF167" s="127">
        <v>327</v>
      </c>
      <c r="AG167" s="127">
        <v>0</v>
      </c>
      <c r="AH167" s="127">
        <v>30.64</v>
      </c>
      <c r="AI167" s="127">
        <v>0</v>
      </c>
      <c r="AJ167" s="127">
        <v>0</v>
      </c>
      <c r="AK167" s="31"/>
      <c r="AL167"/>
      <c r="AM167"/>
      <c r="AN167" s="71">
        <f t="shared" si="84"/>
        <v>203</v>
      </c>
      <c r="AO167" s="71">
        <f t="shared" si="85"/>
        <v>0</v>
      </c>
      <c r="AP167" s="71">
        <f t="shared" si="86"/>
        <v>302</v>
      </c>
      <c r="AQ167" s="72">
        <f>IF(OR($H167="GIROSSOL II",$H167="GIROSSOL II e III"),INDEX('Resumo Operacional'!$A$1:$P$1103,MATCH("Energia Injetada prevista total Fatura da Usina (TUSD)",'Resumo Operacional'!$B$1:$B$1103,0),MATCH('Detalhe Por UC'!$R167,'Resumo Operacional'!$A$1:$P$1,0))*$S167,INDEX('Resumo Operacional'!$A$1:$P$1103,53,MATCH('Detalhe Por UC'!$R167,'Resumo Operacional'!$A$1:$P$1,0))*$S167)</f>
        <v>126.68</v>
      </c>
      <c r="AR167" s="71">
        <f t="shared" si="87"/>
        <v>175.32</v>
      </c>
      <c r="AS167" s="73">
        <f t="shared" si="88"/>
        <v>86.46</v>
      </c>
      <c r="AT167" s="74">
        <f t="shared" si="89"/>
        <v>86.46</v>
      </c>
      <c r="AU167" s="74">
        <f t="shared" si="90"/>
        <v>1.1160816215849774</v>
      </c>
      <c r="AV167" s="74">
        <f t="shared" si="91"/>
        <v>82.875</v>
      </c>
      <c r="AW167" s="74">
        <f t="shared" si="92"/>
        <v>0</v>
      </c>
      <c r="AX167" s="74">
        <f t="shared" si="93"/>
        <v>110.5</v>
      </c>
      <c r="AY167" s="74">
        <f t="shared" si="94"/>
        <v>82.88</v>
      </c>
      <c r="AZ167" s="49">
        <v>82.88</v>
      </c>
      <c r="BA167" s="49">
        <v>82.88</v>
      </c>
      <c r="BB167" s="49">
        <v>82.88</v>
      </c>
      <c r="BC167" s="73" t="str">
        <f t="shared" si="95"/>
        <v/>
      </c>
      <c r="BD167" s="73">
        <f t="shared" si="96"/>
        <v>196.95999999999998</v>
      </c>
      <c r="BE167" s="73">
        <f t="shared" si="97"/>
        <v>169.33499999999998</v>
      </c>
      <c r="BF167" s="77">
        <f t="shared" si="98"/>
        <v>27.63</v>
      </c>
      <c r="BG167" s="77">
        <f t="shared" si="99"/>
        <v>8.2889999999999997</v>
      </c>
      <c r="BH167" s="77">
        <f t="shared" si="100"/>
        <v>110.5</v>
      </c>
      <c r="BI167" s="78">
        <f t="shared" si="101"/>
        <v>0.25</v>
      </c>
      <c r="BJ167" s="79">
        <f t="shared" si="102"/>
        <v>0.14028229082047117</v>
      </c>
      <c r="BK167" s="80">
        <f t="shared" si="103"/>
        <v>169.33999999999997</v>
      </c>
      <c r="BL167" s="80">
        <f t="shared" si="104"/>
        <v>27.620000000000005</v>
      </c>
      <c r="BM167" s="79">
        <f t="shared" si="105"/>
        <v>0.14023151909017062</v>
      </c>
      <c r="BN167" s="81">
        <f t="shared" si="106"/>
        <v>0.83717171717171712</v>
      </c>
      <c r="BO167" s="82">
        <f t="shared" si="107"/>
        <v>82.88</v>
      </c>
      <c r="BP167" s="81">
        <f t="shared" si="108"/>
        <v>0.83717171717171712</v>
      </c>
      <c r="BQ167" s="81">
        <f t="shared" si="109"/>
        <v>0.83725171174835589</v>
      </c>
      <c r="BR167" s="81">
        <f t="shared" si="110"/>
        <v>1.1162416107382549</v>
      </c>
      <c r="BS167" s="82">
        <f t="shared" si="111"/>
        <v>99</v>
      </c>
      <c r="BT167" s="82">
        <f t="shared" si="112"/>
        <v>110.50791946308723</v>
      </c>
      <c r="BU167" s="82">
        <f t="shared" si="113"/>
        <v>110.5</v>
      </c>
      <c r="BV167"/>
      <c r="BW167" s="82">
        <f>IFERROR(INDEX('Infos Clientes'!$T:$T,MATCH('Detalhe Por UC'!$C167,'Infos Clientes'!B:B,0)),"")</f>
        <v>157.66666666666666</v>
      </c>
      <c r="BX167" s="83">
        <f t="shared" si="114"/>
        <v>0</v>
      </c>
      <c r="BY167" s="84">
        <f t="shared" si="115"/>
        <v>0.24993683832067676</v>
      </c>
      <c r="BZ167" s="85">
        <f>IF(_xlfn.MINIFS('Detalhe Por UC'!R:R,'Detalhe Por UC'!C:C,C167,'Detalhe Por UC'!AD:AD,"&gt;"&amp;0)=0,"",_xlfn.MINIFS('Detalhe Por UC'!R:R,'Detalhe Por UC'!C:C,C167,'Detalhe Por UC'!AD:AD,"&gt;"&amp;0))</f>
        <v>45627</v>
      </c>
      <c r="CA167" s="114">
        <f ca="1">IF(OR(S167&gt;0,AD167&gt;0),IFERROR(
SUMIFS(INDIRECT("'Infos Clientes'!$W"&amp;INDEX('Infos Clientes'!$C:$C,MATCH(C167,'Infos Clientes'!$H:$H,0))&amp;":$CZ"&amp;INDEX('Infos Clientes'!$C:$C,MATCH(C167,'Infos Clientes'!$H:$H,0))),'Infos Clientes'!$W$2:$CZ$2,"&gt;"&amp;$R167-365,'Infos Clientes'!$W$2:$CZ$2,"&lt;="&amp;$R167)/
COUNTIFS(INDIRECT("'Infos Clientes'!$W"&amp;INDEX('Infos Clientes'!$C:$C,MATCH(C167,'Infos Clientes'!$H:$H,0))&amp;":$CZ"&amp;INDEX('Infos Clientes'!$C:$C,MATCH(C167,'Infos Clientes'!$H:$H,0))),"&gt;="&amp;0,'Infos Clientes'!$W$2:$CZ$2,"&gt;"&amp;$R167-365,'Infos Clientes'!$W$2:$CZ$2,"&lt;="&amp;$R167),""),"")</f>
        <v>156.33333333333334</v>
      </c>
      <c r="CB167" s="87">
        <f>VLOOKUP(C167,'Infos Clientes'!B:L,11,0)</f>
        <v>0</v>
      </c>
      <c r="CC167" s="88" t="str">
        <f t="shared" si="116"/>
        <v>A Unidade Consumidora 10/226667-4 economizou R$27,63 na fatura referente à fev/2025  consumindo 99 kWh em créditos de energia renovável conforme fatura de energia. A economia foi de 25% em relação ao que seria pago para a Energisa considerando os créditos consumidos. Atenção: Mantenha as contas da Energisa em dia para evitar cortes.</v>
      </c>
      <c r="CD167" s="40" t="s">
        <v>78</v>
      </c>
      <c r="CF167" s="115">
        <f t="shared" si="117"/>
        <v>-86.46</v>
      </c>
    </row>
    <row r="168" spans="1:84" s="40" customFormat="1" ht="16.2" hidden="1" customHeight="1" x14ac:dyDescent="0.3">
      <c r="A168" s="105" t="str">
        <f>INDEX('Infos Clientes'!$D:$D,MATCH('Detalhe Por UC'!C168,'Infos Clientes'!B:B,0))</f>
        <v>IGREJA DO EVANGELHO QUADRANGULAR</v>
      </c>
      <c r="B168" s="106" t="str">
        <f>INDEX('Infos Clientes'!$F:$F,MATCH('Detalhe Por UC'!C168,'Infos Clientes'!B:B,0))</f>
        <v>62.955.505/0172-13</v>
      </c>
      <c r="C168" s="31" t="s">
        <v>79</v>
      </c>
      <c r="D168" t="s">
        <v>351</v>
      </c>
      <c r="E168" s="1" t="s">
        <v>352</v>
      </c>
      <c r="F168" s="56" t="str">
        <f>INDEX('Infos Clientes'!$I:$I,MATCH('Detalhe Por UC'!C168,'Infos Clientes'!B:B,0))</f>
        <v>BT</v>
      </c>
      <c r="G168" s="56" t="str">
        <f>INDEX('Infos Clientes'!$J:$J,MATCH('Detalhe Por UC'!C168,'Infos Clientes'!B:B,0))</f>
        <v>trifasico</v>
      </c>
      <c r="H168" s="108" t="s">
        <v>24</v>
      </c>
      <c r="I168" s="58">
        <f>IFERROR(VLOOKUP(C168,'Infos Clientes'!B:E,4,),"")</f>
        <v>371</v>
      </c>
      <c r="J168" s="109">
        <v>0.25</v>
      </c>
      <c r="K168" s="59">
        <f>INDEX('Infos Clientes'!$M:$M,MATCH('Detalhe Por UC'!C168,'Infos Clientes'!B:B,0))</f>
        <v>0.25</v>
      </c>
      <c r="L168" s="125">
        <v>0</v>
      </c>
      <c r="M168" s="56">
        <f>INDEX('Infos Clientes'!$N:$N,MATCH('Detalhe Por UC'!C168,'Infos Clientes'!B:B,0))</f>
        <v>0</v>
      </c>
      <c r="N168" s="56">
        <f t="shared" si="81"/>
        <v>0</v>
      </c>
      <c r="O168" s="56">
        <f t="shared" si="82"/>
        <v>8</v>
      </c>
      <c r="P168" s="56">
        <f t="shared" si="83"/>
        <v>0</v>
      </c>
      <c r="Q168" s="61">
        <f>IFERROR(IFERROR(INDEX('Infos Clientes'!$A$2:$V$9884,MATCH($C168,'Infos Clientes'!$B$2:$B$9884,0),MATCH(Q$8,'Infos Clientes'!$A$2:$V$2,0)),"")
+IF(OR(INDEX('Infos Clientes'!$A$2:$V$9884,MATCH($C168,'Infos Clientes'!$B$2:$B$9884,0),MATCH("Tempo de Fidelidade (meses)",'Infos Clientes'!$A$2:$V$2,0))=0,R168&gt;=MAX(R:R)),0,
ROUND((MAX(R:R)-R168)/(365/12),0)),"")</f>
        <v>0</v>
      </c>
      <c r="R168" s="111">
        <v>45689</v>
      </c>
      <c r="S168" s="112">
        <v>6.0000000000000001E-3</v>
      </c>
      <c r="T168" s="113">
        <f>IF($H168="GIROSSOL II",AP168/INDEX('Resumo Operacional'!$A$1:$P$1103,17,MATCH('Detalhe Por UC'!$R168,'Resumo Operacional'!$A$1:$P$1,0)),
IF($H168="GIROSSOL II e III",AP168/INDEX('Resumo Operacional'!$A$1:$P$1103,17,MATCH('Detalhe Por UC'!$R168,'Resumo Operacional'!$A$1:$P$1,0)),
""))</f>
        <v>1.8629617934954216E-2</v>
      </c>
      <c r="U168" s="113" t="str">
        <f>IF($H168="GIROSSOL III",AP168/INDEX('Resumo Operacional'!$A$1:$P$1103,53,MATCH('Detalhe Por UC'!$R168,'Resumo Operacional'!$A$1:$P$1,0)),
IF($H168="GIROSSOL II e III",AP168/INDEX('Resumo Operacional'!$A$1:$P$1103,53,MATCH('Detalhe Por UC'!$R168,'Resumo Operacional'!$A$1:$P$1,0)),
""))</f>
        <v/>
      </c>
      <c r="V168" s="18"/>
      <c r="W168" s="54"/>
      <c r="X168" s="127">
        <v>1.1162264150943395</v>
      </c>
      <c r="Y168" s="127">
        <v>0</v>
      </c>
      <c r="Z168" s="127">
        <v>1.1161016949152542</v>
      </c>
      <c r="AA168" s="127">
        <v>0</v>
      </c>
      <c r="AB168" s="127">
        <v>159</v>
      </c>
      <c r="AC168" s="127">
        <v>0</v>
      </c>
      <c r="AD168" s="127">
        <v>59</v>
      </c>
      <c r="AE168" s="35"/>
      <c r="AF168" s="127">
        <v>448</v>
      </c>
      <c r="AG168" s="127">
        <v>0</v>
      </c>
      <c r="AH168" s="127">
        <v>15.32</v>
      </c>
      <c r="AI168" s="127">
        <v>0</v>
      </c>
      <c r="AJ168" s="127">
        <v>0</v>
      </c>
      <c r="AK168" s="31"/>
      <c r="AL168"/>
      <c r="AM168"/>
      <c r="AN168" s="71">
        <f t="shared" si="84"/>
        <v>177</v>
      </c>
      <c r="AO168" s="71">
        <f t="shared" si="85"/>
        <v>0</v>
      </c>
      <c r="AP168" s="71">
        <f t="shared" si="86"/>
        <v>236</v>
      </c>
      <c r="AQ168" s="72">
        <f>IF(OR($H168="GIROSSOL II",$H168="GIROSSOL II e III"),INDEX('Resumo Operacional'!$A$1:$P$1103,MATCH("Energia Injetada prevista total Fatura da Usina (TUSD)",'Resumo Operacional'!$B$1:$B$1103,0),MATCH('Detalhe Por UC'!$R168,'Resumo Operacional'!$A$1:$P$1,0))*$S168,INDEX('Resumo Operacional'!$A$1:$P$1103,53,MATCH('Detalhe Por UC'!$R168,'Resumo Operacional'!$A$1:$P$1,0))*$S168)</f>
        <v>76.007999999999996</v>
      </c>
      <c r="AR168" s="71">
        <f t="shared" si="87"/>
        <v>159.99200000000002</v>
      </c>
      <c r="AS168" s="73">
        <f t="shared" si="88"/>
        <v>126.94999999999999</v>
      </c>
      <c r="AT168" s="74">
        <f t="shared" si="89"/>
        <v>126.94999999999999</v>
      </c>
      <c r="AU168" s="74">
        <f t="shared" si="90"/>
        <v>1.115976974736169</v>
      </c>
      <c r="AV168" s="74">
        <f t="shared" si="91"/>
        <v>49.387500000000003</v>
      </c>
      <c r="AW168" s="74">
        <f t="shared" si="92"/>
        <v>0</v>
      </c>
      <c r="AX168" s="74">
        <f t="shared" si="93"/>
        <v>65.849999999999994</v>
      </c>
      <c r="AY168" s="74">
        <f t="shared" si="94"/>
        <v>49.39</v>
      </c>
      <c r="AZ168" s="49">
        <v>49.39</v>
      </c>
      <c r="BA168" s="49">
        <v>49.39</v>
      </c>
      <c r="BB168" s="49">
        <v>49.39</v>
      </c>
      <c r="BC168" s="73" t="str">
        <f t="shared" si="95"/>
        <v/>
      </c>
      <c r="BD168" s="73">
        <f t="shared" si="96"/>
        <v>192.79999999999998</v>
      </c>
      <c r="BE168" s="73">
        <f t="shared" si="97"/>
        <v>176.33749999999998</v>
      </c>
      <c r="BF168" s="77">
        <f t="shared" si="98"/>
        <v>16.46</v>
      </c>
      <c r="BG168" s="77">
        <f t="shared" si="99"/>
        <v>4.9379999999999997</v>
      </c>
      <c r="BH168" s="77">
        <f t="shared" si="100"/>
        <v>65.849999999999994</v>
      </c>
      <c r="BI168" s="78">
        <f t="shared" si="101"/>
        <v>0.25</v>
      </c>
      <c r="BJ168" s="79">
        <f t="shared" si="102"/>
        <v>8.5373443983402506E-2</v>
      </c>
      <c r="BK168" s="80">
        <f t="shared" si="103"/>
        <v>176.33999999999997</v>
      </c>
      <c r="BL168" s="80">
        <f t="shared" si="104"/>
        <v>16.460000000000008</v>
      </c>
      <c r="BM168" s="79">
        <f t="shared" si="105"/>
        <v>8.5373443983402533E-2</v>
      </c>
      <c r="BN168" s="81">
        <f t="shared" si="106"/>
        <v>0.83711864406779657</v>
      </c>
      <c r="BO168" s="82">
        <f t="shared" si="107"/>
        <v>49.39</v>
      </c>
      <c r="BP168" s="81">
        <f t="shared" si="108"/>
        <v>0.83711864406779657</v>
      </c>
      <c r="BQ168" s="81">
        <f t="shared" si="109"/>
        <v>0.83724336424688184</v>
      </c>
      <c r="BR168" s="81">
        <f t="shared" si="110"/>
        <v>1.1162264150943395</v>
      </c>
      <c r="BS168" s="82">
        <f t="shared" si="111"/>
        <v>59</v>
      </c>
      <c r="BT168" s="82">
        <f t="shared" si="112"/>
        <v>65.857358490566028</v>
      </c>
      <c r="BU168" s="82">
        <f t="shared" si="113"/>
        <v>65.849999999999994</v>
      </c>
      <c r="BV168"/>
      <c r="BW168" s="82">
        <f>IFERROR(INDEX('Infos Clientes'!$T:$T,MATCH('Detalhe Por UC'!$C168,'Infos Clientes'!B:B,0)),"")</f>
        <v>166.66666666666666</v>
      </c>
      <c r="BX168" s="83">
        <f t="shared" si="114"/>
        <v>0</v>
      </c>
      <c r="BY168" s="84">
        <f t="shared" si="115"/>
        <v>0.24993410572879071</v>
      </c>
      <c r="BZ168" s="85">
        <f>IF(_xlfn.MINIFS('Detalhe Por UC'!R:R,'Detalhe Por UC'!C:C,C168,'Detalhe Por UC'!AD:AD,"&gt;"&amp;0)=0,"",_xlfn.MINIFS('Detalhe Por UC'!R:R,'Detalhe Por UC'!C:C,C168,'Detalhe Por UC'!AD:AD,"&gt;"&amp;0))</f>
        <v>45627</v>
      </c>
      <c r="CA168" s="114">
        <f ca="1">IF(OR(S168&gt;0,AD168&gt;0),IFERROR(
SUMIFS(INDIRECT("'Infos Clientes'!$W"&amp;INDEX('Infos Clientes'!$C:$C,MATCH(C168,'Infos Clientes'!$H:$H,0))&amp;":$CZ"&amp;INDEX('Infos Clientes'!$C:$C,MATCH(C168,'Infos Clientes'!$H:$H,0))),'Infos Clientes'!$W$2:$CZ$2,"&gt;"&amp;$R168-365,'Infos Clientes'!$W$2:$CZ$2,"&lt;="&amp;$R168)/
COUNTIFS(INDIRECT("'Infos Clientes'!$W"&amp;INDEX('Infos Clientes'!$C:$C,MATCH(C168,'Infos Clientes'!$H:$H,0))&amp;":$CZ"&amp;INDEX('Infos Clientes'!$C:$C,MATCH(C168,'Infos Clientes'!$H:$H,0))),"&gt;="&amp;0,'Infos Clientes'!$W$2:$CZ$2,"&gt;"&amp;$R168-365,'Infos Clientes'!$W$2:$CZ$2,"&lt;="&amp;$R168),""),"")</f>
        <v>164.25</v>
      </c>
      <c r="CB168" s="87">
        <f>VLOOKUP(C168,'Infos Clientes'!B:L,11,0)</f>
        <v>0</v>
      </c>
      <c r="CC168" s="88" t="str">
        <f t="shared" si="116"/>
        <v>A Unidade Consumidora 10/237441-1 economizou R$16,46 na fatura referente à fev/2025  consumindo 59 kWh em créditos de energia renovável conforme fatura de energia. A economia foi de 25% em relação ao que seria pago para a Energisa considerando os créditos consumidos. Atenção: Mantenha as contas da Energisa em dia para evitar cortes.</v>
      </c>
      <c r="CD168" s="40" t="s">
        <v>80</v>
      </c>
      <c r="CF168" s="115">
        <f t="shared" si="117"/>
        <v>-126.94999999999999</v>
      </c>
    </row>
    <row r="169" spans="1:84" s="40" customFormat="1" ht="16.2" hidden="1" customHeight="1" x14ac:dyDescent="0.3">
      <c r="A169" s="105" t="str">
        <f>INDEX('Infos Clientes'!$D:$D,MATCH('Detalhe Por UC'!C169,'Infos Clientes'!B:B,0))</f>
        <v>IGREJA DO EVANGELHO QUADRANGULAR</v>
      </c>
      <c r="B169" s="106" t="str">
        <f>INDEX('Infos Clientes'!$F:$F,MATCH('Detalhe Por UC'!C169,'Infos Clientes'!B:B,0))</f>
        <v>62.955.505/1821-76</v>
      </c>
      <c r="C169" s="31" t="s">
        <v>81</v>
      </c>
      <c r="D169" t="s">
        <v>351</v>
      </c>
      <c r="E169" s="1" t="s">
        <v>352</v>
      </c>
      <c r="F169" s="56" t="str">
        <f>INDEX('Infos Clientes'!$I:$I,MATCH('Detalhe Por UC'!C169,'Infos Clientes'!B:B,0))</f>
        <v>BT</v>
      </c>
      <c r="G169" s="56" t="str">
        <f>INDEX('Infos Clientes'!$J:$J,MATCH('Detalhe Por UC'!C169,'Infos Clientes'!B:B,0))</f>
        <v>bifasico</v>
      </c>
      <c r="H169" s="108" t="s">
        <v>353</v>
      </c>
      <c r="I169" s="58">
        <f>IFERROR(VLOOKUP(C169,'Infos Clientes'!B:E,4,),"")</f>
        <v>362</v>
      </c>
      <c r="J169" s="109">
        <v>0.25</v>
      </c>
      <c r="K169" s="59">
        <f>INDEX('Infos Clientes'!$M:$M,MATCH('Detalhe Por UC'!C169,'Infos Clientes'!B:B,0))</f>
        <v>0.25</v>
      </c>
      <c r="L169" s="125">
        <v>0</v>
      </c>
      <c r="M169" s="56">
        <f>INDEX('Infos Clientes'!$N:$N,MATCH('Detalhe Por UC'!C169,'Infos Clientes'!B:B,0))</f>
        <v>0</v>
      </c>
      <c r="N169" s="56">
        <f t="shared" si="81"/>
        <v>0</v>
      </c>
      <c r="O169" s="56">
        <f t="shared" si="82"/>
        <v>12</v>
      </c>
      <c r="P169" s="56">
        <f t="shared" si="83"/>
        <v>0</v>
      </c>
      <c r="Q169" s="61">
        <f>IFERROR(IFERROR(INDEX('Infos Clientes'!$A$2:$V$9884,MATCH($C169,'Infos Clientes'!$B$2:$B$9884,0),MATCH(Q$8,'Infos Clientes'!$A$2:$V$2,0)),"")
+IF(OR(INDEX('Infos Clientes'!$A$2:$V$9884,MATCH($C169,'Infos Clientes'!$B$2:$B$9884,0),MATCH("Tempo de Fidelidade (meses)",'Infos Clientes'!$A$2:$V$2,0))=0,R169&gt;=MAX(R:R)),0,
ROUND((MAX(R:R)-R169)/(365/12),0)),"")</f>
        <v>0</v>
      </c>
      <c r="R169" s="111">
        <v>45689</v>
      </c>
      <c r="S169" s="112">
        <v>5.0000000000000001E-3</v>
      </c>
      <c r="T169" s="113">
        <f>IF($H169="GIROSSOL II",AP169/INDEX('Resumo Operacional'!$A$1:$P$1103,17,MATCH('Detalhe Por UC'!$R169,'Resumo Operacional'!$A$1:$P$1,0)),
IF($H169="GIROSSOL II e III",AP169/INDEX('Resumo Operacional'!$A$1:$P$1103,17,MATCH('Detalhe Por UC'!$R169,'Resumo Operacional'!$A$1:$P$1,0)),
""))</f>
        <v>1.7366592990211555E-2</v>
      </c>
      <c r="U169" s="113">
        <f>IF($H169="GIROSSOL III",AP169/INDEX('Resumo Operacional'!$A$1:$P$1103,53,MATCH('Detalhe Por UC'!$R169,'Resumo Operacional'!$A$1:$P$1,0)),
IF($H169="GIROSSOL II e III",AP169/INDEX('Resumo Operacional'!$A$1:$P$1103,53,MATCH('Detalhe Por UC'!$R169,'Resumo Operacional'!$A$1:$P$1,0)),
""))</f>
        <v>1.5208074104797456E-2</v>
      </c>
      <c r="V169" s="18"/>
      <c r="W169" s="54"/>
      <c r="X169" s="127">
        <v>1.1162454873646208</v>
      </c>
      <c r="Y169" s="127">
        <v>0</v>
      </c>
      <c r="Z169" s="127">
        <v>1.088888888888889</v>
      </c>
      <c r="AA169" s="127">
        <v>0</v>
      </c>
      <c r="AB169" s="127">
        <v>277</v>
      </c>
      <c r="AC169" s="127">
        <v>0</v>
      </c>
      <c r="AD169" s="127">
        <v>234</v>
      </c>
      <c r="AE169" s="35"/>
      <c r="AF169" s="127">
        <v>99</v>
      </c>
      <c r="AG169" s="127">
        <v>0</v>
      </c>
      <c r="AH169" s="127">
        <v>23.05</v>
      </c>
      <c r="AI169" s="127">
        <v>0</v>
      </c>
      <c r="AJ169" s="127">
        <v>0</v>
      </c>
      <c r="AK169" s="31"/>
      <c r="AL169"/>
      <c r="AM169"/>
      <c r="AN169" s="71">
        <f t="shared" si="84"/>
        <v>-14</v>
      </c>
      <c r="AO169" s="71">
        <f t="shared" si="85"/>
        <v>0</v>
      </c>
      <c r="AP169" s="71">
        <f t="shared" si="86"/>
        <v>220</v>
      </c>
      <c r="AQ169" s="72">
        <f>IF(OR($H169="GIROSSOL II",$H169="GIROSSOL II e III"),INDEX('Resumo Operacional'!$A$1:$P$1103,MATCH("Energia Injetada prevista total Fatura da Usina (TUSD)",'Resumo Operacional'!$B$1:$B$1103,0),MATCH('Detalhe Por UC'!$R169,'Resumo Operacional'!$A$1:$P$1,0))*$S169,INDEX('Resumo Operacional'!$A$1:$P$1103,53,MATCH('Detalhe Por UC'!$R169,'Resumo Operacional'!$A$1:$P$1,0))*$S169)</f>
        <v>63.34</v>
      </c>
      <c r="AR169" s="71">
        <f t="shared" si="87"/>
        <v>156.66</v>
      </c>
      <c r="AS169" s="73">
        <f t="shared" si="88"/>
        <v>77.449999999999946</v>
      </c>
      <c r="AT169" s="74">
        <f t="shared" si="89"/>
        <v>77.449999999999946</v>
      </c>
      <c r="AU169" s="74">
        <f t="shared" si="90"/>
        <v>1.0615322904131572</v>
      </c>
      <c r="AV169" s="74">
        <f t="shared" si="91"/>
        <v>191.10000000000002</v>
      </c>
      <c r="AW169" s="74">
        <f t="shared" si="92"/>
        <v>0</v>
      </c>
      <c r="AX169" s="74">
        <f t="shared" si="93"/>
        <v>254.80000000000004</v>
      </c>
      <c r="AY169" s="74">
        <f t="shared" si="94"/>
        <v>191.1</v>
      </c>
      <c r="AZ169" s="49">
        <v>191.1</v>
      </c>
      <c r="BA169" s="49">
        <v>191.1</v>
      </c>
      <c r="BB169" s="49">
        <v>191.1</v>
      </c>
      <c r="BC169" s="73" t="str">
        <f t="shared" si="95"/>
        <v/>
      </c>
      <c r="BD169" s="73">
        <f t="shared" si="96"/>
        <v>332.25</v>
      </c>
      <c r="BE169" s="73">
        <f t="shared" si="97"/>
        <v>268.54999999999995</v>
      </c>
      <c r="BF169" s="77">
        <f t="shared" si="98"/>
        <v>63.7</v>
      </c>
      <c r="BG169" s="77">
        <f t="shared" si="99"/>
        <v>19.11</v>
      </c>
      <c r="BH169" s="77">
        <f t="shared" si="100"/>
        <v>254.8</v>
      </c>
      <c r="BI169" s="78">
        <f t="shared" si="101"/>
        <v>0.25</v>
      </c>
      <c r="BJ169" s="79">
        <f t="shared" si="102"/>
        <v>0.19172310007524454</v>
      </c>
      <c r="BK169" s="80">
        <f t="shared" si="103"/>
        <v>268.54999999999995</v>
      </c>
      <c r="BL169" s="80">
        <f t="shared" si="104"/>
        <v>63.700000000000045</v>
      </c>
      <c r="BM169" s="79">
        <f t="shared" si="105"/>
        <v>0.19172310007524468</v>
      </c>
      <c r="BN169" s="81">
        <f t="shared" si="106"/>
        <v>0.81666666666666665</v>
      </c>
      <c r="BO169" s="82">
        <f t="shared" si="107"/>
        <v>191.1</v>
      </c>
      <c r="BP169" s="81">
        <f t="shared" si="108"/>
        <v>0.81666666666666665</v>
      </c>
      <c r="BQ169" s="81">
        <f t="shared" si="109"/>
        <v>0.84402326514239845</v>
      </c>
      <c r="BR169" s="81">
        <f t="shared" si="110"/>
        <v>1.1162454873646208</v>
      </c>
      <c r="BS169" s="82">
        <f t="shared" si="111"/>
        <v>234</v>
      </c>
      <c r="BT169" s="82">
        <f t="shared" si="112"/>
        <v>261.20144404332126</v>
      </c>
      <c r="BU169" s="82">
        <f t="shared" si="113"/>
        <v>254.80000000000004</v>
      </c>
      <c r="BV169"/>
      <c r="BW169" s="82">
        <f>IFERROR(INDEX('Infos Clientes'!$T:$T,MATCH('Detalhe Por UC'!$C169,'Infos Clientes'!B:B,0)),"")</f>
        <v>153.91666666666666</v>
      </c>
      <c r="BX169" s="83">
        <f t="shared" si="114"/>
        <v>0</v>
      </c>
      <c r="BY169" s="84">
        <f t="shared" si="115"/>
        <v>0.24387307747592368</v>
      </c>
      <c r="BZ169" s="85">
        <f>IF(_xlfn.MINIFS('Detalhe Por UC'!R:R,'Detalhe Por UC'!C:C,C169,'Detalhe Por UC'!AD:AD,"&gt;"&amp;0)=0,"",_xlfn.MINIFS('Detalhe Por UC'!R:R,'Detalhe Por UC'!C:C,C169,'Detalhe Por UC'!AD:AD,"&gt;"&amp;0))</f>
        <v>45627</v>
      </c>
      <c r="CA169" s="114">
        <f ca="1">IF(OR(S169&gt;0,AD169&gt;0),IFERROR(
SUMIFS(INDIRECT("'Infos Clientes'!$W"&amp;INDEX('Infos Clientes'!$C:$C,MATCH(C169,'Infos Clientes'!$H:$H,0))&amp;":$CZ"&amp;INDEX('Infos Clientes'!$C:$C,MATCH(C169,'Infos Clientes'!$H:$H,0))),'Infos Clientes'!$W$2:$CZ$2,"&gt;"&amp;$R169-365,'Infos Clientes'!$W$2:$CZ$2,"&lt;="&amp;$R169)/
COUNTIFS(INDIRECT("'Infos Clientes'!$W"&amp;INDEX('Infos Clientes'!$C:$C,MATCH(C169,'Infos Clientes'!$H:$H,0))&amp;":$CZ"&amp;INDEX('Infos Clientes'!$C:$C,MATCH(C169,'Infos Clientes'!$H:$H,0))),"&gt;="&amp;0,'Infos Clientes'!$W$2:$CZ$2,"&gt;"&amp;$R169-365,'Infos Clientes'!$W$2:$CZ$2,"&lt;="&amp;$R169),""),"")</f>
        <v>164.66666666666666</v>
      </c>
      <c r="CB169" s="87">
        <f>VLOOKUP(C169,'Infos Clientes'!B:L,11,0)</f>
        <v>0</v>
      </c>
      <c r="CC169" s="88" t="str">
        <f t="shared" si="116"/>
        <v>A Unidade Consumidora 10/257864-9 economizou R$63,7 na fatura referente à fev/2025  consumindo 234 kWh em créditos de energia renovável conforme fatura de energia. A economia foi de 25% em relação ao que seria pago para a Energisa considerando os créditos consumidos. Atenção: Mantenha as contas da Energisa em dia para evitar cortes.</v>
      </c>
      <c r="CD169" s="40" t="s">
        <v>83</v>
      </c>
      <c r="CF169" s="115">
        <f t="shared" si="117"/>
        <v>-77.449999999999946</v>
      </c>
    </row>
    <row r="170" spans="1:84" s="40" customFormat="1" ht="16.2" hidden="1" customHeight="1" x14ac:dyDescent="0.3">
      <c r="A170" s="105" t="str">
        <f>INDEX('Infos Clientes'!$D:$D,MATCH('Detalhe Por UC'!C170,'Infos Clientes'!B:B,0))</f>
        <v>IGREJA DO EVANGELHO QUADRANGULAR</v>
      </c>
      <c r="B170" s="106" t="str">
        <f>INDEX('Infos Clientes'!$F:$F,MATCH('Detalhe Por UC'!C170,'Infos Clientes'!B:B,0))</f>
        <v>62.955.505/3793-95</v>
      </c>
      <c r="C170" s="31" t="s">
        <v>84</v>
      </c>
      <c r="D170" t="s">
        <v>351</v>
      </c>
      <c r="E170" s="1" t="s">
        <v>352</v>
      </c>
      <c r="F170" s="56" t="str">
        <f>INDEX('Infos Clientes'!$I:$I,MATCH('Detalhe Por UC'!C170,'Infos Clientes'!B:B,0))</f>
        <v>BT</v>
      </c>
      <c r="G170" s="56" t="str">
        <f>INDEX('Infos Clientes'!$J:$J,MATCH('Detalhe Por UC'!C170,'Infos Clientes'!B:B,0))</f>
        <v>trifasico</v>
      </c>
      <c r="H170" s="108" t="s">
        <v>353</v>
      </c>
      <c r="I170" s="58">
        <f>IFERROR(VLOOKUP(C170,'Infos Clientes'!B:E,4,),"")</f>
        <v>302</v>
      </c>
      <c r="J170" s="109">
        <v>0.25</v>
      </c>
      <c r="K170" s="59">
        <f>INDEX('Infos Clientes'!$M:$M,MATCH('Detalhe Por UC'!C170,'Infos Clientes'!B:B,0))</f>
        <v>0.25</v>
      </c>
      <c r="L170" s="125">
        <v>0</v>
      </c>
      <c r="M170" s="56">
        <f>INDEX('Infos Clientes'!$N:$N,MATCH('Detalhe Por UC'!C170,'Infos Clientes'!B:B,0))</f>
        <v>0</v>
      </c>
      <c r="N170" s="56">
        <f t="shared" si="81"/>
        <v>0</v>
      </c>
      <c r="O170" s="56">
        <f t="shared" si="82"/>
        <v>12</v>
      </c>
      <c r="P170" s="56">
        <f t="shared" si="83"/>
        <v>0</v>
      </c>
      <c r="Q170" s="61">
        <f>IFERROR(IFERROR(INDEX('Infos Clientes'!$A$2:$V$9884,MATCH($C170,'Infos Clientes'!$B$2:$B$9884,0),MATCH(Q$8,'Infos Clientes'!$A$2:$V$2,0)),"")
+IF(OR(INDEX('Infos Clientes'!$A$2:$V$9884,MATCH($C170,'Infos Clientes'!$B$2:$B$9884,0),MATCH("Tempo de Fidelidade (meses)",'Infos Clientes'!$A$2:$V$2,0))=0,R170&gt;=MAX(R:R)),0,
ROUND((MAX(R:R)-R170)/(365/12),0)),"")</f>
        <v>0</v>
      </c>
      <c r="R170" s="111">
        <v>45689</v>
      </c>
      <c r="S170" s="112">
        <v>0.06</v>
      </c>
      <c r="T170" s="113">
        <f>IF($H170="GIROSSOL II",AP170/INDEX('Resumo Operacional'!$A$1:$P$1103,17,MATCH('Detalhe Por UC'!$R170,'Resumo Operacional'!$A$1:$P$1,0)),
IF($H170="GIROSSOL II e III",AP170/INDEX('Resumo Operacional'!$A$1:$P$1103,17,MATCH('Detalhe Por UC'!$R170,'Resumo Operacional'!$A$1:$P$1,0)),
""))</f>
        <v>0.12180296810862015</v>
      </c>
      <c r="U170" s="113">
        <f>IF($H170="GIROSSOL III",AP170/INDEX('Resumo Operacional'!$A$1:$P$1103,53,MATCH('Detalhe Por UC'!$R170,'Resumo Operacional'!$A$1:$P$1,0)),
IF($H170="GIROSSOL II e III",AP170/INDEX('Resumo Operacional'!$A$1:$P$1103,53,MATCH('Detalhe Por UC'!$R170,'Resumo Operacional'!$A$1:$P$1,0)),
""))</f>
        <v>0.10666390156228397</v>
      </c>
      <c r="V170" s="18"/>
      <c r="W170" s="54"/>
      <c r="X170" s="127">
        <v>1.1162560975609757</v>
      </c>
      <c r="Y170" s="127">
        <v>0</v>
      </c>
      <c r="Z170" s="127">
        <v>1.0251741293532339</v>
      </c>
      <c r="AA170" s="127">
        <v>0</v>
      </c>
      <c r="AB170" s="127">
        <v>820</v>
      </c>
      <c r="AC170" s="127">
        <v>0</v>
      </c>
      <c r="AD170" s="127">
        <v>804</v>
      </c>
      <c r="AE170" s="35"/>
      <c r="AF170" s="127">
        <v>739</v>
      </c>
      <c r="AG170" s="127">
        <v>0</v>
      </c>
      <c r="AH170" s="127">
        <v>30.680000000000007</v>
      </c>
      <c r="AI170" s="127">
        <v>0</v>
      </c>
      <c r="AJ170" s="127">
        <v>0</v>
      </c>
      <c r="AK170" s="31"/>
      <c r="AL170"/>
      <c r="AM170"/>
      <c r="AN170" s="71">
        <f t="shared" si="84"/>
        <v>739</v>
      </c>
      <c r="AO170" s="71">
        <f t="shared" si="85"/>
        <v>0</v>
      </c>
      <c r="AP170" s="71">
        <f t="shared" si="86"/>
        <v>1543</v>
      </c>
      <c r="AQ170" s="72">
        <f>IF(OR($H170="GIROSSOL II",$H170="GIROSSOL II e III"),INDEX('Resumo Operacional'!$A$1:$P$1103,MATCH("Energia Injetada prevista total Fatura da Usina (TUSD)",'Resumo Operacional'!$B$1:$B$1103,0),MATCH('Detalhe Por UC'!$R170,'Resumo Operacional'!$A$1:$P$1,0))*$S170,INDEX('Resumo Operacional'!$A$1:$P$1103,53,MATCH('Detalhe Por UC'!$R170,'Resumo Operacional'!$A$1:$P$1,0))*$S170)</f>
        <v>760.07999999999993</v>
      </c>
      <c r="AR170" s="71">
        <f t="shared" si="87"/>
        <v>782.92000000000007</v>
      </c>
      <c r="AS170" s="73">
        <f t="shared" si="88"/>
        <v>121.76999999999992</v>
      </c>
      <c r="AT170" s="74">
        <f t="shared" si="89"/>
        <v>121.76999999999992</v>
      </c>
      <c r="AU170" s="74">
        <f t="shared" si="90"/>
        <v>0.93409216114549221</v>
      </c>
      <c r="AV170" s="74">
        <f t="shared" si="91"/>
        <v>618.18000000000006</v>
      </c>
      <c r="AW170" s="74">
        <f t="shared" si="92"/>
        <v>0</v>
      </c>
      <c r="AX170" s="74">
        <f t="shared" si="93"/>
        <v>824.24000000000012</v>
      </c>
      <c r="AY170" s="74">
        <f t="shared" si="94"/>
        <v>618.17999999999995</v>
      </c>
      <c r="AZ170" s="49">
        <v>618.17999999999995</v>
      </c>
      <c r="BA170" s="49">
        <v>618.17999999999995</v>
      </c>
      <c r="BB170" s="49">
        <v>618.17999999999995</v>
      </c>
      <c r="BC170" s="73" t="str">
        <f t="shared" si="95"/>
        <v/>
      </c>
      <c r="BD170" s="73">
        <f t="shared" si="96"/>
        <v>946.01</v>
      </c>
      <c r="BE170" s="73">
        <f t="shared" si="97"/>
        <v>739.95</v>
      </c>
      <c r="BF170" s="77">
        <f t="shared" si="98"/>
        <v>206.06</v>
      </c>
      <c r="BG170" s="77">
        <f t="shared" si="99"/>
        <v>61.817999999999998</v>
      </c>
      <c r="BH170" s="77">
        <f t="shared" si="100"/>
        <v>824.24</v>
      </c>
      <c r="BI170" s="78">
        <f t="shared" si="101"/>
        <v>0.25</v>
      </c>
      <c r="BJ170" s="79">
        <f t="shared" si="102"/>
        <v>0.21782010760985615</v>
      </c>
      <c r="BK170" s="80">
        <f t="shared" si="103"/>
        <v>739.94999999999982</v>
      </c>
      <c r="BL170" s="80">
        <f t="shared" si="104"/>
        <v>206.06000000000017</v>
      </c>
      <c r="BM170" s="79">
        <f t="shared" si="105"/>
        <v>0.21782010760985632</v>
      </c>
      <c r="BN170" s="81">
        <f t="shared" si="106"/>
        <v>0.76888059701492528</v>
      </c>
      <c r="BO170" s="82">
        <f t="shared" si="107"/>
        <v>618.17999999999995</v>
      </c>
      <c r="BP170" s="81">
        <f t="shared" si="108"/>
        <v>0.76888059701492528</v>
      </c>
      <c r="BQ170" s="81">
        <f t="shared" si="109"/>
        <v>0.85996256522266701</v>
      </c>
      <c r="BR170" s="81">
        <f t="shared" si="110"/>
        <v>1.1162560975609757</v>
      </c>
      <c r="BS170" s="82">
        <f t="shared" si="111"/>
        <v>804</v>
      </c>
      <c r="BT170" s="82">
        <f t="shared" si="112"/>
        <v>897.46990243902439</v>
      </c>
      <c r="BU170" s="82">
        <f t="shared" si="113"/>
        <v>824.24000000000012</v>
      </c>
      <c r="BV170"/>
      <c r="BW170" s="82">
        <f>IFERROR(INDEX('Infos Clientes'!$T:$T,MATCH('Detalhe Por UC'!$C170,'Infos Clientes'!B:B,0)),"")</f>
        <v>818</v>
      </c>
      <c r="BX170" s="83">
        <f t="shared" si="114"/>
        <v>0</v>
      </c>
      <c r="BY170" s="84">
        <f t="shared" si="115"/>
        <v>0.22960101440727726</v>
      </c>
      <c r="BZ170" s="85">
        <f>IF(_xlfn.MINIFS('Detalhe Por UC'!R:R,'Detalhe Por UC'!C:C,C170,'Detalhe Por UC'!AD:AD,"&gt;"&amp;0)=0,"",_xlfn.MINIFS('Detalhe Por UC'!R:R,'Detalhe Por UC'!C:C,C170,'Detalhe Por UC'!AD:AD,"&gt;"&amp;0))</f>
        <v>45627</v>
      </c>
      <c r="CA170" s="114">
        <f ca="1">IF(OR(S170&gt;0,AD170&gt;0),IFERROR(
SUMIFS(INDIRECT("'Infos Clientes'!$W"&amp;INDEX('Infos Clientes'!$C:$C,MATCH(C170,'Infos Clientes'!$H:$H,0))&amp;":$CZ"&amp;INDEX('Infos Clientes'!$C:$C,MATCH(C170,'Infos Clientes'!$H:$H,0))),'Infos Clientes'!$W$2:$CZ$2,"&gt;"&amp;$R170-365,'Infos Clientes'!$W$2:$CZ$2,"&lt;="&amp;$R170)/
COUNTIFS(INDIRECT("'Infos Clientes'!$W"&amp;INDEX('Infos Clientes'!$C:$C,MATCH(C170,'Infos Clientes'!$H:$H,0))&amp;":$CZ"&amp;INDEX('Infos Clientes'!$C:$C,MATCH(C170,'Infos Clientes'!$H:$H,0))),"&gt;="&amp;0,'Infos Clientes'!$W$2:$CZ$2,"&gt;"&amp;$R170-365,'Infos Clientes'!$W$2:$CZ$2,"&lt;="&amp;$R170),""),"")</f>
        <v>789.33333333333337</v>
      </c>
      <c r="CB170" s="87">
        <f>VLOOKUP(C170,'Infos Clientes'!B:L,11,0)</f>
        <v>0</v>
      </c>
      <c r="CC170" s="88" t="str">
        <f t="shared" si="116"/>
        <v>A Unidade Consumidora 10/2599101-9 economizou R$206,06 na fatura referente à fev/2025  consumindo 804 kWh em créditos de energia renovável conforme fatura de energia. A economia foi de 25% em relação ao que seria pago para a Energisa considerando os créditos consumidos. Atenção: Mantenha as contas da Energisa em dia para evitar cortes.</v>
      </c>
      <c r="CD170" s="40" t="s">
        <v>86</v>
      </c>
      <c r="CF170" s="115">
        <f t="shared" si="117"/>
        <v>-121.76999999999992</v>
      </c>
    </row>
    <row r="171" spans="1:84" s="40" customFormat="1" ht="16.2" hidden="1" customHeight="1" x14ac:dyDescent="0.3">
      <c r="A171" s="105" t="str">
        <f>INDEX('Infos Clientes'!$D:$D,MATCH('Detalhe Por UC'!C171,'Infos Clientes'!B:B,0))</f>
        <v>IGREJA DO EVANGELHO QUADRANGULAR</v>
      </c>
      <c r="B171" s="106" t="str">
        <f>INDEX('Infos Clientes'!$F:$F,MATCH('Detalhe Por UC'!C171,'Infos Clientes'!B:B,0))</f>
        <v>62.955.505/0172-13</v>
      </c>
      <c r="C171" s="44" t="s">
        <v>87</v>
      </c>
      <c r="D171" t="s">
        <v>351</v>
      </c>
      <c r="E171" s="1" t="s">
        <v>352</v>
      </c>
      <c r="F171" s="56" t="str">
        <f>INDEX('Infos Clientes'!$I:$I,MATCH('Detalhe Por UC'!C171,'Infos Clientes'!B:B,0))</f>
        <v>BT</v>
      </c>
      <c r="G171" s="56" t="str">
        <f>INDEX('Infos Clientes'!$J:$J,MATCH('Detalhe Por UC'!C171,'Infos Clientes'!B:B,0))</f>
        <v>trifasico</v>
      </c>
      <c r="H171" s="108" t="s">
        <v>353</v>
      </c>
      <c r="I171" s="58">
        <f>IFERROR(VLOOKUP(C171,'Infos Clientes'!B:E,4,),"")</f>
        <v>371</v>
      </c>
      <c r="J171" s="109">
        <v>0.25</v>
      </c>
      <c r="K171" s="59">
        <f>INDEX('Infos Clientes'!$M:$M,MATCH('Detalhe Por UC'!C171,'Infos Clientes'!B:B,0))</f>
        <v>0.25</v>
      </c>
      <c r="L171" s="125">
        <v>0</v>
      </c>
      <c r="M171" s="56">
        <f>INDEX('Infos Clientes'!$N:$N,MATCH('Detalhe Por UC'!C171,'Infos Clientes'!B:B,0))</f>
        <v>0</v>
      </c>
      <c r="N171" s="56">
        <f t="shared" si="81"/>
        <v>0</v>
      </c>
      <c r="O171" s="56">
        <f t="shared" si="82"/>
        <v>12</v>
      </c>
      <c r="P171" s="56">
        <f t="shared" si="83"/>
        <v>0</v>
      </c>
      <c r="Q171" s="61">
        <f>IFERROR(IFERROR(INDEX('Infos Clientes'!$A$2:$V$9884,MATCH($C171,'Infos Clientes'!$B$2:$B$9884,0),MATCH(Q$8,'Infos Clientes'!$A$2:$V$2,0)),"")
+IF(OR(INDEX('Infos Clientes'!$A$2:$V$9884,MATCH($C171,'Infos Clientes'!$B$2:$B$9884,0),MATCH("Tempo de Fidelidade (meses)",'Infos Clientes'!$A$2:$V$2,0))=0,R171&gt;=MAX(R:R)),0,
ROUND((MAX(R:R)-R171)/(365/12),0)),"")</f>
        <v>0</v>
      </c>
      <c r="R171" s="111">
        <v>45689</v>
      </c>
      <c r="S171" s="112">
        <v>0.06</v>
      </c>
      <c r="T171" s="113">
        <f>IF($H171="GIROSSOL II",AP171/INDEX('Resumo Operacional'!$A$1:$P$1103,17,MATCH('Detalhe Por UC'!$R171,'Resumo Operacional'!$A$1:$P$1,0)),
IF($H171="GIROSSOL II e III",AP171/INDEX('Resumo Operacional'!$A$1:$P$1103,17,MATCH('Detalhe Por UC'!$R171,'Resumo Operacional'!$A$1:$P$1,0)),
""))</f>
        <v>0.11840858856962425</v>
      </c>
      <c r="U171" s="113">
        <f>IF($H171="GIROSSOL III",AP171/INDEX('Resumo Operacional'!$A$1:$P$1103,53,MATCH('Detalhe Por UC'!$R171,'Resumo Operacional'!$A$1:$P$1,0)),
IF($H171="GIROSSOL II e III",AP171/INDEX('Resumo Operacional'!$A$1:$P$1103,53,MATCH('Detalhe Por UC'!$R171,'Resumo Operacional'!$A$1:$P$1,0)),
""))</f>
        <v>0.10369141435089174</v>
      </c>
      <c r="V171" s="18"/>
      <c r="W171" s="54"/>
      <c r="X171" s="127">
        <v>1.1162640801001251</v>
      </c>
      <c r="Y171" s="127">
        <v>0</v>
      </c>
      <c r="Z171" s="127">
        <v>1.0340666666666665</v>
      </c>
      <c r="AA171" s="127">
        <v>0</v>
      </c>
      <c r="AB171" s="127">
        <v>1598</v>
      </c>
      <c r="AC171" s="127">
        <v>0</v>
      </c>
      <c r="AD171" s="127">
        <v>1500</v>
      </c>
      <c r="AE171" s="35"/>
      <c r="AF171" s="127">
        <v>0</v>
      </c>
      <c r="AG171" s="127">
        <v>0</v>
      </c>
      <c r="AH171" s="127">
        <v>110.32000000000001</v>
      </c>
      <c r="AI171" s="127">
        <v>0</v>
      </c>
      <c r="AJ171" s="127">
        <v>0</v>
      </c>
      <c r="AK171" s="31"/>
      <c r="AL171"/>
      <c r="AM171"/>
      <c r="AN171" s="71">
        <f t="shared" si="84"/>
        <v>0</v>
      </c>
      <c r="AO171" s="71">
        <f t="shared" si="85"/>
        <v>0</v>
      </c>
      <c r="AP171" s="71">
        <f t="shared" si="86"/>
        <v>1500</v>
      </c>
      <c r="AQ171" s="72">
        <f>IF(OR($H171="GIROSSOL II",$H171="GIROSSOL II e III"),INDEX('Resumo Operacional'!$A$1:$P$1103,MATCH("Energia Injetada prevista total Fatura da Usina (TUSD)",'Resumo Operacional'!$B$1:$B$1103,0),MATCH('Detalhe Por UC'!$R171,'Resumo Operacional'!$A$1:$P$1,0))*$S171,INDEX('Resumo Operacional'!$A$1:$P$1103,53,MATCH('Detalhe Por UC'!$R171,'Resumo Operacional'!$A$1:$P$1,0))*$S171)</f>
        <v>760.07999999999993</v>
      </c>
      <c r="AR171" s="71">
        <f t="shared" si="87"/>
        <v>739.92000000000007</v>
      </c>
      <c r="AS171" s="73">
        <f t="shared" si="88"/>
        <v>343.01000000000028</v>
      </c>
      <c r="AT171" s="74">
        <f t="shared" si="89"/>
        <v>343.01000000000028</v>
      </c>
      <c r="AU171" s="74">
        <f t="shared" si="90"/>
        <v>0.95186925323320781</v>
      </c>
      <c r="AV171" s="74">
        <f t="shared" si="91"/>
        <v>1163.3249999999998</v>
      </c>
      <c r="AW171" s="74">
        <f t="shared" si="92"/>
        <v>0</v>
      </c>
      <c r="AX171" s="74">
        <f t="shared" si="93"/>
        <v>1551.0999999999997</v>
      </c>
      <c r="AY171" s="74">
        <f t="shared" si="94"/>
        <v>1163.33</v>
      </c>
      <c r="AZ171" s="49">
        <v>1163.33</v>
      </c>
      <c r="BA171" s="49">
        <v>1163.33</v>
      </c>
      <c r="BB171" s="49">
        <v>1163.33</v>
      </c>
      <c r="BC171" s="73" t="str">
        <f t="shared" si="95"/>
        <v/>
      </c>
      <c r="BD171" s="73">
        <f t="shared" si="96"/>
        <v>1894.11</v>
      </c>
      <c r="BE171" s="73">
        <f t="shared" si="97"/>
        <v>1506.335</v>
      </c>
      <c r="BF171" s="77">
        <f t="shared" si="98"/>
        <v>387.78</v>
      </c>
      <c r="BG171" s="77">
        <f t="shared" si="99"/>
        <v>116.33399999999999</v>
      </c>
      <c r="BH171" s="77">
        <f t="shared" si="100"/>
        <v>1551.0999999999997</v>
      </c>
      <c r="BI171" s="78">
        <f t="shared" si="101"/>
        <v>0.25</v>
      </c>
      <c r="BJ171" s="79">
        <f t="shared" si="102"/>
        <v>0.20472939797583034</v>
      </c>
      <c r="BK171" s="80">
        <f t="shared" si="103"/>
        <v>1506.3400000000001</v>
      </c>
      <c r="BL171" s="80">
        <f t="shared" si="104"/>
        <v>387.76999999999975</v>
      </c>
      <c r="BM171" s="79">
        <f t="shared" si="105"/>
        <v>0.20472411845140978</v>
      </c>
      <c r="BN171" s="81">
        <f t="shared" si="106"/>
        <v>0.77555333333333332</v>
      </c>
      <c r="BO171" s="82">
        <f t="shared" si="107"/>
        <v>1163.33</v>
      </c>
      <c r="BP171" s="81">
        <f t="shared" si="108"/>
        <v>0.77555333333333332</v>
      </c>
      <c r="BQ171" s="81">
        <f t="shared" si="109"/>
        <v>0.85775074676679197</v>
      </c>
      <c r="BR171" s="81">
        <f t="shared" si="110"/>
        <v>1.1162640801001251</v>
      </c>
      <c r="BS171" s="82">
        <f t="shared" si="111"/>
        <v>1500</v>
      </c>
      <c r="BT171" s="82">
        <f t="shared" si="112"/>
        <v>1674.3961201501877</v>
      </c>
      <c r="BU171" s="82">
        <f t="shared" si="113"/>
        <v>1551.0999999999997</v>
      </c>
      <c r="BV171"/>
      <c r="BW171" s="82">
        <f>IFERROR(INDEX('Infos Clientes'!$T:$T,MATCH('Detalhe Por UC'!$C171,'Infos Clientes'!B:B,0)),"")</f>
        <v>1056.1666666666667</v>
      </c>
      <c r="BX171" s="83">
        <f t="shared" si="114"/>
        <v>0</v>
      </c>
      <c r="BY171" s="84">
        <f t="shared" si="115"/>
        <v>0.23158797093080821</v>
      </c>
      <c r="BZ171" s="85">
        <f>IF(_xlfn.MINIFS('Detalhe Por UC'!R:R,'Detalhe Por UC'!C:C,C171,'Detalhe Por UC'!AD:AD,"&gt;"&amp;0)=0,"",_xlfn.MINIFS('Detalhe Por UC'!R:R,'Detalhe Por UC'!C:C,C171,'Detalhe Por UC'!AD:AD,"&gt;"&amp;0))</f>
        <v>45627</v>
      </c>
      <c r="CA171" s="114">
        <f ca="1">IF(OR(S171&gt;0,AD171&gt;0),IFERROR(
SUMIFS(INDIRECT("'Infos Clientes'!$W"&amp;INDEX('Infos Clientes'!$C:$C,MATCH(C171,'Infos Clientes'!$H:$H,0))&amp;":$CZ"&amp;INDEX('Infos Clientes'!$C:$C,MATCH(C171,'Infos Clientes'!$H:$H,0))),'Infos Clientes'!$W$2:$CZ$2,"&gt;"&amp;$R171-365,'Infos Clientes'!$W$2:$CZ$2,"&lt;="&amp;$R171)/
COUNTIFS(INDIRECT("'Infos Clientes'!$W"&amp;INDEX('Infos Clientes'!$C:$C,MATCH(C171,'Infos Clientes'!$H:$H,0))&amp;":$CZ"&amp;INDEX('Infos Clientes'!$C:$C,MATCH(C171,'Infos Clientes'!$H:$H,0))),"&gt;="&amp;0,'Infos Clientes'!$W$2:$CZ$2,"&gt;"&amp;$R171-365,'Infos Clientes'!$W$2:$CZ$2,"&lt;="&amp;$R171),""),"")</f>
        <v>1084.3333333333333</v>
      </c>
      <c r="CB171" s="87">
        <f>VLOOKUP(C171,'Infos Clientes'!B:L,11,0)</f>
        <v>0</v>
      </c>
      <c r="CC171" s="88" t="str">
        <f t="shared" si="116"/>
        <v>A Unidade Consumidora 10/2605731-5 economizou R$387,78 na fatura referente à fev/2025  consumindo 1500 kWh em créditos de energia renovável conforme fatura de energia. A economia foi de 25% em relação ao que seria pago para a Energisa considerando os créditos consumidos. Atenção: Mantenha as contas da Energisa em dia para evitar cortes.</v>
      </c>
      <c r="CD171" s="40" t="s">
        <v>56</v>
      </c>
      <c r="CF171" s="115">
        <f t="shared" si="117"/>
        <v>-343.01000000000028</v>
      </c>
    </row>
    <row r="172" spans="1:84" s="40" customFormat="1" ht="16.2" hidden="1" customHeight="1" x14ac:dyDescent="0.3">
      <c r="A172" s="105" t="str">
        <f>INDEX('Infos Clientes'!$D:$D,MATCH('Detalhe Por UC'!C172,'Infos Clientes'!B:B,0))</f>
        <v>IGREJA DO EVANGELHO QUADRANGULAR</v>
      </c>
      <c r="B172" s="106" t="str">
        <f>INDEX('Infos Clientes'!$F:$F,MATCH('Detalhe Por UC'!C172,'Infos Clientes'!B:B,0))</f>
        <v>62.955.505/0884-04</v>
      </c>
      <c r="C172" s="44" t="s">
        <v>88</v>
      </c>
      <c r="D172" t="s">
        <v>351</v>
      </c>
      <c r="E172" s="1" t="s">
        <v>352</v>
      </c>
      <c r="F172" s="56" t="str">
        <f>INDEX('Infos Clientes'!$I:$I,MATCH('Detalhe Por UC'!C172,'Infos Clientes'!B:B,0))</f>
        <v>BT</v>
      </c>
      <c r="G172" s="56" t="str">
        <f>INDEX('Infos Clientes'!$J:$J,MATCH('Detalhe Por UC'!C172,'Infos Clientes'!B:B,0))</f>
        <v>trifasico</v>
      </c>
      <c r="H172" s="108" t="s">
        <v>353</v>
      </c>
      <c r="I172" s="58">
        <f>IFERROR(VLOOKUP(C172,'Infos Clientes'!B:E,4,),"")</f>
        <v>994</v>
      </c>
      <c r="J172" s="109">
        <v>0.25</v>
      </c>
      <c r="K172" s="59">
        <f>INDEX('Infos Clientes'!$M:$M,MATCH('Detalhe Por UC'!C172,'Infos Clientes'!B:B,0))</f>
        <v>0.25</v>
      </c>
      <c r="L172" s="125">
        <v>0</v>
      </c>
      <c r="M172" s="56">
        <f>INDEX('Infos Clientes'!$N:$N,MATCH('Detalhe Por UC'!C172,'Infos Clientes'!B:B,0))</f>
        <v>0</v>
      </c>
      <c r="N172" s="56">
        <f t="shared" si="81"/>
        <v>0</v>
      </c>
      <c r="O172" s="56">
        <f t="shared" si="82"/>
        <v>12</v>
      </c>
      <c r="P172" s="56">
        <f t="shared" si="83"/>
        <v>0</v>
      </c>
      <c r="Q172" s="61">
        <f>IFERROR(IFERROR(INDEX('Infos Clientes'!$A$2:$V$9884,MATCH($C172,'Infos Clientes'!$B$2:$B$9884,0),MATCH(Q$8,'Infos Clientes'!$A$2:$V$2,0)),"")
+IF(OR(INDEX('Infos Clientes'!$A$2:$V$9884,MATCH($C172,'Infos Clientes'!$B$2:$B$9884,0),MATCH("Tempo de Fidelidade (meses)",'Infos Clientes'!$A$2:$V$2,0))=0,R172&gt;=MAX(R:R)),0,
ROUND((MAX(R:R)-R172)/(365/12),0)),"")</f>
        <v>0</v>
      </c>
      <c r="R172" s="111">
        <v>45689</v>
      </c>
      <c r="S172" s="112">
        <v>0.02</v>
      </c>
      <c r="T172" s="113">
        <f>IF($H172="GIROSSOL II",AP172/INDEX('Resumo Operacional'!$A$1:$P$1103,17,MATCH('Detalhe Por UC'!$R172,'Resumo Operacional'!$A$1:$P$1,0)),
IF($H172="GIROSSOL II e III",AP172/INDEX('Resumo Operacional'!$A$1:$P$1103,17,MATCH('Detalhe Por UC'!$R172,'Resumo Operacional'!$A$1:$P$1,0)),
""))</f>
        <v>4.2784970003157563E-2</v>
      </c>
      <c r="U172" s="113">
        <f>IF($H172="GIROSSOL III",AP172/INDEX('Resumo Operacional'!$A$1:$P$1103,53,MATCH('Detalhe Por UC'!$R172,'Resumo Operacional'!$A$1:$P$1,0)),
IF($H172="GIROSSOL II e III",AP172/INDEX('Resumo Operacional'!$A$1:$P$1103,53,MATCH('Detalhe Por UC'!$R172,'Resumo Operacional'!$A$1:$P$1,0)),
""))</f>
        <v>3.7467164385455554E-2</v>
      </c>
      <c r="V172" s="18"/>
      <c r="W172" s="54"/>
      <c r="X172" s="127">
        <v>1.1162610619469027</v>
      </c>
      <c r="Y172" s="127">
        <v>0</v>
      </c>
      <c r="Z172" s="127">
        <v>1.0405194805194806</v>
      </c>
      <c r="AA172" s="127">
        <v>0</v>
      </c>
      <c r="AB172" s="127">
        <v>452</v>
      </c>
      <c r="AC172" s="127">
        <v>0</v>
      </c>
      <c r="AD172" s="127">
        <v>385</v>
      </c>
      <c r="AE172" s="35"/>
      <c r="AF172" s="127">
        <v>1009</v>
      </c>
      <c r="AG172" s="127">
        <v>0</v>
      </c>
      <c r="AH172" s="127">
        <v>75.889999999999986</v>
      </c>
      <c r="AI172" s="127">
        <v>0</v>
      </c>
      <c r="AJ172" s="127">
        <v>0</v>
      </c>
      <c r="AK172" s="31"/>
      <c r="AL172"/>
      <c r="AM172"/>
      <c r="AN172" s="71">
        <f t="shared" si="84"/>
        <v>157</v>
      </c>
      <c r="AO172" s="71">
        <f t="shared" si="85"/>
        <v>0</v>
      </c>
      <c r="AP172" s="71">
        <f t="shared" si="86"/>
        <v>542</v>
      </c>
      <c r="AQ172" s="72">
        <f>IF(OR($H172="GIROSSOL II",$H172="GIROSSOL II e III"),INDEX('Resumo Operacional'!$A$1:$P$1103,MATCH("Energia Injetada prevista total Fatura da Usina (TUSD)",'Resumo Operacional'!$B$1:$B$1103,0),MATCH('Detalhe Por UC'!$R172,'Resumo Operacional'!$A$1:$P$1,0))*$S172,INDEX('Resumo Operacional'!$A$1:$P$1103,53,MATCH('Detalhe Por UC'!$R172,'Resumo Operacional'!$A$1:$P$1,0))*$S172)</f>
        <v>253.36</v>
      </c>
      <c r="AR172" s="71">
        <f t="shared" si="87"/>
        <v>288.64</v>
      </c>
      <c r="AS172" s="73">
        <f t="shared" si="88"/>
        <v>179.83999999999997</v>
      </c>
      <c r="AT172" s="74">
        <f t="shared" si="89"/>
        <v>179.83999999999997</v>
      </c>
      <c r="AU172" s="74">
        <f t="shared" si="90"/>
        <v>0.96477789909205858</v>
      </c>
      <c r="AV172" s="74">
        <f t="shared" si="91"/>
        <v>300.45</v>
      </c>
      <c r="AW172" s="74">
        <f t="shared" si="92"/>
        <v>0</v>
      </c>
      <c r="AX172" s="74">
        <f t="shared" si="93"/>
        <v>400.6</v>
      </c>
      <c r="AY172" s="74">
        <f t="shared" si="94"/>
        <v>300.45</v>
      </c>
      <c r="AZ172" s="49">
        <v>300.45</v>
      </c>
      <c r="BA172" s="49">
        <v>300.45</v>
      </c>
      <c r="BB172" s="49">
        <v>300.45</v>
      </c>
      <c r="BC172" s="73" t="str">
        <f t="shared" si="95"/>
        <v/>
      </c>
      <c r="BD172" s="73">
        <f t="shared" si="96"/>
        <v>580.44000000000005</v>
      </c>
      <c r="BE172" s="73">
        <f t="shared" si="97"/>
        <v>480.28999999999996</v>
      </c>
      <c r="BF172" s="77">
        <f t="shared" si="98"/>
        <v>100.15</v>
      </c>
      <c r="BG172" s="77">
        <f t="shared" si="99"/>
        <v>30.045000000000002</v>
      </c>
      <c r="BH172" s="77">
        <f t="shared" si="100"/>
        <v>400.6</v>
      </c>
      <c r="BI172" s="78">
        <f t="shared" si="101"/>
        <v>0.25</v>
      </c>
      <c r="BJ172" s="79">
        <f t="shared" si="102"/>
        <v>0.17254152022603542</v>
      </c>
      <c r="BK172" s="80">
        <f t="shared" si="103"/>
        <v>480.28999999999996</v>
      </c>
      <c r="BL172" s="80">
        <f t="shared" si="104"/>
        <v>100.15000000000009</v>
      </c>
      <c r="BM172" s="79">
        <f t="shared" si="105"/>
        <v>0.17254152022603556</v>
      </c>
      <c r="BN172" s="81">
        <f t="shared" si="106"/>
        <v>0.78038961038961041</v>
      </c>
      <c r="BO172" s="82">
        <f t="shared" si="107"/>
        <v>300.45</v>
      </c>
      <c r="BP172" s="81">
        <f t="shared" si="108"/>
        <v>0.78038961038961041</v>
      </c>
      <c r="BQ172" s="81">
        <f t="shared" si="109"/>
        <v>0.85613119181703246</v>
      </c>
      <c r="BR172" s="81">
        <f t="shared" si="110"/>
        <v>1.1162610619469027</v>
      </c>
      <c r="BS172" s="82">
        <f t="shared" si="111"/>
        <v>385</v>
      </c>
      <c r="BT172" s="82">
        <f t="shared" si="112"/>
        <v>429.76050884955754</v>
      </c>
      <c r="BU172" s="82">
        <f t="shared" si="113"/>
        <v>400.6</v>
      </c>
      <c r="BV172"/>
      <c r="BW172" s="82">
        <f>IFERROR(INDEX('Infos Clientes'!$T:$T,MATCH('Detalhe Por UC'!$C172,'Infos Clientes'!B:B,0)),"")</f>
        <v>335.75</v>
      </c>
      <c r="BX172" s="83">
        <f t="shared" si="114"/>
        <v>0</v>
      </c>
      <c r="BY172" s="84">
        <f t="shared" si="115"/>
        <v>0.2330367680085251</v>
      </c>
      <c r="BZ172" s="85">
        <f>IF(_xlfn.MINIFS('Detalhe Por UC'!R:R,'Detalhe Por UC'!C:C,C172,'Detalhe Por UC'!AD:AD,"&gt;"&amp;0)=0,"",_xlfn.MINIFS('Detalhe Por UC'!R:R,'Detalhe Por UC'!C:C,C172,'Detalhe Por UC'!AD:AD,"&gt;"&amp;0))</f>
        <v>45627</v>
      </c>
      <c r="CA172" s="114">
        <f ca="1">IF(OR(S172&gt;0,AD172&gt;0),IFERROR(
SUMIFS(INDIRECT("'Infos Clientes'!$W"&amp;INDEX('Infos Clientes'!$C:$C,MATCH(C172,'Infos Clientes'!$H:$H,0))&amp;":$CZ"&amp;INDEX('Infos Clientes'!$C:$C,MATCH(C172,'Infos Clientes'!$H:$H,0))),'Infos Clientes'!$W$2:$CZ$2,"&gt;"&amp;$R172-365,'Infos Clientes'!$W$2:$CZ$2,"&lt;="&amp;$R172)/
COUNTIFS(INDIRECT("'Infos Clientes'!$W"&amp;INDEX('Infos Clientes'!$C:$C,MATCH(C172,'Infos Clientes'!$H:$H,0))&amp;":$CZ"&amp;INDEX('Infos Clientes'!$C:$C,MATCH(C172,'Infos Clientes'!$H:$H,0))),"&gt;="&amp;0,'Infos Clientes'!$W$2:$CZ$2,"&gt;"&amp;$R172-365,'Infos Clientes'!$W$2:$CZ$2,"&lt;="&amp;$R172),""),"")</f>
        <v>341.66666666666669</v>
      </c>
      <c r="CB172" s="87">
        <f>VLOOKUP(C172,'Infos Clientes'!B:L,11,0)</f>
        <v>0</v>
      </c>
      <c r="CC172" s="88" t="str">
        <f t="shared" si="116"/>
        <v>A Unidade Consumidora 10/276283-9 economizou R$100,15 na fatura referente à fev/2025  consumindo 385 kWh em créditos de energia renovável conforme fatura de energia. A economia foi de 25% em relação ao que seria pago para a Energisa considerando os créditos consumidos. Atenção: Mantenha as contas da Energisa em dia para evitar cortes.</v>
      </c>
      <c r="CD172" s="40" t="s">
        <v>90</v>
      </c>
      <c r="CF172" s="115">
        <f t="shared" si="117"/>
        <v>-179.83999999999997</v>
      </c>
    </row>
    <row r="173" spans="1:84" s="40" customFormat="1" ht="16.2" hidden="1" customHeight="1" x14ac:dyDescent="0.3">
      <c r="A173" s="105" t="str">
        <f>INDEX('Infos Clientes'!$D:$D,MATCH('Detalhe Por UC'!C173,'Infos Clientes'!B:B,0))</f>
        <v>IGREJA DO EVANGELHO QUADRANGULAR</v>
      </c>
      <c r="B173" s="106" t="str">
        <f>INDEX('Infos Clientes'!$F:$F,MATCH('Detalhe Por UC'!C173,'Infos Clientes'!B:B,0))</f>
        <v>62.955.505/0676-60</v>
      </c>
      <c r="C173" s="44" t="s">
        <v>91</v>
      </c>
      <c r="D173" t="s">
        <v>351</v>
      </c>
      <c r="E173" s="1" t="s">
        <v>352</v>
      </c>
      <c r="F173" s="56" t="str">
        <f>INDEX('Infos Clientes'!$I:$I,MATCH('Detalhe Por UC'!C173,'Infos Clientes'!B:B,0))</f>
        <v>BT</v>
      </c>
      <c r="G173" s="56" t="str">
        <f>INDEX('Infos Clientes'!$J:$J,MATCH('Detalhe Por UC'!C173,'Infos Clientes'!B:B,0))</f>
        <v>trifasico</v>
      </c>
      <c r="H173" s="108" t="s">
        <v>353</v>
      </c>
      <c r="I173" s="58">
        <f>IFERROR(VLOOKUP(C173,'Infos Clientes'!B:E,4,),"")</f>
        <v>357</v>
      </c>
      <c r="J173" s="109">
        <v>0.25</v>
      </c>
      <c r="K173" s="59">
        <f>INDEX('Infos Clientes'!$M:$M,MATCH('Detalhe Por UC'!C173,'Infos Clientes'!B:B,0))</f>
        <v>0.25</v>
      </c>
      <c r="L173" s="125">
        <v>0</v>
      </c>
      <c r="M173" s="56">
        <f>INDEX('Infos Clientes'!$N:$N,MATCH('Detalhe Por UC'!C173,'Infos Clientes'!B:B,0))</f>
        <v>0</v>
      </c>
      <c r="N173" s="56">
        <f t="shared" si="81"/>
        <v>0</v>
      </c>
      <c r="O173" s="56">
        <f t="shared" si="82"/>
        <v>12</v>
      </c>
      <c r="P173" s="56">
        <f t="shared" si="83"/>
        <v>0</v>
      </c>
      <c r="Q173" s="61">
        <f>IFERROR(IFERROR(INDEX('Infos Clientes'!$A$2:$V$9884,MATCH($C173,'Infos Clientes'!$B$2:$B$9884,0),MATCH(Q$8,'Infos Clientes'!$A$2:$V$2,0)),"")
+IF(OR(INDEX('Infos Clientes'!$A$2:$V$9884,MATCH($C173,'Infos Clientes'!$B$2:$B$9884,0),MATCH("Tempo de Fidelidade (meses)",'Infos Clientes'!$A$2:$V$2,0))=0,R173&gt;=MAX(R:R)),0,
ROUND((MAX(R:R)-R173)/(365/12),0)),"")</f>
        <v>0</v>
      </c>
      <c r="R173" s="111">
        <v>45689</v>
      </c>
      <c r="S173" s="112">
        <v>0.04</v>
      </c>
      <c r="T173" s="113">
        <f>IF($H173="GIROSSOL II",AP173/INDEX('Resumo Operacional'!$A$1:$P$1103,17,MATCH('Detalhe Por UC'!$R173,'Resumo Operacional'!$A$1:$P$1,0)),
IF($H173="GIROSSOL II e III",AP173/INDEX('Resumo Operacional'!$A$1:$P$1103,17,MATCH('Detalhe Por UC'!$R173,'Resumo Operacional'!$A$1:$P$1,0)),
""))</f>
        <v>9.7805494158509629E-2</v>
      </c>
      <c r="U173" s="113">
        <f>IF($H173="GIROSSOL III",AP173/INDEX('Resumo Operacional'!$A$1:$P$1103,53,MATCH('Detalhe Por UC'!$R173,'Resumo Operacional'!$A$1:$P$1,0)),
IF($H173="GIROSSOL II e III",AP173/INDEX('Resumo Operacional'!$A$1:$P$1103,53,MATCH('Detalhe Por UC'!$R173,'Resumo Operacional'!$A$1:$P$1,0)),
""))</f>
        <v>8.5649108253836578E-2</v>
      </c>
      <c r="V173" s="18"/>
      <c r="W173" s="54"/>
      <c r="X173" s="127">
        <v>1.1162661498708011</v>
      </c>
      <c r="Y173" s="127">
        <v>0</v>
      </c>
      <c r="Z173" s="127">
        <v>1.040542005420054</v>
      </c>
      <c r="AA173" s="127">
        <v>0</v>
      </c>
      <c r="AB173" s="127">
        <v>774</v>
      </c>
      <c r="AC173" s="127">
        <v>0</v>
      </c>
      <c r="AD173" s="127">
        <v>738</v>
      </c>
      <c r="AE173" s="35"/>
      <c r="AF173" s="127">
        <v>501</v>
      </c>
      <c r="AG173" s="127">
        <v>0</v>
      </c>
      <c r="AH173" s="127">
        <v>0</v>
      </c>
      <c r="AI173" s="127">
        <v>0</v>
      </c>
      <c r="AJ173" s="127">
        <v>0</v>
      </c>
      <c r="AK173" s="31"/>
      <c r="AL173"/>
      <c r="AM173"/>
      <c r="AN173" s="71">
        <f t="shared" si="84"/>
        <v>501</v>
      </c>
      <c r="AO173" s="71">
        <f t="shared" si="85"/>
        <v>0</v>
      </c>
      <c r="AP173" s="71">
        <f t="shared" si="86"/>
        <v>1239</v>
      </c>
      <c r="AQ173" s="72">
        <f>IF(OR($H173="GIROSSOL II",$H173="GIROSSOL II e III"),INDEX('Resumo Operacional'!$A$1:$P$1103,MATCH("Energia Injetada prevista total Fatura da Usina (TUSD)",'Resumo Operacional'!$B$1:$B$1103,0),MATCH('Detalhe Por UC'!$R173,'Resumo Operacional'!$A$1:$P$1,0))*$S173,INDEX('Resumo Operacional'!$A$1:$P$1103,53,MATCH('Detalhe Por UC'!$R173,'Resumo Operacional'!$A$1:$P$1,0))*$S173)</f>
        <v>506.72</v>
      </c>
      <c r="AR173" s="71">
        <f t="shared" si="87"/>
        <v>732.28</v>
      </c>
      <c r="AS173" s="73">
        <f t="shared" si="88"/>
        <v>96.070000000000164</v>
      </c>
      <c r="AT173" s="74">
        <f t="shared" si="89"/>
        <v>96.070000000000164</v>
      </c>
      <c r="AU173" s="74">
        <f t="shared" si="90"/>
        <v>0.964817860969307</v>
      </c>
      <c r="AV173" s="74">
        <f t="shared" si="91"/>
        <v>575.93999999999994</v>
      </c>
      <c r="AW173" s="74">
        <f t="shared" si="92"/>
        <v>0</v>
      </c>
      <c r="AX173" s="74">
        <f t="shared" si="93"/>
        <v>767.91999999999985</v>
      </c>
      <c r="AY173" s="74">
        <f t="shared" si="94"/>
        <v>575.94000000000005</v>
      </c>
      <c r="AZ173" s="49">
        <v>575.94000000000005</v>
      </c>
      <c r="BA173" s="49">
        <v>575.94000000000005</v>
      </c>
      <c r="BB173" s="49">
        <v>575.94000000000005</v>
      </c>
      <c r="BC173" s="73" t="str">
        <f t="shared" si="95"/>
        <v/>
      </c>
      <c r="BD173" s="73">
        <f t="shared" si="96"/>
        <v>863.99</v>
      </c>
      <c r="BE173" s="73">
        <f t="shared" si="97"/>
        <v>672.0100000000001</v>
      </c>
      <c r="BF173" s="77">
        <f t="shared" si="98"/>
        <v>191.98</v>
      </c>
      <c r="BG173" s="77">
        <f t="shared" si="99"/>
        <v>57.593999999999994</v>
      </c>
      <c r="BH173" s="77">
        <f t="shared" si="100"/>
        <v>767.92</v>
      </c>
      <c r="BI173" s="78">
        <f t="shared" si="101"/>
        <v>0.25</v>
      </c>
      <c r="BJ173" s="79">
        <f t="shared" si="102"/>
        <v>0.22220164585238253</v>
      </c>
      <c r="BK173" s="80">
        <f t="shared" si="103"/>
        <v>672.01000000000022</v>
      </c>
      <c r="BL173" s="80">
        <f t="shared" si="104"/>
        <v>191.97999999999979</v>
      </c>
      <c r="BM173" s="79">
        <f t="shared" si="105"/>
        <v>0.22220164585238231</v>
      </c>
      <c r="BN173" s="81">
        <f t="shared" si="106"/>
        <v>0.78040650406504075</v>
      </c>
      <c r="BO173" s="82">
        <f t="shared" si="107"/>
        <v>575.94000000000005</v>
      </c>
      <c r="BP173" s="81">
        <f t="shared" si="108"/>
        <v>0.78040650406504075</v>
      </c>
      <c r="BQ173" s="81">
        <f t="shared" si="109"/>
        <v>0.8561306485157878</v>
      </c>
      <c r="BR173" s="81">
        <f t="shared" si="110"/>
        <v>1.1162661498708011</v>
      </c>
      <c r="BS173" s="82">
        <f t="shared" si="111"/>
        <v>738</v>
      </c>
      <c r="BT173" s="82">
        <f t="shared" si="112"/>
        <v>823.80441860465123</v>
      </c>
      <c r="BU173" s="82">
        <f t="shared" si="113"/>
        <v>767.91999999999985</v>
      </c>
      <c r="BV173"/>
      <c r="BW173" s="82">
        <f>IFERROR(INDEX('Infos Clientes'!$T:$T,MATCH('Detalhe Por UC'!$C173,'Infos Clientes'!B:B,0)),"")</f>
        <v>708</v>
      </c>
      <c r="BX173" s="83">
        <f t="shared" si="114"/>
        <v>0</v>
      </c>
      <c r="BY173" s="84">
        <f t="shared" si="115"/>
        <v>0.23304075052810827</v>
      </c>
      <c r="BZ173" s="85">
        <f>IF(_xlfn.MINIFS('Detalhe Por UC'!R:R,'Detalhe Por UC'!C:C,C173,'Detalhe Por UC'!AD:AD,"&gt;"&amp;0)=0,"",_xlfn.MINIFS('Detalhe Por UC'!R:R,'Detalhe Por UC'!C:C,C173,'Detalhe Por UC'!AD:AD,"&gt;"&amp;0))</f>
        <v>45627</v>
      </c>
      <c r="CA173" s="114">
        <f ca="1">IF(OR(S173&gt;0,AD173&gt;0),IFERROR(
SUMIFS(INDIRECT("'Infos Clientes'!$W"&amp;INDEX('Infos Clientes'!$C:$C,MATCH(C173,'Infos Clientes'!$H:$H,0))&amp;":$CZ"&amp;INDEX('Infos Clientes'!$C:$C,MATCH(C173,'Infos Clientes'!$H:$H,0))),'Infos Clientes'!$W$2:$CZ$2,"&gt;"&amp;$R173-365,'Infos Clientes'!$W$2:$CZ$2,"&lt;="&amp;$R173)/
COUNTIFS(INDIRECT("'Infos Clientes'!$W"&amp;INDEX('Infos Clientes'!$C:$C,MATCH(C173,'Infos Clientes'!$H:$H,0))&amp;":$CZ"&amp;INDEX('Infos Clientes'!$C:$C,MATCH(C173,'Infos Clientes'!$H:$H,0))),"&gt;="&amp;0,'Infos Clientes'!$W$2:$CZ$2,"&gt;"&amp;$R173-365,'Infos Clientes'!$W$2:$CZ$2,"&lt;="&amp;$R173),""),"")</f>
        <v>704.91666666666663</v>
      </c>
      <c r="CB173" s="87">
        <f>VLOOKUP(C173,'Infos Clientes'!B:L,11,0)</f>
        <v>0</v>
      </c>
      <c r="CC173" s="88" t="str">
        <f t="shared" si="116"/>
        <v>A Unidade Consumidora 10/29964-4 economizou R$191,98 na fatura referente à fev/2025  consumindo 738 kWh em créditos de energia renovável conforme fatura de energia. A economia foi de 25% em relação ao que seria pago para a Energisa considerando os créditos consumidos. Atenção: Mantenha as contas da Energisa em dia para evitar cortes.</v>
      </c>
      <c r="CD173" s="40" t="s">
        <v>93</v>
      </c>
      <c r="CF173" s="115">
        <f t="shared" si="117"/>
        <v>-96.070000000000164</v>
      </c>
    </row>
    <row r="174" spans="1:84" s="40" customFormat="1" ht="16.2" hidden="1" customHeight="1" x14ac:dyDescent="0.3">
      <c r="A174" s="105" t="str">
        <f>INDEX('Infos Clientes'!$D:$D,MATCH('Detalhe Por UC'!C174,'Infos Clientes'!B:B,0))</f>
        <v>IGREJA DO EVANGELHO QUADRANGULAR</v>
      </c>
      <c r="B174" s="106" t="str">
        <f>INDEX('Infos Clientes'!$F:$F,MATCH('Detalhe Por UC'!C174,'Infos Clientes'!B:B,0))</f>
        <v>62.955.505/0577-89</v>
      </c>
      <c r="C174" s="44" t="s">
        <v>94</v>
      </c>
      <c r="D174" t="s">
        <v>351</v>
      </c>
      <c r="E174" s="1" t="s">
        <v>352</v>
      </c>
      <c r="F174" s="56" t="str">
        <f>INDEX('Infos Clientes'!$I:$I,MATCH('Detalhe Por UC'!C174,'Infos Clientes'!B:B,0))</f>
        <v>BT</v>
      </c>
      <c r="G174" s="56" t="str">
        <f>INDEX('Infos Clientes'!$J:$J,MATCH('Detalhe Por UC'!C174,'Infos Clientes'!B:B,0))</f>
        <v>bifasico</v>
      </c>
      <c r="H174" s="108" t="s">
        <v>138</v>
      </c>
      <c r="I174" s="58">
        <f>IFERROR(VLOOKUP(C174,'Infos Clientes'!B:E,4,),"")</f>
        <v>319</v>
      </c>
      <c r="J174" s="109">
        <v>0.25</v>
      </c>
      <c r="K174" s="59">
        <f>INDEX('Infos Clientes'!$M:$M,MATCH('Detalhe Por UC'!C174,'Infos Clientes'!B:B,0))</f>
        <v>0.25</v>
      </c>
      <c r="L174" s="125">
        <v>0</v>
      </c>
      <c r="M174" s="56">
        <f>INDEX('Infos Clientes'!$N:$N,MATCH('Detalhe Por UC'!C174,'Infos Clientes'!B:B,0))</f>
        <v>0</v>
      </c>
      <c r="N174" s="56">
        <f t="shared" si="81"/>
        <v>0</v>
      </c>
      <c r="O174" s="56">
        <f t="shared" si="82"/>
        <v>10</v>
      </c>
      <c r="P174" s="56">
        <f t="shared" si="83"/>
        <v>0</v>
      </c>
      <c r="Q174" s="61">
        <f>IFERROR(IFERROR(INDEX('Infos Clientes'!$A$2:$V$9884,MATCH($C174,'Infos Clientes'!$B$2:$B$9884,0),MATCH(Q$8,'Infos Clientes'!$A$2:$V$2,0)),"")
+IF(OR(INDEX('Infos Clientes'!$A$2:$V$9884,MATCH($C174,'Infos Clientes'!$B$2:$B$9884,0),MATCH("Tempo de Fidelidade (meses)",'Infos Clientes'!$A$2:$V$2,0))=0,R174&gt;=MAX(R:R)),0,
ROUND((MAX(R:R)-R174)/(365/12),0)),"")</f>
        <v>0</v>
      </c>
      <c r="R174" s="111">
        <v>45689</v>
      </c>
      <c r="S174" s="112">
        <v>0.02</v>
      </c>
      <c r="T174" s="113" t="str">
        <f>IF($H174="GIROSSOL II",AP174/INDEX('Resumo Operacional'!$A$1:$P$1103,17,MATCH('Detalhe Por UC'!$R174,'Resumo Operacional'!$A$1:$P$1,0)),
IF($H174="GIROSSOL II e III",AP174/INDEX('Resumo Operacional'!$A$1:$P$1103,17,MATCH('Detalhe Por UC'!$R174,'Resumo Operacional'!$A$1:$P$1,0)),
""))</f>
        <v/>
      </c>
      <c r="U174" s="113">
        <f>IF($H174="GIROSSOL III",AP174/INDEX('Resumo Operacional'!$A$1:$P$1103,53,MATCH('Detalhe Por UC'!$R174,'Resumo Operacional'!$A$1:$P$1,0)),
IF($H174="GIROSSOL II e III",AP174/INDEX('Resumo Operacional'!$A$1:$P$1103,53,MATCH('Detalhe Por UC'!$R174,'Resumo Operacional'!$A$1:$P$1,0)),
""))</f>
        <v>2.2742983547628923E-2</v>
      </c>
      <c r="V174" s="18"/>
      <c r="W174" s="54"/>
      <c r="X174" s="127">
        <v>1.1162538699690403</v>
      </c>
      <c r="Y174" s="127">
        <v>0</v>
      </c>
      <c r="Z174" s="127">
        <v>0.97405572755417968</v>
      </c>
      <c r="AA174" s="127">
        <v>0</v>
      </c>
      <c r="AB174" s="127">
        <v>323</v>
      </c>
      <c r="AC174" s="127">
        <v>0</v>
      </c>
      <c r="AD174" s="127">
        <v>323</v>
      </c>
      <c r="AE174" s="35"/>
      <c r="AF174" s="127">
        <v>6</v>
      </c>
      <c r="AG174" s="127">
        <v>0</v>
      </c>
      <c r="AH174" s="127">
        <v>67.02000000000001</v>
      </c>
      <c r="AI174" s="127">
        <v>0</v>
      </c>
      <c r="AJ174" s="127">
        <v>0</v>
      </c>
      <c r="AK174" s="31"/>
      <c r="AL174"/>
      <c r="AM174"/>
      <c r="AN174" s="71">
        <f t="shared" si="84"/>
        <v>6</v>
      </c>
      <c r="AO174" s="71">
        <f t="shared" si="85"/>
        <v>0</v>
      </c>
      <c r="AP174" s="71">
        <f t="shared" si="86"/>
        <v>329</v>
      </c>
      <c r="AQ174" s="72">
        <f>IF(OR($H174="GIROSSOL II",$H174="GIROSSOL II e III"),INDEX('Resumo Operacional'!$A$1:$P$1103,MATCH("Energia Injetada prevista total Fatura da Usina (TUSD)",'Resumo Operacional'!$B$1:$B$1103,0),MATCH('Detalhe Por UC'!$R174,'Resumo Operacional'!$A$1:$P$1,0))*$S174,INDEX('Resumo Operacional'!$A$1:$P$1103,53,MATCH('Detalhe Por UC'!$R174,'Resumo Operacional'!$A$1:$P$1,0))*$S174)</f>
        <v>289.32</v>
      </c>
      <c r="AR174" s="71">
        <f t="shared" si="87"/>
        <v>39.680000000000007</v>
      </c>
      <c r="AS174" s="73">
        <f t="shared" si="88"/>
        <v>112.94999999999996</v>
      </c>
      <c r="AT174" s="74">
        <f t="shared" si="89"/>
        <v>112.94999999999996</v>
      </c>
      <c r="AU174" s="74">
        <f t="shared" si="90"/>
        <v>0.83185758513931918</v>
      </c>
      <c r="AV174" s="74">
        <f t="shared" si="91"/>
        <v>235.96500000000006</v>
      </c>
      <c r="AW174" s="74">
        <f t="shared" si="92"/>
        <v>0</v>
      </c>
      <c r="AX174" s="74">
        <f t="shared" si="93"/>
        <v>314.62000000000006</v>
      </c>
      <c r="AY174" s="74">
        <f t="shared" si="94"/>
        <v>235.97</v>
      </c>
      <c r="AZ174" s="49">
        <v>235.97</v>
      </c>
      <c r="BA174" s="49"/>
      <c r="BB174" s="49"/>
      <c r="BC174" s="73" t="str">
        <f t="shared" si="95"/>
        <v/>
      </c>
      <c r="BD174" s="73">
        <f t="shared" si="96"/>
        <v>427.57000000000005</v>
      </c>
      <c r="BE174" s="73">
        <f t="shared" si="97"/>
        <v>348.91500000000002</v>
      </c>
      <c r="BF174" s="77">
        <f t="shared" si="98"/>
        <v>78.66</v>
      </c>
      <c r="BG174" s="77">
        <f t="shared" si="99"/>
        <v>23.597999999999999</v>
      </c>
      <c r="BH174" s="77">
        <f t="shared" si="100"/>
        <v>314.62</v>
      </c>
      <c r="BI174" s="78">
        <f t="shared" si="101"/>
        <v>0.25</v>
      </c>
      <c r="BJ174" s="79">
        <f t="shared" si="102"/>
        <v>0.18396987627756856</v>
      </c>
      <c r="BK174" s="80">
        <f t="shared" si="103"/>
        <v>348.91999999999996</v>
      </c>
      <c r="BL174" s="80">
        <f t="shared" si="104"/>
        <v>78.650000000000091</v>
      </c>
      <c r="BM174" s="79">
        <f t="shared" si="105"/>
        <v>0.18394648829431456</v>
      </c>
      <c r="BN174" s="81">
        <f t="shared" si="106"/>
        <v>0.73055727554179561</v>
      </c>
      <c r="BO174" s="82">
        <f t="shared" si="107"/>
        <v>235.96999999999997</v>
      </c>
      <c r="BP174" s="81">
        <f t="shared" si="108"/>
        <v>0.73055727554179561</v>
      </c>
      <c r="BQ174" s="81">
        <f t="shared" si="109"/>
        <v>0.87275541795665623</v>
      </c>
      <c r="BR174" s="81">
        <f t="shared" si="110"/>
        <v>1.1162538699690403</v>
      </c>
      <c r="BS174" s="82">
        <f t="shared" si="111"/>
        <v>323</v>
      </c>
      <c r="BT174" s="82">
        <f t="shared" si="112"/>
        <v>360.55</v>
      </c>
      <c r="BU174" s="82">
        <f t="shared" si="113"/>
        <v>314.62000000000006</v>
      </c>
      <c r="BV174"/>
      <c r="BW174" s="82">
        <f>IFERROR(INDEX('Infos Clientes'!$T:$T,MATCH('Detalhe Por UC'!$C174,'Infos Clientes'!B:B,0)),"")</f>
        <v>55.25</v>
      </c>
      <c r="BX174" s="83">
        <f t="shared" si="114"/>
        <v>0</v>
      </c>
      <c r="BY174" s="84">
        <f t="shared" si="115"/>
        <v>0.21813895437526015</v>
      </c>
      <c r="BZ174" s="85">
        <f>IF(_xlfn.MINIFS('Detalhe Por UC'!R:R,'Detalhe Por UC'!C:C,C174,'Detalhe Por UC'!AD:AD,"&gt;"&amp;0)=0,"",_xlfn.MINIFS('Detalhe Por UC'!R:R,'Detalhe Por UC'!C:C,C174,'Detalhe Por UC'!AD:AD,"&gt;"&amp;0))</f>
        <v>45689</v>
      </c>
      <c r="CA174" s="114">
        <f ca="1">IF(OR(S174&gt;0,AD174&gt;0),IFERROR(
SUMIFS(INDIRECT("'Infos Clientes'!$W"&amp;INDEX('Infos Clientes'!$C:$C,MATCH(C174,'Infos Clientes'!$H:$H,0))&amp;":$CZ"&amp;INDEX('Infos Clientes'!$C:$C,MATCH(C174,'Infos Clientes'!$H:$H,0))),'Infos Clientes'!$W$2:$CZ$2,"&gt;"&amp;$R174-365,'Infos Clientes'!$W$2:$CZ$2,"&lt;="&amp;$R174)/
COUNTIFS(INDIRECT("'Infos Clientes'!$W"&amp;INDEX('Infos Clientes'!$C:$C,MATCH(C174,'Infos Clientes'!$H:$H,0))&amp;":$CZ"&amp;INDEX('Infos Clientes'!$C:$C,MATCH(C174,'Infos Clientes'!$H:$H,0))),"&gt;="&amp;0,'Infos Clientes'!$W$2:$CZ$2,"&gt;"&amp;$R174-365,'Infos Clientes'!$W$2:$CZ$2,"&lt;="&amp;$R174),""),"")</f>
        <v>82.166666666666671</v>
      </c>
      <c r="CB174" s="87">
        <f>VLOOKUP(C174,'Infos Clientes'!B:L,11,0)</f>
        <v>0</v>
      </c>
      <c r="CC174" s="88" t="str">
        <f t="shared" si="116"/>
        <v>A Unidade Consumidora 10/3005226-0 economizou R$78,66 na fatura referente à fev/2025  consumindo 323 kWh em créditos de energia renovável conforme fatura de energia. A economia foi de 25% em relação ao que seria pago para a Energisa considerando os créditos consumidos. Atenção: Mantenha as contas da Energisa em dia para evitar cortes.</v>
      </c>
      <c r="CD174" s="40" t="s">
        <v>96</v>
      </c>
      <c r="CF174" s="115">
        <f t="shared" si="117"/>
        <v>-112.94999999999996</v>
      </c>
    </row>
    <row r="175" spans="1:84" s="40" customFormat="1" ht="16.2" hidden="1" customHeight="1" x14ac:dyDescent="0.3">
      <c r="A175" s="105" t="str">
        <f>INDEX('Infos Clientes'!$D:$D,MATCH('Detalhe Por UC'!C175,'Infos Clientes'!B:B,0))</f>
        <v>IGREJA DO EVANGELHO QUADRANGULAR</v>
      </c>
      <c r="B175" s="106" t="str">
        <f>INDEX('Infos Clientes'!$F:$F,MATCH('Detalhe Por UC'!C175,'Infos Clientes'!B:B,0))</f>
        <v>62.955.505/0160-80</v>
      </c>
      <c r="C175" s="44" t="s">
        <v>97</v>
      </c>
      <c r="D175" t="s">
        <v>351</v>
      </c>
      <c r="E175" s="1" t="s">
        <v>352</v>
      </c>
      <c r="F175" s="56" t="str">
        <f>INDEX('Infos Clientes'!$I:$I,MATCH('Detalhe Por UC'!C175,'Infos Clientes'!B:B,0))</f>
        <v>BT</v>
      </c>
      <c r="G175" s="56" t="str">
        <f>INDEX('Infos Clientes'!$J:$J,MATCH('Detalhe Por UC'!C175,'Infos Clientes'!B:B,0))</f>
        <v>trifasico</v>
      </c>
      <c r="H175" s="108" t="s">
        <v>353</v>
      </c>
      <c r="I175" s="58">
        <f>IFERROR(VLOOKUP(C175,'Infos Clientes'!B:E,4,),"")</f>
        <v>357</v>
      </c>
      <c r="J175" s="109">
        <v>0.25</v>
      </c>
      <c r="K175" s="59">
        <f>INDEX('Infos Clientes'!$M:$M,MATCH('Detalhe Por UC'!C175,'Infos Clientes'!B:B,0))</f>
        <v>0.25</v>
      </c>
      <c r="L175" s="125">
        <v>0</v>
      </c>
      <c r="M175" s="56">
        <f>INDEX('Infos Clientes'!$N:$N,MATCH('Detalhe Por UC'!C175,'Infos Clientes'!B:B,0))</f>
        <v>0</v>
      </c>
      <c r="N175" s="56">
        <f t="shared" si="81"/>
        <v>0</v>
      </c>
      <c r="O175" s="56">
        <f t="shared" si="82"/>
        <v>11</v>
      </c>
      <c r="P175" s="56">
        <f t="shared" si="83"/>
        <v>0</v>
      </c>
      <c r="Q175" s="61">
        <f>IFERROR(IFERROR(INDEX('Infos Clientes'!$A$2:$V$9884,MATCH($C175,'Infos Clientes'!$B$2:$B$9884,0),MATCH(Q$8,'Infos Clientes'!$A$2:$V$2,0)),"")
+IF(OR(INDEX('Infos Clientes'!$A$2:$V$9884,MATCH($C175,'Infos Clientes'!$B$2:$B$9884,0),MATCH("Tempo de Fidelidade (meses)",'Infos Clientes'!$A$2:$V$2,0))=0,R175&gt;=MAX(R:R)),0,
ROUND((MAX(R:R)-R175)/(365/12),0)),"")</f>
        <v>0</v>
      </c>
      <c r="R175" s="111">
        <v>45689</v>
      </c>
      <c r="S175" s="112">
        <v>0.02</v>
      </c>
      <c r="T175" s="113">
        <f>IF($H175="GIROSSOL II",AP175/INDEX('Resumo Operacional'!$A$1:$P$1103,17,MATCH('Detalhe Por UC'!$R175,'Resumo Operacional'!$A$1:$P$1,0)),
IF($H175="GIROSSOL II e III",AP175/INDEX('Resumo Operacional'!$A$1:$P$1103,17,MATCH('Detalhe Por UC'!$R175,'Resumo Operacional'!$A$1:$P$1,0)),
""))</f>
        <v>4.7837069782128198E-2</v>
      </c>
      <c r="U175" s="113">
        <f>IF($H175="GIROSSOL III",AP175/INDEX('Resumo Operacional'!$A$1:$P$1103,53,MATCH('Detalhe Por UC'!$R175,'Resumo Operacional'!$A$1:$P$1,0)),
IF($H175="GIROSSOL II e III",AP175/INDEX('Resumo Operacional'!$A$1:$P$1103,53,MATCH('Detalhe Por UC'!$R175,'Resumo Operacional'!$A$1:$P$1,0)),
""))</f>
        <v>4.1891331397760266E-2</v>
      </c>
      <c r="V175" s="18"/>
      <c r="W175" s="54"/>
      <c r="X175" s="127">
        <v>1.1162557781201849</v>
      </c>
      <c r="Y175" s="127">
        <v>0</v>
      </c>
      <c r="Z175" s="127">
        <v>1.0655231560891938</v>
      </c>
      <c r="AA175" s="127">
        <v>0</v>
      </c>
      <c r="AB175" s="127">
        <v>649</v>
      </c>
      <c r="AC175" s="127">
        <v>0</v>
      </c>
      <c r="AD175" s="127">
        <v>583</v>
      </c>
      <c r="AE175" s="35"/>
      <c r="AF175" s="127">
        <v>223</v>
      </c>
      <c r="AG175" s="127">
        <v>0</v>
      </c>
      <c r="AH175" s="127">
        <v>98.06</v>
      </c>
      <c r="AI175" s="127">
        <v>0</v>
      </c>
      <c r="AJ175" s="127">
        <v>0</v>
      </c>
      <c r="AK175" s="31"/>
      <c r="AL175"/>
      <c r="AM175"/>
      <c r="AN175" s="71">
        <f t="shared" si="84"/>
        <v>23</v>
      </c>
      <c r="AO175" s="71">
        <f t="shared" si="85"/>
        <v>0</v>
      </c>
      <c r="AP175" s="71">
        <f t="shared" si="86"/>
        <v>606</v>
      </c>
      <c r="AQ175" s="72">
        <f>IF(OR($H175="GIROSSOL II",$H175="GIROSSOL II e III"),INDEX('Resumo Operacional'!$A$1:$P$1103,MATCH("Energia Injetada prevista total Fatura da Usina (TUSD)",'Resumo Operacional'!$B$1:$B$1103,0),MATCH('Detalhe Por UC'!$R175,'Resumo Operacional'!$A$1:$P$1,0))*$S175,INDEX('Resumo Operacional'!$A$1:$P$1103,53,MATCH('Detalhe Por UC'!$R175,'Resumo Operacional'!$A$1:$P$1,0))*$S175)</f>
        <v>253.36</v>
      </c>
      <c r="AR175" s="71">
        <f t="shared" si="87"/>
        <v>352.64</v>
      </c>
      <c r="AS175" s="73">
        <f t="shared" si="88"/>
        <v>201.31000000000012</v>
      </c>
      <c r="AT175" s="74">
        <f t="shared" si="89"/>
        <v>201.31000000000012</v>
      </c>
      <c r="AU175" s="74">
        <f t="shared" si="90"/>
        <v>1.0147905340582026</v>
      </c>
      <c r="AV175" s="74">
        <f t="shared" si="91"/>
        <v>465.9</v>
      </c>
      <c r="AW175" s="74">
        <f t="shared" si="92"/>
        <v>0</v>
      </c>
      <c r="AX175" s="74">
        <f t="shared" si="93"/>
        <v>621.19999999999993</v>
      </c>
      <c r="AY175" s="74">
        <f t="shared" si="94"/>
        <v>465.9</v>
      </c>
      <c r="AZ175" s="49">
        <v>465.9</v>
      </c>
      <c r="BA175" s="49">
        <v>465.9</v>
      </c>
      <c r="BB175" s="49">
        <v>465.9</v>
      </c>
      <c r="BC175" s="73" t="str">
        <f t="shared" si="95"/>
        <v/>
      </c>
      <c r="BD175" s="73">
        <f t="shared" si="96"/>
        <v>822.51</v>
      </c>
      <c r="BE175" s="73">
        <f t="shared" si="97"/>
        <v>667.21</v>
      </c>
      <c r="BF175" s="77">
        <f t="shared" si="98"/>
        <v>155.30000000000001</v>
      </c>
      <c r="BG175" s="77">
        <f t="shared" si="99"/>
        <v>46.59</v>
      </c>
      <c r="BH175" s="77">
        <f t="shared" si="100"/>
        <v>621.20000000000005</v>
      </c>
      <c r="BI175" s="78">
        <f t="shared" si="101"/>
        <v>0.25</v>
      </c>
      <c r="BJ175" s="79">
        <f t="shared" si="102"/>
        <v>0.188812294075452</v>
      </c>
      <c r="BK175" s="80">
        <f t="shared" si="103"/>
        <v>667.21</v>
      </c>
      <c r="BL175" s="80">
        <f t="shared" si="104"/>
        <v>155.29999999999995</v>
      </c>
      <c r="BM175" s="79">
        <f t="shared" si="105"/>
        <v>0.18881229407545191</v>
      </c>
      <c r="BN175" s="81">
        <f t="shared" si="106"/>
        <v>0.79914236706689534</v>
      </c>
      <c r="BO175" s="82">
        <f t="shared" si="107"/>
        <v>465.9</v>
      </c>
      <c r="BP175" s="81">
        <f t="shared" si="108"/>
        <v>0.79914236706689534</v>
      </c>
      <c r="BQ175" s="81">
        <f t="shared" si="109"/>
        <v>0.8498749890978865</v>
      </c>
      <c r="BR175" s="81">
        <f t="shared" si="110"/>
        <v>1.1162557781201849</v>
      </c>
      <c r="BS175" s="82">
        <f t="shared" si="111"/>
        <v>583</v>
      </c>
      <c r="BT175" s="82">
        <f t="shared" si="112"/>
        <v>650.77711864406785</v>
      </c>
      <c r="BU175" s="82">
        <f t="shared" si="113"/>
        <v>621.19999999999993</v>
      </c>
      <c r="BV175"/>
      <c r="BW175" s="82">
        <f>IFERROR(INDEX('Infos Clientes'!$T:$T,MATCH('Detalhe Por UC'!$C175,'Infos Clientes'!B:B,0)),"")</f>
        <v>468.66666666666669</v>
      </c>
      <c r="BX175" s="83">
        <f t="shared" si="114"/>
        <v>0</v>
      </c>
      <c r="BY175" s="84">
        <f t="shared" si="115"/>
        <v>0.23863776944643755</v>
      </c>
      <c r="BZ175" s="85">
        <f>IF(_xlfn.MINIFS('Detalhe Por UC'!R:R,'Detalhe Por UC'!C:C,C175,'Detalhe Por UC'!AD:AD,"&gt;"&amp;0)=0,"",_xlfn.MINIFS('Detalhe Por UC'!R:R,'Detalhe Por UC'!C:C,C175,'Detalhe Por UC'!AD:AD,"&gt;"&amp;0))</f>
        <v>45627</v>
      </c>
      <c r="CA175" s="114">
        <f ca="1">IF(OR(S175&gt;0,AD175&gt;0),IFERROR(
SUMIFS(INDIRECT("'Infos Clientes'!$W"&amp;INDEX('Infos Clientes'!$C:$C,MATCH(C175,'Infos Clientes'!$H:$H,0))&amp;":$CZ"&amp;INDEX('Infos Clientes'!$C:$C,MATCH(C175,'Infos Clientes'!$H:$H,0))),'Infos Clientes'!$W$2:$CZ$2,"&gt;"&amp;$R175-365,'Infos Clientes'!$W$2:$CZ$2,"&lt;="&amp;$R175)/
COUNTIFS(INDIRECT("'Infos Clientes'!$W"&amp;INDEX('Infos Clientes'!$C:$C,MATCH(C175,'Infos Clientes'!$H:$H,0))&amp;":$CZ"&amp;INDEX('Infos Clientes'!$C:$C,MATCH(C175,'Infos Clientes'!$H:$H,0))),"&gt;="&amp;0,'Infos Clientes'!$W$2:$CZ$2,"&gt;"&amp;$R175-365,'Infos Clientes'!$W$2:$CZ$2,"&lt;="&amp;$R175),""),"")</f>
        <v>479.08333333333331</v>
      </c>
      <c r="CB175" s="87">
        <f>VLOOKUP(C175,'Infos Clientes'!B:L,11,0)</f>
        <v>0</v>
      </c>
      <c r="CC175" s="88" t="str">
        <f t="shared" si="116"/>
        <v>A Unidade Consumidora 10/3030784-7 economizou R$155,3 na fatura referente à fev/2025  consumindo 583 kWh em créditos de energia renovável conforme fatura de energia. A economia foi de 25% em relação ao que seria pago para a Energisa considerando os créditos consumidos. Atenção: Mantenha as contas da Energisa em dia para evitar cortes.</v>
      </c>
      <c r="CD175" s="40" t="s">
        <v>98</v>
      </c>
      <c r="CF175" s="115">
        <f t="shared" si="117"/>
        <v>-201.31000000000012</v>
      </c>
    </row>
    <row r="176" spans="1:84" s="40" customFormat="1" ht="16.2" hidden="1" customHeight="1" x14ac:dyDescent="0.3">
      <c r="A176" s="105" t="str">
        <f>INDEX('Infos Clientes'!$D:$D,MATCH('Detalhe Por UC'!C176,'Infos Clientes'!B:B,0))</f>
        <v>IGREJA DO EVANGELHO QUADRANGULAR</v>
      </c>
      <c r="B176" s="106" t="str">
        <f>INDEX('Infos Clientes'!$F:$F,MATCH('Detalhe Por UC'!C176,'Infos Clientes'!B:B,0))</f>
        <v>62.955.505/4194-43</v>
      </c>
      <c r="C176" s="31" t="s">
        <v>99</v>
      </c>
      <c r="D176" t="s">
        <v>351</v>
      </c>
      <c r="E176" s="1" t="s">
        <v>352</v>
      </c>
      <c r="F176" s="56" t="str">
        <f>INDEX('Infos Clientes'!$I:$I,MATCH('Detalhe Por UC'!C176,'Infos Clientes'!B:B,0))</f>
        <v>BT</v>
      </c>
      <c r="G176" s="56" t="str">
        <f>INDEX('Infos Clientes'!$J:$J,MATCH('Detalhe Por UC'!C176,'Infos Clientes'!B:B,0))</f>
        <v>trifasico</v>
      </c>
      <c r="H176" s="108" t="s">
        <v>353</v>
      </c>
      <c r="I176" s="58">
        <f>IFERROR(VLOOKUP(C176,'Infos Clientes'!B:E,4,),"")</f>
        <v>331</v>
      </c>
      <c r="J176" s="109">
        <v>0.25</v>
      </c>
      <c r="K176" s="59">
        <f>INDEX('Infos Clientes'!$M:$M,MATCH('Detalhe Por UC'!C176,'Infos Clientes'!B:B,0))</f>
        <v>0.25</v>
      </c>
      <c r="L176" s="125">
        <v>0</v>
      </c>
      <c r="M176" s="56">
        <f>INDEX('Infos Clientes'!$N:$N,MATCH('Detalhe Por UC'!C176,'Infos Clientes'!B:B,0))</f>
        <v>0</v>
      </c>
      <c r="N176" s="56">
        <f t="shared" si="81"/>
        <v>0</v>
      </c>
      <c r="O176" s="56">
        <f t="shared" si="82"/>
        <v>12</v>
      </c>
      <c r="P176" s="56">
        <f t="shared" si="83"/>
        <v>0</v>
      </c>
      <c r="Q176" s="61">
        <f>IFERROR(IFERROR(INDEX('Infos Clientes'!$A$2:$V$9884,MATCH($C176,'Infos Clientes'!$B$2:$B$9884,0),MATCH(Q$8,'Infos Clientes'!$A$2:$V$2,0)),"")
+IF(OR(INDEX('Infos Clientes'!$A$2:$V$9884,MATCH($C176,'Infos Clientes'!$B$2:$B$9884,0),MATCH("Tempo de Fidelidade (meses)",'Infos Clientes'!$A$2:$V$2,0))=0,R176&gt;=MAX(R:R)),0,
ROUND((MAX(R:R)-R176)/(365/12),0)),"")</f>
        <v>0</v>
      </c>
      <c r="R176" s="111">
        <v>45689</v>
      </c>
      <c r="S176" s="112">
        <v>0.02</v>
      </c>
      <c r="T176" s="113">
        <f>IF($H176="GIROSSOL II",AP176/INDEX('Resumo Operacional'!$A$1:$P$1103,17,MATCH('Detalhe Por UC'!$R176,'Resumo Operacional'!$A$1:$P$1,0)),
IF($H176="GIROSSOL II e III",AP176/INDEX('Resumo Operacional'!$A$1:$P$1103,17,MATCH('Detalhe Por UC'!$R176,'Resumo Operacional'!$A$1:$P$1,0)),
""))</f>
        <v>4.7837069782128198E-2</v>
      </c>
      <c r="U176" s="113">
        <f>IF($H176="GIROSSOL III",AP176/INDEX('Resumo Operacional'!$A$1:$P$1103,53,MATCH('Detalhe Por UC'!$R176,'Resumo Operacional'!$A$1:$P$1,0)),
IF($H176="GIROSSOL II e III",AP176/INDEX('Resumo Operacional'!$A$1:$P$1103,53,MATCH('Detalhe Por UC'!$R176,'Resumo Operacional'!$A$1:$P$1,0)),
""))</f>
        <v>4.1891331397760266E-2</v>
      </c>
      <c r="V176" s="18"/>
      <c r="W176" s="54"/>
      <c r="X176" s="127">
        <v>1.1162442396313363</v>
      </c>
      <c r="Y176" s="127">
        <v>0</v>
      </c>
      <c r="Z176" s="127">
        <v>1.0389344262295082</v>
      </c>
      <c r="AA176" s="127">
        <v>0</v>
      </c>
      <c r="AB176" s="127">
        <v>434</v>
      </c>
      <c r="AC176" s="127">
        <v>0</v>
      </c>
      <c r="AD176" s="127">
        <v>366</v>
      </c>
      <c r="AE176" s="35"/>
      <c r="AF176" s="127">
        <v>240</v>
      </c>
      <c r="AG176" s="127">
        <v>0</v>
      </c>
      <c r="AH176" s="127">
        <v>0</v>
      </c>
      <c r="AI176" s="127">
        <v>0</v>
      </c>
      <c r="AJ176" s="127">
        <v>0</v>
      </c>
      <c r="AK176" s="31"/>
      <c r="AL176"/>
      <c r="AM176"/>
      <c r="AN176" s="71">
        <f t="shared" si="84"/>
        <v>240</v>
      </c>
      <c r="AO176" s="71">
        <f t="shared" si="85"/>
        <v>0</v>
      </c>
      <c r="AP176" s="71">
        <f t="shared" si="86"/>
        <v>606</v>
      </c>
      <c r="AQ176" s="72">
        <f>IF(OR($H176="GIROSSOL II",$H176="GIROSSOL II e III"),INDEX('Resumo Operacional'!$A$1:$P$1103,MATCH("Energia Injetada prevista total Fatura da Usina (TUSD)",'Resumo Operacional'!$B$1:$B$1103,0),MATCH('Detalhe Por UC'!$R176,'Resumo Operacional'!$A$1:$P$1,0))*$S176,INDEX('Resumo Operacional'!$A$1:$P$1103,53,MATCH('Detalhe Por UC'!$R176,'Resumo Operacional'!$A$1:$P$1,0))*$S176)</f>
        <v>253.36</v>
      </c>
      <c r="AR176" s="71">
        <f t="shared" si="87"/>
        <v>352.64</v>
      </c>
      <c r="AS176" s="73">
        <f t="shared" si="88"/>
        <v>104.19999999999999</v>
      </c>
      <c r="AT176" s="74">
        <f t="shared" si="89"/>
        <v>104.19999999999999</v>
      </c>
      <c r="AU176" s="74">
        <f t="shared" si="90"/>
        <v>0.96162461282767997</v>
      </c>
      <c r="AV176" s="74">
        <f t="shared" si="91"/>
        <v>285.1875</v>
      </c>
      <c r="AW176" s="74">
        <f t="shared" si="92"/>
        <v>0</v>
      </c>
      <c r="AX176" s="74">
        <f t="shared" si="93"/>
        <v>380.25</v>
      </c>
      <c r="AY176" s="74">
        <f t="shared" si="94"/>
        <v>285.19</v>
      </c>
      <c r="AZ176" s="49">
        <v>285.19</v>
      </c>
      <c r="BA176" s="49">
        <v>285.19</v>
      </c>
      <c r="BB176" s="49">
        <v>285.19</v>
      </c>
      <c r="BC176" s="73" t="str">
        <f t="shared" si="95"/>
        <v/>
      </c>
      <c r="BD176" s="73">
        <f t="shared" si="96"/>
        <v>484.45</v>
      </c>
      <c r="BE176" s="73">
        <f t="shared" si="97"/>
        <v>389.38749999999999</v>
      </c>
      <c r="BF176" s="77">
        <f t="shared" si="98"/>
        <v>95.06</v>
      </c>
      <c r="BG176" s="77">
        <f t="shared" si="99"/>
        <v>28.518000000000001</v>
      </c>
      <c r="BH176" s="77">
        <f t="shared" si="100"/>
        <v>380.25</v>
      </c>
      <c r="BI176" s="78">
        <f t="shared" si="101"/>
        <v>0.25</v>
      </c>
      <c r="BJ176" s="79">
        <f t="shared" si="102"/>
        <v>0.19622252038394056</v>
      </c>
      <c r="BK176" s="80">
        <f t="shared" si="103"/>
        <v>389.39</v>
      </c>
      <c r="BL176" s="80">
        <f t="shared" si="104"/>
        <v>95.06</v>
      </c>
      <c r="BM176" s="79">
        <f t="shared" si="105"/>
        <v>0.19622252038394056</v>
      </c>
      <c r="BN176" s="81">
        <f t="shared" si="106"/>
        <v>0.77920765027322403</v>
      </c>
      <c r="BO176" s="82">
        <f t="shared" si="107"/>
        <v>285.19</v>
      </c>
      <c r="BP176" s="81">
        <f t="shared" si="108"/>
        <v>0.77920765027322403</v>
      </c>
      <c r="BQ176" s="81">
        <f t="shared" si="109"/>
        <v>0.85651746367505222</v>
      </c>
      <c r="BR176" s="81">
        <f t="shared" si="110"/>
        <v>1.1162442396313363</v>
      </c>
      <c r="BS176" s="82">
        <f t="shared" si="111"/>
        <v>366</v>
      </c>
      <c r="BT176" s="82">
        <f t="shared" si="112"/>
        <v>408.54539170506911</v>
      </c>
      <c r="BU176" s="82">
        <f t="shared" si="113"/>
        <v>380.25</v>
      </c>
      <c r="BV176"/>
      <c r="BW176" s="82">
        <f>IFERROR(INDEX('Infos Clientes'!$T:$T,MATCH('Detalhe Por UC'!$C176,'Infos Clientes'!B:B,0)),"")</f>
        <v>433.16666666666669</v>
      </c>
      <c r="BX176" s="83">
        <f t="shared" si="114"/>
        <v>0</v>
      </c>
      <c r="BY176" s="84">
        <f t="shared" si="115"/>
        <v>0.23267916351538304</v>
      </c>
      <c r="BZ176" s="85">
        <f>IF(_xlfn.MINIFS('Detalhe Por UC'!R:R,'Detalhe Por UC'!C:C,C176,'Detalhe Por UC'!AD:AD,"&gt;"&amp;0)=0,"",_xlfn.MINIFS('Detalhe Por UC'!R:R,'Detalhe Por UC'!C:C,C176,'Detalhe Por UC'!AD:AD,"&gt;"&amp;0))</f>
        <v>45627</v>
      </c>
      <c r="CA176" s="114">
        <f ca="1">IF(OR(S176&gt;0,AD176&gt;0),IFERROR(
SUMIFS(INDIRECT("'Infos Clientes'!$W"&amp;INDEX('Infos Clientes'!$C:$C,MATCH(C176,'Infos Clientes'!$H:$H,0))&amp;":$CZ"&amp;INDEX('Infos Clientes'!$C:$C,MATCH(C176,'Infos Clientes'!$H:$H,0))),'Infos Clientes'!$W$2:$CZ$2,"&gt;"&amp;$R176-365,'Infos Clientes'!$W$2:$CZ$2,"&lt;="&amp;$R176)/
COUNTIFS(INDIRECT("'Infos Clientes'!$W"&amp;INDEX('Infos Clientes'!$C:$C,MATCH(C176,'Infos Clientes'!$H:$H,0))&amp;":$CZ"&amp;INDEX('Infos Clientes'!$C:$C,MATCH(C176,'Infos Clientes'!$H:$H,0))),"&gt;="&amp;0,'Infos Clientes'!$W$2:$CZ$2,"&gt;"&amp;$R176-365,'Infos Clientes'!$W$2:$CZ$2,"&lt;="&amp;$R176),""),"")</f>
        <v>426.25</v>
      </c>
      <c r="CB176" s="87">
        <f>VLOOKUP(C176,'Infos Clientes'!B:L,11,0)</f>
        <v>0</v>
      </c>
      <c r="CC176" s="88" t="str">
        <f t="shared" si="116"/>
        <v>A Unidade Consumidora 10/3092868-3 economizou R$95,06 na fatura referente à fev/2025  consumindo 366 kWh em créditos de energia renovável conforme fatura de energia. A economia foi de 25% em relação ao que seria pago para a Energisa considerando os créditos consumidos. Atenção: Mantenha as contas da Energisa em dia para evitar cortes.</v>
      </c>
      <c r="CD176" s="40" t="s">
        <v>100</v>
      </c>
      <c r="CF176" s="115">
        <f t="shared" si="117"/>
        <v>-104.19999999999999</v>
      </c>
    </row>
    <row r="177" spans="1:84" s="40" customFormat="1" ht="16.2" hidden="1" customHeight="1" x14ac:dyDescent="0.3">
      <c r="A177" s="105" t="str">
        <f>INDEX('Infos Clientes'!$D:$D,MATCH('Detalhe Por UC'!C177,'Infos Clientes'!B:B,0))</f>
        <v>IGREJA DO EVANGELHO QUADRANGULAR</v>
      </c>
      <c r="B177" s="106" t="str">
        <f>INDEX('Infos Clientes'!$F:$F,MATCH('Detalhe Por UC'!C177,'Infos Clientes'!B:B,0))</f>
        <v>62.955.505/0151-99</v>
      </c>
      <c r="C177" s="31" t="s">
        <v>102</v>
      </c>
      <c r="D177" t="s">
        <v>351</v>
      </c>
      <c r="E177" s="1" t="s">
        <v>352</v>
      </c>
      <c r="F177" s="56" t="str">
        <f>INDEX('Infos Clientes'!$I:$I,MATCH('Detalhe Por UC'!C177,'Infos Clientes'!B:B,0))</f>
        <v>BT</v>
      </c>
      <c r="G177" s="56" t="str">
        <f>INDEX('Infos Clientes'!$J:$J,MATCH('Detalhe Por UC'!C177,'Infos Clientes'!B:B,0))</f>
        <v>trifasico</v>
      </c>
      <c r="H177" s="108" t="s">
        <v>353</v>
      </c>
      <c r="I177" s="58">
        <f>IFERROR(VLOOKUP(C177,'Infos Clientes'!B:E,4,),"")</f>
        <v>306</v>
      </c>
      <c r="J177" s="109">
        <v>0.25</v>
      </c>
      <c r="K177" s="59">
        <f>INDEX('Infos Clientes'!$M:$M,MATCH('Detalhe Por UC'!C177,'Infos Clientes'!B:B,0))</f>
        <v>0.25</v>
      </c>
      <c r="L177" s="125">
        <v>0</v>
      </c>
      <c r="M177" s="56">
        <f>INDEX('Infos Clientes'!$N:$N,MATCH('Detalhe Por UC'!C177,'Infos Clientes'!B:B,0))</f>
        <v>0</v>
      </c>
      <c r="N177" s="56">
        <f t="shared" si="81"/>
        <v>0</v>
      </c>
      <c r="O177" s="56">
        <f t="shared" si="82"/>
        <v>12</v>
      </c>
      <c r="P177" s="56">
        <f t="shared" si="83"/>
        <v>0</v>
      </c>
      <c r="Q177" s="61">
        <f>IFERROR(IFERROR(INDEX('Infos Clientes'!$A$2:$V$9884,MATCH($C177,'Infos Clientes'!$B$2:$B$9884,0),MATCH(Q$8,'Infos Clientes'!$A$2:$V$2,0)),"")
+IF(OR(INDEX('Infos Clientes'!$A$2:$V$9884,MATCH($C177,'Infos Clientes'!$B$2:$B$9884,0),MATCH("Tempo de Fidelidade (meses)",'Infos Clientes'!$A$2:$V$2,0))=0,R177&gt;=MAX(R:R)),0,
ROUND((MAX(R:R)-R177)/(365/12),0)),"")</f>
        <v>0</v>
      </c>
      <c r="R177" s="111">
        <v>45689</v>
      </c>
      <c r="S177" s="112">
        <v>0.21</v>
      </c>
      <c r="T177" s="113">
        <f>IF($H177="GIROSSOL II",AP177/INDEX('Resumo Operacional'!$A$1:$P$1103,17,MATCH('Detalhe Por UC'!$R177,'Resumo Operacional'!$A$1:$P$1,0)),
IF($H177="GIROSSOL II e III",AP177/INDEX('Resumo Operacional'!$A$1:$P$1103,17,MATCH('Detalhe Por UC'!$R177,'Resumo Operacional'!$A$1:$P$1,0)),
""))</f>
        <v>0.49242185033154406</v>
      </c>
      <c r="U177" s="113">
        <f>IF($H177="GIROSSOL III",AP177/INDEX('Resumo Operacional'!$A$1:$P$1103,53,MATCH('Detalhe Por UC'!$R177,'Resumo Operacional'!$A$1:$P$1,0)),
IF($H177="GIROSSOL II e III",AP177/INDEX('Resumo Operacional'!$A$1:$P$1103,53,MATCH('Detalhe Por UC'!$R177,'Resumo Operacional'!$A$1:$P$1,0)),
""))</f>
        <v>0.43121802848057517</v>
      </c>
      <c r="V177" s="18"/>
      <c r="W177" s="54"/>
      <c r="X177" s="127">
        <v>1.1162654205607478</v>
      </c>
      <c r="Y177" s="127">
        <v>0</v>
      </c>
      <c r="Z177" s="127">
        <v>1.0373196261682243</v>
      </c>
      <c r="AA177" s="127">
        <v>0</v>
      </c>
      <c r="AB177" s="127">
        <v>2675</v>
      </c>
      <c r="AC177" s="127">
        <v>0</v>
      </c>
      <c r="AD177" s="127">
        <v>2675</v>
      </c>
      <c r="AE177" s="35"/>
      <c r="AF177" s="127">
        <v>3563</v>
      </c>
      <c r="AG177" s="127">
        <v>0</v>
      </c>
      <c r="AH177" s="127">
        <v>0</v>
      </c>
      <c r="AI177" s="127">
        <v>0</v>
      </c>
      <c r="AJ177" s="127">
        <v>0</v>
      </c>
      <c r="AK177" s="31"/>
      <c r="AL177"/>
      <c r="AM177"/>
      <c r="AN177" s="71">
        <f t="shared" si="84"/>
        <v>3563</v>
      </c>
      <c r="AO177" s="71">
        <f t="shared" si="85"/>
        <v>0</v>
      </c>
      <c r="AP177" s="71">
        <f t="shared" si="86"/>
        <v>6238</v>
      </c>
      <c r="AQ177" s="72">
        <f>IF(OR($H177="GIROSSOL II",$H177="GIROSSOL II e III"),INDEX('Resumo Operacional'!$A$1:$P$1103,MATCH("Energia Injetada prevista total Fatura da Usina (TUSD)",'Resumo Operacional'!$B$1:$B$1103,0),MATCH('Detalhe Por UC'!$R177,'Resumo Operacional'!$A$1:$P$1,0))*$S177,INDEX('Resumo Operacional'!$A$1:$P$1103,53,MATCH('Detalhe Por UC'!$R177,'Resumo Operacional'!$A$1:$P$1,0))*$S177)</f>
        <v>2660.2799999999997</v>
      </c>
      <c r="AR177" s="71">
        <f t="shared" si="87"/>
        <v>3577.7200000000003</v>
      </c>
      <c r="AS177" s="73">
        <f t="shared" si="88"/>
        <v>211.18000000000075</v>
      </c>
      <c r="AT177" s="74">
        <f t="shared" si="89"/>
        <v>211.18000000000075</v>
      </c>
      <c r="AU177" s="74">
        <f t="shared" si="90"/>
        <v>0.95837383177570068</v>
      </c>
      <c r="AV177" s="74">
        <f t="shared" si="91"/>
        <v>2081.1224999999999</v>
      </c>
      <c r="AW177" s="74">
        <f t="shared" si="92"/>
        <v>0</v>
      </c>
      <c r="AX177" s="74">
        <f t="shared" si="93"/>
        <v>2774.83</v>
      </c>
      <c r="AY177" s="74">
        <f t="shared" si="94"/>
        <v>2081.12</v>
      </c>
      <c r="AZ177" s="49">
        <v>2081.12</v>
      </c>
      <c r="BA177" s="49">
        <v>2081.12</v>
      </c>
      <c r="BB177" s="49">
        <v>2081.12</v>
      </c>
      <c r="BC177" s="73" t="str">
        <f t="shared" si="95"/>
        <v/>
      </c>
      <c r="BD177" s="73">
        <f t="shared" si="96"/>
        <v>2986.0100000000007</v>
      </c>
      <c r="BE177" s="73">
        <f t="shared" si="97"/>
        <v>2292.3025000000007</v>
      </c>
      <c r="BF177" s="77">
        <f t="shared" si="98"/>
        <v>693.71</v>
      </c>
      <c r="BG177" s="77">
        <f t="shared" si="99"/>
        <v>208.113</v>
      </c>
      <c r="BH177" s="77">
        <f t="shared" si="100"/>
        <v>2774.83</v>
      </c>
      <c r="BI177" s="78">
        <f t="shared" si="101"/>
        <v>0.25</v>
      </c>
      <c r="BJ177" s="79">
        <f t="shared" si="102"/>
        <v>0.23232005251154547</v>
      </c>
      <c r="BK177" s="80">
        <f t="shared" si="103"/>
        <v>2292.3000000000006</v>
      </c>
      <c r="BL177" s="80">
        <f t="shared" si="104"/>
        <v>693.71</v>
      </c>
      <c r="BM177" s="79">
        <f t="shared" si="105"/>
        <v>0.23232005251154547</v>
      </c>
      <c r="BN177" s="81">
        <f t="shared" si="106"/>
        <v>0.77798878504672897</v>
      </c>
      <c r="BO177" s="82">
        <f t="shared" si="107"/>
        <v>2081.12</v>
      </c>
      <c r="BP177" s="81">
        <f t="shared" si="108"/>
        <v>0.77798878504672897</v>
      </c>
      <c r="BQ177" s="81">
        <f t="shared" si="109"/>
        <v>0.85693457943925255</v>
      </c>
      <c r="BR177" s="81">
        <f t="shared" si="110"/>
        <v>1.1162654205607478</v>
      </c>
      <c r="BS177" s="82">
        <f t="shared" si="111"/>
        <v>2675</v>
      </c>
      <c r="BT177" s="82">
        <f t="shared" si="112"/>
        <v>2986.0100000000007</v>
      </c>
      <c r="BU177" s="82">
        <f t="shared" si="113"/>
        <v>2774.83</v>
      </c>
      <c r="BV177"/>
      <c r="BW177" s="82">
        <f>IFERROR(INDEX('Infos Clientes'!$T:$T,MATCH('Detalhe Por UC'!$C177,'Infos Clientes'!B:B,0)),"")</f>
        <v>2675.750833333333</v>
      </c>
      <c r="BX177" s="83">
        <f t="shared" si="114"/>
        <v>0</v>
      </c>
      <c r="BY177" s="84">
        <f t="shared" si="115"/>
        <v>0.23232005251154544</v>
      </c>
      <c r="BZ177" s="85">
        <f>IF(_xlfn.MINIFS('Detalhe Por UC'!R:R,'Detalhe Por UC'!C:C,C177,'Detalhe Por UC'!AD:AD,"&gt;"&amp;0)=0,"",_xlfn.MINIFS('Detalhe Por UC'!R:R,'Detalhe Por UC'!C:C,C177,'Detalhe Por UC'!AD:AD,"&gt;"&amp;0))</f>
        <v>45627</v>
      </c>
      <c r="CA177" s="114">
        <f ca="1">IF(OR(S177&gt;0,AD177&gt;0),IFERROR(
SUMIFS(INDIRECT("'Infos Clientes'!$W"&amp;INDEX('Infos Clientes'!$C:$C,MATCH(C177,'Infos Clientes'!$H:$H,0))&amp;":$CZ"&amp;INDEX('Infos Clientes'!$C:$C,MATCH(C177,'Infos Clientes'!$H:$H,0))),'Infos Clientes'!$W$2:$CZ$2,"&gt;"&amp;$R177-365,'Infos Clientes'!$W$2:$CZ$2,"&lt;="&amp;$R177)/
COUNTIFS(INDIRECT("'Infos Clientes'!$W"&amp;INDEX('Infos Clientes'!$C:$C,MATCH(C177,'Infos Clientes'!$H:$H,0))&amp;":$CZ"&amp;INDEX('Infos Clientes'!$C:$C,MATCH(C177,'Infos Clientes'!$H:$H,0))),"&gt;="&amp;0,'Infos Clientes'!$W$2:$CZ$2,"&gt;"&amp;$R177-365,'Infos Clientes'!$W$2:$CZ$2,"&lt;="&amp;$R177),""),"")</f>
        <v>2706.0991666666664</v>
      </c>
      <c r="CB177" s="87">
        <f>VLOOKUP(C177,'Infos Clientes'!B:L,11,0)</f>
        <v>0</v>
      </c>
      <c r="CC177" s="88" t="str">
        <f t="shared" si="116"/>
        <v>A Unidade Consumidora 10/364440-8 economizou R$693,71 na fatura referente à fev/2025  consumindo 2675 kWh em créditos de energia renovável conforme fatura de energia. A economia foi de 25% em relação ao que seria pago para a Energisa considerando os créditos consumidos. Atenção: Mantenha as contas da Energisa em dia para evitar cortes.</v>
      </c>
      <c r="CD177" s="40" t="s">
        <v>86</v>
      </c>
      <c r="CF177" s="115">
        <f t="shared" si="117"/>
        <v>-211.18000000000075</v>
      </c>
    </row>
    <row r="178" spans="1:84" s="40" customFormat="1" ht="16.2" hidden="1" customHeight="1" x14ac:dyDescent="0.3">
      <c r="A178" s="105" t="str">
        <f>INDEX('Infos Clientes'!$D:$D,MATCH('Detalhe Por UC'!C178,'Infos Clientes'!B:B,0))</f>
        <v>IGREJA DO EVANGELHO QUADRANGULAR</v>
      </c>
      <c r="B178" s="106" t="str">
        <f>INDEX('Infos Clientes'!$F:$F,MATCH('Detalhe Por UC'!C178,'Infos Clientes'!B:B,0))</f>
        <v>62.955.505/0001-67</v>
      </c>
      <c r="C178" s="44" t="s">
        <v>103</v>
      </c>
      <c r="D178" t="s">
        <v>351</v>
      </c>
      <c r="E178" s="1" t="s">
        <v>352</v>
      </c>
      <c r="F178" s="56" t="str">
        <f>INDEX('Infos Clientes'!$I:$I,MATCH('Detalhe Por UC'!C178,'Infos Clientes'!B:B,0))</f>
        <v>BT</v>
      </c>
      <c r="G178" s="56" t="str">
        <f>INDEX('Infos Clientes'!$J:$J,MATCH('Detalhe Por UC'!C178,'Infos Clientes'!B:B,0))</f>
        <v>monofasico</v>
      </c>
      <c r="H178" s="108" t="s">
        <v>24</v>
      </c>
      <c r="I178" s="58">
        <f>IFERROR(VLOOKUP(C178,'Infos Clientes'!B:E,4,),"")</f>
        <v>306</v>
      </c>
      <c r="J178" s="109">
        <v>0.25</v>
      </c>
      <c r="K178" s="59">
        <f>INDEX('Infos Clientes'!$M:$M,MATCH('Detalhe Por UC'!C178,'Infos Clientes'!B:B,0))</f>
        <v>0.25</v>
      </c>
      <c r="L178" s="125">
        <v>0</v>
      </c>
      <c r="M178" s="56">
        <f>INDEX('Infos Clientes'!$N:$N,MATCH('Detalhe Por UC'!C178,'Infos Clientes'!B:B,0))</f>
        <v>0</v>
      </c>
      <c r="N178" s="56">
        <f t="shared" si="81"/>
        <v>0</v>
      </c>
      <c r="O178" s="56">
        <f t="shared" si="82"/>
        <v>12</v>
      </c>
      <c r="P178" s="56">
        <f t="shared" si="83"/>
        <v>0</v>
      </c>
      <c r="Q178" s="61">
        <f>IFERROR(IFERROR(INDEX('Infos Clientes'!$A$2:$V$9884,MATCH($C178,'Infos Clientes'!$B$2:$B$9884,0),MATCH(Q$8,'Infos Clientes'!$A$2:$V$2,0)),"")
+IF(OR(INDEX('Infos Clientes'!$A$2:$V$9884,MATCH($C178,'Infos Clientes'!$B$2:$B$9884,0),MATCH("Tempo de Fidelidade (meses)",'Infos Clientes'!$A$2:$V$2,0))=0,R178&gt;=MAX(R:R)),0,
ROUND((MAX(R:R)-R178)/(365/12),0)),"")</f>
        <v>0</v>
      </c>
      <c r="R178" s="111">
        <v>45689</v>
      </c>
      <c r="S178" s="112">
        <v>7.0000000000000001E-3</v>
      </c>
      <c r="T178" s="113">
        <f>IF($H178="GIROSSOL II",AP178/INDEX('Resumo Operacional'!$A$1:$P$1103,17,MATCH('Detalhe Por UC'!$R178,'Resumo Operacional'!$A$1:$P$1,0)),
IF($H178="GIROSSOL II e III",AP178/INDEX('Resumo Operacional'!$A$1:$P$1103,17,MATCH('Detalhe Por UC'!$R178,'Resumo Operacional'!$A$1:$P$1,0)),
""))</f>
        <v>1.997158193874329E-2</v>
      </c>
      <c r="U178" s="113" t="str">
        <f>IF($H178="GIROSSOL III",AP178/INDEX('Resumo Operacional'!$A$1:$P$1103,53,MATCH('Detalhe Por UC'!$R178,'Resumo Operacional'!$A$1:$P$1,0)),
IF($H178="GIROSSOL II e III",AP178/INDEX('Resumo Operacional'!$A$1:$P$1103,53,MATCH('Detalhe Por UC'!$R178,'Resumo Operacional'!$A$1:$P$1,0)),
""))</f>
        <v/>
      </c>
      <c r="V178" s="18"/>
      <c r="W178" s="54"/>
      <c r="X178" s="127">
        <v>1.1162237762237763</v>
      </c>
      <c r="Y178" s="127">
        <v>0</v>
      </c>
      <c r="Z178" s="127">
        <v>1.1161946902654867</v>
      </c>
      <c r="AA178" s="127">
        <v>0</v>
      </c>
      <c r="AB178" s="127">
        <v>143</v>
      </c>
      <c r="AC178" s="127">
        <v>0</v>
      </c>
      <c r="AD178" s="127">
        <v>113</v>
      </c>
      <c r="AE178" s="35"/>
      <c r="AF178" s="127">
        <v>480</v>
      </c>
      <c r="AG178" s="127">
        <v>0</v>
      </c>
      <c r="AH178" s="127">
        <v>0.72000000000000008</v>
      </c>
      <c r="AI178" s="127">
        <v>0</v>
      </c>
      <c r="AJ178" s="127">
        <v>0</v>
      </c>
      <c r="AK178" s="31"/>
      <c r="AL178"/>
      <c r="AM178"/>
      <c r="AN178" s="71">
        <f t="shared" si="84"/>
        <v>140</v>
      </c>
      <c r="AO178" s="71">
        <f t="shared" si="85"/>
        <v>0</v>
      </c>
      <c r="AP178" s="71">
        <f t="shared" si="86"/>
        <v>253</v>
      </c>
      <c r="AQ178" s="72">
        <f>IF(OR($H178="GIROSSOL II",$H178="GIROSSOL II e III"),INDEX('Resumo Operacional'!$A$1:$P$1103,MATCH("Energia Injetada prevista total Fatura da Usina (TUSD)",'Resumo Operacional'!$B$1:$B$1103,0),MATCH('Detalhe Por UC'!$R178,'Resumo Operacional'!$A$1:$P$1,0))*$S178,INDEX('Resumo Operacional'!$A$1:$P$1103,53,MATCH('Detalhe Por UC'!$R178,'Resumo Operacional'!$A$1:$P$1,0))*$S178)</f>
        <v>88.676000000000002</v>
      </c>
      <c r="AR178" s="71">
        <f t="shared" si="87"/>
        <v>164.32400000000001</v>
      </c>
      <c r="AS178" s="73">
        <f t="shared" si="88"/>
        <v>34.210000000000008</v>
      </c>
      <c r="AT178" s="74">
        <f t="shared" si="89"/>
        <v>34.210000000000008</v>
      </c>
      <c r="AU178" s="74">
        <f t="shared" si="90"/>
        <v>1.116165604307197</v>
      </c>
      <c r="AV178" s="74">
        <f t="shared" si="91"/>
        <v>94.597499999999997</v>
      </c>
      <c r="AW178" s="74">
        <f t="shared" si="92"/>
        <v>0</v>
      </c>
      <c r="AX178" s="74">
        <f t="shared" si="93"/>
        <v>126.13</v>
      </c>
      <c r="AY178" s="74">
        <f t="shared" si="94"/>
        <v>94.6</v>
      </c>
      <c r="AZ178" s="49">
        <v>94.6</v>
      </c>
      <c r="BA178" s="49">
        <v>94.6</v>
      </c>
      <c r="BB178" s="49">
        <v>94.6</v>
      </c>
      <c r="BC178" s="73" t="str">
        <f t="shared" si="95"/>
        <v/>
      </c>
      <c r="BD178" s="73">
        <f t="shared" si="96"/>
        <v>160.34</v>
      </c>
      <c r="BE178" s="73">
        <f t="shared" si="97"/>
        <v>128.8075</v>
      </c>
      <c r="BF178" s="77">
        <f t="shared" si="98"/>
        <v>31.53</v>
      </c>
      <c r="BG178" s="77">
        <f t="shared" si="99"/>
        <v>9.4589999999999996</v>
      </c>
      <c r="BH178" s="77">
        <f t="shared" si="100"/>
        <v>126.13</v>
      </c>
      <c r="BI178" s="78">
        <f t="shared" si="101"/>
        <v>0.25</v>
      </c>
      <c r="BJ178" s="79">
        <f t="shared" si="102"/>
        <v>0.19664463016090808</v>
      </c>
      <c r="BK178" s="80">
        <f t="shared" si="103"/>
        <v>128.81</v>
      </c>
      <c r="BL178" s="80">
        <f t="shared" si="104"/>
        <v>31.53</v>
      </c>
      <c r="BM178" s="79">
        <f t="shared" si="105"/>
        <v>0.19664463016090808</v>
      </c>
      <c r="BN178" s="81">
        <f t="shared" si="106"/>
        <v>0.8371681415929203</v>
      </c>
      <c r="BO178" s="82">
        <f t="shared" si="107"/>
        <v>94.6</v>
      </c>
      <c r="BP178" s="81">
        <f t="shared" si="108"/>
        <v>0.8371681415929203</v>
      </c>
      <c r="BQ178" s="81">
        <f t="shared" si="109"/>
        <v>0.83719722755120995</v>
      </c>
      <c r="BR178" s="81">
        <f t="shared" si="110"/>
        <v>1.1162237762237763</v>
      </c>
      <c r="BS178" s="82">
        <f t="shared" si="111"/>
        <v>113</v>
      </c>
      <c r="BT178" s="82">
        <f t="shared" si="112"/>
        <v>126.13328671328672</v>
      </c>
      <c r="BU178" s="82">
        <f t="shared" si="113"/>
        <v>126.13</v>
      </c>
      <c r="BV178"/>
      <c r="BW178" s="82">
        <f>IFERROR(INDEX('Infos Clientes'!$T:$T,MATCH('Detalhe Por UC'!$C178,'Infos Clientes'!B:B,0)),"")</f>
        <v>144</v>
      </c>
      <c r="BX178" s="83">
        <f t="shared" si="114"/>
        <v>0</v>
      </c>
      <c r="BY178" s="84">
        <f t="shared" si="115"/>
        <v>0.24997366533126794</v>
      </c>
      <c r="BZ178" s="85">
        <f>IF(_xlfn.MINIFS('Detalhe Por UC'!R:R,'Detalhe Por UC'!C:C,C178,'Detalhe Por UC'!AD:AD,"&gt;"&amp;0)=0,"",_xlfn.MINIFS('Detalhe Por UC'!R:R,'Detalhe Por UC'!C:C,C178,'Detalhe Por UC'!AD:AD,"&gt;"&amp;0))</f>
        <v>45627</v>
      </c>
      <c r="CA178" s="114">
        <f ca="1">IF(OR(S178&gt;0,AD178&gt;0),IFERROR(
SUMIFS(INDIRECT("'Infos Clientes'!$W"&amp;INDEX('Infos Clientes'!$C:$C,MATCH(C178,'Infos Clientes'!$H:$H,0))&amp;":$CZ"&amp;INDEX('Infos Clientes'!$C:$C,MATCH(C178,'Infos Clientes'!$H:$H,0))),'Infos Clientes'!$W$2:$CZ$2,"&gt;"&amp;$R178-365,'Infos Clientes'!$W$2:$CZ$2,"&lt;="&amp;$R178)/
COUNTIFS(INDIRECT("'Infos Clientes'!$W"&amp;INDEX('Infos Clientes'!$C:$C,MATCH(C178,'Infos Clientes'!$H:$H,0))&amp;":$CZ"&amp;INDEX('Infos Clientes'!$C:$C,MATCH(C178,'Infos Clientes'!$H:$H,0))),"&gt;="&amp;0,'Infos Clientes'!$W$2:$CZ$2,"&gt;"&amp;$R178-365,'Infos Clientes'!$W$2:$CZ$2,"&lt;="&amp;$R178),""),"")</f>
        <v>140.08333333333334</v>
      </c>
      <c r="CB178" s="87">
        <f>VLOOKUP(C178,'Infos Clientes'!B:L,11,0)</f>
        <v>0</v>
      </c>
      <c r="CC178" s="88" t="str">
        <f t="shared" si="116"/>
        <v>A Unidade Consumidora 10/384823-1 economizou R$31,53 na fatura referente à fev/2025  consumindo 113 kWh em créditos de energia renovável conforme fatura de energia. A economia foi de 25% em relação ao que seria pago para a Energisa considerando os créditos consumidos. Atenção: Mantenha as contas da Energisa em dia para evitar cortes.</v>
      </c>
      <c r="CD178" s="40" t="s">
        <v>105</v>
      </c>
      <c r="CF178" s="115">
        <f t="shared" si="117"/>
        <v>-34.210000000000008</v>
      </c>
    </row>
    <row r="179" spans="1:84" s="40" customFormat="1" ht="16.2" hidden="1" customHeight="1" x14ac:dyDescent="0.3">
      <c r="A179" s="105" t="str">
        <f>INDEX('Infos Clientes'!$D:$D,MATCH('Detalhe Por UC'!C179,'Infos Clientes'!B:B,0))</f>
        <v>IGREJA DO EVANGELHO QUADRANGULAR</v>
      </c>
      <c r="B179" s="106" t="str">
        <f>INDEX('Infos Clientes'!$F:$F,MATCH('Detalhe Por UC'!C179,'Infos Clientes'!B:B,0))</f>
        <v>62.955.505/0001-67</v>
      </c>
      <c r="C179" s="44" t="s">
        <v>106</v>
      </c>
      <c r="D179" t="s">
        <v>351</v>
      </c>
      <c r="E179" s="1" t="s">
        <v>352</v>
      </c>
      <c r="F179" s="56" t="str">
        <f>INDEX('Infos Clientes'!$I:$I,MATCH('Detalhe Por UC'!C179,'Infos Clientes'!B:B,0))</f>
        <v>BT</v>
      </c>
      <c r="G179" s="56" t="str">
        <f>INDEX('Infos Clientes'!$J:$J,MATCH('Detalhe Por UC'!C179,'Infos Clientes'!B:B,0))</f>
        <v>bifasico</v>
      </c>
      <c r="H179" s="108" t="s">
        <v>353</v>
      </c>
      <c r="I179" s="58">
        <f>IFERROR(VLOOKUP(C179,'Infos Clientes'!B:E,4,),"")</f>
        <v>302</v>
      </c>
      <c r="J179" s="109">
        <v>0.25</v>
      </c>
      <c r="K179" s="59">
        <f>INDEX('Infos Clientes'!$M:$M,MATCH('Detalhe Por UC'!C179,'Infos Clientes'!B:B,0))</f>
        <v>0.25</v>
      </c>
      <c r="L179" s="125">
        <v>0</v>
      </c>
      <c r="M179" s="56">
        <f>INDEX('Infos Clientes'!$N:$N,MATCH('Detalhe Por UC'!C179,'Infos Clientes'!B:B,0))</f>
        <v>0</v>
      </c>
      <c r="N179" s="56">
        <f t="shared" si="81"/>
        <v>0</v>
      </c>
      <c r="O179" s="56">
        <f t="shared" si="82"/>
        <v>11</v>
      </c>
      <c r="P179" s="56">
        <f t="shared" si="83"/>
        <v>0</v>
      </c>
      <c r="Q179" s="61">
        <f>IFERROR(IFERROR(INDEX('Infos Clientes'!$A$2:$V$9884,MATCH($C179,'Infos Clientes'!$B$2:$B$9884,0),MATCH(Q$8,'Infos Clientes'!$A$2:$V$2,0)),"")
+IF(OR(INDEX('Infos Clientes'!$A$2:$V$9884,MATCH($C179,'Infos Clientes'!$B$2:$B$9884,0),MATCH("Tempo de Fidelidade (meses)",'Infos Clientes'!$A$2:$V$2,0))=0,R179&gt;=MAX(R:R)),0,
ROUND((MAX(R:R)-R179)/(365/12),0)),"")</f>
        <v>0</v>
      </c>
      <c r="R179" s="111">
        <v>45689</v>
      </c>
      <c r="S179" s="112">
        <v>5.0000000000000001E-3</v>
      </c>
      <c r="T179" s="113">
        <f>IF($H179="GIROSSOL II",AP179/INDEX('Resumo Operacional'!$A$1:$P$1103,17,MATCH('Detalhe Por UC'!$R179,'Resumo Operacional'!$A$1:$P$1,0)),
IF($H179="GIROSSOL II e III",AP179/INDEX('Resumo Operacional'!$A$1:$P$1103,17,MATCH('Detalhe Por UC'!$R179,'Resumo Operacional'!$A$1:$P$1,0)),
""))</f>
        <v>1.5629933691190402E-2</v>
      </c>
      <c r="U179" s="113">
        <f>IF($H179="GIROSSOL III",AP179/INDEX('Resumo Operacional'!$A$1:$P$1103,53,MATCH('Detalhe Por UC'!$R179,'Resumo Operacional'!$A$1:$P$1,0)),
IF($H179="GIROSSOL II e III",AP179/INDEX('Resumo Operacional'!$A$1:$P$1103,53,MATCH('Detalhe Por UC'!$R179,'Resumo Operacional'!$A$1:$P$1,0)),
""))</f>
        <v>1.3687266694317711E-2</v>
      </c>
      <c r="V179" s="18"/>
      <c r="W179" s="54"/>
      <c r="X179" s="127">
        <v>1.1162396694214876</v>
      </c>
      <c r="Y179" s="127">
        <v>0</v>
      </c>
      <c r="Z179" s="127">
        <v>1.0658128078817735</v>
      </c>
      <c r="AA179" s="127">
        <v>0</v>
      </c>
      <c r="AB179" s="127">
        <v>242</v>
      </c>
      <c r="AC179" s="127">
        <v>0</v>
      </c>
      <c r="AD179" s="127">
        <v>203</v>
      </c>
      <c r="AE179" s="35"/>
      <c r="AF179" s="127">
        <v>457</v>
      </c>
      <c r="AG179" s="127">
        <v>0</v>
      </c>
      <c r="AH179" s="127">
        <v>1.8399999999999999</v>
      </c>
      <c r="AI179" s="127">
        <v>0</v>
      </c>
      <c r="AJ179" s="127">
        <v>0</v>
      </c>
      <c r="AK179" s="31"/>
      <c r="AL179"/>
      <c r="AM179"/>
      <c r="AN179" s="71">
        <f t="shared" si="84"/>
        <v>-5</v>
      </c>
      <c r="AO179" s="71">
        <f t="shared" si="85"/>
        <v>0</v>
      </c>
      <c r="AP179" s="71">
        <f t="shared" si="86"/>
        <v>198</v>
      </c>
      <c r="AQ179" s="72">
        <f>IF(OR($H179="GIROSSOL II",$H179="GIROSSOL II e III"),INDEX('Resumo Operacional'!$A$1:$P$1103,MATCH("Energia Injetada prevista total Fatura da Usina (TUSD)",'Resumo Operacional'!$B$1:$B$1103,0),MATCH('Detalhe Por UC'!$R179,'Resumo Operacional'!$A$1:$P$1,0))*$S179,INDEX('Resumo Operacional'!$A$1:$P$1103,53,MATCH('Detalhe Por UC'!$R179,'Resumo Operacional'!$A$1:$P$1,0))*$S179)</f>
        <v>63.34</v>
      </c>
      <c r="AR179" s="71">
        <f t="shared" si="87"/>
        <v>134.66</v>
      </c>
      <c r="AS179" s="73">
        <f t="shared" si="88"/>
        <v>55.609999999999985</v>
      </c>
      <c r="AT179" s="74">
        <f t="shared" si="89"/>
        <v>55.609999999999985</v>
      </c>
      <c r="AU179" s="74">
        <f t="shared" si="90"/>
        <v>1.0153859463420594</v>
      </c>
      <c r="AV179" s="74">
        <f t="shared" si="91"/>
        <v>162.27000000000001</v>
      </c>
      <c r="AW179" s="74">
        <f t="shared" si="92"/>
        <v>0</v>
      </c>
      <c r="AX179" s="74">
        <f t="shared" si="93"/>
        <v>216.36</v>
      </c>
      <c r="AY179" s="74">
        <f t="shared" si="94"/>
        <v>162.27000000000001</v>
      </c>
      <c r="AZ179" s="49">
        <v>162.27000000000001</v>
      </c>
      <c r="BA179" s="49">
        <v>162.27000000000001</v>
      </c>
      <c r="BB179" s="49">
        <v>162.27000000000001</v>
      </c>
      <c r="BC179" s="73" t="str">
        <f t="shared" si="95"/>
        <v/>
      </c>
      <c r="BD179" s="73">
        <f t="shared" si="96"/>
        <v>271.96999999999997</v>
      </c>
      <c r="BE179" s="73">
        <f t="shared" si="97"/>
        <v>217.88</v>
      </c>
      <c r="BF179" s="77">
        <f t="shared" si="98"/>
        <v>54.09</v>
      </c>
      <c r="BG179" s="77">
        <f t="shared" si="99"/>
        <v>16.227</v>
      </c>
      <c r="BH179" s="77">
        <f t="shared" si="100"/>
        <v>216.36</v>
      </c>
      <c r="BI179" s="78">
        <f t="shared" si="101"/>
        <v>0.25</v>
      </c>
      <c r="BJ179" s="79">
        <f t="shared" si="102"/>
        <v>0.19888222965768287</v>
      </c>
      <c r="BK179" s="80">
        <f t="shared" si="103"/>
        <v>217.88</v>
      </c>
      <c r="BL179" s="80">
        <f t="shared" si="104"/>
        <v>54.089999999999975</v>
      </c>
      <c r="BM179" s="79">
        <f t="shared" si="105"/>
        <v>0.19888222965768276</v>
      </c>
      <c r="BN179" s="81">
        <f t="shared" si="106"/>
        <v>0.79935960591133015</v>
      </c>
      <c r="BO179" s="82">
        <f t="shared" si="107"/>
        <v>162.27000000000001</v>
      </c>
      <c r="BP179" s="81">
        <f t="shared" si="108"/>
        <v>0.79935960591133015</v>
      </c>
      <c r="BQ179" s="81">
        <f t="shared" si="109"/>
        <v>0.84978646745104425</v>
      </c>
      <c r="BR179" s="81">
        <f t="shared" si="110"/>
        <v>1.1162396694214876</v>
      </c>
      <c r="BS179" s="82">
        <f t="shared" si="111"/>
        <v>203</v>
      </c>
      <c r="BT179" s="82">
        <f t="shared" si="112"/>
        <v>226.59665289256196</v>
      </c>
      <c r="BU179" s="82">
        <f t="shared" si="113"/>
        <v>216.36</v>
      </c>
      <c r="BV179"/>
      <c r="BW179" s="82">
        <f>IFERROR(INDEX('Infos Clientes'!$T:$T,MATCH('Detalhe Por UC'!$C179,'Infos Clientes'!B:B,0)),"")</f>
        <v>147.33333333333334</v>
      </c>
      <c r="BX179" s="83">
        <f t="shared" si="114"/>
        <v>0</v>
      </c>
      <c r="BY179" s="84">
        <f t="shared" si="115"/>
        <v>0.23870608550271086</v>
      </c>
      <c r="BZ179" s="85">
        <f>IF(_xlfn.MINIFS('Detalhe Por UC'!R:R,'Detalhe Por UC'!C:C,C179,'Detalhe Por UC'!AD:AD,"&gt;"&amp;0)=0,"",_xlfn.MINIFS('Detalhe Por UC'!R:R,'Detalhe Por UC'!C:C,C179,'Detalhe Por UC'!AD:AD,"&gt;"&amp;0))</f>
        <v>45627</v>
      </c>
      <c r="CA179" s="114">
        <f ca="1">IF(OR(S179&gt;0,AD179&gt;0),IFERROR(
SUMIFS(INDIRECT("'Infos Clientes'!$W"&amp;INDEX('Infos Clientes'!$C:$C,MATCH(C179,'Infos Clientes'!$H:$H,0))&amp;":$CZ"&amp;INDEX('Infos Clientes'!$C:$C,MATCH(C179,'Infos Clientes'!$H:$H,0))),'Infos Clientes'!$W$2:$CZ$2,"&gt;"&amp;$R179-365,'Infos Clientes'!$W$2:$CZ$2,"&lt;="&amp;$R179)/
COUNTIFS(INDIRECT("'Infos Clientes'!$W"&amp;INDEX('Infos Clientes'!$C:$C,MATCH(C179,'Infos Clientes'!$H:$H,0))&amp;":$CZ"&amp;INDEX('Infos Clientes'!$C:$C,MATCH(C179,'Infos Clientes'!$H:$H,0))),"&gt;="&amp;0,'Infos Clientes'!$W$2:$CZ$2,"&gt;"&amp;$R179-365,'Infos Clientes'!$W$2:$CZ$2,"&lt;="&amp;$R179),""),"")</f>
        <v>141.66666666666666</v>
      </c>
      <c r="CB179" s="87">
        <f>VLOOKUP(C179,'Infos Clientes'!B:L,11,0)</f>
        <v>0</v>
      </c>
      <c r="CC179" s="88" t="str">
        <f t="shared" si="116"/>
        <v>A Unidade Consumidora 10/452884-0 economizou R$54,09 na fatura referente à fev/2025  consumindo 203 kWh em créditos de energia renovável conforme fatura de energia. A economia foi de 25% em relação ao que seria pago para a Energisa considerando os créditos consumidos. Atenção: Mantenha as contas da Energisa em dia para evitar cortes.</v>
      </c>
      <c r="CD179" s="40" t="s">
        <v>107</v>
      </c>
      <c r="CF179" s="115">
        <f t="shared" si="117"/>
        <v>-55.609999999999985</v>
      </c>
    </row>
    <row r="180" spans="1:84" s="40" customFormat="1" ht="16.2" hidden="1" customHeight="1" x14ac:dyDescent="0.3">
      <c r="A180" s="105" t="str">
        <f>INDEX('Infos Clientes'!$D:$D,MATCH('Detalhe Por UC'!C180,'Infos Clientes'!B:B,0))</f>
        <v>IGREJA DO EVANGELHO QUADRANGULAR</v>
      </c>
      <c r="B180" s="106" t="str">
        <f>INDEX('Infos Clientes'!$F:$F,MATCH('Detalhe Por UC'!C180,'Infos Clientes'!B:B,0))</f>
        <v>62.955.505/2730-58</v>
      </c>
      <c r="C180" s="44" t="s">
        <v>108</v>
      </c>
      <c r="D180" t="s">
        <v>351</v>
      </c>
      <c r="E180" s="1" t="s">
        <v>352</v>
      </c>
      <c r="F180" s="56" t="str">
        <f>INDEX('Infos Clientes'!$I:$I,MATCH('Detalhe Por UC'!C180,'Infos Clientes'!B:B,0))</f>
        <v>BT</v>
      </c>
      <c r="G180" s="56" t="str">
        <f>INDEX('Infos Clientes'!$J:$J,MATCH('Detalhe Por UC'!C180,'Infos Clientes'!B:B,0))</f>
        <v>trifasico</v>
      </c>
      <c r="H180" s="108" t="s">
        <v>24</v>
      </c>
      <c r="I180" s="58">
        <f>IFERROR(VLOOKUP(C180,'Infos Clientes'!B:E,4,),"")</f>
        <v>306</v>
      </c>
      <c r="J180" s="109">
        <v>0.25</v>
      </c>
      <c r="K180" s="59">
        <f>INDEX('Infos Clientes'!$M:$M,MATCH('Detalhe Por UC'!C180,'Infos Clientes'!B:B,0))</f>
        <v>0.25</v>
      </c>
      <c r="L180" s="125">
        <v>0</v>
      </c>
      <c r="M180" s="56">
        <f>INDEX('Infos Clientes'!$N:$N,MATCH('Detalhe Por UC'!C180,'Infos Clientes'!B:B,0))</f>
        <v>0</v>
      </c>
      <c r="N180" s="56">
        <f t="shared" si="81"/>
        <v>0</v>
      </c>
      <c r="O180" s="56">
        <f t="shared" si="82"/>
        <v>12</v>
      </c>
      <c r="P180" s="56">
        <f t="shared" si="83"/>
        <v>0</v>
      </c>
      <c r="Q180" s="61">
        <f>IFERROR(IFERROR(INDEX('Infos Clientes'!$A$2:$V$9884,MATCH($C180,'Infos Clientes'!$B$2:$B$9884,0),MATCH(Q$8,'Infos Clientes'!$A$2:$V$2,0)),"")
+IF(OR(INDEX('Infos Clientes'!$A$2:$V$9884,MATCH($C180,'Infos Clientes'!$B$2:$B$9884,0),MATCH("Tempo de Fidelidade (meses)",'Infos Clientes'!$A$2:$V$2,0))=0,R180&gt;=MAX(R:R)),0,
ROUND((MAX(R:R)-R180)/(365/12),0)),"")</f>
        <v>0</v>
      </c>
      <c r="R180" s="111">
        <v>45689</v>
      </c>
      <c r="S180" s="112">
        <v>6.0000000000000001E-3</v>
      </c>
      <c r="T180" s="113">
        <f>IF($H180="GIROSSOL II",AP180/INDEX('Resumo Operacional'!$A$1:$P$1103,17,MATCH('Detalhe Por UC'!$R180,'Resumo Operacional'!$A$1:$P$1,0)),
IF($H180="GIROSSOL II e III",AP180/INDEX('Resumo Operacional'!$A$1:$P$1103,17,MATCH('Detalhe Por UC'!$R180,'Resumo Operacional'!$A$1:$P$1,0)),
""))</f>
        <v>1.8629617934954216E-2</v>
      </c>
      <c r="U180" s="113" t="str">
        <f>IF($H180="GIROSSOL III",AP180/INDEX('Resumo Operacional'!$A$1:$P$1103,53,MATCH('Detalhe Por UC'!$R180,'Resumo Operacional'!$A$1:$P$1,0)),
IF($H180="GIROSSOL II e III",AP180/INDEX('Resumo Operacional'!$A$1:$P$1103,53,MATCH('Detalhe Por UC'!$R180,'Resumo Operacional'!$A$1:$P$1,0)),
""))</f>
        <v/>
      </c>
      <c r="V180" s="18"/>
      <c r="W180" s="54"/>
      <c r="X180" s="127">
        <v>1.1162222222222222</v>
      </c>
      <c r="Y180" s="127">
        <v>0</v>
      </c>
      <c r="Z180" s="127">
        <v>1.11625</v>
      </c>
      <c r="AA180" s="127">
        <v>0</v>
      </c>
      <c r="AB180" s="127">
        <v>180</v>
      </c>
      <c r="AC180" s="127">
        <v>0</v>
      </c>
      <c r="AD180" s="127">
        <v>80</v>
      </c>
      <c r="AE180" s="35"/>
      <c r="AF180" s="127">
        <v>510</v>
      </c>
      <c r="AG180" s="127">
        <v>0</v>
      </c>
      <c r="AH180" s="127">
        <v>0</v>
      </c>
      <c r="AI180" s="127">
        <v>0</v>
      </c>
      <c r="AJ180" s="127">
        <v>0</v>
      </c>
      <c r="AK180" s="31"/>
      <c r="AL180"/>
      <c r="AM180"/>
      <c r="AN180" s="71">
        <f t="shared" si="84"/>
        <v>156</v>
      </c>
      <c r="AO180" s="71">
        <f t="shared" si="85"/>
        <v>0</v>
      </c>
      <c r="AP180" s="71">
        <f t="shared" si="86"/>
        <v>236</v>
      </c>
      <c r="AQ180" s="72">
        <f>IF(OR($H180="GIROSSOL II",$H180="GIROSSOL II e III"),INDEX('Resumo Operacional'!$A$1:$P$1103,MATCH("Energia Injetada prevista total Fatura da Usina (TUSD)",'Resumo Operacional'!$B$1:$B$1103,0),MATCH('Detalhe Por UC'!$R180,'Resumo Operacional'!$A$1:$P$1,0))*$S180,INDEX('Resumo Operacional'!$A$1:$P$1103,53,MATCH('Detalhe Por UC'!$R180,'Resumo Operacional'!$A$1:$P$1,0))*$S180)</f>
        <v>76.007999999999996</v>
      </c>
      <c r="AR180" s="71">
        <f t="shared" si="87"/>
        <v>159.99200000000002</v>
      </c>
      <c r="AS180" s="73">
        <f t="shared" si="88"/>
        <v>111.61999999999999</v>
      </c>
      <c r="AT180" s="74">
        <f t="shared" si="89"/>
        <v>111.61999999999999</v>
      </c>
      <c r="AU180" s="74">
        <f t="shared" si="90"/>
        <v>1.1162777777777777</v>
      </c>
      <c r="AV180" s="74">
        <f t="shared" si="91"/>
        <v>66.974999999999994</v>
      </c>
      <c r="AW180" s="74">
        <f t="shared" si="92"/>
        <v>0</v>
      </c>
      <c r="AX180" s="74">
        <f t="shared" si="93"/>
        <v>89.3</v>
      </c>
      <c r="AY180" s="74">
        <f t="shared" si="94"/>
        <v>66.98</v>
      </c>
      <c r="AZ180" s="49">
        <v>66.98</v>
      </c>
      <c r="BA180" s="49">
        <v>66.98</v>
      </c>
      <c r="BB180" s="49">
        <v>66.98</v>
      </c>
      <c r="BC180" s="73" t="str">
        <f t="shared" si="95"/>
        <v/>
      </c>
      <c r="BD180" s="73">
        <f t="shared" si="96"/>
        <v>200.92</v>
      </c>
      <c r="BE180" s="73">
        <f t="shared" si="97"/>
        <v>178.59499999999997</v>
      </c>
      <c r="BF180" s="77">
        <f t="shared" si="98"/>
        <v>22.33</v>
      </c>
      <c r="BG180" s="77">
        <f t="shared" si="99"/>
        <v>6.698999999999999</v>
      </c>
      <c r="BH180" s="77">
        <f t="shared" si="100"/>
        <v>89.3</v>
      </c>
      <c r="BI180" s="78">
        <f t="shared" si="101"/>
        <v>0.25</v>
      </c>
      <c r="BJ180" s="79">
        <f t="shared" si="102"/>
        <v>0.11113876169619749</v>
      </c>
      <c r="BK180" s="80">
        <f t="shared" si="103"/>
        <v>178.6</v>
      </c>
      <c r="BL180" s="80">
        <f t="shared" si="104"/>
        <v>22.319999999999993</v>
      </c>
      <c r="BM180" s="79">
        <f t="shared" si="105"/>
        <v>0.11108899064304198</v>
      </c>
      <c r="BN180" s="81">
        <f t="shared" si="106"/>
        <v>0.83725000000000005</v>
      </c>
      <c r="BO180" s="82">
        <f t="shared" si="107"/>
        <v>66.98</v>
      </c>
      <c r="BP180" s="81">
        <f t="shared" si="108"/>
        <v>0.83725000000000005</v>
      </c>
      <c r="BQ180" s="81">
        <f t="shared" si="109"/>
        <v>0.83722222222222231</v>
      </c>
      <c r="BR180" s="81">
        <f t="shared" si="110"/>
        <v>1.1162222222222222</v>
      </c>
      <c r="BS180" s="82">
        <f t="shared" si="111"/>
        <v>80</v>
      </c>
      <c r="BT180" s="82">
        <f t="shared" si="112"/>
        <v>89.297777777777782</v>
      </c>
      <c r="BU180" s="82">
        <f t="shared" si="113"/>
        <v>89.3</v>
      </c>
      <c r="BV180"/>
      <c r="BW180" s="82">
        <f>IFERROR(INDEX('Infos Clientes'!$T:$T,MATCH('Detalhe Por UC'!$C180,'Infos Clientes'!B:B,0)),"")</f>
        <v>187.5</v>
      </c>
      <c r="BX180" s="83">
        <f t="shared" si="114"/>
        <v>0</v>
      </c>
      <c r="BY180" s="84">
        <f t="shared" si="115"/>
        <v>0.24995022894684443</v>
      </c>
      <c r="BZ180" s="85">
        <f>IF(_xlfn.MINIFS('Detalhe Por UC'!R:R,'Detalhe Por UC'!C:C,C180,'Detalhe Por UC'!AD:AD,"&gt;"&amp;0)=0,"",_xlfn.MINIFS('Detalhe Por UC'!R:R,'Detalhe Por UC'!C:C,C180,'Detalhe Por UC'!AD:AD,"&gt;"&amp;0))</f>
        <v>45627</v>
      </c>
      <c r="CA180" s="114">
        <f ca="1">IF(OR(S180&gt;0,AD180&gt;0),IFERROR(
SUMIFS(INDIRECT("'Infos Clientes'!$W"&amp;INDEX('Infos Clientes'!$C:$C,MATCH(C180,'Infos Clientes'!$H:$H,0))&amp;":$CZ"&amp;INDEX('Infos Clientes'!$C:$C,MATCH(C180,'Infos Clientes'!$H:$H,0))),'Infos Clientes'!$W$2:$CZ$2,"&gt;"&amp;$R180-365,'Infos Clientes'!$W$2:$CZ$2,"&lt;="&amp;$R180)/
COUNTIFS(INDIRECT("'Infos Clientes'!$W"&amp;INDEX('Infos Clientes'!$C:$C,MATCH(C180,'Infos Clientes'!$H:$H,0))&amp;":$CZ"&amp;INDEX('Infos Clientes'!$C:$C,MATCH(C180,'Infos Clientes'!$H:$H,0))),"&gt;="&amp;0,'Infos Clientes'!$W$2:$CZ$2,"&gt;"&amp;$R180-365,'Infos Clientes'!$W$2:$CZ$2,"&lt;="&amp;$R180),""),"")</f>
        <v>177.5</v>
      </c>
      <c r="CB180" s="87">
        <f>VLOOKUP(C180,'Infos Clientes'!B:L,11,0)</f>
        <v>0</v>
      </c>
      <c r="CC180" s="88" t="str">
        <f t="shared" si="116"/>
        <v>A Unidade Consumidora 10/501586-2 economizou R$22,33 na fatura referente à fev/2025  consumindo 80 kWh em créditos de energia renovável conforme fatura de energia. A economia foi de 25% em relação ao que seria pago para a Energisa considerando os créditos consumidos. Atenção: Mantenha as contas da Energisa em dia para evitar cortes.</v>
      </c>
      <c r="CD180" s="40" t="s">
        <v>110</v>
      </c>
      <c r="CF180" s="115">
        <f t="shared" si="117"/>
        <v>-111.61999999999999</v>
      </c>
    </row>
    <row r="181" spans="1:84" s="40" customFormat="1" ht="16.2" hidden="1" customHeight="1" x14ac:dyDescent="0.3">
      <c r="A181" s="105" t="str">
        <f>INDEX('Infos Clientes'!$D:$D,MATCH('Detalhe Por UC'!C181,'Infos Clientes'!B:B,0))</f>
        <v>IGREJA DO EVANGELHO QUADRANGULAR</v>
      </c>
      <c r="B181" s="106" t="str">
        <f>INDEX('Infos Clientes'!$F:$F,MATCH('Detalhe Por UC'!C181,'Infos Clientes'!B:B,0))</f>
        <v>62.955.505/3671-17</v>
      </c>
      <c r="C181" s="44" t="s">
        <v>111</v>
      </c>
      <c r="D181" t="s">
        <v>351</v>
      </c>
      <c r="E181" s="1" t="s">
        <v>352</v>
      </c>
      <c r="F181" s="56" t="str">
        <f>INDEX('Infos Clientes'!$I:$I,MATCH('Detalhe Por UC'!C181,'Infos Clientes'!B:B,0))</f>
        <v>BT</v>
      </c>
      <c r="G181" s="56" t="str">
        <f>INDEX('Infos Clientes'!$J:$J,MATCH('Detalhe Por UC'!C181,'Infos Clientes'!B:B,0))</f>
        <v>trifasico</v>
      </c>
      <c r="H181" s="108" t="s">
        <v>353</v>
      </c>
      <c r="I181" s="58">
        <f>IFERROR(VLOOKUP(C181,'Infos Clientes'!B:E,4,),"")</f>
        <v>358</v>
      </c>
      <c r="J181" s="109">
        <v>0.25</v>
      </c>
      <c r="K181" s="59">
        <f>INDEX('Infos Clientes'!$M:$M,MATCH('Detalhe Por UC'!C181,'Infos Clientes'!B:B,0))</f>
        <v>0.25</v>
      </c>
      <c r="L181" s="125">
        <v>0</v>
      </c>
      <c r="M181" s="56">
        <f>INDEX('Infos Clientes'!$N:$N,MATCH('Detalhe Por UC'!C181,'Infos Clientes'!B:B,0))</f>
        <v>0</v>
      </c>
      <c r="N181" s="56">
        <f t="shared" si="81"/>
        <v>0</v>
      </c>
      <c r="O181" s="56">
        <f t="shared" si="82"/>
        <v>12</v>
      </c>
      <c r="P181" s="56">
        <f t="shared" si="83"/>
        <v>0</v>
      </c>
      <c r="Q181" s="61">
        <f>IFERROR(IFERROR(INDEX('Infos Clientes'!$A$2:$V$9884,MATCH($C181,'Infos Clientes'!$B$2:$B$9884,0),MATCH(Q$8,'Infos Clientes'!$A$2:$V$2,0)),"")
+IF(OR(INDEX('Infos Clientes'!$A$2:$V$9884,MATCH($C181,'Infos Clientes'!$B$2:$B$9884,0),MATCH("Tempo de Fidelidade (meses)",'Infos Clientes'!$A$2:$V$2,0))=0,R181&gt;=MAX(R:R)),0,
ROUND((MAX(R:R)-R181)/(365/12),0)),"")</f>
        <v>0</v>
      </c>
      <c r="R181" s="111">
        <v>45689</v>
      </c>
      <c r="S181" s="112">
        <v>0.02</v>
      </c>
      <c r="T181" s="113">
        <f>IF($H181="GIROSSOL II",AP181/INDEX('Resumo Operacional'!$A$1:$P$1103,17,MATCH('Detalhe Por UC'!$R181,'Resumo Operacional'!$A$1:$P$1,0)),
IF($H181="GIROSSOL II e III",AP181/INDEX('Resumo Operacional'!$A$1:$P$1103,17,MATCH('Detalhe Por UC'!$R181,'Resumo Operacional'!$A$1:$P$1,0)),
""))</f>
        <v>4.7837069782128198E-2</v>
      </c>
      <c r="U181" s="113">
        <f>IF($H181="GIROSSOL III",AP181/INDEX('Resumo Operacional'!$A$1:$P$1103,53,MATCH('Detalhe Por UC'!$R181,'Resumo Operacional'!$A$1:$P$1,0)),
IF($H181="GIROSSOL II e III",AP181/INDEX('Resumo Operacional'!$A$1:$P$1103,53,MATCH('Detalhe Por UC'!$R181,'Resumo Operacional'!$A$1:$P$1,0)),
""))</f>
        <v>4.1891331397760266E-2</v>
      </c>
      <c r="V181" s="18"/>
      <c r="W181" s="54"/>
      <c r="X181" s="127">
        <v>1.1162571428571428</v>
      </c>
      <c r="Y181" s="127">
        <v>0</v>
      </c>
      <c r="Z181" s="127">
        <v>1.0390594059405942</v>
      </c>
      <c r="AA181" s="127">
        <v>0</v>
      </c>
      <c r="AB181" s="127">
        <v>700</v>
      </c>
      <c r="AC181" s="127">
        <v>0</v>
      </c>
      <c r="AD181" s="127">
        <v>606</v>
      </c>
      <c r="AE181" s="35"/>
      <c r="AF181" s="127">
        <v>0</v>
      </c>
      <c r="AG181" s="127">
        <v>0</v>
      </c>
      <c r="AH181" s="127">
        <v>108.48999999999998</v>
      </c>
      <c r="AI181" s="127">
        <v>0</v>
      </c>
      <c r="AJ181" s="127">
        <v>0</v>
      </c>
      <c r="AK181" s="31"/>
      <c r="AL181"/>
      <c r="AM181"/>
      <c r="AN181" s="71">
        <f t="shared" si="84"/>
        <v>0</v>
      </c>
      <c r="AO181" s="71">
        <f t="shared" si="85"/>
        <v>0</v>
      </c>
      <c r="AP181" s="71">
        <f t="shared" si="86"/>
        <v>606</v>
      </c>
      <c r="AQ181" s="72">
        <f>IF(OR($H181="GIROSSOL II",$H181="GIROSSOL II e III"),INDEX('Resumo Operacional'!$A$1:$P$1103,MATCH("Energia Injetada prevista total Fatura da Usina (TUSD)",'Resumo Operacional'!$B$1:$B$1103,0),MATCH('Detalhe Por UC'!$R181,'Resumo Operacional'!$A$1:$P$1,0))*$S181,INDEX('Resumo Operacional'!$A$1:$P$1103,53,MATCH('Detalhe Por UC'!$R181,'Resumo Operacional'!$A$1:$P$1,0))*$S181)</f>
        <v>253.36</v>
      </c>
      <c r="AR181" s="71">
        <f t="shared" si="87"/>
        <v>352.64</v>
      </c>
      <c r="AS181" s="73">
        <f t="shared" si="88"/>
        <v>260.19999999999993</v>
      </c>
      <c r="AT181" s="74">
        <f t="shared" si="89"/>
        <v>260.19999999999993</v>
      </c>
      <c r="AU181" s="74">
        <f t="shared" si="90"/>
        <v>0.96186166902404557</v>
      </c>
      <c r="AV181" s="74">
        <f t="shared" si="91"/>
        <v>472.25250000000011</v>
      </c>
      <c r="AW181" s="74">
        <f t="shared" si="92"/>
        <v>0</v>
      </c>
      <c r="AX181" s="74">
        <f t="shared" si="93"/>
        <v>629.67000000000007</v>
      </c>
      <c r="AY181" s="74">
        <f t="shared" si="94"/>
        <v>472.25</v>
      </c>
      <c r="AZ181" s="49">
        <v>472.25</v>
      </c>
      <c r="BA181" s="49">
        <v>472.25</v>
      </c>
      <c r="BB181" s="49">
        <v>472.25</v>
      </c>
      <c r="BC181" s="73" t="str">
        <f t="shared" si="95"/>
        <v/>
      </c>
      <c r="BD181" s="73">
        <f t="shared" si="96"/>
        <v>889.87</v>
      </c>
      <c r="BE181" s="73">
        <f t="shared" si="97"/>
        <v>732.4525000000001</v>
      </c>
      <c r="BF181" s="77">
        <f t="shared" si="98"/>
        <v>157.41999999999999</v>
      </c>
      <c r="BG181" s="77">
        <f t="shared" si="99"/>
        <v>47.225999999999992</v>
      </c>
      <c r="BH181" s="77">
        <f t="shared" si="100"/>
        <v>629.67000000000007</v>
      </c>
      <c r="BI181" s="78">
        <f t="shared" si="101"/>
        <v>0.25</v>
      </c>
      <c r="BJ181" s="79">
        <f t="shared" si="102"/>
        <v>0.17690224414802161</v>
      </c>
      <c r="BK181" s="80">
        <f t="shared" si="103"/>
        <v>732.44999999999993</v>
      </c>
      <c r="BL181" s="80">
        <f t="shared" si="104"/>
        <v>157.42000000000007</v>
      </c>
      <c r="BM181" s="79">
        <f t="shared" si="105"/>
        <v>0.17690224414802169</v>
      </c>
      <c r="BN181" s="81">
        <f t="shared" si="106"/>
        <v>0.77929042904290424</v>
      </c>
      <c r="BO181" s="82">
        <f t="shared" si="107"/>
        <v>472.24999999999994</v>
      </c>
      <c r="BP181" s="81">
        <f t="shared" si="108"/>
        <v>0.77929042904290424</v>
      </c>
      <c r="BQ181" s="81">
        <f t="shared" si="109"/>
        <v>0.85648816595945287</v>
      </c>
      <c r="BR181" s="81">
        <f t="shared" si="110"/>
        <v>1.1162571428571428</v>
      </c>
      <c r="BS181" s="82">
        <f t="shared" si="111"/>
        <v>606</v>
      </c>
      <c r="BT181" s="82">
        <f t="shared" si="112"/>
        <v>676.45182857142856</v>
      </c>
      <c r="BU181" s="82">
        <f t="shared" si="113"/>
        <v>629.67000000000007</v>
      </c>
      <c r="BV181"/>
      <c r="BW181" s="82">
        <f>IFERROR(INDEX('Infos Clientes'!$T:$T,MATCH('Detalhe Por UC'!$C181,'Infos Clientes'!B:B,0)),"")</f>
        <v>586</v>
      </c>
      <c r="BX181" s="83">
        <f t="shared" si="114"/>
        <v>0</v>
      </c>
      <c r="BY181" s="84">
        <f t="shared" si="115"/>
        <v>0.23271427964419741</v>
      </c>
      <c r="BZ181" s="85">
        <f>IF(_xlfn.MINIFS('Detalhe Por UC'!R:R,'Detalhe Por UC'!C:C,C181,'Detalhe Por UC'!AD:AD,"&gt;"&amp;0)=0,"",_xlfn.MINIFS('Detalhe Por UC'!R:R,'Detalhe Por UC'!C:C,C181,'Detalhe Por UC'!AD:AD,"&gt;"&amp;0))</f>
        <v>45627</v>
      </c>
      <c r="CA181" s="114">
        <f ca="1">IF(OR(S181&gt;0,AD181&gt;0),IFERROR(
SUMIFS(INDIRECT("'Infos Clientes'!$W"&amp;INDEX('Infos Clientes'!$C:$C,MATCH(C181,'Infos Clientes'!$H:$H,0))&amp;":$CZ"&amp;INDEX('Infos Clientes'!$C:$C,MATCH(C181,'Infos Clientes'!$H:$H,0))),'Infos Clientes'!$W$2:$CZ$2,"&gt;"&amp;$R181-365,'Infos Clientes'!$W$2:$CZ$2,"&lt;="&amp;$R181)/
COUNTIFS(INDIRECT("'Infos Clientes'!$W"&amp;INDEX('Infos Clientes'!$C:$C,MATCH(C181,'Infos Clientes'!$H:$H,0))&amp;":$CZ"&amp;INDEX('Infos Clientes'!$C:$C,MATCH(C181,'Infos Clientes'!$H:$H,0))),"&gt;="&amp;0,'Infos Clientes'!$W$2:$CZ$2,"&gt;"&amp;$R181-365,'Infos Clientes'!$W$2:$CZ$2,"&lt;="&amp;$R181),""),"")</f>
        <v>587.66666666666663</v>
      </c>
      <c r="CB181" s="87">
        <f>VLOOKUP(C181,'Infos Clientes'!B:L,11,0)</f>
        <v>0</v>
      </c>
      <c r="CC181" s="88" t="str">
        <f t="shared" si="116"/>
        <v>A Unidade Consumidora 10/510330-4 economizou R$157,42 na fatura referente à fev/2025  consumindo 606 kWh em créditos de energia renovável conforme fatura de energia. A economia foi de 25% em relação ao que seria pago para a Energisa considerando os créditos consumidos. Atenção: Mantenha as contas da Energisa em dia para evitar cortes.</v>
      </c>
      <c r="CD181" s="40" t="s">
        <v>113</v>
      </c>
      <c r="CF181" s="115">
        <f t="shared" si="117"/>
        <v>-260.19999999999993</v>
      </c>
    </row>
    <row r="182" spans="1:84" s="40" customFormat="1" ht="16.2" hidden="1" customHeight="1" x14ac:dyDescent="0.3">
      <c r="A182" s="105" t="str">
        <f>INDEX('Infos Clientes'!$D:$D,MATCH('Detalhe Por UC'!C182,'Infos Clientes'!B:B,0))</f>
        <v>IGREJA DO EVANGELHO QUADRANGULAR</v>
      </c>
      <c r="B182" s="106" t="str">
        <f>INDEX('Infos Clientes'!$F:$F,MATCH('Detalhe Por UC'!C182,'Infos Clientes'!B:B,0))</f>
        <v>62.955.505/0160-80</v>
      </c>
      <c r="C182" s="44" t="s">
        <v>114</v>
      </c>
      <c r="D182" t="s">
        <v>351</v>
      </c>
      <c r="E182" s="1" t="s">
        <v>352</v>
      </c>
      <c r="F182" s="56" t="str">
        <f>INDEX('Infos Clientes'!$I:$I,MATCH('Detalhe Por UC'!C182,'Infos Clientes'!B:B,0))</f>
        <v>BT</v>
      </c>
      <c r="G182" s="56" t="str">
        <f>INDEX('Infos Clientes'!$J:$J,MATCH('Detalhe Por UC'!C182,'Infos Clientes'!B:B,0))</f>
        <v>bifasico</v>
      </c>
      <c r="H182" s="108" t="s">
        <v>353</v>
      </c>
      <c r="I182" s="58">
        <f>IFERROR(VLOOKUP(C182,'Infos Clientes'!B:E,4,),"")</f>
        <v>357</v>
      </c>
      <c r="J182" s="109">
        <v>0.25</v>
      </c>
      <c r="K182" s="59">
        <f>INDEX('Infos Clientes'!$M:$M,MATCH('Detalhe Por UC'!C182,'Infos Clientes'!B:B,0))</f>
        <v>0.25</v>
      </c>
      <c r="L182" s="125">
        <v>0</v>
      </c>
      <c r="M182" s="56">
        <f>INDEX('Infos Clientes'!$N:$N,MATCH('Detalhe Por UC'!C182,'Infos Clientes'!B:B,0))</f>
        <v>0</v>
      </c>
      <c r="N182" s="56">
        <f t="shared" si="81"/>
        <v>0</v>
      </c>
      <c r="O182" s="56">
        <f t="shared" si="82"/>
        <v>12</v>
      </c>
      <c r="P182" s="56">
        <f t="shared" si="83"/>
        <v>0</v>
      </c>
      <c r="Q182" s="61">
        <f>IFERROR(IFERROR(INDEX('Infos Clientes'!$A$2:$V$9884,MATCH($C182,'Infos Clientes'!$B$2:$B$9884,0),MATCH(Q$8,'Infos Clientes'!$A$2:$V$2,0)),"")
+IF(OR(INDEX('Infos Clientes'!$A$2:$V$9884,MATCH($C182,'Infos Clientes'!$B$2:$B$9884,0),MATCH("Tempo de Fidelidade (meses)",'Infos Clientes'!$A$2:$V$2,0))=0,R182&gt;=MAX(R:R)),0,
ROUND((MAX(R:R)-R182)/(365/12),0)),"")</f>
        <v>0</v>
      </c>
      <c r="R182" s="111">
        <v>45689</v>
      </c>
      <c r="S182" s="112">
        <v>0.02</v>
      </c>
      <c r="T182" s="113">
        <f>IF($H182="GIROSSOL II",AP182/INDEX('Resumo Operacional'!$A$1:$P$1103,17,MATCH('Detalhe Por UC'!$R182,'Resumo Operacional'!$A$1:$P$1,0)),
IF($H182="GIROSSOL II e III",AP182/INDEX('Resumo Operacional'!$A$1:$P$1103,17,MATCH('Detalhe Por UC'!$R182,'Resumo Operacional'!$A$1:$P$1,0)),
""))</f>
        <v>3.6864540574676349E-2</v>
      </c>
      <c r="U182" s="113">
        <f>IF($H182="GIROSSOL III",AP182/INDEX('Resumo Operacional'!$A$1:$P$1103,53,MATCH('Detalhe Por UC'!$R182,'Resumo Operacional'!$A$1:$P$1,0)),
IF($H182="GIROSSOL II e III",AP182/INDEX('Resumo Operacional'!$A$1:$P$1103,53,MATCH('Detalhe Por UC'!$R182,'Resumo Operacional'!$A$1:$P$1,0)),
""))</f>
        <v>3.2282593667910961E-2</v>
      </c>
      <c r="V182" s="18"/>
      <c r="W182" s="54"/>
      <c r="X182" s="127">
        <v>1.1162616822429907</v>
      </c>
      <c r="Y182" s="127">
        <v>0</v>
      </c>
      <c r="Z182" s="127">
        <v>1.0785159010600707</v>
      </c>
      <c r="AA182" s="127">
        <v>0</v>
      </c>
      <c r="AB182" s="127">
        <v>321</v>
      </c>
      <c r="AC182" s="127">
        <v>0</v>
      </c>
      <c r="AD182" s="127">
        <v>283</v>
      </c>
      <c r="AE182" s="35"/>
      <c r="AF182" s="127">
        <v>361</v>
      </c>
      <c r="AG182" s="127">
        <v>0</v>
      </c>
      <c r="AH182" s="127">
        <v>61.290000000000006</v>
      </c>
      <c r="AI182" s="127">
        <v>0</v>
      </c>
      <c r="AJ182" s="127">
        <v>0</v>
      </c>
      <c r="AK182" s="31"/>
      <c r="AL182"/>
      <c r="AM182"/>
      <c r="AN182" s="71">
        <f t="shared" si="84"/>
        <v>184</v>
      </c>
      <c r="AO182" s="71">
        <f t="shared" si="85"/>
        <v>0</v>
      </c>
      <c r="AP182" s="71">
        <f t="shared" si="86"/>
        <v>467</v>
      </c>
      <c r="AQ182" s="72">
        <f>IF(OR($H182="GIROSSOL II",$H182="GIROSSOL II e III"),INDEX('Resumo Operacional'!$A$1:$P$1103,MATCH("Energia Injetada prevista total Fatura da Usina (TUSD)",'Resumo Operacional'!$B$1:$B$1103,0),MATCH('Detalhe Por UC'!$R182,'Resumo Operacional'!$A$1:$P$1,0))*$S182,INDEX('Resumo Operacional'!$A$1:$P$1103,53,MATCH('Detalhe Por UC'!$R182,'Resumo Operacional'!$A$1:$P$1,0))*$S182)</f>
        <v>253.36</v>
      </c>
      <c r="AR182" s="71">
        <f t="shared" si="87"/>
        <v>213.64</v>
      </c>
      <c r="AS182" s="73">
        <f t="shared" si="88"/>
        <v>114.38999999999997</v>
      </c>
      <c r="AT182" s="74">
        <f t="shared" si="89"/>
        <v>114.38999999999997</v>
      </c>
      <c r="AU182" s="74">
        <f t="shared" si="90"/>
        <v>1.0407701198771506</v>
      </c>
      <c r="AV182" s="74">
        <f t="shared" si="91"/>
        <v>228.91500000000002</v>
      </c>
      <c r="AW182" s="74">
        <f t="shared" si="92"/>
        <v>0</v>
      </c>
      <c r="AX182" s="74">
        <f t="shared" si="93"/>
        <v>305.22000000000003</v>
      </c>
      <c r="AY182" s="74">
        <f t="shared" si="94"/>
        <v>228.92</v>
      </c>
      <c r="AZ182" s="49">
        <v>228.92</v>
      </c>
      <c r="BA182" s="49">
        <v>228.92</v>
      </c>
      <c r="BB182" s="49">
        <v>228.92</v>
      </c>
      <c r="BC182" s="73" t="str">
        <f t="shared" si="95"/>
        <v/>
      </c>
      <c r="BD182" s="73">
        <f t="shared" si="96"/>
        <v>419.61</v>
      </c>
      <c r="BE182" s="73">
        <f t="shared" si="97"/>
        <v>343.30500000000001</v>
      </c>
      <c r="BF182" s="77">
        <f t="shared" si="98"/>
        <v>76.31</v>
      </c>
      <c r="BG182" s="77">
        <f t="shared" si="99"/>
        <v>22.893000000000001</v>
      </c>
      <c r="BH182" s="77">
        <f t="shared" si="100"/>
        <v>305.22000000000003</v>
      </c>
      <c r="BI182" s="78">
        <f t="shared" si="101"/>
        <v>0.25</v>
      </c>
      <c r="BJ182" s="79">
        <f t="shared" si="102"/>
        <v>0.18185934558280309</v>
      </c>
      <c r="BK182" s="80">
        <f t="shared" si="103"/>
        <v>343.30999999999995</v>
      </c>
      <c r="BL182" s="80">
        <f t="shared" si="104"/>
        <v>76.300000000000068</v>
      </c>
      <c r="BM182" s="79">
        <f t="shared" si="105"/>
        <v>0.18183551392960146</v>
      </c>
      <c r="BN182" s="81">
        <f t="shared" si="106"/>
        <v>0.8089045936395759</v>
      </c>
      <c r="BO182" s="82">
        <f t="shared" si="107"/>
        <v>228.92</v>
      </c>
      <c r="BP182" s="81">
        <f t="shared" si="108"/>
        <v>0.8089045936395759</v>
      </c>
      <c r="BQ182" s="81">
        <f t="shared" si="109"/>
        <v>0.84665037482249594</v>
      </c>
      <c r="BR182" s="81">
        <f t="shared" si="110"/>
        <v>1.1162616822429907</v>
      </c>
      <c r="BS182" s="82">
        <f t="shared" si="111"/>
        <v>283</v>
      </c>
      <c r="BT182" s="82">
        <f t="shared" si="112"/>
        <v>315.90205607476639</v>
      </c>
      <c r="BU182" s="82">
        <f t="shared" si="113"/>
        <v>305.22000000000003</v>
      </c>
      <c r="BV182"/>
      <c r="BW182" s="82">
        <f>IFERROR(INDEX('Infos Clientes'!$T:$T,MATCH('Detalhe Por UC'!$C182,'Infos Clientes'!B:B,0)),"")</f>
        <v>215.58333333333334</v>
      </c>
      <c r="BX182" s="83">
        <f t="shared" si="114"/>
        <v>0</v>
      </c>
      <c r="BY182" s="84">
        <f t="shared" si="115"/>
        <v>0.24153055838909024</v>
      </c>
      <c r="BZ182" s="85">
        <f>IF(_xlfn.MINIFS('Detalhe Por UC'!R:R,'Detalhe Por UC'!C:C,C182,'Detalhe Por UC'!AD:AD,"&gt;"&amp;0)=0,"",_xlfn.MINIFS('Detalhe Por UC'!R:R,'Detalhe Por UC'!C:C,C182,'Detalhe Por UC'!AD:AD,"&gt;"&amp;0))</f>
        <v>45627</v>
      </c>
      <c r="CA182" s="114">
        <f ca="1">IF(OR(S182&gt;0,AD182&gt;0),IFERROR(
SUMIFS(INDIRECT("'Infos Clientes'!$W"&amp;INDEX('Infos Clientes'!$C:$C,MATCH(C182,'Infos Clientes'!$H:$H,0))&amp;":$CZ"&amp;INDEX('Infos Clientes'!$C:$C,MATCH(C182,'Infos Clientes'!$H:$H,0))),'Infos Clientes'!$W$2:$CZ$2,"&gt;"&amp;$R182-365,'Infos Clientes'!$W$2:$CZ$2,"&lt;="&amp;$R182)/
COUNTIFS(INDIRECT("'Infos Clientes'!$W"&amp;INDEX('Infos Clientes'!$C:$C,MATCH(C182,'Infos Clientes'!$H:$H,0))&amp;":$CZ"&amp;INDEX('Infos Clientes'!$C:$C,MATCH(C182,'Infos Clientes'!$H:$H,0))),"&gt;="&amp;0,'Infos Clientes'!$W$2:$CZ$2,"&gt;"&amp;$R182-365,'Infos Clientes'!$W$2:$CZ$2,"&lt;="&amp;$R182),""),"")</f>
        <v>221.83333333333334</v>
      </c>
      <c r="CB182" s="87">
        <f>VLOOKUP(C182,'Infos Clientes'!B:L,11,0)</f>
        <v>0</v>
      </c>
      <c r="CC182" s="88" t="str">
        <f t="shared" si="116"/>
        <v>A Unidade Consumidora 10/511753-6 economizou R$76,31 na fatura referente à fev/2025  consumindo 283 kWh em créditos de energia renovável conforme fatura de energia. A economia foi de 25% em relação ao que seria pago para a Energisa considerando os créditos consumidos. Atenção: Mantenha as contas da Energisa em dia para evitar cortes.</v>
      </c>
      <c r="CD182" s="40" t="s">
        <v>115</v>
      </c>
      <c r="CF182" s="115">
        <f t="shared" si="117"/>
        <v>-114.38999999999997</v>
      </c>
    </row>
    <row r="183" spans="1:84" s="40" customFormat="1" ht="16.2" hidden="1" customHeight="1" x14ac:dyDescent="0.3">
      <c r="A183" s="105" t="str">
        <f>INDEX('Infos Clientes'!$D:$D,MATCH('Detalhe Por UC'!C183,'Infos Clientes'!B:B,0))</f>
        <v>IGREJA DO EVANGELHO QUADRANGULAR</v>
      </c>
      <c r="B183" s="106" t="str">
        <f>INDEX('Infos Clientes'!$F:$F,MATCH('Detalhe Por UC'!C183,'Infos Clientes'!B:B,0))</f>
        <v>62.955.505/3216-30</v>
      </c>
      <c r="C183" s="44" t="s">
        <v>116</v>
      </c>
      <c r="D183" t="s">
        <v>351</v>
      </c>
      <c r="E183" s="1" t="s">
        <v>352</v>
      </c>
      <c r="F183" s="56" t="str">
        <f>INDEX('Infos Clientes'!$I:$I,MATCH('Detalhe Por UC'!C183,'Infos Clientes'!B:B,0))</f>
        <v>BT</v>
      </c>
      <c r="G183" s="56" t="str">
        <f>INDEX('Infos Clientes'!$J:$J,MATCH('Detalhe Por UC'!C183,'Infos Clientes'!B:B,0))</f>
        <v>trifasico</v>
      </c>
      <c r="H183" s="108" t="s">
        <v>24</v>
      </c>
      <c r="I183" s="58">
        <f>IFERROR(VLOOKUP(C183,'Infos Clientes'!B:E,4,),"")</f>
        <v>371</v>
      </c>
      <c r="J183" s="109">
        <v>0.25</v>
      </c>
      <c r="K183" s="59">
        <f>INDEX('Infos Clientes'!$M:$M,MATCH('Detalhe Por UC'!C183,'Infos Clientes'!B:B,0))</f>
        <v>0.25</v>
      </c>
      <c r="L183" s="125">
        <v>0</v>
      </c>
      <c r="M183" s="56">
        <f>INDEX('Infos Clientes'!$N:$N,MATCH('Detalhe Por UC'!C183,'Infos Clientes'!B:B,0))</f>
        <v>0</v>
      </c>
      <c r="N183" s="56">
        <f t="shared" si="81"/>
        <v>0</v>
      </c>
      <c r="O183" s="56">
        <f t="shared" si="82"/>
        <v>9</v>
      </c>
      <c r="P183" s="56">
        <f t="shared" si="83"/>
        <v>0</v>
      </c>
      <c r="Q183" s="61">
        <f>IFERROR(IFERROR(INDEX('Infos Clientes'!$A$2:$V$9884,MATCH($C183,'Infos Clientes'!$B$2:$B$9884,0),MATCH(Q$8,'Infos Clientes'!$A$2:$V$2,0)),"")
+IF(OR(INDEX('Infos Clientes'!$A$2:$V$9884,MATCH($C183,'Infos Clientes'!$B$2:$B$9884,0),MATCH("Tempo de Fidelidade (meses)",'Infos Clientes'!$A$2:$V$2,0))=0,R183&gt;=MAX(R:R)),0,
ROUND((MAX(R:R)-R183)/(365/12),0)),"")</f>
        <v>0</v>
      </c>
      <c r="R183" s="111">
        <v>45689</v>
      </c>
      <c r="S183" s="112">
        <v>0</v>
      </c>
      <c r="T183" s="113">
        <f>IF($H183="GIROSSOL II",AP183/INDEX('Resumo Operacional'!$A$1:$P$1103,17,MATCH('Detalhe Por UC'!$R183,'Resumo Operacional'!$A$1:$P$1,0)),
IF($H183="GIROSSOL II e III",AP183/INDEX('Resumo Operacional'!$A$1:$P$1103,17,MATCH('Detalhe Por UC'!$R183,'Resumo Operacional'!$A$1:$P$1,0)),
""))</f>
        <v>2.1866119355857278E-2</v>
      </c>
      <c r="U183" s="113" t="str">
        <f>IF($H183="GIROSSOL III",AP183/INDEX('Resumo Operacional'!$A$1:$P$1103,53,MATCH('Detalhe Por UC'!$R183,'Resumo Operacional'!$A$1:$P$1,0)),
IF($H183="GIROSSOL II e III",AP183/INDEX('Resumo Operacional'!$A$1:$P$1103,53,MATCH('Detalhe Por UC'!$R183,'Resumo Operacional'!$A$1:$P$1,0)),
""))</f>
        <v/>
      </c>
      <c r="V183" s="18"/>
      <c r="W183" s="54"/>
      <c r="X183" s="127">
        <v>1.1162564102564103</v>
      </c>
      <c r="Y183" s="127">
        <v>0</v>
      </c>
      <c r="Z183" s="127">
        <v>1.1162454873646208</v>
      </c>
      <c r="AA183" s="127">
        <v>0</v>
      </c>
      <c r="AB183" s="127">
        <v>585</v>
      </c>
      <c r="AC183" s="127">
        <v>0</v>
      </c>
      <c r="AD183" s="127">
        <v>277</v>
      </c>
      <c r="AE183" s="35"/>
      <c r="AF183" s="127">
        <v>0</v>
      </c>
      <c r="AG183" s="127">
        <v>0</v>
      </c>
      <c r="AH183" s="127">
        <v>122.58</v>
      </c>
      <c r="AI183" s="127">
        <v>0</v>
      </c>
      <c r="AJ183" s="127">
        <v>0</v>
      </c>
      <c r="AK183" s="31"/>
      <c r="AL183"/>
      <c r="AM183"/>
      <c r="AN183" s="71">
        <f t="shared" si="84"/>
        <v>0</v>
      </c>
      <c r="AO183" s="71">
        <f t="shared" si="85"/>
        <v>0</v>
      </c>
      <c r="AP183" s="71">
        <f t="shared" si="86"/>
        <v>277</v>
      </c>
      <c r="AQ183" s="72">
        <f>IF(OR($H183="GIROSSOL II",$H183="GIROSSOL II e III"),INDEX('Resumo Operacional'!$A$1:$P$1103,MATCH("Energia Injetada prevista total Fatura da Usina (TUSD)",'Resumo Operacional'!$B$1:$B$1103,0),MATCH('Detalhe Por UC'!$R183,'Resumo Operacional'!$A$1:$P$1,0))*$S183,INDEX('Resumo Operacional'!$A$1:$P$1103,53,MATCH('Detalhe Por UC'!$R183,'Resumo Operacional'!$A$1:$P$1,0))*$S183)</f>
        <v>0</v>
      </c>
      <c r="AR183" s="71">
        <f t="shared" si="87"/>
        <v>277</v>
      </c>
      <c r="AS183" s="73">
        <f t="shared" si="88"/>
        <v>466.39</v>
      </c>
      <c r="AT183" s="74">
        <f t="shared" si="89"/>
        <v>466.39</v>
      </c>
      <c r="AU183" s="74">
        <f t="shared" si="90"/>
        <v>1.1162345644728313</v>
      </c>
      <c r="AV183" s="74">
        <f t="shared" si="91"/>
        <v>231.89999999999998</v>
      </c>
      <c r="AW183" s="74">
        <f t="shared" si="92"/>
        <v>0</v>
      </c>
      <c r="AX183" s="74">
        <f t="shared" si="93"/>
        <v>309.2</v>
      </c>
      <c r="AY183" s="74">
        <f t="shared" si="94"/>
        <v>231.9</v>
      </c>
      <c r="AZ183" s="49">
        <v>231.9</v>
      </c>
      <c r="BA183" s="49">
        <v>231.9</v>
      </c>
      <c r="BB183" s="49">
        <v>231.9</v>
      </c>
      <c r="BC183" s="73" t="str">
        <f t="shared" si="95"/>
        <v/>
      </c>
      <c r="BD183" s="73">
        <f t="shared" si="96"/>
        <v>775.59</v>
      </c>
      <c r="BE183" s="73">
        <f t="shared" si="97"/>
        <v>698.29</v>
      </c>
      <c r="BF183" s="77">
        <f t="shared" si="98"/>
        <v>77.3</v>
      </c>
      <c r="BG183" s="77">
        <f t="shared" si="99"/>
        <v>23.189999999999998</v>
      </c>
      <c r="BH183" s="77">
        <f t="shared" si="100"/>
        <v>309.19999999999993</v>
      </c>
      <c r="BI183" s="78">
        <f t="shared" si="101"/>
        <v>0.25</v>
      </c>
      <c r="BJ183" s="79">
        <f t="shared" si="102"/>
        <v>9.9666060676388293E-2</v>
      </c>
      <c r="BK183" s="80">
        <f t="shared" si="103"/>
        <v>698.29</v>
      </c>
      <c r="BL183" s="80">
        <f t="shared" si="104"/>
        <v>77.300000000000068</v>
      </c>
      <c r="BM183" s="79">
        <f t="shared" si="105"/>
        <v>9.9666060676388377E-2</v>
      </c>
      <c r="BN183" s="81">
        <f t="shared" si="106"/>
        <v>0.83718411552346572</v>
      </c>
      <c r="BO183" s="82">
        <f t="shared" si="107"/>
        <v>231.9</v>
      </c>
      <c r="BP183" s="81">
        <f t="shared" si="108"/>
        <v>0.83718411552346572</v>
      </c>
      <c r="BQ183" s="81">
        <f t="shared" si="109"/>
        <v>0.83719503841525522</v>
      </c>
      <c r="BR183" s="81">
        <f t="shared" si="110"/>
        <v>1.1162564102564103</v>
      </c>
      <c r="BS183" s="82">
        <f t="shared" si="111"/>
        <v>277</v>
      </c>
      <c r="BT183" s="82">
        <f t="shared" si="112"/>
        <v>309.20302564102565</v>
      </c>
      <c r="BU183" s="82">
        <f t="shared" si="113"/>
        <v>309.2</v>
      </c>
      <c r="BV183"/>
      <c r="BW183" s="82">
        <f>IFERROR(INDEX('Infos Clientes'!$T:$T,MATCH('Detalhe Por UC'!$C183,'Infos Clientes'!B:B,0)),"")</f>
        <v>513.41666666666663</v>
      </c>
      <c r="BX183" s="83">
        <f t="shared" si="114"/>
        <v>0</v>
      </c>
      <c r="BY183" s="84">
        <f t="shared" si="115"/>
        <v>0.2499975536777013</v>
      </c>
      <c r="BZ183" s="85">
        <f>IF(_xlfn.MINIFS('Detalhe Por UC'!R:R,'Detalhe Por UC'!C:C,C183,'Detalhe Por UC'!AD:AD,"&gt;"&amp;0)=0,"",_xlfn.MINIFS('Detalhe Por UC'!R:R,'Detalhe Por UC'!C:C,C183,'Detalhe Por UC'!AD:AD,"&gt;"&amp;0))</f>
        <v>45627</v>
      </c>
      <c r="CA183" s="114">
        <f ca="1">IF(OR(S183&gt;0,AD183&gt;0),IFERROR(
SUMIFS(INDIRECT("'Infos Clientes'!$W"&amp;INDEX('Infos Clientes'!$C:$C,MATCH(C183,'Infos Clientes'!$H:$H,0))&amp;":$CZ"&amp;INDEX('Infos Clientes'!$C:$C,MATCH(C183,'Infos Clientes'!$H:$H,0))),'Infos Clientes'!$W$2:$CZ$2,"&gt;"&amp;$R183-365,'Infos Clientes'!$W$2:$CZ$2,"&lt;="&amp;$R183)/
COUNTIFS(INDIRECT("'Infos Clientes'!$W"&amp;INDEX('Infos Clientes'!$C:$C,MATCH(C183,'Infos Clientes'!$H:$H,0))&amp;":$CZ"&amp;INDEX('Infos Clientes'!$C:$C,MATCH(C183,'Infos Clientes'!$H:$H,0))),"&gt;="&amp;0,'Infos Clientes'!$W$2:$CZ$2,"&gt;"&amp;$R183-365,'Infos Clientes'!$W$2:$CZ$2,"&lt;="&amp;$R183),""),"")</f>
        <v>511.33333333333331</v>
      </c>
      <c r="CB183" s="87">
        <f>VLOOKUP(C183,'Infos Clientes'!B:L,11,0)</f>
        <v>0</v>
      </c>
      <c r="CC183" s="88" t="str">
        <f t="shared" si="116"/>
        <v>A Unidade Consumidora 10/513413-5 economizou R$77,3 na fatura referente à fev/2025  consumindo 277 kWh em créditos de energia renovável conforme fatura de energia. A economia foi de 25% em relação ao que seria pago para a Energisa considerando os créditos consumidos. Atenção: Mantenha as contas da Energisa em dia para evitar cortes.</v>
      </c>
      <c r="CD183" s="40" t="s">
        <v>118</v>
      </c>
      <c r="CF183" s="115">
        <f t="shared" si="117"/>
        <v>-466.39</v>
      </c>
    </row>
    <row r="184" spans="1:84" s="40" customFormat="1" ht="16.2" hidden="1" customHeight="1" x14ac:dyDescent="0.3">
      <c r="A184" s="105" t="str">
        <f>INDEX('Infos Clientes'!$D:$D,MATCH('Detalhe Por UC'!C184,'Infos Clientes'!B:B,0))</f>
        <v>IGREJA DO EVANGELHO QUADRANGULAR</v>
      </c>
      <c r="B184" s="106" t="str">
        <f>INDEX('Infos Clientes'!$F:$F,MATCH('Detalhe Por UC'!C184,'Infos Clientes'!B:B,0))</f>
        <v>62.955.505/3932-07</v>
      </c>
      <c r="C184" s="44" t="s">
        <v>119</v>
      </c>
      <c r="D184" t="s">
        <v>351</v>
      </c>
      <c r="E184" s="1" t="s">
        <v>352</v>
      </c>
      <c r="F184" s="56" t="str">
        <f>INDEX('Infos Clientes'!$I:$I,MATCH('Detalhe Por UC'!C184,'Infos Clientes'!B:B,0))</f>
        <v>BT</v>
      </c>
      <c r="G184" s="56" t="str">
        <f>INDEX('Infos Clientes'!$J:$J,MATCH('Detalhe Por UC'!C184,'Infos Clientes'!B:B,0))</f>
        <v>trifasico</v>
      </c>
      <c r="H184" s="108" t="s">
        <v>353</v>
      </c>
      <c r="I184" s="58">
        <f>IFERROR(VLOOKUP(C184,'Infos Clientes'!B:E,4,),"")</f>
        <v>302</v>
      </c>
      <c r="J184" s="109">
        <v>0.25</v>
      </c>
      <c r="K184" s="59">
        <f>INDEX('Infos Clientes'!$M:$M,MATCH('Detalhe Por UC'!C184,'Infos Clientes'!B:B,0))</f>
        <v>0.25</v>
      </c>
      <c r="L184" s="125">
        <v>0</v>
      </c>
      <c r="M184" s="56">
        <f>INDEX('Infos Clientes'!$N:$N,MATCH('Detalhe Por UC'!C184,'Infos Clientes'!B:B,0))</f>
        <v>0</v>
      </c>
      <c r="N184" s="56">
        <f t="shared" si="81"/>
        <v>0</v>
      </c>
      <c r="O184" s="56">
        <f t="shared" si="82"/>
        <v>12</v>
      </c>
      <c r="P184" s="56">
        <f t="shared" si="83"/>
        <v>0</v>
      </c>
      <c r="Q184" s="61">
        <f>IFERROR(IFERROR(INDEX('Infos Clientes'!$A$2:$V$9884,MATCH($C184,'Infos Clientes'!$B$2:$B$9884,0),MATCH(Q$8,'Infos Clientes'!$A$2:$V$2,0)),"")
+IF(OR(INDEX('Infos Clientes'!$A$2:$V$9884,MATCH($C184,'Infos Clientes'!$B$2:$B$9884,0),MATCH("Tempo de Fidelidade (meses)",'Infos Clientes'!$A$2:$V$2,0))=0,R184&gt;=MAX(R:R)),0,
ROUND((MAX(R:R)-R184)/(365/12),0)),"")</f>
        <v>0</v>
      </c>
      <c r="R184" s="111">
        <v>45689</v>
      </c>
      <c r="S184" s="112">
        <v>0.1</v>
      </c>
      <c r="T184" s="113">
        <f>IF($H184="GIROSSOL II",AP184/INDEX('Resumo Operacional'!$A$1:$P$1103,17,MATCH('Detalhe Por UC'!$R184,'Resumo Operacional'!$A$1:$P$1,0)),
IF($H184="GIROSSOL II e III",AP184/INDEX('Resumo Operacional'!$A$1:$P$1103,17,MATCH('Detalhe Por UC'!$R184,'Resumo Operacional'!$A$1:$P$1,0)),
""))</f>
        <v>0.2396589832649195</v>
      </c>
      <c r="U184" s="113">
        <f>IF($H184="GIROSSOL III",AP184/INDEX('Resumo Operacional'!$A$1:$P$1103,53,MATCH('Detalhe Por UC'!$R184,'Resumo Operacional'!$A$1:$P$1,0)),
IF($H184="GIROSSOL II e III",AP184/INDEX('Resumo Operacional'!$A$1:$P$1103,53,MATCH('Detalhe Por UC'!$R184,'Resumo Operacional'!$A$1:$P$1,0)),
""))</f>
        <v>0.2098714226462049</v>
      </c>
      <c r="V184" s="18"/>
      <c r="W184" s="54"/>
      <c r="X184" s="127">
        <v>1.1162653264111344</v>
      </c>
      <c r="Y184" s="127">
        <v>0</v>
      </c>
      <c r="Z184" s="127">
        <v>1.0390276243093923</v>
      </c>
      <c r="AA184" s="127">
        <v>0</v>
      </c>
      <c r="AB184" s="127">
        <v>1810.6</v>
      </c>
      <c r="AC184" s="127">
        <v>0</v>
      </c>
      <c r="AD184" s="127">
        <v>1810</v>
      </c>
      <c r="AE184" s="35"/>
      <c r="AF184" s="127">
        <v>1226</v>
      </c>
      <c r="AG184" s="127">
        <v>0</v>
      </c>
      <c r="AH184" s="127">
        <v>303.29000000000002</v>
      </c>
      <c r="AI184" s="127">
        <v>0</v>
      </c>
      <c r="AJ184" s="127">
        <v>0</v>
      </c>
      <c r="AK184" s="31"/>
      <c r="AL184"/>
      <c r="AM184"/>
      <c r="AN184" s="71">
        <f t="shared" si="84"/>
        <v>1226</v>
      </c>
      <c r="AO184" s="71">
        <f t="shared" si="85"/>
        <v>0</v>
      </c>
      <c r="AP184" s="71">
        <f t="shared" si="86"/>
        <v>3036</v>
      </c>
      <c r="AQ184" s="72">
        <f>IF(OR($H184="GIROSSOL II",$H184="GIROSSOL II e III"),INDEX('Resumo Operacional'!$A$1:$P$1103,MATCH("Energia Injetada prevista total Fatura da Usina (TUSD)",'Resumo Operacional'!$B$1:$B$1103,0),MATCH('Detalhe Por UC'!$R184,'Resumo Operacional'!$A$1:$P$1,0))*$S184,INDEX('Resumo Operacional'!$A$1:$P$1103,53,MATCH('Detalhe Por UC'!$R184,'Resumo Operacional'!$A$1:$P$1,0))*$S184)</f>
        <v>1266.8000000000002</v>
      </c>
      <c r="AR184" s="71">
        <f t="shared" si="87"/>
        <v>1769.1999999999998</v>
      </c>
      <c r="AS184" s="73">
        <f t="shared" si="88"/>
        <v>443.75999999999982</v>
      </c>
      <c r="AT184" s="74">
        <f t="shared" si="89"/>
        <v>443.75999999999982</v>
      </c>
      <c r="AU184" s="74">
        <f t="shared" si="90"/>
        <v>0.96178992220765025</v>
      </c>
      <c r="AV184" s="74">
        <f t="shared" si="91"/>
        <v>1410.48</v>
      </c>
      <c r="AW184" s="74">
        <f t="shared" si="92"/>
        <v>0</v>
      </c>
      <c r="AX184" s="74">
        <f t="shared" si="93"/>
        <v>1880.64</v>
      </c>
      <c r="AY184" s="74">
        <f t="shared" si="94"/>
        <v>1410.48</v>
      </c>
      <c r="AZ184" s="49">
        <v>1410.48</v>
      </c>
      <c r="BA184" s="49">
        <v>1410.48</v>
      </c>
      <c r="BB184" s="49">
        <v>1410.48</v>
      </c>
      <c r="BC184" s="73" t="str">
        <f t="shared" si="95"/>
        <v/>
      </c>
      <c r="BD184" s="73">
        <f t="shared" si="96"/>
        <v>2324.4</v>
      </c>
      <c r="BE184" s="73">
        <f t="shared" si="97"/>
        <v>1854.2399999999998</v>
      </c>
      <c r="BF184" s="77">
        <f t="shared" si="98"/>
        <v>470.16</v>
      </c>
      <c r="BG184" s="77">
        <f t="shared" si="99"/>
        <v>141.048</v>
      </c>
      <c r="BH184" s="77">
        <f t="shared" si="100"/>
        <v>1880.64</v>
      </c>
      <c r="BI184" s="78">
        <f t="shared" si="101"/>
        <v>0.25</v>
      </c>
      <c r="BJ184" s="79">
        <f t="shared" si="102"/>
        <v>0.2022715539494063</v>
      </c>
      <c r="BK184" s="80">
        <f t="shared" si="103"/>
        <v>1854.2399999999998</v>
      </c>
      <c r="BL184" s="80">
        <f t="shared" si="104"/>
        <v>470.16000000000031</v>
      </c>
      <c r="BM184" s="79">
        <f t="shared" si="105"/>
        <v>0.20227155394940644</v>
      </c>
      <c r="BN184" s="81">
        <f t="shared" si="106"/>
        <v>0.77927071823204419</v>
      </c>
      <c r="BO184" s="82">
        <f t="shared" si="107"/>
        <v>1410.48</v>
      </c>
      <c r="BP184" s="81">
        <f t="shared" si="108"/>
        <v>0.77927071823204419</v>
      </c>
      <c r="BQ184" s="81">
        <f t="shared" si="109"/>
        <v>0.85650842033378627</v>
      </c>
      <c r="BR184" s="81">
        <f t="shared" si="110"/>
        <v>1.1162653264111344</v>
      </c>
      <c r="BS184" s="82">
        <f t="shared" si="111"/>
        <v>1810</v>
      </c>
      <c r="BT184" s="82">
        <f t="shared" si="112"/>
        <v>2020.4402408041533</v>
      </c>
      <c r="BU184" s="82">
        <f t="shared" si="113"/>
        <v>1880.64</v>
      </c>
      <c r="BV184"/>
      <c r="BW184" s="82">
        <f>IFERROR(INDEX('Infos Clientes'!$T:$T,MATCH('Detalhe Por UC'!$C184,'Infos Clientes'!B:B,0)),"")</f>
        <v>1810.6008333333332</v>
      </c>
      <c r="BX184" s="83">
        <f t="shared" si="114"/>
        <v>0</v>
      </c>
      <c r="BY184" s="84">
        <f t="shared" si="115"/>
        <v>0.23270175999507525</v>
      </c>
      <c r="BZ184" s="85">
        <f>IF(_xlfn.MINIFS('Detalhe Por UC'!R:R,'Detalhe Por UC'!C:C,C184,'Detalhe Por UC'!AD:AD,"&gt;"&amp;0)=0,"",_xlfn.MINIFS('Detalhe Por UC'!R:R,'Detalhe Por UC'!C:C,C184,'Detalhe Por UC'!AD:AD,"&gt;"&amp;0))</f>
        <v>45627</v>
      </c>
      <c r="CA184" s="114">
        <f ca="1">IF(OR(S184&gt;0,AD184&gt;0),IFERROR(
SUMIFS(INDIRECT("'Infos Clientes'!$W"&amp;INDEX('Infos Clientes'!$C:$C,MATCH(C184,'Infos Clientes'!$H:$H,0))&amp;":$CZ"&amp;INDEX('Infos Clientes'!$C:$C,MATCH(C184,'Infos Clientes'!$H:$H,0))),'Infos Clientes'!$W$2:$CZ$2,"&gt;"&amp;$R184-365,'Infos Clientes'!$W$2:$CZ$2,"&lt;="&amp;$R184)/
COUNTIFS(INDIRECT("'Infos Clientes'!$W"&amp;INDEX('Infos Clientes'!$C:$C,MATCH(C184,'Infos Clientes'!$H:$H,0))&amp;":$CZ"&amp;INDEX('Infos Clientes'!$C:$C,MATCH(C184,'Infos Clientes'!$H:$H,0))),"&gt;="&amp;0,'Infos Clientes'!$W$2:$CZ$2,"&gt;"&amp;$R184-365,'Infos Clientes'!$W$2:$CZ$2,"&lt;="&amp;$R184),""),"")</f>
        <v>1799.6058333333333</v>
      </c>
      <c r="CB184" s="87">
        <f>VLOOKUP(C184,'Infos Clientes'!B:L,11,0)</f>
        <v>0</v>
      </c>
      <c r="CC184" s="88" t="str">
        <f t="shared" si="116"/>
        <v>A Unidade Consumidora 10/5202-7 economizou R$470,16 na fatura referente à fev/2025  consumindo 1810 kWh em créditos de energia renovável conforme fatura de energia. A economia foi de 25% em relação ao que seria pago para a Energisa considerando os créditos consumidos. Atenção: Mantenha as contas da Energisa em dia para evitar cortes.</v>
      </c>
      <c r="CD184" s="40" t="s">
        <v>107</v>
      </c>
      <c r="CF184" s="115">
        <f t="shared" si="117"/>
        <v>-443.75999999999982</v>
      </c>
    </row>
    <row r="185" spans="1:84" s="40" customFormat="1" ht="16.2" hidden="1" customHeight="1" x14ac:dyDescent="0.3">
      <c r="A185" s="105" t="str">
        <f>INDEX('Infos Clientes'!$D:$D,MATCH('Detalhe Por UC'!C185,'Infos Clientes'!B:B,0))</f>
        <v>IGREJA DO EVANGELHO QUADRANGULAR</v>
      </c>
      <c r="B185" s="106" t="str">
        <f>INDEX('Infos Clientes'!$F:$F,MATCH('Detalhe Por UC'!C185,'Infos Clientes'!B:B,0))</f>
        <v>62.955.505/1935-34</v>
      </c>
      <c r="C185" s="44" t="s">
        <v>120</v>
      </c>
      <c r="D185" t="s">
        <v>351</v>
      </c>
      <c r="E185" s="1" t="s">
        <v>352</v>
      </c>
      <c r="F185" s="56" t="str">
        <f>INDEX('Infos Clientes'!$I:$I,MATCH('Detalhe Por UC'!C185,'Infos Clientes'!B:B,0))</f>
        <v>BT</v>
      </c>
      <c r="G185" s="56" t="str">
        <f>INDEX('Infos Clientes'!$J:$J,MATCH('Detalhe Por UC'!C185,'Infos Clientes'!B:B,0))</f>
        <v>trifasico</v>
      </c>
      <c r="H185" s="108" t="s">
        <v>353</v>
      </c>
      <c r="I185" s="58">
        <f>IFERROR(VLOOKUP(C185,'Infos Clientes'!B:E,4,),"")</f>
        <v>994</v>
      </c>
      <c r="J185" s="109">
        <v>0.25</v>
      </c>
      <c r="K185" s="59">
        <f>INDEX('Infos Clientes'!$M:$M,MATCH('Detalhe Por UC'!C185,'Infos Clientes'!B:B,0))</f>
        <v>0.25</v>
      </c>
      <c r="L185" s="125">
        <v>0</v>
      </c>
      <c r="M185" s="56">
        <f>INDEX('Infos Clientes'!$N:$N,MATCH('Detalhe Por UC'!C185,'Infos Clientes'!B:B,0))</f>
        <v>0</v>
      </c>
      <c r="N185" s="56">
        <f t="shared" si="81"/>
        <v>0</v>
      </c>
      <c r="O185" s="56">
        <f t="shared" si="82"/>
        <v>12</v>
      </c>
      <c r="P185" s="56">
        <f t="shared" si="83"/>
        <v>0</v>
      </c>
      <c r="Q185" s="61">
        <f>IFERROR(IFERROR(INDEX('Infos Clientes'!$A$2:$V$9884,MATCH($C185,'Infos Clientes'!$B$2:$B$9884,0),MATCH(Q$8,'Infos Clientes'!$A$2:$V$2,0)),"")
+IF(OR(INDEX('Infos Clientes'!$A$2:$V$9884,MATCH($C185,'Infos Clientes'!$B$2:$B$9884,0),MATCH("Tempo de Fidelidade (meses)",'Infos Clientes'!$A$2:$V$2,0))=0,R185&gt;=MAX(R:R)),0,
ROUND((MAX(R:R)-R185)/(365/12),0)),"")</f>
        <v>0</v>
      </c>
      <c r="R185" s="111">
        <v>45689</v>
      </c>
      <c r="S185" s="112">
        <v>0.01</v>
      </c>
      <c r="T185" s="113">
        <f>IF($H185="GIROSSOL II",AP185/INDEX('Resumo Operacional'!$A$1:$P$1103,17,MATCH('Detalhe Por UC'!$R185,'Resumo Operacional'!$A$1:$P$1,0)),
IF($H185="GIROSSOL II e III",AP185/INDEX('Resumo Operacional'!$A$1:$P$1103,17,MATCH('Detalhe Por UC'!$R185,'Resumo Operacional'!$A$1:$P$1,0)),
""))</f>
        <v>3.4812125039469531E-2</v>
      </c>
      <c r="U185" s="113">
        <f>IF($H185="GIROSSOL III",AP185/INDEX('Resumo Operacional'!$A$1:$P$1103,53,MATCH('Detalhe Por UC'!$R185,'Resumo Operacional'!$A$1:$P$1,0)),
IF($H185="GIROSSOL II e III",AP185/INDEX('Resumo Operacional'!$A$1:$P$1103,53,MATCH('Detalhe Por UC'!$R185,'Resumo Operacional'!$A$1:$P$1,0)),
""))</f>
        <v>3.0485275819162175E-2</v>
      </c>
      <c r="V185" s="18"/>
      <c r="W185" s="54"/>
      <c r="X185" s="127">
        <v>1.1162589928057554</v>
      </c>
      <c r="Y185" s="127">
        <v>0</v>
      </c>
      <c r="Z185" s="127">
        <v>1.0786134453781513</v>
      </c>
      <c r="AA185" s="127">
        <v>0</v>
      </c>
      <c r="AB185" s="127">
        <v>556</v>
      </c>
      <c r="AC185" s="127">
        <v>0</v>
      </c>
      <c r="AD185" s="127">
        <v>476</v>
      </c>
      <c r="AE185" s="35"/>
      <c r="AF185" s="127">
        <v>101</v>
      </c>
      <c r="AG185" s="127">
        <v>0</v>
      </c>
      <c r="AH185" s="127">
        <v>118.78</v>
      </c>
      <c r="AI185" s="127">
        <v>0</v>
      </c>
      <c r="AJ185" s="127">
        <v>0</v>
      </c>
      <c r="AK185" s="31"/>
      <c r="AL185"/>
      <c r="AM185"/>
      <c r="AN185" s="71">
        <f t="shared" si="84"/>
        <v>-35</v>
      </c>
      <c r="AO185" s="71">
        <f t="shared" si="85"/>
        <v>0</v>
      </c>
      <c r="AP185" s="71">
        <f t="shared" si="86"/>
        <v>441</v>
      </c>
      <c r="AQ185" s="72">
        <f>IF(OR($H185="GIROSSOL II",$H185="GIROSSOL II e III"),INDEX('Resumo Operacional'!$A$1:$P$1103,MATCH("Energia Injetada prevista total Fatura da Usina (TUSD)",'Resumo Operacional'!$B$1:$B$1103,0),MATCH('Detalhe Por UC'!$R185,'Resumo Operacional'!$A$1:$P$1,0))*$S185,INDEX('Resumo Operacional'!$A$1:$P$1103,53,MATCH('Detalhe Por UC'!$R185,'Resumo Operacional'!$A$1:$P$1,0))*$S185)</f>
        <v>126.68</v>
      </c>
      <c r="AR185" s="71">
        <f t="shared" si="87"/>
        <v>314.32</v>
      </c>
      <c r="AS185" s="73">
        <f t="shared" si="88"/>
        <v>226.00000000000003</v>
      </c>
      <c r="AT185" s="74">
        <f t="shared" si="89"/>
        <v>226.00000000000003</v>
      </c>
      <c r="AU185" s="74">
        <f t="shared" si="90"/>
        <v>1.040967897950547</v>
      </c>
      <c r="AV185" s="74">
        <f t="shared" si="91"/>
        <v>385.06500000000005</v>
      </c>
      <c r="AW185" s="74">
        <f t="shared" si="92"/>
        <v>0</v>
      </c>
      <c r="AX185" s="74">
        <f t="shared" si="93"/>
        <v>513.41999999999996</v>
      </c>
      <c r="AY185" s="74">
        <f t="shared" si="94"/>
        <v>385.07</v>
      </c>
      <c r="AZ185" s="49">
        <v>385.07</v>
      </c>
      <c r="BA185" s="49">
        <v>385.07</v>
      </c>
      <c r="BB185" s="49">
        <v>385.07</v>
      </c>
      <c r="BC185" s="73" t="str">
        <f t="shared" si="95"/>
        <v/>
      </c>
      <c r="BD185" s="73">
        <f t="shared" si="96"/>
        <v>739.42</v>
      </c>
      <c r="BE185" s="73">
        <f t="shared" si="97"/>
        <v>611.06500000000005</v>
      </c>
      <c r="BF185" s="77">
        <f t="shared" si="98"/>
        <v>128.36000000000001</v>
      </c>
      <c r="BG185" s="77">
        <f t="shared" si="99"/>
        <v>38.508000000000003</v>
      </c>
      <c r="BH185" s="77">
        <f t="shared" si="100"/>
        <v>513.41999999999996</v>
      </c>
      <c r="BI185" s="78">
        <f t="shared" si="101"/>
        <v>0.25</v>
      </c>
      <c r="BJ185" s="79">
        <f t="shared" si="102"/>
        <v>0.17359552081361071</v>
      </c>
      <c r="BK185" s="80">
        <f t="shared" si="103"/>
        <v>611.07000000000005</v>
      </c>
      <c r="BL185" s="80">
        <f t="shared" si="104"/>
        <v>128.34999999999991</v>
      </c>
      <c r="BM185" s="79">
        <f t="shared" si="105"/>
        <v>0.1735819967001162</v>
      </c>
      <c r="BN185" s="81">
        <f t="shared" si="106"/>
        <v>0.80897058823529411</v>
      </c>
      <c r="BO185" s="82">
        <f t="shared" si="107"/>
        <v>385.07</v>
      </c>
      <c r="BP185" s="81">
        <f t="shared" si="108"/>
        <v>0.80897058823529411</v>
      </c>
      <c r="BQ185" s="81">
        <f t="shared" si="109"/>
        <v>0.84661613566289817</v>
      </c>
      <c r="BR185" s="81">
        <f t="shared" si="110"/>
        <v>1.1162589928057554</v>
      </c>
      <c r="BS185" s="82">
        <f t="shared" si="111"/>
        <v>476</v>
      </c>
      <c r="BT185" s="82">
        <f t="shared" si="112"/>
        <v>531.33928057553953</v>
      </c>
      <c r="BU185" s="82">
        <f t="shared" si="113"/>
        <v>513.41999999999996</v>
      </c>
      <c r="BV185"/>
      <c r="BW185" s="82">
        <f>IFERROR(INDEX('Infos Clientes'!$T:$T,MATCH('Detalhe Por UC'!$C185,'Infos Clientes'!B:B,0)),"")</f>
        <v>350.91666666666669</v>
      </c>
      <c r="BX185" s="83">
        <f t="shared" si="114"/>
        <v>0</v>
      </c>
      <c r="BY185" s="84">
        <f t="shared" si="115"/>
        <v>0.24155940411740881</v>
      </c>
      <c r="BZ185" s="85">
        <f>IF(_xlfn.MINIFS('Detalhe Por UC'!R:R,'Detalhe Por UC'!C:C,C185,'Detalhe Por UC'!AD:AD,"&gt;"&amp;0)=0,"",_xlfn.MINIFS('Detalhe Por UC'!R:R,'Detalhe Por UC'!C:C,C185,'Detalhe Por UC'!AD:AD,"&gt;"&amp;0))</f>
        <v>45627</v>
      </c>
      <c r="CA185" s="114">
        <f ca="1">IF(OR(S185&gt;0,AD185&gt;0),IFERROR(
SUMIFS(INDIRECT("'Infos Clientes'!$W"&amp;INDEX('Infos Clientes'!$C:$C,MATCH(C185,'Infos Clientes'!$H:$H,0))&amp;":$CZ"&amp;INDEX('Infos Clientes'!$C:$C,MATCH(C185,'Infos Clientes'!$H:$H,0))),'Infos Clientes'!$W$2:$CZ$2,"&gt;"&amp;$R185-365,'Infos Clientes'!$W$2:$CZ$2,"&lt;="&amp;$R185)/
COUNTIFS(INDIRECT("'Infos Clientes'!$W"&amp;INDEX('Infos Clientes'!$C:$C,MATCH(C185,'Infos Clientes'!$H:$H,0))&amp;":$CZ"&amp;INDEX('Infos Clientes'!$C:$C,MATCH(C185,'Infos Clientes'!$H:$H,0))),"&gt;="&amp;0,'Infos Clientes'!$W$2:$CZ$2,"&gt;"&amp;$R185-365,'Infos Clientes'!$W$2:$CZ$2,"&lt;="&amp;$R185),""),"")</f>
        <v>361.25</v>
      </c>
      <c r="CB185" s="87">
        <f>VLOOKUP(C185,'Infos Clientes'!B:L,11,0)</f>
        <v>0</v>
      </c>
      <c r="CC185" s="88" t="str">
        <f t="shared" si="116"/>
        <v>A Unidade Consumidora 10/532081-7 economizou R$128,36 na fatura referente à fev/2025  consumindo 476 kWh em créditos de energia renovável conforme fatura de energia. A economia foi de 25% em relação ao que seria pago para a Energisa considerando os créditos consumidos. Atenção: Mantenha as contas da Energisa em dia para evitar cortes.</v>
      </c>
      <c r="CD185" s="40" t="s">
        <v>122</v>
      </c>
      <c r="CF185" s="115">
        <f t="shared" si="117"/>
        <v>-226.00000000000003</v>
      </c>
    </row>
    <row r="186" spans="1:84" s="40" customFormat="1" ht="16.2" hidden="1" customHeight="1" x14ac:dyDescent="0.3">
      <c r="A186" s="105" t="str">
        <f>INDEX('Infos Clientes'!$D:$D,MATCH('Detalhe Por UC'!C186,'Infos Clientes'!B:B,0))</f>
        <v>IGREJA DO EVANGELHO QUADRANGULAR</v>
      </c>
      <c r="B186" s="106" t="str">
        <f>INDEX('Infos Clientes'!$F:$F,MATCH('Detalhe Por UC'!C186,'Infos Clientes'!B:B,0))</f>
        <v>62.955.505/3593-60</v>
      </c>
      <c r="C186" s="44" t="s">
        <v>123</v>
      </c>
      <c r="D186" t="s">
        <v>351</v>
      </c>
      <c r="E186" s="1" t="s">
        <v>352</v>
      </c>
      <c r="F186" s="56" t="str">
        <f>INDEX('Infos Clientes'!$I:$I,MATCH('Detalhe Por UC'!C186,'Infos Clientes'!B:B,0))</f>
        <v>BT</v>
      </c>
      <c r="G186" s="56" t="str">
        <f>INDEX('Infos Clientes'!$J:$J,MATCH('Detalhe Por UC'!C186,'Infos Clientes'!B:B,0))</f>
        <v>trifasico</v>
      </c>
      <c r="H186" s="108" t="s">
        <v>353</v>
      </c>
      <c r="I186" s="58">
        <f>IFERROR(VLOOKUP(C186,'Infos Clientes'!B:E,4,),"")</f>
        <v>351</v>
      </c>
      <c r="J186" s="109">
        <v>0.25</v>
      </c>
      <c r="K186" s="59">
        <f>INDEX('Infos Clientes'!$M:$M,MATCH('Detalhe Por UC'!C186,'Infos Clientes'!B:B,0))</f>
        <v>0.25</v>
      </c>
      <c r="L186" s="125">
        <v>0</v>
      </c>
      <c r="M186" s="56">
        <f>INDEX('Infos Clientes'!$N:$N,MATCH('Detalhe Por UC'!C186,'Infos Clientes'!B:B,0))</f>
        <v>0</v>
      </c>
      <c r="N186" s="56">
        <f t="shared" si="81"/>
        <v>0</v>
      </c>
      <c r="O186" s="56">
        <f t="shared" si="82"/>
        <v>12</v>
      </c>
      <c r="P186" s="56">
        <f t="shared" si="83"/>
        <v>0</v>
      </c>
      <c r="Q186" s="61">
        <f>IFERROR(IFERROR(INDEX('Infos Clientes'!$A$2:$V$9884,MATCH($C186,'Infos Clientes'!$B$2:$B$9884,0),MATCH(Q$8,'Infos Clientes'!$A$2:$V$2,0)),"")
+IF(OR(INDEX('Infos Clientes'!$A$2:$V$9884,MATCH($C186,'Infos Clientes'!$B$2:$B$9884,0),MATCH("Tempo de Fidelidade (meses)",'Infos Clientes'!$A$2:$V$2,0))=0,R186&gt;=MAX(R:R)),0,
ROUND((MAX(R:R)-R186)/(365/12),0)),"")</f>
        <v>0</v>
      </c>
      <c r="R186" s="111">
        <v>45689</v>
      </c>
      <c r="S186" s="112">
        <v>0.04</v>
      </c>
      <c r="T186" s="113">
        <f>IF($H186="GIROSSOL II",AP186/INDEX('Resumo Operacional'!$A$1:$P$1103,17,MATCH('Detalhe Por UC'!$R186,'Resumo Operacional'!$A$1:$P$1,0)),
IF($H186="GIROSSOL II e III",AP186/INDEX('Resumo Operacional'!$A$1:$P$1103,17,MATCH('Detalhe Por UC'!$R186,'Resumo Operacional'!$A$1:$P$1,0)),
""))</f>
        <v>6.5598358067571833E-2</v>
      </c>
      <c r="U186" s="113">
        <f>IF($H186="GIROSSOL III",AP186/INDEX('Resumo Operacional'!$A$1:$P$1103,53,MATCH('Detalhe Por UC'!$R186,'Resumo Operacional'!$A$1:$P$1,0)),
IF($H186="GIROSSOL II e III",AP186/INDEX('Resumo Operacional'!$A$1:$P$1103,53,MATCH('Detalhe Por UC'!$R186,'Resumo Operacional'!$A$1:$P$1,0)),
""))</f>
        <v>5.744504355039403E-2</v>
      </c>
      <c r="V186" s="18"/>
      <c r="W186" s="54"/>
      <c r="X186" s="127">
        <v>1.1162530413625305</v>
      </c>
      <c r="Y186" s="127">
        <v>0</v>
      </c>
      <c r="Z186" s="127">
        <v>1.0175428571428571</v>
      </c>
      <c r="AA186" s="127">
        <v>0</v>
      </c>
      <c r="AB186" s="127">
        <v>411</v>
      </c>
      <c r="AC186" s="127">
        <v>0</v>
      </c>
      <c r="AD186" s="127">
        <v>350</v>
      </c>
      <c r="AE186" s="35"/>
      <c r="AF186" s="127">
        <v>1042</v>
      </c>
      <c r="AG186" s="127">
        <v>0</v>
      </c>
      <c r="AH186" s="127">
        <v>94.309999999999988</v>
      </c>
      <c r="AI186" s="127">
        <v>0</v>
      </c>
      <c r="AJ186" s="127">
        <v>0</v>
      </c>
      <c r="AK186" s="31"/>
      <c r="AL186"/>
      <c r="AM186"/>
      <c r="AN186" s="71">
        <f t="shared" si="84"/>
        <v>481</v>
      </c>
      <c r="AO186" s="71">
        <f t="shared" si="85"/>
        <v>0</v>
      </c>
      <c r="AP186" s="71">
        <f t="shared" si="86"/>
        <v>831</v>
      </c>
      <c r="AQ186" s="72">
        <f>IF(OR($H186="GIROSSOL II",$H186="GIROSSOL II e III"),INDEX('Resumo Operacional'!$A$1:$P$1103,MATCH("Energia Injetada prevista total Fatura da Usina (TUSD)",'Resumo Operacional'!$B$1:$B$1103,0),MATCH('Detalhe Por UC'!$R186,'Resumo Operacional'!$A$1:$P$1,0))*$S186,INDEX('Resumo Operacional'!$A$1:$P$1103,53,MATCH('Detalhe Por UC'!$R186,'Resumo Operacional'!$A$1:$P$1,0))*$S186)</f>
        <v>506.72</v>
      </c>
      <c r="AR186" s="71">
        <f t="shared" si="87"/>
        <v>324.27999999999997</v>
      </c>
      <c r="AS186" s="73">
        <f t="shared" si="88"/>
        <v>196.95000000000005</v>
      </c>
      <c r="AT186" s="74">
        <f t="shared" si="89"/>
        <v>196.95000000000005</v>
      </c>
      <c r="AU186" s="74">
        <f t="shared" si="90"/>
        <v>0.91883267292318371</v>
      </c>
      <c r="AV186" s="74">
        <f t="shared" si="91"/>
        <v>267.10500000000002</v>
      </c>
      <c r="AW186" s="74">
        <f t="shared" si="92"/>
        <v>0</v>
      </c>
      <c r="AX186" s="74">
        <f t="shared" si="93"/>
        <v>356.14</v>
      </c>
      <c r="AY186" s="74">
        <f t="shared" si="94"/>
        <v>267.11</v>
      </c>
      <c r="AZ186" s="49">
        <v>267.11</v>
      </c>
      <c r="BA186" s="49">
        <v>267.11</v>
      </c>
      <c r="BB186" s="49">
        <v>267.11</v>
      </c>
      <c r="BC186" s="73" t="str">
        <f t="shared" si="95"/>
        <v/>
      </c>
      <c r="BD186" s="73">
        <f t="shared" si="96"/>
        <v>553.09</v>
      </c>
      <c r="BE186" s="73">
        <f t="shared" si="97"/>
        <v>464.05500000000006</v>
      </c>
      <c r="BF186" s="77">
        <f t="shared" si="98"/>
        <v>89.04</v>
      </c>
      <c r="BG186" s="77">
        <f t="shared" si="99"/>
        <v>26.712</v>
      </c>
      <c r="BH186" s="77">
        <f t="shared" si="100"/>
        <v>356.13999999999993</v>
      </c>
      <c r="BI186" s="78">
        <f t="shared" si="101"/>
        <v>0.25</v>
      </c>
      <c r="BJ186" s="79">
        <f t="shared" si="102"/>
        <v>0.16098645790016092</v>
      </c>
      <c r="BK186" s="80">
        <f t="shared" si="103"/>
        <v>464.06000000000006</v>
      </c>
      <c r="BL186" s="80">
        <f t="shared" si="104"/>
        <v>89.029999999999973</v>
      </c>
      <c r="BM186" s="79">
        <f t="shared" si="105"/>
        <v>0.16096837766005526</v>
      </c>
      <c r="BN186" s="81">
        <f t="shared" si="106"/>
        <v>0.76317142857142861</v>
      </c>
      <c r="BO186" s="82">
        <f t="shared" si="107"/>
        <v>267.11</v>
      </c>
      <c r="BP186" s="81">
        <f t="shared" si="108"/>
        <v>0.76317142857142861</v>
      </c>
      <c r="BQ186" s="81">
        <f t="shared" si="109"/>
        <v>0.86188161279110198</v>
      </c>
      <c r="BR186" s="81">
        <f t="shared" si="110"/>
        <v>1.1162530413625305</v>
      </c>
      <c r="BS186" s="82">
        <f t="shared" si="111"/>
        <v>350</v>
      </c>
      <c r="BT186" s="82">
        <f t="shared" si="112"/>
        <v>390.68856447688563</v>
      </c>
      <c r="BU186" s="82">
        <f t="shared" si="113"/>
        <v>356.14</v>
      </c>
      <c r="BV186"/>
      <c r="BW186" s="82">
        <f>IFERROR(INDEX('Infos Clientes'!$T:$T,MATCH('Detalhe Por UC'!$C186,'Infos Clientes'!B:B,0)),"")</f>
        <v>409.33333333333331</v>
      </c>
      <c r="BX186" s="83">
        <f t="shared" si="114"/>
        <v>0</v>
      </c>
      <c r="BY186" s="84">
        <f t="shared" si="115"/>
        <v>0.22787971825898493</v>
      </c>
      <c r="BZ186" s="85">
        <f>IF(_xlfn.MINIFS('Detalhe Por UC'!R:R,'Detalhe Por UC'!C:C,C186,'Detalhe Por UC'!AD:AD,"&gt;"&amp;0)=0,"",_xlfn.MINIFS('Detalhe Por UC'!R:R,'Detalhe Por UC'!C:C,C186,'Detalhe Por UC'!AD:AD,"&gt;"&amp;0))</f>
        <v>45627</v>
      </c>
      <c r="CA186" s="114">
        <f ca="1">IF(OR(S186&gt;0,AD186&gt;0),IFERROR(
SUMIFS(INDIRECT("'Infos Clientes'!$W"&amp;INDEX('Infos Clientes'!$C:$C,MATCH(C186,'Infos Clientes'!$H:$H,0))&amp;":$CZ"&amp;INDEX('Infos Clientes'!$C:$C,MATCH(C186,'Infos Clientes'!$H:$H,0))),'Infos Clientes'!$W$2:$CZ$2,"&gt;"&amp;$R186-365,'Infos Clientes'!$W$2:$CZ$2,"&lt;="&amp;$R186)/
COUNTIFS(INDIRECT("'Infos Clientes'!$W"&amp;INDEX('Infos Clientes'!$C:$C,MATCH(C186,'Infos Clientes'!$H:$H,0))&amp;":$CZ"&amp;INDEX('Infos Clientes'!$C:$C,MATCH(C186,'Infos Clientes'!$H:$H,0))),"&gt;="&amp;0,'Infos Clientes'!$W$2:$CZ$2,"&gt;"&amp;$R186-365,'Infos Clientes'!$W$2:$CZ$2,"&lt;="&amp;$R186),""),"")</f>
        <v>410.5</v>
      </c>
      <c r="CB186" s="87">
        <f>VLOOKUP(C186,'Infos Clientes'!B:L,11,0)</f>
        <v>0</v>
      </c>
      <c r="CC186" s="88" t="str">
        <f t="shared" si="116"/>
        <v>A Unidade Consumidora 10/532723-4 economizou R$89,04 na fatura referente à fev/2025  consumindo 350 kWh em créditos de energia renovável conforme fatura de energia. A economia foi de 25% em relação ao que seria pago para a Energisa considerando os créditos consumidos. Atenção: Mantenha as contas da Energisa em dia para evitar cortes.</v>
      </c>
      <c r="CD186" s="40" t="s">
        <v>125</v>
      </c>
      <c r="CF186" s="115">
        <f t="shared" si="117"/>
        <v>-196.95000000000005</v>
      </c>
    </row>
    <row r="187" spans="1:84" s="40" customFormat="1" ht="16.2" hidden="1" customHeight="1" x14ac:dyDescent="0.3">
      <c r="A187" s="105" t="str">
        <f>INDEX('Infos Clientes'!$D:$D,MATCH('Detalhe Por UC'!C187,'Infos Clientes'!B:B,0))</f>
        <v>IGREJA DO EVANGELHO QUADRANGULAR</v>
      </c>
      <c r="B187" s="106" t="str">
        <f>INDEX('Infos Clientes'!$F:$F,MATCH('Detalhe Por UC'!C187,'Infos Clientes'!B:B,0))</f>
        <v>62.955.505/4027-10</v>
      </c>
      <c r="C187" s="44" t="s">
        <v>126</v>
      </c>
      <c r="D187" t="s">
        <v>351</v>
      </c>
      <c r="E187" s="1" t="s">
        <v>352</v>
      </c>
      <c r="F187" s="56" t="str">
        <f>INDEX('Infos Clientes'!$I:$I,MATCH('Detalhe Por UC'!C187,'Infos Clientes'!B:B,0))</f>
        <v>BT</v>
      </c>
      <c r="G187" s="56" t="str">
        <f>INDEX('Infos Clientes'!$J:$J,MATCH('Detalhe Por UC'!C187,'Infos Clientes'!B:B,0))</f>
        <v>trifasico</v>
      </c>
      <c r="H187" s="108" t="s">
        <v>353</v>
      </c>
      <c r="I187" s="58">
        <f>IFERROR(VLOOKUP(C187,'Infos Clientes'!B:E,4,),"")</f>
        <v>994</v>
      </c>
      <c r="J187" s="109">
        <v>0.25</v>
      </c>
      <c r="K187" s="59">
        <f>INDEX('Infos Clientes'!$M:$M,MATCH('Detalhe Por UC'!C187,'Infos Clientes'!B:B,0))</f>
        <v>0.25</v>
      </c>
      <c r="L187" s="125">
        <v>0</v>
      </c>
      <c r="M187" s="56">
        <f>INDEX('Infos Clientes'!$N:$N,MATCH('Detalhe Por UC'!C187,'Infos Clientes'!B:B,0))</f>
        <v>0</v>
      </c>
      <c r="N187" s="56">
        <f t="shared" si="81"/>
        <v>0</v>
      </c>
      <c r="O187" s="56">
        <f t="shared" si="82"/>
        <v>12</v>
      </c>
      <c r="P187" s="56">
        <f t="shared" si="83"/>
        <v>0</v>
      </c>
      <c r="Q187" s="61">
        <f>IFERROR(IFERROR(INDEX('Infos Clientes'!$A$2:$V$9884,MATCH($C187,'Infos Clientes'!$B$2:$B$9884,0),MATCH(Q$8,'Infos Clientes'!$A$2:$V$2,0)),"")
+IF(OR(INDEX('Infos Clientes'!$A$2:$V$9884,MATCH($C187,'Infos Clientes'!$B$2:$B$9884,0),MATCH("Tempo de Fidelidade (meses)",'Infos Clientes'!$A$2:$V$2,0))=0,R187&gt;=MAX(R:R)),0,
ROUND((MAX(R:R)-R187)/(365/12),0)),"")</f>
        <v>0</v>
      </c>
      <c r="R187" s="111">
        <v>45689</v>
      </c>
      <c r="S187" s="112">
        <v>0.02</v>
      </c>
      <c r="T187" s="113">
        <f>IF($H187="GIROSSOL II",AP187/INDEX('Resumo Operacional'!$A$1:$P$1103,17,MATCH('Detalhe Por UC'!$R187,'Resumo Operacional'!$A$1:$P$1,0)),
IF($H187="GIROSSOL II e III",AP187/INDEX('Resumo Operacional'!$A$1:$P$1103,17,MATCH('Detalhe Por UC'!$R187,'Resumo Operacional'!$A$1:$P$1,0)),
""))</f>
        <v>4.7837069782128198E-2</v>
      </c>
      <c r="U187" s="113">
        <f>IF($H187="GIROSSOL III",AP187/INDEX('Resumo Operacional'!$A$1:$P$1103,53,MATCH('Detalhe Por UC'!$R187,'Resumo Operacional'!$A$1:$P$1,0)),
IF($H187="GIROSSOL II e III",AP187/INDEX('Resumo Operacional'!$A$1:$P$1103,53,MATCH('Detalhe Por UC'!$R187,'Resumo Operacional'!$A$1:$P$1,0)),
""))</f>
        <v>4.1891331397760266E-2</v>
      </c>
      <c r="V187" s="18"/>
      <c r="W187" s="54"/>
      <c r="X187" s="127">
        <v>1.1162603878116344</v>
      </c>
      <c r="Y187" s="127">
        <v>0</v>
      </c>
      <c r="Z187" s="127">
        <v>1.0985714285714285</v>
      </c>
      <c r="AA187" s="127">
        <v>0</v>
      </c>
      <c r="AB187" s="127">
        <v>361</v>
      </c>
      <c r="AC187" s="127">
        <v>0</v>
      </c>
      <c r="AD187" s="127">
        <v>266</v>
      </c>
      <c r="AE187" s="35"/>
      <c r="AF187" s="127">
        <v>546</v>
      </c>
      <c r="AG187" s="127">
        <v>0</v>
      </c>
      <c r="AH187" s="127">
        <v>71.34</v>
      </c>
      <c r="AI187" s="127">
        <v>0</v>
      </c>
      <c r="AJ187" s="127">
        <v>0</v>
      </c>
      <c r="AK187" s="31"/>
      <c r="AL187"/>
      <c r="AM187"/>
      <c r="AN187" s="71">
        <f t="shared" si="84"/>
        <v>340</v>
      </c>
      <c r="AO187" s="71">
        <f t="shared" si="85"/>
        <v>0</v>
      </c>
      <c r="AP187" s="71">
        <f t="shared" si="86"/>
        <v>606</v>
      </c>
      <c r="AQ187" s="72">
        <f>IF(OR($H187="GIROSSOL II",$H187="GIROSSOL II e III"),INDEX('Resumo Operacional'!$A$1:$P$1103,MATCH("Energia Injetada prevista total Fatura da Usina (TUSD)",'Resumo Operacional'!$B$1:$B$1103,0),MATCH('Detalhe Por UC'!$R187,'Resumo Operacional'!$A$1:$P$1,0))*$S187,INDEX('Resumo Operacional'!$A$1:$P$1103,53,MATCH('Detalhe Por UC'!$R187,'Resumo Operacional'!$A$1:$P$1,0))*$S187)</f>
        <v>253.36</v>
      </c>
      <c r="AR187" s="71">
        <f t="shared" si="87"/>
        <v>352.64</v>
      </c>
      <c r="AS187" s="73">
        <f t="shared" si="88"/>
        <v>182.09000000000006</v>
      </c>
      <c r="AT187" s="74">
        <f t="shared" si="89"/>
        <v>182.09000000000006</v>
      </c>
      <c r="AU187" s="74">
        <f t="shared" si="90"/>
        <v>1.0808824693312227</v>
      </c>
      <c r="AV187" s="74">
        <f t="shared" si="91"/>
        <v>219.16499999999996</v>
      </c>
      <c r="AW187" s="74">
        <f t="shared" si="92"/>
        <v>0</v>
      </c>
      <c r="AX187" s="74">
        <f t="shared" si="93"/>
        <v>292.21999999999997</v>
      </c>
      <c r="AY187" s="74">
        <f t="shared" si="94"/>
        <v>219.17</v>
      </c>
      <c r="AZ187" s="49">
        <v>219.17</v>
      </c>
      <c r="BA187" s="49">
        <v>219.17</v>
      </c>
      <c r="BB187" s="49">
        <v>219.17</v>
      </c>
      <c r="BC187" s="73" t="str">
        <f t="shared" si="95"/>
        <v/>
      </c>
      <c r="BD187" s="73">
        <f t="shared" si="96"/>
        <v>474.31000000000006</v>
      </c>
      <c r="BE187" s="73">
        <f t="shared" si="97"/>
        <v>401.255</v>
      </c>
      <c r="BF187" s="77">
        <f t="shared" si="98"/>
        <v>73.06</v>
      </c>
      <c r="BG187" s="77">
        <f t="shared" si="99"/>
        <v>21.917999999999999</v>
      </c>
      <c r="BH187" s="77">
        <f t="shared" si="100"/>
        <v>292.21999999999997</v>
      </c>
      <c r="BI187" s="78">
        <f t="shared" si="101"/>
        <v>0.25</v>
      </c>
      <c r="BJ187" s="79">
        <f t="shared" si="102"/>
        <v>0.15403428137715838</v>
      </c>
      <c r="BK187" s="80">
        <f t="shared" si="103"/>
        <v>401.26000000000005</v>
      </c>
      <c r="BL187" s="80">
        <f t="shared" si="104"/>
        <v>73.050000000000011</v>
      </c>
      <c r="BM187" s="79">
        <f t="shared" si="105"/>
        <v>0.15401319811937342</v>
      </c>
      <c r="BN187" s="81">
        <f t="shared" si="106"/>
        <v>0.82394736842105254</v>
      </c>
      <c r="BO187" s="82">
        <f t="shared" si="107"/>
        <v>219.17</v>
      </c>
      <c r="BP187" s="81">
        <f t="shared" si="108"/>
        <v>0.82394736842105254</v>
      </c>
      <c r="BQ187" s="81">
        <f t="shared" si="109"/>
        <v>0.8416363276612584</v>
      </c>
      <c r="BR187" s="81">
        <f t="shared" si="110"/>
        <v>1.1162603878116344</v>
      </c>
      <c r="BS187" s="82">
        <f t="shared" si="111"/>
        <v>266</v>
      </c>
      <c r="BT187" s="82">
        <f t="shared" si="112"/>
        <v>296.92526315789473</v>
      </c>
      <c r="BU187" s="82">
        <f t="shared" si="113"/>
        <v>292.21999999999997</v>
      </c>
      <c r="BV187"/>
      <c r="BW187" s="82">
        <f>IFERROR(INDEX('Infos Clientes'!$T:$T,MATCH('Detalhe Por UC'!$C187,'Infos Clientes'!B:B,0)),"")</f>
        <v>274.25</v>
      </c>
      <c r="BX187" s="83">
        <f t="shared" si="114"/>
        <v>0</v>
      </c>
      <c r="BY187" s="84">
        <f t="shared" si="115"/>
        <v>0.24602150461395569</v>
      </c>
      <c r="BZ187" s="85">
        <f>IF(_xlfn.MINIFS('Detalhe Por UC'!R:R,'Detalhe Por UC'!C:C,C187,'Detalhe Por UC'!AD:AD,"&gt;"&amp;0)=0,"",_xlfn.MINIFS('Detalhe Por UC'!R:R,'Detalhe Por UC'!C:C,C187,'Detalhe Por UC'!AD:AD,"&gt;"&amp;0))</f>
        <v>45627</v>
      </c>
      <c r="CA187" s="114">
        <f ca="1">IF(OR(S187&gt;0,AD187&gt;0),IFERROR(
SUMIFS(INDIRECT("'Infos Clientes'!$W"&amp;INDEX('Infos Clientes'!$C:$C,MATCH(C187,'Infos Clientes'!$H:$H,0))&amp;":$CZ"&amp;INDEX('Infos Clientes'!$C:$C,MATCH(C187,'Infos Clientes'!$H:$H,0))),'Infos Clientes'!$W$2:$CZ$2,"&gt;"&amp;$R187-365,'Infos Clientes'!$W$2:$CZ$2,"&lt;="&amp;$R187)/
COUNTIFS(INDIRECT("'Infos Clientes'!$W"&amp;INDEX('Infos Clientes'!$C:$C,MATCH(C187,'Infos Clientes'!$H:$H,0))&amp;":$CZ"&amp;INDEX('Infos Clientes'!$C:$C,MATCH(C187,'Infos Clientes'!$H:$H,0))),"&gt;="&amp;0,'Infos Clientes'!$W$2:$CZ$2,"&gt;"&amp;$R187-365,'Infos Clientes'!$W$2:$CZ$2,"&lt;="&amp;$R187),""),"")</f>
        <v>281.25</v>
      </c>
      <c r="CB187" s="87">
        <f>VLOOKUP(C187,'Infos Clientes'!B:L,11,0)</f>
        <v>0</v>
      </c>
      <c r="CC187" s="88" t="str">
        <f t="shared" si="116"/>
        <v>A Unidade Consumidora 10/931327-1 economizou R$73,06 na fatura referente à fev/2025  consumindo 266 kWh em créditos de energia renovável conforme fatura de energia. A economia foi de 25% em relação ao que seria pago para a Energisa considerando os créditos consumidos. Atenção: Mantenha as contas da Energisa em dia para evitar cortes.</v>
      </c>
      <c r="CD187" s="40" t="s">
        <v>128</v>
      </c>
      <c r="CF187" s="115">
        <f t="shared" si="117"/>
        <v>-182.09000000000006</v>
      </c>
    </row>
    <row r="188" spans="1:84" s="40" customFormat="1" ht="16.2" hidden="1" customHeight="1" x14ac:dyDescent="0.3">
      <c r="A188" s="105" t="str">
        <f>INDEX('Infos Clientes'!$D:$D,MATCH('Detalhe Por UC'!C188,'Infos Clientes'!B:B,0))</f>
        <v>IGREJA DO EVANGELHO QUADRANGULAR</v>
      </c>
      <c r="B188" s="106" t="str">
        <f>INDEX('Infos Clientes'!$F:$F,MATCH('Detalhe Por UC'!C188,'Infos Clientes'!B:B,0))</f>
        <v>62.955.505/0155-12</v>
      </c>
      <c r="C188" s="44" t="s">
        <v>129</v>
      </c>
      <c r="D188" t="s">
        <v>351</v>
      </c>
      <c r="E188" s="1" t="s">
        <v>352</v>
      </c>
      <c r="F188" s="56" t="str">
        <f>INDEX('Infos Clientes'!$I:$I,MATCH('Detalhe Por UC'!C188,'Infos Clientes'!B:B,0))</f>
        <v>BT</v>
      </c>
      <c r="G188" s="56" t="str">
        <f>INDEX('Infos Clientes'!$J:$J,MATCH('Detalhe Por UC'!C188,'Infos Clientes'!B:B,0))</f>
        <v>trifasico</v>
      </c>
      <c r="H188" s="108" t="s">
        <v>24</v>
      </c>
      <c r="I188" s="58">
        <f>IFERROR(VLOOKUP(C188,'Infos Clientes'!B:E,4,),"")</f>
        <v>358</v>
      </c>
      <c r="J188" s="109">
        <v>0.25</v>
      </c>
      <c r="K188" s="59">
        <f>INDEX('Infos Clientes'!$M:$M,MATCH('Detalhe Por UC'!C188,'Infos Clientes'!B:B,0))</f>
        <v>0.25</v>
      </c>
      <c r="L188" s="125">
        <v>0</v>
      </c>
      <c r="M188" s="56">
        <f>INDEX('Infos Clientes'!$N:$N,MATCH('Detalhe Por UC'!C188,'Infos Clientes'!B:B,0))</f>
        <v>0</v>
      </c>
      <c r="N188" s="56">
        <f t="shared" si="81"/>
        <v>0</v>
      </c>
      <c r="O188" s="56">
        <f t="shared" si="82"/>
        <v>11</v>
      </c>
      <c r="P188" s="56">
        <f t="shared" si="83"/>
        <v>0</v>
      </c>
      <c r="Q188" s="61">
        <f>IFERROR(IFERROR(INDEX('Infos Clientes'!$A$2:$V$9884,MATCH($C188,'Infos Clientes'!$B$2:$B$9884,0),MATCH(Q$8,'Infos Clientes'!$A$2:$V$2,0)),"")
+IF(OR(INDEX('Infos Clientes'!$A$2:$V$9884,MATCH($C188,'Infos Clientes'!$B$2:$B$9884,0),MATCH("Tempo de Fidelidade (meses)",'Infos Clientes'!$A$2:$V$2,0))=0,R188&gt;=MAX(R:R)),0,
ROUND((MAX(R:R)-R188)/(365/12),0)),"")</f>
        <v>0</v>
      </c>
      <c r="R188" s="111">
        <v>45689</v>
      </c>
      <c r="S188" s="112">
        <v>5.0000000000000001E-3</v>
      </c>
      <c r="T188" s="113">
        <f>IF($H188="GIROSSOL II",AP188/INDEX('Resumo Operacional'!$A$1:$P$1103,17,MATCH('Detalhe Por UC'!$R188,'Resumo Operacional'!$A$1:$P$1,0)),
IF($H188="GIROSSOL II e III",AP188/INDEX('Resumo Operacional'!$A$1:$P$1103,17,MATCH('Detalhe Por UC'!$R188,'Resumo Operacional'!$A$1:$P$1,0)),
""))</f>
        <v>1.7366592990211555E-2</v>
      </c>
      <c r="U188" s="113" t="str">
        <f>IF($H188="GIROSSOL III",AP188/INDEX('Resumo Operacional'!$A$1:$P$1103,53,MATCH('Detalhe Por UC'!$R188,'Resumo Operacional'!$A$1:$P$1,0)),
IF($H188="GIROSSOL II e III",AP188/INDEX('Resumo Operacional'!$A$1:$P$1103,53,MATCH('Detalhe Por UC'!$R188,'Resumo Operacional'!$A$1:$P$1,0)),
""))</f>
        <v/>
      </c>
      <c r="V188" s="18"/>
      <c r="W188" s="54"/>
      <c r="X188" s="127">
        <v>1.1161818181818182</v>
      </c>
      <c r="Y188" s="127">
        <v>0</v>
      </c>
      <c r="Z188" s="127">
        <v>1.1155555555555554</v>
      </c>
      <c r="AA188" s="127">
        <v>0</v>
      </c>
      <c r="AB188" s="127">
        <v>110</v>
      </c>
      <c r="AC188" s="127">
        <v>0</v>
      </c>
      <c r="AD188" s="127">
        <v>9</v>
      </c>
      <c r="AE188" s="35"/>
      <c r="AF188" s="127">
        <v>1108</v>
      </c>
      <c r="AG188" s="127">
        <v>0</v>
      </c>
      <c r="AH188" s="127">
        <v>49.05</v>
      </c>
      <c r="AI188" s="127">
        <v>0</v>
      </c>
      <c r="AJ188" s="127">
        <v>0</v>
      </c>
      <c r="AK188" s="31"/>
      <c r="AL188"/>
      <c r="AM188"/>
      <c r="AN188" s="71">
        <f t="shared" si="84"/>
        <v>211</v>
      </c>
      <c r="AO188" s="71">
        <f t="shared" si="85"/>
        <v>0</v>
      </c>
      <c r="AP188" s="71">
        <f t="shared" si="86"/>
        <v>220</v>
      </c>
      <c r="AQ188" s="72">
        <f>IF(OR($H188="GIROSSOL II",$H188="GIROSSOL II e III"),INDEX('Resumo Operacional'!$A$1:$P$1103,MATCH("Energia Injetada prevista total Fatura da Usina (TUSD)",'Resumo Operacional'!$B$1:$B$1103,0),MATCH('Detalhe Por UC'!$R188,'Resumo Operacional'!$A$1:$P$1,0))*$S188,INDEX('Resumo Operacional'!$A$1:$P$1103,53,MATCH('Detalhe Por UC'!$R188,'Resumo Operacional'!$A$1:$P$1,0))*$S188)</f>
        <v>63.34</v>
      </c>
      <c r="AR188" s="71">
        <f t="shared" si="87"/>
        <v>156.66</v>
      </c>
      <c r="AS188" s="73">
        <f t="shared" si="88"/>
        <v>161.79000000000002</v>
      </c>
      <c r="AT188" s="74">
        <f t="shared" si="89"/>
        <v>161.79000000000002</v>
      </c>
      <c r="AU188" s="74">
        <f t="shared" si="90"/>
        <v>1.1149292929292927</v>
      </c>
      <c r="AV188" s="74">
        <f t="shared" si="91"/>
        <v>7.5299999999999994</v>
      </c>
      <c r="AW188" s="74">
        <f t="shared" si="92"/>
        <v>0</v>
      </c>
      <c r="AX188" s="74">
        <f t="shared" si="93"/>
        <v>10.039999999999999</v>
      </c>
      <c r="AY188" s="74">
        <f t="shared" si="94"/>
        <v>7.53</v>
      </c>
      <c r="AZ188" s="49">
        <v>7.53</v>
      </c>
      <c r="BA188" s="49">
        <v>7.53</v>
      </c>
      <c r="BB188" s="49">
        <v>7.53</v>
      </c>
      <c r="BC188" s="73" t="str">
        <f t="shared" si="95"/>
        <v/>
      </c>
      <c r="BD188" s="73">
        <f t="shared" si="96"/>
        <v>171.82999999999998</v>
      </c>
      <c r="BE188" s="73">
        <f t="shared" si="97"/>
        <v>169.32000000000002</v>
      </c>
      <c r="BF188" s="77">
        <f t="shared" si="98"/>
        <v>2.5099999999999998</v>
      </c>
      <c r="BG188" s="77">
        <f t="shared" si="99"/>
        <v>0.75299999999999989</v>
      </c>
      <c r="BH188" s="77">
        <f t="shared" si="100"/>
        <v>10.039999999999999</v>
      </c>
      <c r="BI188" s="78">
        <f t="shared" si="101"/>
        <v>0.25</v>
      </c>
      <c r="BJ188" s="79">
        <f t="shared" si="102"/>
        <v>1.4607460862480359E-2</v>
      </c>
      <c r="BK188" s="80">
        <f t="shared" si="103"/>
        <v>169.32000000000002</v>
      </c>
      <c r="BL188" s="80">
        <f t="shared" si="104"/>
        <v>2.5099999999999625</v>
      </c>
      <c r="BM188" s="79">
        <f t="shared" si="105"/>
        <v>1.4607460862480142E-2</v>
      </c>
      <c r="BN188" s="81">
        <f t="shared" si="106"/>
        <v>0.83666666666666667</v>
      </c>
      <c r="BO188" s="82">
        <f t="shared" si="107"/>
        <v>7.53</v>
      </c>
      <c r="BP188" s="81">
        <f t="shared" si="108"/>
        <v>0.83666666666666667</v>
      </c>
      <c r="BQ188" s="81">
        <f t="shared" si="109"/>
        <v>0.83729292929292942</v>
      </c>
      <c r="BR188" s="81">
        <f t="shared" si="110"/>
        <v>1.1161818181818182</v>
      </c>
      <c r="BS188" s="82">
        <f t="shared" si="111"/>
        <v>9</v>
      </c>
      <c r="BT188" s="82">
        <f t="shared" si="112"/>
        <v>10.045636363636364</v>
      </c>
      <c r="BU188" s="82">
        <f t="shared" si="113"/>
        <v>10.039999999999999</v>
      </c>
      <c r="BV188"/>
      <c r="BW188" s="82">
        <f>IFERROR(INDEX('Infos Clientes'!$T:$T,MATCH('Detalhe Por UC'!$C188,'Infos Clientes'!B:B,0)),"")</f>
        <v>123.5</v>
      </c>
      <c r="BX188" s="83">
        <f t="shared" si="114"/>
        <v>0</v>
      </c>
      <c r="BY188" s="84">
        <f t="shared" si="115"/>
        <v>0.24985973104559181</v>
      </c>
      <c r="BZ188" s="85">
        <f>IF(_xlfn.MINIFS('Detalhe Por UC'!R:R,'Detalhe Por UC'!C:C,C188,'Detalhe Por UC'!AD:AD,"&gt;"&amp;0)=0,"",_xlfn.MINIFS('Detalhe Por UC'!R:R,'Detalhe Por UC'!C:C,C188,'Detalhe Por UC'!AD:AD,"&gt;"&amp;0))</f>
        <v>45627</v>
      </c>
      <c r="CA188" s="114">
        <f ca="1">IF(OR(S188&gt;0,AD188&gt;0),IFERROR(
SUMIFS(INDIRECT("'Infos Clientes'!$W"&amp;INDEX('Infos Clientes'!$C:$C,MATCH(C188,'Infos Clientes'!$H:$H,0))&amp;":$CZ"&amp;INDEX('Infos Clientes'!$C:$C,MATCH(C188,'Infos Clientes'!$H:$H,0))),'Infos Clientes'!$W$2:$CZ$2,"&gt;"&amp;$R188-365,'Infos Clientes'!$W$2:$CZ$2,"&lt;="&amp;$R188)/
COUNTIFS(INDIRECT("'Infos Clientes'!$W"&amp;INDEX('Infos Clientes'!$C:$C,MATCH(C188,'Infos Clientes'!$H:$H,0))&amp;":$CZ"&amp;INDEX('Infos Clientes'!$C:$C,MATCH(C188,'Infos Clientes'!$H:$H,0))),"&gt;="&amp;0,'Infos Clientes'!$W$2:$CZ$2,"&gt;"&amp;$R188-365,'Infos Clientes'!$W$2:$CZ$2,"&lt;="&amp;$R188),""),"")</f>
        <v>120.08333333333333</v>
      </c>
      <c r="CB188" s="87">
        <f>VLOOKUP(C188,'Infos Clientes'!B:L,11,0)</f>
        <v>0</v>
      </c>
      <c r="CC188" s="88" t="str">
        <f t="shared" si="116"/>
        <v>A Unidade Consumidora 10/987178-1 economizou R$2,51 na fatura referente à fev/2025  consumindo 9 kWh em créditos de energia renovável conforme fatura de energia. A economia foi de 25% em relação ao que seria pago para a Energisa considerando os créditos consumidos. Atenção: Mantenha as contas da Energisa em dia para evitar cortes.</v>
      </c>
      <c r="CD188" s="40" t="s">
        <v>131</v>
      </c>
      <c r="CF188" s="115">
        <f t="shared" si="117"/>
        <v>-161.79000000000002</v>
      </c>
    </row>
    <row r="189" spans="1:84" s="40" customFormat="1" ht="16.2" hidden="1" customHeight="1" x14ac:dyDescent="0.3">
      <c r="A189" s="105" t="str">
        <f>INDEX('Infos Clientes'!$D:$D,MATCH('Detalhe Por UC'!C189,'Infos Clientes'!B:B,0))</f>
        <v>IGREJA DO EVANGELHO QUADRANGULAR</v>
      </c>
      <c r="B189" s="106" t="str">
        <f>INDEX('Infos Clientes'!$F:$F,MATCH('Detalhe Por UC'!C189,'Infos Clientes'!B:B,0))</f>
        <v>62.955.505/0914-56</v>
      </c>
      <c r="C189" s="107" t="s">
        <v>132</v>
      </c>
      <c r="D189" t="s">
        <v>351</v>
      </c>
      <c r="E189" s="1" t="s">
        <v>352</v>
      </c>
      <c r="F189" s="56">
        <f>INDEX('Infos Clientes'!$I:$I,MATCH('Detalhe Por UC'!C189,'Infos Clientes'!B:B,0))</f>
        <v>0</v>
      </c>
      <c r="G189" s="56">
        <f>INDEX('Infos Clientes'!$J:$J,MATCH('Detalhe Por UC'!C189,'Infos Clientes'!B:B,0))</f>
        <v>0</v>
      </c>
      <c r="H189" s="108" t="s">
        <v>353</v>
      </c>
      <c r="I189" s="58">
        <f>IFERROR(VLOOKUP(C189,'Infos Clientes'!B:E,4,),"")</f>
        <v>0</v>
      </c>
      <c r="J189" s="109">
        <v>0</v>
      </c>
      <c r="K189" s="59">
        <f>INDEX('Infos Clientes'!$M:$M,MATCH('Detalhe Por UC'!C189,'Infos Clientes'!B:B,0))</f>
        <v>0</v>
      </c>
      <c r="L189" s="125">
        <v>0</v>
      </c>
      <c r="M189" s="56">
        <f>INDEX('Infos Clientes'!$N:$N,MATCH('Detalhe Por UC'!C189,'Infos Clientes'!B:B,0))</f>
        <v>0</v>
      </c>
      <c r="N189" s="56">
        <f t="shared" si="81"/>
        <v>6</v>
      </c>
      <c r="O189" s="56">
        <f t="shared" si="82"/>
        <v>0</v>
      </c>
      <c r="P189" s="56">
        <f t="shared" si="83"/>
        <v>-6</v>
      </c>
      <c r="Q189" s="61">
        <f>IFERROR(IFERROR(INDEX('Infos Clientes'!$A$2:$V$9884,MATCH($C189,'Infos Clientes'!$B$2:$B$9884,0),MATCH(Q$8,'Infos Clientes'!$A$2:$V$2,0)),"")
+IF(OR(INDEX('Infos Clientes'!$A$2:$V$9884,MATCH($C189,'Infos Clientes'!$B$2:$B$9884,0),MATCH("Tempo de Fidelidade (meses)",'Infos Clientes'!$A$2:$V$2,0))=0,R189&gt;=MAX(R:R)),0,
ROUND((MAX(R:R)-R189)/(365/12),0)),"")</f>
        <v>0</v>
      </c>
      <c r="R189" s="111">
        <v>45689</v>
      </c>
      <c r="S189" s="112">
        <v>0.02</v>
      </c>
      <c r="T189" s="113">
        <f>IF($H189="GIROSSOL II",AP189/INDEX('Resumo Operacional'!$A$1:$P$1103,17,MATCH('Detalhe Por UC'!$R189,'Resumo Operacional'!$A$1:$P$1,0)),
IF($H189="GIROSSOL II e III",AP189/INDEX('Resumo Operacional'!$A$1:$P$1103,17,MATCH('Detalhe Por UC'!$R189,'Resumo Operacional'!$A$1:$P$1,0)),
""))</f>
        <v>0</v>
      </c>
      <c r="U189" s="113">
        <f>IF($H189="GIROSSOL III",AP189/INDEX('Resumo Operacional'!$A$1:$P$1103,53,MATCH('Detalhe Por UC'!$R189,'Resumo Operacional'!$A$1:$P$1,0)),
IF($H189="GIROSSOL II e III",AP189/INDEX('Resumo Operacional'!$A$1:$P$1103,53,MATCH('Detalhe Por UC'!$R189,'Resumo Operacional'!$A$1:$P$1,0)),
""))</f>
        <v>0</v>
      </c>
      <c r="V189" s="18"/>
      <c r="W189" s="54"/>
      <c r="X189" s="127"/>
      <c r="Y189" s="127"/>
      <c r="Z189" s="127"/>
      <c r="AA189" s="127"/>
      <c r="AB189" s="127"/>
      <c r="AC189" s="127"/>
      <c r="AD189" s="127"/>
      <c r="AE189" s="35"/>
      <c r="AF189" s="127"/>
      <c r="AG189" s="127"/>
      <c r="AH189" s="127"/>
      <c r="AI189" s="127"/>
      <c r="AJ189" s="127"/>
      <c r="AK189" s="31"/>
      <c r="AL189"/>
      <c r="AM189"/>
      <c r="AN189" s="71" t="str">
        <f t="shared" si="84"/>
        <v/>
      </c>
      <c r="AO189" s="71" t="str">
        <f t="shared" si="85"/>
        <v/>
      </c>
      <c r="AP189" s="71">
        <f t="shared" si="86"/>
        <v>0</v>
      </c>
      <c r="AQ189" s="72">
        <f>IF(OR($H189="GIROSSOL II",$H189="GIROSSOL II e III"),INDEX('Resumo Operacional'!$A$1:$P$1103,MATCH("Energia Injetada prevista total Fatura da Usina (TUSD)",'Resumo Operacional'!$B$1:$B$1103,0),MATCH('Detalhe Por UC'!$R189,'Resumo Operacional'!$A$1:$P$1,0))*$S189,INDEX('Resumo Operacional'!$A$1:$P$1103,53,MATCH('Detalhe Por UC'!$R189,'Resumo Operacional'!$A$1:$P$1,0))*$S189)</f>
        <v>253.36</v>
      </c>
      <c r="AR189" s="71" t="str">
        <f t="shared" si="87"/>
        <v/>
      </c>
      <c r="AS189" s="73">
        <f t="shared" si="88"/>
        <v>0</v>
      </c>
      <c r="AT189" s="74">
        <f t="shared" si="89"/>
        <v>0</v>
      </c>
      <c r="AU189" s="74" t="str">
        <f t="shared" si="90"/>
        <v/>
      </c>
      <c r="AV189" s="74">
        <f t="shared" si="91"/>
        <v>0</v>
      </c>
      <c r="AW189" s="74">
        <f t="shared" si="92"/>
        <v>0</v>
      </c>
      <c r="AX189" s="74">
        <f t="shared" si="93"/>
        <v>0</v>
      </c>
      <c r="AY189" s="74" t="str">
        <f t="shared" si="94"/>
        <v/>
      </c>
      <c r="AZ189" s="49"/>
      <c r="BA189" s="49"/>
      <c r="BB189" s="49"/>
      <c r="BC189" s="73" t="str">
        <f t="shared" si="95"/>
        <v/>
      </c>
      <c r="BD189" s="73">
        <f t="shared" si="96"/>
        <v>0</v>
      </c>
      <c r="BE189" s="73">
        <f t="shared" si="97"/>
        <v>0</v>
      </c>
      <c r="BF189" s="77">
        <f t="shared" si="98"/>
        <v>0</v>
      </c>
      <c r="BG189" s="77">
        <f t="shared" si="99"/>
        <v>0</v>
      </c>
      <c r="BH189" s="77">
        <f t="shared" si="100"/>
        <v>0</v>
      </c>
      <c r="BI189" s="78" t="str">
        <f t="shared" si="101"/>
        <v/>
      </c>
      <c r="BJ189" s="79" t="str">
        <f t="shared" si="102"/>
        <v/>
      </c>
      <c r="BK189" s="80" t="str">
        <f t="shared" si="103"/>
        <v/>
      </c>
      <c r="BL189" s="80" t="str">
        <f t="shared" si="104"/>
        <v/>
      </c>
      <c r="BM189" s="79" t="str">
        <f t="shared" si="105"/>
        <v/>
      </c>
      <c r="BN189" s="81" t="str">
        <f t="shared" si="106"/>
        <v/>
      </c>
      <c r="BO189" s="82" t="str">
        <f t="shared" si="107"/>
        <v/>
      </c>
      <c r="BP189" s="81" t="str">
        <f t="shared" si="108"/>
        <v/>
      </c>
      <c r="BQ189" s="81" t="str">
        <f t="shared" si="109"/>
        <v/>
      </c>
      <c r="BR189" s="81" t="str">
        <f t="shared" si="110"/>
        <v/>
      </c>
      <c r="BS189" s="82">
        <f t="shared" si="111"/>
        <v>0</v>
      </c>
      <c r="BT189" s="82" t="str">
        <f t="shared" si="112"/>
        <v/>
      </c>
      <c r="BU189" s="82">
        <f t="shared" si="113"/>
        <v>0</v>
      </c>
      <c r="BV189"/>
      <c r="BW189" s="82">
        <f>IFERROR(INDEX('Infos Clientes'!$T:$T,MATCH('Detalhe Por UC'!$C189,'Infos Clientes'!B:B,0)),"")</f>
        <v>0</v>
      </c>
      <c r="BX189" s="83">
        <f t="shared" si="114"/>
        <v>0</v>
      </c>
      <c r="BY189" s="84" t="str">
        <f t="shared" si="115"/>
        <v/>
      </c>
      <c r="BZ189" s="85" t="str">
        <f>IF(_xlfn.MINIFS('Detalhe Por UC'!R:R,'Detalhe Por UC'!C:C,C189,'Detalhe Por UC'!AD:AD,"&gt;"&amp;0)=0,"",_xlfn.MINIFS('Detalhe Por UC'!R:R,'Detalhe Por UC'!C:C,C189,'Detalhe Por UC'!AD:AD,"&gt;"&amp;0))</f>
        <v/>
      </c>
      <c r="CA189" s="114">
        <f ca="1">IF(OR(S189&gt;0,AD189&gt;0),IFERROR(
SUMIFS(INDIRECT("'Infos Clientes'!$W"&amp;INDEX('Infos Clientes'!$C:$C,MATCH(C189,'Infos Clientes'!$H:$H,0))&amp;":$CZ"&amp;INDEX('Infos Clientes'!$C:$C,MATCH(C189,'Infos Clientes'!$H:$H,0))),'Infos Clientes'!$W$2:$CZ$2,"&gt;"&amp;$R189-365,'Infos Clientes'!$W$2:$CZ$2,"&lt;="&amp;$R189)/
COUNTIFS(INDIRECT("'Infos Clientes'!$W"&amp;INDEX('Infos Clientes'!$C:$C,MATCH(C189,'Infos Clientes'!$H:$H,0))&amp;":$CZ"&amp;INDEX('Infos Clientes'!$C:$C,MATCH(C189,'Infos Clientes'!$H:$H,0))),"&gt;="&amp;0,'Infos Clientes'!$W$2:$CZ$2,"&gt;"&amp;$R189-365,'Infos Clientes'!$W$2:$CZ$2,"&lt;="&amp;$R189),""),"")</f>
        <v>136</v>
      </c>
      <c r="CB189" s="87">
        <f>VLOOKUP(C189,'Infos Clientes'!B:L,11,0)</f>
        <v>0</v>
      </c>
      <c r="CC189" s="88" t="str">
        <f t="shared" si="116"/>
        <v>A Unidade Consumidora 10/104720-8 economizou R$0 na fatura referente à fev/2025  consumindo  kWh em créditos de energia renovável conforme fatura de energia. A economia foi de 0% em relação ao que seria pago para a Energisa considerando os créditos consumidos. Atenção: Mantenha as contas da Energisa em dia para evitar cortes.</v>
      </c>
      <c r="CF189" s="115">
        <f t="shared" si="117"/>
        <v>0</v>
      </c>
    </row>
    <row r="190" spans="1:84" s="40" customFormat="1" ht="16.2" hidden="1" customHeight="1" x14ac:dyDescent="0.3">
      <c r="A190" s="105" t="str">
        <f>INDEX('Infos Clientes'!$D:$D,MATCH('Detalhe Por UC'!C190,'Infos Clientes'!B:B,0))</f>
        <v>IGREJA DO EVANGELHO QUADRANGULAR</v>
      </c>
      <c r="B190" s="106" t="str">
        <f>INDEX('Infos Clientes'!$F:$F,MATCH('Detalhe Por UC'!C190,'Infos Clientes'!B:B,0))</f>
        <v>62.955.505/0914-56</v>
      </c>
      <c r="C190" s="107" t="s">
        <v>134</v>
      </c>
      <c r="D190" t="s">
        <v>351</v>
      </c>
      <c r="E190" s="1" t="s">
        <v>352</v>
      </c>
      <c r="F190" s="56" t="str">
        <f>INDEX('Infos Clientes'!$I:$I,MATCH('Detalhe Por UC'!C190,'Infos Clientes'!B:B,0))</f>
        <v>BT</v>
      </c>
      <c r="G190" s="56" t="str">
        <f>INDEX('Infos Clientes'!$J:$J,MATCH('Detalhe Por UC'!C190,'Infos Clientes'!B:B,0))</f>
        <v>monofasico</v>
      </c>
      <c r="H190" s="108" t="s">
        <v>353</v>
      </c>
      <c r="I190" s="58">
        <f>IFERROR(VLOOKUP(C190,'Infos Clientes'!B:E,4,),"")</f>
        <v>0</v>
      </c>
      <c r="J190" s="109">
        <v>0.25</v>
      </c>
      <c r="K190" s="59">
        <f>INDEX('Infos Clientes'!$M:$M,MATCH('Detalhe Por UC'!C190,'Infos Clientes'!B:B,0))</f>
        <v>0.25</v>
      </c>
      <c r="L190" s="125">
        <v>0</v>
      </c>
      <c r="M190" s="56">
        <f>INDEX('Infos Clientes'!$N:$N,MATCH('Detalhe Por UC'!C190,'Infos Clientes'!B:B,0))</f>
        <v>0</v>
      </c>
      <c r="N190" s="56">
        <f t="shared" si="81"/>
        <v>0</v>
      </c>
      <c r="O190" s="56">
        <f t="shared" si="82"/>
        <v>10</v>
      </c>
      <c r="P190" s="56">
        <f t="shared" si="83"/>
        <v>0</v>
      </c>
      <c r="Q190" s="61">
        <f>IFERROR(IFERROR(INDEX('Infos Clientes'!$A$2:$V$9884,MATCH($C190,'Infos Clientes'!$B$2:$B$9884,0),MATCH(Q$8,'Infos Clientes'!$A$2:$V$2,0)),"")
+IF(OR(INDEX('Infos Clientes'!$A$2:$V$9884,MATCH($C190,'Infos Clientes'!$B$2:$B$9884,0),MATCH("Tempo de Fidelidade (meses)",'Infos Clientes'!$A$2:$V$2,0))=0,R190&gt;=MAX(R:R)),0,
ROUND((MAX(R:R)-R190)/(365/12),0)),"")</f>
        <v>0</v>
      </c>
      <c r="R190" s="111">
        <v>45689</v>
      </c>
      <c r="S190" s="112">
        <v>0.02</v>
      </c>
      <c r="T190" s="113">
        <f>IF($H190="GIROSSOL II",AP190/INDEX('Resumo Operacional'!$A$1:$P$1103,17,MATCH('Detalhe Por UC'!$R190,'Resumo Operacional'!$A$1:$P$1,0)),
IF($H190="GIROSSOL II e III",AP190/INDEX('Resumo Operacional'!$A$1:$P$1103,17,MATCH('Detalhe Por UC'!$R190,'Resumo Operacional'!$A$1:$P$1,0)),
""))</f>
        <v>0</v>
      </c>
      <c r="U190" s="113">
        <f>IF($H190="GIROSSOL III",AP190/INDEX('Resumo Operacional'!$A$1:$P$1103,53,MATCH('Detalhe Por UC'!$R190,'Resumo Operacional'!$A$1:$P$1,0)),
IF($H190="GIROSSOL II e III",AP190/INDEX('Resumo Operacional'!$A$1:$P$1103,53,MATCH('Detalhe Por UC'!$R190,'Resumo Operacional'!$A$1:$P$1,0)),
""))</f>
        <v>0</v>
      </c>
      <c r="V190" s="18"/>
      <c r="W190" s="54"/>
      <c r="X190" s="127"/>
      <c r="Y190" s="127"/>
      <c r="Z190" s="127"/>
      <c r="AA190" s="127"/>
      <c r="AB190" s="127"/>
      <c r="AC190" s="127"/>
      <c r="AD190" s="127"/>
      <c r="AE190" s="35"/>
      <c r="AF190" s="127"/>
      <c r="AG190" s="127"/>
      <c r="AH190" s="127"/>
      <c r="AI190" s="127"/>
      <c r="AJ190" s="127"/>
      <c r="AK190" s="31"/>
      <c r="AL190"/>
      <c r="AM190"/>
      <c r="AN190" s="71" t="str">
        <f t="shared" si="84"/>
        <v/>
      </c>
      <c r="AO190" s="71" t="str">
        <f t="shared" si="85"/>
        <v/>
      </c>
      <c r="AP190" s="71">
        <f t="shared" si="86"/>
        <v>0</v>
      </c>
      <c r="AQ190" s="72">
        <f>IF(OR($H190="GIROSSOL II",$H190="GIROSSOL II e III"),INDEX('Resumo Operacional'!$A$1:$P$1103,MATCH("Energia Injetada prevista total Fatura da Usina (TUSD)",'Resumo Operacional'!$B$1:$B$1103,0),MATCH('Detalhe Por UC'!$R190,'Resumo Operacional'!$A$1:$P$1,0))*$S190,INDEX('Resumo Operacional'!$A$1:$P$1103,53,MATCH('Detalhe Por UC'!$R190,'Resumo Operacional'!$A$1:$P$1,0))*$S190)</f>
        <v>253.36</v>
      </c>
      <c r="AR190" s="71" t="str">
        <f t="shared" si="87"/>
        <v/>
      </c>
      <c r="AS190" s="73">
        <f t="shared" si="88"/>
        <v>0</v>
      </c>
      <c r="AT190" s="74">
        <f t="shared" si="89"/>
        <v>0</v>
      </c>
      <c r="AU190" s="74" t="str">
        <f t="shared" si="90"/>
        <v/>
      </c>
      <c r="AV190" s="74">
        <f t="shared" si="91"/>
        <v>0</v>
      </c>
      <c r="AW190" s="74">
        <f t="shared" si="92"/>
        <v>134.56</v>
      </c>
      <c r="AX190" s="74">
        <f t="shared" si="93"/>
        <v>134.56</v>
      </c>
      <c r="AY190" s="74">
        <f t="shared" si="94"/>
        <v>134.56</v>
      </c>
      <c r="AZ190" s="49"/>
      <c r="BA190" s="49"/>
      <c r="BB190" s="49"/>
      <c r="BC190" s="73" t="str">
        <f t="shared" si="95"/>
        <v/>
      </c>
      <c r="BD190" s="73">
        <f t="shared" si="96"/>
        <v>0</v>
      </c>
      <c r="BE190" s="73">
        <f t="shared" si="97"/>
        <v>0</v>
      </c>
      <c r="BF190" s="77">
        <f t="shared" si="98"/>
        <v>0</v>
      </c>
      <c r="BG190" s="77">
        <f t="shared" si="99"/>
        <v>0</v>
      </c>
      <c r="BH190" s="77">
        <f t="shared" si="100"/>
        <v>0</v>
      </c>
      <c r="BI190" s="78" t="str">
        <f t="shared" si="101"/>
        <v/>
      </c>
      <c r="BJ190" s="79" t="str">
        <f t="shared" si="102"/>
        <v/>
      </c>
      <c r="BK190" s="80">
        <f t="shared" si="103"/>
        <v>134.56</v>
      </c>
      <c r="BL190" s="80">
        <f t="shared" si="104"/>
        <v>-134.56</v>
      </c>
      <c r="BM190" s="79" t="str">
        <f t="shared" si="105"/>
        <v/>
      </c>
      <c r="BN190" s="81" t="str">
        <f t="shared" si="106"/>
        <v/>
      </c>
      <c r="BO190" s="82" t="str">
        <f t="shared" si="107"/>
        <v/>
      </c>
      <c r="BP190" s="81" t="str">
        <f t="shared" si="108"/>
        <v/>
      </c>
      <c r="BQ190" s="81" t="str">
        <f t="shared" si="109"/>
        <v/>
      </c>
      <c r="BR190" s="81" t="str">
        <f t="shared" si="110"/>
        <v/>
      </c>
      <c r="BS190" s="82">
        <f t="shared" si="111"/>
        <v>0</v>
      </c>
      <c r="BT190" s="82" t="str">
        <f t="shared" si="112"/>
        <v/>
      </c>
      <c r="BU190" s="82">
        <f t="shared" si="113"/>
        <v>0</v>
      </c>
      <c r="BV190"/>
      <c r="BW190" s="82">
        <f>IFERROR(INDEX('Infos Clientes'!$T:$T,MATCH('Detalhe Por UC'!$C190,'Infos Clientes'!B:B,0)),"")</f>
        <v>0</v>
      </c>
      <c r="BX190" s="83">
        <f t="shared" si="114"/>
        <v>0</v>
      </c>
      <c r="BY190" s="84" t="str">
        <f t="shared" si="115"/>
        <v/>
      </c>
      <c r="BZ190" s="85">
        <f>IF(_xlfn.MINIFS('Detalhe Por UC'!R:R,'Detalhe Por UC'!C:C,C190,'Detalhe Por UC'!AD:AD,"&gt;"&amp;0)=0,"",_xlfn.MINIFS('Detalhe Por UC'!R:R,'Detalhe Por UC'!C:C,C190,'Detalhe Por UC'!AD:AD,"&gt;"&amp;0))</f>
        <v>45658</v>
      </c>
      <c r="CA190" s="114">
        <f ca="1">IF(OR(S190&gt;0,AD190&gt;0),IFERROR(
SUMIFS(INDIRECT("'Infos Clientes'!$W"&amp;INDEX('Infos Clientes'!$C:$C,MATCH(C190,'Infos Clientes'!$H:$H,0))&amp;":$CZ"&amp;INDEX('Infos Clientes'!$C:$C,MATCH(C190,'Infos Clientes'!$H:$H,0))),'Infos Clientes'!$W$2:$CZ$2,"&gt;"&amp;$R190-365,'Infos Clientes'!$W$2:$CZ$2,"&lt;="&amp;$R190)/
COUNTIFS(INDIRECT("'Infos Clientes'!$W"&amp;INDEX('Infos Clientes'!$C:$C,MATCH(C190,'Infos Clientes'!$H:$H,0))&amp;":$CZ"&amp;INDEX('Infos Clientes'!$C:$C,MATCH(C190,'Infos Clientes'!$H:$H,0))),"&gt;="&amp;0,'Infos Clientes'!$W$2:$CZ$2,"&gt;"&amp;$R190-365,'Infos Clientes'!$W$2:$CZ$2,"&lt;="&amp;$R190),""),"")</f>
        <v>162</v>
      </c>
      <c r="CB190" s="87">
        <f>VLOOKUP(C190,'Infos Clientes'!B:L,11,0)</f>
        <v>0</v>
      </c>
      <c r="CC190" s="88" t="str">
        <f t="shared" si="116"/>
        <v>A Unidade Consumidora 10/150263-2 economizou R$0 na fatura referente à fev/2025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F190" s="115">
        <f t="shared" si="117"/>
        <v>0</v>
      </c>
    </row>
    <row r="191" spans="1:84" ht="16.2" hidden="1" customHeight="1" x14ac:dyDescent="0.3">
      <c r="A191" s="105" t="str">
        <f>INDEX('Infos Clientes'!$D:$D,MATCH('Detalhe Por UC'!C191,'Infos Clientes'!B:B,0))</f>
        <v>IGREJA DO EVANGELHO QUADRANGULAR</v>
      </c>
      <c r="B191" s="106" t="str">
        <f>INDEX('Infos Clientes'!$F:$F,MATCH('Detalhe Por UC'!C191,'Infos Clientes'!B:B,0))</f>
        <v>62.955.505/4194-43</v>
      </c>
      <c r="C191" s="130" t="s">
        <v>135</v>
      </c>
      <c r="D191" t="s">
        <v>351</v>
      </c>
      <c r="E191" s="1" t="s">
        <v>352</v>
      </c>
      <c r="F191" s="56" t="str">
        <f>INDEX('Infos Clientes'!$I:$I,MATCH('Detalhe Por UC'!C191,'Infos Clientes'!B:B,0))</f>
        <v>BT</v>
      </c>
      <c r="G191" s="56" t="str">
        <f>INDEX('Infos Clientes'!$J:$J,MATCH('Detalhe Por UC'!C191,'Infos Clientes'!B:B,0))</f>
        <v>trifasico</v>
      </c>
      <c r="H191" s="108" t="s">
        <v>24</v>
      </c>
      <c r="I191" s="58">
        <f>IFERROR(VLOOKUP(C191,'Infos Clientes'!B:E,4,),"")</f>
        <v>0</v>
      </c>
      <c r="J191" s="109">
        <v>0.25</v>
      </c>
      <c r="K191" s="59">
        <f>INDEX('Infos Clientes'!$M:$M,MATCH('Detalhe Por UC'!C191,'Infos Clientes'!B:B,0))</f>
        <v>0.25</v>
      </c>
      <c r="L191" s="125">
        <v>0</v>
      </c>
      <c r="M191" s="56">
        <f>INDEX('Infos Clientes'!$N:$N,MATCH('Detalhe Por UC'!C191,'Infos Clientes'!B:B,0))</f>
        <v>0</v>
      </c>
      <c r="N191" s="56">
        <f t="shared" si="81"/>
        <v>0</v>
      </c>
      <c r="O191" s="56">
        <f t="shared" si="82"/>
        <v>7</v>
      </c>
      <c r="P191" s="56">
        <f t="shared" si="83"/>
        <v>0</v>
      </c>
      <c r="Q191" s="61">
        <f>IFERROR(IFERROR(INDEX('Infos Clientes'!$A$2:$V$9884,MATCH($C191,'Infos Clientes'!$B$2:$B$9884,0),MATCH(Q$8,'Infos Clientes'!$A$2:$V$2,0)),"")
+IF(OR(INDEX('Infos Clientes'!$A$2:$V$9884,MATCH($C191,'Infos Clientes'!$B$2:$B$9884,0),MATCH("Tempo de Fidelidade (meses)",'Infos Clientes'!$A$2:$V$2,0))=0,R191&gt;=MAX(R:R)),0,
ROUND((MAX(R:R)-R191)/(365/12),0)),"")</f>
        <v>0</v>
      </c>
      <c r="R191" s="111">
        <v>45689</v>
      </c>
      <c r="S191" s="112">
        <v>0</v>
      </c>
      <c r="T191" s="113">
        <f>IF($H191="GIROSSOL II",AP191/INDEX('Resumo Operacional'!$A$1:$P$1103,17,MATCH('Detalhe Por UC'!$R191,'Resumo Operacional'!$A$1:$P$1,0)),
IF($H191="GIROSSOL II e III",AP191/INDEX('Resumo Operacional'!$A$1:$P$1103,17,MATCH('Detalhe Por UC'!$R191,'Resumo Operacional'!$A$1:$P$1,0)),
""))</f>
        <v>3.2838648563309127E-2</v>
      </c>
      <c r="U191" s="113" t="str">
        <f>IF($H191="GIROSSOL III",AP191/INDEX('Resumo Operacional'!$A$1:$P$1103,53,MATCH('Detalhe Por UC'!$R191,'Resumo Operacional'!$A$1:$P$1,0)),
IF($H191="GIROSSOL II e III",AP191/INDEX('Resumo Operacional'!$A$1:$P$1103,53,MATCH('Detalhe Por UC'!$R191,'Resumo Operacional'!$A$1:$P$1,0)),
""))</f>
        <v/>
      </c>
      <c r="V191" s="18"/>
      <c r="W191" s="54"/>
      <c r="X191" s="127">
        <v>1.1162365591397849</v>
      </c>
      <c r="Y191" s="127">
        <v>0</v>
      </c>
      <c r="Z191" s="127">
        <v>1.1162011173184356</v>
      </c>
      <c r="AA191" s="127">
        <v>0</v>
      </c>
      <c r="AB191" s="127">
        <v>279</v>
      </c>
      <c r="AC191" s="127">
        <v>0</v>
      </c>
      <c r="AD191" s="127">
        <v>179</v>
      </c>
      <c r="AE191" s="35"/>
      <c r="AF191" s="127">
        <v>237</v>
      </c>
      <c r="AG191" s="127">
        <v>0</v>
      </c>
      <c r="AH191" s="127">
        <v>36.010000000000005</v>
      </c>
      <c r="AI191" s="127">
        <v>0</v>
      </c>
      <c r="AJ191" s="127">
        <v>0</v>
      </c>
      <c r="AK191" s="31"/>
      <c r="AN191" s="71">
        <f t="shared" si="84"/>
        <v>237</v>
      </c>
      <c r="AO191" s="71">
        <f t="shared" si="85"/>
        <v>0</v>
      </c>
      <c r="AP191" s="71">
        <f t="shared" si="86"/>
        <v>416</v>
      </c>
      <c r="AQ191" s="72">
        <f>IF(OR($H191="GIROSSOL II",$H191="GIROSSOL II e III"),INDEX('Resumo Operacional'!$A$1:$P$1103,MATCH("Energia Injetada prevista total Fatura da Usina (TUSD)",'Resumo Operacional'!$B$1:$B$1103,0),MATCH('Detalhe Por UC'!$R191,'Resumo Operacional'!$A$1:$P$1,0))*$S191,INDEX('Resumo Operacional'!$A$1:$P$1103,53,MATCH('Detalhe Por UC'!$R191,'Resumo Operacional'!$A$1:$P$1,0))*$S191)</f>
        <v>0</v>
      </c>
      <c r="AR191" s="71">
        <f t="shared" si="87"/>
        <v>416</v>
      </c>
      <c r="AS191" s="73">
        <f t="shared" si="88"/>
        <v>147.64000000000004</v>
      </c>
      <c r="AT191" s="74">
        <f t="shared" si="89"/>
        <v>147.64000000000004</v>
      </c>
      <c r="AU191" s="74">
        <f t="shared" si="90"/>
        <v>1.1161656754970863</v>
      </c>
      <c r="AV191" s="74">
        <f t="shared" si="91"/>
        <v>149.85</v>
      </c>
      <c r="AW191" s="74">
        <f t="shared" si="92"/>
        <v>0</v>
      </c>
      <c r="AX191" s="74">
        <f t="shared" si="93"/>
        <v>199.79999999999998</v>
      </c>
      <c r="AY191" s="74">
        <f t="shared" si="94"/>
        <v>149.85</v>
      </c>
      <c r="AZ191" s="49">
        <v>149.85</v>
      </c>
      <c r="BA191" s="49">
        <v>149.85</v>
      </c>
      <c r="BB191" s="49">
        <v>149.85</v>
      </c>
      <c r="BC191" s="73" t="str">
        <f t="shared" si="95"/>
        <v/>
      </c>
      <c r="BD191" s="73">
        <f t="shared" si="96"/>
        <v>347.44</v>
      </c>
      <c r="BE191" s="73">
        <f t="shared" si="97"/>
        <v>297.49</v>
      </c>
      <c r="BF191" s="77">
        <f t="shared" si="98"/>
        <v>49.95</v>
      </c>
      <c r="BG191" s="77">
        <f t="shared" si="99"/>
        <v>14.984999999999999</v>
      </c>
      <c r="BH191" s="77">
        <f t="shared" si="100"/>
        <v>199.79999999999998</v>
      </c>
      <c r="BI191" s="78">
        <f t="shared" si="101"/>
        <v>0.25</v>
      </c>
      <c r="BJ191" s="79">
        <f t="shared" si="102"/>
        <v>0.14376583007137925</v>
      </c>
      <c r="BK191" s="80">
        <f t="shared" si="103"/>
        <v>297.49</v>
      </c>
      <c r="BL191" s="80">
        <f t="shared" si="104"/>
        <v>49.949999999999989</v>
      </c>
      <c r="BM191" s="79">
        <f t="shared" si="105"/>
        <v>0.14376583007137919</v>
      </c>
      <c r="BN191" s="81">
        <f t="shared" si="106"/>
        <v>0.83715083798882683</v>
      </c>
      <c r="BO191" s="82">
        <f t="shared" si="107"/>
        <v>149.85</v>
      </c>
      <c r="BP191" s="81">
        <f t="shared" si="108"/>
        <v>0.83715083798882683</v>
      </c>
      <c r="BQ191" s="81">
        <f t="shared" si="109"/>
        <v>0.83718627981017613</v>
      </c>
      <c r="BR191" s="81">
        <f t="shared" si="110"/>
        <v>1.1162365591397849</v>
      </c>
      <c r="BS191" s="82">
        <f t="shared" si="111"/>
        <v>179</v>
      </c>
      <c r="BT191" s="82">
        <f t="shared" si="112"/>
        <v>199.80634408602151</v>
      </c>
      <c r="BU191" s="82">
        <f t="shared" si="113"/>
        <v>199.79999999999998</v>
      </c>
      <c r="BW191" s="82">
        <f>IFERROR(INDEX('Infos Clientes'!$T:$T,MATCH('Detalhe Por UC'!$C191,'Infos Clientes'!B:B,0)),"")</f>
        <v>0</v>
      </c>
      <c r="BX191" s="83">
        <f t="shared" si="114"/>
        <v>0</v>
      </c>
      <c r="BY191" s="84">
        <f t="shared" si="115"/>
        <v>0.24999206220646969</v>
      </c>
      <c r="BZ191" s="85">
        <f>IF(_xlfn.MINIFS('Detalhe Por UC'!R:R,'Detalhe Por UC'!C:C,C191,'Detalhe Por UC'!AD:AD,"&gt;"&amp;0)=0,"",_xlfn.MINIFS('Detalhe Por UC'!R:R,'Detalhe Por UC'!C:C,C191,'Detalhe Por UC'!AD:AD,"&gt;"&amp;0))</f>
        <v>45689</v>
      </c>
      <c r="CA191" s="114">
        <f ca="1">IF(OR(S191&gt;0,AD191&gt;0),IFERROR(
SUMIFS(INDIRECT("'Infos Clientes'!$W"&amp;INDEX('Infos Clientes'!$C:$C,MATCH(C191,'Infos Clientes'!$H:$H,0))&amp;":$CZ"&amp;INDEX('Infos Clientes'!$C:$C,MATCH(C191,'Infos Clientes'!$H:$H,0))),'Infos Clientes'!$W$2:$CZ$2,"&gt;"&amp;$R191-365,'Infos Clientes'!$W$2:$CZ$2,"&lt;="&amp;$R191)/
COUNTIFS(INDIRECT("'Infos Clientes'!$W"&amp;INDEX('Infos Clientes'!$C:$C,MATCH(C191,'Infos Clientes'!$H:$H,0))&amp;":$CZ"&amp;INDEX('Infos Clientes'!$C:$C,MATCH(C191,'Infos Clientes'!$H:$H,0))),"&gt;="&amp;0,'Infos Clientes'!$W$2:$CZ$2,"&gt;"&amp;$R191-365,'Infos Clientes'!$W$2:$CZ$2,"&lt;="&amp;$R191),""),"")</f>
        <v>235.08333333333334</v>
      </c>
      <c r="CB191" s="87">
        <f>VLOOKUP(C191,'Infos Clientes'!B:L,11,0)</f>
        <v>0</v>
      </c>
      <c r="CC191" s="88" t="str">
        <f t="shared" si="116"/>
        <v>A Unidade Consumidora 10/1433087-2 economizou R$49,95 na fatura referente à fev/2025  consumindo 179 kWh em créditos de energia renovável conforme fatura de energia. A economia foi de 25% em relação ao que seria pago para a Energisa considerando os créditos consumidos. Atenção: Mantenha as contas da Energisa em dia para evitar cortes.</v>
      </c>
      <c r="CD191" s="40"/>
      <c r="CF191" s="115">
        <f t="shared" si="117"/>
        <v>-147.64000000000004</v>
      </c>
    </row>
    <row r="192" spans="1:84" ht="16.2" hidden="1" customHeight="1" x14ac:dyDescent="0.3">
      <c r="A192" s="105" t="str">
        <f>INDEX('Infos Clientes'!$D:$D,MATCH('Detalhe Por UC'!C192,'Infos Clientes'!B:B,0))</f>
        <v>IGREJA DO EVANGELHO QUADRANGULAR</v>
      </c>
      <c r="B192" s="106" t="str">
        <f>INDEX('Infos Clientes'!$F:$F,MATCH('Detalhe Por UC'!C192,'Infos Clientes'!B:B,0))</f>
        <v>62.955.505/0356-29</v>
      </c>
      <c r="C192" s="107" t="s">
        <v>247</v>
      </c>
      <c r="D192" t="s">
        <v>351</v>
      </c>
      <c r="E192" s="1" t="s">
        <v>352</v>
      </c>
      <c r="F192" s="56" t="str">
        <f>INDEX('Infos Clientes'!$I:$I,MATCH('Detalhe Por UC'!C192,'Infos Clientes'!B:B,0))</f>
        <v>BT</v>
      </c>
      <c r="G192" s="56" t="str">
        <f>INDEX('Infos Clientes'!$J:$J,MATCH('Detalhe Por UC'!C192,'Infos Clientes'!B:B,0))</f>
        <v>trifasico</v>
      </c>
      <c r="H192" s="108" t="s">
        <v>138</v>
      </c>
      <c r="I192" s="58">
        <f>IFERROR(VLOOKUP(C192,'Infos Clientes'!B:E,4,),"")</f>
        <v>359</v>
      </c>
      <c r="J192" s="109">
        <v>0.25</v>
      </c>
      <c r="K192" s="59">
        <f>INDEX('Infos Clientes'!$M:$M,MATCH('Detalhe Por UC'!C192,'Infos Clientes'!B:B,0))</f>
        <v>0.25</v>
      </c>
      <c r="L192" s="125">
        <v>0</v>
      </c>
      <c r="M192" s="56">
        <f>INDEX('Infos Clientes'!$N:$N,MATCH('Detalhe Por UC'!C192,'Infos Clientes'!B:B,0))</f>
        <v>0</v>
      </c>
      <c r="N192" s="56">
        <f t="shared" si="81"/>
        <v>0</v>
      </c>
      <c r="O192" s="56">
        <f t="shared" si="82"/>
        <v>4</v>
      </c>
      <c r="P192" s="56">
        <f t="shared" si="83"/>
        <v>0</v>
      </c>
      <c r="Q192" s="61">
        <f>IFERROR(IFERROR(INDEX('Infos Clientes'!$A$2:$V$9884,MATCH($C192,'Infos Clientes'!$B$2:$B$9884,0),MATCH(Q$8,'Infos Clientes'!$A$2:$V$2,0)),"")
+IF(OR(INDEX('Infos Clientes'!$A$2:$V$9884,MATCH($C192,'Infos Clientes'!$B$2:$B$9884,0),MATCH("Tempo de Fidelidade (meses)",'Infos Clientes'!$A$2:$V$2,0))=0,R192&gt;=MAX(R:R)),0,
ROUND((MAX(R:R)-R192)/(365/12),0)),"")</f>
        <v>0</v>
      </c>
      <c r="R192" s="111">
        <v>45689</v>
      </c>
      <c r="S192" s="63">
        <v>0</v>
      </c>
      <c r="T192" s="113" t="str">
        <f>IF($H192="GIROSSOL II",AP192/INDEX('Resumo Operacional'!$A$1:$P$1103,17,MATCH('Detalhe Por UC'!$R192,'Resumo Operacional'!$A$1:$P$1,0)),
IF($H192="GIROSSOL II e III",AP192/INDEX('Resumo Operacional'!$A$1:$P$1103,17,MATCH('Detalhe Por UC'!$R192,'Resumo Operacional'!$A$1:$P$1,0)),
""))</f>
        <v/>
      </c>
      <c r="U192" s="113">
        <f>IF($H192="GIROSSOL III",AP192/INDEX('Resumo Operacional'!$A$1:$P$1103,53,MATCH('Detalhe Por UC'!$R192,'Resumo Operacional'!$A$1:$P$1,0)),
IF($H192="GIROSSOL II e III",AP192/INDEX('Resumo Operacional'!$A$1:$P$1103,53,MATCH('Detalhe Por UC'!$R192,'Resumo Operacional'!$A$1:$P$1,0)),
""))</f>
        <v>5.868934052260473E-2</v>
      </c>
      <c r="V192" s="18"/>
      <c r="W192" s="54"/>
      <c r="X192" s="131">
        <v>1.1162661955241462</v>
      </c>
      <c r="Y192" s="132">
        <v>0</v>
      </c>
      <c r="Z192" s="133">
        <v>0.97406360424028282</v>
      </c>
      <c r="AA192" s="133">
        <v>0</v>
      </c>
      <c r="AB192" s="134">
        <v>849</v>
      </c>
      <c r="AC192" s="134">
        <v>0</v>
      </c>
      <c r="AD192" s="135">
        <v>849</v>
      </c>
      <c r="AE192" s="35"/>
      <c r="AF192" s="60">
        <v>0</v>
      </c>
      <c r="AG192" s="135">
        <v>0</v>
      </c>
      <c r="AH192" s="44">
        <v>170.60999999999996</v>
      </c>
      <c r="AI192" s="44">
        <v>0</v>
      </c>
      <c r="AJ192" s="44">
        <v>0</v>
      </c>
      <c r="AK192" s="31"/>
      <c r="AN192" s="71">
        <f t="shared" si="84"/>
        <v>0</v>
      </c>
      <c r="AO192" s="71">
        <f t="shared" si="85"/>
        <v>0</v>
      </c>
      <c r="AP192" s="71">
        <f t="shared" si="86"/>
        <v>849</v>
      </c>
      <c r="AQ192" s="72">
        <f>IF(OR($H192="GIROSSOL II",$H192="GIROSSOL II e III"),INDEX('Resumo Operacional'!$A$1:$P$1103,MATCH("Energia Injetada prevista total Fatura da Usina (TUSD)",'Resumo Operacional'!$B$1:$B$1103,0),MATCH('Detalhe Por UC'!$R192,'Resumo Operacional'!$A$1:$P$1,0))*$S192,INDEX('Resumo Operacional'!$A$1:$P$1103,53,MATCH('Detalhe Por UC'!$R192,'Resumo Operacional'!$A$1:$P$1,0))*$S192)</f>
        <v>0</v>
      </c>
      <c r="AR192" s="71">
        <f t="shared" si="87"/>
        <v>849</v>
      </c>
      <c r="AS192" s="73">
        <f t="shared" si="88"/>
        <v>291.33999999999997</v>
      </c>
      <c r="AT192" s="74">
        <f t="shared" si="89"/>
        <v>291.33999999999997</v>
      </c>
      <c r="AU192" s="74">
        <f t="shared" si="90"/>
        <v>0.83186101295641945</v>
      </c>
      <c r="AV192" s="74">
        <f t="shared" si="91"/>
        <v>620.23500000000013</v>
      </c>
      <c r="AW192" s="74">
        <f t="shared" si="92"/>
        <v>0</v>
      </c>
      <c r="AX192" s="74">
        <f t="shared" si="93"/>
        <v>826.98000000000013</v>
      </c>
      <c r="AY192" s="74">
        <f t="shared" si="94"/>
        <v>620.24</v>
      </c>
      <c r="AZ192" s="49">
        <v>620.24</v>
      </c>
      <c r="BA192" s="49">
        <v>620.24</v>
      </c>
      <c r="BC192" s="73" t="str">
        <f t="shared" si="95"/>
        <v/>
      </c>
      <c r="BD192" s="73">
        <f t="shared" si="96"/>
        <v>1118.3200000000002</v>
      </c>
      <c r="BE192" s="73">
        <f t="shared" si="97"/>
        <v>911.57500000000005</v>
      </c>
      <c r="BF192" s="77">
        <f t="shared" si="98"/>
        <v>206.75</v>
      </c>
      <c r="BG192" s="77">
        <f t="shared" si="99"/>
        <v>62.024999999999999</v>
      </c>
      <c r="BH192" s="77">
        <f t="shared" si="100"/>
        <v>826.98000000000013</v>
      </c>
      <c r="BI192" s="78">
        <f t="shared" si="101"/>
        <v>0.25</v>
      </c>
      <c r="BJ192" s="79">
        <f t="shared" si="102"/>
        <v>0.18487552757707987</v>
      </c>
      <c r="BK192" s="80">
        <f t="shared" si="103"/>
        <v>911.57999999999993</v>
      </c>
      <c r="BL192" s="80">
        <f t="shared" si="104"/>
        <v>206.74000000000024</v>
      </c>
      <c r="BM192" s="79">
        <f t="shared" si="105"/>
        <v>0.18486658559267491</v>
      </c>
      <c r="BN192" s="81">
        <f t="shared" si="106"/>
        <v>0.73055359246171969</v>
      </c>
      <c r="BO192" s="82">
        <f t="shared" si="107"/>
        <v>620.24</v>
      </c>
      <c r="BP192" s="81">
        <f t="shared" si="108"/>
        <v>0.73055359246171969</v>
      </c>
      <c r="BQ192" s="81">
        <f t="shared" si="109"/>
        <v>0.87275618374558306</v>
      </c>
      <c r="BR192" s="81">
        <f t="shared" si="110"/>
        <v>1.1162661955241462</v>
      </c>
      <c r="BS192" s="82">
        <f t="shared" si="111"/>
        <v>849</v>
      </c>
      <c r="BT192" s="82">
        <f t="shared" si="112"/>
        <v>947.71000000000015</v>
      </c>
      <c r="BU192" s="82">
        <f t="shared" si="113"/>
        <v>826.98000000000013</v>
      </c>
      <c r="BW192" s="82">
        <f>IFERROR(INDEX('Infos Clientes'!$T:$T,MATCH('Detalhe Por UC'!$C192,'Infos Clientes'!B:B,0)),"")</f>
        <v>883.5454545454545</v>
      </c>
      <c r="BX192" s="83">
        <f t="shared" si="114"/>
        <v>0</v>
      </c>
      <c r="BY192" s="84">
        <f t="shared" si="115"/>
        <v>0.2181469014783004</v>
      </c>
      <c r="BZ192" s="85">
        <f>IF(_xlfn.MINIFS('Detalhe Por UC'!R:R,'Detalhe Por UC'!C:C,C192,'Detalhe Por UC'!AD:AD,"&gt;"&amp;0)=0,"",_xlfn.MINIFS('Detalhe Por UC'!R:R,'Detalhe Por UC'!C:C,C192,'Detalhe Por UC'!AD:AD,"&gt;"&amp;0))</f>
        <v>45658</v>
      </c>
      <c r="CA192" s="114">
        <f ca="1">IF(OR(S192&gt;0,AD192&gt;0),IFERROR(
SUMIFS(INDIRECT("'Infos Clientes'!$W"&amp;INDEX('Infos Clientes'!$C:$C,MATCH(C192,'Infos Clientes'!$H:$H,0))&amp;":$CZ"&amp;INDEX('Infos Clientes'!$C:$C,MATCH(C192,'Infos Clientes'!$H:$H,0))),'Infos Clientes'!$W$2:$CZ$2,"&gt;"&amp;$R192-365,'Infos Clientes'!$W$2:$CZ$2,"&lt;="&amp;$R192)/
COUNTIFS(INDIRECT("'Infos Clientes'!$W"&amp;INDEX('Infos Clientes'!$C:$C,MATCH(C192,'Infos Clientes'!$H:$H,0))&amp;":$CZ"&amp;INDEX('Infos Clientes'!$C:$C,MATCH(C192,'Infos Clientes'!$H:$H,0))),"&gt;="&amp;0,'Infos Clientes'!$W$2:$CZ$2,"&gt;"&amp;$R192-365,'Infos Clientes'!$W$2:$CZ$2,"&lt;="&amp;$R192),""),"")</f>
        <v>696.91666666666663</v>
      </c>
      <c r="CB192" s="87">
        <f>VLOOKUP(C192,'Infos Clientes'!B:L,11,0)</f>
        <v>0</v>
      </c>
      <c r="CC192" s="88" t="str">
        <f t="shared" si="116"/>
        <v>A Unidade Consumidora 10/3170252-5 economizou R$206,75 na fatura referente à fev/2025  consumindo 849 kWh em créditos de energia renovável conforme fatura de energia. A economia foi de 25% em relação ao que seria pago para a Energisa considerando os créditos consumidos. Atenção: Mantenha as contas da Energisa em dia para evitar cortes.</v>
      </c>
      <c r="CD192" s="40"/>
      <c r="CF192" s="115">
        <f t="shared" si="117"/>
        <v>-291.33999999999997</v>
      </c>
    </row>
    <row r="193" spans="1:84" ht="16.2" hidden="1" customHeight="1" x14ac:dyDescent="0.3">
      <c r="A193" s="105" t="str">
        <f>INDEX('Infos Clientes'!$D:$D,MATCH('Detalhe Por UC'!C193,'Infos Clientes'!B:B,0))</f>
        <v>IGREJA DO EVANGELHO QUADRANGULAR</v>
      </c>
      <c r="B193" s="106" t="str">
        <f>INDEX('Infos Clientes'!$F:$F,MATCH('Detalhe Por UC'!C193,'Infos Clientes'!B:B,0))</f>
        <v>62.955.505/0151-99</v>
      </c>
      <c r="C193" s="118" t="s">
        <v>168</v>
      </c>
      <c r="D193" t="s">
        <v>351</v>
      </c>
      <c r="E193" s="1" t="s">
        <v>352</v>
      </c>
      <c r="F193" s="56" t="str">
        <f>INDEX('Infos Clientes'!$I:$I,MATCH('Detalhe Por UC'!C193,'Infos Clientes'!B:B,0))</f>
        <v>BT</v>
      </c>
      <c r="G193" s="56" t="str">
        <f>INDEX('Infos Clientes'!$J:$J,MATCH('Detalhe Por UC'!C193,'Infos Clientes'!B:B,0))</f>
        <v>trifasico</v>
      </c>
      <c r="H193" s="108" t="s">
        <v>24</v>
      </c>
      <c r="I193" s="58">
        <f>IFERROR(VLOOKUP(C193,'Infos Clientes'!B:E,4,),"")</f>
        <v>306</v>
      </c>
      <c r="J193" s="109">
        <v>0.25</v>
      </c>
      <c r="K193" s="59">
        <f>INDEX('Infos Clientes'!$M:$M,MATCH('Detalhe Por UC'!C193,'Infos Clientes'!B:B,0))</f>
        <v>0.25</v>
      </c>
      <c r="L193" s="125">
        <v>0</v>
      </c>
      <c r="M193" s="56">
        <f>INDEX('Infos Clientes'!$N:$N,MATCH('Detalhe Por UC'!C193,'Infos Clientes'!B:B,0))</f>
        <v>0</v>
      </c>
      <c r="N193" s="56">
        <f t="shared" si="81"/>
        <v>0</v>
      </c>
      <c r="O193" s="56">
        <f t="shared" si="82"/>
        <v>7</v>
      </c>
      <c r="P193" s="56">
        <f t="shared" si="83"/>
        <v>0</v>
      </c>
      <c r="Q193" s="61">
        <f>IFERROR(IFERROR(INDEX('Infos Clientes'!$A$2:$V$9884,MATCH($C193,'Infos Clientes'!$B$2:$B$9884,0),MATCH(Q$8,'Infos Clientes'!$A$2:$V$2,0)),"")
+IF(OR(INDEX('Infos Clientes'!$A$2:$V$9884,MATCH($C193,'Infos Clientes'!$B$2:$B$9884,0),MATCH("Tempo de Fidelidade (meses)",'Infos Clientes'!$A$2:$V$2,0))=0,R193&gt;=MAX(R:R)),0,
ROUND((MAX(R:R)-R193)/(365/12),0)),"")</f>
        <v>0</v>
      </c>
      <c r="R193" s="111">
        <v>45689</v>
      </c>
      <c r="S193" s="63">
        <v>0</v>
      </c>
      <c r="T193" s="113">
        <f>IF($H193="GIROSSOL II",AP193/INDEX('Resumo Operacional'!$A$1:$P$1103,17,MATCH('Detalhe Por UC'!$R193,'Resumo Operacional'!$A$1:$P$1,0)),
IF($H193="GIROSSOL II e III",AP193/INDEX('Resumo Operacional'!$A$1:$P$1103,17,MATCH('Detalhe Por UC'!$R193,'Resumo Operacional'!$A$1:$P$1,0)),
""))</f>
        <v>3.3233343858541209E-2</v>
      </c>
      <c r="U193" s="113" t="str">
        <f>IF($H193="GIROSSOL III",AP193/INDEX('Resumo Operacional'!$A$1:$P$1103,53,MATCH('Detalhe Por UC'!$R193,'Resumo Operacional'!$A$1:$P$1,0)),
IF($H193="GIROSSOL II e III",AP193/INDEX('Resumo Operacional'!$A$1:$P$1103,53,MATCH('Detalhe Por UC'!$R193,'Resumo Operacional'!$A$1:$P$1,0)),
""))</f>
        <v/>
      </c>
      <c r="V193" s="18"/>
      <c r="W193" s="54"/>
      <c r="X193" s="131">
        <v>1.1162603305785124</v>
      </c>
      <c r="Y193" s="132">
        <v>0</v>
      </c>
      <c r="Z193" s="133">
        <v>1.0522970085470085</v>
      </c>
      <c r="AA193" s="133">
        <v>0</v>
      </c>
      <c r="AB193" s="134">
        <v>968</v>
      </c>
      <c r="AC193" s="134">
        <v>0</v>
      </c>
      <c r="AD193" s="135">
        <v>936</v>
      </c>
      <c r="AE193" s="35"/>
      <c r="AF193" s="135">
        <v>1744</v>
      </c>
      <c r="AG193" s="135">
        <v>0</v>
      </c>
      <c r="AH193" s="44">
        <v>190</v>
      </c>
      <c r="AI193" s="44">
        <v>0</v>
      </c>
      <c r="AJ193" s="44">
        <v>0</v>
      </c>
      <c r="AK193" s="31"/>
      <c r="AN193" s="71">
        <f t="shared" si="84"/>
        <v>-515</v>
      </c>
      <c r="AO193" s="71">
        <f t="shared" si="85"/>
        <v>0</v>
      </c>
      <c r="AP193" s="71">
        <f t="shared" si="86"/>
        <v>421</v>
      </c>
      <c r="AQ193" s="72">
        <f>IF(OR($H193="GIROSSOL II",$H193="GIROSSOL II e III"),INDEX('Resumo Operacional'!$A$1:$P$1103,MATCH("Energia Injetada prevista total Fatura da Usina (TUSD)",'Resumo Operacional'!$B$1:$B$1103,0),MATCH('Detalhe Por UC'!$R193,'Resumo Operacional'!$A$1:$P$1,0))*$S193,INDEX('Resumo Operacional'!$A$1:$P$1103,53,MATCH('Detalhe Por UC'!$R193,'Resumo Operacional'!$A$1:$P$1,0))*$S193)</f>
        <v>0</v>
      </c>
      <c r="AR193" s="71">
        <f t="shared" si="87"/>
        <v>421</v>
      </c>
      <c r="AS193" s="73">
        <f t="shared" si="88"/>
        <v>285.59000000000003</v>
      </c>
      <c r="AT193" s="74">
        <f t="shared" si="89"/>
        <v>285.59000000000003</v>
      </c>
      <c r="AU193" s="74">
        <f t="shared" si="90"/>
        <v>0.98833368651550457</v>
      </c>
      <c r="AV193" s="74">
        <f t="shared" si="91"/>
        <v>738.71249999999986</v>
      </c>
      <c r="AW193" s="74">
        <f t="shared" si="92"/>
        <v>0</v>
      </c>
      <c r="AX193" s="74">
        <f t="shared" si="93"/>
        <v>984.94999999999993</v>
      </c>
      <c r="AY193" s="74">
        <f t="shared" si="94"/>
        <v>738.71</v>
      </c>
      <c r="AZ193" s="49">
        <v>738.71</v>
      </c>
      <c r="BA193" s="49">
        <v>738.71</v>
      </c>
      <c r="BC193" s="73" t="str">
        <f t="shared" si="95"/>
        <v/>
      </c>
      <c r="BD193" s="73">
        <f t="shared" si="96"/>
        <v>1270.54</v>
      </c>
      <c r="BE193" s="73">
        <f t="shared" si="97"/>
        <v>1024.3024999999998</v>
      </c>
      <c r="BF193" s="77">
        <f t="shared" si="98"/>
        <v>246.24</v>
      </c>
      <c r="BG193" s="77">
        <f t="shared" si="99"/>
        <v>73.872</v>
      </c>
      <c r="BH193" s="77">
        <f t="shared" si="100"/>
        <v>984.94999999999993</v>
      </c>
      <c r="BI193" s="78">
        <f t="shared" si="101"/>
        <v>0.25</v>
      </c>
      <c r="BJ193" s="79">
        <f t="shared" si="102"/>
        <v>0.1938073575015348</v>
      </c>
      <c r="BK193" s="80">
        <f t="shared" si="103"/>
        <v>1024.3000000000002</v>
      </c>
      <c r="BL193" s="80">
        <f t="shared" si="104"/>
        <v>246.23999999999978</v>
      </c>
      <c r="BM193" s="79">
        <f t="shared" si="105"/>
        <v>0.19380735750153461</v>
      </c>
      <c r="BN193" s="81">
        <f t="shared" si="106"/>
        <v>0.78922008547008549</v>
      </c>
      <c r="BO193" s="82">
        <f t="shared" si="107"/>
        <v>738.71</v>
      </c>
      <c r="BP193" s="81">
        <f t="shared" si="108"/>
        <v>0.78922008547008549</v>
      </c>
      <c r="BQ193" s="81">
        <f t="shared" si="109"/>
        <v>0.85318340750158939</v>
      </c>
      <c r="BR193" s="81">
        <f t="shared" si="110"/>
        <v>1.1162603305785124</v>
      </c>
      <c r="BS193" s="82">
        <f t="shared" si="111"/>
        <v>936</v>
      </c>
      <c r="BT193" s="82">
        <f t="shared" si="112"/>
        <v>1044.8196694214876</v>
      </c>
      <c r="BU193" s="82">
        <f t="shared" si="113"/>
        <v>984.94999999999993</v>
      </c>
      <c r="BW193" s="82">
        <f>IFERROR(INDEX('Infos Clientes'!$T:$T,MATCH('Detalhe Por UC'!$C193,'Infos Clientes'!B:B,0)),"")</f>
        <v>718.4545454545455</v>
      </c>
      <c r="BX193" s="83">
        <f t="shared" si="114"/>
        <v>0</v>
      </c>
      <c r="BY193" s="84">
        <f t="shared" si="115"/>
        <v>0.23567703327823261</v>
      </c>
      <c r="BZ193" s="85">
        <f>IF(_xlfn.MINIFS('Detalhe Por UC'!R:R,'Detalhe Por UC'!C:C,C193,'Detalhe Por UC'!AD:AD,"&gt;"&amp;0)=0,"",_xlfn.MINIFS('Detalhe Por UC'!R:R,'Detalhe Por UC'!C:C,C193,'Detalhe Por UC'!AD:AD,"&gt;"&amp;0))</f>
        <v>45658</v>
      </c>
      <c r="CA193" s="114">
        <f ca="1">IF(OR(S193&gt;0,AD193&gt;0),IFERROR(
SUMIFS(INDIRECT("'Infos Clientes'!$W"&amp;INDEX('Infos Clientes'!$C:$C,MATCH(C193,'Infos Clientes'!$H:$H,0))&amp;":$CZ"&amp;INDEX('Infos Clientes'!$C:$C,MATCH(C193,'Infos Clientes'!$H:$H,0))),'Infos Clientes'!$W$2:$CZ$2,"&gt;"&amp;$R193-365,'Infos Clientes'!$W$2:$CZ$2,"&lt;="&amp;$R193)/
COUNTIFS(INDIRECT("'Infos Clientes'!$W"&amp;INDEX('Infos Clientes'!$C:$C,MATCH(C193,'Infos Clientes'!$H:$H,0))&amp;":$CZ"&amp;INDEX('Infos Clientes'!$C:$C,MATCH(C193,'Infos Clientes'!$H:$H,0))),"&gt;="&amp;0,'Infos Clientes'!$W$2:$CZ$2,"&gt;"&amp;$R193-365,'Infos Clientes'!$W$2:$CZ$2,"&lt;="&amp;$R193),""),"")</f>
        <v>612.75</v>
      </c>
      <c r="CB193" s="87">
        <f>VLOOKUP(C193,'Infos Clientes'!B:L,11,0)</f>
        <v>0</v>
      </c>
      <c r="CC193" s="88" t="str">
        <f t="shared" si="116"/>
        <v>A Unidade Consumidora 10/2247256-7 economizou R$246,24 na fatura referente à fev/2025  consumindo 936 kWh em créditos de energia renovável conforme fatura de energia. A economia foi de 25% em relação ao que seria pago para a Energisa considerando os créditos consumidos. Atenção: Mantenha as contas da Energisa em dia para evitar cortes.</v>
      </c>
      <c r="CD193" s="40" t="s">
        <v>50</v>
      </c>
      <c r="CF193" s="115">
        <f t="shared" si="117"/>
        <v>-285.59000000000003</v>
      </c>
    </row>
    <row r="194" spans="1:84" ht="16.2" hidden="1" customHeight="1" x14ac:dyDescent="0.3">
      <c r="A194" s="105" t="str">
        <f>INDEX('Infos Clientes'!$D:$D,MATCH('Detalhe Por UC'!C194,'Infos Clientes'!B:B,0))</f>
        <v>IGREJA DO EVANGELHO QUADRANGULAR</v>
      </c>
      <c r="B194" s="106" t="str">
        <f>INDEX('Infos Clientes'!$F:$F,MATCH('Detalhe Por UC'!C194,'Infos Clientes'!B:B,0))</f>
        <v>62.955.505/0577-89</v>
      </c>
      <c r="C194" s="31" t="s">
        <v>237</v>
      </c>
      <c r="D194" t="s">
        <v>351</v>
      </c>
      <c r="E194" s="1" t="s">
        <v>352</v>
      </c>
      <c r="F194" s="56" t="str">
        <f>INDEX('Infos Clientes'!$I:$I,MATCH('Detalhe Por UC'!C194,'Infos Clientes'!B:B,0))</f>
        <v>BT</v>
      </c>
      <c r="G194" s="56" t="str">
        <f>INDEX('Infos Clientes'!$J:$J,MATCH('Detalhe Por UC'!C194,'Infos Clientes'!B:B,0))</f>
        <v>trifasico</v>
      </c>
      <c r="H194" s="108" t="s">
        <v>138</v>
      </c>
      <c r="I194" s="58">
        <f>IFERROR(VLOOKUP(C194,'Infos Clientes'!B:E,4,),"")</f>
        <v>319</v>
      </c>
      <c r="J194" s="109">
        <v>0.25</v>
      </c>
      <c r="K194" s="59">
        <f>INDEX('Infos Clientes'!$M:$M,MATCH('Detalhe Por UC'!C194,'Infos Clientes'!B:B,0))</f>
        <v>0.25</v>
      </c>
      <c r="L194" s="125">
        <v>0</v>
      </c>
      <c r="M194" s="56">
        <f>INDEX('Infos Clientes'!$N:$N,MATCH('Detalhe Por UC'!C194,'Infos Clientes'!B:B,0))</f>
        <v>0</v>
      </c>
      <c r="N194" s="56">
        <f t="shared" si="81"/>
        <v>0</v>
      </c>
      <c r="O194" s="56">
        <f t="shared" si="82"/>
        <v>4</v>
      </c>
      <c r="P194" s="56">
        <f t="shared" si="83"/>
        <v>0</v>
      </c>
      <c r="Q194" s="61">
        <f>IFERROR(IFERROR(INDEX('Infos Clientes'!$A$2:$V$9884,MATCH($C194,'Infos Clientes'!$B$2:$B$9884,0),MATCH(Q$8,'Infos Clientes'!$A$2:$V$2,0)),"")
+IF(OR(INDEX('Infos Clientes'!$A$2:$V$9884,MATCH($C194,'Infos Clientes'!$B$2:$B$9884,0),MATCH("Tempo de Fidelidade (meses)",'Infos Clientes'!$A$2:$V$2,0))=0,R194&gt;=MAX(R:R)),0,
ROUND((MAX(R:R)-R194)/(365/12),0)),"")</f>
        <v>0</v>
      </c>
      <c r="R194" s="111">
        <v>45689</v>
      </c>
      <c r="S194" s="63">
        <v>0.05</v>
      </c>
      <c r="T194" s="113" t="str">
        <f>IF($H194="GIROSSOL II",AP194/INDEX('Resumo Operacional'!$A$1:$P$1103,17,MATCH('Detalhe Por UC'!$R194,'Resumo Operacional'!$A$1:$P$1,0)),
IF($H194="GIROSSOL II e III",AP194/INDEX('Resumo Operacional'!$A$1:$P$1103,17,MATCH('Detalhe Por UC'!$R194,'Resumo Operacional'!$A$1:$P$1,0)),
""))</f>
        <v/>
      </c>
      <c r="U194" s="113">
        <f>IF($H194="GIROSSOL III",AP194/INDEX('Resumo Operacional'!$A$1:$P$1103,53,MATCH('Detalhe Por UC'!$R194,'Resumo Operacional'!$A$1:$P$1,0)),
IF($H194="GIROSSOL II e III",AP194/INDEX('Resumo Operacional'!$A$1:$P$1103,53,MATCH('Detalhe Por UC'!$R194,'Resumo Operacional'!$A$1:$P$1,0)),
""))</f>
        <v>0</v>
      </c>
      <c r="V194" s="18"/>
      <c r="W194" s="54"/>
      <c r="X194" s="131">
        <v>1.116259067357513</v>
      </c>
      <c r="Y194" s="132">
        <v>0</v>
      </c>
      <c r="Z194" s="133">
        <v>0</v>
      </c>
      <c r="AA194" s="133">
        <v>0</v>
      </c>
      <c r="AB194" s="134">
        <v>965</v>
      </c>
      <c r="AC194" s="134">
        <v>0</v>
      </c>
      <c r="AD194" s="135">
        <v>0</v>
      </c>
      <c r="AE194" s="35"/>
      <c r="AF194" s="135">
        <v>0</v>
      </c>
      <c r="AG194" s="135">
        <v>0</v>
      </c>
      <c r="AH194" s="44">
        <v>0</v>
      </c>
      <c r="AI194" s="44">
        <v>0</v>
      </c>
      <c r="AJ194" s="44">
        <v>0</v>
      </c>
      <c r="AK194" s="31"/>
      <c r="AN194" s="71">
        <f t="shared" si="84"/>
        <v>0</v>
      </c>
      <c r="AO194" s="71">
        <f t="shared" si="85"/>
        <v>0</v>
      </c>
      <c r="AP194" s="71">
        <f t="shared" si="86"/>
        <v>0</v>
      </c>
      <c r="AQ194" s="72">
        <f>IF(OR($H194="GIROSSOL II",$H194="GIROSSOL II e III"),INDEX('Resumo Operacional'!$A$1:$P$1103,MATCH("Energia Injetada prevista total Fatura da Usina (TUSD)",'Resumo Operacional'!$B$1:$B$1103,0),MATCH('Detalhe Por UC'!$R194,'Resumo Operacional'!$A$1:$P$1,0))*$S194,INDEX('Resumo Operacional'!$A$1:$P$1103,53,MATCH('Detalhe Por UC'!$R194,'Resumo Operacional'!$A$1:$P$1,0))*$S194)</f>
        <v>723.30000000000007</v>
      </c>
      <c r="AR194" s="71">
        <f t="shared" si="87"/>
        <v>-723.30000000000007</v>
      </c>
      <c r="AS194" s="73">
        <f t="shared" si="88"/>
        <v>1077.19</v>
      </c>
      <c r="AT194" s="74">
        <f t="shared" si="89"/>
        <v>1077.19</v>
      </c>
      <c r="AU194" s="74" t="str">
        <f t="shared" si="90"/>
        <v/>
      </c>
      <c r="AV194" s="74">
        <f t="shared" si="91"/>
        <v>0</v>
      </c>
      <c r="AW194" s="74">
        <f t="shared" si="92"/>
        <v>-1.0000000000000001E-5</v>
      </c>
      <c r="AX194" s="74">
        <f t="shared" si="93"/>
        <v>-1.0000000000000001E-5</v>
      </c>
      <c r="AY194" s="74">
        <f t="shared" si="94"/>
        <v>-1.0000000000000001E-5</v>
      </c>
      <c r="BA194" s="49">
        <v>9.9999999999999995E-7</v>
      </c>
      <c r="BC194" s="73" t="str">
        <f t="shared" si="95"/>
        <v/>
      </c>
      <c r="BD194" s="73">
        <f t="shared" si="96"/>
        <v>1077.19</v>
      </c>
      <c r="BE194" s="73">
        <f t="shared" si="97"/>
        <v>1077.19</v>
      </c>
      <c r="BF194" s="77">
        <f t="shared" si="98"/>
        <v>0</v>
      </c>
      <c r="BG194" s="77">
        <f t="shared" si="99"/>
        <v>0</v>
      </c>
      <c r="BH194" s="77">
        <f t="shared" si="100"/>
        <v>0</v>
      </c>
      <c r="BI194" s="78" t="str">
        <f t="shared" si="101"/>
        <v/>
      </c>
      <c r="BJ194" s="79">
        <f t="shared" si="102"/>
        <v>0</v>
      </c>
      <c r="BK194" s="80">
        <f t="shared" si="103"/>
        <v>1077.1899900000001</v>
      </c>
      <c r="BL194" s="80">
        <f t="shared" si="104"/>
        <v>9.9999999747524271E-6</v>
      </c>
      <c r="BM194" s="79">
        <f t="shared" si="105"/>
        <v>9.2834133019731208E-9</v>
      </c>
      <c r="BN194" s="81" t="str">
        <f t="shared" si="106"/>
        <v/>
      </c>
      <c r="BO194" s="82" t="str">
        <f t="shared" si="107"/>
        <v/>
      </c>
      <c r="BP194" s="81" t="str">
        <f t="shared" si="108"/>
        <v/>
      </c>
      <c r="BQ194" s="81" t="str">
        <f t="shared" si="109"/>
        <v/>
      </c>
      <c r="BR194" s="81" t="str">
        <f t="shared" si="110"/>
        <v/>
      </c>
      <c r="BS194" s="82">
        <f t="shared" si="111"/>
        <v>0</v>
      </c>
      <c r="BT194" s="82" t="str">
        <f t="shared" si="112"/>
        <v/>
      </c>
      <c r="BU194" s="82">
        <f t="shared" si="113"/>
        <v>0</v>
      </c>
      <c r="BW194" s="82">
        <f>IFERROR(INDEX('Infos Clientes'!$T:$T,MATCH('Detalhe Por UC'!$C194,'Infos Clientes'!B:B,0)),"")</f>
        <v>790</v>
      </c>
      <c r="BX194" s="83">
        <f t="shared" si="114"/>
        <v>0</v>
      </c>
      <c r="BY194" s="84" t="str">
        <f t="shared" si="115"/>
        <v/>
      </c>
      <c r="BZ194" s="85">
        <f>IF(_xlfn.MINIFS('Detalhe Por UC'!R:R,'Detalhe Por UC'!C:C,C194,'Detalhe Por UC'!AD:AD,"&gt;"&amp;0)=0,"",_xlfn.MINIFS('Detalhe Por UC'!R:R,'Detalhe Por UC'!C:C,C194,'Detalhe Por UC'!AD:AD,"&gt;"&amp;0))</f>
        <v>45717</v>
      </c>
      <c r="CA194" s="114">
        <f ca="1">IF(OR(S194&gt;0,AD194&gt;0),IFERROR(
SUMIFS(INDIRECT("'Infos Clientes'!$W"&amp;INDEX('Infos Clientes'!$C:$C,MATCH(C194,'Infos Clientes'!$H:$H,0))&amp;":$CZ"&amp;INDEX('Infos Clientes'!$C:$C,MATCH(C194,'Infos Clientes'!$H:$H,0))),'Infos Clientes'!$W$2:$CZ$2,"&gt;"&amp;$R194-365,'Infos Clientes'!$W$2:$CZ$2,"&lt;="&amp;$R194)/
COUNTIFS(INDIRECT("'Infos Clientes'!$W"&amp;INDEX('Infos Clientes'!$C:$C,MATCH(C194,'Infos Clientes'!$H:$H,0))&amp;":$CZ"&amp;INDEX('Infos Clientes'!$C:$C,MATCH(C194,'Infos Clientes'!$H:$H,0))),"&gt;="&amp;0,'Infos Clientes'!$W$2:$CZ$2,"&gt;"&amp;$R194-365,'Infos Clientes'!$W$2:$CZ$2,"&lt;="&amp;$R194),""),"")</f>
        <v>193.66666666666666</v>
      </c>
      <c r="CB194" s="87">
        <f>VLOOKUP(C194,'Infos Clientes'!B:L,11,0)</f>
        <v>0</v>
      </c>
      <c r="CC194" s="88" t="str">
        <f t="shared" si="116"/>
        <v>A Unidade Consumidora 10/925970-6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94" s="40" t="s">
        <v>96</v>
      </c>
      <c r="CF194" s="115">
        <f t="shared" si="117"/>
        <v>-1077.19</v>
      </c>
    </row>
    <row r="195" spans="1:84" ht="16.2" hidden="1" customHeight="1" x14ac:dyDescent="0.3">
      <c r="A195" s="105" t="str">
        <f>INDEX('Infos Clientes'!$D:$D,MATCH('Detalhe Por UC'!C195,'Infos Clientes'!B:B,0))</f>
        <v>IGREJA DO EVANGELHO QUADRANGULAR</v>
      </c>
      <c r="B195" s="106" t="str">
        <f>INDEX('Infos Clientes'!$F:$F,MATCH('Detalhe Por UC'!C195,'Infos Clientes'!B:B,0))</f>
        <v>62.955.505/3932-07</v>
      </c>
      <c r="C195" s="107" t="s">
        <v>136</v>
      </c>
      <c r="D195" t="s">
        <v>351</v>
      </c>
      <c r="E195" s="1" t="s">
        <v>352</v>
      </c>
      <c r="F195" s="56" t="str">
        <f>INDEX('Infos Clientes'!$I:$I,MATCH('Detalhe Por UC'!C195,'Infos Clientes'!B:B,0))</f>
        <v>BT</v>
      </c>
      <c r="G195" s="56">
        <f>INDEX('Infos Clientes'!$J:$J,MATCH('Detalhe Por UC'!C195,'Infos Clientes'!B:B,0))</f>
        <v>0</v>
      </c>
      <c r="H195" s="108" t="s">
        <v>138</v>
      </c>
      <c r="I195" s="58">
        <f>IFERROR(VLOOKUP(C195,'Infos Clientes'!B:E,4,),"")</f>
        <v>302</v>
      </c>
      <c r="J195" s="109">
        <v>0.25</v>
      </c>
      <c r="K195" s="59">
        <f>INDEX('Infos Clientes'!$M:$M,MATCH('Detalhe Por UC'!C195,'Infos Clientes'!B:B,0))</f>
        <v>0.25</v>
      </c>
      <c r="L195" s="125">
        <v>0</v>
      </c>
      <c r="M195" s="56">
        <f>INDEX('Infos Clientes'!$N:$N,MATCH('Detalhe Por UC'!C195,'Infos Clientes'!B:B,0))</f>
        <v>0</v>
      </c>
      <c r="N195" s="56">
        <f t="shared" si="81"/>
        <v>0</v>
      </c>
      <c r="O195" s="56">
        <f t="shared" si="82"/>
        <v>0</v>
      </c>
      <c r="P195" s="56">
        <f t="shared" si="83"/>
        <v>0</v>
      </c>
      <c r="Q195" s="61">
        <f>IFERROR(IFERROR(INDEX('Infos Clientes'!$A$2:$V$9884,MATCH($C195,'Infos Clientes'!$B$2:$B$9884,0),MATCH(Q$8,'Infos Clientes'!$A$2:$V$2,0)),"")
+IF(OR(INDEX('Infos Clientes'!$A$2:$V$9884,MATCH($C195,'Infos Clientes'!$B$2:$B$9884,0),MATCH("Tempo de Fidelidade (meses)",'Infos Clientes'!$A$2:$V$2,0))=0,R195&gt;=MAX(R:R)),0,
ROUND((MAX(R:R)-R195)/(365/12),0)),"")</f>
        <v>0</v>
      </c>
      <c r="R195" s="111">
        <v>45689</v>
      </c>
      <c r="S195" s="63">
        <v>0</v>
      </c>
      <c r="T195" s="113" t="str">
        <f>IF($H195="GIROSSOL II",AP195/INDEX('Resumo Operacional'!$A$1:$P$1103,17,MATCH('Detalhe Por UC'!$R195,'Resumo Operacional'!$A$1:$P$1,0)),
IF($H195="GIROSSOL II e III",AP195/INDEX('Resumo Operacional'!$A$1:$P$1103,17,MATCH('Detalhe Por UC'!$R195,'Resumo Operacional'!$A$1:$P$1,0)),
""))</f>
        <v/>
      </c>
      <c r="U195" s="113">
        <f>IF($H195="GIROSSOL III",AP195/INDEX('Resumo Operacional'!$A$1:$P$1103,53,MATCH('Detalhe Por UC'!$R195,'Resumo Operacional'!$A$1:$P$1,0)),
IF($H195="GIROSSOL II e III",AP195/INDEX('Resumo Operacional'!$A$1:$P$1103,53,MATCH('Detalhe Por UC'!$R195,'Resumo Operacional'!$A$1:$P$1,0)),
""))</f>
        <v>0</v>
      </c>
      <c r="V195" s="18"/>
      <c r="W195" s="54"/>
      <c r="X195" s="131"/>
      <c r="Y195" s="132"/>
      <c r="Z195" s="133"/>
      <c r="AA195" s="133"/>
      <c r="AB195" s="134"/>
      <c r="AC195" s="134"/>
      <c r="AD195" s="135"/>
      <c r="AE195" s="35"/>
      <c r="AF195" s="135"/>
      <c r="AG195" s="135"/>
      <c r="AH195" s="44"/>
      <c r="AI195" s="44"/>
      <c r="AJ195" s="44"/>
      <c r="AK195" s="31"/>
      <c r="AN195" s="71" t="str">
        <f t="shared" si="84"/>
        <v/>
      </c>
      <c r="AO195" s="71" t="str">
        <f t="shared" si="85"/>
        <v/>
      </c>
      <c r="AP195" s="71">
        <f t="shared" si="86"/>
        <v>0</v>
      </c>
      <c r="AQ195" s="72">
        <f>IF(OR($H195="GIROSSOL II",$H195="GIROSSOL II e III"),INDEX('Resumo Operacional'!$A$1:$P$1103,MATCH("Energia Injetada prevista total Fatura da Usina (TUSD)",'Resumo Operacional'!$B$1:$B$1103,0),MATCH('Detalhe Por UC'!$R195,'Resumo Operacional'!$A$1:$P$1,0))*$S195,INDEX('Resumo Operacional'!$A$1:$P$1103,53,MATCH('Detalhe Por UC'!$R195,'Resumo Operacional'!$A$1:$P$1,0))*$S195)</f>
        <v>0</v>
      </c>
      <c r="AR195" s="71" t="str">
        <f t="shared" si="87"/>
        <v/>
      </c>
      <c r="AS195" s="73">
        <f t="shared" si="88"/>
        <v>0</v>
      </c>
      <c r="AT195" s="74">
        <f t="shared" si="89"/>
        <v>0</v>
      </c>
      <c r="AU195" s="74" t="str">
        <f t="shared" si="90"/>
        <v/>
      </c>
      <c r="AV195" s="74">
        <f t="shared" si="91"/>
        <v>0</v>
      </c>
      <c r="AW195" s="74">
        <f t="shared" si="92"/>
        <v>0</v>
      </c>
      <c r="AX195" s="74">
        <f t="shared" si="93"/>
        <v>0</v>
      </c>
      <c r="AY195" s="74" t="str">
        <f t="shared" si="94"/>
        <v/>
      </c>
      <c r="BC195" s="73" t="str">
        <f t="shared" si="95"/>
        <v/>
      </c>
      <c r="BD195" s="73">
        <f t="shared" si="96"/>
        <v>0</v>
      </c>
      <c r="BE195" s="73">
        <f t="shared" si="97"/>
        <v>0</v>
      </c>
      <c r="BF195" s="77">
        <f t="shared" si="98"/>
        <v>0</v>
      </c>
      <c r="BG195" s="77">
        <f t="shared" si="99"/>
        <v>0</v>
      </c>
      <c r="BH195" s="77">
        <f t="shared" si="100"/>
        <v>0</v>
      </c>
      <c r="BI195" s="78" t="str">
        <f t="shared" si="101"/>
        <v/>
      </c>
      <c r="BJ195" s="79" t="str">
        <f t="shared" si="102"/>
        <v/>
      </c>
      <c r="BK195" s="80" t="str">
        <f t="shared" si="103"/>
        <v/>
      </c>
      <c r="BL195" s="80" t="str">
        <f t="shared" si="104"/>
        <v/>
      </c>
      <c r="BM195" s="79" t="str">
        <f t="shared" si="105"/>
        <v/>
      </c>
      <c r="BN195" s="81" t="str">
        <f t="shared" si="106"/>
        <v/>
      </c>
      <c r="BO195" s="82" t="str">
        <f t="shared" si="107"/>
        <v/>
      </c>
      <c r="BP195" s="81" t="str">
        <f t="shared" si="108"/>
        <v/>
      </c>
      <c r="BQ195" s="81" t="str">
        <f t="shared" si="109"/>
        <v/>
      </c>
      <c r="BR195" s="81" t="str">
        <f t="shared" si="110"/>
        <v/>
      </c>
      <c r="BS195" s="82">
        <f t="shared" si="111"/>
        <v>0</v>
      </c>
      <c r="BT195" s="82" t="str">
        <f t="shared" si="112"/>
        <v/>
      </c>
      <c r="BU195" s="82">
        <f t="shared" si="113"/>
        <v>0</v>
      </c>
      <c r="BW195" s="82">
        <f>IFERROR(INDEX('Infos Clientes'!$T:$T,MATCH('Detalhe Por UC'!$C195,'Infos Clientes'!B:B,0)),"")</f>
        <v>0</v>
      </c>
      <c r="BX195" s="83">
        <f t="shared" si="114"/>
        <v>0</v>
      </c>
      <c r="BY195" s="84" t="str">
        <f t="shared" si="115"/>
        <v/>
      </c>
      <c r="BZ195" s="85" t="str">
        <f>IF(_xlfn.MINIFS('Detalhe Por UC'!R:R,'Detalhe Por UC'!C:C,C195,'Detalhe Por UC'!AD:AD,"&gt;"&amp;0)=0,"",_xlfn.MINIFS('Detalhe Por UC'!R:R,'Detalhe Por UC'!C:C,C195,'Detalhe Por UC'!AD:AD,"&gt;"&amp;0))</f>
        <v/>
      </c>
      <c r="CA195" s="114" t="str">
        <f ca="1">IF(OR(S195&gt;0,AD195&gt;0),IFERROR(
SUMIFS(INDIRECT("'Infos Clientes'!$W"&amp;INDEX('Infos Clientes'!$C:$C,MATCH(C195,'Infos Clientes'!$H:$H,0))&amp;":$CZ"&amp;INDEX('Infos Clientes'!$C:$C,MATCH(C195,'Infos Clientes'!$H:$H,0))),'Infos Clientes'!$W$2:$CZ$2,"&gt;"&amp;$R195-365,'Infos Clientes'!$W$2:$CZ$2,"&lt;="&amp;$R195)/
COUNTIFS(INDIRECT("'Infos Clientes'!$W"&amp;INDEX('Infos Clientes'!$C:$C,MATCH(C195,'Infos Clientes'!$H:$H,0))&amp;":$CZ"&amp;INDEX('Infos Clientes'!$C:$C,MATCH(C195,'Infos Clientes'!$H:$H,0))),"&gt;="&amp;0,'Infos Clientes'!$W$2:$CZ$2,"&gt;"&amp;$R195-365,'Infos Clientes'!$W$2:$CZ$2,"&lt;="&amp;$R195),""),"")</f>
        <v/>
      </c>
      <c r="CB195" s="87">
        <f>VLOOKUP(C195,'Infos Clientes'!B:L,11,0)</f>
        <v>0</v>
      </c>
      <c r="CC195" s="88" t="str">
        <f t="shared" si="116"/>
        <v>A Unidade Consumidora 10/10731-8 economizou R$0 na fatura referente à fev/2025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195" s="40" t="s">
        <v>137</v>
      </c>
      <c r="CF195" s="115">
        <f t="shared" si="117"/>
        <v>0</v>
      </c>
    </row>
    <row r="196" spans="1:84" ht="16.2" hidden="1" customHeight="1" x14ac:dyDescent="0.3">
      <c r="A196" s="105" t="str">
        <f>INDEX('Infos Clientes'!$D:$D,MATCH('Detalhe Por UC'!C196,'Infos Clientes'!B:B,0))</f>
        <v>IGREJA DO EVANGELHO QUADRANGULAR</v>
      </c>
      <c r="B196" s="106" t="str">
        <f>INDEX('Infos Clientes'!$F:$F,MATCH('Detalhe Por UC'!C196,'Infos Clientes'!B:B,0))</f>
        <v>62.955.505/0585-99</v>
      </c>
      <c r="C196" s="31" t="s">
        <v>225</v>
      </c>
      <c r="D196" t="s">
        <v>351</v>
      </c>
      <c r="E196" s="1" t="s">
        <v>352</v>
      </c>
      <c r="F196" s="56" t="str">
        <f>INDEX('Infos Clientes'!$I:$I,MATCH('Detalhe Por UC'!C196,'Infos Clientes'!B:B,0))</f>
        <v>BT</v>
      </c>
      <c r="G196" s="56" t="str">
        <f>INDEX('Infos Clientes'!$J:$J,MATCH('Detalhe Por UC'!C196,'Infos Clientes'!B:B,0))</f>
        <v>trifasico</v>
      </c>
      <c r="H196" s="108" t="s">
        <v>138</v>
      </c>
      <c r="I196" s="58">
        <f>IFERROR(VLOOKUP(C196,'Infos Clientes'!B:E,4,),"")</f>
        <v>302</v>
      </c>
      <c r="J196" s="109">
        <v>0.25</v>
      </c>
      <c r="K196" s="59">
        <f>INDEX('Infos Clientes'!$M:$M,MATCH('Detalhe Por UC'!C196,'Infos Clientes'!B:B,0))</f>
        <v>0.25</v>
      </c>
      <c r="L196" s="125">
        <v>0</v>
      </c>
      <c r="M196" s="56">
        <f>INDEX('Infos Clientes'!$N:$N,MATCH('Detalhe Por UC'!C196,'Infos Clientes'!B:B,0))</f>
        <v>0</v>
      </c>
      <c r="N196" s="56">
        <f t="shared" si="81"/>
        <v>0</v>
      </c>
      <c r="O196" s="56">
        <f t="shared" si="82"/>
        <v>9</v>
      </c>
      <c r="P196" s="56">
        <f t="shared" si="83"/>
        <v>0</v>
      </c>
      <c r="Q196" s="61">
        <f>IFERROR(IFERROR(INDEX('Infos Clientes'!$A$2:$V$9884,MATCH($C196,'Infos Clientes'!$B$2:$B$9884,0),MATCH(Q$8,'Infos Clientes'!$A$2:$V$2,0)),"")
+IF(OR(INDEX('Infos Clientes'!$A$2:$V$9884,MATCH($C196,'Infos Clientes'!$B$2:$B$9884,0),MATCH("Tempo de Fidelidade (meses)",'Infos Clientes'!$A$2:$V$2,0))=0,R196&gt;=MAX(R:R)),0,
ROUND((MAX(R:R)-R196)/(365/12),0)),"")</f>
        <v>0</v>
      </c>
      <c r="R196" s="111">
        <v>45689</v>
      </c>
      <c r="S196" s="63">
        <v>0.02</v>
      </c>
      <c r="T196" s="113" t="str">
        <f>IF($H196="GIROSSOL II",AP196/INDEX('Resumo Operacional'!$A$1:$P$1103,17,MATCH('Detalhe Por UC'!$R196,'Resumo Operacional'!$A$1:$P$1,0)),
IF($H196="GIROSSOL II e III",AP196/INDEX('Resumo Operacional'!$A$1:$P$1103,17,MATCH('Detalhe Por UC'!$R196,'Resumo Operacional'!$A$1:$P$1,0)),
""))</f>
        <v/>
      </c>
      <c r="U196" s="113">
        <f>IF($H196="GIROSSOL III",AP196/INDEX('Resumo Operacional'!$A$1:$P$1103,53,MATCH('Detalhe Por UC'!$R196,'Resumo Operacional'!$A$1:$P$1,0)),
IF($H196="GIROSSOL II e III",AP196/INDEX('Resumo Operacional'!$A$1:$P$1103,53,MATCH('Detalhe Por UC'!$R196,'Resumo Operacional'!$A$1:$P$1,0)),
""))</f>
        <v>0</v>
      </c>
      <c r="V196" s="18"/>
      <c r="W196" s="54"/>
      <c r="X196" s="131">
        <v>1.1162550607287449</v>
      </c>
      <c r="Y196" s="132">
        <v>0</v>
      </c>
      <c r="Z196" s="133">
        <v>0</v>
      </c>
      <c r="AA196" s="133">
        <v>0</v>
      </c>
      <c r="AB196" s="134">
        <v>494</v>
      </c>
      <c r="AC196" s="134">
        <v>0</v>
      </c>
      <c r="AD196" s="135">
        <v>0</v>
      </c>
      <c r="AE196" s="35"/>
      <c r="AF196" s="135">
        <v>0</v>
      </c>
      <c r="AG196" s="135">
        <v>0</v>
      </c>
      <c r="AH196" s="44">
        <v>73.010000000000005</v>
      </c>
      <c r="AI196" s="44">
        <v>0</v>
      </c>
      <c r="AJ196" s="44">
        <v>0</v>
      </c>
      <c r="AK196" s="31"/>
      <c r="AN196" s="71">
        <f t="shared" si="84"/>
        <v>0</v>
      </c>
      <c r="AO196" s="71">
        <f t="shared" si="85"/>
        <v>0</v>
      </c>
      <c r="AP196" s="71">
        <f t="shared" si="86"/>
        <v>0</v>
      </c>
      <c r="AQ196" s="72">
        <f>IF(OR($H196="GIROSSOL II",$H196="GIROSSOL II e III"),INDEX('Resumo Operacional'!$A$1:$P$1103,MATCH("Energia Injetada prevista total Fatura da Usina (TUSD)",'Resumo Operacional'!$B$1:$B$1103,0),MATCH('Detalhe Por UC'!$R196,'Resumo Operacional'!$A$1:$P$1,0))*$S196,INDEX('Resumo Operacional'!$A$1:$P$1103,53,MATCH('Detalhe Por UC'!$R196,'Resumo Operacional'!$A$1:$P$1,0))*$S196)</f>
        <v>289.32</v>
      </c>
      <c r="AR196" s="71">
        <f t="shared" si="87"/>
        <v>-289.32</v>
      </c>
      <c r="AS196" s="73">
        <f t="shared" si="88"/>
        <v>624.43999999999994</v>
      </c>
      <c r="AT196" s="74">
        <f t="shared" si="89"/>
        <v>624.43999999999994</v>
      </c>
      <c r="AU196" s="74" t="str">
        <f t="shared" si="90"/>
        <v/>
      </c>
      <c r="AV196" s="74">
        <f t="shared" si="91"/>
        <v>0</v>
      </c>
      <c r="AW196" s="74">
        <f t="shared" si="92"/>
        <v>0</v>
      </c>
      <c r="AX196" s="74">
        <f t="shared" si="93"/>
        <v>0</v>
      </c>
      <c r="AY196" s="74" t="str">
        <f t="shared" si="94"/>
        <v/>
      </c>
      <c r="BC196" s="73" t="str">
        <f t="shared" si="95"/>
        <v/>
      </c>
      <c r="BD196" s="73">
        <f t="shared" si="96"/>
        <v>624.43999999999994</v>
      </c>
      <c r="BE196" s="73">
        <f t="shared" si="97"/>
        <v>624.43999999999994</v>
      </c>
      <c r="BF196" s="77">
        <f t="shared" si="98"/>
        <v>0</v>
      </c>
      <c r="BG196" s="77">
        <f t="shared" si="99"/>
        <v>0</v>
      </c>
      <c r="BH196" s="77">
        <f t="shared" si="100"/>
        <v>0</v>
      </c>
      <c r="BI196" s="78" t="str">
        <f t="shared" si="101"/>
        <v/>
      </c>
      <c r="BJ196" s="79">
        <f t="shared" si="102"/>
        <v>0</v>
      </c>
      <c r="BK196" s="80" t="str">
        <f t="shared" si="103"/>
        <v/>
      </c>
      <c r="BL196" s="80" t="str">
        <f t="shared" si="104"/>
        <v/>
      </c>
      <c r="BM196" s="79" t="str">
        <f t="shared" si="105"/>
        <v/>
      </c>
      <c r="BN196" s="81" t="str">
        <f t="shared" si="106"/>
        <v/>
      </c>
      <c r="BO196" s="82" t="str">
        <f t="shared" si="107"/>
        <v/>
      </c>
      <c r="BP196" s="81" t="str">
        <f t="shared" si="108"/>
        <v/>
      </c>
      <c r="BQ196" s="81" t="str">
        <f t="shared" si="109"/>
        <v/>
      </c>
      <c r="BR196" s="81" t="str">
        <f t="shared" si="110"/>
        <v/>
      </c>
      <c r="BS196" s="82">
        <f t="shared" si="111"/>
        <v>0</v>
      </c>
      <c r="BT196" s="82" t="str">
        <f t="shared" si="112"/>
        <v/>
      </c>
      <c r="BU196" s="82">
        <f t="shared" si="113"/>
        <v>0</v>
      </c>
      <c r="BW196" s="82">
        <f>IFERROR(INDEX('Infos Clientes'!$T:$T,MATCH('Detalhe Por UC'!$C196,'Infos Clientes'!B:B,0)),"")</f>
        <v>352.63636363636363</v>
      </c>
      <c r="BX196" s="83">
        <f t="shared" si="114"/>
        <v>0</v>
      </c>
      <c r="BY196" s="84" t="str">
        <f t="shared" si="115"/>
        <v/>
      </c>
      <c r="BZ196" s="85">
        <f>IF(_xlfn.MINIFS('Detalhe Por UC'!R:R,'Detalhe Por UC'!C:C,C196,'Detalhe Por UC'!AD:AD,"&gt;"&amp;0)=0,"",_xlfn.MINIFS('Detalhe Por UC'!R:R,'Detalhe Por UC'!C:C,C196,'Detalhe Por UC'!AD:AD,"&gt;"&amp;0))</f>
        <v>45658</v>
      </c>
      <c r="CA196" s="114">
        <f ca="1">IF(OR(S196&gt;0,AD196&gt;0),IFERROR(
SUMIFS(INDIRECT("'Infos Clientes'!$W"&amp;INDEX('Infos Clientes'!$C:$C,MATCH(C196,'Infos Clientes'!$H:$H,0))&amp;":$CZ"&amp;INDEX('Infos Clientes'!$C:$C,MATCH(C196,'Infos Clientes'!$H:$H,0))),'Infos Clientes'!$W$2:$CZ$2,"&gt;"&amp;$R196-365,'Infos Clientes'!$W$2:$CZ$2,"&lt;="&amp;$R196)/
COUNTIFS(INDIRECT("'Infos Clientes'!$W"&amp;INDEX('Infos Clientes'!$C:$C,MATCH(C196,'Infos Clientes'!$H:$H,0))&amp;":$CZ"&amp;INDEX('Infos Clientes'!$C:$C,MATCH(C196,'Infos Clientes'!$H:$H,0))),"&gt;="&amp;0,'Infos Clientes'!$W$2:$CZ$2,"&gt;"&amp;$R196-365,'Infos Clientes'!$W$2:$CZ$2,"&lt;="&amp;$R196),""),"")</f>
        <v>327.5</v>
      </c>
      <c r="CB196" s="87">
        <f>VLOOKUP(C196,'Infos Clientes'!B:L,11,0)</f>
        <v>0</v>
      </c>
      <c r="CC196" s="88" t="str">
        <f t="shared" si="116"/>
        <v>A Unidade Consumidora 10/76927-3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96" s="40" t="s">
        <v>227</v>
      </c>
      <c r="CF196" s="115">
        <f t="shared" si="117"/>
        <v>-624.43999999999994</v>
      </c>
    </row>
    <row r="197" spans="1:84" ht="16.2" hidden="1" customHeight="1" x14ac:dyDescent="0.3">
      <c r="A197" s="105" t="str">
        <f>INDEX('Infos Clientes'!$D:$D,MATCH('Detalhe Por UC'!C197,'Infos Clientes'!B:B,0))</f>
        <v>IGREJA DO EVANGELHO QUADRANGULAR</v>
      </c>
      <c r="B197" s="106" t="str">
        <f>INDEX('Infos Clientes'!$F:$F,MATCH('Detalhe Por UC'!C197,'Infos Clientes'!B:B,0))</f>
        <v>62.955.505/1138-75</v>
      </c>
      <c r="C197" s="31" t="s">
        <v>157</v>
      </c>
      <c r="D197" t="s">
        <v>351</v>
      </c>
      <c r="E197" s="1" t="s">
        <v>352</v>
      </c>
      <c r="F197" s="56" t="str">
        <f>INDEX('Infos Clientes'!$I:$I,MATCH('Detalhe Por UC'!C197,'Infos Clientes'!B:B,0))</f>
        <v>BT</v>
      </c>
      <c r="G197" s="56" t="str">
        <f>INDEX('Infos Clientes'!$J:$J,MATCH('Detalhe Por UC'!C197,'Infos Clientes'!B:B,0))</f>
        <v>bifasico</v>
      </c>
      <c r="H197" s="108" t="s">
        <v>138</v>
      </c>
      <c r="I197" s="58">
        <f>IFERROR(VLOOKUP(C197,'Infos Clientes'!B:E,4,),"")</f>
        <v>358</v>
      </c>
      <c r="J197" s="109">
        <v>0.25</v>
      </c>
      <c r="K197" s="59">
        <f>INDEX('Infos Clientes'!$M:$M,MATCH('Detalhe Por UC'!C197,'Infos Clientes'!B:B,0))</f>
        <v>0.25</v>
      </c>
      <c r="L197" s="125">
        <v>0</v>
      </c>
      <c r="M197" s="56">
        <f>INDEX('Infos Clientes'!$N:$N,MATCH('Detalhe Por UC'!C197,'Infos Clientes'!B:B,0))</f>
        <v>0</v>
      </c>
      <c r="N197" s="56">
        <f t="shared" si="81"/>
        <v>0</v>
      </c>
      <c r="O197" s="56">
        <f t="shared" si="82"/>
        <v>9</v>
      </c>
      <c r="P197" s="56">
        <f t="shared" si="83"/>
        <v>0</v>
      </c>
      <c r="Q197" s="61">
        <f>IFERROR(IFERROR(INDEX('Infos Clientes'!$A$2:$V$9884,MATCH($C197,'Infos Clientes'!$B$2:$B$9884,0),MATCH(Q$8,'Infos Clientes'!$A$2:$V$2,0)),"")
+IF(OR(INDEX('Infos Clientes'!$A$2:$V$9884,MATCH($C197,'Infos Clientes'!$B$2:$B$9884,0),MATCH("Tempo de Fidelidade (meses)",'Infos Clientes'!$A$2:$V$2,0))=0,R197&gt;=MAX(R:R)),0,
ROUND((MAX(R:R)-R197)/(365/12),0)),"")</f>
        <v>0</v>
      </c>
      <c r="R197" s="111">
        <v>45689</v>
      </c>
      <c r="S197" s="63">
        <v>0.03</v>
      </c>
      <c r="T197" s="113" t="str">
        <f>IF($H197="GIROSSOL II",AP197/INDEX('Resumo Operacional'!$A$1:$P$1103,17,MATCH('Detalhe Por UC'!$R197,'Resumo Operacional'!$A$1:$P$1,0)),
IF($H197="GIROSSOL II e III",AP197/INDEX('Resumo Operacional'!$A$1:$P$1103,17,MATCH('Detalhe Por UC'!$R197,'Resumo Operacional'!$A$1:$P$1,0)),
""))</f>
        <v/>
      </c>
      <c r="U197" s="113">
        <f>IF($H197="GIROSSOL III",AP197/INDEX('Resumo Operacional'!$A$1:$P$1103,53,MATCH('Detalhe Por UC'!$R197,'Resumo Operacional'!$A$1:$P$1,0)),
IF($H197="GIROSSOL II e III",AP197/INDEX('Resumo Operacional'!$A$1:$P$1103,53,MATCH('Detalhe Por UC'!$R197,'Resumo Operacional'!$A$1:$P$1,0)),
""))</f>
        <v>0</v>
      </c>
      <c r="V197" s="18"/>
      <c r="W197" s="54"/>
      <c r="X197" s="131">
        <v>1.1162555066079294</v>
      </c>
      <c r="Y197" s="132">
        <v>0</v>
      </c>
      <c r="Z197" s="133">
        <v>0</v>
      </c>
      <c r="AA197" s="133">
        <v>0</v>
      </c>
      <c r="AB197" s="134">
        <v>681</v>
      </c>
      <c r="AC197" s="134">
        <v>0</v>
      </c>
      <c r="AD197" s="135">
        <v>0</v>
      </c>
      <c r="AE197" s="35"/>
      <c r="AF197" s="135">
        <v>0</v>
      </c>
      <c r="AG197" s="135">
        <v>0</v>
      </c>
      <c r="AH197" s="44">
        <v>111.11999999999999</v>
      </c>
      <c r="AI197" s="44">
        <v>0</v>
      </c>
      <c r="AJ197" s="44">
        <v>0</v>
      </c>
      <c r="AK197" s="31"/>
      <c r="AN197" s="71">
        <f t="shared" si="84"/>
        <v>0</v>
      </c>
      <c r="AO197" s="71">
        <f t="shared" si="85"/>
        <v>0</v>
      </c>
      <c r="AP197" s="71">
        <f t="shared" si="86"/>
        <v>0</v>
      </c>
      <c r="AQ197" s="72">
        <f>IF(OR($H197="GIROSSOL II",$H197="GIROSSOL II e III"),INDEX('Resumo Operacional'!$A$1:$P$1103,MATCH("Energia Injetada prevista total Fatura da Usina (TUSD)",'Resumo Operacional'!$B$1:$B$1103,0),MATCH('Detalhe Por UC'!$R197,'Resumo Operacional'!$A$1:$P$1,0))*$S197,INDEX('Resumo Operacional'!$A$1:$P$1103,53,MATCH('Detalhe Por UC'!$R197,'Resumo Operacional'!$A$1:$P$1,0))*$S197)</f>
        <v>433.97999999999996</v>
      </c>
      <c r="AR197" s="71">
        <f t="shared" si="87"/>
        <v>-433.97999999999996</v>
      </c>
      <c r="AS197" s="73">
        <f t="shared" si="88"/>
        <v>871.29</v>
      </c>
      <c r="AT197" s="74">
        <f t="shared" si="89"/>
        <v>871.29</v>
      </c>
      <c r="AU197" s="74" t="str">
        <f t="shared" si="90"/>
        <v/>
      </c>
      <c r="AV197" s="74">
        <f t="shared" si="91"/>
        <v>0</v>
      </c>
      <c r="AW197" s="74">
        <f t="shared" si="92"/>
        <v>0</v>
      </c>
      <c r="AX197" s="74">
        <f t="shared" si="93"/>
        <v>0</v>
      </c>
      <c r="AY197" s="74" t="str">
        <f t="shared" si="94"/>
        <v/>
      </c>
      <c r="BC197" s="73" t="str">
        <f t="shared" si="95"/>
        <v/>
      </c>
      <c r="BD197" s="73">
        <f t="shared" si="96"/>
        <v>871.29</v>
      </c>
      <c r="BE197" s="73">
        <f t="shared" si="97"/>
        <v>871.29</v>
      </c>
      <c r="BF197" s="77">
        <f t="shared" si="98"/>
        <v>0</v>
      </c>
      <c r="BG197" s="77">
        <f t="shared" si="99"/>
        <v>0</v>
      </c>
      <c r="BH197" s="77">
        <f t="shared" si="100"/>
        <v>0</v>
      </c>
      <c r="BI197" s="78" t="str">
        <f t="shared" si="101"/>
        <v/>
      </c>
      <c r="BJ197" s="79">
        <f t="shared" si="102"/>
        <v>0</v>
      </c>
      <c r="BK197" s="80" t="str">
        <f t="shared" si="103"/>
        <v/>
      </c>
      <c r="BL197" s="80" t="str">
        <f t="shared" si="104"/>
        <v/>
      </c>
      <c r="BM197" s="79" t="str">
        <f t="shared" si="105"/>
        <v/>
      </c>
      <c r="BN197" s="81" t="str">
        <f t="shared" si="106"/>
        <v/>
      </c>
      <c r="BO197" s="82" t="str">
        <f t="shared" si="107"/>
        <v/>
      </c>
      <c r="BP197" s="81" t="str">
        <f t="shared" si="108"/>
        <v/>
      </c>
      <c r="BQ197" s="81" t="str">
        <f t="shared" si="109"/>
        <v/>
      </c>
      <c r="BR197" s="81" t="str">
        <f t="shared" si="110"/>
        <v/>
      </c>
      <c r="BS197" s="82">
        <f t="shared" si="111"/>
        <v>0</v>
      </c>
      <c r="BT197" s="82" t="str">
        <f t="shared" si="112"/>
        <v/>
      </c>
      <c r="BU197" s="82">
        <f t="shared" si="113"/>
        <v>0</v>
      </c>
      <c r="BW197" s="82">
        <f>IFERROR(INDEX('Infos Clientes'!$T:$T,MATCH('Detalhe Por UC'!$C197,'Infos Clientes'!B:B,0)),"")</f>
        <v>449.81818181818181</v>
      </c>
      <c r="BX197" s="83">
        <f t="shared" si="114"/>
        <v>0</v>
      </c>
      <c r="BY197" s="84" t="str">
        <f t="shared" si="115"/>
        <v/>
      </c>
      <c r="BZ197" s="85">
        <f>IF(_xlfn.MINIFS('Detalhe Por UC'!R:R,'Detalhe Por UC'!C:C,C197,'Detalhe Por UC'!AD:AD,"&gt;"&amp;0)=0,"",_xlfn.MINIFS('Detalhe Por UC'!R:R,'Detalhe Por UC'!C:C,C197,'Detalhe Por UC'!AD:AD,"&gt;"&amp;0))</f>
        <v>45658</v>
      </c>
      <c r="CA197" s="114">
        <f ca="1">IF(OR(S197&gt;0,AD197&gt;0),IFERROR(
SUMIFS(INDIRECT("'Infos Clientes'!$W"&amp;INDEX('Infos Clientes'!$C:$C,MATCH(C197,'Infos Clientes'!$H:$H,0))&amp;":$CZ"&amp;INDEX('Infos Clientes'!$C:$C,MATCH(C197,'Infos Clientes'!$H:$H,0))),'Infos Clientes'!$W$2:$CZ$2,"&gt;"&amp;$R197-365,'Infos Clientes'!$W$2:$CZ$2,"&lt;="&amp;$R197)/
COUNTIFS(INDIRECT("'Infos Clientes'!$W"&amp;INDEX('Infos Clientes'!$C:$C,MATCH(C197,'Infos Clientes'!$H:$H,0))&amp;":$CZ"&amp;INDEX('Infos Clientes'!$C:$C,MATCH(C197,'Infos Clientes'!$H:$H,0))),"&gt;="&amp;0,'Infos Clientes'!$W$2:$CZ$2,"&gt;"&amp;$R197-365,'Infos Clientes'!$W$2:$CZ$2,"&lt;="&amp;$R197),""),"")</f>
        <v>424.75</v>
      </c>
      <c r="CB197" s="87">
        <f>VLOOKUP(C197,'Infos Clientes'!B:L,11,0)</f>
        <v>0</v>
      </c>
      <c r="CC197" s="88" t="str">
        <f t="shared" si="116"/>
        <v>A Unidade Consumidora 10/142353-2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97" s="40" t="s">
        <v>159</v>
      </c>
      <c r="CF197" s="115">
        <f t="shared" si="117"/>
        <v>-871.29</v>
      </c>
    </row>
    <row r="198" spans="1:84" ht="16.2" hidden="1" customHeight="1" x14ac:dyDescent="0.3">
      <c r="A198" s="105" t="str">
        <f>INDEX('Infos Clientes'!$D:$D,MATCH('Detalhe Por UC'!C198,'Infos Clientes'!B:B,0))</f>
        <v>IGREJA DO EVANGELHO QUADRANGULAR</v>
      </c>
      <c r="B198" s="106" t="str">
        <f>INDEX('Infos Clientes'!$F:$F,MATCH('Detalhe Por UC'!C198,'Infos Clientes'!B:B,0))</f>
        <v>62.955.505/3574-05</v>
      </c>
      <c r="C198" s="31" t="s">
        <v>203</v>
      </c>
      <c r="D198" t="s">
        <v>351</v>
      </c>
      <c r="E198" s="1" t="s">
        <v>352</v>
      </c>
      <c r="F198" s="56" t="str">
        <f>INDEX('Infos Clientes'!$I:$I,MATCH('Detalhe Por UC'!C198,'Infos Clientes'!B:B,0))</f>
        <v>BT</v>
      </c>
      <c r="G198" s="56" t="str">
        <f>INDEX('Infos Clientes'!$J:$J,MATCH('Detalhe Por UC'!C198,'Infos Clientes'!B:B,0))</f>
        <v>trifasico</v>
      </c>
      <c r="H198" s="108" t="s">
        <v>138</v>
      </c>
      <c r="I198" s="58">
        <f>IFERROR(VLOOKUP(C198,'Infos Clientes'!B:E,4,),"")</f>
        <v>306</v>
      </c>
      <c r="J198" s="109">
        <v>0.25</v>
      </c>
      <c r="K198" s="59">
        <f>INDEX('Infos Clientes'!$M:$M,MATCH('Detalhe Por UC'!C198,'Infos Clientes'!B:B,0))</f>
        <v>0.25</v>
      </c>
      <c r="L198" s="125">
        <v>0</v>
      </c>
      <c r="M198" s="56">
        <f>INDEX('Infos Clientes'!$N:$N,MATCH('Detalhe Por UC'!C198,'Infos Clientes'!B:B,0))</f>
        <v>0</v>
      </c>
      <c r="N198" s="56">
        <f t="shared" si="81"/>
        <v>0</v>
      </c>
      <c r="O198" s="56">
        <f t="shared" si="82"/>
        <v>10</v>
      </c>
      <c r="P198" s="56">
        <f t="shared" si="83"/>
        <v>0</v>
      </c>
      <c r="Q198" s="61">
        <f>IFERROR(IFERROR(INDEX('Infos Clientes'!$A$2:$V$9884,MATCH($C198,'Infos Clientes'!$B$2:$B$9884,0),MATCH(Q$8,'Infos Clientes'!$A$2:$V$2,0)),"")
+IF(OR(INDEX('Infos Clientes'!$A$2:$V$9884,MATCH($C198,'Infos Clientes'!$B$2:$B$9884,0),MATCH("Tempo de Fidelidade (meses)",'Infos Clientes'!$A$2:$V$2,0))=0,R198&gt;=MAX(R:R)),0,
ROUND((MAX(R:R)-R198)/(365/12),0)),"")</f>
        <v>0</v>
      </c>
      <c r="R198" s="111">
        <v>45689</v>
      </c>
      <c r="S198" s="63">
        <v>0.02</v>
      </c>
      <c r="T198" s="113" t="str">
        <f>IF($H198="GIROSSOL II",AP198/INDEX('Resumo Operacional'!$A$1:$P$1103,17,MATCH('Detalhe Por UC'!$R198,'Resumo Operacional'!$A$1:$P$1,0)),
IF($H198="GIROSSOL II e III",AP198/INDEX('Resumo Operacional'!$A$1:$P$1103,17,MATCH('Detalhe Por UC'!$R198,'Resumo Operacional'!$A$1:$P$1,0)),
""))</f>
        <v/>
      </c>
      <c r="U198" s="113">
        <f>IF($H198="GIROSSOL III",AP198/INDEX('Resumo Operacional'!$A$1:$P$1103,53,MATCH('Detalhe Por UC'!$R198,'Resumo Operacional'!$A$1:$P$1,0)),
IF($H198="GIROSSOL II e III",AP198/INDEX('Resumo Operacional'!$A$1:$P$1103,53,MATCH('Detalhe Por UC'!$R198,'Resumo Operacional'!$A$1:$P$1,0)),
""))</f>
        <v>1.4378542789990323E-2</v>
      </c>
      <c r="V198" s="18"/>
      <c r="W198" s="54"/>
      <c r="X198" s="131">
        <v>1.1162589928057554</v>
      </c>
      <c r="Y198" s="132">
        <v>0</v>
      </c>
      <c r="Z198" s="133">
        <v>0.97408653846153848</v>
      </c>
      <c r="AA198" s="133">
        <v>0</v>
      </c>
      <c r="AB198" s="134">
        <v>417</v>
      </c>
      <c r="AC198" s="134">
        <v>0</v>
      </c>
      <c r="AD198" s="135">
        <v>208</v>
      </c>
      <c r="AE198" s="35"/>
      <c r="AF198" s="135">
        <v>0</v>
      </c>
      <c r="AG198" s="135">
        <v>0</v>
      </c>
      <c r="AH198" s="44">
        <v>0</v>
      </c>
      <c r="AI198" s="44">
        <v>0</v>
      </c>
      <c r="AJ198" s="44">
        <v>0</v>
      </c>
      <c r="AK198" s="31"/>
      <c r="AN198" s="71">
        <f t="shared" si="84"/>
        <v>0</v>
      </c>
      <c r="AO198" s="71">
        <f t="shared" si="85"/>
        <v>0</v>
      </c>
      <c r="AP198" s="71">
        <f t="shared" si="86"/>
        <v>208</v>
      </c>
      <c r="AQ198" s="72">
        <f>IF(OR($H198="GIROSSOL II",$H198="GIROSSOL II e III"),INDEX('Resumo Operacional'!$A$1:$P$1103,MATCH("Energia Injetada prevista total Fatura da Usina (TUSD)",'Resumo Operacional'!$B$1:$B$1103,0),MATCH('Detalhe Por UC'!$R198,'Resumo Operacional'!$A$1:$P$1,0))*$S198,INDEX('Resumo Operacional'!$A$1:$P$1103,53,MATCH('Detalhe Por UC'!$R198,'Resumo Operacional'!$A$1:$P$1,0))*$S198)</f>
        <v>289.32</v>
      </c>
      <c r="AR198" s="71">
        <f t="shared" si="87"/>
        <v>-81.319999999999993</v>
      </c>
      <c r="AS198" s="73">
        <f t="shared" si="88"/>
        <v>262.86999999999995</v>
      </c>
      <c r="AT198" s="74">
        <f t="shared" si="89"/>
        <v>262.86999999999995</v>
      </c>
      <c r="AU198" s="74">
        <f t="shared" si="90"/>
        <v>0.8319140841173216</v>
      </c>
      <c r="AV198" s="74">
        <f t="shared" si="91"/>
        <v>151.95750000000001</v>
      </c>
      <c r="AW198" s="74">
        <f t="shared" si="92"/>
        <v>0</v>
      </c>
      <c r="AX198" s="74">
        <f t="shared" si="93"/>
        <v>202.61</v>
      </c>
      <c r="AY198" s="74">
        <f t="shared" si="94"/>
        <v>151.96</v>
      </c>
      <c r="AZ198" s="49">
        <v>151.96</v>
      </c>
      <c r="BA198" s="49">
        <v>151.96</v>
      </c>
      <c r="BB198" s="49">
        <v>151.96</v>
      </c>
      <c r="BC198" s="73" t="str">
        <f t="shared" si="95"/>
        <v/>
      </c>
      <c r="BD198" s="73">
        <f t="shared" si="96"/>
        <v>465.47999999999996</v>
      </c>
      <c r="BE198" s="73">
        <f t="shared" si="97"/>
        <v>414.82749999999999</v>
      </c>
      <c r="BF198" s="77">
        <f t="shared" si="98"/>
        <v>50.65</v>
      </c>
      <c r="BG198" s="77">
        <f t="shared" si="99"/>
        <v>15.194999999999999</v>
      </c>
      <c r="BH198" s="77">
        <f t="shared" si="100"/>
        <v>202.61</v>
      </c>
      <c r="BI198" s="78">
        <f t="shared" si="101"/>
        <v>0.25</v>
      </c>
      <c r="BJ198" s="79">
        <f t="shared" si="102"/>
        <v>0.10881240869639942</v>
      </c>
      <c r="BK198" s="80">
        <f t="shared" si="103"/>
        <v>414.82999999999993</v>
      </c>
      <c r="BL198" s="80">
        <f t="shared" si="104"/>
        <v>50.650000000000034</v>
      </c>
      <c r="BM198" s="79">
        <f t="shared" si="105"/>
        <v>0.10881240869639949</v>
      </c>
      <c r="BN198" s="81">
        <f t="shared" si="106"/>
        <v>0.73057692307692312</v>
      </c>
      <c r="BO198" s="82">
        <f t="shared" si="107"/>
        <v>151.96</v>
      </c>
      <c r="BP198" s="81">
        <f t="shared" si="108"/>
        <v>0.73057692307692312</v>
      </c>
      <c r="BQ198" s="81">
        <f t="shared" si="109"/>
        <v>0.87274937742114</v>
      </c>
      <c r="BR198" s="81">
        <f t="shared" si="110"/>
        <v>1.1162589928057554</v>
      </c>
      <c r="BS198" s="82">
        <f t="shared" si="111"/>
        <v>208</v>
      </c>
      <c r="BT198" s="82">
        <f t="shared" si="112"/>
        <v>232.18187050359711</v>
      </c>
      <c r="BU198" s="82">
        <f t="shared" si="113"/>
        <v>202.61</v>
      </c>
      <c r="BW198" s="82">
        <f>IFERROR(INDEX('Infos Clientes'!$T:$T,MATCH('Detalhe Por UC'!$C198,'Infos Clientes'!B:B,0)),"")</f>
        <v>378.09090909090907</v>
      </c>
      <c r="BX198" s="83">
        <f t="shared" si="114"/>
        <v>0</v>
      </c>
      <c r="BY198" s="84">
        <f t="shared" si="115"/>
        <v>0.21814795397306996</v>
      </c>
      <c r="BZ198" s="85">
        <f>IF(_xlfn.MINIFS('Detalhe Por UC'!R:R,'Detalhe Por UC'!C:C,C198,'Detalhe Por UC'!AD:AD,"&gt;"&amp;0)=0,"",_xlfn.MINIFS('Detalhe Por UC'!R:R,'Detalhe Por UC'!C:C,C198,'Detalhe Por UC'!AD:AD,"&gt;"&amp;0))</f>
        <v>45658</v>
      </c>
      <c r="CA198" s="114">
        <f ca="1">IF(OR(S198&gt;0,AD198&gt;0),IFERROR(
SUMIFS(INDIRECT("'Infos Clientes'!$W"&amp;INDEX('Infos Clientes'!$C:$C,MATCH(C198,'Infos Clientes'!$H:$H,0))&amp;":$CZ"&amp;INDEX('Infos Clientes'!$C:$C,MATCH(C198,'Infos Clientes'!$H:$H,0))),'Infos Clientes'!$W$2:$CZ$2,"&gt;"&amp;$R198-365,'Infos Clientes'!$W$2:$CZ$2,"&lt;="&amp;$R198)/
COUNTIFS(INDIRECT("'Infos Clientes'!$W"&amp;INDEX('Infos Clientes'!$C:$C,MATCH(C198,'Infos Clientes'!$H:$H,0))&amp;":$CZ"&amp;INDEX('Infos Clientes'!$C:$C,MATCH(C198,'Infos Clientes'!$H:$H,0))),"&gt;="&amp;0,'Infos Clientes'!$W$2:$CZ$2,"&gt;"&amp;$R198-365,'Infos Clientes'!$W$2:$CZ$2,"&lt;="&amp;$R198),""),"")</f>
        <v>347.91666666666669</v>
      </c>
      <c r="CB198" s="87">
        <f>VLOOKUP(C198,'Infos Clientes'!B:L,11,0)</f>
        <v>0</v>
      </c>
      <c r="CC198" s="88" t="str">
        <f t="shared" si="116"/>
        <v>A Unidade Consumidora 10/435964-2 economizou R$50,65 na fatura referente à fev/2025  consumindo 208 kWh em créditos de energia renovável conforme fatura de energia. A economia foi de 25% em relação ao que seria pago para a Energisa considerando os créditos consumidos. Atenção: Mantenha as contas da Energisa em dia para evitar cortes.</v>
      </c>
      <c r="CD198" s="40" t="s">
        <v>143</v>
      </c>
      <c r="CF198" s="115">
        <f t="shared" si="117"/>
        <v>-262.86999999999995</v>
      </c>
    </row>
    <row r="199" spans="1:84" ht="16.2" hidden="1" customHeight="1" x14ac:dyDescent="0.3">
      <c r="A199" s="105" t="str">
        <f>INDEX('Infos Clientes'!$D:$D,MATCH('Detalhe Por UC'!C199,'Infos Clientes'!B:B,0))</f>
        <v>IGREJA DO EVANGELHO QUADRANGULAR</v>
      </c>
      <c r="B199" s="106" t="str">
        <f>INDEX('Infos Clientes'!$F:$F,MATCH('Detalhe Por UC'!C199,'Infos Clientes'!B:B,0))</f>
        <v>62.955.505/0169-18</v>
      </c>
      <c r="C199" s="31" t="s">
        <v>139</v>
      </c>
      <c r="D199" t="s">
        <v>351</v>
      </c>
      <c r="E199" s="1" t="s">
        <v>352</v>
      </c>
      <c r="F199" s="56" t="str">
        <f>INDEX('Infos Clientes'!$I:$I,MATCH('Detalhe Por UC'!C199,'Infos Clientes'!B:B,0))</f>
        <v>BT</v>
      </c>
      <c r="G199" s="56" t="str">
        <f>INDEX('Infos Clientes'!$J:$J,MATCH('Detalhe Por UC'!C199,'Infos Clientes'!B:B,0))</f>
        <v>bifasico</v>
      </c>
      <c r="H199" s="108" t="s">
        <v>138</v>
      </c>
      <c r="I199" s="58">
        <f>IFERROR(VLOOKUP(C199,'Infos Clientes'!B:E,4,),"")</f>
        <v>351</v>
      </c>
      <c r="J199" s="109">
        <v>0.25</v>
      </c>
      <c r="K199" s="59">
        <f>INDEX('Infos Clientes'!$M:$M,MATCH('Detalhe Por UC'!C199,'Infos Clientes'!B:B,0))</f>
        <v>0.25</v>
      </c>
      <c r="L199" s="125">
        <v>0</v>
      </c>
      <c r="M199" s="56">
        <f>INDEX('Infos Clientes'!$N:$N,MATCH('Detalhe Por UC'!C199,'Infos Clientes'!B:B,0))</f>
        <v>0</v>
      </c>
      <c r="N199" s="56">
        <f t="shared" si="81"/>
        <v>0</v>
      </c>
      <c r="O199" s="56">
        <f t="shared" si="82"/>
        <v>9</v>
      </c>
      <c r="P199" s="56">
        <f t="shared" si="83"/>
        <v>0</v>
      </c>
      <c r="Q199" s="61">
        <f>IFERROR(IFERROR(INDEX('Infos Clientes'!$A$2:$V$9884,MATCH($C199,'Infos Clientes'!$B$2:$B$9884,0),MATCH(Q$8,'Infos Clientes'!$A$2:$V$2,0)),"")
+IF(OR(INDEX('Infos Clientes'!$A$2:$V$9884,MATCH($C199,'Infos Clientes'!$B$2:$B$9884,0),MATCH("Tempo de Fidelidade (meses)",'Infos Clientes'!$A$2:$V$2,0))=0,R199&gt;=MAX(R:R)),0,
ROUND((MAX(R:R)-R199)/(365/12),0)),"")</f>
        <v>0</v>
      </c>
      <c r="R199" s="111">
        <v>45689</v>
      </c>
      <c r="S199" s="63">
        <v>0.03</v>
      </c>
      <c r="T199" s="113" t="str">
        <f>IF($H199="GIROSSOL II",AP199/INDEX('Resumo Operacional'!$A$1:$P$1103,17,MATCH('Detalhe Por UC'!$R199,'Resumo Operacional'!$A$1:$P$1,0)),
IF($H199="GIROSSOL II e III",AP199/INDEX('Resumo Operacional'!$A$1:$P$1103,17,MATCH('Detalhe Por UC'!$R199,'Resumo Operacional'!$A$1:$P$1,0)),
""))</f>
        <v/>
      </c>
      <c r="U199" s="113">
        <f>IF($H199="GIROSSOL III",AP199/INDEX('Resumo Operacional'!$A$1:$P$1103,53,MATCH('Detalhe Por UC'!$R199,'Resumo Operacional'!$A$1:$P$1,0)),
IF($H199="GIROSSOL II e III",AP199/INDEX('Resumo Operacional'!$A$1:$P$1103,53,MATCH('Detalhe Por UC'!$R199,'Resumo Operacional'!$A$1:$P$1,0)),
""))</f>
        <v>0</v>
      </c>
      <c r="V199" s="18"/>
      <c r="W199" s="54"/>
      <c r="X199" s="131">
        <v>1.1162547770700637</v>
      </c>
      <c r="Y199" s="132">
        <v>0</v>
      </c>
      <c r="Z199" s="133">
        <v>0</v>
      </c>
      <c r="AA199" s="133">
        <v>0</v>
      </c>
      <c r="AB199" s="134">
        <v>785</v>
      </c>
      <c r="AC199" s="134">
        <v>0</v>
      </c>
      <c r="AD199" s="135">
        <v>0</v>
      </c>
      <c r="AE199" s="35"/>
      <c r="AF199" s="135">
        <v>0</v>
      </c>
      <c r="AG199" s="135">
        <v>0</v>
      </c>
      <c r="AH199" s="44">
        <v>105.48</v>
      </c>
      <c r="AI199" s="44">
        <v>0</v>
      </c>
      <c r="AJ199" s="44">
        <v>0</v>
      </c>
      <c r="AK199" s="31"/>
      <c r="AN199" s="71">
        <f t="shared" si="84"/>
        <v>0</v>
      </c>
      <c r="AO199" s="71">
        <f t="shared" si="85"/>
        <v>0</v>
      </c>
      <c r="AP199" s="71">
        <f t="shared" si="86"/>
        <v>0</v>
      </c>
      <c r="AQ199" s="72">
        <f>IF(OR($H199="GIROSSOL II",$H199="GIROSSOL II e III"),INDEX('Resumo Operacional'!$A$1:$P$1103,MATCH("Energia Injetada prevista total Fatura da Usina (TUSD)",'Resumo Operacional'!$B$1:$B$1103,0),MATCH('Detalhe Por UC'!$R199,'Resumo Operacional'!$A$1:$P$1,0))*$S199,INDEX('Resumo Operacional'!$A$1:$P$1103,53,MATCH('Detalhe Por UC'!$R199,'Resumo Operacional'!$A$1:$P$1,0))*$S199)</f>
        <v>433.97999999999996</v>
      </c>
      <c r="AR199" s="71">
        <f t="shared" si="87"/>
        <v>-433.97999999999996</v>
      </c>
      <c r="AS199" s="73">
        <f t="shared" si="88"/>
        <v>981.74</v>
      </c>
      <c r="AT199" s="74">
        <f t="shared" si="89"/>
        <v>981.74</v>
      </c>
      <c r="AU199" s="74" t="str">
        <f t="shared" si="90"/>
        <v/>
      </c>
      <c r="AV199" s="74">
        <f t="shared" si="91"/>
        <v>0</v>
      </c>
      <c r="AW199" s="74">
        <f t="shared" si="92"/>
        <v>0</v>
      </c>
      <c r="AX199" s="74">
        <f t="shared" si="93"/>
        <v>0</v>
      </c>
      <c r="AY199" s="74" t="str">
        <f t="shared" si="94"/>
        <v/>
      </c>
      <c r="BC199" s="73" t="str">
        <f t="shared" si="95"/>
        <v/>
      </c>
      <c r="BD199" s="73">
        <f t="shared" si="96"/>
        <v>981.74</v>
      </c>
      <c r="BE199" s="73">
        <f t="shared" si="97"/>
        <v>981.74</v>
      </c>
      <c r="BF199" s="77">
        <f t="shared" si="98"/>
        <v>0</v>
      </c>
      <c r="BG199" s="77">
        <f t="shared" si="99"/>
        <v>0</v>
      </c>
      <c r="BH199" s="77">
        <f t="shared" si="100"/>
        <v>0</v>
      </c>
      <c r="BI199" s="78" t="str">
        <f t="shared" si="101"/>
        <v/>
      </c>
      <c r="BJ199" s="79">
        <f t="shared" si="102"/>
        <v>0</v>
      </c>
      <c r="BK199" s="80" t="str">
        <f t="shared" si="103"/>
        <v/>
      </c>
      <c r="BL199" s="80" t="str">
        <f t="shared" si="104"/>
        <v/>
      </c>
      <c r="BM199" s="79" t="str">
        <f t="shared" si="105"/>
        <v/>
      </c>
      <c r="BN199" s="81" t="str">
        <f t="shared" si="106"/>
        <v/>
      </c>
      <c r="BO199" s="82" t="str">
        <f t="shared" si="107"/>
        <v/>
      </c>
      <c r="BP199" s="81" t="str">
        <f t="shared" si="108"/>
        <v/>
      </c>
      <c r="BQ199" s="81" t="str">
        <f t="shared" si="109"/>
        <v/>
      </c>
      <c r="BR199" s="81" t="str">
        <f t="shared" si="110"/>
        <v/>
      </c>
      <c r="BS199" s="82">
        <f t="shared" si="111"/>
        <v>0</v>
      </c>
      <c r="BT199" s="82" t="str">
        <f t="shared" si="112"/>
        <v/>
      </c>
      <c r="BU199" s="82">
        <f t="shared" si="113"/>
        <v>0</v>
      </c>
      <c r="BW199" s="82">
        <f>IFERROR(INDEX('Infos Clientes'!$T:$T,MATCH('Detalhe Por UC'!$C199,'Infos Clientes'!B:B,0)),"")</f>
        <v>547.4545454545455</v>
      </c>
      <c r="BX199" s="83">
        <f t="shared" si="114"/>
        <v>0</v>
      </c>
      <c r="BY199" s="84" t="str">
        <f t="shared" si="115"/>
        <v/>
      </c>
      <c r="BZ199" s="85">
        <f>IF(_xlfn.MINIFS('Detalhe Por UC'!R:R,'Detalhe Por UC'!C:C,C199,'Detalhe Por UC'!AD:AD,"&gt;"&amp;0)=0,"",_xlfn.MINIFS('Detalhe Por UC'!R:R,'Detalhe Por UC'!C:C,C199,'Detalhe Por UC'!AD:AD,"&gt;"&amp;0))</f>
        <v>45658</v>
      </c>
      <c r="CA199" s="114">
        <f ca="1">IF(OR(S199&gt;0,AD199&gt;0),IFERROR(
SUMIFS(INDIRECT("'Infos Clientes'!$W"&amp;INDEX('Infos Clientes'!$C:$C,MATCH(C199,'Infos Clientes'!$H:$H,0))&amp;":$CZ"&amp;INDEX('Infos Clientes'!$C:$C,MATCH(C199,'Infos Clientes'!$H:$H,0))),'Infos Clientes'!$W$2:$CZ$2,"&gt;"&amp;$R199-365,'Infos Clientes'!$W$2:$CZ$2,"&lt;="&amp;$R199)/
COUNTIFS(INDIRECT("'Infos Clientes'!$W"&amp;INDEX('Infos Clientes'!$C:$C,MATCH(C199,'Infos Clientes'!$H:$H,0))&amp;":$CZ"&amp;INDEX('Infos Clientes'!$C:$C,MATCH(C199,'Infos Clientes'!$H:$H,0))),"&gt;="&amp;0,'Infos Clientes'!$W$2:$CZ$2,"&gt;"&amp;$R199-365,'Infos Clientes'!$W$2:$CZ$2,"&lt;="&amp;$R199),""),"")</f>
        <v>514.83333333333337</v>
      </c>
      <c r="CB199" s="87">
        <f>VLOOKUP(C199,'Infos Clientes'!B:L,11,0)</f>
        <v>0</v>
      </c>
      <c r="CC199" s="88" t="str">
        <f t="shared" si="116"/>
        <v>A Unidade Consumidora 10/1081489-5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199" s="40" t="s">
        <v>141</v>
      </c>
      <c r="CF199" s="115">
        <f t="shared" si="117"/>
        <v>-981.74</v>
      </c>
    </row>
    <row r="200" spans="1:84" ht="16.2" hidden="1" customHeight="1" x14ac:dyDescent="0.3">
      <c r="A200" s="105" t="str">
        <f>INDEX('Infos Clientes'!$D:$D,MATCH('Detalhe Por UC'!C200,'Infos Clientes'!B:B,0))</f>
        <v>IGREJA DO EVANGELHO QUADRANGULAR</v>
      </c>
      <c r="B200" s="106" t="str">
        <f>INDEX('Infos Clientes'!$F:$F,MATCH('Detalhe Por UC'!C200,'Infos Clientes'!B:B,0))</f>
        <v>62.955.505/3124-87</v>
      </c>
      <c r="C200" s="31" t="s">
        <v>160</v>
      </c>
      <c r="D200" t="s">
        <v>351</v>
      </c>
      <c r="E200" s="1" t="s">
        <v>352</v>
      </c>
      <c r="F200" s="56" t="str">
        <f>INDEX('Infos Clientes'!$I:$I,MATCH('Detalhe Por UC'!C200,'Infos Clientes'!B:B,0))</f>
        <v>BT</v>
      </c>
      <c r="G200" s="56" t="str">
        <f>INDEX('Infos Clientes'!$J:$J,MATCH('Detalhe Por UC'!C200,'Infos Clientes'!B:B,0))</f>
        <v>trifasico</v>
      </c>
      <c r="H200" s="108" t="s">
        <v>138</v>
      </c>
      <c r="I200" s="58">
        <f>IFERROR(VLOOKUP(C200,'Infos Clientes'!B:E,4,),"")</f>
        <v>357</v>
      </c>
      <c r="J200" s="109">
        <v>0.25</v>
      </c>
      <c r="K200" s="59">
        <f>INDEX('Infos Clientes'!$M:$M,MATCH('Detalhe Por UC'!C200,'Infos Clientes'!B:B,0))</f>
        <v>0.25</v>
      </c>
      <c r="L200" s="125">
        <v>0</v>
      </c>
      <c r="M200" s="56">
        <f>INDEX('Infos Clientes'!$N:$N,MATCH('Detalhe Por UC'!C200,'Infos Clientes'!B:B,0))</f>
        <v>0</v>
      </c>
      <c r="N200" s="56">
        <f t="shared" si="81"/>
        <v>0</v>
      </c>
      <c r="O200" s="56">
        <f t="shared" si="82"/>
        <v>9</v>
      </c>
      <c r="P200" s="56">
        <f t="shared" si="83"/>
        <v>0</v>
      </c>
      <c r="Q200" s="61">
        <f>IFERROR(IFERROR(INDEX('Infos Clientes'!$A$2:$V$9884,MATCH($C200,'Infos Clientes'!$B$2:$B$9884,0),MATCH(Q$8,'Infos Clientes'!$A$2:$V$2,0)),"")
+IF(OR(INDEX('Infos Clientes'!$A$2:$V$9884,MATCH($C200,'Infos Clientes'!$B$2:$B$9884,0),MATCH("Tempo de Fidelidade (meses)",'Infos Clientes'!$A$2:$V$2,0))=0,R200&gt;=MAX(R:R)),0,
ROUND((MAX(R:R)-R200)/(365/12),0)),"")</f>
        <v>0</v>
      </c>
      <c r="R200" s="111">
        <v>45689</v>
      </c>
      <c r="S200" s="63">
        <v>0.03</v>
      </c>
      <c r="T200" s="113" t="str">
        <f>IF($H200="GIROSSOL II",AP200/INDEX('Resumo Operacional'!$A$1:$P$1103,17,MATCH('Detalhe Por UC'!$R200,'Resumo Operacional'!$A$1:$P$1,0)),
IF($H200="GIROSSOL II e III",AP200/INDEX('Resumo Operacional'!$A$1:$P$1103,17,MATCH('Detalhe Por UC'!$R200,'Resumo Operacional'!$A$1:$P$1,0)),
""))</f>
        <v/>
      </c>
      <c r="U200" s="113">
        <f>IF($H200="GIROSSOL III",AP200/INDEX('Resumo Operacional'!$A$1:$P$1103,53,MATCH('Detalhe Por UC'!$R200,'Resumo Operacional'!$A$1:$P$1,0)),
IF($H200="GIROSSOL II e III",AP200/INDEX('Resumo Operacional'!$A$1:$P$1103,53,MATCH('Detalhe Por UC'!$R200,'Resumo Operacional'!$A$1:$P$1,0)),
""))</f>
        <v>0</v>
      </c>
      <c r="V200" s="18"/>
      <c r="W200" s="54"/>
      <c r="X200" s="131">
        <v>1.1162572254335261</v>
      </c>
      <c r="Y200" s="132">
        <v>0</v>
      </c>
      <c r="Z200" s="133">
        <v>0</v>
      </c>
      <c r="AA200" s="133">
        <v>0</v>
      </c>
      <c r="AB200" s="134">
        <v>692</v>
      </c>
      <c r="AC200" s="134">
        <v>0</v>
      </c>
      <c r="AD200" s="135">
        <v>0</v>
      </c>
      <c r="AE200" s="35"/>
      <c r="AF200" s="135">
        <v>0</v>
      </c>
      <c r="AG200" s="135">
        <v>0</v>
      </c>
      <c r="AH200" s="44">
        <v>0</v>
      </c>
      <c r="AI200" s="44">
        <v>-43.87</v>
      </c>
      <c r="AJ200" s="44">
        <v>0</v>
      </c>
      <c r="AK200" s="31"/>
      <c r="AN200" s="71">
        <f t="shared" si="84"/>
        <v>0</v>
      </c>
      <c r="AO200" s="71">
        <f t="shared" si="85"/>
        <v>0</v>
      </c>
      <c r="AP200" s="71">
        <f t="shared" si="86"/>
        <v>0</v>
      </c>
      <c r="AQ200" s="72">
        <f>IF(OR($H200="GIROSSOL II",$H200="GIROSSOL II e III"),INDEX('Resumo Operacional'!$A$1:$P$1103,MATCH("Energia Injetada prevista total Fatura da Usina (TUSD)",'Resumo Operacional'!$B$1:$B$1103,0),MATCH('Detalhe Por UC'!$R200,'Resumo Operacional'!$A$1:$P$1,0))*$S200,INDEX('Resumo Operacional'!$A$1:$P$1103,53,MATCH('Detalhe Por UC'!$R200,'Resumo Operacional'!$A$1:$P$1,0))*$S200)</f>
        <v>433.97999999999996</v>
      </c>
      <c r="AR200" s="71">
        <f t="shared" si="87"/>
        <v>-433.97999999999996</v>
      </c>
      <c r="AS200" s="73">
        <f t="shared" si="88"/>
        <v>772.45</v>
      </c>
      <c r="AT200" s="74">
        <f t="shared" si="89"/>
        <v>728.58</v>
      </c>
      <c r="AU200" s="74" t="str">
        <f t="shared" si="90"/>
        <v/>
      </c>
      <c r="AV200" s="74">
        <f t="shared" si="91"/>
        <v>0</v>
      </c>
      <c r="AW200" s="74">
        <f t="shared" si="92"/>
        <v>0</v>
      </c>
      <c r="AX200" s="74">
        <f t="shared" si="93"/>
        <v>0</v>
      </c>
      <c r="AY200" s="74" t="str">
        <f t="shared" si="94"/>
        <v/>
      </c>
      <c r="BC200" s="73" t="str">
        <f t="shared" si="95"/>
        <v/>
      </c>
      <c r="BD200" s="73">
        <f t="shared" si="96"/>
        <v>772.45</v>
      </c>
      <c r="BE200" s="73">
        <f t="shared" si="97"/>
        <v>772.45</v>
      </c>
      <c r="BF200" s="77">
        <f t="shared" si="98"/>
        <v>0</v>
      </c>
      <c r="BG200" s="77">
        <f t="shared" si="99"/>
        <v>0</v>
      </c>
      <c r="BH200" s="77">
        <f t="shared" si="100"/>
        <v>0</v>
      </c>
      <c r="BI200" s="78" t="str">
        <f t="shared" si="101"/>
        <v/>
      </c>
      <c r="BJ200" s="79">
        <f t="shared" si="102"/>
        <v>0</v>
      </c>
      <c r="BK200" s="80" t="str">
        <f t="shared" si="103"/>
        <v/>
      </c>
      <c r="BL200" s="80" t="str">
        <f t="shared" si="104"/>
        <v/>
      </c>
      <c r="BM200" s="79" t="str">
        <f t="shared" si="105"/>
        <v/>
      </c>
      <c r="BN200" s="81" t="str">
        <f t="shared" si="106"/>
        <v/>
      </c>
      <c r="BO200" s="82" t="str">
        <f t="shared" si="107"/>
        <v/>
      </c>
      <c r="BP200" s="81" t="str">
        <f t="shared" si="108"/>
        <v/>
      </c>
      <c r="BQ200" s="81" t="str">
        <f t="shared" si="109"/>
        <v/>
      </c>
      <c r="BR200" s="81" t="str">
        <f t="shared" si="110"/>
        <v/>
      </c>
      <c r="BS200" s="82">
        <f t="shared" si="111"/>
        <v>0</v>
      </c>
      <c r="BT200" s="82" t="str">
        <f t="shared" si="112"/>
        <v/>
      </c>
      <c r="BU200" s="82">
        <f t="shared" si="113"/>
        <v>0</v>
      </c>
      <c r="BW200" s="82">
        <f>IFERROR(INDEX('Infos Clientes'!$T:$T,MATCH('Detalhe Por UC'!$C200,'Infos Clientes'!B:B,0)),"")</f>
        <v>495.18181818181819</v>
      </c>
      <c r="BX200" s="83">
        <f t="shared" si="114"/>
        <v>0</v>
      </c>
      <c r="BY200" s="84" t="str">
        <f t="shared" si="115"/>
        <v/>
      </c>
      <c r="BZ200" s="85">
        <f>IF(_xlfn.MINIFS('Detalhe Por UC'!R:R,'Detalhe Por UC'!C:C,C200,'Detalhe Por UC'!AD:AD,"&gt;"&amp;0)=0,"",_xlfn.MINIFS('Detalhe Por UC'!R:R,'Detalhe Por UC'!C:C,C200,'Detalhe Por UC'!AD:AD,"&gt;"&amp;0))</f>
        <v>45658</v>
      </c>
      <c r="CA200" s="114">
        <f ca="1">IF(OR(S200&gt;0,AD200&gt;0),IFERROR(
SUMIFS(INDIRECT("'Infos Clientes'!$W"&amp;INDEX('Infos Clientes'!$C:$C,MATCH(C200,'Infos Clientes'!$H:$H,0))&amp;":$CZ"&amp;INDEX('Infos Clientes'!$C:$C,MATCH(C200,'Infos Clientes'!$H:$H,0))),'Infos Clientes'!$W$2:$CZ$2,"&gt;"&amp;$R200-365,'Infos Clientes'!$W$2:$CZ$2,"&lt;="&amp;$R200)/
COUNTIFS(INDIRECT("'Infos Clientes'!$W"&amp;INDEX('Infos Clientes'!$C:$C,MATCH(C200,'Infos Clientes'!$H:$H,0))&amp;":$CZ"&amp;INDEX('Infos Clientes'!$C:$C,MATCH(C200,'Infos Clientes'!$H:$H,0))),"&gt;="&amp;0,'Infos Clientes'!$W$2:$CZ$2,"&gt;"&amp;$R200-365,'Infos Clientes'!$W$2:$CZ$2,"&lt;="&amp;$R200),""),"")</f>
        <v>462.25</v>
      </c>
      <c r="CB200" s="87">
        <f>VLOOKUP(C200,'Infos Clientes'!B:L,11,0)</f>
        <v>0</v>
      </c>
      <c r="CC200" s="88" t="str">
        <f t="shared" si="116"/>
        <v>A Unidade Consumidora 10/15297-5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0" s="40" t="s">
        <v>162</v>
      </c>
      <c r="CF200" s="115">
        <f t="shared" si="117"/>
        <v>-728.58</v>
      </c>
    </row>
    <row r="201" spans="1:84" ht="16.2" hidden="1" customHeight="1" x14ac:dyDescent="0.3">
      <c r="A201" s="105" t="str">
        <f>INDEX('Infos Clientes'!$D:$D,MATCH('Detalhe Por UC'!C201,'Infos Clientes'!B:B,0))</f>
        <v>IGREJA DO EVANGELHO QUADRANGULAR</v>
      </c>
      <c r="B201" s="106" t="str">
        <f>INDEX('Infos Clientes'!$F:$F,MATCH('Detalhe Por UC'!C201,'Infos Clientes'!B:B,0))</f>
        <v>62.955.505/1224-32</v>
      </c>
      <c r="C201" s="31" t="s">
        <v>234</v>
      </c>
      <c r="D201" t="s">
        <v>351</v>
      </c>
      <c r="E201" s="1" t="s">
        <v>352</v>
      </c>
      <c r="F201" s="56" t="str">
        <f>INDEX('Infos Clientes'!$I:$I,MATCH('Detalhe Por UC'!C201,'Infos Clientes'!B:B,0))</f>
        <v>BT</v>
      </c>
      <c r="G201" s="56" t="str">
        <f>INDEX('Infos Clientes'!$J:$J,MATCH('Detalhe Por UC'!C201,'Infos Clientes'!B:B,0))</f>
        <v>trifasico</v>
      </c>
      <c r="H201" s="108" t="s">
        <v>138</v>
      </c>
      <c r="I201" s="58">
        <f>IFERROR(VLOOKUP(C201,'Infos Clientes'!B:E,4,),"")</f>
        <v>302</v>
      </c>
      <c r="J201" s="109">
        <v>0.25</v>
      </c>
      <c r="K201" s="59">
        <f>INDEX('Infos Clientes'!$M:$M,MATCH('Detalhe Por UC'!C201,'Infos Clientes'!B:B,0))</f>
        <v>0.25</v>
      </c>
      <c r="L201" s="125">
        <v>0</v>
      </c>
      <c r="M201" s="56">
        <f>INDEX('Infos Clientes'!$N:$N,MATCH('Detalhe Por UC'!C201,'Infos Clientes'!B:B,0))</f>
        <v>0</v>
      </c>
      <c r="N201" s="56">
        <f t="shared" ref="N201:N264" si="118">COUNTIFS(C:C,C201,J:J,L201)</f>
        <v>0</v>
      </c>
      <c r="O201" s="56">
        <f t="shared" ref="O201:O264" si="119">COUNTIFS(C:C,C201,AD:AD,"&gt;0")</f>
        <v>7</v>
      </c>
      <c r="P201" s="56">
        <f t="shared" ref="P201:P264" si="120">M201-N201</f>
        <v>0</v>
      </c>
      <c r="Q201" s="61">
        <f>IFERROR(IFERROR(INDEX('Infos Clientes'!$A$2:$V$9884,MATCH($C201,'Infos Clientes'!$B$2:$B$9884,0),MATCH(Q$8,'Infos Clientes'!$A$2:$V$2,0)),"")
+IF(OR(INDEX('Infos Clientes'!$A$2:$V$9884,MATCH($C201,'Infos Clientes'!$B$2:$B$9884,0),MATCH("Tempo de Fidelidade (meses)",'Infos Clientes'!$A$2:$V$2,0))=0,R201&gt;=MAX(R:R)),0,
ROUND((MAX(R:R)-R201)/(365/12),0)),"")</f>
        <v>0</v>
      </c>
      <c r="R201" s="111">
        <v>45689</v>
      </c>
      <c r="S201" s="63">
        <v>0.02</v>
      </c>
      <c r="T201" s="113" t="str">
        <f>IF($H201="GIROSSOL II",AP201/INDEX('Resumo Operacional'!$A$1:$P$1103,17,MATCH('Detalhe Por UC'!$R201,'Resumo Operacional'!$A$1:$P$1,0)),
IF($H201="GIROSSOL II e III",AP201/INDEX('Resumo Operacional'!$A$1:$P$1103,17,MATCH('Detalhe Por UC'!$R201,'Resumo Operacional'!$A$1:$P$1,0)),
""))</f>
        <v/>
      </c>
      <c r="U201" s="113">
        <f>IF($H201="GIROSSOL III",AP201/INDEX('Resumo Operacional'!$A$1:$P$1103,53,MATCH('Detalhe Por UC'!$R201,'Resumo Operacional'!$A$1:$P$1,0)),
IF($H201="GIROSSOL II e III",AP201/INDEX('Resumo Operacional'!$A$1:$P$1103,53,MATCH('Detalhe Por UC'!$R201,'Resumo Operacional'!$A$1:$P$1,0)),
""))</f>
        <v>0</v>
      </c>
      <c r="V201" s="18"/>
      <c r="W201" s="54"/>
      <c r="X201" s="131">
        <v>1.1162500000000002</v>
      </c>
      <c r="Y201" s="132">
        <v>0</v>
      </c>
      <c r="Z201" s="133">
        <v>0</v>
      </c>
      <c r="AA201" s="133">
        <v>0</v>
      </c>
      <c r="AB201" s="134">
        <v>592</v>
      </c>
      <c r="AC201" s="134">
        <v>0</v>
      </c>
      <c r="AD201" s="135">
        <v>0</v>
      </c>
      <c r="AE201" s="35"/>
      <c r="AF201" s="135">
        <v>0</v>
      </c>
      <c r="AG201" s="135">
        <v>0</v>
      </c>
      <c r="AH201" s="44">
        <v>107.25</v>
      </c>
      <c r="AI201" s="44">
        <v>0</v>
      </c>
      <c r="AJ201" s="44">
        <v>0</v>
      </c>
      <c r="AK201" s="31"/>
      <c r="AN201" s="71">
        <f t="shared" ref="AN201:AN264" si="121">IF(X201="","",AF201-SUMIFS(AF:AF,$C:$C,$C201,$R:$R,EDATE($R201,-1)))</f>
        <v>0</v>
      </c>
      <c r="AO201" s="71">
        <f t="shared" ref="AO201:AO264" si="122">IF(X201="","",AG201-SUMIFS(AG:AG,$H:$H,$H201,$C:$C,$C201,$R:$R,EDATE($R201,-1)))</f>
        <v>0</v>
      </c>
      <c r="AP201" s="71">
        <f t="shared" ref="AP201:AP264" si="123">IFERROR(IF(D201="CRÉD. CONSUMIDO",SUM(AD201,AE201,AN201,AO201),IF(D201="GERADO",AQ201)),"")</f>
        <v>0</v>
      </c>
      <c r="AQ201" s="72">
        <f>IF(OR($H201="GIROSSOL II",$H201="GIROSSOL II e III"),INDEX('Resumo Operacional'!$A$1:$P$1103,MATCH("Energia Injetada prevista total Fatura da Usina (TUSD)",'Resumo Operacional'!$B$1:$B$1103,0),MATCH('Detalhe Por UC'!$R201,'Resumo Operacional'!$A$1:$P$1,0))*$S201,INDEX('Resumo Operacional'!$A$1:$P$1103,53,MATCH('Detalhe Por UC'!$R201,'Resumo Operacional'!$A$1:$P$1,0))*$S201)</f>
        <v>289.32</v>
      </c>
      <c r="AR201" s="71">
        <f t="shared" ref="AR201:AR264" si="124">IF(X201="","",AP201-AQ201)</f>
        <v>-289.32</v>
      </c>
      <c r="AS201" s="73">
        <f t="shared" ref="AS201:AS264" si="125">IFERROR((X201*AB201-Z201*AD201+Y201*AC201-AA201*AE201)+AH201+
IF(F201&lt;&gt;"BT",0,
IF(AND(G201="trifasico",AD201=0,AB201&lt;100),X201*(100-(AB201-AD201)),
IF(AND(G201="bifasico",AD201=0,AB201&lt;50),X201*(50-(AB201-AD201)),
IF(AND(G201="monofasico",AD201=0,AB201&lt;30),X201*(30-(AB201-AD201)),0)))),"")</f>
        <v>768.07000000000016</v>
      </c>
      <c r="AT201" s="74">
        <f t="shared" ref="AT201:AT264" si="126">IFERROR(AS201+AI201+AJ201,"")</f>
        <v>768.07000000000016</v>
      </c>
      <c r="AU201" s="74" t="str">
        <f t="shared" ref="AU201:AU264" si="127">IFERROR((Z201*AD201+AA201*AE201)/(AD201+AE201)-((X201-Z201)*AD201+(Y201-AA201)*AE201)/(AD201+AE201),"")</f>
        <v/>
      </c>
      <c r="AV201" s="74">
        <f t="shared" ref="AV201:AV264" si="128">IFERROR(IF(AND(E201="FINAL-Ñ.COMP",D201="CRÉD. CONSUMIDO"),(X201*(1-J201)-(X201-Z201))*AD201+(Y201*(1-J201)-(Y201-AA201))*AE201,
IF(AND(E201="T.COMP",D201="CRÉD. CONSUMIDO"),Z201*(1-J201)*AD201+AA201*(1-J201)*AE201,
IF(AND(E201="T.S.IMP",D201="CRÉD. CONSUMIDO"),V201*(1-J201)*AD201+W201*(1-J201)*AE201,
IF(AND(E201="T.S.IMP",D201="GERADO"),V201*(1-J201)*AQ201+W201*(1-J201)*AQ201,
IF(AND(E201="T.COMP",D201="GERADO"),AU201*(1-J201)*AQ201,
IF(AND(E201="FINAL-Ñ.COMP",D201="GERADO"),(AU201*(1-J201)-(X201-Z201))*AQ201,"ERRO")))))),"")</f>
        <v>0</v>
      </c>
      <c r="AW201" s="74">
        <f t="shared" ref="AW201:AW264" si="129">IF(45658=R201,0,IF(
SUMIFS($BA:$BA,$C:$C,$C201,$R:$R,EDATE($R201,-1))
&gt;=0,
SUMIFS(AY:AY,$C:$C,$C201,$R:$R,EDATE($R201,-1))-SUMIFS(BA:BA,$C:$C,$C201,$R:$R,EDATE($R201,-1)),0))</f>
        <v>0</v>
      </c>
      <c r="AX201" s="74">
        <f t="shared" ref="AX201:AX264" si="130">IFERROR(IF(AND(E201="FINAL-Ñ.COMP",D201="CRÉD. CONSUMIDO"),(X201-(X201-Z201))*AD201+(Y201-(Y201-AA201))*AE201,
IF(AND(E201="T.COMP",D201="CRÉD. CONSUMIDO"),Z201*AD201+AA201*AE201,
IF(AND(E201="T.S.IMP",D201="CRÉD. CONSUMIDO"),V201*AD201+W201*AE201,
IF(AND(E201="T.S.IMP",D201="GERADO"),V201*AQ201+W201*AQ201,
IF(AND(E201="T.COMP",D201="GERADO"),AU201*AQ201,
IF(AND(E201="FINAL-Ñ.COMP",D201="GERADO"),(AU201-(X201-Z201))*AQ201,"ERRO"))))))+AW201,"")</f>
        <v>0</v>
      </c>
      <c r="AY201" s="74" t="str">
        <f t="shared" ref="AY201:AY264" si="131">IF(AV201=0,IF(AW201=0,"",AW201),IFERROR(ROUND(IF(SUMIFS($BA:$BA,$C:$C,$C201,$R:$R,EDATE($R201,-1))&gt;0,AV201+AW201,AV201),2),""))</f>
        <v/>
      </c>
      <c r="BC201" s="73" t="str">
        <f t="shared" ref="BC201:BC264" si="132">IF(BB201&gt;BA201,BB201-BA201,"")</f>
        <v/>
      </c>
      <c r="BD201" s="73">
        <f t="shared" ref="BD201:BD264" si="133">IF(AB201&gt;0,X201*AB201+Y201*AC201+AH201,AH201+
IF(AND(G201="trifasico",AB201-AD201=0),X201*(100-(AB201-AD201)),
IF(AND(G201="bifasico",AB201-AD201=0),X201*(50-(AB201-AD201)),
IF(AND(G201="monofasico",AB201-AD201=0),X201*(30-(AB201-AD201)),0))))</f>
        <v>768.07000000000016</v>
      </c>
      <c r="BE201" s="73">
        <f t="shared" ref="BE201:BE264" si="134">IFERROR(AS201+AV201,"")</f>
        <v>768.07000000000016</v>
      </c>
      <c r="BF201" s="77">
        <f t="shared" ref="BF201:BF264" si="135">ROUND(BD201-BE201,2)</f>
        <v>0</v>
      </c>
      <c r="BG201" s="77">
        <f t="shared" ref="BG201:BG264" si="136">BF201*0.3</f>
        <v>0</v>
      </c>
      <c r="BH201" s="77">
        <f t="shared" ref="BH201:BH264" si="137">(X201*AD201)-((X201-Z201)*AD201)</f>
        <v>0</v>
      </c>
      <c r="BI201" s="78" t="str">
        <f t="shared" ref="BI201:BI264" si="138">IFERROR(ROUND(IFERROR(IF(BF201=0,"",BF201/(AY201+Z201*J201*AD201+AA201*J201*AE201)),0),2),"")</f>
        <v/>
      </c>
      <c r="BJ201" s="79">
        <f t="shared" ref="BJ201:BJ264" si="139">IFERROR(BF201/BD201,"")</f>
        <v>0</v>
      </c>
      <c r="BK201" s="80" t="str">
        <f t="shared" ref="BK201:BK264" si="140">IFERROR(AS201+AY201,"")</f>
        <v/>
      </c>
      <c r="BL201" s="80" t="str">
        <f t="shared" ref="BL201:BL264" si="141">IFERROR(BD201-BK201,"")</f>
        <v/>
      </c>
      <c r="BM201" s="79" t="str">
        <f t="shared" ref="BM201:BM264" si="142">IFERROR(IF(BL201=0,"",BL201/BD201),"")</f>
        <v/>
      </c>
      <c r="BN201" s="81" t="str">
        <f t="shared" ref="BN201:BN264" si="143">IFERROR(IF(AD201="","",AY201/(AD201+AE201)),"")</f>
        <v/>
      </c>
      <c r="BO201" s="82" t="str">
        <f t="shared" ref="BO201:BO264" si="144">IF(OR(BN201="",BN201=0),"",BN201*(AD201+AE201))</f>
        <v/>
      </c>
      <c r="BP201" s="81" t="str">
        <f t="shared" ref="BP201:BP264" si="145">IFERROR(IF(AD201="","",AY201/AD201),"")</f>
        <v/>
      </c>
      <c r="BQ201" s="81" t="str">
        <f t="shared" ref="BQ201:BQ264" si="146">IFERROR(BP201+(X201-Z201),"")</f>
        <v/>
      </c>
      <c r="BR201" s="81" t="str">
        <f t="shared" ref="BR201:BR264" si="147">IFERROR(IF(AD201="","",(X201*AD201+Y201*AE201)/(AD201+AE201)),"")</f>
        <v/>
      </c>
      <c r="BS201" s="82">
        <f t="shared" ref="BS201:BS264" si="148">IFERROR(IF(D201="gerado",AQ201,AD201),"")</f>
        <v>0</v>
      </c>
      <c r="BT201" s="82" t="str">
        <f t="shared" ref="BT201:BT264" si="149">IF(OR(BR201="",BR201=0),"",BR201*(AD201+AE201))</f>
        <v/>
      </c>
      <c r="BU201" s="82">
        <f t="shared" ref="BU201:BU264" si="150">IFERROR(BS201*Z201,"")</f>
        <v>0</v>
      </c>
      <c r="BW201" s="82">
        <f>IFERROR(INDEX('Infos Clientes'!$T:$T,MATCH('Detalhe Por UC'!$C201,'Infos Clientes'!B:B,0)),"")</f>
        <v>426.36363636363637</v>
      </c>
      <c r="BX201" s="83">
        <f t="shared" ref="BX201:BX264" si="151">IFERROR(BW201*Q201,"")</f>
        <v>0</v>
      </c>
      <c r="BY201" s="84" t="str">
        <f t="shared" ref="BY201:BY264" si="152">IFERROR((X201-BQ201)/X201,"")</f>
        <v/>
      </c>
      <c r="BZ201" s="85">
        <f>IF(_xlfn.MINIFS('Detalhe Por UC'!R:R,'Detalhe Por UC'!C:C,C201,'Detalhe Por UC'!AD:AD,"&gt;"&amp;0)=0,"",_xlfn.MINIFS('Detalhe Por UC'!R:R,'Detalhe Por UC'!C:C,C201,'Detalhe Por UC'!AD:AD,"&gt;"&amp;0))</f>
        <v>45658</v>
      </c>
      <c r="CA201" s="114">
        <f ca="1">IF(OR(S201&gt;0,AD201&gt;0),IFERROR(
SUMIFS(INDIRECT("'Infos Clientes'!$W"&amp;INDEX('Infos Clientes'!$C:$C,MATCH(C201,'Infos Clientes'!$H:$H,0))&amp;":$CZ"&amp;INDEX('Infos Clientes'!$C:$C,MATCH(C201,'Infos Clientes'!$H:$H,0))),'Infos Clientes'!$W$2:$CZ$2,"&gt;"&amp;$R201-365,'Infos Clientes'!$W$2:$CZ$2,"&lt;="&amp;$R201)/
COUNTIFS(INDIRECT("'Infos Clientes'!$W"&amp;INDEX('Infos Clientes'!$C:$C,MATCH(C201,'Infos Clientes'!$H:$H,0))&amp;":$CZ"&amp;INDEX('Infos Clientes'!$C:$C,MATCH(C201,'Infos Clientes'!$H:$H,0))),"&gt;="&amp;0,'Infos Clientes'!$W$2:$CZ$2,"&gt;"&amp;$R201-365,'Infos Clientes'!$W$2:$CZ$2,"&lt;="&amp;$R201),""),"")</f>
        <v>394.75</v>
      </c>
      <c r="CB201" s="87">
        <f>VLOOKUP(C201,'Infos Clientes'!B:L,11,0)</f>
        <v>0</v>
      </c>
      <c r="CC201" s="88" t="str">
        <f t="shared" ref="CC201:CC264" si="153">"A Unidade Consumidora "&amp;C201&amp;" economizou R$"&amp;BF201&amp;" na fatura referente à "&amp;TEXT(R201,"mmm/aaaa")&amp;"  consumindo "&amp;AD201&amp;" kWh em créditos de energia renovável conforme fatura de energia. A economia foi de "&amp;$J201*100&amp;"% em relação ao que seria pago para a Energisa considerando os créditos consumidos. Atenção: Mantenha as contas da Energisa em dia para evitar cortes."</f>
        <v>A Unidade Consumidora 10/8777-5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1" s="40" t="s">
        <v>236</v>
      </c>
      <c r="CF201" s="115">
        <f t="shared" ref="CF201:CF264" si="154">CE201-AT201</f>
        <v>-768.07000000000016</v>
      </c>
    </row>
    <row r="202" spans="1:84" ht="16.2" hidden="1" customHeight="1" x14ac:dyDescent="0.3">
      <c r="A202" s="105" t="str">
        <f>INDEX('Infos Clientes'!$D:$D,MATCH('Detalhe Por UC'!C202,'Infos Clientes'!B:B,0))</f>
        <v>IGREJA DO EVANGELHO QUADRANGULAR</v>
      </c>
      <c r="B202" s="106" t="str">
        <f>INDEX('Infos Clientes'!$F:$F,MATCH('Detalhe Por UC'!C202,'Infos Clientes'!B:B,0))</f>
        <v>62.955.505/0160-80</v>
      </c>
      <c r="C202" s="31" t="s">
        <v>207</v>
      </c>
      <c r="D202" t="s">
        <v>351</v>
      </c>
      <c r="E202" s="1" t="s">
        <v>352</v>
      </c>
      <c r="F202" s="56" t="str">
        <f>INDEX('Infos Clientes'!$I:$I,MATCH('Detalhe Por UC'!C202,'Infos Clientes'!B:B,0))</f>
        <v>BT</v>
      </c>
      <c r="G202" s="56" t="str">
        <f>INDEX('Infos Clientes'!$J:$J,MATCH('Detalhe Por UC'!C202,'Infos Clientes'!B:B,0))</f>
        <v>trifasico</v>
      </c>
      <c r="H202" s="108" t="s">
        <v>138</v>
      </c>
      <c r="I202" s="58">
        <f>IFERROR(VLOOKUP(C202,'Infos Clientes'!B:E,4,),"")</f>
        <v>357</v>
      </c>
      <c r="J202" s="109">
        <v>0.25</v>
      </c>
      <c r="K202" s="59">
        <f>INDEX('Infos Clientes'!$M:$M,MATCH('Detalhe Por UC'!C202,'Infos Clientes'!B:B,0))</f>
        <v>0.25</v>
      </c>
      <c r="L202" s="125">
        <v>0</v>
      </c>
      <c r="M202" s="56">
        <f>INDEX('Infos Clientes'!$N:$N,MATCH('Detalhe Por UC'!C202,'Infos Clientes'!B:B,0))</f>
        <v>0</v>
      </c>
      <c r="N202" s="56">
        <f t="shared" si="118"/>
        <v>0</v>
      </c>
      <c r="O202" s="56">
        <f t="shared" si="119"/>
        <v>9</v>
      </c>
      <c r="P202" s="56">
        <f t="shared" si="120"/>
        <v>0</v>
      </c>
      <c r="Q202" s="61">
        <f>IFERROR(IFERROR(INDEX('Infos Clientes'!$A$2:$V$9884,MATCH($C202,'Infos Clientes'!$B$2:$B$9884,0),MATCH(Q$8,'Infos Clientes'!$A$2:$V$2,0)),"")
+IF(OR(INDEX('Infos Clientes'!$A$2:$V$9884,MATCH($C202,'Infos Clientes'!$B$2:$B$9884,0),MATCH("Tempo de Fidelidade (meses)",'Infos Clientes'!$A$2:$V$2,0))=0,R202&gt;=MAX(R:R)),0,
ROUND((MAX(R:R)-R202)/(365/12),0)),"")</f>
        <v>0</v>
      </c>
      <c r="R202" s="111">
        <v>45689</v>
      </c>
      <c r="S202" s="63">
        <v>0.03</v>
      </c>
      <c r="T202" s="113" t="str">
        <f>IF($H202="GIROSSOL II",AP202/INDEX('Resumo Operacional'!$A$1:$P$1103,17,MATCH('Detalhe Por UC'!$R202,'Resumo Operacional'!$A$1:$P$1,0)),
IF($H202="GIROSSOL II e III",AP202/INDEX('Resumo Operacional'!$A$1:$P$1103,17,MATCH('Detalhe Por UC'!$R202,'Resumo Operacional'!$A$1:$P$1,0)),
""))</f>
        <v/>
      </c>
      <c r="U202" s="113">
        <f>IF($H202="GIROSSOL III",AP202/INDEX('Resumo Operacional'!$A$1:$P$1103,53,MATCH('Detalhe Por UC'!$R202,'Resumo Operacional'!$A$1:$P$1,0)),
IF($H202="GIROSSOL II e III",AP202/INDEX('Resumo Operacional'!$A$1:$P$1103,53,MATCH('Detalhe Por UC'!$R202,'Resumo Operacional'!$A$1:$P$1,0)),
""))</f>
        <v>0</v>
      </c>
      <c r="V202" s="18"/>
      <c r="W202" s="54"/>
      <c r="X202" s="131">
        <v>1.116264367816092</v>
      </c>
      <c r="Y202" s="132">
        <v>0</v>
      </c>
      <c r="Z202" s="133">
        <v>0</v>
      </c>
      <c r="AA202" s="133">
        <v>0</v>
      </c>
      <c r="AB202" s="134">
        <v>522</v>
      </c>
      <c r="AC202" s="134">
        <v>0</v>
      </c>
      <c r="AD202" s="135">
        <v>0</v>
      </c>
      <c r="AE202" s="35"/>
      <c r="AF202" s="135">
        <v>0</v>
      </c>
      <c r="AG202" s="135">
        <v>0</v>
      </c>
      <c r="AH202" s="44">
        <v>80.440000000000012</v>
      </c>
      <c r="AI202" s="44">
        <v>0</v>
      </c>
      <c r="AJ202" s="44">
        <v>0</v>
      </c>
      <c r="AK202" s="31"/>
      <c r="AN202" s="71">
        <f t="shared" si="121"/>
        <v>0</v>
      </c>
      <c r="AO202" s="71">
        <f t="shared" si="122"/>
        <v>0</v>
      </c>
      <c r="AP202" s="71">
        <f t="shared" si="123"/>
        <v>0</v>
      </c>
      <c r="AQ202" s="72">
        <f>IF(OR($H202="GIROSSOL II",$H202="GIROSSOL II e III"),INDEX('Resumo Operacional'!$A$1:$P$1103,MATCH("Energia Injetada prevista total Fatura da Usina (TUSD)",'Resumo Operacional'!$B$1:$B$1103,0),MATCH('Detalhe Por UC'!$R202,'Resumo Operacional'!$A$1:$P$1,0))*$S202,INDEX('Resumo Operacional'!$A$1:$P$1103,53,MATCH('Detalhe Por UC'!$R202,'Resumo Operacional'!$A$1:$P$1,0))*$S202)</f>
        <v>433.97999999999996</v>
      </c>
      <c r="AR202" s="71">
        <f t="shared" si="124"/>
        <v>-433.97999999999996</v>
      </c>
      <c r="AS202" s="73">
        <f t="shared" si="125"/>
        <v>663.13000000000011</v>
      </c>
      <c r="AT202" s="74">
        <f t="shared" si="126"/>
        <v>663.13000000000011</v>
      </c>
      <c r="AU202" s="74" t="str">
        <f t="shared" si="127"/>
        <v/>
      </c>
      <c r="AV202" s="74">
        <f t="shared" si="128"/>
        <v>0</v>
      </c>
      <c r="AW202" s="74">
        <f t="shared" si="129"/>
        <v>0</v>
      </c>
      <c r="AX202" s="74">
        <f t="shared" si="130"/>
        <v>0</v>
      </c>
      <c r="AY202" s="74" t="str">
        <f t="shared" si="131"/>
        <v/>
      </c>
      <c r="BC202" s="73" t="str">
        <f t="shared" si="132"/>
        <v/>
      </c>
      <c r="BD202" s="73">
        <f t="shared" si="133"/>
        <v>663.13000000000011</v>
      </c>
      <c r="BE202" s="73">
        <f t="shared" si="134"/>
        <v>663.13000000000011</v>
      </c>
      <c r="BF202" s="77">
        <f t="shared" si="135"/>
        <v>0</v>
      </c>
      <c r="BG202" s="77">
        <f t="shared" si="136"/>
        <v>0</v>
      </c>
      <c r="BH202" s="77">
        <f t="shared" si="137"/>
        <v>0</v>
      </c>
      <c r="BI202" s="78" t="str">
        <f t="shared" si="138"/>
        <v/>
      </c>
      <c r="BJ202" s="79">
        <f t="shared" si="139"/>
        <v>0</v>
      </c>
      <c r="BK202" s="80" t="str">
        <f t="shared" si="140"/>
        <v/>
      </c>
      <c r="BL202" s="80" t="str">
        <f t="shared" si="141"/>
        <v/>
      </c>
      <c r="BM202" s="79" t="str">
        <f t="shared" si="142"/>
        <v/>
      </c>
      <c r="BN202" s="81" t="str">
        <f t="shared" si="143"/>
        <v/>
      </c>
      <c r="BO202" s="82" t="str">
        <f t="shared" si="144"/>
        <v/>
      </c>
      <c r="BP202" s="81" t="str">
        <f t="shared" si="145"/>
        <v/>
      </c>
      <c r="BQ202" s="81" t="str">
        <f t="shared" si="146"/>
        <v/>
      </c>
      <c r="BR202" s="81" t="str">
        <f t="shared" si="147"/>
        <v/>
      </c>
      <c r="BS202" s="82">
        <f t="shared" si="148"/>
        <v>0</v>
      </c>
      <c r="BT202" s="82" t="str">
        <f t="shared" si="149"/>
        <v/>
      </c>
      <c r="BU202" s="82">
        <f t="shared" si="150"/>
        <v>0</v>
      </c>
      <c r="BW202" s="82">
        <f>IFERROR(INDEX('Infos Clientes'!$T:$T,MATCH('Detalhe Por UC'!$C202,'Infos Clientes'!B:B,0)),"")</f>
        <v>510.45454545454544</v>
      </c>
      <c r="BX202" s="83">
        <f t="shared" si="151"/>
        <v>0</v>
      </c>
      <c r="BY202" s="84" t="str">
        <f t="shared" si="152"/>
        <v/>
      </c>
      <c r="BZ202" s="85">
        <f>IF(_xlfn.MINIFS('Detalhe Por UC'!R:R,'Detalhe Por UC'!C:C,C202,'Detalhe Por UC'!AD:AD,"&gt;"&amp;0)=0,"",_xlfn.MINIFS('Detalhe Por UC'!R:R,'Detalhe Por UC'!C:C,C202,'Detalhe Por UC'!AD:AD,"&gt;"&amp;0))</f>
        <v>45658</v>
      </c>
      <c r="CA202" s="114">
        <f ca="1">IF(OR(S202&gt;0,AD202&gt;0),IFERROR(
SUMIFS(INDIRECT("'Infos Clientes'!$W"&amp;INDEX('Infos Clientes'!$C:$C,MATCH(C202,'Infos Clientes'!$H:$H,0))&amp;":$CZ"&amp;INDEX('Infos Clientes'!$C:$C,MATCH(C202,'Infos Clientes'!$H:$H,0))),'Infos Clientes'!$W$2:$CZ$2,"&gt;"&amp;$R202-365,'Infos Clientes'!$W$2:$CZ$2,"&lt;="&amp;$R202)/
COUNTIFS(INDIRECT("'Infos Clientes'!$W"&amp;INDEX('Infos Clientes'!$C:$C,MATCH(C202,'Infos Clientes'!$H:$H,0))&amp;":$CZ"&amp;INDEX('Infos Clientes'!$C:$C,MATCH(C202,'Infos Clientes'!$H:$H,0))),"&gt;="&amp;0,'Infos Clientes'!$W$2:$CZ$2,"&gt;"&amp;$R202-365,'Infos Clientes'!$W$2:$CZ$2,"&lt;="&amp;$R202),""),"")</f>
        <v>465.58333333333331</v>
      </c>
      <c r="CB202" s="87">
        <f>VLOOKUP(C202,'Infos Clientes'!B:L,11,0)</f>
        <v>0</v>
      </c>
      <c r="CC202" s="88" t="str">
        <f t="shared" si="153"/>
        <v>A Unidade Consumidora 10/489076-0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2" s="40" t="s">
        <v>208</v>
      </c>
      <c r="CF202" s="115">
        <f t="shared" si="154"/>
        <v>-663.13000000000011</v>
      </c>
    </row>
    <row r="203" spans="1:84" ht="16.2" hidden="1" customHeight="1" x14ac:dyDescent="0.3">
      <c r="A203" s="105" t="str">
        <f>INDEX('Infos Clientes'!$D:$D,MATCH('Detalhe Por UC'!C203,'Infos Clientes'!B:B,0))</f>
        <v>IGREJA DO EVANGELHO QUADRANGULAR</v>
      </c>
      <c r="B203" s="106" t="str">
        <f>INDEX('Infos Clientes'!$F:$F,MATCH('Detalhe Por UC'!C203,'Infos Clientes'!B:B,0))</f>
        <v>62.955.505/3544-81</v>
      </c>
      <c r="C203" s="31" t="s">
        <v>209</v>
      </c>
      <c r="D203" t="s">
        <v>351</v>
      </c>
      <c r="E203" s="1" t="s">
        <v>352</v>
      </c>
      <c r="F203" s="56" t="str">
        <f>INDEX('Infos Clientes'!$I:$I,MATCH('Detalhe Por UC'!C203,'Infos Clientes'!B:B,0))</f>
        <v>BT</v>
      </c>
      <c r="G203" s="56" t="str">
        <f>INDEX('Infos Clientes'!$J:$J,MATCH('Detalhe Por UC'!C203,'Infos Clientes'!B:B,0))</f>
        <v>trifasico</v>
      </c>
      <c r="H203" s="108" t="s">
        <v>138</v>
      </c>
      <c r="I203" s="58">
        <f>IFERROR(VLOOKUP(C203,'Infos Clientes'!B:E,4,),"")</f>
        <v>371</v>
      </c>
      <c r="J203" s="109">
        <v>0.25</v>
      </c>
      <c r="K203" s="59">
        <f>INDEX('Infos Clientes'!$M:$M,MATCH('Detalhe Por UC'!C203,'Infos Clientes'!B:B,0))</f>
        <v>0.25</v>
      </c>
      <c r="L203" s="125">
        <v>0</v>
      </c>
      <c r="M203" s="56">
        <f>INDEX('Infos Clientes'!$N:$N,MATCH('Detalhe Por UC'!C203,'Infos Clientes'!B:B,0))</f>
        <v>0</v>
      </c>
      <c r="N203" s="56">
        <f t="shared" si="118"/>
        <v>0</v>
      </c>
      <c r="O203" s="56">
        <f t="shared" si="119"/>
        <v>8</v>
      </c>
      <c r="P203" s="56">
        <f t="shared" si="120"/>
        <v>0</v>
      </c>
      <c r="Q203" s="61">
        <f>IFERROR(IFERROR(INDEX('Infos Clientes'!$A$2:$V$9884,MATCH($C203,'Infos Clientes'!$B$2:$B$9884,0),MATCH(Q$8,'Infos Clientes'!$A$2:$V$2,0)),"")
+IF(OR(INDEX('Infos Clientes'!$A$2:$V$9884,MATCH($C203,'Infos Clientes'!$B$2:$B$9884,0),MATCH("Tempo de Fidelidade (meses)",'Infos Clientes'!$A$2:$V$2,0))=0,R203&gt;=MAX(R:R)),0,
ROUND((MAX(R:R)-R203)/(365/12),0)),"")</f>
        <v>0</v>
      </c>
      <c r="R203" s="111">
        <v>45689</v>
      </c>
      <c r="S203" s="63">
        <v>0.02</v>
      </c>
      <c r="T203" s="113" t="str">
        <f>IF($H203="GIROSSOL II",AP203/INDEX('Resumo Operacional'!$A$1:$P$1103,17,MATCH('Detalhe Por UC'!$R203,'Resumo Operacional'!$A$1:$P$1,0)),
IF($H203="GIROSSOL II e III",AP203/INDEX('Resumo Operacional'!$A$1:$P$1103,17,MATCH('Detalhe Por UC'!$R203,'Resumo Operacional'!$A$1:$P$1,0)),
""))</f>
        <v/>
      </c>
      <c r="U203" s="113">
        <f>IF($H203="GIROSSOL III",AP203/INDEX('Resumo Operacional'!$A$1:$P$1103,53,MATCH('Detalhe Por UC'!$R203,'Resumo Operacional'!$A$1:$P$1,0)),
IF($H203="GIROSSOL II e III",AP203/INDEX('Resumo Operacional'!$A$1:$P$1103,53,MATCH('Detalhe Por UC'!$R203,'Resumo Operacional'!$A$1:$P$1,0)),
""))</f>
        <v>0</v>
      </c>
      <c r="V203" s="18"/>
      <c r="W203" s="54"/>
      <c r="X203" s="131">
        <v>1.11625</v>
      </c>
      <c r="Y203" s="132">
        <v>0</v>
      </c>
      <c r="Z203" s="133">
        <v>0</v>
      </c>
      <c r="AA203" s="133">
        <v>0</v>
      </c>
      <c r="AB203" s="134">
        <v>544</v>
      </c>
      <c r="AC203" s="134">
        <v>0</v>
      </c>
      <c r="AD203" s="135">
        <v>0</v>
      </c>
      <c r="AE203" s="35"/>
      <c r="AF203" s="135">
        <v>0</v>
      </c>
      <c r="AG203" s="135">
        <v>0</v>
      </c>
      <c r="AH203" s="44">
        <v>56.620000000000005</v>
      </c>
      <c r="AI203" s="44">
        <v>0</v>
      </c>
      <c r="AJ203" s="44">
        <v>0</v>
      </c>
      <c r="AK203" s="31"/>
      <c r="AN203" s="71">
        <f t="shared" si="121"/>
        <v>0</v>
      </c>
      <c r="AO203" s="71">
        <f t="shared" si="122"/>
        <v>0</v>
      </c>
      <c r="AP203" s="71">
        <f t="shared" si="123"/>
        <v>0</v>
      </c>
      <c r="AQ203" s="72">
        <f>IF(OR($H203="GIROSSOL II",$H203="GIROSSOL II e III"),INDEX('Resumo Operacional'!$A$1:$P$1103,MATCH("Energia Injetada prevista total Fatura da Usina (TUSD)",'Resumo Operacional'!$B$1:$B$1103,0),MATCH('Detalhe Por UC'!$R203,'Resumo Operacional'!$A$1:$P$1,0))*$S203,INDEX('Resumo Operacional'!$A$1:$P$1103,53,MATCH('Detalhe Por UC'!$R203,'Resumo Operacional'!$A$1:$P$1,0))*$S203)</f>
        <v>289.32</v>
      </c>
      <c r="AR203" s="71">
        <f t="shared" si="124"/>
        <v>-289.32</v>
      </c>
      <c r="AS203" s="73">
        <f t="shared" si="125"/>
        <v>663.86</v>
      </c>
      <c r="AT203" s="74">
        <f t="shared" si="126"/>
        <v>663.86</v>
      </c>
      <c r="AU203" s="74" t="str">
        <f t="shared" si="127"/>
        <v/>
      </c>
      <c r="AV203" s="74">
        <f t="shared" si="128"/>
        <v>0</v>
      </c>
      <c r="AW203" s="74">
        <f t="shared" si="129"/>
        <v>0</v>
      </c>
      <c r="AX203" s="74">
        <f t="shared" si="130"/>
        <v>0</v>
      </c>
      <c r="AY203" s="74" t="str">
        <f t="shared" si="131"/>
        <v/>
      </c>
      <c r="BC203" s="73" t="str">
        <f t="shared" si="132"/>
        <v/>
      </c>
      <c r="BD203" s="73">
        <f t="shared" si="133"/>
        <v>663.86</v>
      </c>
      <c r="BE203" s="73">
        <f t="shared" si="134"/>
        <v>663.86</v>
      </c>
      <c r="BF203" s="77">
        <f t="shared" si="135"/>
        <v>0</v>
      </c>
      <c r="BG203" s="77">
        <f t="shared" si="136"/>
        <v>0</v>
      </c>
      <c r="BH203" s="77">
        <f t="shared" si="137"/>
        <v>0</v>
      </c>
      <c r="BI203" s="78" t="str">
        <f t="shared" si="138"/>
        <v/>
      </c>
      <c r="BJ203" s="79">
        <f t="shared" si="139"/>
        <v>0</v>
      </c>
      <c r="BK203" s="80" t="str">
        <f t="shared" si="140"/>
        <v/>
      </c>
      <c r="BL203" s="80" t="str">
        <f t="shared" si="141"/>
        <v/>
      </c>
      <c r="BM203" s="79" t="str">
        <f t="shared" si="142"/>
        <v/>
      </c>
      <c r="BN203" s="81" t="str">
        <f t="shared" si="143"/>
        <v/>
      </c>
      <c r="BO203" s="82" t="str">
        <f t="shared" si="144"/>
        <v/>
      </c>
      <c r="BP203" s="81" t="str">
        <f t="shared" si="145"/>
        <v/>
      </c>
      <c r="BQ203" s="81" t="str">
        <f t="shared" si="146"/>
        <v/>
      </c>
      <c r="BR203" s="81" t="str">
        <f t="shared" si="147"/>
        <v/>
      </c>
      <c r="BS203" s="82">
        <f t="shared" si="148"/>
        <v>0</v>
      </c>
      <c r="BT203" s="82" t="str">
        <f t="shared" si="149"/>
        <v/>
      </c>
      <c r="BU203" s="82">
        <f t="shared" si="150"/>
        <v>0</v>
      </c>
      <c r="BW203" s="82">
        <f>IFERROR(INDEX('Infos Clientes'!$T:$T,MATCH('Detalhe Por UC'!$C203,'Infos Clientes'!B:B,0)),"")</f>
        <v>433.54545454545456</v>
      </c>
      <c r="BX203" s="83">
        <f t="shared" si="151"/>
        <v>0</v>
      </c>
      <c r="BY203" s="84" t="str">
        <f t="shared" si="152"/>
        <v/>
      </c>
      <c r="BZ203" s="85">
        <f>IF(_xlfn.MINIFS('Detalhe Por UC'!R:R,'Detalhe Por UC'!C:C,C203,'Detalhe Por UC'!AD:AD,"&gt;"&amp;0)=0,"",_xlfn.MINIFS('Detalhe Por UC'!R:R,'Detalhe Por UC'!C:C,C203,'Detalhe Por UC'!AD:AD,"&gt;"&amp;0))</f>
        <v>45658</v>
      </c>
      <c r="CA203" s="114">
        <f ca="1">IF(OR(S203&gt;0,AD203&gt;0),IFERROR(
SUMIFS(INDIRECT("'Infos Clientes'!$W"&amp;INDEX('Infos Clientes'!$C:$C,MATCH(C203,'Infos Clientes'!$H:$H,0))&amp;":$CZ"&amp;INDEX('Infos Clientes'!$C:$C,MATCH(C203,'Infos Clientes'!$H:$H,0))),'Infos Clientes'!$W$2:$CZ$2,"&gt;"&amp;$R203-365,'Infos Clientes'!$W$2:$CZ$2,"&lt;="&amp;$R203)/
COUNTIFS(INDIRECT("'Infos Clientes'!$W"&amp;INDEX('Infos Clientes'!$C:$C,MATCH(C203,'Infos Clientes'!$H:$H,0))&amp;":$CZ"&amp;INDEX('Infos Clientes'!$C:$C,MATCH(C203,'Infos Clientes'!$H:$H,0))),"&gt;="&amp;0,'Infos Clientes'!$W$2:$CZ$2,"&gt;"&amp;$R203-365,'Infos Clientes'!$W$2:$CZ$2,"&lt;="&amp;$R203),""),"")</f>
        <v>403</v>
      </c>
      <c r="CB203" s="87">
        <f>VLOOKUP(C203,'Infos Clientes'!B:L,11,0)</f>
        <v>0</v>
      </c>
      <c r="CC203" s="88" t="str">
        <f t="shared" si="153"/>
        <v>A Unidade Consumidora 10/504844-2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3" s="40" t="s">
        <v>211</v>
      </c>
      <c r="CF203" s="115">
        <f t="shared" si="154"/>
        <v>-663.86</v>
      </c>
    </row>
    <row r="204" spans="1:84" ht="16.2" hidden="1" customHeight="1" x14ac:dyDescent="0.3">
      <c r="A204" s="105" t="str">
        <f>INDEX('Infos Clientes'!$D:$D,MATCH('Detalhe Por UC'!C204,'Infos Clientes'!B:B,0))</f>
        <v>IGREJA DO EVANGELHO QUADRANGULAR</v>
      </c>
      <c r="B204" s="106" t="str">
        <f>INDEX('Infos Clientes'!$F:$F,MATCH('Detalhe Por UC'!C204,'Infos Clientes'!B:B,0))</f>
        <v>62.955.505/8432-53</v>
      </c>
      <c r="C204" s="31" t="s">
        <v>178</v>
      </c>
      <c r="D204" t="s">
        <v>351</v>
      </c>
      <c r="E204" s="1" t="s">
        <v>352</v>
      </c>
      <c r="F204" s="56" t="str">
        <f>INDEX('Infos Clientes'!$I:$I,MATCH('Detalhe Por UC'!C204,'Infos Clientes'!B:B,0))</f>
        <v>BT</v>
      </c>
      <c r="G204" s="56" t="str">
        <f>INDEX('Infos Clientes'!$J:$J,MATCH('Detalhe Por UC'!C204,'Infos Clientes'!B:B,0))</f>
        <v>trifasico</v>
      </c>
      <c r="H204" s="108" t="s">
        <v>138</v>
      </c>
      <c r="I204" s="58">
        <f>IFERROR(VLOOKUP(C204,'Infos Clientes'!B:E,4,),"")</f>
        <v>349</v>
      </c>
      <c r="J204" s="109">
        <v>0.25</v>
      </c>
      <c r="K204" s="59">
        <f>INDEX('Infos Clientes'!$M:$M,MATCH('Detalhe Por UC'!C204,'Infos Clientes'!B:B,0))</f>
        <v>0.25</v>
      </c>
      <c r="L204" s="125">
        <v>0</v>
      </c>
      <c r="M204" s="56">
        <f>INDEX('Infos Clientes'!$N:$N,MATCH('Detalhe Por UC'!C204,'Infos Clientes'!B:B,0))</f>
        <v>0</v>
      </c>
      <c r="N204" s="56">
        <f t="shared" si="118"/>
        <v>0</v>
      </c>
      <c r="O204" s="56">
        <f t="shared" si="119"/>
        <v>9</v>
      </c>
      <c r="P204" s="56">
        <f t="shared" si="120"/>
        <v>0</v>
      </c>
      <c r="Q204" s="61">
        <f>IFERROR(IFERROR(INDEX('Infos Clientes'!$A$2:$V$9884,MATCH($C204,'Infos Clientes'!$B$2:$B$9884,0),MATCH(Q$8,'Infos Clientes'!$A$2:$V$2,0)),"")
+IF(OR(INDEX('Infos Clientes'!$A$2:$V$9884,MATCH($C204,'Infos Clientes'!$B$2:$B$9884,0),MATCH("Tempo de Fidelidade (meses)",'Infos Clientes'!$A$2:$V$2,0))=0,R204&gt;=MAX(R:R)),0,
ROUND((MAX(R:R)-R204)/(365/12),0)),"")</f>
        <v>0</v>
      </c>
      <c r="R204" s="111">
        <v>45689</v>
      </c>
      <c r="S204" s="63">
        <v>0.02</v>
      </c>
      <c r="T204" s="113" t="str">
        <f>IF($H204="GIROSSOL II",AP204/INDEX('Resumo Operacional'!$A$1:$P$1103,17,MATCH('Detalhe Por UC'!$R204,'Resumo Operacional'!$A$1:$P$1,0)),
IF($H204="GIROSSOL II e III",AP204/INDEX('Resumo Operacional'!$A$1:$P$1103,17,MATCH('Detalhe Por UC'!$R204,'Resumo Operacional'!$A$1:$P$1,0)),
""))</f>
        <v/>
      </c>
      <c r="U204" s="113">
        <f>IF($H204="GIROSSOL III",AP204/INDEX('Resumo Operacional'!$A$1:$P$1103,53,MATCH('Detalhe Por UC'!$R204,'Resumo Operacional'!$A$1:$P$1,0)),
IF($H204="GIROSSOL II e III",AP204/INDEX('Resumo Operacional'!$A$1:$P$1103,53,MATCH('Detalhe Por UC'!$R204,'Resumo Operacional'!$A$1:$P$1,0)),
""))</f>
        <v>0</v>
      </c>
      <c r="V204" s="18"/>
      <c r="W204" s="54"/>
      <c r="X204" s="131">
        <v>1.1162399999999999</v>
      </c>
      <c r="Y204" s="132">
        <v>0</v>
      </c>
      <c r="Z204" s="133">
        <v>0</v>
      </c>
      <c r="AA204" s="133">
        <v>0</v>
      </c>
      <c r="AB204" s="134">
        <v>125</v>
      </c>
      <c r="AC204" s="134">
        <v>0</v>
      </c>
      <c r="AD204" s="135">
        <v>0</v>
      </c>
      <c r="AE204" s="35"/>
      <c r="AF204" s="135">
        <v>0</v>
      </c>
      <c r="AG204" s="135">
        <v>0</v>
      </c>
      <c r="AH204" s="44">
        <v>18.38</v>
      </c>
      <c r="AI204" s="44">
        <v>0</v>
      </c>
      <c r="AJ204" s="44">
        <v>0</v>
      </c>
      <c r="AK204" s="31"/>
      <c r="AN204" s="71">
        <f t="shared" si="121"/>
        <v>0</v>
      </c>
      <c r="AO204" s="71">
        <f t="shared" si="122"/>
        <v>0</v>
      </c>
      <c r="AP204" s="71">
        <f t="shared" si="123"/>
        <v>0</v>
      </c>
      <c r="AQ204" s="72">
        <f>IF(OR($H204="GIROSSOL II",$H204="GIROSSOL II e III"),INDEX('Resumo Operacional'!$A$1:$P$1103,MATCH("Energia Injetada prevista total Fatura da Usina (TUSD)",'Resumo Operacional'!$B$1:$B$1103,0),MATCH('Detalhe Por UC'!$R204,'Resumo Operacional'!$A$1:$P$1,0))*$S204,INDEX('Resumo Operacional'!$A$1:$P$1103,53,MATCH('Detalhe Por UC'!$R204,'Resumo Operacional'!$A$1:$P$1,0))*$S204)</f>
        <v>289.32</v>
      </c>
      <c r="AR204" s="71">
        <f t="shared" si="124"/>
        <v>-289.32</v>
      </c>
      <c r="AS204" s="73">
        <f t="shared" si="125"/>
        <v>157.91</v>
      </c>
      <c r="AT204" s="74">
        <f t="shared" si="126"/>
        <v>157.91</v>
      </c>
      <c r="AU204" s="74" t="str">
        <f t="shared" si="127"/>
        <v/>
      </c>
      <c r="AV204" s="74">
        <f t="shared" si="128"/>
        <v>0</v>
      </c>
      <c r="AW204" s="74">
        <f t="shared" si="129"/>
        <v>0</v>
      </c>
      <c r="AX204" s="74">
        <f t="shared" si="130"/>
        <v>0</v>
      </c>
      <c r="AY204" s="74" t="str">
        <f t="shared" si="131"/>
        <v/>
      </c>
      <c r="BC204" s="73" t="str">
        <f t="shared" si="132"/>
        <v/>
      </c>
      <c r="BD204" s="73">
        <f t="shared" si="133"/>
        <v>157.91</v>
      </c>
      <c r="BE204" s="73">
        <f t="shared" si="134"/>
        <v>157.91</v>
      </c>
      <c r="BF204" s="77">
        <f t="shared" si="135"/>
        <v>0</v>
      </c>
      <c r="BG204" s="77">
        <f t="shared" si="136"/>
        <v>0</v>
      </c>
      <c r="BH204" s="77">
        <f t="shared" si="137"/>
        <v>0</v>
      </c>
      <c r="BI204" s="78" t="str">
        <f t="shared" si="138"/>
        <v/>
      </c>
      <c r="BJ204" s="79">
        <f t="shared" si="139"/>
        <v>0</v>
      </c>
      <c r="BK204" s="80" t="str">
        <f t="shared" si="140"/>
        <v/>
      </c>
      <c r="BL204" s="80" t="str">
        <f t="shared" si="141"/>
        <v/>
      </c>
      <c r="BM204" s="79" t="str">
        <f t="shared" si="142"/>
        <v/>
      </c>
      <c r="BN204" s="81" t="str">
        <f t="shared" si="143"/>
        <v/>
      </c>
      <c r="BO204" s="82" t="str">
        <f t="shared" si="144"/>
        <v/>
      </c>
      <c r="BP204" s="81" t="str">
        <f t="shared" si="145"/>
        <v/>
      </c>
      <c r="BQ204" s="81" t="str">
        <f t="shared" si="146"/>
        <v/>
      </c>
      <c r="BR204" s="81" t="str">
        <f t="shared" si="147"/>
        <v/>
      </c>
      <c r="BS204" s="82">
        <f t="shared" si="148"/>
        <v>0</v>
      </c>
      <c r="BT204" s="82" t="str">
        <f t="shared" si="149"/>
        <v/>
      </c>
      <c r="BU204" s="82">
        <f t="shared" si="150"/>
        <v>0</v>
      </c>
      <c r="BW204" s="82">
        <f>IFERROR(INDEX('Infos Clientes'!$T:$T,MATCH('Detalhe Por UC'!$C204,'Infos Clientes'!B:B,0)),"")</f>
        <v>290.18181818181819</v>
      </c>
      <c r="BX204" s="83">
        <f t="shared" si="151"/>
        <v>0</v>
      </c>
      <c r="BY204" s="84" t="str">
        <f t="shared" si="152"/>
        <v/>
      </c>
      <c r="BZ204" s="85">
        <f>IF(_xlfn.MINIFS('Detalhe Por UC'!R:R,'Detalhe Por UC'!C:C,C204,'Detalhe Por UC'!AD:AD,"&gt;"&amp;0)=0,"",_xlfn.MINIFS('Detalhe Por UC'!R:R,'Detalhe Por UC'!C:C,C204,'Detalhe Por UC'!AD:AD,"&gt;"&amp;0))</f>
        <v>45658</v>
      </c>
      <c r="CA204" s="114">
        <f ca="1">IF(OR(S204&gt;0,AD204&gt;0),IFERROR(
SUMIFS(INDIRECT("'Infos Clientes'!$W"&amp;INDEX('Infos Clientes'!$C:$C,MATCH(C204,'Infos Clientes'!$H:$H,0))&amp;":$CZ"&amp;INDEX('Infos Clientes'!$C:$C,MATCH(C204,'Infos Clientes'!$H:$H,0))),'Infos Clientes'!$W$2:$CZ$2,"&gt;"&amp;$R204-365,'Infos Clientes'!$W$2:$CZ$2,"&lt;="&amp;$R204)/
COUNTIFS(INDIRECT("'Infos Clientes'!$W"&amp;INDEX('Infos Clientes'!$C:$C,MATCH(C204,'Infos Clientes'!$H:$H,0))&amp;":$CZ"&amp;INDEX('Infos Clientes'!$C:$C,MATCH(C204,'Infos Clientes'!$H:$H,0))),"&gt;="&amp;0,'Infos Clientes'!$W$2:$CZ$2,"&gt;"&amp;$R204-365,'Infos Clientes'!$W$2:$CZ$2,"&lt;="&amp;$R204),""),"")</f>
        <v>243.08333333333334</v>
      </c>
      <c r="CB204" s="87">
        <f>VLOOKUP(C204,'Infos Clientes'!B:L,11,0)</f>
        <v>0</v>
      </c>
      <c r="CC204" s="88" t="str">
        <f t="shared" si="153"/>
        <v>A Unidade Consumidora 10/280638-8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4" s="40" t="s">
        <v>66</v>
      </c>
      <c r="CF204" s="115">
        <f t="shared" si="154"/>
        <v>-157.91</v>
      </c>
    </row>
    <row r="205" spans="1:84" ht="16.2" hidden="1" customHeight="1" x14ac:dyDescent="0.3">
      <c r="A205" s="105" t="str">
        <f>INDEX('Infos Clientes'!$D:$D,MATCH('Detalhe Por UC'!C205,'Infos Clientes'!B:B,0))</f>
        <v>IGREJA DO EVANGELHO QUADRANGULAR</v>
      </c>
      <c r="B205" s="106" t="str">
        <f>INDEX('Infos Clientes'!$F:$F,MATCH('Detalhe Por UC'!C205,'Infos Clientes'!B:B,0))</f>
        <v>62.955.505/1822-57</v>
      </c>
      <c r="C205" s="31" t="s">
        <v>222</v>
      </c>
      <c r="D205" t="s">
        <v>351</v>
      </c>
      <c r="E205" s="1" t="s">
        <v>352</v>
      </c>
      <c r="F205" s="56" t="str">
        <f>INDEX('Infos Clientes'!$I:$I,MATCH('Detalhe Por UC'!C205,'Infos Clientes'!B:B,0))</f>
        <v>BT</v>
      </c>
      <c r="G205" s="56" t="str">
        <f>INDEX('Infos Clientes'!$J:$J,MATCH('Detalhe Por UC'!C205,'Infos Clientes'!B:B,0))</f>
        <v>trifasico</v>
      </c>
      <c r="H205" s="108" t="s">
        <v>138</v>
      </c>
      <c r="I205" s="58">
        <f>IFERROR(VLOOKUP(C205,'Infos Clientes'!B:E,4,),"")</f>
        <v>319</v>
      </c>
      <c r="J205" s="109">
        <v>0.25</v>
      </c>
      <c r="K205" s="59">
        <f>INDEX('Infos Clientes'!$M:$M,MATCH('Detalhe Por UC'!C205,'Infos Clientes'!B:B,0))</f>
        <v>0.25</v>
      </c>
      <c r="L205" s="125">
        <v>0</v>
      </c>
      <c r="M205" s="56">
        <f>INDEX('Infos Clientes'!$N:$N,MATCH('Detalhe Por UC'!C205,'Infos Clientes'!B:B,0))</f>
        <v>0</v>
      </c>
      <c r="N205" s="56">
        <f t="shared" si="118"/>
        <v>0</v>
      </c>
      <c r="O205" s="56">
        <f t="shared" si="119"/>
        <v>8</v>
      </c>
      <c r="P205" s="56">
        <f t="shared" si="120"/>
        <v>0</v>
      </c>
      <c r="Q205" s="61">
        <f>IFERROR(IFERROR(INDEX('Infos Clientes'!$A$2:$V$9884,MATCH($C205,'Infos Clientes'!$B$2:$B$9884,0),MATCH(Q$8,'Infos Clientes'!$A$2:$V$2,0)),"")
+IF(OR(INDEX('Infos Clientes'!$A$2:$V$9884,MATCH($C205,'Infos Clientes'!$B$2:$B$9884,0),MATCH("Tempo de Fidelidade (meses)",'Infos Clientes'!$A$2:$V$2,0))=0,R205&gt;=MAX(R:R)),0,
ROUND((MAX(R:R)-R205)/(365/12),0)),"")</f>
        <v>0</v>
      </c>
      <c r="R205" s="111">
        <v>45689</v>
      </c>
      <c r="S205" s="63">
        <v>0.02</v>
      </c>
      <c r="T205" s="113" t="str">
        <f>IF($H205="GIROSSOL II",AP205/INDEX('Resumo Operacional'!$A$1:$P$1103,17,MATCH('Detalhe Por UC'!$R205,'Resumo Operacional'!$A$1:$P$1,0)),
IF($H205="GIROSSOL II e III",AP205/INDEX('Resumo Operacional'!$A$1:$P$1103,17,MATCH('Detalhe Por UC'!$R205,'Resumo Operacional'!$A$1:$P$1,0)),
""))</f>
        <v/>
      </c>
      <c r="U205" s="113">
        <f>IF($H205="GIROSSOL III",AP205/INDEX('Resumo Operacional'!$A$1:$P$1103,53,MATCH('Detalhe Por UC'!$R205,'Resumo Operacional'!$A$1:$P$1,0)),
IF($H205="GIROSSOL II e III",AP205/INDEX('Resumo Operacional'!$A$1:$P$1103,53,MATCH('Detalhe Por UC'!$R205,'Resumo Operacional'!$A$1:$P$1,0)),
""))</f>
        <v>0</v>
      </c>
      <c r="V205" s="18"/>
      <c r="W205" s="54"/>
      <c r="X205" s="131">
        <v>1.11625</v>
      </c>
      <c r="Y205" s="132">
        <v>0</v>
      </c>
      <c r="Z205" s="133">
        <v>0</v>
      </c>
      <c r="AA205" s="133">
        <v>0</v>
      </c>
      <c r="AB205" s="134">
        <v>392</v>
      </c>
      <c r="AC205" s="134">
        <v>0</v>
      </c>
      <c r="AD205" s="135">
        <v>0</v>
      </c>
      <c r="AE205" s="35"/>
      <c r="AF205" s="135">
        <v>0</v>
      </c>
      <c r="AG205" s="135">
        <v>0</v>
      </c>
      <c r="AH205" s="44">
        <v>68.69</v>
      </c>
      <c r="AI205" s="44">
        <v>0</v>
      </c>
      <c r="AJ205" s="44">
        <v>0</v>
      </c>
      <c r="AK205" s="31"/>
      <c r="AN205" s="71">
        <f t="shared" si="121"/>
        <v>0</v>
      </c>
      <c r="AO205" s="71">
        <f t="shared" si="122"/>
        <v>0</v>
      </c>
      <c r="AP205" s="71">
        <f t="shared" si="123"/>
        <v>0</v>
      </c>
      <c r="AQ205" s="72">
        <f>IF(OR($H205="GIROSSOL II",$H205="GIROSSOL II e III"),INDEX('Resumo Operacional'!$A$1:$P$1103,MATCH("Energia Injetada prevista total Fatura da Usina (TUSD)",'Resumo Operacional'!$B$1:$B$1103,0),MATCH('Detalhe Por UC'!$R205,'Resumo Operacional'!$A$1:$P$1,0))*$S205,INDEX('Resumo Operacional'!$A$1:$P$1103,53,MATCH('Detalhe Por UC'!$R205,'Resumo Operacional'!$A$1:$P$1,0))*$S205)</f>
        <v>289.32</v>
      </c>
      <c r="AR205" s="71">
        <f t="shared" si="124"/>
        <v>-289.32</v>
      </c>
      <c r="AS205" s="73">
        <f t="shared" si="125"/>
        <v>506.26</v>
      </c>
      <c r="AT205" s="74">
        <f t="shared" si="126"/>
        <v>506.26</v>
      </c>
      <c r="AU205" s="74" t="str">
        <f t="shared" si="127"/>
        <v/>
      </c>
      <c r="AV205" s="74">
        <f t="shared" si="128"/>
        <v>0</v>
      </c>
      <c r="AW205" s="74">
        <f t="shared" si="129"/>
        <v>0</v>
      </c>
      <c r="AX205" s="74">
        <f t="shared" si="130"/>
        <v>0</v>
      </c>
      <c r="AY205" s="74" t="str">
        <f t="shared" si="131"/>
        <v/>
      </c>
      <c r="BC205" s="73" t="str">
        <f t="shared" si="132"/>
        <v/>
      </c>
      <c r="BD205" s="73">
        <f t="shared" si="133"/>
        <v>506.26</v>
      </c>
      <c r="BE205" s="73">
        <f t="shared" si="134"/>
        <v>506.26</v>
      </c>
      <c r="BF205" s="77">
        <f t="shared" si="135"/>
        <v>0</v>
      </c>
      <c r="BG205" s="77">
        <f t="shared" si="136"/>
        <v>0</v>
      </c>
      <c r="BH205" s="77">
        <f t="shared" si="137"/>
        <v>0</v>
      </c>
      <c r="BI205" s="78" t="str">
        <f t="shared" si="138"/>
        <v/>
      </c>
      <c r="BJ205" s="79">
        <f t="shared" si="139"/>
        <v>0</v>
      </c>
      <c r="BK205" s="80" t="str">
        <f t="shared" si="140"/>
        <v/>
      </c>
      <c r="BL205" s="80" t="str">
        <f t="shared" si="141"/>
        <v/>
      </c>
      <c r="BM205" s="79" t="str">
        <f t="shared" si="142"/>
        <v/>
      </c>
      <c r="BN205" s="81" t="str">
        <f t="shared" si="143"/>
        <v/>
      </c>
      <c r="BO205" s="82" t="str">
        <f t="shared" si="144"/>
        <v/>
      </c>
      <c r="BP205" s="81" t="str">
        <f t="shared" si="145"/>
        <v/>
      </c>
      <c r="BQ205" s="81" t="str">
        <f t="shared" si="146"/>
        <v/>
      </c>
      <c r="BR205" s="81" t="str">
        <f t="shared" si="147"/>
        <v/>
      </c>
      <c r="BS205" s="82">
        <f t="shared" si="148"/>
        <v>0</v>
      </c>
      <c r="BT205" s="82" t="str">
        <f t="shared" si="149"/>
        <v/>
      </c>
      <c r="BU205" s="82">
        <f t="shared" si="150"/>
        <v>0</v>
      </c>
      <c r="BW205" s="82">
        <f>IFERROR(INDEX('Infos Clientes'!$T:$T,MATCH('Detalhe Por UC'!$C205,'Infos Clientes'!B:B,0)),"")</f>
        <v>392</v>
      </c>
      <c r="BX205" s="83">
        <f t="shared" si="151"/>
        <v>0</v>
      </c>
      <c r="BY205" s="84" t="str">
        <f t="shared" si="152"/>
        <v/>
      </c>
      <c r="BZ205" s="85">
        <f>IF(_xlfn.MINIFS('Detalhe Por UC'!R:R,'Detalhe Por UC'!C:C,C205,'Detalhe Por UC'!AD:AD,"&gt;"&amp;0)=0,"",_xlfn.MINIFS('Detalhe Por UC'!R:R,'Detalhe Por UC'!C:C,C205,'Detalhe Por UC'!AD:AD,"&gt;"&amp;0))</f>
        <v>45748</v>
      </c>
      <c r="CA205" s="114">
        <f ca="1">IF(OR(S205&gt;0,AD205&gt;0),IFERROR(
SUMIFS(INDIRECT("'Infos Clientes'!$W"&amp;INDEX('Infos Clientes'!$C:$C,MATCH(C205,'Infos Clientes'!$H:$H,0))&amp;":$CZ"&amp;INDEX('Infos Clientes'!$C:$C,MATCH(C205,'Infos Clientes'!$H:$H,0))),'Infos Clientes'!$W$2:$CZ$2,"&gt;"&amp;$R205-365,'Infos Clientes'!$W$2:$CZ$2,"&lt;="&amp;$R205)/
COUNTIFS(INDIRECT("'Infos Clientes'!$W"&amp;INDEX('Infos Clientes'!$C:$C,MATCH(C205,'Infos Clientes'!$H:$H,0))&amp;":$CZ"&amp;INDEX('Infos Clientes'!$C:$C,MATCH(C205,'Infos Clientes'!$H:$H,0))),"&gt;="&amp;0,'Infos Clientes'!$W$2:$CZ$2,"&gt;"&amp;$R205-365,'Infos Clientes'!$W$2:$CZ$2,"&lt;="&amp;$R205),""),"")</f>
        <v>65.333333333333329</v>
      </c>
      <c r="CB205" s="87">
        <f>VLOOKUP(C205,'Infos Clientes'!B:L,11,0)</f>
        <v>0</v>
      </c>
      <c r="CC205" s="88" t="str">
        <f t="shared" si="153"/>
        <v>A Unidade Consumidora 10/69319-2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5" s="40"/>
      <c r="CF205" s="115">
        <f t="shared" si="154"/>
        <v>-506.26</v>
      </c>
    </row>
    <row r="206" spans="1:84" ht="16.2" hidden="1" customHeight="1" x14ac:dyDescent="0.3">
      <c r="A206" s="105" t="str">
        <f>INDEX('Infos Clientes'!$D:$D,MATCH('Detalhe Por UC'!C206,'Infos Clientes'!B:B,0))</f>
        <v>IGREJA DO EVANGELHO QUADRANGULAR</v>
      </c>
      <c r="B206" s="106" t="str">
        <f>INDEX('Infos Clientes'!$F:$F,MATCH('Detalhe Por UC'!C206,'Infos Clientes'!B:B,0))</f>
        <v>62.955.505/1822-57</v>
      </c>
      <c r="C206" s="31" t="s">
        <v>206</v>
      </c>
      <c r="D206" t="s">
        <v>351</v>
      </c>
      <c r="E206" s="1" t="s">
        <v>352</v>
      </c>
      <c r="F206" s="56" t="str">
        <f>INDEX('Infos Clientes'!$I:$I,MATCH('Detalhe Por UC'!C206,'Infos Clientes'!B:B,0))</f>
        <v>BT</v>
      </c>
      <c r="G206" s="56" t="str">
        <f>INDEX('Infos Clientes'!$J:$J,MATCH('Detalhe Por UC'!C206,'Infos Clientes'!B:B,0))</f>
        <v>trifasico</v>
      </c>
      <c r="H206" s="108" t="s">
        <v>138</v>
      </c>
      <c r="I206" s="58">
        <f>IFERROR(VLOOKUP(C206,'Infos Clientes'!B:E,4,),"")</f>
        <v>319</v>
      </c>
      <c r="J206" s="109">
        <v>0.25</v>
      </c>
      <c r="K206" s="59">
        <f>INDEX('Infos Clientes'!$M:$M,MATCH('Detalhe Por UC'!C206,'Infos Clientes'!B:B,0))</f>
        <v>0.25</v>
      </c>
      <c r="L206" s="125">
        <v>0</v>
      </c>
      <c r="M206" s="56">
        <f>INDEX('Infos Clientes'!$N:$N,MATCH('Detalhe Por UC'!C206,'Infos Clientes'!B:B,0))</f>
        <v>0</v>
      </c>
      <c r="N206" s="56">
        <f t="shared" si="118"/>
        <v>0</v>
      </c>
      <c r="O206" s="56">
        <f t="shared" si="119"/>
        <v>9</v>
      </c>
      <c r="P206" s="56">
        <f t="shared" si="120"/>
        <v>0</v>
      </c>
      <c r="Q206" s="61">
        <f>IFERROR(IFERROR(INDEX('Infos Clientes'!$A$2:$V$9884,MATCH($C206,'Infos Clientes'!$B$2:$B$9884,0),MATCH(Q$8,'Infos Clientes'!$A$2:$V$2,0)),"")
+IF(OR(INDEX('Infos Clientes'!$A$2:$V$9884,MATCH($C206,'Infos Clientes'!$B$2:$B$9884,0),MATCH("Tempo de Fidelidade (meses)",'Infos Clientes'!$A$2:$V$2,0))=0,R206&gt;=MAX(R:R)),0,
ROUND((MAX(R:R)-R206)/(365/12),0)),"")</f>
        <v>0</v>
      </c>
      <c r="R206" s="111">
        <v>45689</v>
      </c>
      <c r="S206" s="63">
        <v>0.02</v>
      </c>
      <c r="T206" s="113" t="str">
        <f>IF($H206="GIROSSOL II",AP206/INDEX('Resumo Operacional'!$A$1:$P$1103,17,MATCH('Detalhe Por UC'!$R206,'Resumo Operacional'!$A$1:$P$1,0)),
IF($H206="GIROSSOL II e III",AP206/INDEX('Resumo Operacional'!$A$1:$P$1103,17,MATCH('Detalhe Por UC'!$R206,'Resumo Operacional'!$A$1:$P$1,0)),
""))</f>
        <v/>
      </c>
      <c r="U206" s="113">
        <f>IF($H206="GIROSSOL III",AP206/INDEX('Resumo Operacional'!$A$1:$P$1103,53,MATCH('Detalhe Por UC'!$R206,'Resumo Operacional'!$A$1:$P$1,0)),
IF($H206="GIROSSOL II e III",AP206/INDEX('Resumo Operacional'!$A$1:$P$1103,53,MATCH('Detalhe Por UC'!$R206,'Resumo Operacional'!$A$1:$P$1,0)),
""))</f>
        <v>0</v>
      </c>
      <c r="V206" s="18"/>
      <c r="W206" s="54"/>
      <c r="X206" s="131">
        <v>1.1162475822050291</v>
      </c>
      <c r="Y206" s="132">
        <v>0</v>
      </c>
      <c r="Z206" s="133">
        <v>0</v>
      </c>
      <c r="AA206" s="133">
        <v>0</v>
      </c>
      <c r="AB206" s="134">
        <v>517</v>
      </c>
      <c r="AC206" s="134">
        <v>0</v>
      </c>
      <c r="AD206" s="135">
        <v>0</v>
      </c>
      <c r="AE206" s="35"/>
      <c r="AF206" s="135">
        <v>0</v>
      </c>
      <c r="AG206" s="135">
        <v>0</v>
      </c>
      <c r="AH206" s="44">
        <v>76.06</v>
      </c>
      <c r="AI206" s="44">
        <v>-94.64</v>
      </c>
      <c r="AJ206" s="44">
        <v>0</v>
      </c>
      <c r="AK206" s="31"/>
      <c r="AN206" s="71">
        <f t="shared" si="121"/>
        <v>0</v>
      </c>
      <c r="AO206" s="71">
        <f t="shared" si="122"/>
        <v>0</v>
      </c>
      <c r="AP206" s="71">
        <f t="shared" si="123"/>
        <v>0</v>
      </c>
      <c r="AQ206" s="72">
        <f>IF(OR($H206="GIROSSOL II",$H206="GIROSSOL II e III"),INDEX('Resumo Operacional'!$A$1:$P$1103,MATCH("Energia Injetada prevista total Fatura da Usina (TUSD)",'Resumo Operacional'!$B$1:$B$1103,0),MATCH('Detalhe Por UC'!$R206,'Resumo Operacional'!$A$1:$P$1,0))*$S206,INDEX('Resumo Operacional'!$A$1:$P$1103,53,MATCH('Detalhe Por UC'!$R206,'Resumo Operacional'!$A$1:$P$1,0))*$S206)</f>
        <v>289.32</v>
      </c>
      <c r="AR206" s="71">
        <f t="shared" si="124"/>
        <v>-289.32</v>
      </c>
      <c r="AS206" s="73">
        <f t="shared" si="125"/>
        <v>653.16000000000008</v>
      </c>
      <c r="AT206" s="74">
        <f t="shared" si="126"/>
        <v>558.5200000000001</v>
      </c>
      <c r="AU206" s="74" t="str">
        <f t="shared" si="127"/>
        <v/>
      </c>
      <c r="AV206" s="74">
        <f t="shared" si="128"/>
        <v>0</v>
      </c>
      <c r="AW206" s="74">
        <f t="shared" si="129"/>
        <v>0</v>
      </c>
      <c r="AX206" s="74">
        <f t="shared" si="130"/>
        <v>0</v>
      </c>
      <c r="AY206" s="74" t="str">
        <f t="shared" si="131"/>
        <v/>
      </c>
      <c r="BC206" s="73" t="str">
        <f t="shared" si="132"/>
        <v/>
      </c>
      <c r="BD206" s="73">
        <f t="shared" si="133"/>
        <v>653.16000000000008</v>
      </c>
      <c r="BE206" s="73">
        <f t="shared" si="134"/>
        <v>653.16000000000008</v>
      </c>
      <c r="BF206" s="77">
        <f t="shared" si="135"/>
        <v>0</v>
      </c>
      <c r="BG206" s="77">
        <f t="shared" si="136"/>
        <v>0</v>
      </c>
      <c r="BH206" s="77">
        <f t="shared" si="137"/>
        <v>0</v>
      </c>
      <c r="BI206" s="78" t="str">
        <f t="shared" si="138"/>
        <v/>
      </c>
      <c r="BJ206" s="79">
        <f t="shared" si="139"/>
        <v>0</v>
      </c>
      <c r="BK206" s="80" t="str">
        <f t="shared" si="140"/>
        <v/>
      </c>
      <c r="BL206" s="80" t="str">
        <f t="shared" si="141"/>
        <v/>
      </c>
      <c r="BM206" s="79" t="str">
        <f t="shared" si="142"/>
        <v/>
      </c>
      <c r="BN206" s="81" t="str">
        <f t="shared" si="143"/>
        <v/>
      </c>
      <c r="BO206" s="82" t="str">
        <f t="shared" si="144"/>
        <v/>
      </c>
      <c r="BP206" s="81" t="str">
        <f t="shared" si="145"/>
        <v/>
      </c>
      <c r="BQ206" s="81" t="str">
        <f t="shared" si="146"/>
        <v/>
      </c>
      <c r="BR206" s="81" t="str">
        <f t="shared" si="147"/>
        <v/>
      </c>
      <c r="BS206" s="82">
        <f t="shared" si="148"/>
        <v>0</v>
      </c>
      <c r="BT206" s="82" t="str">
        <f t="shared" si="149"/>
        <v/>
      </c>
      <c r="BU206" s="82">
        <f t="shared" si="150"/>
        <v>0</v>
      </c>
      <c r="BW206" s="82">
        <f>IFERROR(INDEX('Infos Clientes'!$T:$T,MATCH('Detalhe Por UC'!$C206,'Infos Clientes'!B:B,0)),"")</f>
        <v>361.81818181818181</v>
      </c>
      <c r="BX206" s="83">
        <f t="shared" si="151"/>
        <v>0</v>
      </c>
      <c r="BY206" s="84" t="str">
        <f t="shared" si="152"/>
        <v/>
      </c>
      <c r="BZ206" s="85">
        <f>IF(_xlfn.MINIFS('Detalhe Por UC'!R:R,'Detalhe Por UC'!C:C,C206,'Detalhe Por UC'!AD:AD,"&gt;"&amp;0)=0,"",_xlfn.MINIFS('Detalhe Por UC'!R:R,'Detalhe Por UC'!C:C,C206,'Detalhe Por UC'!AD:AD,"&gt;"&amp;0))</f>
        <v>45658</v>
      </c>
      <c r="CA206" s="114">
        <f ca="1">IF(OR(S206&gt;0,AD206&gt;0),IFERROR(
SUMIFS(INDIRECT("'Infos Clientes'!$W"&amp;INDEX('Infos Clientes'!$C:$C,MATCH(C206,'Infos Clientes'!$H:$H,0))&amp;":$CZ"&amp;INDEX('Infos Clientes'!$C:$C,MATCH(C206,'Infos Clientes'!$H:$H,0))),'Infos Clientes'!$W$2:$CZ$2,"&gt;"&amp;$R206-365,'Infos Clientes'!$W$2:$CZ$2,"&lt;="&amp;$R206)/
COUNTIFS(INDIRECT("'Infos Clientes'!$W"&amp;INDEX('Infos Clientes'!$C:$C,MATCH(C206,'Infos Clientes'!$H:$H,0))&amp;":$CZ"&amp;INDEX('Infos Clientes'!$C:$C,MATCH(C206,'Infos Clientes'!$H:$H,0))),"&gt;="&amp;0,'Infos Clientes'!$W$2:$CZ$2,"&gt;"&amp;$R206-365,'Infos Clientes'!$W$2:$CZ$2,"&lt;="&amp;$R206),""),"")</f>
        <v>342.08333333333331</v>
      </c>
      <c r="CB206" s="87">
        <f>VLOOKUP(C206,'Infos Clientes'!B:L,11,0)</f>
        <v>0</v>
      </c>
      <c r="CC206" s="88" t="str">
        <f t="shared" si="153"/>
        <v>A Unidade Consumidora 10/480529-7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6" s="40"/>
      <c r="CF206" s="115">
        <f t="shared" si="154"/>
        <v>-558.5200000000001</v>
      </c>
    </row>
    <row r="207" spans="1:84" ht="16.2" hidden="1" customHeight="1" x14ac:dyDescent="0.3">
      <c r="A207" s="105" t="str">
        <f>INDEX('Infos Clientes'!$D:$D,MATCH('Detalhe Por UC'!C207,'Infos Clientes'!B:B,0))</f>
        <v>IGREJA DO EVANGELHO QUADRANGULAR</v>
      </c>
      <c r="B207" s="106" t="str">
        <f>INDEX('Infos Clientes'!$F:$F,MATCH('Detalhe Por UC'!C207,'Infos Clientes'!B:B,0))</f>
        <v>62.955.505/1822-57</v>
      </c>
      <c r="C207" s="31" t="s">
        <v>192</v>
      </c>
      <c r="D207" t="s">
        <v>351</v>
      </c>
      <c r="E207" s="1" t="s">
        <v>352</v>
      </c>
      <c r="F207" s="56" t="str">
        <f>INDEX('Infos Clientes'!$I:$I,MATCH('Detalhe Por UC'!C207,'Infos Clientes'!B:B,0))</f>
        <v>BT</v>
      </c>
      <c r="G207" s="56" t="str">
        <f>INDEX('Infos Clientes'!$J:$J,MATCH('Detalhe Por UC'!C207,'Infos Clientes'!B:B,0))</f>
        <v>trifasico</v>
      </c>
      <c r="H207" s="108" t="s">
        <v>138</v>
      </c>
      <c r="I207" s="58">
        <f>IFERROR(VLOOKUP(C207,'Infos Clientes'!B:E,4,),"")</f>
        <v>319</v>
      </c>
      <c r="J207" s="109">
        <v>0.25</v>
      </c>
      <c r="K207" s="59">
        <f>INDEX('Infos Clientes'!$M:$M,MATCH('Detalhe Por UC'!C207,'Infos Clientes'!B:B,0))</f>
        <v>0.25</v>
      </c>
      <c r="L207" s="125">
        <v>0</v>
      </c>
      <c r="M207" s="56">
        <f>INDEX('Infos Clientes'!$N:$N,MATCH('Detalhe Por UC'!C207,'Infos Clientes'!B:B,0))</f>
        <v>0</v>
      </c>
      <c r="N207" s="56">
        <f t="shared" si="118"/>
        <v>0</v>
      </c>
      <c r="O207" s="56">
        <f t="shared" si="119"/>
        <v>9</v>
      </c>
      <c r="P207" s="56">
        <f t="shared" si="120"/>
        <v>0</v>
      </c>
      <c r="Q207" s="61">
        <f>IFERROR(IFERROR(INDEX('Infos Clientes'!$A$2:$V$9884,MATCH($C207,'Infos Clientes'!$B$2:$B$9884,0),MATCH(Q$8,'Infos Clientes'!$A$2:$V$2,0)),"")
+IF(OR(INDEX('Infos Clientes'!$A$2:$V$9884,MATCH($C207,'Infos Clientes'!$B$2:$B$9884,0),MATCH("Tempo de Fidelidade (meses)",'Infos Clientes'!$A$2:$V$2,0))=0,R207&gt;=MAX(R:R)),0,
ROUND((MAX(R:R)-R207)/(365/12),0)),"")</f>
        <v>0</v>
      </c>
      <c r="R207" s="111">
        <v>45689</v>
      </c>
      <c r="S207" s="63">
        <v>0.03</v>
      </c>
      <c r="T207" s="113" t="str">
        <f>IF($H207="GIROSSOL II",AP207/INDEX('Resumo Operacional'!$A$1:$P$1103,17,MATCH('Detalhe Por UC'!$R207,'Resumo Operacional'!$A$1:$P$1,0)),
IF($H207="GIROSSOL II e III",AP207/INDEX('Resumo Operacional'!$A$1:$P$1103,17,MATCH('Detalhe Por UC'!$R207,'Resumo Operacional'!$A$1:$P$1,0)),
""))</f>
        <v/>
      </c>
      <c r="U207" s="113">
        <f>IF($H207="GIROSSOL III",AP207/INDEX('Resumo Operacional'!$A$1:$P$1103,53,MATCH('Detalhe Por UC'!$R207,'Resumo Operacional'!$A$1:$P$1,0)),
IF($H207="GIROSSOL II e III",AP207/INDEX('Resumo Operacional'!$A$1:$P$1103,53,MATCH('Detalhe Por UC'!$R207,'Resumo Operacional'!$A$1:$P$1,0)),
""))</f>
        <v>0</v>
      </c>
      <c r="V207" s="18"/>
      <c r="W207" s="54"/>
      <c r="X207" s="131">
        <v>1.1162474645030425</v>
      </c>
      <c r="Y207" s="132">
        <v>0</v>
      </c>
      <c r="Z207" s="133">
        <v>0</v>
      </c>
      <c r="AA207" s="133">
        <v>0</v>
      </c>
      <c r="AB207" s="134">
        <v>493</v>
      </c>
      <c r="AC207" s="134">
        <v>0</v>
      </c>
      <c r="AD207" s="135">
        <v>0</v>
      </c>
      <c r="AE207" s="35"/>
      <c r="AF207" s="135">
        <v>0</v>
      </c>
      <c r="AG207" s="135">
        <v>0</v>
      </c>
      <c r="AH207" s="44">
        <v>128.01</v>
      </c>
      <c r="AI207" s="44">
        <v>0</v>
      </c>
      <c r="AJ207" s="44">
        <v>0</v>
      </c>
      <c r="AK207" s="31"/>
      <c r="AN207" s="71">
        <f t="shared" si="121"/>
        <v>0</v>
      </c>
      <c r="AO207" s="71">
        <f t="shared" si="122"/>
        <v>0</v>
      </c>
      <c r="AP207" s="71">
        <f t="shared" si="123"/>
        <v>0</v>
      </c>
      <c r="AQ207" s="72">
        <f>IF(OR($H207="GIROSSOL II",$H207="GIROSSOL II e III"),INDEX('Resumo Operacional'!$A$1:$P$1103,MATCH("Energia Injetada prevista total Fatura da Usina (TUSD)",'Resumo Operacional'!$B$1:$B$1103,0),MATCH('Detalhe Por UC'!$R207,'Resumo Operacional'!$A$1:$P$1,0))*$S207,INDEX('Resumo Operacional'!$A$1:$P$1103,53,MATCH('Detalhe Por UC'!$R207,'Resumo Operacional'!$A$1:$P$1,0))*$S207)</f>
        <v>433.97999999999996</v>
      </c>
      <c r="AR207" s="71">
        <f t="shared" si="124"/>
        <v>-433.97999999999996</v>
      </c>
      <c r="AS207" s="73">
        <f t="shared" si="125"/>
        <v>678.31999999999994</v>
      </c>
      <c r="AT207" s="74">
        <f t="shared" si="126"/>
        <v>678.31999999999994</v>
      </c>
      <c r="AU207" s="74" t="str">
        <f t="shared" si="127"/>
        <v/>
      </c>
      <c r="AV207" s="74">
        <f t="shared" si="128"/>
        <v>0</v>
      </c>
      <c r="AW207" s="74">
        <f t="shared" si="129"/>
        <v>0</v>
      </c>
      <c r="AX207" s="74">
        <f t="shared" si="130"/>
        <v>0</v>
      </c>
      <c r="AY207" s="74" t="str">
        <f t="shared" si="131"/>
        <v/>
      </c>
      <c r="BC207" s="73" t="str">
        <f t="shared" si="132"/>
        <v/>
      </c>
      <c r="BD207" s="73">
        <f t="shared" si="133"/>
        <v>678.31999999999994</v>
      </c>
      <c r="BE207" s="73">
        <f t="shared" si="134"/>
        <v>678.31999999999994</v>
      </c>
      <c r="BF207" s="77">
        <f t="shared" si="135"/>
        <v>0</v>
      </c>
      <c r="BG207" s="77">
        <f t="shared" si="136"/>
        <v>0</v>
      </c>
      <c r="BH207" s="77">
        <f t="shared" si="137"/>
        <v>0</v>
      </c>
      <c r="BI207" s="78" t="str">
        <f t="shared" si="138"/>
        <v/>
      </c>
      <c r="BJ207" s="79">
        <f t="shared" si="139"/>
        <v>0</v>
      </c>
      <c r="BK207" s="80" t="str">
        <f t="shared" si="140"/>
        <v/>
      </c>
      <c r="BL207" s="80" t="str">
        <f t="shared" si="141"/>
        <v/>
      </c>
      <c r="BM207" s="79" t="str">
        <f t="shared" si="142"/>
        <v/>
      </c>
      <c r="BN207" s="81" t="str">
        <f t="shared" si="143"/>
        <v/>
      </c>
      <c r="BO207" s="82" t="str">
        <f t="shared" si="144"/>
        <v/>
      </c>
      <c r="BP207" s="81" t="str">
        <f t="shared" si="145"/>
        <v/>
      </c>
      <c r="BQ207" s="81" t="str">
        <f t="shared" si="146"/>
        <v/>
      </c>
      <c r="BR207" s="81" t="str">
        <f t="shared" si="147"/>
        <v/>
      </c>
      <c r="BS207" s="82">
        <f t="shared" si="148"/>
        <v>0</v>
      </c>
      <c r="BT207" s="82" t="str">
        <f t="shared" si="149"/>
        <v/>
      </c>
      <c r="BU207" s="82">
        <f t="shared" si="150"/>
        <v>0</v>
      </c>
      <c r="BW207" s="82">
        <f>IFERROR(INDEX('Infos Clientes'!$T:$T,MATCH('Detalhe Por UC'!$C207,'Infos Clientes'!B:B,0)),"")</f>
        <v>502.09090909090907</v>
      </c>
      <c r="BX207" s="83">
        <f t="shared" si="151"/>
        <v>0</v>
      </c>
      <c r="BY207" s="84" t="str">
        <f t="shared" si="152"/>
        <v/>
      </c>
      <c r="BZ207" s="85">
        <f>IF(_xlfn.MINIFS('Detalhe Por UC'!R:R,'Detalhe Por UC'!C:C,C207,'Detalhe Por UC'!AD:AD,"&gt;"&amp;0)=0,"",_xlfn.MINIFS('Detalhe Por UC'!R:R,'Detalhe Por UC'!C:C,C207,'Detalhe Por UC'!AD:AD,"&gt;"&amp;0))</f>
        <v>45658</v>
      </c>
      <c r="CA207" s="114">
        <f ca="1">IF(OR(S207&gt;0,AD207&gt;0),IFERROR(
SUMIFS(INDIRECT("'Infos Clientes'!$W"&amp;INDEX('Infos Clientes'!$C:$C,MATCH(C207,'Infos Clientes'!$H:$H,0))&amp;":$CZ"&amp;INDEX('Infos Clientes'!$C:$C,MATCH(C207,'Infos Clientes'!$H:$H,0))),'Infos Clientes'!$W$2:$CZ$2,"&gt;"&amp;$R207-365,'Infos Clientes'!$W$2:$CZ$2,"&lt;="&amp;$R207)/
COUNTIFS(INDIRECT("'Infos Clientes'!$W"&amp;INDEX('Infos Clientes'!$C:$C,MATCH(C207,'Infos Clientes'!$H:$H,0))&amp;":$CZ"&amp;INDEX('Infos Clientes'!$C:$C,MATCH(C207,'Infos Clientes'!$H:$H,0))),"&gt;="&amp;0,'Infos Clientes'!$W$2:$CZ$2,"&gt;"&amp;$R207-365,'Infos Clientes'!$W$2:$CZ$2,"&lt;="&amp;$R207),""),"")</f>
        <v>453.33333333333331</v>
      </c>
      <c r="CB207" s="87">
        <f>VLOOKUP(C207,'Infos Clientes'!B:L,11,0)</f>
        <v>0</v>
      </c>
      <c r="CC207" s="88" t="str">
        <f t="shared" si="153"/>
        <v>A Unidade Consumidora 10/3139326-7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7" s="40" t="s">
        <v>143</v>
      </c>
      <c r="CF207" s="115">
        <f t="shared" si="154"/>
        <v>-678.31999999999994</v>
      </c>
    </row>
    <row r="208" spans="1:84" ht="16.2" hidden="1" customHeight="1" x14ac:dyDescent="0.3">
      <c r="A208" s="105" t="str">
        <f>INDEX('Infos Clientes'!$D:$D,MATCH('Detalhe Por UC'!C208,'Infos Clientes'!B:B,0))</f>
        <v>IGREJA DO EVANGELHO QUADRANGULAR</v>
      </c>
      <c r="B208" s="106" t="str">
        <f>INDEX('Infos Clientes'!$F:$F,MATCH('Detalhe Por UC'!C208,'Infos Clientes'!B:B,0))</f>
        <v>62.955.505/2132-33</v>
      </c>
      <c r="C208" s="31" t="s">
        <v>197</v>
      </c>
      <c r="D208" t="s">
        <v>351</v>
      </c>
      <c r="E208" s="1" t="s">
        <v>352</v>
      </c>
      <c r="F208" s="56" t="str">
        <f>INDEX('Infos Clientes'!$I:$I,MATCH('Detalhe Por UC'!C208,'Infos Clientes'!B:B,0))</f>
        <v>BT</v>
      </c>
      <c r="G208" s="56" t="str">
        <f>INDEX('Infos Clientes'!$J:$J,MATCH('Detalhe Por UC'!C208,'Infos Clientes'!B:B,0))</f>
        <v>trifasico</v>
      </c>
      <c r="H208" s="108" t="s">
        <v>138</v>
      </c>
      <c r="I208" s="58">
        <f>IFERROR(VLOOKUP(C208,'Infos Clientes'!B:E,4,),"")</f>
        <v>306</v>
      </c>
      <c r="J208" s="109">
        <v>0.25</v>
      </c>
      <c r="K208" s="59">
        <f>INDEX('Infos Clientes'!$M:$M,MATCH('Detalhe Por UC'!C208,'Infos Clientes'!B:B,0))</f>
        <v>0.25</v>
      </c>
      <c r="L208" s="125">
        <v>0</v>
      </c>
      <c r="M208" s="56">
        <f>INDEX('Infos Clientes'!$N:$N,MATCH('Detalhe Por UC'!C208,'Infos Clientes'!B:B,0))</f>
        <v>0</v>
      </c>
      <c r="N208" s="56">
        <f t="shared" si="118"/>
        <v>0</v>
      </c>
      <c r="O208" s="56">
        <f t="shared" si="119"/>
        <v>9</v>
      </c>
      <c r="P208" s="56">
        <f t="shared" si="120"/>
        <v>0</v>
      </c>
      <c r="Q208" s="61">
        <f>IFERROR(IFERROR(INDEX('Infos Clientes'!$A$2:$V$9884,MATCH($C208,'Infos Clientes'!$B$2:$B$9884,0),MATCH(Q$8,'Infos Clientes'!$A$2:$V$2,0)),"")
+IF(OR(INDEX('Infos Clientes'!$A$2:$V$9884,MATCH($C208,'Infos Clientes'!$B$2:$B$9884,0),MATCH("Tempo de Fidelidade (meses)",'Infos Clientes'!$A$2:$V$2,0))=0,R208&gt;=MAX(R:R)),0,
ROUND((MAX(R:R)-R208)/(365/12),0)),"")</f>
        <v>0</v>
      </c>
      <c r="R208" s="111">
        <v>45689</v>
      </c>
      <c r="S208" s="63">
        <v>0.04</v>
      </c>
      <c r="T208" s="113" t="str">
        <f>IF($H208="GIROSSOL II",AP208/INDEX('Resumo Operacional'!$A$1:$P$1103,17,MATCH('Detalhe Por UC'!$R208,'Resumo Operacional'!$A$1:$P$1,0)),
IF($H208="GIROSSOL II e III",AP208/INDEX('Resumo Operacional'!$A$1:$P$1103,17,MATCH('Detalhe Por UC'!$R208,'Resumo Operacional'!$A$1:$P$1,0)),
""))</f>
        <v/>
      </c>
      <c r="U208" s="113">
        <f>IF($H208="GIROSSOL III",AP208/INDEX('Resumo Operacional'!$A$1:$P$1103,53,MATCH('Detalhe Por UC'!$R208,'Resumo Operacional'!$A$1:$P$1,0)),
IF($H208="GIROSSOL II e III",AP208/INDEX('Resumo Operacional'!$A$1:$P$1103,53,MATCH('Detalhe Por UC'!$R208,'Resumo Operacional'!$A$1:$P$1,0)),
""))</f>
        <v>0</v>
      </c>
      <c r="V208" s="18"/>
      <c r="W208" s="54"/>
      <c r="X208" s="131">
        <v>1.1162597809076682</v>
      </c>
      <c r="Y208" s="132">
        <v>0</v>
      </c>
      <c r="Z208" s="133">
        <v>0</v>
      </c>
      <c r="AA208" s="133">
        <v>0</v>
      </c>
      <c r="AB208" s="134">
        <v>639</v>
      </c>
      <c r="AC208" s="134">
        <v>0</v>
      </c>
      <c r="AD208" s="135">
        <v>0</v>
      </c>
      <c r="AE208" s="35"/>
      <c r="AF208" s="135">
        <v>0</v>
      </c>
      <c r="AG208" s="135">
        <v>0</v>
      </c>
      <c r="AH208" s="44">
        <v>0</v>
      </c>
      <c r="AI208" s="44">
        <v>0</v>
      </c>
      <c r="AJ208" s="44">
        <v>0</v>
      </c>
      <c r="AK208" s="31"/>
      <c r="AN208" s="71">
        <f t="shared" si="121"/>
        <v>0</v>
      </c>
      <c r="AO208" s="71">
        <f t="shared" si="122"/>
        <v>0</v>
      </c>
      <c r="AP208" s="71">
        <f t="shared" si="123"/>
        <v>0</v>
      </c>
      <c r="AQ208" s="72">
        <f>IF(OR($H208="GIROSSOL II",$H208="GIROSSOL II e III"),INDEX('Resumo Operacional'!$A$1:$P$1103,MATCH("Energia Injetada prevista total Fatura da Usina (TUSD)",'Resumo Operacional'!$B$1:$B$1103,0),MATCH('Detalhe Por UC'!$R208,'Resumo Operacional'!$A$1:$P$1,0))*$S208,INDEX('Resumo Operacional'!$A$1:$P$1103,53,MATCH('Detalhe Por UC'!$R208,'Resumo Operacional'!$A$1:$P$1,0))*$S208)</f>
        <v>578.64</v>
      </c>
      <c r="AR208" s="71">
        <f t="shared" si="124"/>
        <v>-578.64</v>
      </c>
      <c r="AS208" s="73">
        <f t="shared" si="125"/>
        <v>713.29</v>
      </c>
      <c r="AT208" s="74">
        <f t="shared" si="126"/>
        <v>713.29</v>
      </c>
      <c r="AU208" s="74" t="str">
        <f t="shared" si="127"/>
        <v/>
      </c>
      <c r="AV208" s="74">
        <f t="shared" si="128"/>
        <v>0</v>
      </c>
      <c r="AW208" s="74">
        <f t="shared" si="129"/>
        <v>0</v>
      </c>
      <c r="AX208" s="74">
        <f t="shared" si="130"/>
        <v>0</v>
      </c>
      <c r="AY208" s="74" t="str">
        <f t="shared" si="131"/>
        <v/>
      </c>
      <c r="BC208" s="73" t="str">
        <f t="shared" si="132"/>
        <v/>
      </c>
      <c r="BD208" s="73">
        <f t="shared" si="133"/>
        <v>713.29</v>
      </c>
      <c r="BE208" s="73">
        <f t="shared" si="134"/>
        <v>713.29</v>
      </c>
      <c r="BF208" s="77">
        <f t="shared" si="135"/>
        <v>0</v>
      </c>
      <c r="BG208" s="77">
        <f t="shared" si="136"/>
        <v>0</v>
      </c>
      <c r="BH208" s="77">
        <f t="shared" si="137"/>
        <v>0</v>
      </c>
      <c r="BI208" s="78" t="str">
        <f t="shared" si="138"/>
        <v/>
      </c>
      <c r="BJ208" s="79">
        <f t="shared" si="139"/>
        <v>0</v>
      </c>
      <c r="BK208" s="80" t="str">
        <f t="shared" si="140"/>
        <v/>
      </c>
      <c r="BL208" s="80" t="str">
        <f t="shared" si="141"/>
        <v/>
      </c>
      <c r="BM208" s="79" t="str">
        <f t="shared" si="142"/>
        <v/>
      </c>
      <c r="BN208" s="81" t="str">
        <f t="shared" si="143"/>
        <v/>
      </c>
      <c r="BO208" s="82" t="str">
        <f t="shared" si="144"/>
        <v/>
      </c>
      <c r="BP208" s="81" t="str">
        <f t="shared" si="145"/>
        <v/>
      </c>
      <c r="BQ208" s="81" t="str">
        <f t="shared" si="146"/>
        <v/>
      </c>
      <c r="BR208" s="81" t="str">
        <f t="shared" si="147"/>
        <v/>
      </c>
      <c r="BS208" s="82">
        <f t="shared" si="148"/>
        <v>0</v>
      </c>
      <c r="BT208" s="82" t="str">
        <f t="shared" si="149"/>
        <v/>
      </c>
      <c r="BU208" s="82">
        <f t="shared" si="150"/>
        <v>0</v>
      </c>
      <c r="BW208" s="82">
        <f>IFERROR(INDEX('Infos Clientes'!$T:$T,MATCH('Detalhe Por UC'!$C208,'Infos Clientes'!B:B,0)),"")</f>
        <v>659.09090909090912</v>
      </c>
      <c r="BX208" s="83">
        <f t="shared" si="151"/>
        <v>0</v>
      </c>
      <c r="BY208" s="84" t="str">
        <f t="shared" si="152"/>
        <v/>
      </c>
      <c r="BZ208" s="85">
        <f>IF(_xlfn.MINIFS('Detalhe Por UC'!R:R,'Detalhe Por UC'!C:C,C208,'Detalhe Por UC'!AD:AD,"&gt;"&amp;0)=0,"",_xlfn.MINIFS('Detalhe Por UC'!R:R,'Detalhe Por UC'!C:C,C208,'Detalhe Por UC'!AD:AD,"&gt;"&amp;0))</f>
        <v>45658</v>
      </c>
      <c r="CA208" s="114">
        <f ca="1">IF(OR(S208&gt;0,AD208&gt;0),IFERROR(
SUMIFS(INDIRECT("'Infos Clientes'!$W"&amp;INDEX('Infos Clientes'!$C:$C,MATCH(C208,'Infos Clientes'!$H:$H,0))&amp;":$CZ"&amp;INDEX('Infos Clientes'!$C:$C,MATCH(C208,'Infos Clientes'!$H:$H,0))),'Infos Clientes'!$W$2:$CZ$2,"&gt;"&amp;$R208-365,'Infos Clientes'!$W$2:$CZ$2,"&lt;="&amp;$R208)/
COUNTIFS(INDIRECT("'Infos Clientes'!$W"&amp;INDEX('Infos Clientes'!$C:$C,MATCH(C208,'Infos Clientes'!$H:$H,0))&amp;":$CZ"&amp;INDEX('Infos Clientes'!$C:$C,MATCH(C208,'Infos Clientes'!$H:$H,0))),"&gt;="&amp;0,'Infos Clientes'!$W$2:$CZ$2,"&gt;"&amp;$R208-365,'Infos Clientes'!$W$2:$CZ$2,"&lt;="&amp;$R208),""),"")</f>
        <v>596.91666666666663</v>
      </c>
      <c r="CB208" s="87">
        <f>VLOOKUP(C208,'Infos Clientes'!B:L,11,0)</f>
        <v>0</v>
      </c>
      <c r="CC208" s="88" t="str">
        <f t="shared" si="153"/>
        <v>A Unidade Consumidora 10/399338-3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8" s="40" t="s">
        <v>143</v>
      </c>
      <c r="CF208" s="115">
        <f t="shared" si="154"/>
        <v>-713.29</v>
      </c>
    </row>
    <row r="209" spans="1:84" ht="16.2" hidden="1" customHeight="1" x14ac:dyDescent="0.3">
      <c r="A209" s="105" t="str">
        <f>INDEX('Infos Clientes'!$D:$D,MATCH('Detalhe Por UC'!C209,'Infos Clientes'!B:B,0))</f>
        <v>IGREJA DO EVANGELHO QUADRANGULAR</v>
      </c>
      <c r="B209" s="106" t="str">
        <f>INDEX('Infos Clientes'!$F:$F,MATCH('Detalhe Por UC'!C209,'Infos Clientes'!B:B,0))</f>
        <v>62.955.505/0154-31</v>
      </c>
      <c r="C209" s="31" t="s">
        <v>218</v>
      </c>
      <c r="D209" t="s">
        <v>351</v>
      </c>
      <c r="E209" s="1" t="s">
        <v>352</v>
      </c>
      <c r="F209" s="56" t="str">
        <f>INDEX('Infos Clientes'!$I:$I,MATCH('Detalhe Por UC'!C209,'Infos Clientes'!B:B,0))</f>
        <v>BT</v>
      </c>
      <c r="G209" s="56" t="str">
        <f>INDEX('Infos Clientes'!$J:$J,MATCH('Detalhe Por UC'!C209,'Infos Clientes'!B:B,0))</f>
        <v>bifasico</v>
      </c>
      <c r="H209" s="108" t="s">
        <v>138</v>
      </c>
      <c r="I209" s="58">
        <f>IFERROR(VLOOKUP(C209,'Infos Clientes'!B:E,4,),"")</f>
        <v>319</v>
      </c>
      <c r="J209" s="109">
        <v>0.25</v>
      </c>
      <c r="K209" s="59">
        <f>INDEX('Infos Clientes'!$M:$M,MATCH('Detalhe Por UC'!C209,'Infos Clientes'!B:B,0))</f>
        <v>0.25</v>
      </c>
      <c r="L209" s="125">
        <v>0</v>
      </c>
      <c r="M209" s="56">
        <f>INDEX('Infos Clientes'!$N:$N,MATCH('Detalhe Por UC'!C209,'Infos Clientes'!B:B,0))</f>
        <v>0</v>
      </c>
      <c r="N209" s="56">
        <f t="shared" si="118"/>
        <v>0</v>
      </c>
      <c r="O209" s="56">
        <f t="shared" si="119"/>
        <v>9</v>
      </c>
      <c r="P209" s="56">
        <f t="shared" si="120"/>
        <v>0</v>
      </c>
      <c r="Q209" s="61">
        <f>IFERROR(IFERROR(INDEX('Infos Clientes'!$A$2:$V$9884,MATCH($C209,'Infos Clientes'!$B$2:$B$9884,0),MATCH(Q$8,'Infos Clientes'!$A$2:$V$2,0)),"")
+IF(OR(INDEX('Infos Clientes'!$A$2:$V$9884,MATCH($C209,'Infos Clientes'!$B$2:$B$9884,0),MATCH("Tempo de Fidelidade (meses)",'Infos Clientes'!$A$2:$V$2,0))=0,R209&gt;=MAX(R:R)),0,
ROUND((MAX(R:R)-R209)/(365/12),0)),"")</f>
        <v>0</v>
      </c>
      <c r="R209" s="111">
        <v>45689</v>
      </c>
      <c r="S209" s="63">
        <v>0.05</v>
      </c>
      <c r="T209" s="113" t="str">
        <f>IF($H209="GIROSSOL II",AP209/INDEX('Resumo Operacional'!$A$1:$P$1103,17,MATCH('Detalhe Por UC'!$R209,'Resumo Operacional'!$A$1:$P$1,0)),
IF($H209="GIROSSOL II e III",AP209/INDEX('Resumo Operacional'!$A$1:$P$1103,17,MATCH('Detalhe Por UC'!$R209,'Resumo Operacional'!$A$1:$P$1,0)),
""))</f>
        <v/>
      </c>
      <c r="U209" s="113">
        <f>IF($H209="GIROSSOL III",AP209/INDEX('Resumo Operacional'!$A$1:$P$1103,53,MATCH('Detalhe Por UC'!$R209,'Resumo Operacional'!$A$1:$P$1,0)),
IF($H209="GIROSSOL II e III",AP209/INDEX('Resumo Operacional'!$A$1:$P$1103,53,MATCH('Detalhe Por UC'!$R209,'Resumo Operacional'!$A$1:$P$1,0)),
""))</f>
        <v>0</v>
      </c>
      <c r="V209" s="18"/>
      <c r="W209" s="54"/>
      <c r="X209" s="131">
        <v>1.1162649402390439</v>
      </c>
      <c r="Y209" s="132">
        <v>0</v>
      </c>
      <c r="Z209" s="133">
        <v>0</v>
      </c>
      <c r="AA209" s="133">
        <v>0</v>
      </c>
      <c r="AB209" s="134">
        <v>1004</v>
      </c>
      <c r="AC209" s="134">
        <v>0</v>
      </c>
      <c r="AD209" s="135">
        <v>0</v>
      </c>
      <c r="AE209" s="35"/>
      <c r="AF209" s="135">
        <v>0</v>
      </c>
      <c r="AG209" s="135">
        <v>0</v>
      </c>
      <c r="AH209" s="44">
        <v>110.77000000000001</v>
      </c>
      <c r="AI209" s="44">
        <v>0</v>
      </c>
      <c r="AJ209" s="44">
        <v>0</v>
      </c>
      <c r="AK209" s="31"/>
      <c r="AN209" s="71">
        <f t="shared" si="121"/>
        <v>0</v>
      </c>
      <c r="AO209" s="71">
        <f t="shared" si="122"/>
        <v>0</v>
      </c>
      <c r="AP209" s="71">
        <f t="shared" si="123"/>
        <v>0</v>
      </c>
      <c r="AQ209" s="72">
        <f>IF(OR($H209="GIROSSOL II",$H209="GIROSSOL II e III"),INDEX('Resumo Operacional'!$A$1:$P$1103,MATCH("Energia Injetada prevista total Fatura da Usina (TUSD)",'Resumo Operacional'!$B$1:$B$1103,0),MATCH('Detalhe Por UC'!$R209,'Resumo Operacional'!$A$1:$P$1,0))*$S209,INDEX('Resumo Operacional'!$A$1:$P$1103,53,MATCH('Detalhe Por UC'!$R209,'Resumo Operacional'!$A$1:$P$1,0))*$S209)</f>
        <v>723.30000000000007</v>
      </c>
      <c r="AR209" s="71">
        <f t="shared" si="124"/>
        <v>-723.30000000000007</v>
      </c>
      <c r="AS209" s="73">
        <f t="shared" si="125"/>
        <v>1231.5</v>
      </c>
      <c r="AT209" s="74">
        <f t="shared" si="126"/>
        <v>1231.5</v>
      </c>
      <c r="AU209" s="74" t="str">
        <f t="shared" si="127"/>
        <v/>
      </c>
      <c r="AV209" s="74">
        <f t="shared" si="128"/>
        <v>0</v>
      </c>
      <c r="AW209" s="74">
        <f t="shared" si="129"/>
        <v>0</v>
      </c>
      <c r="AX209" s="74">
        <f t="shared" si="130"/>
        <v>0</v>
      </c>
      <c r="AY209" s="74" t="str">
        <f t="shared" si="131"/>
        <v/>
      </c>
      <c r="BC209" s="73" t="str">
        <f t="shared" si="132"/>
        <v/>
      </c>
      <c r="BD209" s="73">
        <f t="shared" si="133"/>
        <v>1231.5</v>
      </c>
      <c r="BE209" s="73">
        <f t="shared" si="134"/>
        <v>1231.5</v>
      </c>
      <c r="BF209" s="77">
        <f t="shared" si="135"/>
        <v>0</v>
      </c>
      <c r="BG209" s="77">
        <f t="shared" si="136"/>
        <v>0</v>
      </c>
      <c r="BH209" s="77">
        <f t="shared" si="137"/>
        <v>0</v>
      </c>
      <c r="BI209" s="78" t="str">
        <f t="shared" si="138"/>
        <v/>
      </c>
      <c r="BJ209" s="79">
        <f t="shared" si="139"/>
        <v>0</v>
      </c>
      <c r="BK209" s="80" t="str">
        <f t="shared" si="140"/>
        <v/>
      </c>
      <c r="BL209" s="80" t="str">
        <f t="shared" si="141"/>
        <v/>
      </c>
      <c r="BM209" s="79" t="str">
        <f t="shared" si="142"/>
        <v/>
      </c>
      <c r="BN209" s="81" t="str">
        <f t="shared" si="143"/>
        <v/>
      </c>
      <c r="BO209" s="82" t="str">
        <f t="shared" si="144"/>
        <v/>
      </c>
      <c r="BP209" s="81" t="str">
        <f t="shared" si="145"/>
        <v/>
      </c>
      <c r="BQ209" s="81" t="str">
        <f t="shared" si="146"/>
        <v/>
      </c>
      <c r="BR209" s="81" t="str">
        <f t="shared" si="147"/>
        <v/>
      </c>
      <c r="BS209" s="82">
        <f t="shared" si="148"/>
        <v>0</v>
      </c>
      <c r="BT209" s="82" t="str">
        <f t="shared" si="149"/>
        <v/>
      </c>
      <c r="BU209" s="82">
        <f t="shared" si="150"/>
        <v>0</v>
      </c>
      <c r="BW209" s="82">
        <f>IFERROR(INDEX('Infos Clientes'!$T:$T,MATCH('Detalhe Por UC'!$C209,'Infos Clientes'!B:B,0)),"")</f>
        <v>806.81818181818187</v>
      </c>
      <c r="BX209" s="83">
        <f t="shared" si="151"/>
        <v>0</v>
      </c>
      <c r="BY209" s="84" t="str">
        <f t="shared" si="152"/>
        <v/>
      </c>
      <c r="BZ209" s="85">
        <f>IF(_xlfn.MINIFS('Detalhe Por UC'!R:R,'Detalhe Por UC'!C:C,C209,'Detalhe Por UC'!AD:AD,"&gt;"&amp;0)=0,"",_xlfn.MINIFS('Detalhe Por UC'!R:R,'Detalhe Por UC'!C:C,C209,'Detalhe Por UC'!AD:AD,"&gt;"&amp;0))</f>
        <v>45658</v>
      </c>
      <c r="CA209" s="114">
        <f ca="1">IF(OR(S209&gt;0,AD209&gt;0),IFERROR(
SUMIFS(INDIRECT("'Infos Clientes'!$W"&amp;INDEX('Infos Clientes'!$C:$C,MATCH(C209,'Infos Clientes'!$H:$H,0))&amp;":$CZ"&amp;INDEX('Infos Clientes'!$C:$C,MATCH(C209,'Infos Clientes'!$H:$H,0))),'Infos Clientes'!$W$2:$CZ$2,"&gt;"&amp;$R209-365,'Infos Clientes'!$W$2:$CZ$2,"&lt;="&amp;$R209)/
COUNTIFS(INDIRECT("'Infos Clientes'!$W"&amp;INDEX('Infos Clientes'!$C:$C,MATCH(C209,'Infos Clientes'!$H:$H,0))&amp;":$CZ"&amp;INDEX('Infos Clientes'!$C:$C,MATCH(C209,'Infos Clientes'!$H:$H,0))),"&gt;="&amp;0,'Infos Clientes'!$W$2:$CZ$2,"&gt;"&amp;$R209-365,'Infos Clientes'!$W$2:$CZ$2,"&lt;="&amp;$R209),""),"")</f>
        <v>754</v>
      </c>
      <c r="CB209" s="87">
        <f>VLOOKUP(C209,'Infos Clientes'!B:L,11,0)</f>
        <v>0</v>
      </c>
      <c r="CC209" s="88" t="str">
        <f t="shared" si="153"/>
        <v>A Unidade Consumidora 10/61344-8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09" s="40"/>
      <c r="CF209" s="115">
        <f t="shared" si="154"/>
        <v>-1231.5</v>
      </c>
    </row>
    <row r="210" spans="1:84" ht="16.2" hidden="1" customHeight="1" x14ac:dyDescent="0.3">
      <c r="A210" s="105" t="str">
        <f>INDEX('Infos Clientes'!$D:$D,MATCH('Detalhe Por UC'!C210,'Infos Clientes'!B:B,0))</f>
        <v>IGREJA DO EVANGELHO QUADRANGULAR</v>
      </c>
      <c r="B210" s="106" t="str">
        <f>INDEX('Infos Clientes'!$F:$F,MATCH('Detalhe Por UC'!C210,'Infos Clientes'!B:B,0))</f>
        <v>62.955.505/2740-20</v>
      </c>
      <c r="C210" s="31" t="s">
        <v>175</v>
      </c>
      <c r="D210" t="s">
        <v>351</v>
      </c>
      <c r="E210" s="1" t="s">
        <v>352</v>
      </c>
      <c r="F210" s="56" t="str">
        <f>INDEX('Infos Clientes'!$I:$I,MATCH('Detalhe Por UC'!C210,'Infos Clientes'!B:B,0))</f>
        <v>BT</v>
      </c>
      <c r="G210" s="56" t="str">
        <f>INDEX('Infos Clientes'!$J:$J,MATCH('Detalhe Por UC'!C210,'Infos Clientes'!B:B,0))</f>
        <v>trifasico</v>
      </c>
      <c r="H210" s="108" t="s">
        <v>138</v>
      </c>
      <c r="I210" s="58">
        <f>IFERROR(VLOOKUP(C210,'Infos Clientes'!B:E,4,),"")</f>
        <v>371</v>
      </c>
      <c r="J210" s="109">
        <v>0.25</v>
      </c>
      <c r="K210" s="59">
        <f>INDEX('Infos Clientes'!$M:$M,MATCH('Detalhe Por UC'!C210,'Infos Clientes'!B:B,0))</f>
        <v>0.25</v>
      </c>
      <c r="L210" s="125">
        <v>0</v>
      </c>
      <c r="M210" s="56">
        <f>INDEX('Infos Clientes'!$N:$N,MATCH('Detalhe Por UC'!C210,'Infos Clientes'!B:B,0))</f>
        <v>0</v>
      </c>
      <c r="N210" s="56">
        <f t="shared" si="118"/>
        <v>0</v>
      </c>
      <c r="O210" s="56">
        <f t="shared" si="119"/>
        <v>8</v>
      </c>
      <c r="P210" s="56">
        <f t="shared" si="120"/>
        <v>0</v>
      </c>
      <c r="Q210" s="61">
        <f>IFERROR(IFERROR(INDEX('Infos Clientes'!$A$2:$V$9884,MATCH($C210,'Infos Clientes'!$B$2:$B$9884,0),MATCH(Q$8,'Infos Clientes'!$A$2:$V$2,0)),"")
+IF(OR(INDEX('Infos Clientes'!$A$2:$V$9884,MATCH($C210,'Infos Clientes'!$B$2:$B$9884,0),MATCH("Tempo de Fidelidade (meses)",'Infos Clientes'!$A$2:$V$2,0))=0,R210&gt;=MAX(R:R)),0,
ROUND((MAX(R:R)-R210)/(365/12),0)),"")</f>
        <v>0</v>
      </c>
      <c r="R210" s="111">
        <v>45689</v>
      </c>
      <c r="S210" s="63">
        <v>0.01</v>
      </c>
      <c r="T210" s="113" t="str">
        <f>IF($H210="GIROSSOL II",AP210/INDEX('Resumo Operacional'!$A$1:$P$1103,17,MATCH('Detalhe Por UC'!$R210,'Resumo Operacional'!$A$1:$P$1,0)),
IF($H210="GIROSSOL II e III",AP210/INDEX('Resumo Operacional'!$A$1:$P$1103,17,MATCH('Detalhe Por UC'!$R210,'Resumo Operacional'!$A$1:$P$1,0)),
""))</f>
        <v/>
      </c>
      <c r="U210" s="113">
        <f>IF($H210="GIROSSOL III",AP210/INDEX('Resumo Operacional'!$A$1:$P$1103,53,MATCH('Detalhe Por UC'!$R210,'Resumo Operacional'!$A$1:$P$1,0)),
IF($H210="GIROSSOL II e III",AP210/INDEX('Resumo Operacional'!$A$1:$P$1103,53,MATCH('Detalhe Por UC'!$R210,'Resumo Operacional'!$A$1:$P$1,0)),
""))</f>
        <v>0</v>
      </c>
      <c r="V210" s="18"/>
      <c r="W210" s="54"/>
      <c r="X210" s="131">
        <v>1.1162426035502959</v>
      </c>
      <c r="Y210" s="132">
        <v>0</v>
      </c>
      <c r="Z210" s="133">
        <v>0</v>
      </c>
      <c r="AA210" s="133">
        <v>0</v>
      </c>
      <c r="AB210" s="134">
        <v>338</v>
      </c>
      <c r="AC210" s="134">
        <v>0</v>
      </c>
      <c r="AD210" s="135">
        <v>0</v>
      </c>
      <c r="AE210" s="35"/>
      <c r="AF210" s="135">
        <v>0</v>
      </c>
      <c r="AG210" s="135">
        <v>0</v>
      </c>
      <c r="AH210" s="44">
        <v>52.52</v>
      </c>
      <c r="AI210" s="44">
        <v>0</v>
      </c>
      <c r="AJ210" s="44">
        <v>0</v>
      </c>
      <c r="AK210" s="31"/>
      <c r="AN210" s="71">
        <f t="shared" si="121"/>
        <v>0</v>
      </c>
      <c r="AO210" s="71">
        <f t="shared" si="122"/>
        <v>0</v>
      </c>
      <c r="AP210" s="71">
        <f t="shared" si="123"/>
        <v>0</v>
      </c>
      <c r="AQ210" s="72">
        <f>IF(OR($H210="GIROSSOL II",$H210="GIROSSOL II e III"),INDEX('Resumo Operacional'!$A$1:$P$1103,MATCH("Energia Injetada prevista total Fatura da Usina (TUSD)",'Resumo Operacional'!$B$1:$B$1103,0),MATCH('Detalhe Por UC'!$R210,'Resumo Operacional'!$A$1:$P$1,0))*$S210,INDEX('Resumo Operacional'!$A$1:$P$1103,53,MATCH('Detalhe Por UC'!$R210,'Resumo Operacional'!$A$1:$P$1,0))*$S210)</f>
        <v>144.66</v>
      </c>
      <c r="AR210" s="71">
        <f t="shared" si="124"/>
        <v>-144.66</v>
      </c>
      <c r="AS210" s="73">
        <f t="shared" si="125"/>
        <v>429.81</v>
      </c>
      <c r="AT210" s="74">
        <f t="shared" si="126"/>
        <v>429.81</v>
      </c>
      <c r="AU210" s="74" t="str">
        <f t="shared" si="127"/>
        <v/>
      </c>
      <c r="AV210" s="74">
        <f t="shared" si="128"/>
        <v>0</v>
      </c>
      <c r="AW210" s="74">
        <f t="shared" si="129"/>
        <v>0</v>
      </c>
      <c r="AX210" s="74">
        <f t="shared" si="130"/>
        <v>0</v>
      </c>
      <c r="AY210" s="74" t="str">
        <f t="shared" si="131"/>
        <v/>
      </c>
      <c r="BC210" s="73" t="str">
        <f t="shared" si="132"/>
        <v/>
      </c>
      <c r="BD210" s="73">
        <f t="shared" si="133"/>
        <v>429.81</v>
      </c>
      <c r="BE210" s="73">
        <f t="shared" si="134"/>
        <v>429.81</v>
      </c>
      <c r="BF210" s="77">
        <f t="shared" si="135"/>
        <v>0</v>
      </c>
      <c r="BG210" s="77">
        <f t="shared" si="136"/>
        <v>0</v>
      </c>
      <c r="BH210" s="77">
        <f t="shared" si="137"/>
        <v>0</v>
      </c>
      <c r="BI210" s="78" t="str">
        <f t="shared" si="138"/>
        <v/>
      </c>
      <c r="BJ210" s="79">
        <f t="shared" si="139"/>
        <v>0</v>
      </c>
      <c r="BK210" s="80" t="str">
        <f t="shared" si="140"/>
        <v/>
      </c>
      <c r="BL210" s="80" t="str">
        <f t="shared" si="141"/>
        <v/>
      </c>
      <c r="BM210" s="79" t="str">
        <f t="shared" si="142"/>
        <v/>
      </c>
      <c r="BN210" s="81" t="str">
        <f t="shared" si="143"/>
        <v/>
      </c>
      <c r="BO210" s="82" t="str">
        <f t="shared" si="144"/>
        <v/>
      </c>
      <c r="BP210" s="81" t="str">
        <f t="shared" si="145"/>
        <v/>
      </c>
      <c r="BQ210" s="81" t="str">
        <f t="shared" si="146"/>
        <v/>
      </c>
      <c r="BR210" s="81" t="str">
        <f t="shared" si="147"/>
        <v/>
      </c>
      <c r="BS210" s="82">
        <f t="shared" si="148"/>
        <v>0</v>
      </c>
      <c r="BT210" s="82" t="str">
        <f t="shared" si="149"/>
        <v/>
      </c>
      <c r="BU210" s="82">
        <f t="shared" si="150"/>
        <v>0</v>
      </c>
      <c r="BW210" s="82">
        <f>IFERROR(INDEX('Infos Clientes'!$T:$T,MATCH('Detalhe Por UC'!$C210,'Infos Clientes'!B:B,0)),"")</f>
        <v>384.90909090909093</v>
      </c>
      <c r="BX210" s="83">
        <f t="shared" si="151"/>
        <v>0</v>
      </c>
      <c r="BY210" s="84" t="str">
        <f t="shared" si="152"/>
        <v/>
      </c>
      <c r="BZ210" s="85">
        <f>IF(_xlfn.MINIFS('Detalhe Por UC'!R:R,'Detalhe Por UC'!C:C,C210,'Detalhe Por UC'!AD:AD,"&gt;"&amp;0)=0,"",_xlfn.MINIFS('Detalhe Por UC'!R:R,'Detalhe Por UC'!C:C,C210,'Detalhe Por UC'!AD:AD,"&gt;"&amp;0))</f>
        <v>45658</v>
      </c>
      <c r="CA210" s="114">
        <f ca="1">IF(OR(S210&gt;0,AD210&gt;0),IFERROR(
SUMIFS(INDIRECT("'Infos Clientes'!$W"&amp;INDEX('Infos Clientes'!$C:$C,MATCH(C210,'Infos Clientes'!$H:$H,0))&amp;":$CZ"&amp;INDEX('Infos Clientes'!$C:$C,MATCH(C210,'Infos Clientes'!$H:$H,0))),'Infos Clientes'!$W$2:$CZ$2,"&gt;"&amp;$R210-365,'Infos Clientes'!$W$2:$CZ$2,"&lt;="&amp;$R210)/
COUNTIFS(INDIRECT("'Infos Clientes'!$W"&amp;INDEX('Infos Clientes'!$C:$C,MATCH(C210,'Infos Clientes'!$H:$H,0))&amp;":$CZ"&amp;INDEX('Infos Clientes'!$C:$C,MATCH(C210,'Infos Clientes'!$H:$H,0))),"&gt;="&amp;0,'Infos Clientes'!$W$2:$CZ$2,"&gt;"&amp;$R210-365,'Infos Clientes'!$W$2:$CZ$2,"&lt;="&amp;$R210),""),"")</f>
        <v>338.33333333333331</v>
      </c>
      <c r="CB210" s="87">
        <f>VLOOKUP(C210,'Infos Clientes'!B:L,11,0)</f>
        <v>0</v>
      </c>
      <c r="CC210" s="88" t="str">
        <f t="shared" si="153"/>
        <v>A Unidade Consumidora 10/252817-2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0" s="40" t="s">
        <v>177</v>
      </c>
      <c r="CF210" s="115">
        <f t="shared" si="154"/>
        <v>-429.81</v>
      </c>
    </row>
    <row r="211" spans="1:84" ht="16.2" hidden="1" customHeight="1" x14ac:dyDescent="0.3">
      <c r="A211" s="105" t="str">
        <f>INDEX('Infos Clientes'!$D:$D,MATCH('Detalhe Por UC'!C211,'Infos Clientes'!B:B,0))</f>
        <v>IGREJA DO EVANGELHO QUADRANGULAR</v>
      </c>
      <c r="B211" s="106" t="str">
        <f>INDEX('Infos Clientes'!$F:$F,MATCH('Detalhe Por UC'!C211,'Infos Clientes'!B:B,0))</f>
        <v>62.955.505/1344-49</v>
      </c>
      <c r="C211" s="31" t="s">
        <v>166</v>
      </c>
      <c r="D211" t="s">
        <v>351</v>
      </c>
      <c r="E211" s="1" t="s">
        <v>352</v>
      </c>
      <c r="F211" s="56" t="str">
        <f>INDEX('Infos Clientes'!$I:$I,MATCH('Detalhe Por UC'!C211,'Infos Clientes'!B:B,0))</f>
        <v>BT</v>
      </c>
      <c r="G211" s="56" t="str">
        <f>INDEX('Infos Clientes'!$J:$J,MATCH('Detalhe Por UC'!C211,'Infos Clientes'!B:B,0))</f>
        <v>bifasico</v>
      </c>
      <c r="H211" s="108" t="s">
        <v>138</v>
      </c>
      <c r="I211" s="58">
        <f>IFERROR(VLOOKUP(C211,'Infos Clientes'!B:E,4,),"")</f>
        <v>362</v>
      </c>
      <c r="J211" s="109">
        <v>0.25</v>
      </c>
      <c r="K211" s="59">
        <f>INDEX('Infos Clientes'!$M:$M,MATCH('Detalhe Por UC'!C211,'Infos Clientes'!B:B,0))</f>
        <v>0.25</v>
      </c>
      <c r="L211" s="125">
        <v>0</v>
      </c>
      <c r="M211" s="56">
        <f>INDEX('Infos Clientes'!$N:$N,MATCH('Detalhe Por UC'!C211,'Infos Clientes'!B:B,0))</f>
        <v>0</v>
      </c>
      <c r="N211" s="56">
        <f t="shared" si="118"/>
        <v>0</v>
      </c>
      <c r="O211" s="56">
        <f t="shared" si="119"/>
        <v>11</v>
      </c>
      <c r="P211" s="56">
        <f t="shared" si="120"/>
        <v>0</v>
      </c>
      <c r="Q211" s="61">
        <f>IFERROR(IFERROR(INDEX('Infos Clientes'!$A$2:$V$9884,MATCH($C211,'Infos Clientes'!$B$2:$B$9884,0),MATCH(Q$8,'Infos Clientes'!$A$2:$V$2,0)),"")
+IF(OR(INDEX('Infos Clientes'!$A$2:$V$9884,MATCH($C211,'Infos Clientes'!$B$2:$B$9884,0),MATCH("Tempo de Fidelidade (meses)",'Infos Clientes'!$A$2:$V$2,0))=0,R211&gt;=MAX(R:R)),0,
ROUND((MAX(R:R)-R211)/(365/12),0)),"")</f>
        <v>0</v>
      </c>
      <c r="R211" s="111">
        <v>45689</v>
      </c>
      <c r="S211" s="63">
        <v>0.01</v>
      </c>
      <c r="T211" s="113" t="str">
        <f>IF($H211="GIROSSOL II",AP211/INDEX('Resumo Operacional'!$A$1:$P$1103,17,MATCH('Detalhe Por UC'!$R211,'Resumo Operacional'!$A$1:$P$1,0)),
IF($H211="GIROSSOL II e III",AP211/INDEX('Resumo Operacional'!$A$1:$P$1103,17,MATCH('Detalhe Por UC'!$R211,'Resumo Operacional'!$A$1:$P$1,0)),
""))</f>
        <v/>
      </c>
      <c r="U211" s="113">
        <f>IF($H211="GIROSSOL III",AP211/INDEX('Resumo Operacional'!$A$1:$P$1103,53,MATCH('Detalhe Por UC'!$R211,'Resumo Operacional'!$A$1:$P$1,0)),
IF($H211="GIROSSOL II e III",AP211/INDEX('Resumo Operacional'!$A$1:$P$1103,53,MATCH('Detalhe Por UC'!$R211,'Resumo Operacional'!$A$1:$P$1,0)),
""))</f>
        <v>2.6268491635559241E-3</v>
      </c>
      <c r="V211" s="18"/>
      <c r="W211" s="54"/>
      <c r="X211" s="131">
        <v>1.1162195121951219</v>
      </c>
      <c r="Y211" s="132">
        <v>0</v>
      </c>
      <c r="Z211" s="133">
        <v>0.97394736842105245</v>
      </c>
      <c r="AA211" s="133">
        <v>0</v>
      </c>
      <c r="AB211" s="134">
        <v>82</v>
      </c>
      <c r="AC211" s="134">
        <v>0</v>
      </c>
      <c r="AD211" s="135">
        <v>38</v>
      </c>
      <c r="AE211" s="35"/>
      <c r="AF211" s="135">
        <v>0</v>
      </c>
      <c r="AG211" s="135">
        <v>0</v>
      </c>
      <c r="AH211" s="44">
        <v>18.380000000000003</v>
      </c>
      <c r="AI211" s="44">
        <v>0</v>
      </c>
      <c r="AJ211" s="44">
        <v>0</v>
      </c>
      <c r="AK211" s="31"/>
      <c r="AN211" s="71">
        <f t="shared" si="121"/>
        <v>0</v>
      </c>
      <c r="AO211" s="71">
        <f t="shared" si="122"/>
        <v>0</v>
      </c>
      <c r="AP211" s="71">
        <f t="shared" si="123"/>
        <v>38</v>
      </c>
      <c r="AQ211" s="72">
        <f>IF(OR($H211="GIROSSOL II",$H211="GIROSSOL II e III"),INDEX('Resumo Operacional'!$A$1:$P$1103,MATCH("Energia Injetada prevista total Fatura da Usina (TUSD)",'Resumo Operacional'!$B$1:$B$1103,0),MATCH('Detalhe Por UC'!$R211,'Resumo Operacional'!$A$1:$P$1,0))*$S211,INDEX('Resumo Operacional'!$A$1:$P$1103,53,MATCH('Detalhe Por UC'!$R211,'Resumo Operacional'!$A$1:$P$1,0))*$S211)</f>
        <v>144.66</v>
      </c>
      <c r="AR211" s="71">
        <f t="shared" si="124"/>
        <v>-106.66</v>
      </c>
      <c r="AS211" s="73">
        <f t="shared" si="125"/>
        <v>72.900000000000006</v>
      </c>
      <c r="AT211" s="74">
        <f t="shared" si="126"/>
        <v>72.900000000000006</v>
      </c>
      <c r="AU211" s="74">
        <f t="shared" si="127"/>
        <v>0.83167522464698285</v>
      </c>
      <c r="AV211" s="74">
        <f t="shared" si="128"/>
        <v>27.757499999999993</v>
      </c>
      <c r="AW211" s="74">
        <f t="shared" si="129"/>
        <v>0</v>
      </c>
      <c r="AX211" s="74">
        <f t="shared" si="130"/>
        <v>37.009999999999991</v>
      </c>
      <c r="AY211" s="74">
        <f t="shared" si="131"/>
        <v>27.76</v>
      </c>
      <c r="AZ211" s="136">
        <v>27.76</v>
      </c>
      <c r="BA211" s="136">
        <v>64.77</v>
      </c>
      <c r="BB211" s="136">
        <v>64.77</v>
      </c>
      <c r="BC211" s="73" t="str">
        <f t="shared" si="132"/>
        <v/>
      </c>
      <c r="BD211" s="73">
        <f t="shared" si="133"/>
        <v>109.91</v>
      </c>
      <c r="BE211" s="73">
        <f t="shared" si="134"/>
        <v>100.6575</v>
      </c>
      <c r="BF211" s="77">
        <f t="shared" si="135"/>
        <v>9.25</v>
      </c>
      <c r="BG211" s="77">
        <f t="shared" si="136"/>
        <v>2.7749999999999999</v>
      </c>
      <c r="BH211" s="77">
        <f t="shared" si="137"/>
        <v>37.009999999999991</v>
      </c>
      <c r="BI211" s="78">
        <f t="shared" si="138"/>
        <v>0.25</v>
      </c>
      <c r="BJ211" s="79">
        <f t="shared" si="139"/>
        <v>8.4159767082158138E-2</v>
      </c>
      <c r="BK211" s="80">
        <f t="shared" si="140"/>
        <v>100.66000000000001</v>
      </c>
      <c r="BL211" s="80">
        <f t="shared" si="141"/>
        <v>9.2499999999999858</v>
      </c>
      <c r="BM211" s="79">
        <f t="shared" si="142"/>
        <v>8.4159767082157999E-2</v>
      </c>
      <c r="BN211" s="81">
        <f t="shared" si="143"/>
        <v>0.73052631578947369</v>
      </c>
      <c r="BO211" s="82">
        <f t="shared" si="144"/>
        <v>27.76</v>
      </c>
      <c r="BP211" s="81">
        <f t="shared" si="145"/>
        <v>0.73052631578947369</v>
      </c>
      <c r="BQ211" s="81">
        <f t="shared" si="146"/>
        <v>0.87279845956354318</v>
      </c>
      <c r="BR211" s="81">
        <f t="shared" si="147"/>
        <v>1.1162195121951219</v>
      </c>
      <c r="BS211" s="82">
        <f t="shared" si="148"/>
        <v>38</v>
      </c>
      <c r="BT211" s="82">
        <f t="shared" si="149"/>
        <v>42.416341463414632</v>
      </c>
      <c r="BU211" s="82">
        <f t="shared" si="150"/>
        <v>37.009999999999991</v>
      </c>
      <c r="BW211" s="82">
        <f>IFERROR(INDEX('Infos Clientes'!$T:$T,MATCH('Detalhe Por UC'!$C211,'Infos Clientes'!B:B,0)),"")</f>
        <v>140.81818181818181</v>
      </c>
      <c r="BX211" s="83">
        <f t="shared" si="151"/>
        <v>0</v>
      </c>
      <c r="BY211" s="84">
        <f t="shared" si="152"/>
        <v>0.21807632815240313</v>
      </c>
      <c r="BZ211" s="85">
        <f>IF(_xlfn.MINIFS('Detalhe Por UC'!R:R,'Detalhe Por UC'!C:C,C211,'Detalhe Por UC'!AD:AD,"&gt;"&amp;0)=0,"",_xlfn.MINIFS('Detalhe Por UC'!R:R,'Detalhe Por UC'!C:C,C211,'Detalhe Por UC'!AD:AD,"&gt;"&amp;0))</f>
        <v>45658</v>
      </c>
      <c r="CA211" s="114">
        <f ca="1">IF(OR(S211&gt;0,AD211&gt;0),IFERROR(
SUMIFS(INDIRECT("'Infos Clientes'!$W"&amp;INDEX('Infos Clientes'!$C:$C,MATCH(C211,'Infos Clientes'!$H:$H,0))&amp;":$CZ"&amp;INDEX('Infos Clientes'!$C:$C,MATCH(C211,'Infos Clientes'!$H:$H,0))),'Infos Clientes'!$W$2:$CZ$2,"&gt;"&amp;$R211-365,'Infos Clientes'!$W$2:$CZ$2,"&lt;="&amp;$R211)/
COUNTIFS(INDIRECT("'Infos Clientes'!$W"&amp;INDEX('Infos Clientes'!$C:$C,MATCH(C211,'Infos Clientes'!$H:$H,0))&amp;":$CZ"&amp;INDEX('Infos Clientes'!$C:$C,MATCH(C211,'Infos Clientes'!$H:$H,0))),"&gt;="&amp;0,'Infos Clientes'!$W$2:$CZ$2,"&gt;"&amp;$R211-365,'Infos Clientes'!$W$2:$CZ$2,"&lt;="&amp;$R211),""),"")</f>
        <v>104.58333333333333</v>
      </c>
      <c r="CB211" s="87">
        <f>VLOOKUP(C211,'Infos Clientes'!B:L,11,0)</f>
        <v>0</v>
      </c>
      <c r="CC211" s="88" t="str">
        <f t="shared" si="153"/>
        <v>A Unidade Consumidora 10/175073-6 economizou R$9,25 na fatura referente à fev/2025  consumindo 38 kWh em créditos de energia renovável conforme fatura de energia. A economia foi de 25% em relação ao que seria pago para a Energisa considerando os créditos consumidos. Atenção: Mantenha as contas da Energisa em dia para evitar cortes.</v>
      </c>
      <c r="CD211" s="40" t="s">
        <v>83</v>
      </c>
      <c r="CF211" s="115">
        <f t="shared" si="154"/>
        <v>-72.900000000000006</v>
      </c>
    </row>
    <row r="212" spans="1:84" ht="16.2" hidden="1" customHeight="1" x14ac:dyDescent="0.3">
      <c r="A212" s="105" t="str">
        <f>INDEX('Infos Clientes'!$D:$D,MATCH('Detalhe Por UC'!C212,'Infos Clientes'!B:B,0))</f>
        <v>IGREJA DO EVANGELHO QUADRANGULAR</v>
      </c>
      <c r="B212" s="106" t="str">
        <f>INDEX('Infos Clientes'!$F:$F,MATCH('Detalhe Por UC'!C212,'Infos Clientes'!B:B,0))</f>
        <v>62.955.505/0159-46</v>
      </c>
      <c r="C212" s="31" t="s">
        <v>231</v>
      </c>
      <c r="D212" t="s">
        <v>351</v>
      </c>
      <c r="E212" s="1" t="s">
        <v>352</v>
      </c>
      <c r="F212" s="56" t="str">
        <f>INDEX('Infos Clientes'!$I:$I,MATCH('Detalhe Por UC'!C212,'Infos Clientes'!B:B,0))</f>
        <v>BT</v>
      </c>
      <c r="G212" s="56" t="str">
        <f>INDEX('Infos Clientes'!$J:$J,MATCH('Detalhe Por UC'!C212,'Infos Clientes'!B:B,0))</f>
        <v>trifasico</v>
      </c>
      <c r="H212" s="108" t="s">
        <v>138</v>
      </c>
      <c r="I212" s="58">
        <f>IFERROR(VLOOKUP(C212,'Infos Clientes'!B:E,4,),"")</f>
        <v>302</v>
      </c>
      <c r="J212" s="109">
        <v>0.25</v>
      </c>
      <c r="K212" s="59">
        <f>INDEX('Infos Clientes'!$M:$M,MATCH('Detalhe Por UC'!C212,'Infos Clientes'!B:B,0))</f>
        <v>0.25</v>
      </c>
      <c r="L212" s="125">
        <v>0</v>
      </c>
      <c r="M212" s="56">
        <f>INDEX('Infos Clientes'!$N:$N,MATCH('Detalhe Por UC'!C212,'Infos Clientes'!B:B,0))</f>
        <v>0</v>
      </c>
      <c r="N212" s="56">
        <f t="shared" si="118"/>
        <v>0</v>
      </c>
      <c r="O212" s="56">
        <f t="shared" si="119"/>
        <v>9</v>
      </c>
      <c r="P212" s="56">
        <f t="shared" si="120"/>
        <v>0</v>
      </c>
      <c r="Q212" s="61">
        <f>IFERROR(IFERROR(INDEX('Infos Clientes'!$A$2:$V$9884,MATCH($C212,'Infos Clientes'!$B$2:$B$9884,0),MATCH(Q$8,'Infos Clientes'!$A$2:$V$2,0)),"")
+IF(OR(INDEX('Infos Clientes'!$A$2:$V$9884,MATCH($C212,'Infos Clientes'!$B$2:$B$9884,0),MATCH("Tempo de Fidelidade (meses)",'Infos Clientes'!$A$2:$V$2,0))=0,R212&gt;=MAX(R:R)),0,
ROUND((MAX(R:R)-R212)/(365/12),0)),"")</f>
        <v>0</v>
      </c>
      <c r="R212" s="111">
        <v>45689</v>
      </c>
      <c r="S212" s="63">
        <v>0.03</v>
      </c>
      <c r="T212" s="113" t="str">
        <f>IF($H212="GIROSSOL II",AP212/INDEX('Resumo Operacional'!$A$1:$P$1103,17,MATCH('Detalhe Por UC'!$R212,'Resumo Operacional'!$A$1:$P$1,0)),
IF($H212="GIROSSOL II e III",AP212/INDEX('Resumo Operacional'!$A$1:$P$1103,17,MATCH('Detalhe Por UC'!$R212,'Resumo Operacional'!$A$1:$P$1,0)),
""))</f>
        <v/>
      </c>
      <c r="U212" s="113">
        <f>IF($H212="GIROSSOL III",AP212/INDEX('Resumo Operacional'!$A$1:$P$1103,53,MATCH('Detalhe Por UC'!$R212,'Resumo Operacional'!$A$1:$P$1,0)),
IF($H212="GIROSSOL II e III",AP212/INDEX('Resumo Operacional'!$A$1:$P$1103,53,MATCH('Detalhe Por UC'!$R212,'Resumo Operacional'!$A$1:$P$1,0)),
""))</f>
        <v>0</v>
      </c>
      <c r="V212" s="18"/>
      <c r="W212" s="54"/>
      <c r="X212" s="131">
        <v>1.1162631578947368</v>
      </c>
      <c r="Y212" s="132">
        <v>0</v>
      </c>
      <c r="Z212" s="133">
        <v>0</v>
      </c>
      <c r="AA212" s="133">
        <v>0</v>
      </c>
      <c r="AB212" s="134">
        <v>570</v>
      </c>
      <c r="AC212" s="134">
        <v>0</v>
      </c>
      <c r="AD212" s="135">
        <v>0</v>
      </c>
      <c r="AE212" s="35"/>
      <c r="AF212" s="135">
        <v>0</v>
      </c>
      <c r="AG212" s="135">
        <v>0</v>
      </c>
      <c r="AH212" s="44">
        <v>52.09</v>
      </c>
      <c r="AI212" s="44">
        <v>0</v>
      </c>
      <c r="AJ212" s="44">
        <v>0</v>
      </c>
      <c r="AK212" s="31"/>
      <c r="AN212" s="71">
        <f t="shared" si="121"/>
        <v>0</v>
      </c>
      <c r="AO212" s="71">
        <f t="shared" si="122"/>
        <v>0</v>
      </c>
      <c r="AP212" s="71">
        <f t="shared" si="123"/>
        <v>0</v>
      </c>
      <c r="AQ212" s="72">
        <f>IF(OR($H212="GIROSSOL II",$H212="GIROSSOL II e III"),INDEX('Resumo Operacional'!$A$1:$P$1103,MATCH("Energia Injetada prevista total Fatura da Usina (TUSD)",'Resumo Operacional'!$B$1:$B$1103,0),MATCH('Detalhe Por UC'!$R212,'Resumo Operacional'!$A$1:$P$1,0))*$S212,INDEX('Resumo Operacional'!$A$1:$P$1103,53,MATCH('Detalhe Por UC'!$R212,'Resumo Operacional'!$A$1:$P$1,0))*$S212)</f>
        <v>433.97999999999996</v>
      </c>
      <c r="AR212" s="71">
        <f t="shared" si="124"/>
        <v>-433.97999999999996</v>
      </c>
      <c r="AS212" s="73">
        <f t="shared" si="125"/>
        <v>688.36</v>
      </c>
      <c r="AT212" s="74">
        <f t="shared" si="126"/>
        <v>688.36</v>
      </c>
      <c r="AU212" s="74" t="str">
        <f t="shared" si="127"/>
        <v/>
      </c>
      <c r="AV212" s="74">
        <f t="shared" si="128"/>
        <v>0</v>
      </c>
      <c r="AW212" s="74">
        <f t="shared" si="129"/>
        <v>0</v>
      </c>
      <c r="AX212" s="74">
        <f t="shared" si="130"/>
        <v>0</v>
      </c>
      <c r="AY212" s="74" t="str">
        <f t="shared" si="131"/>
        <v/>
      </c>
      <c r="BC212" s="73" t="str">
        <f t="shared" si="132"/>
        <v/>
      </c>
      <c r="BD212" s="73">
        <f t="shared" si="133"/>
        <v>688.36</v>
      </c>
      <c r="BE212" s="73">
        <f t="shared" si="134"/>
        <v>688.36</v>
      </c>
      <c r="BF212" s="77">
        <f t="shared" si="135"/>
        <v>0</v>
      </c>
      <c r="BG212" s="77">
        <f t="shared" si="136"/>
        <v>0</v>
      </c>
      <c r="BH212" s="77">
        <f t="shared" si="137"/>
        <v>0</v>
      </c>
      <c r="BI212" s="78" t="str">
        <f t="shared" si="138"/>
        <v/>
      </c>
      <c r="BJ212" s="79">
        <f t="shared" si="139"/>
        <v>0</v>
      </c>
      <c r="BK212" s="80" t="str">
        <f t="shared" si="140"/>
        <v/>
      </c>
      <c r="BL212" s="80" t="str">
        <f t="shared" si="141"/>
        <v/>
      </c>
      <c r="BM212" s="79" t="str">
        <f t="shared" si="142"/>
        <v/>
      </c>
      <c r="BN212" s="81" t="str">
        <f t="shared" si="143"/>
        <v/>
      </c>
      <c r="BO212" s="82" t="str">
        <f t="shared" si="144"/>
        <v/>
      </c>
      <c r="BP212" s="81" t="str">
        <f t="shared" si="145"/>
        <v/>
      </c>
      <c r="BQ212" s="81" t="str">
        <f t="shared" si="146"/>
        <v/>
      </c>
      <c r="BR212" s="81" t="str">
        <f t="shared" si="147"/>
        <v/>
      </c>
      <c r="BS212" s="82">
        <f t="shared" si="148"/>
        <v>0</v>
      </c>
      <c r="BT212" s="82" t="str">
        <f t="shared" si="149"/>
        <v/>
      </c>
      <c r="BU212" s="82">
        <f t="shared" si="150"/>
        <v>0</v>
      </c>
      <c r="BW212" s="82">
        <f>IFERROR(INDEX('Infos Clientes'!$T:$T,MATCH('Detalhe Por UC'!$C212,'Infos Clientes'!B:B,0)),"")</f>
        <v>461.45454545454544</v>
      </c>
      <c r="BX212" s="83">
        <f t="shared" si="151"/>
        <v>0</v>
      </c>
      <c r="BY212" s="84" t="str">
        <f t="shared" si="152"/>
        <v/>
      </c>
      <c r="BZ212" s="85">
        <f>IF(_xlfn.MINIFS('Detalhe Por UC'!R:R,'Detalhe Por UC'!C:C,C212,'Detalhe Por UC'!AD:AD,"&gt;"&amp;0)=0,"",_xlfn.MINIFS('Detalhe Por UC'!R:R,'Detalhe Por UC'!C:C,C212,'Detalhe Por UC'!AD:AD,"&gt;"&amp;0))</f>
        <v>45658</v>
      </c>
      <c r="CA212" s="114">
        <f ca="1">IF(OR(S212&gt;0,AD212&gt;0),IFERROR(
SUMIFS(INDIRECT("'Infos Clientes'!$W"&amp;INDEX('Infos Clientes'!$C:$C,MATCH(C212,'Infos Clientes'!$H:$H,0))&amp;":$CZ"&amp;INDEX('Infos Clientes'!$C:$C,MATCH(C212,'Infos Clientes'!$H:$H,0))),'Infos Clientes'!$W$2:$CZ$2,"&gt;"&amp;$R212-365,'Infos Clientes'!$W$2:$CZ$2,"&lt;="&amp;$R212)/
COUNTIFS(INDIRECT("'Infos Clientes'!$W"&amp;INDEX('Infos Clientes'!$C:$C,MATCH(C212,'Infos Clientes'!$H:$H,0))&amp;":$CZ"&amp;INDEX('Infos Clientes'!$C:$C,MATCH(C212,'Infos Clientes'!$H:$H,0))),"&gt;="&amp;0,'Infos Clientes'!$W$2:$CZ$2,"&gt;"&amp;$R212-365,'Infos Clientes'!$W$2:$CZ$2,"&lt;="&amp;$R212),""),"")</f>
        <v>425.58333333333331</v>
      </c>
      <c r="CB212" s="87">
        <f>VLOOKUP(C212,'Infos Clientes'!B:L,11,0)</f>
        <v>0</v>
      </c>
      <c r="CC212" s="88" t="str">
        <f t="shared" si="153"/>
        <v>A Unidade Consumidora 10/81222-2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2" s="40" t="s">
        <v>233</v>
      </c>
      <c r="CF212" s="115">
        <f t="shared" si="154"/>
        <v>-688.36</v>
      </c>
    </row>
    <row r="213" spans="1:84" ht="16.2" hidden="1" customHeight="1" x14ac:dyDescent="0.3">
      <c r="A213" s="105" t="str">
        <f>INDEX('Infos Clientes'!$D:$D,MATCH('Detalhe Por UC'!C213,'Infos Clientes'!B:B,0))</f>
        <v>IGREJA DO EVANGELHO QUADRANGULAR</v>
      </c>
      <c r="B213" s="106" t="str">
        <f>INDEX('Infos Clientes'!$F:$F,MATCH('Detalhe Por UC'!C213,'Infos Clientes'!B:B,0))</f>
        <v>62.955.505/0161-60</v>
      </c>
      <c r="C213" s="31" t="s">
        <v>163</v>
      </c>
      <c r="D213" t="s">
        <v>351</v>
      </c>
      <c r="E213" s="1" t="s">
        <v>352</v>
      </c>
      <c r="F213" s="56" t="str">
        <f>INDEX('Infos Clientes'!$I:$I,MATCH('Detalhe Por UC'!C213,'Infos Clientes'!B:B,0))</f>
        <v>BT</v>
      </c>
      <c r="G213" s="56" t="str">
        <f>INDEX('Infos Clientes'!$J:$J,MATCH('Detalhe Por UC'!C213,'Infos Clientes'!B:B,0))</f>
        <v>trifasico</v>
      </c>
      <c r="H213" s="108" t="s">
        <v>138</v>
      </c>
      <c r="I213" s="58">
        <f>IFERROR(VLOOKUP(C213,'Infos Clientes'!B:E,4,),"")</f>
        <v>302</v>
      </c>
      <c r="J213" s="109">
        <v>0.25</v>
      </c>
      <c r="K213" s="59">
        <f>INDEX('Infos Clientes'!$M:$M,MATCH('Detalhe Por UC'!C213,'Infos Clientes'!B:B,0))</f>
        <v>0.25</v>
      </c>
      <c r="L213" s="125">
        <v>0</v>
      </c>
      <c r="M213" s="56">
        <f>INDEX('Infos Clientes'!$N:$N,MATCH('Detalhe Por UC'!C213,'Infos Clientes'!B:B,0))</f>
        <v>0</v>
      </c>
      <c r="N213" s="56">
        <f t="shared" si="118"/>
        <v>0</v>
      </c>
      <c r="O213" s="56">
        <f t="shared" si="119"/>
        <v>9</v>
      </c>
      <c r="P213" s="56">
        <f t="shared" si="120"/>
        <v>0</v>
      </c>
      <c r="Q213" s="61">
        <f>IFERROR(IFERROR(INDEX('Infos Clientes'!$A$2:$V$9884,MATCH($C213,'Infos Clientes'!$B$2:$B$9884,0),MATCH(Q$8,'Infos Clientes'!$A$2:$V$2,0)),"")
+IF(OR(INDEX('Infos Clientes'!$A$2:$V$9884,MATCH($C213,'Infos Clientes'!$B$2:$B$9884,0),MATCH("Tempo de Fidelidade (meses)",'Infos Clientes'!$A$2:$V$2,0))=0,R213&gt;=MAX(R:R)),0,
ROUND((MAX(R:R)-R213)/(365/12),0)),"")</f>
        <v>0</v>
      </c>
      <c r="R213" s="111">
        <v>45689</v>
      </c>
      <c r="S213" s="63">
        <v>0.02</v>
      </c>
      <c r="T213" s="113" t="str">
        <f>IF($H213="GIROSSOL II",AP213/INDEX('Resumo Operacional'!$A$1:$P$1103,17,MATCH('Detalhe Por UC'!$R213,'Resumo Operacional'!$A$1:$P$1,0)),
IF($H213="GIROSSOL II e III",AP213/INDEX('Resumo Operacional'!$A$1:$P$1103,17,MATCH('Detalhe Por UC'!$R213,'Resumo Operacional'!$A$1:$P$1,0)),
""))</f>
        <v/>
      </c>
      <c r="U213" s="113">
        <f>IF($H213="GIROSSOL III",AP213/INDEX('Resumo Operacional'!$A$1:$P$1103,53,MATCH('Detalhe Por UC'!$R213,'Resumo Operacional'!$A$1:$P$1,0)),
IF($H213="GIROSSOL II e III",AP213/INDEX('Resumo Operacional'!$A$1:$P$1103,53,MATCH('Detalhe Por UC'!$R213,'Resumo Operacional'!$A$1:$P$1,0)),
""))</f>
        <v>0</v>
      </c>
      <c r="V213" s="18"/>
      <c r="W213" s="54"/>
      <c r="X213" s="131">
        <v>1.1162524654832349</v>
      </c>
      <c r="Y213" s="132">
        <v>0</v>
      </c>
      <c r="Z213" s="133">
        <v>0</v>
      </c>
      <c r="AA213" s="133">
        <v>0</v>
      </c>
      <c r="AB213" s="134">
        <v>507</v>
      </c>
      <c r="AC213" s="134">
        <v>0</v>
      </c>
      <c r="AD213" s="135">
        <v>0</v>
      </c>
      <c r="AE213" s="35"/>
      <c r="AF213" s="135">
        <v>0</v>
      </c>
      <c r="AG213" s="135">
        <v>0</v>
      </c>
      <c r="AH213" s="44">
        <v>112.59</v>
      </c>
      <c r="AI213" s="44">
        <v>0</v>
      </c>
      <c r="AJ213" s="44">
        <v>0</v>
      </c>
      <c r="AK213" s="31"/>
      <c r="AN213" s="71">
        <f t="shared" si="121"/>
        <v>0</v>
      </c>
      <c r="AO213" s="71">
        <f t="shared" si="122"/>
        <v>0</v>
      </c>
      <c r="AP213" s="71">
        <f t="shared" si="123"/>
        <v>0</v>
      </c>
      <c r="AQ213" s="72">
        <f>IF(OR($H213="GIROSSOL II",$H213="GIROSSOL II e III"),INDEX('Resumo Operacional'!$A$1:$P$1103,MATCH("Energia Injetada prevista total Fatura da Usina (TUSD)",'Resumo Operacional'!$B$1:$B$1103,0),MATCH('Detalhe Por UC'!$R213,'Resumo Operacional'!$A$1:$P$1,0))*$S213,INDEX('Resumo Operacional'!$A$1:$P$1103,53,MATCH('Detalhe Por UC'!$R213,'Resumo Operacional'!$A$1:$P$1,0))*$S213)</f>
        <v>289.32</v>
      </c>
      <c r="AR213" s="71">
        <f t="shared" si="124"/>
        <v>-289.32</v>
      </c>
      <c r="AS213" s="73">
        <f t="shared" si="125"/>
        <v>678.53000000000009</v>
      </c>
      <c r="AT213" s="74">
        <f t="shared" si="126"/>
        <v>678.53000000000009</v>
      </c>
      <c r="AU213" s="74" t="str">
        <f t="shared" si="127"/>
        <v/>
      </c>
      <c r="AV213" s="74">
        <f t="shared" si="128"/>
        <v>0</v>
      </c>
      <c r="AW213" s="74">
        <f t="shared" si="129"/>
        <v>0</v>
      </c>
      <c r="AX213" s="74">
        <f t="shared" si="130"/>
        <v>0</v>
      </c>
      <c r="AY213" s="74" t="str">
        <f t="shared" si="131"/>
        <v/>
      </c>
      <c r="BC213" s="73" t="str">
        <f t="shared" si="132"/>
        <v/>
      </c>
      <c r="BD213" s="73">
        <f t="shared" si="133"/>
        <v>678.53000000000009</v>
      </c>
      <c r="BE213" s="73">
        <f t="shared" si="134"/>
        <v>678.53000000000009</v>
      </c>
      <c r="BF213" s="77">
        <f t="shared" si="135"/>
        <v>0</v>
      </c>
      <c r="BG213" s="77">
        <f t="shared" si="136"/>
        <v>0</v>
      </c>
      <c r="BH213" s="77">
        <f t="shared" si="137"/>
        <v>0</v>
      </c>
      <c r="BI213" s="78" t="str">
        <f t="shared" si="138"/>
        <v/>
      </c>
      <c r="BJ213" s="79">
        <f t="shared" si="139"/>
        <v>0</v>
      </c>
      <c r="BK213" s="80" t="str">
        <f t="shared" si="140"/>
        <v/>
      </c>
      <c r="BL213" s="80" t="str">
        <f t="shared" si="141"/>
        <v/>
      </c>
      <c r="BM213" s="79" t="str">
        <f t="shared" si="142"/>
        <v/>
      </c>
      <c r="BN213" s="81" t="str">
        <f t="shared" si="143"/>
        <v/>
      </c>
      <c r="BO213" s="82" t="str">
        <f t="shared" si="144"/>
        <v/>
      </c>
      <c r="BP213" s="81" t="str">
        <f t="shared" si="145"/>
        <v/>
      </c>
      <c r="BQ213" s="81" t="str">
        <f t="shared" si="146"/>
        <v/>
      </c>
      <c r="BR213" s="81" t="str">
        <f t="shared" si="147"/>
        <v/>
      </c>
      <c r="BS213" s="82">
        <f t="shared" si="148"/>
        <v>0</v>
      </c>
      <c r="BT213" s="82" t="str">
        <f t="shared" si="149"/>
        <v/>
      </c>
      <c r="BU213" s="82">
        <f t="shared" si="150"/>
        <v>0</v>
      </c>
      <c r="BW213" s="82">
        <f>IFERROR(INDEX('Infos Clientes'!$T:$T,MATCH('Detalhe Por UC'!$C213,'Infos Clientes'!B:B,0)),"")</f>
        <v>393</v>
      </c>
      <c r="BX213" s="83">
        <f t="shared" si="151"/>
        <v>0</v>
      </c>
      <c r="BY213" s="84" t="str">
        <f t="shared" si="152"/>
        <v/>
      </c>
      <c r="BZ213" s="85">
        <f>IF(_xlfn.MINIFS('Detalhe Por UC'!R:R,'Detalhe Por UC'!C:C,C213,'Detalhe Por UC'!AD:AD,"&gt;"&amp;0)=0,"",_xlfn.MINIFS('Detalhe Por UC'!R:R,'Detalhe Por UC'!C:C,C213,'Detalhe Por UC'!AD:AD,"&gt;"&amp;0))</f>
        <v>45658</v>
      </c>
      <c r="CA213" s="114">
        <f ca="1">IF(OR(S213&gt;0,AD213&gt;0),IFERROR(
SUMIFS(INDIRECT("'Infos Clientes'!$W"&amp;INDEX('Infos Clientes'!$C:$C,MATCH(C213,'Infos Clientes'!$H:$H,0))&amp;":$CZ"&amp;INDEX('Infos Clientes'!$C:$C,MATCH(C213,'Infos Clientes'!$H:$H,0))),'Infos Clientes'!$W$2:$CZ$2,"&gt;"&amp;$R213-365,'Infos Clientes'!$W$2:$CZ$2,"&lt;="&amp;$R213)/
COUNTIFS(INDIRECT("'Infos Clientes'!$W"&amp;INDEX('Infos Clientes'!$C:$C,MATCH(C213,'Infos Clientes'!$H:$H,0))&amp;":$CZ"&amp;INDEX('Infos Clientes'!$C:$C,MATCH(C213,'Infos Clientes'!$H:$H,0))),"&gt;="&amp;0,'Infos Clientes'!$W$2:$CZ$2,"&gt;"&amp;$R213-365,'Infos Clientes'!$W$2:$CZ$2,"&lt;="&amp;$R213),""),"")</f>
        <v>220.75</v>
      </c>
      <c r="CB213" s="87">
        <f>VLOOKUP(C213,'Infos Clientes'!B:L,11,0)</f>
        <v>0</v>
      </c>
      <c r="CC213" s="88" t="str">
        <f t="shared" si="153"/>
        <v>A Unidade Consumidora 10/1674177-9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3" s="40" t="s">
        <v>165</v>
      </c>
      <c r="CF213" s="115">
        <f t="shared" si="154"/>
        <v>-678.53000000000009</v>
      </c>
    </row>
    <row r="214" spans="1:84" ht="16.2" hidden="1" customHeight="1" x14ac:dyDescent="0.3">
      <c r="A214" s="105" t="str">
        <f>INDEX('Infos Clientes'!$D:$D,MATCH('Detalhe Por UC'!C214,'Infos Clientes'!B:B,0))</f>
        <v>IGREJA DO EVANGELHO QUADRANGULAR</v>
      </c>
      <c r="B214" s="106" t="str">
        <f>INDEX('Infos Clientes'!$F:$F,MATCH('Detalhe Por UC'!C214,'Infos Clientes'!B:B,0))</f>
        <v>62.955.505/1364-92</v>
      </c>
      <c r="C214" s="31" t="s">
        <v>223</v>
      </c>
      <c r="D214" t="s">
        <v>351</v>
      </c>
      <c r="E214" s="1" t="s">
        <v>352</v>
      </c>
      <c r="F214" s="56" t="str">
        <f>INDEX('Infos Clientes'!$I:$I,MATCH('Detalhe Por UC'!C214,'Infos Clientes'!B:B,0))</f>
        <v>BT</v>
      </c>
      <c r="G214" s="56" t="str">
        <f>INDEX('Infos Clientes'!$J:$J,MATCH('Detalhe Por UC'!C214,'Infos Clientes'!B:B,0))</f>
        <v>trifasico</v>
      </c>
      <c r="H214" s="108" t="s">
        <v>138</v>
      </c>
      <c r="I214" s="58">
        <f>IFERROR(VLOOKUP(C214,'Infos Clientes'!B:E,4,),"")</f>
        <v>319</v>
      </c>
      <c r="J214" s="109">
        <v>0.25</v>
      </c>
      <c r="K214" s="59">
        <f>INDEX('Infos Clientes'!$M:$M,MATCH('Detalhe Por UC'!C214,'Infos Clientes'!B:B,0))</f>
        <v>0.25</v>
      </c>
      <c r="L214" s="125">
        <v>0</v>
      </c>
      <c r="M214" s="56">
        <f>INDEX('Infos Clientes'!$N:$N,MATCH('Detalhe Por UC'!C214,'Infos Clientes'!B:B,0))</f>
        <v>0</v>
      </c>
      <c r="N214" s="56">
        <f t="shared" si="118"/>
        <v>0</v>
      </c>
      <c r="O214" s="56">
        <f t="shared" si="119"/>
        <v>9</v>
      </c>
      <c r="P214" s="56">
        <f t="shared" si="120"/>
        <v>0</v>
      </c>
      <c r="Q214" s="61">
        <f>IFERROR(IFERROR(INDEX('Infos Clientes'!$A$2:$V$9884,MATCH($C214,'Infos Clientes'!$B$2:$B$9884,0),MATCH(Q$8,'Infos Clientes'!$A$2:$V$2,0)),"")
+IF(OR(INDEX('Infos Clientes'!$A$2:$V$9884,MATCH($C214,'Infos Clientes'!$B$2:$B$9884,0),MATCH("Tempo de Fidelidade (meses)",'Infos Clientes'!$A$2:$V$2,0))=0,R214&gt;=MAX(R:R)),0,
ROUND((MAX(R:R)-R214)/(365/12),0)),"")</f>
        <v>0</v>
      </c>
      <c r="R214" s="111">
        <v>45689</v>
      </c>
      <c r="S214" s="63">
        <v>0.03</v>
      </c>
      <c r="T214" s="113" t="str">
        <f>IF($H214="GIROSSOL II",AP214/INDEX('Resumo Operacional'!$A$1:$P$1103,17,MATCH('Detalhe Por UC'!$R214,'Resumo Operacional'!$A$1:$P$1,0)),
IF($H214="GIROSSOL II e III",AP214/INDEX('Resumo Operacional'!$A$1:$P$1103,17,MATCH('Detalhe Por UC'!$R214,'Resumo Operacional'!$A$1:$P$1,0)),
""))</f>
        <v/>
      </c>
      <c r="U214" s="113">
        <f>IF($H214="GIROSSOL III",AP214/INDEX('Resumo Operacional'!$A$1:$P$1103,53,MATCH('Detalhe Por UC'!$R214,'Resumo Operacional'!$A$1:$P$1,0)),
IF($H214="GIROSSOL II e III",AP214/INDEX('Resumo Operacional'!$A$1:$P$1103,53,MATCH('Detalhe Por UC'!$R214,'Resumo Operacional'!$A$1:$P$1,0)),
""))</f>
        <v>0</v>
      </c>
      <c r="V214" s="18"/>
      <c r="W214" s="54"/>
      <c r="X214" s="131">
        <v>1.1162612612612612</v>
      </c>
      <c r="Y214" s="132">
        <v>0</v>
      </c>
      <c r="Z214" s="133">
        <v>0</v>
      </c>
      <c r="AA214" s="133">
        <v>0</v>
      </c>
      <c r="AB214" s="134">
        <v>444</v>
      </c>
      <c r="AC214" s="134">
        <v>0</v>
      </c>
      <c r="AD214" s="135">
        <v>0</v>
      </c>
      <c r="AE214" s="35"/>
      <c r="AF214" s="135">
        <v>0</v>
      </c>
      <c r="AG214" s="135">
        <v>0</v>
      </c>
      <c r="AH214" s="44">
        <v>75.73</v>
      </c>
      <c r="AI214" s="44">
        <v>0</v>
      </c>
      <c r="AJ214" s="44">
        <v>0</v>
      </c>
      <c r="AK214" s="31"/>
      <c r="AN214" s="71">
        <f t="shared" si="121"/>
        <v>0</v>
      </c>
      <c r="AO214" s="71">
        <f t="shared" si="122"/>
        <v>0</v>
      </c>
      <c r="AP214" s="71">
        <f t="shared" si="123"/>
        <v>0</v>
      </c>
      <c r="AQ214" s="72">
        <f>IF(OR($H214="GIROSSOL II",$H214="GIROSSOL II e III"),INDEX('Resumo Operacional'!$A$1:$P$1103,MATCH("Energia Injetada prevista total Fatura da Usina (TUSD)",'Resumo Operacional'!$B$1:$B$1103,0),MATCH('Detalhe Por UC'!$R214,'Resumo Operacional'!$A$1:$P$1,0))*$S214,INDEX('Resumo Operacional'!$A$1:$P$1103,53,MATCH('Detalhe Por UC'!$R214,'Resumo Operacional'!$A$1:$P$1,0))*$S214)</f>
        <v>433.97999999999996</v>
      </c>
      <c r="AR214" s="71">
        <f t="shared" si="124"/>
        <v>-433.97999999999996</v>
      </c>
      <c r="AS214" s="73">
        <f t="shared" si="125"/>
        <v>571.35</v>
      </c>
      <c r="AT214" s="74">
        <f t="shared" si="126"/>
        <v>571.35</v>
      </c>
      <c r="AU214" s="74" t="str">
        <f t="shared" si="127"/>
        <v/>
      </c>
      <c r="AV214" s="74">
        <f t="shared" si="128"/>
        <v>0</v>
      </c>
      <c r="AW214" s="74">
        <f t="shared" si="129"/>
        <v>0</v>
      </c>
      <c r="AX214" s="74">
        <f t="shared" si="130"/>
        <v>0</v>
      </c>
      <c r="AY214" s="74" t="str">
        <f t="shared" si="131"/>
        <v/>
      </c>
      <c r="BC214" s="73" t="str">
        <f t="shared" si="132"/>
        <v/>
      </c>
      <c r="BD214" s="73">
        <f t="shared" si="133"/>
        <v>571.35</v>
      </c>
      <c r="BE214" s="73">
        <f t="shared" si="134"/>
        <v>571.35</v>
      </c>
      <c r="BF214" s="77">
        <f t="shared" si="135"/>
        <v>0</v>
      </c>
      <c r="BG214" s="77">
        <f t="shared" si="136"/>
        <v>0</v>
      </c>
      <c r="BH214" s="77">
        <f t="shared" si="137"/>
        <v>0</v>
      </c>
      <c r="BI214" s="78" t="str">
        <f t="shared" si="138"/>
        <v/>
      </c>
      <c r="BJ214" s="79">
        <f t="shared" si="139"/>
        <v>0</v>
      </c>
      <c r="BK214" s="80" t="str">
        <f t="shared" si="140"/>
        <v/>
      </c>
      <c r="BL214" s="80" t="str">
        <f t="shared" si="141"/>
        <v/>
      </c>
      <c r="BM214" s="79" t="str">
        <f t="shared" si="142"/>
        <v/>
      </c>
      <c r="BN214" s="81" t="str">
        <f t="shared" si="143"/>
        <v/>
      </c>
      <c r="BO214" s="82" t="str">
        <f t="shared" si="144"/>
        <v/>
      </c>
      <c r="BP214" s="81" t="str">
        <f t="shared" si="145"/>
        <v/>
      </c>
      <c r="BQ214" s="81" t="str">
        <f t="shared" si="146"/>
        <v/>
      </c>
      <c r="BR214" s="81" t="str">
        <f t="shared" si="147"/>
        <v/>
      </c>
      <c r="BS214" s="82">
        <f t="shared" si="148"/>
        <v>0</v>
      </c>
      <c r="BT214" s="82" t="str">
        <f t="shared" si="149"/>
        <v/>
      </c>
      <c r="BU214" s="82">
        <f t="shared" si="150"/>
        <v>0</v>
      </c>
      <c r="BW214" s="82">
        <f>IFERROR(INDEX('Infos Clientes'!$T:$T,MATCH('Detalhe Por UC'!$C214,'Infos Clientes'!B:B,0)),"")</f>
        <v>315</v>
      </c>
      <c r="BX214" s="83">
        <f t="shared" si="151"/>
        <v>0</v>
      </c>
      <c r="BY214" s="84" t="str">
        <f t="shared" si="152"/>
        <v/>
      </c>
      <c r="BZ214" s="85">
        <f>IF(_xlfn.MINIFS('Detalhe Por UC'!R:R,'Detalhe Por UC'!C:C,C214,'Detalhe Por UC'!AD:AD,"&gt;"&amp;0)=0,"",_xlfn.MINIFS('Detalhe Por UC'!R:R,'Detalhe Por UC'!C:C,C214,'Detalhe Por UC'!AD:AD,"&gt;"&amp;0))</f>
        <v>45658</v>
      </c>
      <c r="CA214" s="114">
        <f ca="1">IF(OR(S214&gt;0,AD214&gt;0),IFERROR(
SUMIFS(INDIRECT("'Infos Clientes'!$W"&amp;INDEX('Infos Clientes'!$C:$C,MATCH(C214,'Infos Clientes'!$H:$H,0))&amp;":$CZ"&amp;INDEX('Infos Clientes'!$C:$C,MATCH(C214,'Infos Clientes'!$H:$H,0))),'Infos Clientes'!$W$2:$CZ$2,"&gt;"&amp;$R214-365,'Infos Clientes'!$W$2:$CZ$2,"&lt;="&amp;$R214)/
COUNTIFS(INDIRECT("'Infos Clientes'!$W"&amp;INDEX('Infos Clientes'!$C:$C,MATCH(C214,'Infos Clientes'!$H:$H,0))&amp;":$CZ"&amp;INDEX('Infos Clientes'!$C:$C,MATCH(C214,'Infos Clientes'!$H:$H,0))),"&gt;="&amp;0,'Infos Clientes'!$W$2:$CZ$2,"&gt;"&amp;$R214-365,'Infos Clientes'!$W$2:$CZ$2,"&lt;="&amp;$R214),""),"")</f>
        <v>292.58333333333331</v>
      </c>
      <c r="CB214" s="87">
        <f>VLOOKUP(C214,'Infos Clientes'!B:L,11,0)</f>
        <v>0</v>
      </c>
      <c r="CC214" s="88" t="str">
        <f t="shared" si="153"/>
        <v>A Unidade Consumidora 10/72605-9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4" s="40" t="s">
        <v>143</v>
      </c>
      <c r="CF214" s="115">
        <f t="shared" si="154"/>
        <v>-571.35</v>
      </c>
    </row>
    <row r="215" spans="1:84" ht="16.2" hidden="1" customHeight="1" x14ac:dyDescent="0.3">
      <c r="A215" s="105" t="str">
        <f>INDEX('Infos Clientes'!$D:$D,MATCH('Detalhe Por UC'!C215,'Infos Clientes'!B:B,0))</f>
        <v>IGREJA DO EVANGELHO QUADRANGULAR</v>
      </c>
      <c r="B215" s="106" t="str">
        <f>INDEX('Infos Clientes'!$F:$F,MATCH('Detalhe Por UC'!C215,'Infos Clientes'!B:B,0))</f>
        <v>62.955.505/1775-04</v>
      </c>
      <c r="C215" s="31" t="s">
        <v>199</v>
      </c>
      <c r="D215" t="s">
        <v>351</v>
      </c>
      <c r="E215" s="1" t="s">
        <v>352</v>
      </c>
      <c r="F215" s="56" t="str">
        <f>INDEX('Infos Clientes'!$I:$I,MATCH('Detalhe Por UC'!C215,'Infos Clientes'!B:B,0))</f>
        <v>BT</v>
      </c>
      <c r="G215" s="56" t="str">
        <f>INDEX('Infos Clientes'!$J:$J,MATCH('Detalhe Por UC'!C215,'Infos Clientes'!B:B,0))</f>
        <v>bifasico</v>
      </c>
      <c r="H215" s="108" t="s">
        <v>138</v>
      </c>
      <c r="I215" s="58">
        <f>IFERROR(VLOOKUP(C215,'Infos Clientes'!B:E,4,),"")</f>
        <v>319</v>
      </c>
      <c r="J215" s="109">
        <v>0.25</v>
      </c>
      <c r="K215" s="59">
        <f>INDEX('Infos Clientes'!$M:$M,MATCH('Detalhe Por UC'!C215,'Infos Clientes'!B:B,0))</f>
        <v>0.25</v>
      </c>
      <c r="L215" s="125">
        <v>0</v>
      </c>
      <c r="M215" s="56">
        <f>INDEX('Infos Clientes'!$N:$N,MATCH('Detalhe Por UC'!C215,'Infos Clientes'!B:B,0))</f>
        <v>0</v>
      </c>
      <c r="N215" s="56">
        <f t="shared" si="118"/>
        <v>0</v>
      </c>
      <c r="O215" s="56">
        <f t="shared" si="119"/>
        <v>5</v>
      </c>
      <c r="P215" s="56">
        <f t="shared" si="120"/>
        <v>0</v>
      </c>
      <c r="Q215" s="61">
        <f>IFERROR(IFERROR(INDEX('Infos Clientes'!$A$2:$V$9884,MATCH($C215,'Infos Clientes'!$B$2:$B$9884,0),MATCH(Q$8,'Infos Clientes'!$A$2:$V$2,0)),"")
+IF(OR(INDEX('Infos Clientes'!$A$2:$V$9884,MATCH($C215,'Infos Clientes'!$B$2:$B$9884,0),MATCH("Tempo de Fidelidade (meses)",'Infos Clientes'!$A$2:$V$2,0))=0,R215&gt;=MAX(R:R)),0,
ROUND((MAX(R:R)-R215)/(365/12),0)),"")</f>
        <v>0</v>
      </c>
      <c r="R215" s="111">
        <v>45689</v>
      </c>
      <c r="S215" s="63">
        <v>0.02</v>
      </c>
      <c r="T215" s="113" t="str">
        <f>IF($H215="GIROSSOL II",AP215/INDEX('Resumo Operacional'!$A$1:$P$1103,17,MATCH('Detalhe Por UC'!$R215,'Resumo Operacional'!$A$1:$P$1,0)),
IF($H215="GIROSSOL II e III",AP215/INDEX('Resumo Operacional'!$A$1:$P$1103,17,MATCH('Detalhe Por UC'!$R215,'Resumo Operacional'!$A$1:$P$1,0)),
""))</f>
        <v/>
      </c>
      <c r="U215" s="113">
        <f>IF($H215="GIROSSOL III",AP215/INDEX('Resumo Operacional'!$A$1:$P$1103,53,MATCH('Detalhe Por UC'!$R215,'Resumo Operacional'!$A$1:$P$1,0)),
IF($H215="GIROSSOL II e III",AP215/INDEX('Resumo Operacional'!$A$1:$P$1103,53,MATCH('Detalhe Por UC'!$R215,'Resumo Operacional'!$A$1:$P$1,0)),
""))</f>
        <v>0</v>
      </c>
      <c r="V215" s="18"/>
      <c r="W215" s="54"/>
      <c r="X215" s="131">
        <v>1.1162536873156343</v>
      </c>
      <c r="Y215" s="132">
        <v>0</v>
      </c>
      <c r="Z215" s="133">
        <v>0</v>
      </c>
      <c r="AA215" s="133">
        <v>0</v>
      </c>
      <c r="AB215" s="134">
        <v>339</v>
      </c>
      <c r="AC215" s="134">
        <v>0</v>
      </c>
      <c r="AD215" s="135">
        <v>0</v>
      </c>
      <c r="AE215" s="35"/>
      <c r="AF215" s="135">
        <v>0</v>
      </c>
      <c r="AG215" s="135">
        <v>0</v>
      </c>
      <c r="AH215" s="44">
        <v>68.67</v>
      </c>
      <c r="AI215" s="44">
        <v>0</v>
      </c>
      <c r="AJ215" s="44">
        <v>0</v>
      </c>
      <c r="AK215" s="31"/>
      <c r="AN215" s="71">
        <f t="shared" si="121"/>
        <v>0</v>
      </c>
      <c r="AO215" s="71">
        <f t="shared" si="122"/>
        <v>0</v>
      </c>
      <c r="AP215" s="71">
        <f t="shared" si="123"/>
        <v>0</v>
      </c>
      <c r="AQ215" s="72">
        <f>IF(OR($H215="GIROSSOL II",$H215="GIROSSOL II e III"),INDEX('Resumo Operacional'!$A$1:$P$1103,MATCH("Energia Injetada prevista total Fatura da Usina (TUSD)",'Resumo Operacional'!$B$1:$B$1103,0),MATCH('Detalhe Por UC'!$R215,'Resumo Operacional'!$A$1:$P$1,0))*$S215,INDEX('Resumo Operacional'!$A$1:$P$1103,53,MATCH('Detalhe Por UC'!$R215,'Resumo Operacional'!$A$1:$P$1,0))*$S215)</f>
        <v>289.32</v>
      </c>
      <c r="AR215" s="71">
        <f t="shared" si="124"/>
        <v>-289.32</v>
      </c>
      <c r="AS215" s="73">
        <f t="shared" si="125"/>
        <v>447.08000000000004</v>
      </c>
      <c r="AT215" s="74">
        <f t="shared" si="126"/>
        <v>447.08000000000004</v>
      </c>
      <c r="AU215" s="74" t="str">
        <f t="shared" si="127"/>
        <v/>
      </c>
      <c r="AV215" s="74">
        <f t="shared" si="128"/>
        <v>0</v>
      </c>
      <c r="AW215" s="74">
        <f t="shared" si="129"/>
        <v>0</v>
      </c>
      <c r="AX215" s="74">
        <f t="shared" si="130"/>
        <v>0</v>
      </c>
      <c r="AY215" s="74" t="str">
        <f t="shared" si="131"/>
        <v/>
      </c>
      <c r="BC215" s="73" t="str">
        <f t="shared" si="132"/>
        <v/>
      </c>
      <c r="BD215" s="73">
        <f t="shared" si="133"/>
        <v>447.08000000000004</v>
      </c>
      <c r="BE215" s="73">
        <f t="shared" si="134"/>
        <v>447.08000000000004</v>
      </c>
      <c r="BF215" s="77">
        <f t="shared" si="135"/>
        <v>0</v>
      </c>
      <c r="BG215" s="77">
        <f t="shared" si="136"/>
        <v>0</v>
      </c>
      <c r="BH215" s="77">
        <f t="shared" si="137"/>
        <v>0</v>
      </c>
      <c r="BI215" s="78" t="str">
        <f t="shared" si="138"/>
        <v/>
      </c>
      <c r="BJ215" s="79">
        <f t="shared" si="139"/>
        <v>0</v>
      </c>
      <c r="BK215" s="80" t="str">
        <f t="shared" si="140"/>
        <v/>
      </c>
      <c r="BL215" s="80" t="str">
        <f t="shared" si="141"/>
        <v/>
      </c>
      <c r="BM215" s="79" t="str">
        <f t="shared" si="142"/>
        <v/>
      </c>
      <c r="BN215" s="81" t="str">
        <f t="shared" si="143"/>
        <v/>
      </c>
      <c r="BO215" s="82" t="str">
        <f t="shared" si="144"/>
        <v/>
      </c>
      <c r="BP215" s="81" t="str">
        <f t="shared" si="145"/>
        <v/>
      </c>
      <c r="BQ215" s="81" t="str">
        <f t="shared" si="146"/>
        <v/>
      </c>
      <c r="BR215" s="81" t="str">
        <f t="shared" si="147"/>
        <v/>
      </c>
      <c r="BS215" s="82">
        <f t="shared" si="148"/>
        <v>0</v>
      </c>
      <c r="BT215" s="82" t="str">
        <f t="shared" si="149"/>
        <v/>
      </c>
      <c r="BU215" s="82">
        <f t="shared" si="150"/>
        <v>0</v>
      </c>
      <c r="BW215" s="82">
        <f>IFERROR(INDEX('Infos Clientes'!$T:$T,MATCH('Detalhe Por UC'!$C215,'Infos Clientes'!B:B,0)),"")</f>
        <v>336.36363636363637</v>
      </c>
      <c r="BX215" s="83">
        <f t="shared" si="151"/>
        <v>0</v>
      </c>
      <c r="BY215" s="84" t="str">
        <f t="shared" si="152"/>
        <v/>
      </c>
      <c r="BZ215" s="85">
        <f>IF(_xlfn.MINIFS('Detalhe Por UC'!R:R,'Detalhe Por UC'!C:C,C215,'Detalhe Por UC'!AD:AD,"&gt;"&amp;0)=0,"",_xlfn.MINIFS('Detalhe Por UC'!R:R,'Detalhe Por UC'!C:C,C215,'Detalhe Por UC'!AD:AD,"&gt;"&amp;0))</f>
        <v>45658</v>
      </c>
      <c r="CA215" s="114">
        <f ca="1">IF(OR(S215&gt;0,AD215&gt;0),IFERROR(
SUMIFS(INDIRECT("'Infos Clientes'!$W"&amp;INDEX('Infos Clientes'!$C:$C,MATCH(C215,'Infos Clientes'!$H:$H,0))&amp;":$CZ"&amp;INDEX('Infos Clientes'!$C:$C,MATCH(C215,'Infos Clientes'!$H:$H,0))),'Infos Clientes'!$W$2:$CZ$2,"&gt;"&amp;$R215-365,'Infos Clientes'!$W$2:$CZ$2,"&lt;="&amp;$R215)/
COUNTIFS(INDIRECT("'Infos Clientes'!$W"&amp;INDEX('Infos Clientes'!$C:$C,MATCH(C215,'Infos Clientes'!$H:$H,0))&amp;":$CZ"&amp;INDEX('Infos Clientes'!$C:$C,MATCH(C215,'Infos Clientes'!$H:$H,0))),"&gt;="&amp;0,'Infos Clientes'!$W$2:$CZ$2,"&gt;"&amp;$R215-365,'Infos Clientes'!$W$2:$CZ$2,"&lt;="&amp;$R215),""),"")</f>
        <v>306.91666666666669</v>
      </c>
      <c r="CB215" s="87">
        <f>VLOOKUP(C215,'Infos Clientes'!B:L,11,0)</f>
        <v>0</v>
      </c>
      <c r="CC215" s="88" t="str">
        <f t="shared" si="153"/>
        <v>A Unidade Consumidora 10/40190-1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5" s="40" t="s">
        <v>143</v>
      </c>
      <c r="CF215" s="115">
        <f t="shared" si="154"/>
        <v>-447.08000000000004</v>
      </c>
    </row>
    <row r="216" spans="1:84" ht="16.2" hidden="1" customHeight="1" x14ac:dyDescent="0.3">
      <c r="A216" s="105" t="str">
        <f>INDEX('Infos Clientes'!$D:$D,MATCH('Detalhe Por UC'!C216,'Infos Clientes'!B:B,0))</f>
        <v>IGREJA DO EVANGELHO QUADRANGULAR</v>
      </c>
      <c r="B216" s="106" t="str">
        <f>INDEX('Infos Clientes'!$F:$F,MATCH('Detalhe Por UC'!C216,'Infos Clientes'!B:B,0))</f>
        <v>62.955.505/3793-95</v>
      </c>
      <c r="C216" s="31" t="s">
        <v>146</v>
      </c>
      <c r="D216" t="s">
        <v>351</v>
      </c>
      <c r="E216" s="1" t="s">
        <v>352</v>
      </c>
      <c r="F216" s="56" t="str">
        <f>INDEX('Infos Clientes'!$I:$I,MATCH('Detalhe Por UC'!C216,'Infos Clientes'!B:B,0))</f>
        <v>BT</v>
      </c>
      <c r="G216" s="56" t="str">
        <f>INDEX('Infos Clientes'!$J:$J,MATCH('Detalhe Por UC'!C216,'Infos Clientes'!B:B,0))</f>
        <v>trifasico</v>
      </c>
      <c r="H216" s="108" t="s">
        <v>138</v>
      </c>
      <c r="I216" s="58">
        <f>IFERROR(VLOOKUP(C216,'Infos Clientes'!B:E,4,),"")</f>
        <v>306</v>
      </c>
      <c r="J216" s="109">
        <v>0.25</v>
      </c>
      <c r="K216" s="59">
        <f>INDEX('Infos Clientes'!$M:$M,MATCH('Detalhe Por UC'!C216,'Infos Clientes'!B:B,0))</f>
        <v>0.25</v>
      </c>
      <c r="L216" s="125">
        <v>0</v>
      </c>
      <c r="M216" s="56">
        <f>INDEX('Infos Clientes'!$N:$N,MATCH('Detalhe Por UC'!C216,'Infos Clientes'!B:B,0))</f>
        <v>0</v>
      </c>
      <c r="N216" s="56">
        <f t="shared" si="118"/>
        <v>0</v>
      </c>
      <c r="O216" s="56">
        <f t="shared" si="119"/>
        <v>10</v>
      </c>
      <c r="P216" s="56">
        <f t="shared" si="120"/>
        <v>0</v>
      </c>
      <c r="Q216" s="61">
        <f>IFERROR(IFERROR(INDEX('Infos Clientes'!$A$2:$V$9884,MATCH($C216,'Infos Clientes'!$B$2:$B$9884,0),MATCH(Q$8,'Infos Clientes'!$A$2:$V$2,0)),"")
+IF(OR(INDEX('Infos Clientes'!$A$2:$V$9884,MATCH($C216,'Infos Clientes'!$B$2:$B$9884,0),MATCH("Tempo de Fidelidade (meses)",'Infos Clientes'!$A$2:$V$2,0))=0,R216&gt;=MAX(R:R)),0,
ROUND((MAX(R:R)-R216)/(365/12),0)),"")</f>
        <v>0</v>
      </c>
      <c r="R216" s="111">
        <v>45689</v>
      </c>
      <c r="S216" s="63">
        <v>0.03</v>
      </c>
      <c r="T216" s="113" t="str">
        <f>IF($H216="GIROSSOL II",AP216/INDEX('Resumo Operacional'!$A$1:$P$1103,17,MATCH('Detalhe Por UC'!$R216,'Resumo Operacional'!$A$1:$P$1,0)),
IF($H216="GIROSSOL II e III",AP216/INDEX('Resumo Operacional'!$A$1:$P$1103,17,MATCH('Detalhe Por UC'!$R216,'Resumo Operacional'!$A$1:$P$1,0)),
""))</f>
        <v/>
      </c>
      <c r="U216" s="113">
        <f>IF($H216="GIROSSOL III",AP216/INDEX('Resumo Operacional'!$A$1:$P$1103,53,MATCH('Detalhe Por UC'!$R216,'Resumo Operacional'!$A$1:$P$1,0)),
IF($H216="GIROSSOL II e III",AP216/INDEX('Resumo Operacional'!$A$1:$P$1103,53,MATCH('Detalhe Por UC'!$R216,'Resumo Operacional'!$A$1:$P$1,0)),
""))</f>
        <v>0</v>
      </c>
      <c r="V216" s="18"/>
      <c r="W216" s="54"/>
      <c r="X216" s="131">
        <v>1.1162549019607841</v>
      </c>
      <c r="Y216" s="132">
        <v>0</v>
      </c>
      <c r="Z216" s="133">
        <v>0</v>
      </c>
      <c r="AA216" s="133">
        <v>0</v>
      </c>
      <c r="AB216" s="134">
        <v>510</v>
      </c>
      <c r="AC216" s="134">
        <v>0</v>
      </c>
      <c r="AD216" s="135">
        <v>0</v>
      </c>
      <c r="AE216" s="35"/>
      <c r="AF216" s="135">
        <v>0</v>
      </c>
      <c r="AG216" s="135">
        <v>0</v>
      </c>
      <c r="AH216" s="44">
        <v>0</v>
      </c>
      <c r="AI216" s="44">
        <v>0</v>
      </c>
      <c r="AJ216" s="44">
        <v>0</v>
      </c>
      <c r="AK216" s="31"/>
      <c r="AN216" s="71">
        <f t="shared" si="121"/>
        <v>0</v>
      </c>
      <c r="AO216" s="71">
        <f t="shared" si="122"/>
        <v>0</v>
      </c>
      <c r="AP216" s="71">
        <f t="shared" si="123"/>
        <v>0</v>
      </c>
      <c r="AQ216" s="72">
        <f>IF(OR($H216="GIROSSOL II",$H216="GIROSSOL II e III"),INDEX('Resumo Operacional'!$A$1:$P$1103,MATCH("Energia Injetada prevista total Fatura da Usina (TUSD)",'Resumo Operacional'!$B$1:$B$1103,0),MATCH('Detalhe Por UC'!$R216,'Resumo Operacional'!$A$1:$P$1,0))*$S216,INDEX('Resumo Operacional'!$A$1:$P$1103,53,MATCH('Detalhe Por UC'!$R216,'Resumo Operacional'!$A$1:$P$1,0))*$S216)</f>
        <v>433.97999999999996</v>
      </c>
      <c r="AR216" s="71">
        <f t="shared" si="124"/>
        <v>-433.97999999999996</v>
      </c>
      <c r="AS216" s="73">
        <f t="shared" si="125"/>
        <v>569.29</v>
      </c>
      <c r="AT216" s="74">
        <f t="shared" si="126"/>
        <v>569.29</v>
      </c>
      <c r="AU216" s="74" t="str">
        <f t="shared" si="127"/>
        <v/>
      </c>
      <c r="AV216" s="74">
        <f t="shared" si="128"/>
        <v>0</v>
      </c>
      <c r="AW216" s="74">
        <f t="shared" si="129"/>
        <v>0</v>
      </c>
      <c r="AX216" s="74">
        <f t="shared" si="130"/>
        <v>0</v>
      </c>
      <c r="AY216" s="74" t="str">
        <f t="shared" si="131"/>
        <v/>
      </c>
      <c r="BC216" s="73" t="str">
        <f t="shared" si="132"/>
        <v/>
      </c>
      <c r="BD216" s="73">
        <f t="shared" si="133"/>
        <v>569.29</v>
      </c>
      <c r="BE216" s="73">
        <f t="shared" si="134"/>
        <v>569.29</v>
      </c>
      <c r="BF216" s="77">
        <f t="shared" si="135"/>
        <v>0</v>
      </c>
      <c r="BG216" s="77">
        <f t="shared" si="136"/>
        <v>0</v>
      </c>
      <c r="BH216" s="77">
        <f t="shared" si="137"/>
        <v>0</v>
      </c>
      <c r="BI216" s="78" t="str">
        <f t="shared" si="138"/>
        <v/>
      </c>
      <c r="BJ216" s="79">
        <f t="shared" si="139"/>
        <v>0</v>
      </c>
      <c r="BK216" s="80" t="str">
        <f t="shared" si="140"/>
        <v/>
      </c>
      <c r="BL216" s="80" t="str">
        <f t="shared" si="141"/>
        <v/>
      </c>
      <c r="BM216" s="79" t="str">
        <f t="shared" si="142"/>
        <v/>
      </c>
      <c r="BN216" s="81" t="str">
        <f t="shared" si="143"/>
        <v/>
      </c>
      <c r="BO216" s="82" t="str">
        <f t="shared" si="144"/>
        <v/>
      </c>
      <c r="BP216" s="81" t="str">
        <f t="shared" si="145"/>
        <v/>
      </c>
      <c r="BQ216" s="81" t="str">
        <f t="shared" si="146"/>
        <v/>
      </c>
      <c r="BR216" s="81" t="str">
        <f t="shared" si="147"/>
        <v/>
      </c>
      <c r="BS216" s="82">
        <f t="shared" si="148"/>
        <v>0</v>
      </c>
      <c r="BT216" s="82" t="str">
        <f t="shared" si="149"/>
        <v/>
      </c>
      <c r="BU216" s="82">
        <f t="shared" si="150"/>
        <v>0</v>
      </c>
      <c r="BW216" s="82">
        <f>IFERROR(INDEX('Infos Clientes'!$T:$T,MATCH('Detalhe Por UC'!$C216,'Infos Clientes'!B:B,0)),"")</f>
        <v>398.18181818181819</v>
      </c>
      <c r="BX216" s="83">
        <f t="shared" si="151"/>
        <v>0</v>
      </c>
      <c r="BY216" s="84" t="str">
        <f t="shared" si="152"/>
        <v/>
      </c>
      <c r="BZ216" s="85">
        <f>IF(_xlfn.MINIFS('Detalhe Por UC'!R:R,'Detalhe Por UC'!C:C,C216,'Detalhe Por UC'!AD:AD,"&gt;"&amp;0)=0,"",_xlfn.MINIFS('Detalhe Por UC'!R:R,'Detalhe Por UC'!C:C,C216,'Detalhe Por UC'!AD:AD,"&gt;"&amp;0))</f>
        <v>45658</v>
      </c>
      <c r="CA216" s="114">
        <f ca="1">IF(OR(S216&gt;0,AD216&gt;0),IFERROR(
SUMIFS(INDIRECT("'Infos Clientes'!$W"&amp;INDEX('Infos Clientes'!$C:$C,MATCH(C216,'Infos Clientes'!$H:$H,0))&amp;":$CZ"&amp;INDEX('Infos Clientes'!$C:$C,MATCH(C216,'Infos Clientes'!$H:$H,0))),'Infos Clientes'!$W$2:$CZ$2,"&gt;"&amp;$R216-365,'Infos Clientes'!$W$2:$CZ$2,"&lt;="&amp;$R216)/
COUNTIFS(INDIRECT("'Infos Clientes'!$W"&amp;INDEX('Infos Clientes'!$C:$C,MATCH(C216,'Infos Clientes'!$H:$H,0))&amp;":$CZ"&amp;INDEX('Infos Clientes'!$C:$C,MATCH(C216,'Infos Clientes'!$H:$H,0))),"&gt;="&amp;0,'Infos Clientes'!$W$2:$CZ$2,"&gt;"&amp;$R216-365,'Infos Clientes'!$W$2:$CZ$2,"&lt;="&amp;$R216),""),"")</f>
        <v>362.5</v>
      </c>
      <c r="CB216" s="87">
        <f>VLOOKUP(C216,'Infos Clientes'!B:L,11,0)</f>
        <v>0</v>
      </c>
      <c r="CC216" s="88" t="str">
        <f t="shared" si="153"/>
        <v>A Unidade Consumidora 10/1266128-6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6" s="40" t="s">
        <v>143</v>
      </c>
      <c r="CF216" s="115">
        <f t="shared" si="154"/>
        <v>-569.29</v>
      </c>
    </row>
    <row r="217" spans="1:84" ht="16.2" hidden="1" customHeight="1" x14ac:dyDescent="0.3">
      <c r="A217" s="105" t="str">
        <f>INDEX('Infos Clientes'!$D:$D,MATCH('Detalhe Por UC'!C217,'Infos Clientes'!B:B,0))</f>
        <v>IGREJA DO EVANGELHO QUADRANGULAR</v>
      </c>
      <c r="B217" s="106" t="str">
        <f>INDEX('Infos Clientes'!$F:$F,MATCH('Detalhe Por UC'!C217,'Infos Clientes'!B:B,0))</f>
        <v>62.955.505/8979-30</v>
      </c>
      <c r="C217" s="31" t="s">
        <v>238</v>
      </c>
      <c r="D217" t="s">
        <v>351</v>
      </c>
      <c r="E217" s="1" t="s">
        <v>352</v>
      </c>
      <c r="F217" s="56" t="str">
        <f>INDEX('Infos Clientes'!$I:$I,MATCH('Detalhe Por UC'!C217,'Infos Clientes'!B:B,0))</f>
        <v>BT</v>
      </c>
      <c r="G217" s="56" t="str">
        <f>INDEX('Infos Clientes'!$J:$J,MATCH('Detalhe Por UC'!C217,'Infos Clientes'!B:B,0))</f>
        <v>bifasico</v>
      </c>
      <c r="H217" s="108" t="s">
        <v>138</v>
      </c>
      <c r="I217" s="58">
        <f>IFERROR(VLOOKUP(C217,'Infos Clientes'!B:E,4,),"")</f>
        <v>360</v>
      </c>
      <c r="J217" s="109">
        <v>0.25</v>
      </c>
      <c r="K217" s="59">
        <f>INDEX('Infos Clientes'!$M:$M,MATCH('Detalhe Por UC'!C217,'Infos Clientes'!B:B,0))</f>
        <v>0.25</v>
      </c>
      <c r="L217" s="125">
        <v>0</v>
      </c>
      <c r="M217" s="56">
        <f>INDEX('Infos Clientes'!$N:$N,MATCH('Detalhe Por UC'!C217,'Infos Clientes'!B:B,0))</f>
        <v>0</v>
      </c>
      <c r="N217" s="56">
        <f t="shared" si="118"/>
        <v>0</v>
      </c>
      <c r="O217" s="56">
        <f t="shared" si="119"/>
        <v>10</v>
      </c>
      <c r="P217" s="56">
        <f t="shared" si="120"/>
        <v>0</v>
      </c>
      <c r="Q217" s="61">
        <f>IFERROR(IFERROR(INDEX('Infos Clientes'!$A$2:$V$9884,MATCH($C217,'Infos Clientes'!$B$2:$B$9884,0),MATCH(Q$8,'Infos Clientes'!$A$2:$V$2,0)),"")
+IF(OR(INDEX('Infos Clientes'!$A$2:$V$9884,MATCH($C217,'Infos Clientes'!$B$2:$B$9884,0),MATCH("Tempo de Fidelidade (meses)",'Infos Clientes'!$A$2:$V$2,0))=0,R217&gt;=MAX(R:R)),0,
ROUND((MAX(R:R)-R217)/(365/12),0)),"")</f>
        <v>0</v>
      </c>
      <c r="R217" s="111">
        <v>45689</v>
      </c>
      <c r="S217" s="63">
        <v>7.0000000000000001E-3</v>
      </c>
      <c r="T217" s="113" t="str">
        <f>IF($H217="GIROSSOL II",AP217/INDEX('Resumo Operacional'!$A$1:$P$1103,17,MATCH('Detalhe Por UC'!$R217,'Resumo Operacional'!$A$1:$P$1,0)),
IF($H217="GIROSSOL II e III",AP217/INDEX('Resumo Operacional'!$A$1:$P$1103,17,MATCH('Detalhe Por UC'!$R217,'Resumo Operacional'!$A$1:$P$1,0)),
""))</f>
        <v/>
      </c>
      <c r="U217" s="113">
        <f>IF($H217="GIROSSOL III",AP217/INDEX('Resumo Operacional'!$A$1:$P$1103,53,MATCH('Detalhe Por UC'!$R217,'Resumo Operacional'!$A$1:$P$1,0)),
IF($H217="GIROSSOL II e III",AP217/INDEX('Resumo Operacional'!$A$1:$P$1103,53,MATCH('Detalhe Por UC'!$R217,'Resumo Operacional'!$A$1:$P$1,0)),
""))</f>
        <v>7.2583990045624221E-3</v>
      </c>
      <c r="V217" s="18"/>
      <c r="W217" s="54"/>
      <c r="X217" s="131">
        <v>1.116231884057971</v>
      </c>
      <c r="Y217" s="132">
        <v>0</v>
      </c>
      <c r="Z217" s="133">
        <v>0.97390476190476183</v>
      </c>
      <c r="AA217" s="133">
        <v>0</v>
      </c>
      <c r="AB217" s="134">
        <v>138</v>
      </c>
      <c r="AC217" s="134">
        <v>0</v>
      </c>
      <c r="AD217" s="135">
        <v>105</v>
      </c>
      <c r="AE217" s="35"/>
      <c r="AF217" s="135">
        <v>0</v>
      </c>
      <c r="AG217" s="135">
        <v>0</v>
      </c>
      <c r="AH217" s="44">
        <v>8.7199999999999989</v>
      </c>
      <c r="AI217" s="44">
        <v>0</v>
      </c>
      <c r="AJ217" s="44">
        <v>0</v>
      </c>
      <c r="AK217" s="31"/>
      <c r="AN217" s="71">
        <f t="shared" si="121"/>
        <v>0</v>
      </c>
      <c r="AO217" s="71">
        <f t="shared" si="122"/>
        <v>0</v>
      </c>
      <c r="AP217" s="71">
        <f t="shared" si="123"/>
        <v>105</v>
      </c>
      <c r="AQ217" s="72">
        <f>IF(OR($H217="GIROSSOL II",$H217="GIROSSOL II e III"),INDEX('Resumo Operacional'!$A$1:$P$1103,MATCH("Energia Injetada prevista total Fatura da Usina (TUSD)",'Resumo Operacional'!$B$1:$B$1103,0),MATCH('Detalhe Por UC'!$R217,'Resumo Operacional'!$A$1:$P$1,0))*$S217,INDEX('Resumo Operacional'!$A$1:$P$1103,53,MATCH('Detalhe Por UC'!$R217,'Resumo Operacional'!$A$1:$P$1,0))*$S217)</f>
        <v>101.262</v>
      </c>
      <c r="AR217" s="71">
        <f t="shared" si="124"/>
        <v>3.7379999999999995</v>
      </c>
      <c r="AS217" s="73">
        <f t="shared" si="125"/>
        <v>60.5</v>
      </c>
      <c r="AT217" s="74">
        <f t="shared" si="126"/>
        <v>60.5</v>
      </c>
      <c r="AU217" s="74">
        <f t="shared" si="127"/>
        <v>0.83157763975155263</v>
      </c>
      <c r="AV217" s="74">
        <f t="shared" si="128"/>
        <v>76.694999999999993</v>
      </c>
      <c r="AW217" s="74">
        <f t="shared" si="129"/>
        <v>0</v>
      </c>
      <c r="AX217" s="74">
        <f t="shared" si="130"/>
        <v>102.25999999999999</v>
      </c>
      <c r="AY217" s="74">
        <f t="shared" si="131"/>
        <v>76.7</v>
      </c>
      <c r="AZ217" s="49">
        <v>76.7</v>
      </c>
      <c r="BA217" s="49">
        <v>76.7</v>
      </c>
      <c r="BB217" s="49">
        <v>76.7</v>
      </c>
      <c r="BC217" s="73" t="str">
        <f t="shared" si="132"/>
        <v/>
      </c>
      <c r="BD217" s="73">
        <f t="shared" si="133"/>
        <v>162.76</v>
      </c>
      <c r="BE217" s="73">
        <f t="shared" si="134"/>
        <v>137.19499999999999</v>
      </c>
      <c r="BF217" s="77">
        <f t="shared" si="135"/>
        <v>25.57</v>
      </c>
      <c r="BG217" s="77">
        <f t="shared" si="136"/>
        <v>7.6709999999999994</v>
      </c>
      <c r="BH217" s="77">
        <f t="shared" si="137"/>
        <v>102.25999999999999</v>
      </c>
      <c r="BI217" s="78">
        <f t="shared" si="138"/>
        <v>0.25</v>
      </c>
      <c r="BJ217" s="79">
        <f t="shared" si="139"/>
        <v>0.1571024821823544</v>
      </c>
      <c r="BK217" s="80">
        <f t="shared" si="140"/>
        <v>137.19999999999999</v>
      </c>
      <c r="BL217" s="80">
        <f t="shared" si="141"/>
        <v>25.560000000000002</v>
      </c>
      <c r="BM217" s="79">
        <f t="shared" si="142"/>
        <v>0.15704104202506761</v>
      </c>
      <c r="BN217" s="81">
        <f t="shared" si="143"/>
        <v>0.7304761904761905</v>
      </c>
      <c r="BO217" s="82">
        <f t="shared" si="144"/>
        <v>76.7</v>
      </c>
      <c r="BP217" s="81">
        <f t="shared" si="145"/>
        <v>0.7304761904761905</v>
      </c>
      <c r="BQ217" s="81">
        <f t="shared" si="146"/>
        <v>0.8728033126293997</v>
      </c>
      <c r="BR217" s="81">
        <f t="shared" si="147"/>
        <v>1.116231884057971</v>
      </c>
      <c r="BS217" s="82">
        <f t="shared" si="148"/>
        <v>105</v>
      </c>
      <c r="BT217" s="82">
        <f t="shared" si="149"/>
        <v>117.20434782608696</v>
      </c>
      <c r="BU217" s="82">
        <f t="shared" si="150"/>
        <v>102.25999999999999</v>
      </c>
      <c r="BW217" s="82">
        <f>IFERROR(INDEX('Infos Clientes'!$T:$T,MATCH('Detalhe Por UC'!$C217,'Infos Clientes'!B:B,0)),"")</f>
        <v>162.36363636363637</v>
      </c>
      <c r="BX217" s="83">
        <f t="shared" si="151"/>
        <v>0</v>
      </c>
      <c r="BY217" s="84">
        <f t="shared" si="152"/>
        <v>0.21808064695626359</v>
      </c>
      <c r="BZ217" s="85">
        <f>IF(_xlfn.MINIFS('Detalhe Por UC'!R:R,'Detalhe Por UC'!C:C,C217,'Detalhe Por UC'!AD:AD,"&gt;"&amp;0)=0,"",_xlfn.MINIFS('Detalhe Por UC'!R:R,'Detalhe Por UC'!C:C,C217,'Detalhe Por UC'!AD:AD,"&gt;"&amp;0))</f>
        <v>45658</v>
      </c>
      <c r="CA217" s="114">
        <f ca="1">IF(OR(S217&gt;0,AD217&gt;0),IFERROR(
SUMIFS(INDIRECT("'Infos Clientes'!$W"&amp;INDEX('Infos Clientes'!$C:$C,MATCH(C217,'Infos Clientes'!$H:$H,0))&amp;":$CZ"&amp;INDEX('Infos Clientes'!$C:$C,MATCH(C217,'Infos Clientes'!$H:$H,0))),'Infos Clientes'!$W$2:$CZ$2,"&gt;"&amp;$R217-365,'Infos Clientes'!$W$2:$CZ$2,"&lt;="&amp;$R217)/
COUNTIFS(INDIRECT("'Infos Clientes'!$W"&amp;INDEX('Infos Clientes'!$C:$C,MATCH(C217,'Infos Clientes'!$H:$H,0))&amp;":$CZ"&amp;INDEX('Infos Clientes'!$C:$C,MATCH(C217,'Infos Clientes'!$H:$H,0))),"&gt;="&amp;0,'Infos Clientes'!$W$2:$CZ$2,"&gt;"&amp;$R217-365,'Infos Clientes'!$W$2:$CZ$2,"&lt;="&amp;$R217),""),"")</f>
        <v>141.75</v>
      </c>
      <c r="CB217" s="87">
        <f>VLOOKUP(C217,'Infos Clientes'!B:L,11,0)</f>
        <v>0</v>
      </c>
      <c r="CC217" s="88" t="str">
        <f t="shared" si="153"/>
        <v>A Unidade Consumidora 10/952579-1 economizou R$25,57 na fatura referente à fev/2025  consumindo 105 kWh em créditos de energia renovável conforme fatura de energia. A economia foi de 25% em relação ao que seria pago para a Energisa considerando os créditos consumidos. Atenção: Mantenha as contas da Energisa em dia para evitar cortes.</v>
      </c>
      <c r="CD217" s="40" t="s">
        <v>149</v>
      </c>
      <c r="CF217" s="115">
        <f t="shared" si="154"/>
        <v>-60.5</v>
      </c>
    </row>
    <row r="218" spans="1:84" ht="16.2" hidden="1" customHeight="1" x14ac:dyDescent="0.3">
      <c r="A218" s="105" t="str">
        <f>INDEX('Infos Clientes'!$D:$D,MATCH('Detalhe Por UC'!C218,'Infos Clientes'!B:B,0))</f>
        <v>IGREJA DO EVANGELHO QUADRANGULAR</v>
      </c>
      <c r="B218" s="106" t="str">
        <f>INDEX('Infos Clientes'!$F:$F,MATCH('Detalhe Por UC'!C218,'Infos Clientes'!B:B,0))</f>
        <v>62.955.505/8873-82</v>
      </c>
      <c r="C218" s="31" t="s">
        <v>212</v>
      </c>
      <c r="D218" t="s">
        <v>351</v>
      </c>
      <c r="E218" s="1" t="s">
        <v>352</v>
      </c>
      <c r="F218" s="56" t="str">
        <f>INDEX('Infos Clientes'!$I:$I,MATCH('Detalhe Por UC'!C218,'Infos Clientes'!B:B,0))</f>
        <v>BT</v>
      </c>
      <c r="G218" s="56" t="str">
        <f>INDEX('Infos Clientes'!$J:$J,MATCH('Detalhe Por UC'!C218,'Infos Clientes'!B:B,0))</f>
        <v>trifasico</v>
      </c>
      <c r="H218" s="108" t="s">
        <v>138</v>
      </c>
      <c r="I218" s="58">
        <f>IFERROR(VLOOKUP(C218,'Infos Clientes'!B:E,4,),"")</f>
        <v>351</v>
      </c>
      <c r="J218" s="109">
        <v>0.25</v>
      </c>
      <c r="K218" s="59">
        <f>INDEX('Infos Clientes'!$M:$M,MATCH('Detalhe Por UC'!C218,'Infos Clientes'!B:B,0))</f>
        <v>0.25</v>
      </c>
      <c r="L218" s="125">
        <v>0</v>
      </c>
      <c r="M218" s="56">
        <f>INDEX('Infos Clientes'!$N:$N,MATCH('Detalhe Por UC'!C218,'Infos Clientes'!B:B,0))</f>
        <v>0</v>
      </c>
      <c r="N218" s="56">
        <f t="shared" si="118"/>
        <v>0</v>
      </c>
      <c r="O218" s="56">
        <f t="shared" si="119"/>
        <v>3</v>
      </c>
      <c r="P218" s="56">
        <f t="shared" si="120"/>
        <v>0</v>
      </c>
      <c r="Q218" s="61">
        <f>IFERROR(IFERROR(INDEX('Infos Clientes'!$A$2:$V$9884,MATCH($C218,'Infos Clientes'!$B$2:$B$9884,0),MATCH(Q$8,'Infos Clientes'!$A$2:$V$2,0)),"")
+IF(OR(INDEX('Infos Clientes'!$A$2:$V$9884,MATCH($C218,'Infos Clientes'!$B$2:$B$9884,0),MATCH("Tempo de Fidelidade (meses)",'Infos Clientes'!$A$2:$V$2,0))=0,R218&gt;=MAX(R:R)),0,
ROUND((MAX(R:R)-R218)/(365/12),0)),"")</f>
        <v>0</v>
      </c>
      <c r="R218" s="111">
        <v>45689</v>
      </c>
      <c r="S218" s="63">
        <v>3.0000000000000001E-3</v>
      </c>
      <c r="T218" s="113" t="str">
        <f>IF($H218="GIROSSOL II",AP218/INDEX('Resumo Operacional'!$A$1:$P$1103,17,MATCH('Detalhe Por UC'!$R218,'Resumo Operacional'!$A$1:$P$1,0)),
IF($H218="GIROSSOL II e III",AP218/INDEX('Resumo Operacional'!$A$1:$P$1103,17,MATCH('Detalhe Por UC'!$R218,'Resumo Operacional'!$A$1:$P$1,0)),
""))</f>
        <v/>
      </c>
      <c r="U218" s="113">
        <f>IF($H218="GIROSSOL III",AP218/INDEX('Resumo Operacional'!$A$1:$P$1103,53,MATCH('Detalhe Por UC'!$R218,'Resumo Operacional'!$A$1:$P$1,0)),
IF($H218="GIROSSOL II e III",AP218/INDEX('Resumo Operacional'!$A$1:$P$1103,53,MATCH('Detalhe Por UC'!$R218,'Resumo Operacional'!$A$1:$P$1,0)),
""))</f>
        <v>3.1798700400940136E-3</v>
      </c>
      <c r="V218" s="18"/>
      <c r="W218" s="54"/>
      <c r="X218" s="131">
        <v>1.1162589928057554</v>
      </c>
      <c r="Y218" s="132">
        <v>0</v>
      </c>
      <c r="Z218" s="133">
        <v>0.97391304347826102</v>
      </c>
      <c r="AA218" s="133">
        <v>0</v>
      </c>
      <c r="AB218" s="134">
        <v>139</v>
      </c>
      <c r="AC218" s="134">
        <v>0</v>
      </c>
      <c r="AD218" s="135">
        <v>46</v>
      </c>
      <c r="AE218" s="35"/>
      <c r="AF218" s="135">
        <v>0</v>
      </c>
      <c r="AG218" s="135">
        <v>0</v>
      </c>
      <c r="AH218" s="44">
        <v>63.3</v>
      </c>
      <c r="AI218" s="44">
        <v>-73.27</v>
      </c>
      <c r="AJ218" s="44">
        <v>0</v>
      </c>
      <c r="AK218" s="31"/>
      <c r="AN218" s="71">
        <f t="shared" si="121"/>
        <v>0</v>
      </c>
      <c r="AO218" s="71">
        <f t="shared" si="122"/>
        <v>0</v>
      </c>
      <c r="AP218" s="71">
        <f t="shared" si="123"/>
        <v>46</v>
      </c>
      <c r="AQ218" s="72">
        <f>IF(OR($H218="GIROSSOL II",$H218="GIROSSOL II e III"),INDEX('Resumo Operacional'!$A$1:$P$1103,MATCH("Energia Injetada prevista total Fatura da Usina (TUSD)",'Resumo Operacional'!$B$1:$B$1103,0),MATCH('Detalhe Por UC'!$R218,'Resumo Operacional'!$A$1:$P$1,0))*$S218,INDEX('Resumo Operacional'!$A$1:$P$1103,53,MATCH('Detalhe Por UC'!$R218,'Resumo Operacional'!$A$1:$P$1,0))*$S218)</f>
        <v>43.398000000000003</v>
      </c>
      <c r="AR218" s="71">
        <f t="shared" si="124"/>
        <v>2.6019999999999968</v>
      </c>
      <c r="AS218" s="73">
        <f t="shared" si="125"/>
        <v>173.65999999999997</v>
      </c>
      <c r="AT218" s="74">
        <f t="shared" si="126"/>
        <v>100.38999999999997</v>
      </c>
      <c r="AU218" s="74">
        <f t="shared" si="127"/>
        <v>0.83156709415076657</v>
      </c>
      <c r="AV218" s="74">
        <f t="shared" si="128"/>
        <v>33.600000000000009</v>
      </c>
      <c r="AW218" s="74">
        <f t="shared" si="129"/>
        <v>0</v>
      </c>
      <c r="AX218" s="74">
        <f t="shared" si="130"/>
        <v>44.800000000000004</v>
      </c>
      <c r="AY218" s="74">
        <f t="shared" si="131"/>
        <v>33.6</v>
      </c>
      <c r="AZ218" s="49">
        <v>33.6</v>
      </c>
      <c r="BC218" s="73" t="str">
        <f t="shared" si="132"/>
        <v/>
      </c>
      <c r="BD218" s="73">
        <f t="shared" si="133"/>
        <v>218.45999999999998</v>
      </c>
      <c r="BE218" s="73">
        <f t="shared" si="134"/>
        <v>207.26</v>
      </c>
      <c r="BF218" s="77">
        <f t="shared" si="135"/>
        <v>11.2</v>
      </c>
      <c r="BG218" s="77">
        <f t="shared" si="136"/>
        <v>3.36</v>
      </c>
      <c r="BH218" s="77">
        <f t="shared" si="137"/>
        <v>44.800000000000004</v>
      </c>
      <c r="BI218" s="78">
        <f t="shared" si="138"/>
        <v>0.25</v>
      </c>
      <c r="BJ218" s="79">
        <f t="shared" si="139"/>
        <v>5.1267966675821661E-2</v>
      </c>
      <c r="BK218" s="80">
        <f t="shared" si="140"/>
        <v>207.25999999999996</v>
      </c>
      <c r="BL218" s="80">
        <f t="shared" si="141"/>
        <v>11.200000000000017</v>
      </c>
      <c r="BM218" s="79">
        <f t="shared" si="142"/>
        <v>5.1267966675821744E-2</v>
      </c>
      <c r="BN218" s="81">
        <f t="shared" si="143"/>
        <v>0.73043478260869565</v>
      </c>
      <c r="BO218" s="82">
        <f t="shared" si="144"/>
        <v>33.6</v>
      </c>
      <c r="BP218" s="81">
        <f t="shared" si="145"/>
        <v>0.73043478260869565</v>
      </c>
      <c r="BQ218" s="81">
        <f t="shared" si="146"/>
        <v>0.87278073193618999</v>
      </c>
      <c r="BR218" s="81">
        <f t="shared" si="147"/>
        <v>1.1162589928057554</v>
      </c>
      <c r="BS218" s="82">
        <f t="shared" si="148"/>
        <v>46</v>
      </c>
      <c r="BT218" s="82">
        <f t="shared" si="149"/>
        <v>51.347913669064745</v>
      </c>
      <c r="BU218" s="82">
        <f t="shared" si="150"/>
        <v>44.800000000000004</v>
      </c>
      <c r="BW218" s="82">
        <f>IFERROR(INDEX('Infos Clientes'!$T:$T,MATCH('Detalhe Por UC'!$C218,'Infos Clientes'!B:B,0)),"")</f>
        <v>93.7</v>
      </c>
      <c r="BX218" s="83">
        <f t="shared" si="151"/>
        <v>0</v>
      </c>
      <c r="BY218" s="84">
        <f t="shared" si="152"/>
        <v>0.21811986504814118</v>
      </c>
      <c r="BZ218" s="85">
        <f>IF(_xlfn.MINIFS('Detalhe Por UC'!R:R,'Detalhe Por UC'!C:C,C218,'Detalhe Por UC'!AD:AD,"&gt;"&amp;0)=0,"",_xlfn.MINIFS('Detalhe Por UC'!R:R,'Detalhe Por UC'!C:C,C218,'Detalhe Por UC'!AD:AD,"&gt;"&amp;0))</f>
        <v>45689</v>
      </c>
      <c r="CA218" s="114">
        <f ca="1">IF(OR(S218&gt;0,AD218&gt;0),IFERROR(
SUMIFS(INDIRECT("'Infos Clientes'!$W"&amp;INDEX('Infos Clientes'!$C:$C,MATCH(C218,'Infos Clientes'!$H:$H,0))&amp;":$CZ"&amp;INDEX('Infos Clientes'!$C:$C,MATCH(C218,'Infos Clientes'!$H:$H,0))),'Infos Clientes'!$W$2:$CZ$2,"&gt;"&amp;$R218-365,'Infos Clientes'!$W$2:$CZ$2,"&lt;="&amp;$R218)/
COUNTIFS(INDIRECT("'Infos Clientes'!$W"&amp;INDEX('Infos Clientes'!$C:$C,MATCH(C218,'Infos Clientes'!$H:$H,0))&amp;":$CZ"&amp;INDEX('Infos Clientes'!$C:$C,MATCH(C218,'Infos Clientes'!$H:$H,0))),"&gt;="&amp;0,'Infos Clientes'!$W$2:$CZ$2,"&gt;"&amp;$R218-365,'Infos Clientes'!$W$2:$CZ$2,"&lt;="&amp;$R218),""),"")</f>
        <v>432.16666666666669</v>
      </c>
      <c r="CB218" s="87">
        <f>VLOOKUP(C218,'Infos Clientes'!B:L,11,0)</f>
        <v>0</v>
      </c>
      <c r="CC218" s="88" t="str">
        <f t="shared" si="153"/>
        <v>A Unidade Consumidora 10/505854-0 economizou R$11,2 na fatura referente à fev/2025  consumindo 46 kWh em créditos de energia renovável conforme fatura de energia. A economia foi de 25% em relação ao que seria pago para a Energisa considerando os créditos consumidos. Atenção: Mantenha as contas da Energisa em dia para evitar cortes.</v>
      </c>
      <c r="CD218" s="40"/>
      <c r="CF218" s="115">
        <f t="shared" si="154"/>
        <v>-100.38999999999997</v>
      </c>
    </row>
    <row r="219" spans="1:84" ht="16.2" hidden="1" customHeight="1" x14ac:dyDescent="0.3">
      <c r="A219" s="105" t="str">
        <f>INDEX('Infos Clientes'!$D:$D,MATCH('Detalhe Por UC'!C219,'Infos Clientes'!B:B,0))</f>
        <v>IGREJA DO EVANGELHO QUADRANGULAR</v>
      </c>
      <c r="B219" s="106" t="str">
        <f>INDEX('Infos Clientes'!$F:$F,MATCH('Detalhe Por UC'!C219,'Infos Clientes'!B:B,0))</f>
        <v>62.955.505/3311-98</v>
      </c>
      <c r="C219" s="31" t="s">
        <v>147</v>
      </c>
      <c r="D219" t="s">
        <v>351</v>
      </c>
      <c r="E219" s="1" t="s">
        <v>352</v>
      </c>
      <c r="F219" s="56" t="str">
        <f>INDEX('Infos Clientes'!$I:$I,MATCH('Detalhe Por UC'!C219,'Infos Clientes'!B:B,0))</f>
        <v>BT</v>
      </c>
      <c r="G219" s="56" t="str">
        <f>INDEX('Infos Clientes'!$J:$J,MATCH('Detalhe Por UC'!C219,'Infos Clientes'!B:B,0))</f>
        <v>trifasico</v>
      </c>
      <c r="H219" s="108" t="s">
        <v>138</v>
      </c>
      <c r="I219" s="58">
        <f>IFERROR(VLOOKUP(C219,'Infos Clientes'!B:E,4,),"")</f>
        <v>360</v>
      </c>
      <c r="J219" s="109">
        <v>0.25</v>
      </c>
      <c r="K219" s="59">
        <f>INDEX('Infos Clientes'!$M:$M,MATCH('Detalhe Por UC'!C219,'Infos Clientes'!B:B,0))</f>
        <v>0.25</v>
      </c>
      <c r="L219" s="125">
        <v>0</v>
      </c>
      <c r="M219" s="56">
        <f>INDEX('Infos Clientes'!$N:$N,MATCH('Detalhe Por UC'!C219,'Infos Clientes'!B:B,0))</f>
        <v>0</v>
      </c>
      <c r="N219" s="56">
        <f t="shared" si="118"/>
        <v>0</v>
      </c>
      <c r="O219" s="56">
        <f t="shared" si="119"/>
        <v>9</v>
      </c>
      <c r="P219" s="56">
        <f t="shared" si="120"/>
        <v>0</v>
      </c>
      <c r="Q219" s="61">
        <f>IFERROR(IFERROR(INDEX('Infos Clientes'!$A$2:$V$9884,MATCH($C219,'Infos Clientes'!$B$2:$B$9884,0),MATCH(Q$8,'Infos Clientes'!$A$2:$V$2,0)),"")
+IF(OR(INDEX('Infos Clientes'!$A$2:$V$9884,MATCH($C219,'Infos Clientes'!$B$2:$B$9884,0),MATCH("Tempo de Fidelidade (meses)",'Infos Clientes'!$A$2:$V$2,0))=0,R219&gt;=MAX(R:R)),0,
ROUND((MAX(R:R)-R219)/(365/12),0)),"")</f>
        <v>0</v>
      </c>
      <c r="R219" s="111">
        <v>45689</v>
      </c>
      <c r="S219" s="63">
        <v>0.04</v>
      </c>
      <c r="T219" s="113" t="str">
        <f>IF($H219="GIROSSOL II",AP219/INDEX('Resumo Operacional'!$A$1:$P$1103,17,MATCH('Detalhe Por UC'!$R219,'Resumo Operacional'!$A$1:$P$1,0)),
IF($H219="GIROSSOL II e III",AP219/INDEX('Resumo Operacional'!$A$1:$P$1103,17,MATCH('Detalhe Por UC'!$R219,'Resumo Operacional'!$A$1:$P$1,0)),
""))</f>
        <v/>
      </c>
      <c r="U219" s="113">
        <f>IF($H219="GIROSSOL III",AP219/INDEX('Resumo Operacional'!$A$1:$P$1103,53,MATCH('Detalhe Por UC'!$R219,'Resumo Operacional'!$A$1:$P$1,0)),
IF($H219="GIROSSOL II e III",AP219/INDEX('Resumo Operacional'!$A$1:$P$1103,53,MATCH('Detalhe Por UC'!$R219,'Resumo Operacional'!$A$1:$P$1,0)),
""))</f>
        <v>0</v>
      </c>
      <c r="V219" s="18"/>
      <c r="W219" s="54"/>
      <c r="X219" s="131">
        <v>1.1162523540489642</v>
      </c>
      <c r="Y219" s="132">
        <v>0</v>
      </c>
      <c r="Z219" s="133">
        <v>0</v>
      </c>
      <c r="AA219" s="133">
        <v>0</v>
      </c>
      <c r="AB219" s="134">
        <v>531</v>
      </c>
      <c r="AC219" s="134">
        <v>0</v>
      </c>
      <c r="AD219" s="135">
        <v>0</v>
      </c>
      <c r="AE219" s="35"/>
      <c r="AF219" s="135">
        <v>0</v>
      </c>
      <c r="AG219" s="135">
        <v>0</v>
      </c>
      <c r="AH219" s="44">
        <v>112.95</v>
      </c>
      <c r="AI219" s="44">
        <v>0</v>
      </c>
      <c r="AJ219" s="44">
        <v>0</v>
      </c>
      <c r="AK219" s="31"/>
      <c r="AN219" s="71">
        <f t="shared" si="121"/>
        <v>0</v>
      </c>
      <c r="AO219" s="71">
        <f t="shared" si="122"/>
        <v>0</v>
      </c>
      <c r="AP219" s="71">
        <f t="shared" si="123"/>
        <v>0</v>
      </c>
      <c r="AQ219" s="72">
        <f>IF(OR($H219="GIROSSOL II",$H219="GIROSSOL II e III"),INDEX('Resumo Operacional'!$A$1:$P$1103,MATCH("Energia Injetada prevista total Fatura da Usina (TUSD)",'Resumo Operacional'!$B$1:$B$1103,0),MATCH('Detalhe Por UC'!$R219,'Resumo Operacional'!$A$1:$P$1,0))*$S219,INDEX('Resumo Operacional'!$A$1:$P$1103,53,MATCH('Detalhe Por UC'!$R219,'Resumo Operacional'!$A$1:$P$1,0))*$S219)</f>
        <v>578.64</v>
      </c>
      <c r="AR219" s="71">
        <f t="shared" si="124"/>
        <v>-578.64</v>
      </c>
      <c r="AS219" s="73">
        <f t="shared" si="125"/>
        <v>705.68000000000006</v>
      </c>
      <c r="AT219" s="74">
        <f t="shared" si="126"/>
        <v>705.68000000000006</v>
      </c>
      <c r="AU219" s="74" t="str">
        <f t="shared" si="127"/>
        <v/>
      </c>
      <c r="AV219" s="74">
        <f t="shared" si="128"/>
        <v>0</v>
      </c>
      <c r="AW219" s="74">
        <f t="shared" si="129"/>
        <v>0</v>
      </c>
      <c r="AX219" s="74">
        <f t="shared" si="130"/>
        <v>0</v>
      </c>
      <c r="AY219" s="74" t="str">
        <f t="shared" si="131"/>
        <v/>
      </c>
      <c r="BC219" s="73" t="str">
        <f t="shared" si="132"/>
        <v/>
      </c>
      <c r="BD219" s="73">
        <f t="shared" si="133"/>
        <v>705.68000000000006</v>
      </c>
      <c r="BE219" s="73">
        <f t="shared" si="134"/>
        <v>705.68000000000006</v>
      </c>
      <c r="BF219" s="77">
        <f t="shared" si="135"/>
        <v>0</v>
      </c>
      <c r="BG219" s="77">
        <f t="shared" si="136"/>
        <v>0</v>
      </c>
      <c r="BH219" s="77">
        <f t="shared" si="137"/>
        <v>0</v>
      </c>
      <c r="BI219" s="78" t="str">
        <f t="shared" si="138"/>
        <v/>
      </c>
      <c r="BJ219" s="79">
        <f t="shared" si="139"/>
        <v>0</v>
      </c>
      <c r="BK219" s="80" t="str">
        <f t="shared" si="140"/>
        <v/>
      </c>
      <c r="BL219" s="80" t="str">
        <f t="shared" si="141"/>
        <v/>
      </c>
      <c r="BM219" s="79" t="str">
        <f t="shared" si="142"/>
        <v/>
      </c>
      <c r="BN219" s="81" t="str">
        <f t="shared" si="143"/>
        <v/>
      </c>
      <c r="BO219" s="82" t="str">
        <f t="shared" si="144"/>
        <v/>
      </c>
      <c r="BP219" s="81" t="str">
        <f t="shared" si="145"/>
        <v/>
      </c>
      <c r="BQ219" s="81" t="str">
        <f t="shared" si="146"/>
        <v/>
      </c>
      <c r="BR219" s="81" t="str">
        <f t="shared" si="147"/>
        <v/>
      </c>
      <c r="BS219" s="82">
        <f t="shared" si="148"/>
        <v>0</v>
      </c>
      <c r="BT219" s="82" t="str">
        <f t="shared" si="149"/>
        <v/>
      </c>
      <c r="BU219" s="82">
        <f t="shared" si="150"/>
        <v>0</v>
      </c>
      <c r="BW219" s="82">
        <f>IFERROR(INDEX('Infos Clientes'!$T:$T,MATCH('Detalhe Por UC'!$C219,'Infos Clientes'!B:B,0)),"")</f>
        <v>471.63636363636363</v>
      </c>
      <c r="BX219" s="83">
        <f t="shared" si="151"/>
        <v>0</v>
      </c>
      <c r="BY219" s="84" t="str">
        <f t="shared" si="152"/>
        <v/>
      </c>
      <c r="BZ219" s="85">
        <f>IF(_xlfn.MINIFS('Detalhe Por UC'!R:R,'Detalhe Por UC'!C:C,C219,'Detalhe Por UC'!AD:AD,"&gt;"&amp;0)=0,"",_xlfn.MINIFS('Detalhe Por UC'!R:R,'Detalhe Por UC'!C:C,C219,'Detalhe Por UC'!AD:AD,"&gt;"&amp;0))</f>
        <v>45658</v>
      </c>
      <c r="CA219" s="114">
        <f ca="1">IF(OR(S219&gt;0,AD219&gt;0),IFERROR(
SUMIFS(INDIRECT("'Infos Clientes'!$W"&amp;INDEX('Infos Clientes'!$C:$C,MATCH(C219,'Infos Clientes'!$H:$H,0))&amp;":$CZ"&amp;INDEX('Infos Clientes'!$C:$C,MATCH(C219,'Infos Clientes'!$H:$H,0))),'Infos Clientes'!$W$2:$CZ$2,"&gt;"&amp;$R219-365,'Infos Clientes'!$W$2:$CZ$2,"&lt;="&amp;$R219)/
COUNTIFS(INDIRECT("'Infos Clientes'!$W"&amp;INDEX('Infos Clientes'!$C:$C,MATCH(C219,'Infos Clientes'!$H:$H,0))&amp;":$CZ"&amp;INDEX('Infos Clientes'!$C:$C,MATCH(C219,'Infos Clientes'!$H:$H,0))),"&gt;="&amp;0,'Infos Clientes'!$W$2:$CZ$2,"&gt;"&amp;$R219-365,'Infos Clientes'!$W$2:$CZ$2,"&lt;="&amp;$R219),""),"")</f>
        <v>432.16666666666669</v>
      </c>
      <c r="CB219" s="87">
        <f>VLOOKUP(C219,'Infos Clientes'!B:L,11,0)</f>
        <v>0</v>
      </c>
      <c r="CC219" s="88" t="str">
        <f t="shared" si="153"/>
        <v>A Unidade Consumidora 10/127464-6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19" s="40" t="s">
        <v>149</v>
      </c>
      <c r="CF219" s="115">
        <f t="shared" si="154"/>
        <v>-705.68000000000006</v>
      </c>
    </row>
    <row r="220" spans="1:84" ht="16.2" hidden="1" customHeight="1" x14ac:dyDescent="0.3">
      <c r="A220" s="105" t="str">
        <f>INDEX('Infos Clientes'!$D:$D,MATCH('Detalhe Por UC'!C220,'Infos Clientes'!B:B,0))</f>
        <v>IGREJA DO EVANGELHO QUADRANGULAR</v>
      </c>
      <c r="B220" s="106" t="str">
        <f>INDEX('Infos Clientes'!$F:$F,MATCH('Detalhe Por UC'!C220,'Infos Clientes'!B:B,0))</f>
        <v>62.955.505/1570-66</v>
      </c>
      <c r="C220" s="31" t="s">
        <v>172</v>
      </c>
      <c r="D220" t="s">
        <v>351</v>
      </c>
      <c r="E220" s="1" t="s">
        <v>352</v>
      </c>
      <c r="F220" s="56" t="str">
        <f>INDEX('Infos Clientes'!$I:$I,MATCH('Detalhe Por UC'!C220,'Infos Clientes'!B:B,0))</f>
        <v>BT</v>
      </c>
      <c r="G220" s="56" t="str">
        <f>INDEX('Infos Clientes'!$J:$J,MATCH('Detalhe Por UC'!C220,'Infos Clientes'!B:B,0))</f>
        <v>trifasico</v>
      </c>
      <c r="H220" s="108" t="s">
        <v>138</v>
      </c>
      <c r="I220" s="58">
        <f>IFERROR(VLOOKUP(C220,'Infos Clientes'!B:E,4,),"")</f>
        <v>357</v>
      </c>
      <c r="J220" s="109">
        <v>0.25</v>
      </c>
      <c r="K220" s="59">
        <f>INDEX('Infos Clientes'!$M:$M,MATCH('Detalhe Por UC'!C220,'Infos Clientes'!B:B,0))</f>
        <v>0.25</v>
      </c>
      <c r="L220" s="125">
        <v>0</v>
      </c>
      <c r="M220" s="56">
        <f>INDEX('Infos Clientes'!$N:$N,MATCH('Detalhe Por UC'!C220,'Infos Clientes'!B:B,0))</f>
        <v>0</v>
      </c>
      <c r="N220" s="56">
        <f t="shared" si="118"/>
        <v>0</v>
      </c>
      <c r="O220" s="56">
        <f t="shared" si="119"/>
        <v>9</v>
      </c>
      <c r="P220" s="56">
        <f t="shared" si="120"/>
        <v>0</v>
      </c>
      <c r="Q220" s="61">
        <f>IFERROR(IFERROR(INDEX('Infos Clientes'!$A$2:$V$9884,MATCH($C220,'Infos Clientes'!$B$2:$B$9884,0),MATCH(Q$8,'Infos Clientes'!$A$2:$V$2,0)),"")
+IF(OR(INDEX('Infos Clientes'!$A$2:$V$9884,MATCH($C220,'Infos Clientes'!$B$2:$B$9884,0),MATCH("Tempo de Fidelidade (meses)",'Infos Clientes'!$A$2:$V$2,0))=0,R220&gt;=MAX(R:R)),0,
ROUND((MAX(R:R)-R220)/(365/12),0)),"")</f>
        <v>0</v>
      </c>
      <c r="R220" s="111">
        <v>45689</v>
      </c>
      <c r="S220" s="63">
        <v>0.02</v>
      </c>
      <c r="T220" s="113" t="str">
        <f>IF($H220="GIROSSOL II",AP220/INDEX('Resumo Operacional'!$A$1:$P$1103,17,MATCH('Detalhe Por UC'!$R220,'Resumo Operacional'!$A$1:$P$1,0)),
IF($H220="GIROSSOL II e III",AP220/INDEX('Resumo Operacional'!$A$1:$P$1103,17,MATCH('Detalhe Por UC'!$R220,'Resumo Operacional'!$A$1:$P$1,0)),
""))</f>
        <v/>
      </c>
      <c r="U220" s="113">
        <f>IF($H220="GIROSSOL III",AP220/INDEX('Resumo Operacional'!$A$1:$P$1103,53,MATCH('Detalhe Por UC'!$R220,'Resumo Operacional'!$A$1:$P$1,0)),
IF($H220="GIROSSOL II e III",AP220/INDEX('Resumo Operacional'!$A$1:$P$1103,53,MATCH('Detalhe Por UC'!$R220,'Resumo Operacional'!$A$1:$P$1,0)),
""))</f>
        <v>0</v>
      </c>
      <c r="V220" s="18"/>
      <c r="W220" s="54"/>
      <c r="X220" s="131">
        <v>1.1162467191601051</v>
      </c>
      <c r="Y220" s="132">
        <v>0</v>
      </c>
      <c r="Z220" s="133">
        <v>0</v>
      </c>
      <c r="AA220" s="133">
        <v>0</v>
      </c>
      <c r="AB220" s="134">
        <v>381</v>
      </c>
      <c r="AC220" s="134">
        <v>0</v>
      </c>
      <c r="AD220" s="135">
        <v>0</v>
      </c>
      <c r="AE220" s="35"/>
      <c r="AF220" s="135">
        <v>0</v>
      </c>
      <c r="AG220" s="135">
        <v>0</v>
      </c>
      <c r="AH220" s="44">
        <v>0</v>
      </c>
      <c r="AI220" s="44">
        <v>0</v>
      </c>
      <c r="AJ220" s="44">
        <v>0</v>
      </c>
      <c r="AK220" s="31"/>
      <c r="AN220" s="71">
        <f t="shared" si="121"/>
        <v>0</v>
      </c>
      <c r="AO220" s="71">
        <f t="shared" si="122"/>
        <v>0</v>
      </c>
      <c r="AP220" s="71">
        <f t="shared" si="123"/>
        <v>0</v>
      </c>
      <c r="AQ220" s="72">
        <f>IF(OR($H220="GIROSSOL II",$H220="GIROSSOL II e III"),INDEX('Resumo Operacional'!$A$1:$P$1103,MATCH("Energia Injetada prevista total Fatura da Usina (TUSD)",'Resumo Operacional'!$B$1:$B$1103,0),MATCH('Detalhe Por UC'!$R220,'Resumo Operacional'!$A$1:$P$1,0))*$S220,INDEX('Resumo Operacional'!$A$1:$P$1103,53,MATCH('Detalhe Por UC'!$R220,'Resumo Operacional'!$A$1:$P$1,0))*$S220)</f>
        <v>289.32</v>
      </c>
      <c r="AR220" s="71">
        <f t="shared" si="124"/>
        <v>-289.32</v>
      </c>
      <c r="AS220" s="73">
        <f t="shared" si="125"/>
        <v>425.29</v>
      </c>
      <c r="AT220" s="74">
        <f t="shared" si="126"/>
        <v>425.29</v>
      </c>
      <c r="AU220" s="74" t="str">
        <f t="shared" si="127"/>
        <v/>
      </c>
      <c r="AV220" s="74">
        <f t="shared" si="128"/>
        <v>0</v>
      </c>
      <c r="AW220" s="74">
        <f t="shared" si="129"/>
        <v>0</v>
      </c>
      <c r="AX220" s="74">
        <f t="shared" si="130"/>
        <v>0</v>
      </c>
      <c r="AY220" s="74" t="str">
        <f t="shared" si="131"/>
        <v/>
      </c>
      <c r="BC220" s="73" t="str">
        <f t="shared" si="132"/>
        <v/>
      </c>
      <c r="BD220" s="73">
        <f t="shared" si="133"/>
        <v>425.29</v>
      </c>
      <c r="BE220" s="73">
        <f t="shared" si="134"/>
        <v>425.29</v>
      </c>
      <c r="BF220" s="77">
        <f t="shared" si="135"/>
        <v>0</v>
      </c>
      <c r="BG220" s="77">
        <f t="shared" si="136"/>
        <v>0</v>
      </c>
      <c r="BH220" s="77">
        <f t="shared" si="137"/>
        <v>0</v>
      </c>
      <c r="BI220" s="78" t="str">
        <f t="shared" si="138"/>
        <v/>
      </c>
      <c r="BJ220" s="79">
        <f t="shared" si="139"/>
        <v>0</v>
      </c>
      <c r="BK220" s="80" t="str">
        <f t="shared" si="140"/>
        <v/>
      </c>
      <c r="BL220" s="80" t="str">
        <f t="shared" si="141"/>
        <v/>
      </c>
      <c r="BM220" s="79" t="str">
        <f t="shared" si="142"/>
        <v/>
      </c>
      <c r="BN220" s="81" t="str">
        <f t="shared" si="143"/>
        <v/>
      </c>
      <c r="BO220" s="82" t="str">
        <f t="shared" si="144"/>
        <v/>
      </c>
      <c r="BP220" s="81" t="str">
        <f t="shared" si="145"/>
        <v/>
      </c>
      <c r="BQ220" s="81" t="str">
        <f t="shared" si="146"/>
        <v/>
      </c>
      <c r="BR220" s="81" t="str">
        <f t="shared" si="147"/>
        <v/>
      </c>
      <c r="BS220" s="82">
        <f t="shared" si="148"/>
        <v>0</v>
      </c>
      <c r="BT220" s="82" t="str">
        <f t="shared" si="149"/>
        <v/>
      </c>
      <c r="BU220" s="82">
        <f t="shared" si="150"/>
        <v>0</v>
      </c>
      <c r="BW220" s="82">
        <f>IFERROR(INDEX('Infos Clientes'!$T:$T,MATCH('Detalhe Por UC'!$C220,'Infos Clientes'!B:B,0)),"")</f>
        <v>324.72727272727275</v>
      </c>
      <c r="BX220" s="83">
        <f t="shared" si="151"/>
        <v>0</v>
      </c>
      <c r="BY220" s="84" t="str">
        <f t="shared" si="152"/>
        <v/>
      </c>
      <c r="BZ220" s="85">
        <f>IF(_xlfn.MINIFS('Detalhe Por UC'!R:R,'Detalhe Por UC'!C:C,C220,'Detalhe Por UC'!AD:AD,"&gt;"&amp;0)=0,"",_xlfn.MINIFS('Detalhe Por UC'!R:R,'Detalhe Por UC'!C:C,C220,'Detalhe Por UC'!AD:AD,"&gt;"&amp;0))</f>
        <v>45658</v>
      </c>
      <c r="CA220" s="114">
        <f ca="1">IF(OR(S220&gt;0,AD220&gt;0),IFERROR(
SUMIFS(INDIRECT("'Infos Clientes'!$W"&amp;INDEX('Infos Clientes'!$C:$C,MATCH(C220,'Infos Clientes'!$H:$H,0))&amp;":$CZ"&amp;INDEX('Infos Clientes'!$C:$C,MATCH(C220,'Infos Clientes'!$H:$H,0))),'Infos Clientes'!$W$2:$CZ$2,"&gt;"&amp;$R220-365,'Infos Clientes'!$W$2:$CZ$2,"&lt;="&amp;$R220)/
COUNTIFS(INDIRECT("'Infos Clientes'!$W"&amp;INDEX('Infos Clientes'!$C:$C,MATCH(C220,'Infos Clientes'!$H:$H,0))&amp;":$CZ"&amp;INDEX('Infos Clientes'!$C:$C,MATCH(C220,'Infos Clientes'!$H:$H,0))),"&gt;="&amp;0,'Infos Clientes'!$W$2:$CZ$2,"&gt;"&amp;$R220-365,'Infos Clientes'!$W$2:$CZ$2,"&lt;="&amp;$R220),""),"")</f>
        <v>294.16666666666669</v>
      </c>
      <c r="CB220" s="87">
        <f>VLOOKUP(C220,'Infos Clientes'!B:L,11,0)</f>
        <v>0</v>
      </c>
      <c r="CC220" s="88" t="str">
        <f t="shared" si="153"/>
        <v>A Unidade Consumidora 10/24514-2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0" s="40" t="s">
        <v>174</v>
      </c>
      <c r="CF220" s="115">
        <f t="shared" si="154"/>
        <v>-425.29</v>
      </c>
    </row>
    <row r="221" spans="1:84" ht="16.2" hidden="1" customHeight="1" x14ac:dyDescent="0.3">
      <c r="A221" s="105" t="str">
        <f>INDEX('Infos Clientes'!$D:$D,MATCH('Detalhe Por UC'!C221,'Infos Clientes'!B:B,0))</f>
        <v>IGREJA DO EVANGELHO QUADRANGULAR</v>
      </c>
      <c r="B221" s="106" t="str">
        <f>INDEX('Infos Clientes'!$F:$F,MATCH('Detalhe Por UC'!C221,'Infos Clientes'!B:B,0))</f>
        <v>62.955.505/2876-01</v>
      </c>
      <c r="C221" s="31" t="s">
        <v>180</v>
      </c>
      <c r="D221" t="s">
        <v>351</v>
      </c>
      <c r="E221" s="1" t="s">
        <v>352</v>
      </c>
      <c r="F221" s="56" t="str">
        <f>INDEX('Infos Clientes'!$I:$I,MATCH('Detalhe Por UC'!C221,'Infos Clientes'!B:B,0))</f>
        <v>BT</v>
      </c>
      <c r="G221" s="56" t="str">
        <f>INDEX('Infos Clientes'!$J:$J,MATCH('Detalhe Por UC'!C221,'Infos Clientes'!B:B,0))</f>
        <v>trifasico</v>
      </c>
      <c r="H221" s="108" t="s">
        <v>138</v>
      </c>
      <c r="I221" s="58">
        <f>IFERROR(VLOOKUP(C221,'Infos Clientes'!B:E,4,),"")</f>
        <v>994</v>
      </c>
      <c r="J221" s="109">
        <v>0.25</v>
      </c>
      <c r="K221" s="59">
        <f>INDEX('Infos Clientes'!$M:$M,MATCH('Detalhe Por UC'!C221,'Infos Clientes'!B:B,0))</f>
        <v>0.25</v>
      </c>
      <c r="L221" s="125">
        <v>0</v>
      </c>
      <c r="M221" s="56">
        <f>INDEX('Infos Clientes'!$N:$N,MATCH('Detalhe Por UC'!C221,'Infos Clientes'!B:B,0))</f>
        <v>0</v>
      </c>
      <c r="N221" s="56">
        <f t="shared" si="118"/>
        <v>0</v>
      </c>
      <c r="O221" s="56">
        <f t="shared" si="119"/>
        <v>11</v>
      </c>
      <c r="P221" s="56">
        <f t="shared" si="120"/>
        <v>0</v>
      </c>
      <c r="Q221" s="61">
        <f>IFERROR(IFERROR(INDEX('Infos Clientes'!$A$2:$V$9884,MATCH($C221,'Infos Clientes'!$B$2:$B$9884,0),MATCH(Q$8,'Infos Clientes'!$A$2:$V$2,0)),"")
+IF(OR(INDEX('Infos Clientes'!$A$2:$V$9884,MATCH($C221,'Infos Clientes'!$B$2:$B$9884,0),MATCH("Tempo de Fidelidade (meses)",'Infos Clientes'!$A$2:$V$2,0))=0,R221&gt;=MAX(R:R)),0,
ROUND((MAX(R:R)-R221)/(365/12),0)),"")</f>
        <v>0</v>
      </c>
      <c r="R221" s="111">
        <v>45689</v>
      </c>
      <c r="S221" s="63">
        <v>0.01</v>
      </c>
      <c r="T221" s="113" t="str">
        <f>IF($H221="GIROSSOL II",AP221/INDEX('Resumo Operacional'!$A$1:$P$1103,17,MATCH('Detalhe Por UC'!$R221,'Resumo Operacional'!$A$1:$P$1,0)),
IF($H221="GIROSSOL II e III",AP221/INDEX('Resumo Operacional'!$A$1:$P$1103,17,MATCH('Detalhe Por UC'!$R221,'Resumo Operacional'!$A$1:$P$1,0)),
""))</f>
        <v/>
      </c>
      <c r="U221" s="113">
        <f>IF($H221="GIROSSOL III",AP221/INDEX('Resumo Operacional'!$A$1:$P$1103,53,MATCH('Detalhe Por UC'!$R221,'Resumo Operacional'!$A$1:$P$1,0)),
IF($H221="GIROSSOL II e III",AP221/INDEX('Resumo Operacional'!$A$1:$P$1103,53,MATCH('Detalhe Por UC'!$R221,'Resumo Operacional'!$A$1:$P$1,0)),
""))</f>
        <v>6.6362505184570713E-3</v>
      </c>
      <c r="V221" s="18"/>
      <c r="W221" s="54"/>
      <c r="X221" s="131">
        <v>1.116243093922652</v>
      </c>
      <c r="Y221" s="132">
        <v>0</v>
      </c>
      <c r="Z221" s="133">
        <v>0.97406250000000016</v>
      </c>
      <c r="AA221" s="133">
        <v>0</v>
      </c>
      <c r="AB221" s="134">
        <v>181</v>
      </c>
      <c r="AC221" s="134">
        <v>0</v>
      </c>
      <c r="AD221" s="135">
        <v>96</v>
      </c>
      <c r="AE221" s="35"/>
      <c r="AF221" s="135">
        <v>0</v>
      </c>
      <c r="AG221" s="135">
        <v>0</v>
      </c>
      <c r="AH221" s="44">
        <v>33.64</v>
      </c>
      <c r="AI221" s="44">
        <v>0</v>
      </c>
      <c r="AJ221" s="44">
        <v>0</v>
      </c>
      <c r="AK221" s="31"/>
      <c r="AN221" s="71">
        <f t="shared" si="121"/>
        <v>0</v>
      </c>
      <c r="AO221" s="71">
        <f t="shared" si="122"/>
        <v>0</v>
      </c>
      <c r="AP221" s="71">
        <f t="shared" si="123"/>
        <v>96</v>
      </c>
      <c r="AQ221" s="72">
        <f>IF(OR($H221="GIROSSOL II",$H221="GIROSSOL II e III"),INDEX('Resumo Operacional'!$A$1:$P$1103,MATCH("Energia Injetada prevista total Fatura da Usina (TUSD)",'Resumo Operacional'!$B$1:$B$1103,0),MATCH('Detalhe Por UC'!$R221,'Resumo Operacional'!$A$1:$P$1,0))*$S221,INDEX('Resumo Operacional'!$A$1:$P$1103,53,MATCH('Detalhe Por UC'!$R221,'Resumo Operacional'!$A$1:$P$1,0))*$S221)</f>
        <v>144.66</v>
      </c>
      <c r="AR221" s="71">
        <f t="shared" si="124"/>
        <v>-48.66</v>
      </c>
      <c r="AS221" s="73">
        <f t="shared" si="125"/>
        <v>142.17000000000002</v>
      </c>
      <c r="AT221" s="74">
        <f t="shared" si="126"/>
        <v>142.17000000000002</v>
      </c>
      <c r="AU221" s="74">
        <f t="shared" si="127"/>
        <v>0.83188190607734835</v>
      </c>
      <c r="AV221" s="74">
        <f t="shared" si="128"/>
        <v>70.132500000000022</v>
      </c>
      <c r="AW221" s="74">
        <f t="shared" si="129"/>
        <v>0</v>
      </c>
      <c r="AX221" s="74">
        <f t="shared" si="130"/>
        <v>93.510000000000019</v>
      </c>
      <c r="AY221" s="74">
        <f t="shared" si="131"/>
        <v>70.13</v>
      </c>
      <c r="AZ221" s="49">
        <v>70.13</v>
      </c>
      <c r="BC221" s="73" t="str">
        <f t="shared" si="132"/>
        <v/>
      </c>
      <c r="BD221" s="73">
        <f t="shared" si="133"/>
        <v>235.68</v>
      </c>
      <c r="BE221" s="73">
        <f t="shared" si="134"/>
        <v>212.30250000000004</v>
      </c>
      <c r="BF221" s="77">
        <f t="shared" si="135"/>
        <v>23.38</v>
      </c>
      <c r="BG221" s="77">
        <f t="shared" si="136"/>
        <v>7.0139999999999993</v>
      </c>
      <c r="BH221" s="77">
        <f t="shared" si="137"/>
        <v>93.510000000000019</v>
      </c>
      <c r="BI221" s="78">
        <f t="shared" si="138"/>
        <v>0.25</v>
      </c>
      <c r="BJ221" s="79">
        <f t="shared" si="139"/>
        <v>9.9202308214528162E-2</v>
      </c>
      <c r="BK221" s="80">
        <f t="shared" si="140"/>
        <v>212.3</v>
      </c>
      <c r="BL221" s="80">
        <f t="shared" si="141"/>
        <v>23.379999999999995</v>
      </c>
      <c r="BM221" s="79">
        <f t="shared" si="142"/>
        <v>9.9202308214528148E-2</v>
      </c>
      <c r="BN221" s="81">
        <f t="shared" si="143"/>
        <v>0.73052083333333329</v>
      </c>
      <c r="BO221" s="82">
        <f t="shared" si="144"/>
        <v>70.13</v>
      </c>
      <c r="BP221" s="81">
        <f t="shared" si="145"/>
        <v>0.73052083333333329</v>
      </c>
      <c r="BQ221" s="81">
        <f t="shared" si="146"/>
        <v>0.8727014272559851</v>
      </c>
      <c r="BR221" s="81">
        <f t="shared" si="147"/>
        <v>1.116243093922652</v>
      </c>
      <c r="BS221" s="82">
        <f t="shared" si="148"/>
        <v>96</v>
      </c>
      <c r="BT221" s="82">
        <f t="shared" si="149"/>
        <v>107.1593370165746</v>
      </c>
      <c r="BU221" s="82">
        <f t="shared" si="150"/>
        <v>93.510000000000019</v>
      </c>
      <c r="BW221" s="82">
        <f>IFERROR(INDEX('Infos Clientes'!$T:$T,MATCH('Detalhe Por UC'!$C221,'Infos Clientes'!B:B,0)),"")</f>
        <v>143.63636363636363</v>
      </c>
      <c r="BX221" s="83">
        <f t="shared" si="151"/>
        <v>0</v>
      </c>
      <c r="BY221" s="84">
        <f t="shared" si="152"/>
        <v>0.21817977463208624</v>
      </c>
      <c r="BZ221" s="85">
        <f>IF(_xlfn.MINIFS('Detalhe Por UC'!R:R,'Detalhe Por UC'!C:C,C221,'Detalhe Por UC'!AD:AD,"&gt;"&amp;0)=0,"",_xlfn.MINIFS('Detalhe Por UC'!R:R,'Detalhe Por UC'!C:C,C221,'Detalhe Por UC'!AD:AD,"&gt;"&amp;0))</f>
        <v>45658</v>
      </c>
      <c r="CA221" s="114">
        <f ca="1">IF(OR(S221&gt;0,AD221&gt;0),IFERROR(
SUMIFS(INDIRECT("'Infos Clientes'!$W"&amp;INDEX('Infos Clientes'!$C:$C,MATCH(C221,'Infos Clientes'!$H:$H,0))&amp;":$CZ"&amp;INDEX('Infos Clientes'!$C:$C,MATCH(C221,'Infos Clientes'!$H:$H,0))),'Infos Clientes'!$W$2:$CZ$2,"&gt;"&amp;$R221-365,'Infos Clientes'!$W$2:$CZ$2,"&lt;="&amp;$R221)/
COUNTIFS(INDIRECT("'Infos Clientes'!$W"&amp;INDEX('Infos Clientes'!$C:$C,MATCH(C221,'Infos Clientes'!$H:$H,0))&amp;":$CZ"&amp;INDEX('Infos Clientes'!$C:$C,MATCH(C221,'Infos Clientes'!$H:$H,0))),"&gt;="&amp;0,'Infos Clientes'!$W$2:$CZ$2,"&gt;"&amp;$R221-365,'Infos Clientes'!$W$2:$CZ$2,"&lt;="&amp;$R221),""),"")</f>
        <v>134.58333333333334</v>
      </c>
      <c r="CB221" s="87">
        <f>VLOOKUP(C221,'Infos Clientes'!B:L,11,0)</f>
        <v>0</v>
      </c>
      <c r="CC221" s="88" t="str">
        <f t="shared" si="153"/>
        <v>A Unidade Consumidora 10/283183-2 economizou R$23,38 na fatura referente à fev/2025  consumindo 96 kWh em créditos de energia renovável conforme fatura de energia. A economia foi de 25% em relação ao que seria pago para a Energisa considerando os créditos consumidos. Atenção: Mantenha as contas da Energisa em dia para evitar cortes.</v>
      </c>
      <c r="CD221" s="40" t="s">
        <v>182</v>
      </c>
      <c r="CF221" s="115">
        <f t="shared" si="154"/>
        <v>-142.17000000000002</v>
      </c>
    </row>
    <row r="222" spans="1:84" ht="16.2" hidden="1" customHeight="1" x14ac:dyDescent="0.3">
      <c r="A222" s="105" t="str">
        <f>INDEX('Infos Clientes'!$D:$D,MATCH('Detalhe Por UC'!C222,'Infos Clientes'!B:B,0))</f>
        <v>IGREJA DO EVANGELHO QUADRANGULAR</v>
      </c>
      <c r="B222" s="106" t="str">
        <f>INDEX('Infos Clientes'!$F:$F,MATCH('Detalhe Por UC'!C222,'Infos Clientes'!B:B,0))</f>
        <v>62.955.505/1975-21</v>
      </c>
      <c r="C222" s="31" t="s">
        <v>154</v>
      </c>
      <c r="D222" t="s">
        <v>351</v>
      </c>
      <c r="E222" s="1" t="s">
        <v>352</v>
      </c>
      <c r="F222" s="56" t="str">
        <f>INDEX('Infos Clientes'!$I:$I,MATCH('Detalhe Por UC'!C222,'Infos Clientes'!B:B,0))</f>
        <v>BT</v>
      </c>
      <c r="G222" s="56" t="str">
        <f>INDEX('Infos Clientes'!$J:$J,MATCH('Detalhe Por UC'!C222,'Infos Clientes'!B:B,0))</f>
        <v>bifasico</v>
      </c>
      <c r="H222" s="108" t="s">
        <v>138</v>
      </c>
      <c r="I222" s="58">
        <f>IFERROR(VLOOKUP(C222,'Infos Clientes'!B:E,4,),"")</f>
        <v>357</v>
      </c>
      <c r="J222" s="109">
        <v>0.25</v>
      </c>
      <c r="K222" s="59">
        <f>INDEX('Infos Clientes'!$M:$M,MATCH('Detalhe Por UC'!C222,'Infos Clientes'!B:B,0))</f>
        <v>0.25</v>
      </c>
      <c r="L222" s="125">
        <v>0</v>
      </c>
      <c r="M222" s="56">
        <f>INDEX('Infos Clientes'!$N:$N,MATCH('Detalhe Por UC'!C222,'Infos Clientes'!B:B,0))</f>
        <v>0</v>
      </c>
      <c r="N222" s="56">
        <f t="shared" si="118"/>
        <v>0</v>
      </c>
      <c r="O222" s="56">
        <f t="shared" si="119"/>
        <v>9</v>
      </c>
      <c r="P222" s="56">
        <f t="shared" si="120"/>
        <v>0</v>
      </c>
      <c r="Q222" s="61">
        <f>IFERROR(IFERROR(INDEX('Infos Clientes'!$A$2:$V$9884,MATCH($C222,'Infos Clientes'!$B$2:$B$9884,0),MATCH(Q$8,'Infos Clientes'!$A$2:$V$2,0)),"")
+IF(OR(INDEX('Infos Clientes'!$A$2:$V$9884,MATCH($C222,'Infos Clientes'!$B$2:$B$9884,0),MATCH("Tempo de Fidelidade (meses)",'Infos Clientes'!$A$2:$V$2,0))=0,R222&gt;=MAX(R:R)),0,
ROUND((MAX(R:R)-R222)/(365/12),0)),"")</f>
        <v>0</v>
      </c>
      <c r="R222" s="111">
        <v>45689</v>
      </c>
      <c r="S222" s="63">
        <v>0.02</v>
      </c>
      <c r="T222" s="113" t="str">
        <f>IF($H222="GIROSSOL II",AP222/INDEX('Resumo Operacional'!$A$1:$P$1103,17,MATCH('Detalhe Por UC'!$R222,'Resumo Operacional'!$A$1:$P$1,0)),
IF($H222="GIROSSOL II e III",AP222/INDEX('Resumo Operacional'!$A$1:$P$1103,17,MATCH('Detalhe Por UC'!$R222,'Resumo Operacional'!$A$1:$P$1,0)),
""))</f>
        <v/>
      </c>
      <c r="U222" s="113">
        <f>IF($H222="GIROSSOL III",AP222/INDEX('Resumo Operacional'!$A$1:$P$1103,53,MATCH('Detalhe Por UC'!$R222,'Resumo Operacional'!$A$1:$P$1,0)),
IF($H222="GIROSSOL II e III",AP222/INDEX('Resumo Operacional'!$A$1:$P$1103,53,MATCH('Detalhe Por UC'!$R222,'Resumo Operacional'!$A$1:$P$1,0)),
""))</f>
        <v>0</v>
      </c>
      <c r="V222" s="18"/>
      <c r="W222" s="54"/>
      <c r="X222" s="131">
        <v>1.1162361623616237</v>
      </c>
      <c r="Y222" s="132">
        <v>0</v>
      </c>
      <c r="Z222" s="133">
        <v>0</v>
      </c>
      <c r="AA222" s="133">
        <v>0</v>
      </c>
      <c r="AB222" s="134">
        <v>271</v>
      </c>
      <c r="AC222" s="134">
        <v>0</v>
      </c>
      <c r="AD222" s="135">
        <v>0</v>
      </c>
      <c r="AE222" s="35"/>
      <c r="AF222" s="135">
        <v>0</v>
      </c>
      <c r="AG222" s="135">
        <v>0</v>
      </c>
      <c r="AH222" s="44">
        <v>4.41</v>
      </c>
      <c r="AI222" s="44">
        <v>0</v>
      </c>
      <c r="AJ222" s="44">
        <v>0</v>
      </c>
      <c r="AK222" s="31"/>
      <c r="AN222" s="71">
        <f t="shared" si="121"/>
        <v>0</v>
      </c>
      <c r="AO222" s="71">
        <f t="shared" si="122"/>
        <v>0</v>
      </c>
      <c r="AP222" s="71">
        <f t="shared" si="123"/>
        <v>0</v>
      </c>
      <c r="AQ222" s="72">
        <f>IF(OR($H222="GIROSSOL II",$H222="GIROSSOL II e III"),INDEX('Resumo Operacional'!$A$1:$P$1103,MATCH("Energia Injetada prevista total Fatura da Usina (TUSD)",'Resumo Operacional'!$B$1:$B$1103,0),MATCH('Detalhe Por UC'!$R222,'Resumo Operacional'!$A$1:$P$1,0))*$S222,INDEX('Resumo Operacional'!$A$1:$P$1103,53,MATCH('Detalhe Por UC'!$R222,'Resumo Operacional'!$A$1:$P$1,0))*$S222)</f>
        <v>289.32</v>
      </c>
      <c r="AR222" s="71">
        <f t="shared" si="124"/>
        <v>-289.32</v>
      </c>
      <c r="AS222" s="73">
        <f t="shared" si="125"/>
        <v>306.91000000000003</v>
      </c>
      <c r="AT222" s="74">
        <f t="shared" si="126"/>
        <v>306.91000000000003</v>
      </c>
      <c r="AU222" s="74" t="str">
        <f t="shared" si="127"/>
        <v/>
      </c>
      <c r="AV222" s="74">
        <f t="shared" si="128"/>
        <v>0</v>
      </c>
      <c r="AW222" s="74">
        <f t="shared" si="129"/>
        <v>0</v>
      </c>
      <c r="AX222" s="74">
        <f t="shared" si="130"/>
        <v>0</v>
      </c>
      <c r="AY222" s="74" t="str">
        <f t="shared" si="131"/>
        <v/>
      </c>
      <c r="BC222" s="73" t="str">
        <f t="shared" si="132"/>
        <v/>
      </c>
      <c r="BD222" s="73">
        <f t="shared" si="133"/>
        <v>306.91000000000003</v>
      </c>
      <c r="BE222" s="73">
        <f t="shared" si="134"/>
        <v>306.91000000000003</v>
      </c>
      <c r="BF222" s="77">
        <f t="shared" si="135"/>
        <v>0</v>
      </c>
      <c r="BG222" s="77">
        <f t="shared" si="136"/>
        <v>0</v>
      </c>
      <c r="BH222" s="77">
        <f t="shared" si="137"/>
        <v>0</v>
      </c>
      <c r="BI222" s="78" t="str">
        <f t="shared" si="138"/>
        <v/>
      </c>
      <c r="BJ222" s="79">
        <f t="shared" si="139"/>
        <v>0</v>
      </c>
      <c r="BK222" s="80" t="str">
        <f t="shared" si="140"/>
        <v/>
      </c>
      <c r="BL222" s="80" t="str">
        <f t="shared" si="141"/>
        <v/>
      </c>
      <c r="BM222" s="79" t="str">
        <f t="shared" si="142"/>
        <v/>
      </c>
      <c r="BN222" s="81" t="str">
        <f t="shared" si="143"/>
        <v/>
      </c>
      <c r="BO222" s="82" t="str">
        <f t="shared" si="144"/>
        <v/>
      </c>
      <c r="BP222" s="81" t="str">
        <f t="shared" si="145"/>
        <v/>
      </c>
      <c r="BQ222" s="81" t="str">
        <f t="shared" si="146"/>
        <v/>
      </c>
      <c r="BR222" s="81" t="str">
        <f t="shared" si="147"/>
        <v/>
      </c>
      <c r="BS222" s="82">
        <f t="shared" si="148"/>
        <v>0</v>
      </c>
      <c r="BT222" s="82" t="str">
        <f t="shared" si="149"/>
        <v/>
      </c>
      <c r="BU222" s="82">
        <f t="shared" si="150"/>
        <v>0</v>
      </c>
      <c r="BW222" s="82">
        <f>IFERROR(INDEX('Infos Clientes'!$T:$T,MATCH('Detalhe Por UC'!$C222,'Infos Clientes'!B:B,0)),"")</f>
        <v>278.36363636363637</v>
      </c>
      <c r="BX222" s="83">
        <f t="shared" si="151"/>
        <v>0</v>
      </c>
      <c r="BY222" s="84" t="str">
        <f t="shared" si="152"/>
        <v/>
      </c>
      <c r="BZ222" s="85">
        <f>IF(_xlfn.MINIFS('Detalhe Por UC'!R:R,'Detalhe Por UC'!C:C,C222,'Detalhe Por UC'!AD:AD,"&gt;"&amp;0)=0,"",_xlfn.MINIFS('Detalhe Por UC'!R:R,'Detalhe Por UC'!C:C,C222,'Detalhe Por UC'!AD:AD,"&gt;"&amp;0))</f>
        <v>45658</v>
      </c>
      <c r="CA222" s="114">
        <f ca="1">IF(OR(S222&gt;0,AD222&gt;0),IFERROR(
SUMIFS(INDIRECT("'Infos Clientes'!$W"&amp;INDEX('Infos Clientes'!$C:$C,MATCH(C222,'Infos Clientes'!$H:$H,0))&amp;":$CZ"&amp;INDEX('Infos Clientes'!$C:$C,MATCH(C222,'Infos Clientes'!$H:$H,0))),'Infos Clientes'!$W$2:$CZ$2,"&gt;"&amp;$R222-365,'Infos Clientes'!$W$2:$CZ$2,"&lt;="&amp;$R222)/
COUNTIFS(INDIRECT("'Infos Clientes'!$W"&amp;INDEX('Infos Clientes'!$C:$C,MATCH(C222,'Infos Clientes'!$H:$H,0))&amp;":$CZ"&amp;INDEX('Infos Clientes'!$C:$C,MATCH(C222,'Infos Clientes'!$H:$H,0))),"&gt;="&amp;0,'Infos Clientes'!$W$2:$CZ$2,"&gt;"&amp;$R222-365,'Infos Clientes'!$W$2:$CZ$2,"&lt;="&amp;$R222),""),"")</f>
        <v>253</v>
      </c>
      <c r="CB222" s="87">
        <f>VLOOKUP(C222,'Infos Clientes'!B:L,11,0)</f>
        <v>0</v>
      </c>
      <c r="CC222" s="88" t="str">
        <f t="shared" si="153"/>
        <v>A Unidade Consumidora 10/13786-9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2" s="40" t="s">
        <v>156</v>
      </c>
      <c r="CF222" s="115">
        <f t="shared" si="154"/>
        <v>-306.91000000000003</v>
      </c>
    </row>
    <row r="223" spans="1:84" ht="16.2" hidden="1" customHeight="1" x14ac:dyDescent="0.3">
      <c r="A223" s="105" t="str">
        <f>INDEX('Infos Clientes'!$D:$D,MATCH('Detalhe Por UC'!C223,'Infos Clientes'!B:B,0))</f>
        <v>IGREJA DO EVANGELHO QUADRANGULAR</v>
      </c>
      <c r="B223" s="106" t="str">
        <f>INDEX('Infos Clientes'!$F:$F,MATCH('Detalhe Por UC'!C223,'Infos Clientes'!B:B,0))</f>
        <v>62.955.505/1355-00</v>
      </c>
      <c r="C223" s="31" t="s">
        <v>219</v>
      </c>
      <c r="D223" t="s">
        <v>351</v>
      </c>
      <c r="E223" s="1" t="s">
        <v>352</v>
      </c>
      <c r="F223" s="56" t="str">
        <f>INDEX('Infos Clientes'!$I:$I,MATCH('Detalhe Por UC'!C223,'Infos Clientes'!B:B,0))</f>
        <v>BT</v>
      </c>
      <c r="G223" s="56" t="str">
        <f>INDEX('Infos Clientes'!$J:$J,MATCH('Detalhe Por UC'!C223,'Infos Clientes'!B:B,0))</f>
        <v>trifasico</v>
      </c>
      <c r="H223" s="108" t="s">
        <v>138</v>
      </c>
      <c r="I223" s="58">
        <f>IFERROR(VLOOKUP(C223,'Infos Clientes'!B:E,4,),"")</f>
        <v>319</v>
      </c>
      <c r="J223" s="109">
        <v>0.25</v>
      </c>
      <c r="K223" s="59">
        <f>INDEX('Infos Clientes'!$M:$M,MATCH('Detalhe Por UC'!C223,'Infos Clientes'!B:B,0))</f>
        <v>0.25</v>
      </c>
      <c r="L223" s="125">
        <v>0</v>
      </c>
      <c r="M223" s="56">
        <f>INDEX('Infos Clientes'!$N:$N,MATCH('Detalhe Por UC'!C223,'Infos Clientes'!B:B,0))</f>
        <v>0</v>
      </c>
      <c r="N223" s="56">
        <f t="shared" si="118"/>
        <v>0</v>
      </c>
      <c r="O223" s="56">
        <f t="shared" si="119"/>
        <v>9</v>
      </c>
      <c r="P223" s="56">
        <f t="shared" si="120"/>
        <v>0</v>
      </c>
      <c r="Q223" s="61">
        <f>IFERROR(IFERROR(INDEX('Infos Clientes'!$A$2:$V$9884,MATCH($C223,'Infos Clientes'!$B$2:$B$9884,0),MATCH(Q$8,'Infos Clientes'!$A$2:$V$2,0)),"")
+IF(OR(INDEX('Infos Clientes'!$A$2:$V$9884,MATCH($C223,'Infos Clientes'!$B$2:$B$9884,0),MATCH("Tempo de Fidelidade (meses)",'Infos Clientes'!$A$2:$V$2,0))=0,R223&gt;=MAX(R:R)),0,
ROUND((MAX(R:R)-R223)/(365/12),0)),"")</f>
        <v>0</v>
      </c>
      <c r="R223" s="111">
        <v>45689</v>
      </c>
      <c r="S223" s="63">
        <v>0.02</v>
      </c>
      <c r="T223" s="113" t="str">
        <f>IF($H223="GIROSSOL II",AP223/INDEX('Resumo Operacional'!$A$1:$P$1103,17,MATCH('Detalhe Por UC'!$R223,'Resumo Operacional'!$A$1:$P$1,0)),
IF($H223="GIROSSOL II e III",AP223/INDEX('Resumo Operacional'!$A$1:$P$1103,17,MATCH('Detalhe Por UC'!$R223,'Resumo Operacional'!$A$1:$P$1,0)),
""))</f>
        <v/>
      </c>
      <c r="U223" s="113">
        <f>IF($H223="GIROSSOL III",AP223/INDEX('Resumo Operacional'!$A$1:$P$1103,53,MATCH('Detalhe Por UC'!$R223,'Resumo Operacional'!$A$1:$P$1,0)),
IF($H223="GIROSSOL II e III",AP223/INDEX('Resumo Operacional'!$A$1:$P$1103,53,MATCH('Detalhe Por UC'!$R223,'Resumo Operacional'!$A$1:$P$1,0)),
""))</f>
        <v>0</v>
      </c>
      <c r="V223" s="18"/>
      <c r="W223" s="54"/>
      <c r="X223" s="131">
        <v>1.1162554112554113</v>
      </c>
      <c r="Y223" s="132">
        <v>0</v>
      </c>
      <c r="Z223" s="133">
        <v>0</v>
      </c>
      <c r="AA223" s="133">
        <v>0</v>
      </c>
      <c r="AB223" s="134">
        <v>462</v>
      </c>
      <c r="AC223" s="134">
        <v>0</v>
      </c>
      <c r="AD223" s="135">
        <v>0</v>
      </c>
      <c r="AE223" s="35"/>
      <c r="AF223" s="135">
        <v>0</v>
      </c>
      <c r="AG223" s="135">
        <v>0</v>
      </c>
      <c r="AH223" s="44">
        <v>70.97</v>
      </c>
      <c r="AI223" s="44">
        <v>0</v>
      </c>
      <c r="AJ223" s="44">
        <v>0</v>
      </c>
      <c r="AK223" s="31"/>
      <c r="AN223" s="71">
        <f t="shared" si="121"/>
        <v>0</v>
      </c>
      <c r="AO223" s="71">
        <f t="shared" si="122"/>
        <v>0</v>
      </c>
      <c r="AP223" s="71">
        <f t="shared" si="123"/>
        <v>0</v>
      </c>
      <c r="AQ223" s="72">
        <f>IF(OR($H223="GIROSSOL II",$H223="GIROSSOL II e III"),INDEX('Resumo Operacional'!$A$1:$P$1103,MATCH("Energia Injetada prevista total Fatura da Usina (TUSD)",'Resumo Operacional'!$B$1:$B$1103,0),MATCH('Detalhe Por UC'!$R223,'Resumo Operacional'!$A$1:$P$1,0))*$S223,INDEX('Resumo Operacional'!$A$1:$P$1103,53,MATCH('Detalhe Por UC'!$R223,'Resumo Operacional'!$A$1:$P$1,0))*$S223)</f>
        <v>289.32</v>
      </c>
      <c r="AR223" s="71">
        <f t="shared" si="124"/>
        <v>-289.32</v>
      </c>
      <c r="AS223" s="73">
        <f t="shared" si="125"/>
        <v>586.68000000000006</v>
      </c>
      <c r="AT223" s="74">
        <f t="shared" si="126"/>
        <v>586.68000000000006</v>
      </c>
      <c r="AU223" s="74" t="str">
        <f t="shared" si="127"/>
        <v/>
      </c>
      <c r="AV223" s="74">
        <f t="shared" si="128"/>
        <v>0</v>
      </c>
      <c r="AW223" s="74">
        <f t="shared" si="129"/>
        <v>0</v>
      </c>
      <c r="AX223" s="74">
        <f t="shared" si="130"/>
        <v>0</v>
      </c>
      <c r="AY223" s="74" t="str">
        <f t="shared" si="131"/>
        <v/>
      </c>
      <c r="BC223" s="73" t="str">
        <f t="shared" si="132"/>
        <v/>
      </c>
      <c r="BD223" s="73">
        <f t="shared" si="133"/>
        <v>586.68000000000006</v>
      </c>
      <c r="BE223" s="73">
        <f t="shared" si="134"/>
        <v>586.68000000000006</v>
      </c>
      <c r="BF223" s="77">
        <f t="shared" si="135"/>
        <v>0</v>
      </c>
      <c r="BG223" s="77">
        <f t="shared" si="136"/>
        <v>0</v>
      </c>
      <c r="BH223" s="77">
        <f t="shared" si="137"/>
        <v>0</v>
      </c>
      <c r="BI223" s="78" t="str">
        <f t="shared" si="138"/>
        <v/>
      </c>
      <c r="BJ223" s="79">
        <f t="shared" si="139"/>
        <v>0</v>
      </c>
      <c r="BK223" s="80" t="str">
        <f t="shared" si="140"/>
        <v/>
      </c>
      <c r="BL223" s="80" t="str">
        <f t="shared" si="141"/>
        <v/>
      </c>
      <c r="BM223" s="79" t="str">
        <f t="shared" si="142"/>
        <v/>
      </c>
      <c r="BN223" s="81" t="str">
        <f t="shared" si="143"/>
        <v/>
      </c>
      <c r="BO223" s="82" t="str">
        <f t="shared" si="144"/>
        <v/>
      </c>
      <c r="BP223" s="81" t="str">
        <f t="shared" si="145"/>
        <v/>
      </c>
      <c r="BQ223" s="81" t="str">
        <f t="shared" si="146"/>
        <v/>
      </c>
      <c r="BR223" s="81" t="str">
        <f t="shared" si="147"/>
        <v/>
      </c>
      <c r="BS223" s="82">
        <f t="shared" si="148"/>
        <v>0</v>
      </c>
      <c r="BT223" s="82" t="str">
        <f t="shared" si="149"/>
        <v/>
      </c>
      <c r="BU223" s="82">
        <f t="shared" si="150"/>
        <v>0</v>
      </c>
      <c r="BW223" s="82">
        <f>IFERROR(INDEX('Infos Clientes'!$T:$T,MATCH('Detalhe Por UC'!$C223,'Infos Clientes'!B:B,0)),"")</f>
        <v>385.63636363636363</v>
      </c>
      <c r="BX223" s="83">
        <f t="shared" si="151"/>
        <v>0</v>
      </c>
      <c r="BY223" s="84" t="str">
        <f t="shared" si="152"/>
        <v/>
      </c>
      <c r="BZ223" s="85">
        <f>IF(_xlfn.MINIFS('Detalhe Por UC'!R:R,'Detalhe Por UC'!C:C,C223,'Detalhe Por UC'!AD:AD,"&gt;"&amp;0)=0,"",_xlfn.MINIFS('Detalhe Por UC'!R:R,'Detalhe Por UC'!C:C,C223,'Detalhe Por UC'!AD:AD,"&gt;"&amp;0))</f>
        <v>45658</v>
      </c>
      <c r="CA223" s="114">
        <f ca="1">IF(OR(S223&gt;0,AD223&gt;0),IFERROR(
SUMIFS(INDIRECT("'Infos Clientes'!$W"&amp;INDEX('Infos Clientes'!$C:$C,MATCH(C223,'Infos Clientes'!$H:$H,0))&amp;":$CZ"&amp;INDEX('Infos Clientes'!$C:$C,MATCH(C223,'Infos Clientes'!$H:$H,0))),'Infos Clientes'!$W$2:$CZ$2,"&gt;"&amp;$R223-365,'Infos Clientes'!$W$2:$CZ$2,"&lt;="&amp;$R223)/
COUNTIFS(INDIRECT("'Infos Clientes'!$W"&amp;INDEX('Infos Clientes'!$C:$C,MATCH(C223,'Infos Clientes'!$H:$H,0))&amp;":$CZ"&amp;INDEX('Infos Clientes'!$C:$C,MATCH(C223,'Infos Clientes'!$H:$H,0))),"&gt;="&amp;0,'Infos Clientes'!$W$2:$CZ$2,"&gt;"&amp;$R223-365,'Infos Clientes'!$W$2:$CZ$2,"&lt;="&amp;$R223),""),"")</f>
        <v>353.08333333333331</v>
      </c>
      <c r="CB223" s="87">
        <f>VLOOKUP(C223,'Infos Clientes'!B:L,11,0)</f>
        <v>0</v>
      </c>
      <c r="CC223" s="88" t="str">
        <f t="shared" si="153"/>
        <v>A Unidade Consumidora 10/63920-3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3" s="40" t="s">
        <v>221</v>
      </c>
      <c r="CF223" s="115">
        <f t="shared" si="154"/>
        <v>-586.68000000000006</v>
      </c>
    </row>
    <row r="224" spans="1:84" ht="16.2" hidden="1" customHeight="1" x14ac:dyDescent="0.3">
      <c r="A224" s="105" t="str">
        <f>INDEX('Infos Clientes'!$D:$D,MATCH('Detalhe Por UC'!C224,'Infos Clientes'!B:B,0))</f>
        <v>IGREJA DO EVANGELHO QUADRANGULAR</v>
      </c>
      <c r="B224" s="106" t="str">
        <f>INDEX('Infos Clientes'!$F:$F,MATCH('Detalhe Por UC'!C224,'Infos Clientes'!B:B,0))</f>
        <v>62.955.505/3757-21</v>
      </c>
      <c r="C224" s="31" t="s">
        <v>187</v>
      </c>
      <c r="D224" t="s">
        <v>351</v>
      </c>
      <c r="E224" s="1" t="s">
        <v>352</v>
      </c>
      <c r="F224" s="56" t="str">
        <f>INDEX('Infos Clientes'!$I:$I,MATCH('Detalhe Por UC'!C224,'Infos Clientes'!B:B,0))</f>
        <v>BT</v>
      </c>
      <c r="G224" s="56" t="str">
        <f>INDEX('Infos Clientes'!$J:$J,MATCH('Detalhe Por UC'!C224,'Infos Clientes'!B:B,0))</f>
        <v>trifasico</v>
      </c>
      <c r="H224" s="108" t="s">
        <v>138</v>
      </c>
      <c r="I224" s="58">
        <f>IFERROR(VLOOKUP(C224,'Infos Clientes'!B:E,4,),"")</f>
        <v>362</v>
      </c>
      <c r="J224" s="109">
        <v>0.25</v>
      </c>
      <c r="K224" s="59">
        <f>INDEX('Infos Clientes'!$M:$M,MATCH('Detalhe Por UC'!C224,'Infos Clientes'!B:B,0))</f>
        <v>0.25</v>
      </c>
      <c r="L224" s="125">
        <v>0</v>
      </c>
      <c r="M224" s="56">
        <f>INDEX('Infos Clientes'!$N:$N,MATCH('Detalhe Por UC'!C224,'Infos Clientes'!B:B,0))</f>
        <v>0</v>
      </c>
      <c r="N224" s="56">
        <f t="shared" si="118"/>
        <v>0</v>
      </c>
      <c r="O224" s="56">
        <f t="shared" si="119"/>
        <v>9</v>
      </c>
      <c r="P224" s="56">
        <f t="shared" si="120"/>
        <v>0</v>
      </c>
      <c r="Q224" s="61">
        <f>IFERROR(IFERROR(INDEX('Infos Clientes'!$A$2:$V$9884,MATCH($C224,'Infos Clientes'!$B$2:$B$9884,0),MATCH(Q$8,'Infos Clientes'!$A$2:$V$2,0)),"")
+IF(OR(INDEX('Infos Clientes'!$A$2:$V$9884,MATCH($C224,'Infos Clientes'!$B$2:$B$9884,0),MATCH("Tempo de Fidelidade (meses)",'Infos Clientes'!$A$2:$V$2,0))=0,R224&gt;=MAX(R:R)),0,
ROUND((MAX(R:R)-R224)/(365/12),0)),"")</f>
        <v>0</v>
      </c>
      <c r="R224" s="111">
        <v>45689</v>
      </c>
      <c r="S224" s="63">
        <v>0.02</v>
      </c>
      <c r="T224" s="113" t="str">
        <f>IF($H224="GIROSSOL II",AP224/INDEX('Resumo Operacional'!$A$1:$P$1103,17,MATCH('Detalhe Por UC'!$R224,'Resumo Operacional'!$A$1:$P$1,0)),
IF($H224="GIROSSOL II e III",AP224/INDEX('Resumo Operacional'!$A$1:$P$1103,17,MATCH('Detalhe Por UC'!$R224,'Resumo Operacional'!$A$1:$P$1,0)),
""))</f>
        <v/>
      </c>
      <c r="U224" s="113">
        <f>IF($H224="GIROSSOL III",AP224/INDEX('Resumo Operacional'!$A$1:$P$1103,53,MATCH('Detalhe Por UC'!$R224,'Resumo Operacional'!$A$1:$P$1,0)),
IF($H224="GIROSSOL II e III",AP224/INDEX('Resumo Operacional'!$A$1:$P$1103,53,MATCH('Detalhe Por UC'!$R224,'Resumo Operacional'!$A$1:$P$1,0)),
""))</f>
        <v>0</v>
      </c>
      <c r="V224" s="18"/>
      <c r="W224" s="54"/>
      <c r="X224" s="131">
        <v>1.1162540716612377</v>
      </c>
      <c r="Y224" s="132">
        <v>0</v>
      </c>
      <c r="Z224" s="133">
        <v>0</v>
      </c>
      <c r="AA224" s="133">
        <v>0</v>
      </c>
      <c r="AB224" s="134">
        <v>307</v>
      </c>
      <c r="AC224" s="134">
        <v>0</v>
      </c>
      <c r="AD224" s="135">
        <v>0</v>
      </c>
      <c r="AE224" s="35"/>
      <c r="AF224" s="135">
        <v>0</v>
      </c>
      <c r="AG224" s="135">
        <v>0</v>
      </c>
      <c r="AH224" s="44">
        <v>64.16</v>
      </c>
      <c r="AI224" s="44">
        <v>0</v>
      </c>
      <c r="AJ224" s="44">
        <v>0</v>
      </c>
      <c r="AK224" s="31"/>
      <c r="AN224" s="71">
        <f t="shared" si="121"/>
        <v>0</v>
      </c>
      <c r="AO224" s="71">
        <f t="shared" si="122"/>
        <v>0</v>
      </c>
      <c r="AP224" s="71">
        <f t="shared" si="123"/>
        <v>0</v>
      </c>
      <c r="AQ224" s="72">
        <f>IF(OR($H224="GIROSSOL II",$H224="GIROSSOL II e III"),INDEX('Resumo Operacional'!$A$1:$P$1103,MATCH("Energia Injetada prevista total Fatura da Usina (TUSD)",'Resumo Operacional'!$B$1:$B$1103,0),MATCH('Detalhe Por UC'!$R224,'Resumo Operacional'!$A$1:$P$1,0))*$S224,INDEX('Resumo Operacional'!$A$1:$P$1103,53,MATCH('Detalhe Por UC'!$R224,'Resumo Operacional'!$A$1:$P$1,0))*$S224)</f>
        <v>289.32</v>
      </c>
      <c r="AR224" s="71">
        <f t="shared" si="124"/>
        <v>-289.32</v>
      </c>
      <c r="AS224" s="73">
        <f t="shared" si="125"/>
        <v>406.85</v>
      </c>
      <c r="AT224" s="74">
        <f t="shared" si="126"/>
        <v>406.85</v>
      </c>
      <c r="AU224" s="74" t="str">
        <f t="shared" si="127"/>
        <v/>
      </c>
      <c r="AV224" s="74">
        <f t="shared" si="128"/>
        <v>0</v>
      </c>
      <c r="AW224" s="74">
        <f t="shared" si="129"/>
        <v>0</v>
      </c>
      <c r="AX224" s="74">
        <f t="shared" si="130"/>
        <v>0</v>
      </c>
      <c r="AY224" s="74" t="str">
        <f t="shared" si="131"/>
        <v/>
      </c>
      <c r="BC224" s="73" t="str">
        <f t="shared" si="132"/>
        <v/>
      </c>
      <c r="BD224" s="73">
        <f t="shared" si="133"/>
        <v>406.85</v>
      </c>
      <c r="BE224" s="73">
        <f t="shared" si="134"/>
        <v>406.85</v>
      </c>
      <c r="BF224" s="77">
        <f t="shared" si="135"/>
        <v>0</v>
      </c>
      <c r="BG224" s="77">
        <f t="shared" si="136"/>
        <v>0</v>
      </c>
      <c r="BH224" s="77">
        <f t="shared" si="137"/>
        <v>0</v>
      </c>
      <c r="BI224" s="78" t="str">
        <f t="shared" si="138"/>
        <v/>
      </c>
      <c r="BJ224" s="79">
        <f t="shared" si="139"/>
        <v>0</v>
      </c>
      <c r="BK224" s="80" t="str">
        <f t="shared" si="140"/>
        <v/>
      </c>
      <c r="BL224" s="80" t="str">
        <f t="shared" si="141"/>
        <v/>
      </c>
      <c r="BM224" s="79" t="str">
        <f t="shared" si="142"/>
        <v/>
      </c>
      <c r="BN224" s="81" t="str">
        <f t="shared" si="143"/>
        <v/>
      </c>
      <c r="BO224" s="82" t="str">
        <f t="shared" si="144"/>
        <v/>
      </c>
      <c r="BP224" s="81" t="str">
        <f t="shared" si="145"/>
        <v/>
      </c>
      <c r="BQ224" s="81" t="str">
        <f t="shared" si="146"/>
        <v/>
      </c>
      <c r="BR224" s="81" t="str">
        <f t="shared" si="147"/>
        <v/>
      </c>
      <c r="BS224" s="82">
        <f t="shared" si="148"/>
        <v>0</v>
      </c>
      <c r="BT224" s="82" t="str">
        <f t="shared" si="149"/>
        <v/>
      </c>
      <c r="BU224" s="82">
        <f t="shared" si="150"/>
        <v>0</v>
      </c>
      <c r="BW224" s="82">
        <f>IFERROR(INDEX('Infos Clientes'!$T:$T,MATCH('Detalhe Por UC'!$C224,'Infos Clientes'!B:B,0)),"")</f>
        <v>365.90909090909093</v>
      </c>
      <c r="BX224" s="83">
        <f t="shared" si="151"/>
        <v>0</v>
      </c>
      <c r="BY224" s="84" t="str">
        <f t="shared" si="152"/>
        <v/>
      </c>
      <c r="BZ224" s="85">
        <f>IF(_xlfn.MINIFS('Detalhe Por UC'!R:R,'Detalhe Por UC'!C:C,C224,'Detalhe Por UC'!AD:AD,"&gt;"&amp;0)=0,"",_xlfn.MINIFS('Detalhe Por UC'!R:R,'Detalhe Por UC'!C:C,C224,'Detalhe Por UC'!AD:AD,"&gt;"&amp;0))</f>
        <v>45658</v>
      </c>
      <c r="CA224" s="114">
        <f ca="1">IF(OR(S224&gt;0,AD224&gt;0),IFERROR(
SUMIFS(INDIRECT("'Infos Clientes'!$W"&amp;INDEX('Infos Clientes'!$C:$C,MATCH(C224,'Infos Clientes'!$H:$H,0))&amp;":$CZ"&amp;INDEX('Infos Clientes'!$C:$C,MATCH(C224,'Infos Clientes'!$H:$H,0))),'Infos Clientes'!$W$2:$CZ$2,"&gt;"&amp;$R224-365,'Infos Clientes'!$W$2:$CZ$2,"&lt;="&amp;$R224)/
COUNTIFS(INDIRECT("'Infos Clientes'!$W"&amp;INDEX('Infos Clientes'!$C:$C,MATCH(C224,'Infos Clientes'!$H:$H,0))&amp;":$CZ"&amp;INDEX('Infos Clientes'!$C:$C,MATCH(C224,'Infos Clientes'!$H:$H,0))),"&gt;="&amp;0,'Infos Clientes'!$W$2:$CZ$2,"&gt;"&amp;$R224-365,'Infos Clientes'!$W$2:$CZ$2,"&lt;="&amp;$R224),""),"")</f>
        <v>332.91666666666669</v>
      </c>
      <c r="CB224" s="87">
        <f>VLOOKUP(C224,'Infos Clientes'!B:L,11,0)</f>
        <v>0</v>
      </c>
      <c r="CC224" s="88" t="str">
        <f t="shared" si="153"/>
        <v>A Unidade Consumidora 10/3123706-8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4" s="40" t="s">
        <v>83</v>
      </c>
      <c r="CF224" s="115">
        <f t="shared" si="154"/>
        <v>-406.85</v>
      </c>
    </row>
    <row r="225" spans="1:84" ht="16.2" hidden="1" customHeight="1" x14ac:dyDescent="0.3">
      <c r="A225" s="105" t="str">
        <f>INDEX('Infos Clientes'!$D:$D,MATCH('Detalhe Por UC'!C225,'Infos Clientes'!B:B,0))</f>
        <v>IGREJA DO EVANGELHO QUADRANGULAR</v>
      </c>
      <c r="B225" s="106" t="str">
        <f>INDEX('Infos Clientes'!$F:$F,MATCH('Detalhe Por UC'!C225,'Infos Clientes'!B:B,0))</f>
        <v>62.955.505/4051-40</v>
      </c>
      <c r="C225" s="31" t="s">
        <v>152</v>
      </c>
      <c r="D225" t="s">
        <v>351</v>
      </c>
      <c r="E225" s="1" t="s">
        <v>352</v>
      </c>
      <c r="F225" s="56" t="str">
        <f>INDEX('Infos Clientes'!$I:$I,MATCH('Detalhe Por UC'!C225,'Infos Clientes'!B:B,0))</f>
        <v>BT</v>
      </c>
      <c r="G225" s="56" t="str">
        <f>INDEX('Infos Clientes'!$J:$J,MATCH('Detalhe Por UC'!C225,'Infos Clientes'!B:B,0))</f>
        <v>bifasico</v>
      </c>
      <c r="H225" s="108" t="s">
        <v>138</v>
      </c>
      <c r="I225" s="58">
        <f>IFERROR(VLOOKUP(C225,'Infos Clientes'!B:E,4,),"")</f>
        <v>351</v>
      </c>
      <c r="J225" s="109">
        <v>0.25</v>
      </c>
      <c r="K225" s="59">
        <f>INDEX('Infos Clientes'!$M:$M,MATCH('Detalhe Por UC'!C225,'Infos Clientes'!B:B,0))</f>
        <v>0.25</v>
      </c>
      <c r="L225" s="125">
        <v>0</v>
      </c>
      <c r="M225" s="56">
        <f>INDEX('Infos Clientes'!$N:$N,MATCH('Detalhe Por UC'!C225,'Infos Clientes'!B:B,0))</f>
        <v>0</v>
      </c>
      <c r="N225" s="56">
        <f t="shared" si="118"/>
        <v>0</v>
      </c>
      <c r="O225" s="56">
        <f t="shared" si="119"/>
        <v>9</v>
      </c>
      <c r="P225" s="56">
        <f t="shared" si="120"/>
        <v>0</v>
      </c>
      <c r="Q225" s="61">
        <f>IFERROR(IFERROR(INDEX('Infos Clientes'!$A$2:$V$9884,MATCH($C225,'Infos Clientes'!$B$2:$B$9884,0),MATCH(Q$8,'Infos Clientes'!$A$2:$V$2,0)),"")
+IF(OR(INDEX('Infos Clientes'!$A$2:$V$9884,MATCH($C225,'Infos Clientes'!$B$2:$B$9884,0),MATCH("Tempo de Fidelidade (meses)",'Infos Clientes'!$A$2:$V$2,0))=0,R225&gt;=MAX(R:R)),0,
ROUND((MAX(R:R)-R225)/(365/12),0)),"")</f>
        <v>0</v>
      </c>
      <c r="R225" s="111">
        <v>45689</v>
      </c>
      <c r="S225" s="63">
        <v>0.02</v>
      </c>
      <c r="T225" s="113" t="str">
        <f>IF($H225="GIROSSOL II",AP225/INDEX('Resumo Operacional'!$A$1:$P$1103,17,MATCH('Detalhe Por UC'!$R225,'Resumo Operacional'!$A$1:$P$1,0)),
IF($H225="GIROSSOL II e III",AP225/INDEX('Resumo Operacional'!$A$1:$P$1103,17,MATCH('Detalhe Por UC'!$R225,'Resumo Operacional'!$A$1:$P$1,0)),
""))</f>
        <v/>
      </c>
      <c r="U225" s="113">
        <f>IF($H225="GIROSSOL III",AP225/INDEX('Resumo Operacional'!$A$1:$P$1103,53,MATCH('Detalhe Por UC'!$R225,'Resumo Operacional'!$A$1:$P$1,0)),
IF($H225="GIROSSOL II e III",AP225/INDEX('Resumo Operacional'!$A$1:$P$1103,53,MATCH('Detalhe Por UC'!$R225,'Resumo Operacional'!$A$1:$P$1,0)),
""))</f>
        <v>0</v>
      </c>
      <c r="V225" s="18"/>
      <c r="W225" s="54"/>
      <c r="X225" s="131">
        <v>1.1162654320987655</v>
      </c>
      <c r="Y225" s="132">
        <v>0</v>
      </c>
      <c r="Z225" s="133">
        <v>0</v>
      </c>
      <c r="AA225" s="133">
        <v>0</v>
      </c>
      <c r="AB225" s="134">
        <v>324</v>
      </c>
      <c r="AC225" s="134">
        <v>0</v>
      </c>
      <c r="AD225" s="135">
        <v>0</v>
      </c>
      <c r="AE225" s="35"/>
      <c r="AF225" s="135">
        <v>0</v>
      </c>
      <c r="AG225" s="135">
        <v>0</v>
      </c>
      <c r="AH225" s="44">
        <v>33.46</v>
      </c>
      <c r="AI225" s="44">
        <v>0</v>
      </c>
      <c r="AJ225" s="44">
        <v>0</v>
      </c>
      <c r="AK225" s="31"/>
      <c r="AN225" s="71">
        <f t="shared" si="121"/>
        <v>0</v>
      </c>
      <c r="AO225" s="71">
        <f t="shared" si="122"/>
        <v>0</v>
      </c>
      <c r="AP225" s="71">
        <f t="shared" si="123"/>
        <v>0</v>
      </c>
      <c r="AQ225" s="72">
        <f>IF(OR($H225="GIROSSOL II",$H225="GIROSSOL II e III"),INDEX('Resumo Operacional'!$A$1:$P$1103,MATCH("Energia Injetada prevista total Fatura da Usina (TUSD)",'Resumo Operacional'!$B$1:$B$1103,0),MATCH('Detalhe Por UC'!$R225,'Resumo Operacional'!$A$1:$P$1,0))*$S225,INDEX('Resumo Operacional'!$A$1:$P$1103,53,MATCH('Detalhe Por UC'!$R225,'Resumo Operacional'!$A$1:$P$1,0))*$S225)</f>
        <v>289.32</v>
      </c>
      <c r="AR225" s="71">
        <f t="shared" si="124"/>
        <v>-289.32</v>
      </c>
      <c r="AS225" s="73">
        <f t="shared" si="125"/>
        <v>395.13</v>
      </c>
      <c r="AT225" s="74">
        <f t="shared" si="126"/>
        <v>395.13</v>
      </c>
      <c r="AU225" s="74" t="str">
        <f t="shared" si="127"/>
        <v/>
      </c>
      <c r="AV225" s="74">
        <f t="shared" si="128"/>
        <v>0</v>
      </c>
      <c r="AW225" s="74">
        <f t="shared" si="129"/>
        <v>0</v>
      </c>
      <c r="AX225" s="74">
        <f t="shared" si="130"/>
        <v>0</v>
      </c>
      <c r="AY225" s="74" t="str">
        <f t="shared" si="131"/>
        <v/>
      </c>
      <c r="BC225" s="73" t="str">
        <f t="shared" si="132"/>
        <v/>
      </c>
      <c r="BD225" s="73">
        <f t="shared" si="133"/>
        <v>395.13</v>
      </c>
      <c r="BE225" s="73">
        <f t="shared" si="134"/>
        <v>395.13</v>
      </c>
      <c r="BF225" s="77">
        <f t="shared" si="135"/>
        <v>0</v>
      </c>
      <c r="BG225" s="77">
        <f t="shared" si="136"/>
        <v>0</v>
      </c>
      <c r="BH225" s="77">
        <f t="shared" si="137"/>
        <v>0</v>
      </c>
      <c r="BI225" s="78" t="str">
        <f t="shared" si="138"/>
        <v/>
      </c>
      <c r="BJ225" s="79">
        <f t="shared" si="139"/>
        <v>0</v>
      </c>
      <c r="BK225" s="80" t="str">
        <f t="shared" si="140"/>
        <v/>
      </c>
      <c r="BL225" s="80" t="str">
        <f t="shared" si="141"/>
        <v/>
      </c>
      <c r="BM225" s="79" t="str">
        <f t="shared" si="142"/>
        <v/>
      </c>
      <c r="BN225" s="81" t="str">
        <f t="shared" si="143"/>
        <v/>
      </c>
      <c r="BO225" s="82" t="str">
        <f t="shared" si="144"/>
        <v/>
      </c>
      <c r="BP225" s="81" t="str">
        <f t="shared" si="145"/>
        <v/>
      </c>
      <c r="BQ225" s="81" t="str">
        <f t="shared" si="146"/>
        <v/>
      </c>
      <c r="BR225" s="81" t="str">
        <f t="shared" si="147"/>
        <v/>
      </c>
      <c r="BS225" s="82">
        <f t="shared" si="148"/>
        <v>0</v>
      </c>
      <c r="BT225" s="82" t="str">
        <f t="shared" si="149"/>
        <v/>
      </c>
      <c r="BU225" s="82">
        <f t="shared" si="150"/>
        <v>0</v>
      </c>
      <c r="BW225" s="82">
        <f>IFERROR(INDEX('Infos Clientes'!$T:$T,MATCH('Detalhe Por UC'!$C225,'Infos Clientes'!B:B,0)),"")</f>
        <v>246.72727272727272</v>
      </c>
      <c r="BX225" s="83">
        <f t="shared" si="151"/>
        <v>0</v>
      </c>
      <c r="BY225" s="84" t="str">
        <f t="shared" si="152"/>
        <v/>
      </c>
      <c r="BZ225" s="85">
        <f>IF(_xlfn.MINIFS('Detalhe Por UC'!R:R,'Detalhe Por UC'!C:C,C225,'Detalhe Por UC'!AD:AD,"&gt;"&amp;0)=0,"",_xlfn.MINIFS('Detalhe Por UC'!R:R,'Detalhe Por UC'!C:C,C225,'Detalhe Por UC'!AD:AD,"&gt;"&amp;0))</f>
        <v>45658</v>
      </c>
      <c r="CA225" s="114">
        <f ca="1">IF(OR(S225&gt;0,AD225&gt;0),IFERROR(
SUMIFS(INDIRECT("'Infos Clientes'!$W"&amp;INDEX('Infos Clientes'!$C:$C,MATCH(C225,'Infos Clientes'!$H:$H,0))&amp;":$CZ"&amp;INDEX('Infos Clientes'!$C:$C,MATCH(C225,'Infos Clientes'!$H:$H,0))),'Infos Clientes'!$W$2:$CZ$2,"&gt;"&amp;$R225-365,'Infos Clientes'!$W$2:$CZ$2,"&lt;="&amp;$R225)/
COUNTIFS(INDIRECT("'Infos Clientes'!$W"&amp;INDEX('Infos Clientes'!$C:$C,MATCH(C225,'Infos Clientes'!$H:$H,0))&amp;":$CZ"&amp;INDEX('Infos Clientes'!$C:$C,MATCH(C225,'Infos Clientes'!$H:$H,0))),"&gt;="&amp;0,'Infos Clientes'!$W$2:$CZ$2,"&gt;"&amp;$R225-365,'Infos Clientes'!$W$2:$CZ$2,"&lt;="&amp;$R225),""),"")</f>
        <v>234.83333333333334</v>
      </c>
      <c r="CB225" s="87">
        <f>VLOOKUP(C225,'Infos Clientes'!B:L,11,0)</f>
        <v>0</v>
      </c>
      <c r="CC225" s="88" t="str">
        <f t="shared" si="153"/>
        <v>A Unidade Consumidora 10/129490-9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5" s="40" t="s">
        <v>141</v>
      </c>
      <c r="CF225" s="115">
        <f t="shared" si="154"/>
        <v>-395.13</v>
      </c>
    </row>
    <row r="226" spans="1:84" ht="16.2" hidden="1" customHeight="1" x14ac:dyDescent="0.3">
      <c r="A226" s="105" t="str">
        <f>INDEX('Infos Clientes'!$D:$D,MATCH('Detalhe Por UC'!C226,'Infos Clientes'!B:B,0))</f>
        <v>IGREJA DO EVANGELHO QUADRANGULAR</v>
      </c>
      <c r="B226" s="106" t="str">
        <f>INDEX('Infos Clientes'!$F:$F,MATCH('Detalhe Por UC'!C226,'Infos Clientes'!B:B,0))</f>
        <v>62.955.505/0172-13</v>
      </c>
      <c r="C226" s="107" t="s">
        <v>246</v>
      </c>
      <c r="D226" t="s">
        <v>351</v>
      </c>
      <c r="E226" s="1" t="s">
        <v>352</v>
      </c>
      <c r="F226" s="56" t="str">
        <f>INDEX('Infos Clientes'!$I:$I,MATCH('Detalhe Por UC'!C226,'Infos Clientes'!B:B,0))</f>
        <v>BT</v>
      </c>
      <c r="G226" s="56">
        <f>INDEX('Infos Clientes'!$J:$J,MATCH('Detalhe Por UC'!C226,'Infos Clientes'!B:B,0))</f>
        <v>0</v>
      </c>
      <c r="H226" s="108" t="s">
        <v>138</v>
      </c>
      <c r="I226" s="58">
        <f>IFERROR(VLOOKUP(C226,'Infos Clientes'!B:E,4,),"")</f>
        <v>0</v>
      </c>
      <c r="J226" s="109">
        <v>0.25</v>
      </c>
      <c r="K226" s="59">
        <f>INDEX('Infos Clientes'!$M:$M,MATCH('Detalhe Por UC'!C226,'Infos Clientes'!B:B,0))</f>
        <v>0.25</v>
      </c>
      <c r="L226" s="125">
        <v>0</v>
      </c>
      <c r="M226" s="56">
        <f>INDEX('Infos Clientes'!$N:$N,MATCH('Detalhe Por UC'!C226,'Infos Clientes'!B:B,0))</f>
        <v>0</v>
      </c>
      <c r="N226" s="56">
        <f t="shared" si="118"/>
        <v>0</v>
      </c>
      <c r="O226" s="56">
        <f t="shared" si="119"/>
        <v>0</v>
      </c>
      <c r="P226" s="56">
        <f t="shared" si="120"/>
        <v>0</v>
      </c>
      <c r="Q226" s="61">
        <f>IFERROR(IFERROR(INDEX('Infos Clientes'!$A$2:$V$9884,MATCH($C226,'Infos Clientes'!$B$2:$B$9884,0),MATCH(Q$8,'Infos Clientes'!$A$2:$V$2,0)),"")
+IF(OR(INDEX('Infos Clientes'!$A$2:$V$9884,MATCH($C226,'Infos Clientes'!$B$2:$B$9884,0),MATCH("Tempo de Fidelidade (meses)",'Infos Clientes'!$A$2:$V$2,0))=0,R226&gt;=MAX(R:R)),0,
ROUND((MAX(R:R)-R226)/(365/12),0)),"")</f>
        <v>0</v>
      </c>
      <c r="R226" s="111">
        <v>45689</v>
      </c>
      <c r="S226" s="63">
        <v>0</v>
      </c>
      <c r="T226" s="113" t="str">
        <f>IF($H226="GIROSSOL II",AP226/INDEX('Resumo Operacional'!$A$1:$P$1103,17,MATCH('Detalhe Por UC'!$R226,'Resumo Operacional'!$A$1:$P$1,0)),
IF($H226="GIROSSOL II e III",AP226/INDEX('Resumo Operacional'!$A$1:$P$1103,17,MATCH('Detalhe Por UC'!$R226,'Resumo Operacional'!$A$1:$P$1,0)),
""))</f>
        <v/>
      </c>
      <c r="U226" s="113">
        <f>IF($H226="GIROSSOL III",AP226/INDEX('Resumo Operacional'!$A$1:$P$1103,53,MATCH('Detalhe Por UC'!$R226,'Resumo Operacional'!$A$1:$P$1,0)),
IF($H226="GIROSSOL II e III",AP226/INDEX('Resumo Operacional'!$A$1:$P$1103,53,MATCH('Detalhe Por UC'!$R226,'Resumo Operacional'!$A$1:$P$1,0)),
""))</f>
        <v>0</v>
      </c>
      <c r="V226" s="18"/>
      <c r="W226" s="54"/>
      <c r="X226" s="131"/>
      <c r="Y226" s="132"/>
      <c r="Z226" s="133"/>
      <c r="AA226" s="133"/>
      <c r="AB226" s="134"/>
      <c r="AC226" s="134"/>
      <c r="AD226" s="135"/>
      <c r="AE226" s="35"/>
      <c r="AF226" s="135"/>
      <c r="AG226" s="135"/>
      <c r="AH226" s="44"/>
      <c r="AI226" s="44"/>
      <c r="AJ226" s="44"/>
      <c r="AK226" s="31"/>
      <c r="AN226" s="71" t="str">
        <f t="shared" si="121"/>
        <v/>
      </c>
      <c r="AO226" s="71" t="str">
        <f t="shared" si="122"/>
        <v/>
      </c>
      <c r="AP226" s="71">
        <f t="shared" si="123"/>
        <v>0</v>
      </c>
      <c r="AQ226" s="72">
        <f>IF(OR($H226="GIROSSOL II",$H226="GIROSSOL II e III"),INDEX('Resumo Operacional'!$A$1:$P$1103,MATCH("Energia Injetada prevista total Fatura da Usina (TUSD)",'Resumo Operacional'!$B$1:$B$1103,0),MATCH('Detalhe Por UC'!$R226,'Resumo Operacional'!$A$1:$P$1,0))*$S226,INDEX('Resumo Operacional'!$A$1:$P$1103,53,MATCH('Detalhe Por UC'!$R226,'Resumo Operacional'!$A$1:$P$1,0))*$S226)</f>
        <v>0</v>
      </c>
      <c r="AR226" s="71" t="str">
        <f t="shared" si="124"/>
        <v/>
      </c>
      <c r="AS226" s="73">
        <f t="shared" si="125"/>
        <v>0</v>
      </c>
      <c r="AT226" s="74">
        <f t="shared" si="126"/>
        <v>0</v>
      </c>
      <c r="AU226" s="74" t="str">
        <f t="shared" si="127"/>
        <v/>
      </c>
      <c r="AV226" s="74">
        <f t="shared" si="128"/>
        <v>0</v>
      </c>
      <c r="AW226" s="74">
        <f t="shared" si="129"/>
        <v>0</v>
      </c>
      <c r="AX226" s="74">
        <f t="shared" si="130"/>
        <v>0</v>
      </c>
      <c r="AY226" s="74" t="str">
        <f t="shared" si="131"/>
        <v/>
      </c>
      <c r="BC226" s="73" t="str">
        <f t="shared" si="132"/>
        <v/>
      </c>
      <c r="BD226" s="73">
        <f t="shared" si="133"/>
        <v>0</v>
      </c>
      <c r="BE226" s="73">
        <f t="shared" si="134"/>
        <v>0</v>
      </c>
      <c r="BF226" s="77">
        <f t="shared" si="135"/>
        <v>0</v>
      </c>
      <c r="BG226" s="77">
        <f t="shared" si="136"/>
        <v>0</v>
      </c>
      <c r="BH226" s="77">
        <f t="shared" si="137"/>
        <v>0</v>
      </c>
      <c r="BI226" s="78" t="str">
        <f t="shared" si="138"/>
        <v/>
      </c>
      <c r="BJ226" s="79" t="str">
        <f t="shared" si="139"/>
        <v/>
      </c>
      <c r="BK226" s="80" t="str">
        <f t="shared" si="140"/>
        <v/>
      </c>
      <c r="BL226" s="80" t="str">
        <f t="shared" si="141"/>
        <v/>
      </c>
      <c r="BM226" s="79" t="str">
        <f t="shared" si="142"/>
        <v/>
      </c>
      <c r="BN226" s="81" t="str">
        <f t="shared" si="143"/>
        <v/>
      </c>
      <c r="BO226" s="82" t="str">
        <f t="shared" si="144"/>
        <v/>
      </c>
      <c r="BP226" s="81" t="str">
        <f t="shared" si="145"/>
        <v/>
      </c>
      <c r="BQ226" s="81" t="str">
        <f t="shared" si="146"/>
        <v/>
      </c>
      <c r="BR226" s="81" t="str">
        <f t="shared" si="147"/>
        <v/>
      </c>
      <c r="BS226" s="82">
        <f t="shared" si="148"/>
        <v>0</v>
      </c>
      <c r="BT226" s="82" t="str">
        <f t="shared" si="149"/>
        <v/>
      </c>
      <c r="BU226" s="82">
        <f t="shared" si="150"/>
        <v>0</v>
      </c>
      <c r="BW226" s="82">
        <f>IFERROR(INDEX('Infos Clientes'!$T:$T,MATCH('Detalhe Por UC'!$C226,'Infos Clientes'!B:B,0)),"")</f>
        <v>0</v>
      </c>
      <c r="BX226" s="83">
        <f t="shared" si="151"/>
        <v>0</v>
      </c>
      <c r="BY226" s="84" t="str">
        <f t="shared" si="152"/>
        <v/>
      </c>
      <c r="BZ226" s="85" t="str">
        <f>IF(_xlfn.MINIFS('Detalhe Por UC'!R:R,'Detalhe Por UC'!C:C,C226,'Detalhe Por UC'!AD:AD,"&gt;"&amp;0)=0,"",_xlfn.MINIFS('Detalhe Por UC'!R:R,'Detalhe Por UC'!C:C,C226,'Detalhe Por UC'!AD:AD,"&gt;"&amp;0))</f>
        <v/>
      </c>
      <c r="CA226" s="114" t="str">
        <f ca="1">IF(OR(S226&gt;0,AD226&gt;0),IFERROR(
SUMIFS(INDIRECT("'Infos Clientes'!$W"&amp;INDEX('Infos Clientes'!$C:$C,MATCH(C226,'Infos Clientes'!$H:$H,0))&amp;":$CZ"&amp;INDEX('Infos Clientes'!$C:$C,MATCH(C226,'Infos Clientes'!$H:$H,0))),'Infos Clientes'!$W$2:$CZ$2,"&gt;"&amp;$R226-365,'Infos Clientes'!$W$2:$CZ$2,"&lt;="&amp;$R226)/
COUNTIFS(INDIRECT("'Infos Clientes'!$W"&amp;INDEX('Infos Clientes'!$C:$C,MATCH(C226,'Infos Clientes'!$H:$H,0))&amp;":$CZ"&amp;INDEX('Infos Clientes'!$C:$C,MATCH(C226,'Infos Clientes'!$H:$H,0))),"&gt;="&amp;0,'Infos Clientes'!$W$2:$CZ$2,"&gt;"&amp;$R226-365,'Infos Clientes'!$W$2:$CZ$2,"&lt;="&amp;$R226),""),"")</f>
        <v/>
      </c>
      <c r="CB226" s="87">
        <f>VLOOKUP(C226,'Infos Clientes'!B:L,11,0)</f>
        <v>0</v>
      </c>
      <c r="CC226" s="88" t="str">
        <f t="shared" si="153"/>
        <v>A Unidade Consumidora 10/2338577-6 economizou R$0 na fatura referente à fev/2025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226" s="40"/>
      <c r="CF226" s="115">
        <f t="shared" si="154"/>
        <v>0</v>
      </c>
    </row>
    <row r="227" spans="1:84" ht="16.2" hidden="1" customHeight="1" x14ac:dyDescent="0.3">
      <c r="A227" s="105" t="str">
        <f>INDEX('Infos Clientes'!$D:$D,MATCH('Detalhe Por UC'!C227,'Infos Clientes'!B:B,0))</f>
        <v>IGREJA DO EVANGELHO QUADRANGULAR</v>
      </c>
      <c r="B227" s="106" t="str">
        <f>INDEX('Infos Clientes'!$F:$F,MATCH('Detalhe Por UC'!C227,'Infos Clientes'!B:B,0))</f>
        <v>62.955.505/2690-26</v>
      </c>
      <c r="C227" s="31" t="s">
        <v>201</v>
      </c>
      <c r="D227" t="s">
        <v>351</v>
      </c>
      <c r="E227" s="1" t="s">
        <v>352</v>
      </c>
      <c r="F227" s="56" t="str">
        <f>INDEX('Infos Clientes'!$I:$I,MATCH('Detalhe Por UC'!C227,'Infos Clientes'!B:B,0))</f>
        <v>BT</v>
      </c>
      <c r="G227" s="56" t="str">
        <f>INDEX('Infos Clientes'!$J:$J,MATCH('Detalhe Por UC'!C227,'Infos Clientes'!B:B,0))</f>
        <v>bifasico</v>
      </c>
      <c r="H227" s="108" t="s">
        <v>138</v>
      </c>
      <c r="I227" s="58">
        <f>IFERROR(VLOOKUP(C227,'Infos Clientes'!B:E,4,),"")</f>
        <v>319</v>
      </c>
      <c r="J227" s="109">
        <v>0.25</v>
      </c>
      <c r="K227" s="59">
        <f>INDEX('Infos Clientes'!$M:$M,MATCH('Detalhe Por UC'!C227,'Infos Clientes'!B:B,0))</f>
        <v>0.25</v>
      </c>
      <c r="L227" s="125">
        <v>0</v>
      </c>
      <c r="M227" s="56">
        <f>INDEX('Infos Clientes'!$N:$N,MATCH('Detalhe Por UC'!C227,'Infos Clientes'!B:B,0))</f>
        <v>0</v>
      </c>
      <c r="N227" s="56">
        <f t="shared" si="118"/>
        <v>0</v>
      </c>
      <c r="O227" s="56">
        <f t="shared" si="119"/>
        <v>8</v>
      </c>
      <c r="P227" s="56">
        <f t="shared" si="120"/>
        <v>0</v>
      </c>
      <c r="Q227" s="61">
        <f>IFERROR(IFERROR(INDEX('Infos Clientes'!$A$2:$V$9884,MATCH($C227,'Infos Clientes'!$B$2:$B$9884,0),MATCH(Q$8,'Infos Clientes'!$A$2:$V$2,0)),"")
+IF(OR(INDEX('Infos Clientes'!$A$2:$V$9884,MATCH($C227,'Infos Clientes'!$B$2:$B$9884,0),MATCH("Tempo de Fidelidade (meses)",'Infos Clientes'!$A$2:$V$2,0))=0,R227&gt;=MAX(R:R)),0,
ROUND((MAX(R:R)-R227)/(365/12),0)),"")</f>
        <v>0</v>
      </c>
      <c r="R227" s="111">
        <v>45689</v>
      </c>
      <c r="S227" s="63">
        <v>0.02</v>
      </c>
      <c r="T227" s="113" t="str">
        <f>IF($H227="GIROSSOL II",AP227/INDEX('Resumo Operacional'!$A$1:$P$1103,17,MATCH('Detalhe Por UC'!$R227,'Resumo Operacional'!$A$1:$P$1,0)),
IF($H227="GIROSSOL II e III",AP227/INDEX('Resumo Operacional'!$A$1:$P$1103,17,MATCH('Detalhe Por UC'!$R227,'Resumo Operacional'!$A$1:$P$1,0)),
""))</f>
        <v/>
      </c>
      <c r="U227" s="113">
        <f>IF($H227="GIROSSOL III",AP227/INDEX('Resumo Operacional'!$A$1:$P$1103,53,MATCH('Detalhe Por UC'!$R227,'Resumo Operacional'!$A$1:$P$1,0)),
IF($H227="GIROSSOL II e III",AP227/INDEX('Resumo Operacional'!$A$1:$P$1103,53,MATCH('Detalhe Por UC'!$R227,'Resumo Operacional'!$A$1:$P$1,0)),
""))</f>
        <v>0</v>
      </c>
      <c r="V227" s="18"/>
      <c r="W227" s="54"/>
      <c r="X227" s="131">
        <v>1.1162588235294117</v>
      </c>
      <c r="Y227" s="132">
        <v>0</v>
      </c>
      <c r="Z227" s="133">
        <v>0</v>
      </c>
      <c r="AA227" s="133">
        <v>0</v>
      </c>
      <c r="AB227" s="134">
        <v>425</v>
      </c>
      <c r="AC227" s="134">
        <v>0</v>
      </c>
      <c r="AD227" s="135">
        <v>0</v>
      </c>
      <c r="AE227" s="35"/>
      <c r="AF227" s="135">
        <v>0</v>
      </c>
      <c r="AG227" s="135">
        <v>0</v>
      </c>
      <c r="AH227" s="44">
        <v>70.97</v>
      </c>
      <c r="AI227" s="44">
        <v>0</v>
      </c>
      <c r="AJ227" s="44">
        <v>0</v>
      </c>
      <c r="AK227" s="31"/>
      <c r="AN227" s="71">
        <f t="shared" si="121"/>
        <v>0</v>
      </c>
      <c r="AO227" s="71">
        <f t="shared" si="122"/>
        <v>0</v>
      </c>
      <c r="AP227" s="71">
        <f t="shared" si="123"/>
        <v>0</v>
      </c>
      <c r="AQ227" s="72">
        <f>IF(OR($H227="GIROSSOL II",$H227="GIROSSOL II e III"),INDEX('Resumo Operacional'!$A$1:$P$1103,MATCH("Energia Injetada prevista total Fatura da Usina (TUSD)",'Resumo Operacional'!$B$1:$B$1103,0),MATCH('Detalhe Por UC'!$R227,'Resumo Operacional'!$A$1:$P$1,0))*$S227,INDEX('Resumo Operacional'!$A$1:$P$1103,53,MATCH('Detalhe Por UC'!$R227,'Resumo Operacional'!$A$1:$P$1,0))*$S227)</f>
        <v>289.32</v>
      </c>
      <c r="AR227" s="71">
        <f t="shared" si="124"/>
        <v>-289.32</v>
      </c>
      <c r="AS227" s="73">
        <f t="shared" si="125"/>
        <v>545.38</v>
      </c>
      <c r="AT227" s="74">
        <f t="shared" si="126"/>
        <v>545.38</v>
      </c>
      <c r="AU227" s="74" t="str">
        <f t="shared" si="127"/>
        <v/>
      </c>
      <c r="AV227" s="74">
        <f t="shared" si="128"/>
        <v>0</v>
      </c>
      <c r="AW227" s="74">
        <f t="shared" si="129"/>
        <v>0</v>
      </c>
      <c r="AX227" s="74">
        <f t="shared" si="130"/>
        <v>0</v>
      </c>
      <c r="AY227" s="74" t="str">
        <f t="shared" si="131"/>
        <v/>
      </c>
      <c r="BC227" s="73" t="str">
        <f t="shared" si="132"/>
        <v/>
      </c>
      <c r="BD227" s="73">
        <f t="shared" si="133"/>
        <v>545.38</v>
      </c>
      <c r="BE227" s="73">
        <f t="shared" si="134"/>
        <v>545.38</v>
      </c>
      <c r="BF227" s="77">
        <f t="shared" si="135"/>
        <v>0</v>
      </c>
      <c r="BG227" s="77">
        <f t="shared" si="136"/>
        <v>0</v>
      </c>
      <c r="BH227" s="77">
        <f t="shared" si="137"/>
        <v>0</v>
      </c>
      <c r="BI227" s="78" t="str">
        <f t="shared" si="138"/>
        <v/>
      </c>
      <c r="BJ227" s="79">
        <f t="shared" si="139"/>
        <v>0</v>
      </c>
      <c r="BK227" s="80" t="str">
        <f t="shared" si="140"/>
        <v/>
      </c>
      <c r="BL227" s="80" t="str">
        <f t="shared" si="141"/>
        <v/>
      </c>
      <c r="BM227" s="79" t="str">
        <f t="shared" si="142"/>
        <v/>
      </c>
      <c r="BN227" s="81" t="str">
        <f t="shared" si="143"/>
        <v/>
      </c>
      <c r="BO227" s="82" t="str">
        <f t="shared" si="144"/>
        <v/>
      </c>
      <c r="BP227" s="81" t="str">
        <f t="shared" si="145"/>
        <v/>
      </c>
      <c r="BQ227" s="81" t="str">
        <f t="shared" si="146"/>
        <v/>
      </c>
      <c r="BR227" s="81" t="str">
        <f t="shared" si="147"/>
        <v/>
      </c>
      <c r="BS227" s="82">
        <f t="shared" si="148"/>
        <v>0</v>
      </c>
      <c r="BT227" s="82" t="str">
        <f t="shared" si="149"/>
        <v/>
      </c>
      <c r="BU227" s="82">
        <f t="shared" si="150"/>
        <v>0</v>
      </c>
      <c r="BW227" s="82">
        <f>IFERROR(INDEX('Infos Clientes'!$T:$T,MATCH('Detalhe Por UC'!$C227,'Infos Clientes'!B:B,0)),"")</f>
        <v>293</v>
      </c>
      <c r="BX227" s="83">
        <f t="shared" si="151"/>
        <v>0</v>
      </c>
      <c r="BY227" s="84" t="str">
        <f t="shared" si="152"/>
        <v/>
      </c>
      <c r="BZ227" s="85">
        <f>IF(_xlfn.MINIFS('Detalhe Por UC'!R:R,'Detalhe Por UC'!C:C,C227,'Detalhe Por UC'!AD:AD,"&gt;"&amp;0)=0,"",_xlfn.MINIFS('Detalhe Por UC'!R:R,'Detalhe Por UC'!C:C,C227,'Detalhe Por UC'!AD:AD,"&gt;"&amp;0))</f>
        <v>45658</v>
      </c>
      <c r="CA227" s="114">
        <f ca="1">IF(OR(S227&gt;0,AD227&gt;0),IFERROR(
SUMIFS(INDIRECT("'Infos Clientes'!$W"&amp;INDEX('Infos Clientes'!$C:$C,MATCH(C227,'Infos Clientes'!$H:$H,0))&amp;":$CZ"&amp;INDEX('Infos Clientes'!$C:$C,MATCH(C227,'Infos Clientes'!$H:$H,0))),'Infos Clientes'!$W$2:$CZ$2,"&gt;"&amp;$R227-365,'Infos Clientes'!$W$2:$CZ$2,"&lt;="&amp;$R227)/
COUNTIFS(INDIRECT("'Infos Clientes'!$W"&amp;INDEX('Infos Clientes'!$C:$C,MATCH(C227,'Infos Clientes'!$H:$H,0))&amp;":$CZ"&amp;INDEX('Infos Clientes'!$C:$C,MATCH(C227,'Infos Clientes'!$H:$H,0))),"&gt;="&amp;0,'Infos Clientes'!$W$2:$CZ$2,"&gt;"&amp;$R227-365,'Infos Clientes'!$W$2:$CZ$2,"&lt;="&amp;$R227),""),"")</f>
        <v>275.66666666666669</v>
      </c>
      <c r="CB227" s="87">
        <f>VLOOKUP(C227,'Infos Clientes'!B:L,11,0)</f>
        <v>0</v>
      </c>
      <c r="CC227" s="88" t="str">
        <f t="shared" si="153"/>
        <v>A Unidade Consumidora 10/41548-9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7" s="40" t="s">
        <v>143</v>
      </c>
      <c r="CF227" s="115">
        <f t="shared" si="154"/>
        <v>-545.38</v>
      </c>
    </row>
    <row r="228" spans="1:84" ht="16.2" hidden="1" customHeight="1" x14ac:dyDescent="0.3">
      <c r="A228" s="105" t="str">
        <f>INDEX('Infos Clientes'!$D:$D,MATCH('Detalhe Por UC'!C228,'Infos Clientes'!B:B,0))</f>
        <v>IGREJA DO EVANGELHO QUADRANGULAR</v>
      </c>
      <c r="B228" s="106" t="str">
        <f>INDEX('Infos Clientes'!$F:$F,MATCH('Detalhe Por UC'!C228,'Infos Clientes'!B:B,0))</f>
        <v>62.955.505/1822-57</v>
      </c>
      <c r="C228" s="31" t="s">
        <v>216</v>
      </c>
      <c r="D228" t="s">
        <v>351</v>
      </c>
      <c r="E228" s="1" t="s">
        <v>352</v>
      </c>
      <c r="F228" s="56" t="str">
        <f>INDEX('Infos Clientes'!$I:$I,MATCH('Detalhe Por UC'!C228,'Infos Clientes'!B:B,0))</f>
        <v>BT</v>
      </c>
      <c r="G228" s="56" t="str">
        <f>INDEX('Infos Clientes'!$J:$J,MATCH('Detalhe Por UC'!C228,'Infos Clientes'!B:B,0))</f>
        <v>trifasico</v>
      </c>
      <c r="H228" s="108" t="s">
        <v>138</v>
      </c>
      <c r="I228" s="58">
        <f>IFERROR(VLOOKUP(C228,'Infos Clientes'!B:E,4,),"")</f>
        <v>319</v>
      </c>
      <c r="J228" s="109">
        <v>0.25</v>
      </c>
      <c r="K228" s="59">
        <f>INDEX('Infos Clientes'!$M:$M,MATCH('Detalhe Por UC'!C228,'Infos Clientes'!B:B,0))</f>
        <v>0.25</v>
      </c>
      <c r="L228" s="125">
        <v>0</v>
      </c>
      <c r="M228" s="56">
        <f>INDEX('Infos Clientes'!$N:$N,MATCH('Detalhe Por UC'!C228,'Infos Clientes'!B:B,0))</f>
        <v>0</v>
      </c>
      <c r="N228" s="56">
        <f t="shared" si="118"/>
        <v>0</v>
      </c>
      <c r="O228" s="56">
        <f t="shared" si="119"/>
        <v>9</v>
      </c>
      <c r="P228" s="56">
        <f t="shared" si="120"/>
        <v>0</v>
      </c>
      <c r="Q228" s="61">
        <f>IFERROR(IFERROR(INDEX('Infos Clientes'!$A$2:$V$9884,MATCH($C228,'Infos Clientes'!$B$2:$B$9884,0),MATCH(Q$8,'Infos Clientes'!$A$2:$V$2,0)),"")
+IF(OR(INDEX('Infos Clientes'!$A$2:$V$9884,MATCH($C228,'Infos Clientes'!$B$2:$B$9884,0),MATCH("Tempo de Fidelidade (meses)",'Infos Clientes'!$A$2:$V$2,0))=0,R228&gt;=MAX(R:R)),0,
ROUND((MAX(R:R)-R228)/(365/12),0)),"")</f>
        <v>0</v>
      </c>
      <c r="R228" s="111">
        <v>45689</v>
      </c>
      <c r="S228" s="63">
        <v>0.01</v>
      </c>
      <c r="T228" s="113" t="str">
        <f>IF($H228="GIROSSOL II",AP228/INDEX('Resumo Operacional'!$A$1:$P$1103,17,MATCH('Detalhe Por UC'!$R228,'Resumo Operacional'!$A$1:$P$1,0)),
IF($H228="GIROSSOL II e III",AP228/INDEX('Resumo Operacional'!$A$1:$P$1103,17,MATCH('Detalhe Por UC'!$R228,'Resumo Operacional'!$A$1:$P$1,0)),
""))</f>
        <v/>
      </c>
      <c r="U228" s="113">
        <f>IF($H228="GIROSSOL III",AP228/INDEX('Resumo Operacional'!$A$1:$P$1103,53,MATCH('Detalhe Por UC'!$R228,'Resumo Operacional'!$A$1:$P$1,0)),
IF($H228="GIROSSOL II e III",AP228/INDEX('Resumo Operacional'!$A$1:$P$1103,53,MATCH('Detalhe Por UC'!$R228,'Resumo Operacional'!$A$1:$P$1,0)),
""))</f>
        <v>0</v>
      </c>
      <c r="V228" s="18"/>
      <c r="W228" s="54"/>
      <c r="X228" s="131">
        <v>1.1162526766595289</v>
      </c>
      <c r="Y228" s="132">
        <v>0</v>
      </c>
      <c r="Z228" s="133">
        <v>0</v>
      </c>
      <c r="AA228" s="133">
        <v>0</v>
      </c>
      <c r="AB228" s="134">
        <v>467</v>
      </c>
      <c r="AC228" s="134">
        <v>0</v>
      </c>
      <c r="AD228" s="135">
        <v>0</v>
      </c>
      <c r="AE228" s="35"/>
      <c r="AF228" s="135">
        <v>0</v>
      </c>
      <c r="AG228" s="135">
        <v>0</v>
      </c>
      <c r="AH228" s="44">
        <v>83.42</v>
      </c>
      <c r="AI228" s="44">
        <v>0</v>
      </c>
      <c r="AJ228" s="44">
        <v>0</v>
      </c>
      <c r="AK228" s="31"/>
      <c r="AN228" s="71">
        <f t="shared" si="121"/>
        <v>0</v>
      </c>
      <c r="AO228" s="71">
        <f t="shared" si="122"/>
        <v>0</v>
      </c>
      <c r="AP228" s="71">
        <f t="shared" si="123"/>
        <v>0</v>
      </c>
      <c r="AQ228" s="72">
        <f>IF(OR($H228="GIROSSOL II",$H228="GIROSSOL II e III"),INDEX('Resumo Operacional'!$A$1:$P$1103,MATCH("Energia Injetada prevista total Fatura da Usina (TUSD)",'Resumo Operacional'!$B$1:$B$1103,0),MATCH('Detalhe Por UC'!$R228,'Resumo Operacional'!$A$1:$P$1,0))*$S228,INDEX('Resumo Operacional'!$A$1:$P$1103,53,MATCH('Detalhe Por UC'!$R228,'Resumo Operacional'!$A$1:$P$1,0))*$S228)</f>
        <v>144.66</v>
      </c>
      <c r="AR228" s="71">
        <f t="shared" si="124"/>
        <v>-144.66</v>
      </c>
      <c r="AS228" s="73">
        <f t="shared" si="125"/>
        <v>604.70999999999992</v>
      </c>
      <c r="AT228" s="74">
        <f t="shared" si="126"/>
        <v>604.70999999999992</v>
      </c>
      <c r="AU228" s="74" t="str">
        <f t="shared" si="127"/>
        <v/>
      </c>
      <c r="AV228" s="74">
        <f t="shared" si="128"/>
        <v>0</v>
      </c>
      <c r="AW228" s="74">
        <f t="shared" si="129"/>
        <v>0</v>
      </c>
      <c r="AX228" s="74">
        <f t="shared" si="130"/>
        <v>0</v>
      </c>
      <c r="AY228" s="74" t="str">
        <f t="shared" si="131"/>
        <v/>
      </c>
      <c r="BC228" s="73" t="str">
        <f t="shared" si="132"/>
        <v/>
      </c>
      <c r="BD228" s="73">
        <f t="shared" si="133"/>
        <v>604.70999999999992</v>
      </c>
      <c r="BE228" s="73">
        <f t="shared" si="134"/>
        <v>604.70999999999992</v>
      </c>
      <c r="BF228" s="77">
        <f t="shared" si="135"/>
        <v>0</v>
      </c>
      <c r="BG228" s="77">
        <f t="shared" si="136"/>
        <v>0</v>
      </c>
      <c r="BH228" s="77">
        <f t="shared" si="137"/>
        <v>0</v>
      </c>
      <c r="BI228" s="78" t="str">
        <f t="shared" si="138"/>
        <v/>
      </c>
      <c r="BJ228" s="79">
        <f t="shared" si="139"/>
        <v>0</v>
      </c>
      <c r="BK228" s="80" t="str">
        <f t="shared" si="140"/>
        <v/>
      </c>
      <c r="BL228" s="80" t="str">
        <f t="shared" si="141"/>
        <v/>
      </c>
      <c r="BM228" s="79" t="str">
        <f t="shared" si="142"/>
        <v/>
      </c>
      <c r="BN228" s="81" t="str">
        <f t="shared" si="143"/>
        <v/>
      </c>
      <c r="BO228" s="82" t="str">
        <f t="shared" si="144"/>
        <v/>
      </c>
      <c r="BP228" s="81" t="str">
        <f t="shared" si="145"/>
        <v/>
      </c>
      <c r="BQ228" s="81" t="str">
        <f t="shared" si="146"/>
        <v/>
      </c>
      <c r="BR228" s="81" t="str">
        <f t="shared" si="147"/>
        <v/>
      </c>
      <c r="BS228" s="82">
        <f t="shared" si="148"/>
        <v>0</v>
      </c>
      <c r="BT228" s="82" t="str">
        <f t="shared" si="149"/>
        <v/>
      </c>
      <c r="BU228" s="82">
        <f t="shared" si="150"/>
        <v>0</v>
      </c>
      <c r="BW228" s="82">
        <f>IFERROR(INDEX('Infos Clientes'!$T:$T,MATCH('Detalhe Por UC'!$C228,'Infos Clientes'!B:B,0)),"")</f>
        <v>264</v>
      </c>
      <c r="BX228" s="83">
        <f t="shared" si="151"/>
        <v>0</v>
      </c>
      <c r="BY228" s="84" t="str">
        <f t="shared" si="152"/>
        <v/>
      </c>
      <c r="BZ228" s="85">
        <f>IF(_xlfn.MINIFS('Detalhe Por UC'!R:R,'Detalhe Por UC'!C:C,C228,'Detalhe Por UC'!AD:AD,"&gt;"&amp;0)=0,"",_xlfn.MINIFS('Detalhe Por UC'!R:R,'Detalhe Por UC'!C:C,C228,'Detalhe Por UC'!AD:AD,"&gt;"&amp;0))</f>
        <v>45658</v>
      </c>
      <c r="CA228" s="114">
        <f ca="1">IF(OR(S228&gt;0,AD228&gt;0),IFERROR(
SUMIFS(INDIRECT("'Infos Clientes'!$W"&amp;INDEX('Infos Clientes'!$C:$C,MATCH(C228,'Infos Clientes'!$H:$H,0))&amp;":$CZ"&amp;INDEX('Infos Clientes'!$C:$C,MATCH(C228,'Infos Clientes'!$H:$H,0))),'Infos Clientes'!$W$2:$CZ$2,"&gt;"&amp;$R228-365,'Infos Clientes'!$W$2:$CZ$2,"&lt;="&amp;$R228)/
COUNTIFS(INDIRECT("'Infos Clientes'!$W"&amp;INDEX('Infos Clientes'!$C:$C,MATCH(C228,'Infos Clientes'!$H:$H,0))&amp;":$CZ"&amp;INDEX('Infos Clientes'!$C:$C,MATCH(C228,'Infos Clientes'!$H:$H,0))),"&gt;="&amp;0,'Infos Clientes'!$W$2:$CZ$2,"&gt;"&amp;$R228-365,'Infos Clientes'!$W$2:$CZ$2,"&lt;="&amp;$R228),""),"")</f>
        <v>253</v>
      </c>
      <c r="CB228" s="87">
        <f>VLOOKUP(C228,'Infos Clientes'!B:L,11,0)</f>
        <v>0</v>
      </c>
      <c r="CC228" s="88" t="str">
        <f t="shared" si="153"/>
        <v>A Unidade Consumidora 10/52987-5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8" s="40"/>
      <c r="CF228" s="115">
        <f t="shared" si="154"/>
        <v>-604.70999999999992</v>
      </c>
    </row>
    <row r="229" spans="1:84" ht="16.2" hidden="1" customHeight="1" x14ac:dyDescent="0.3">
      <c r="A229" s="105" t="str">
        <f>INDEX('Infos Clientes'!$D:$D,MATCH('Detalhe Por UC'!C229,'Infos Clientes'!B:B,0))</f>
        <v>IGREJA DO EVANGELHO QUADRANGULAR</v>
      </c>
      <c r="B229" s="106" t="str">
        <f>INDEX('Infos Clientes'!$F:$F,MATCH('Detalhe Por UC'!C229,'Infos Clientes'!B:B,0))</f>
        <v>62.955.505/2391-19</v>
      </c>
      <c r="C229" s="31" t="s">
        <v>193</v>
      </c>
      <c r="D229" t="s">
        <v>351</v>
      </c>
      <c r="E229" s="1" t="s">
        <v>352</v>
      </c>
      <c r="F229" s="56" t="str">
        <f>INDEX('Infos Clientes'!$I:$I,MATCH('Detalhe Por UC'!C229,'Infos Clientes'!B:B,0))</f>
        <v>BT</v>
      </c>
      <c r="G229" s="56" t="str">
        <f>INDEX('Infos Clientes'!$J:$J,MATCH('Detalhe Por UC'!C229,'Infos Clientes'!B:B,0))</f>
        <v>bifasico</v>
      </c>
      <c r="H229" s="108" t="s">
        <v>138</v>
      </c>
      <c r="I229" s="58">
        <f>IFERROR(VLOOKUP(C229,'Infos Clientes'!B:E,4,),"")</f>
        <v>306</v>
      </c>
      <c r="J229" s="109">
        <v>0.25</v>
      </c>
      <c r="K229" s="59">
        <f>INDEX('Infos Clientes'!$M:$M,MATCH('Detalhe Por UC'!C229,'Infos Clientes'!B:B,0))</f>
        <v>0.25</v>
      </c>
      <c r="L229" s="125">
        <v>0</v>
      </c>
      <c r="M229" s="56">
        <f>INDEX('Infos Clientes'!$N:$N,MATCH('Detalhe Por UC'!C229,'Infos Clientes'!B:B,0))</f>
        <v>0</v>
      </c>
      <c r="N229" s="56">
        <f t="shared" si="118"/>
        <v>0</v>
      </c>
      <c r="O229" s="56">
        <f t="shared" si="119"/>
        <v>9</v>
      </c>
      <c r="P229" s="56">
        <f t="shared" si="120"/>
        <v>0</v>
      </c>
      <c r="Q229" s="61">
        <f>IFERROR(IFERROR(INDEX('Infos Clientes'!$A$2:$V$9884,MATCH($C229,'Infos Clientes'!$B$2:$B$9884,0),MATCH(Q$8,'Infos Clientes'!$A$2:$V$2,0)),"")
+IF(OR(INDEX('Infos Clientes'!$A$2:$V$9884,MATCH($C229,'Infos Clientes'!$B$2:$B$9884,0),MATCH("Tempo de Fidelidade (meses)",'Infos Clientes'!$A$2:$V$2,0))=0,R229&gt;=MAX(R:R)),0,
ROUND((MAX(R:R)-R229)/(365/12),0)),"")</f>
        <v>0</v>
      </c>
      <c r="R229" s="111">
        <v>45689</v>
      </c>
      <c r="S229" s="63">
        <v>0.02</v>
      </c>
      <c r="T229" s="113" t="str">
        <f>IF($H229="GIROSSOL II",AP229/INDEX('Resumo Operacional'!$A$1:$P$1103,17,MATCH('Detalhe Por UC'!$R229,'Resumo Operacional'!$A$1:$P$1,0)),
IF($H229="GIROSSOL II e III",AP229/INDEX('Resumo Operacional'!$A$1:$P$1103,17,MATCH('Detalhe Por UC'!$R229,'Resumo Operacional'!$A$1:$P$1,0)),
""))</f>
        <v/>
      </c>
      <c r="U229" s="113">
        <f>IF($H229="GIROSSOL III",AP229/INDEX('Resumo Operacional'!$A$1:$P$1103,53,MATCH('Detalhe Por UC'!$R229,'Resumo Operacional'!$A$1:$P$1,0)),
IF($H229="GIROSSOL II e III",AP229/INDEX('Resumo Operacional'!$A$1:$P$1103,53,MATCH('Detalhe Por UC'!$R229,'Resumo Operacional'!$A$1:$P$1,0)),
""))</f>
        <v>0</v>
      </c>
      <c r="V229" s="18"/>
      <c r="W229" s="54"/>
      <c r="X229" s="131">
        <v>1.1162566844919786</v>
      </c>
      <c r="Y229" s="132">
        <v>0</v>
      </c>
      <c r="Z229" s="133">
        <v>0</v>
      </c>
      <c r="AA229" s="133">
        <v>0</v>
      </c>
      <c r="AB229" s="134">
        <v>374</v>
      </c>
      <c r="AC229" s="134">
        <v>0</v>
      </c>
      <c r="AD229" s="135">
        <v>0</v>
      </c>
      <c r="AE229" s="35"/>
      <c r="AF229" s="135">
        <v>0</v>
      </c>
      <c r="AG229" s="135">
        <v>0</v>
      </c>
      <c r="AH229" s="44">
        <v>0</v>
      </c>
      <c r="AI229" s="44">
        <v>0</v>
      </c>
      <c r="AJ229" s="44">
        <v>0</v>
      </c>
      <c r="AK229" s="31"/>
      <c r="AN229" s="71">
        <f t="shared" si="121"/>
        <v>0</v>
      </c>
      <c r="AO229" s="71">
        <f t="shared" si="122"/>
        <v>0</v>
      </c>
      <c r="AP229" s="71">
        <f t="shared" si="123"/>
        <v>0</v>
      </c>
      <c r="AQ229" s="72">
        <f>IF(OR($H229="GIROSSOL II",$H229="GIROSSOL II e III"),INDEX('Resumo Operacional'!$A$1:$P$1103,MATCH("Energia Injetada prevista total Fatura da Usina (TUSD)",'Resumo Operacional'!$B$1:$B$1103,0),MATCH('Detalhe Por UC'!$R229,'Resumo Operacional'!$A$1:$P$1,0))*$S229,INDEX('Resumo Operacional'!$A$1:$P$1103,53,MATCH('Detalhe Por UC'!$R229,'Resumo Operacional'!$A$1:$P$1,0))*$S229)</f>
        <v>289.32</v>
      </c>
      <c r="AR229" s="71">
        <f t="shared" si="124"/>
        <v>-289.32</v>
      </c>
      <c r="AS229" s="73">
        <f t="shared" si="125"/>
        <v>417.47999999999996</v>
      </c>
      <c r="AT229" s="74">
        <f t="shared" si="126"/>
        <v>417.47999999999996</v>
      </c>
      <c r="AU229" s="74" t="str">
        <f t="shared" si="127"/>
        <v/>
      </c>
      <c r="AV229" s="74">
        <f t="shared" si="128"/>
        <v>0</v>
      </c>
      <c r="AW229" s="74">
        <f t="shared" si="129"/>
        <v>0</v>
      </c>
      <c r="AX229" s="74">
        <f t="shared" si="130"/>
        <v>0</v>
      </c>
      <c r="AY229" s="74" t="str">
        <f t="shared" si="131"/>
        <v/>
      </c>
      <c r="BC229" s="73" t="str">
        <f t="shared" si="132"/>
        <v/>
      </c>
      <c r="BD229" s="73">
        <f t="shared" si="133"/>
        <v>417.47999999999996</v>
      </c>
      <c r="BE229" s="73">
        <f t="shared" si="134"/>
        <v>417.47999999999996</v>
      </c>
      <c r="BF229" s="77">
        <f t="shared" si="135"/>
        <v>0</v>
      </c>
      <c r="BG229" s="77">
        <f t="shared" si="136"/>
        <v>0</v>
      </c>
      <c r="BH229" s="77">
        <f t="shared" si="137"/>
        <v>0</v>
      </c>
      <c r="BI229" s="78" t="str">
        <f t="shared" si="138"/>
        <v/>
      </c>
      <c r="BJ229" s="79">
        <f t="shared" si="139"/>
        <v>0</v>
      </c>
      <c r="BK229" s="80" t="str">
        <f t="shared" si="140"/>
        <v/>
      </c>
      <c r="BL229" s="80" t="str">
        <f t="shared" si="141"/>
        <v/>
      </c>
      <c r="BM229" s="79" t="str">
        <f t="shared" si="142"/>
        <v/>
      </c>
      <c r="BN229" s="81" t="str">
        <f t="shared" si="143"/>
        <v/>
      </c>
      <c r="BO229" s="82" t="str">
        <f t="shared" si="144"/>
        <v/>
      </c>
      <c r="BP229" s="81" t="str">
        <f t="shared" si="145"/>
        <v/>
      </c>
      <c r="BQ229" s="81" t="str">
        <f t="shared" si="146"/>
        <v/>
      </c>
      <c r="BR229" s="81" t="str">
        <f t="shared" si="147"/>
        <v/>
      </c>
      <c r="BS229" s="82">
        <f t="shared" si="148"/>
        <v>0</v>
      </c>
      <c r="BT229" s="82" t="str">
        <f t="shared" si="149"/>
        <v/>
      </c>
      <c r="BU229" s="82">
        <f t="shared" si="150"/>
        <v>0</v>
      </c>
      <c r="BW229" s="82">
        <f>IFERROR(INDEX('Infos Clientes'!$T:$T,MATCH('Detalhe Por UC'!$C229,'Infos Clientes'!B:B,0)),"")</f>
        <v>330.27272727272725</v>
      </c>
      <c r="BX229" s="83">
        <f t="shared" si="151"/>
        <v>0</v>
      </c>
      <c r="BY229" s="84" t="str">
        <f t="shared" si="152"/>
        <v/>
      </c>
      <c r="BZ229" s="85">
        <f>IF(_xlfn.MINIFS('Detalhe Por UC'!R:R,'Detalhe Por UC'!C:C,C229,'Detalhe Por UC'!AD:AD,"&gt;"&amp;0)=0,"",_xlfn.MINIFS('Detalhe Por UC'!R:R,'Detalhe Por UC'!C:C,C229,'Detalhe Por UC'!AD:AD,"&gt;"&amp;0))</f>
        <v>45658</v>
      </c>
      <c r="CA229" s="114">
        <f ca="1">IF(OR(S229&gt;0,AD229&gt;0),IFERROR(
SUMIFS(INDIRECT("'Infos Clientes'!$W"&amp;INDEX('Infos Clientes'!$C:$C,MATCH(C229,'Infos Clientes'!$H:$H,0))&amp;":$CZ"&amp;INDEX('Infos Clientes'!$C:$C,MATCH(C229,'Infos Clientes'!$H:$H,0))),'Infos Clientes'!$W$2:$CZ$2,"&gt;"&amp;$R229-365,'Infos Clientes'!$W$2:$CZ$2,"&lt;="&amp;$R229)/
COUNTIFS(INDIRECT("'Infos Clientes'!$W"&amp;INDEX('Infos Clientes'!$C:$C,MATCH(C229,'Infos Clientes'!$H:$H,0))&amp;":$CZ"&amp;INDEX('Infos Clientes'!$C:$C,MATCH(C229,'Infos Clientes'!$H:$H,0))),"&gt;="&amp;0,'Infos Clientes'!$W$2:$CZ$2,"&gt;"&amp;$R229-365,'Infos Clientes'!$W$2:$CZ$2,"&lt;="&amp;$R229),""),"")</f>
        <v>302.83333333333331</v>
      </c>
      <c r="CB229" s="87">
        <f>VLOOKUP(C229,'Infos Clientes'!B:L,11,0)</f>
        <v>0</v>
      </c>
      <c r="CC229" s="88" t="str">
        <f t="shared" si="153"/>
        <v>A Unidade Consumidora 10/341308-5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29" s="40" t="s">
        <v>143</v>
      </c>
      <c r="CF229" s="115">
        <f t="shared" si="154"/>
        <v>-417.47999999999996</v>
      </c>
    </row>
    <row r="230" spans="1:84" ht="16.2" hidden="1" customHeight="1" x14ac:dyDescent="0.3">
      <c r="A230" s="105" t="str">
        <f>INDEX('Infos Clientes'!$D:$D,MATCH('Detalhe Por UC'!C230,'Infos Clientes'!B:B,0))</f>
        <v>IGREJA DO EVANGELHO QUADRANGULAR</v>
      </c>
      <c r="B230" s="106" t="str">
        <f>INDEX('Infos Clientes'!$F:$F,MATCH('Detalhe Por UC'!C230,'Infos Clientes'!B:B,0))</f>
        <v>62.955.505/1893-40</v>
      </c>
      <c r="C230" s="31" t="s">
        <v>214</v>
      </c>
      <c r="D230" t="s">
        <v>351</v>
      </c>
      <c r="E230" s="1" t="s">
        <v>352</v>
      </c>
      <c r="F230" s="56" t="str">
        <f>INDEX('Infos Clientes'!$I:$I,MATCH('Detalhe Por UC'!C230,'Infos Clientes'!B:B,0))</f>
        <v>BT</v>
      </c>
      <c r="G230" s="56" t="str">
        <f>INDEX('Infos Clientes'!$J:$J,MATCH('Detalhe Por UC'!C230,'Infos Clientes'!B:B,0))</f>
        <v>trifasico</v>
      </c>
      <c r="H230" s="108" t="s">
        <v>138</v>
      </c>
      <c r="I230" s="58">
        <f>IFERROR(VLOOKUP(C230,'Infos Clientes'!B:E,4,),"")</f>
        <v>349</v>
      </c>
      <c r="J230" s="109">
        <v>0.25</v>
      </c>
      <c r="K230" s="59">
        <f>INDEX('Infos Clientes'!$M:$M,MATCH('Detalhe Por UC'!C230,'Infos Clientes'!B:B,0))</f>
        <v>0.25</v>
      </c>
      <c r="L230" s="125">
        <v>0</v>
      </c>
      <c r="M230" s="56">
        <f>INDEX('Infos Clientes'!$N:$N,MATCH('Detalhe Por UC'!C230,'Infos Clientes'!B:B,0))</f>
        <v>0</v>
      </c>
      <c r="N230" s="56">
        <f t="shared" si="118"/>
        <v>0</v>
      </c>
      <c r="O230" s="56">
        <f t="shared" si="119"/>
        <v>1</v>
      </c>
      <c r="P230" s="56">
        <f t="shared" si="120"/>
        <v>0</v>
      </c>
      <c r="Q230" s="61">
        <f>IFERROR(IFERROR(INDEX('Infos Clientes'!$A$2:$V$9884,MATCH($C230,'Infos Clientes'!$B$2:$B$9884,0),MATCH(Q$8,'Infos Clientes'!$A$2:$V$2,0)),"")
+IF(OR(INDEX('Infos Clientes'!$A$2:$V$9884,MATCH($C230,'Infos Clientes'!$B$2:$B$9884,0),MATCH("Tempo de Fidelidade (meses)",'Infos Clientes'!$A$2:$V$2,0))=0,R230&gt;=MAX(R:R)),0,
ROUND((MAX(R:R)-R230)/(365/12),0)),"")</f>
        <v>0</v>
      </c>
      <c r="R230" s="111">
        <v>45689</v>
      </c>
      <c r="S230" s="63">
        <v>0.01</v>
      </c>
      <c r="T230" s="113" t="str">
        <f>IF($H230="GIROSSOL II",AP230/INDEX('Resumo Operacional'!$A$1:$P$1103,17,MATCH('Detalhe Por UC'!$R230,'Resumo Operacional'!$A$1:$P$1,0)),
IF($H230="GIROSSOL II e III",AP230/INDEX('Resumo Operacional'!$A$1:$P$1103,17,MATCH('Detalhe Por UC'!$R230,'Resumo Operacional'!$A$1:$P$1,0)),
""))</f>
        <v/>
      </c>
      <c r="U230" s="113">
        <f>IF($H230="GIROSSOL III",AP230/INDEX('Resumo Operacional'!$A$1:$P$1103,53,MATCH('Detalhe Por UC'!$R230,'Resumo Operacional'!$A$1:$P$1,0)),
IF($H230="GIROSSOL II e III",AP230/INDEX('Resumo Operacional'!$A$1:$P$1103,53,MATCH('Detalhe Por UC'!$R230,'Resumo Operacional'!$A$1:$P$1,0)),
""))</f>
        <v>0</v>
      </c>
      <c r="V230" s="18"/>
      <c r="W230" s="54"/>
      <c r="X230" s="131">
        <v>1.1162272727272726</v>
      </c>
      <c r="Y230" s="132">
        <v>0</v>
      </c>
      <c r="Z230" s="133">
        <v>0</v>
      </c>
      <c r="AA230" s="133">
        <v>0</v>
      </c>
      <c r="AB230" s="134">
        <v>220</v>
      </c>
      <c r="AC230" s="134">
        <v>0</v>
      </c>
      <c r="AD230" s="135">
        <v>0</v>
      </c>
      <c r="AE230" s="35"/>
      <c r="AF230" s="135">
        <v>0</v>
      </c>
      <c r="AG230" s="135">
        <v>0</v>
      </c>
      <c r="AH230" s="44">
        <v>4.7699999999999996</v>
      </c>
      <c r="AI230" s="44">
        <v>0</v>
      </c>
      <c r="AJ230" s="44">
        <v>0</v>
      </c>
      <c r="AK230" s="31"/>
      <c r="AN230" s="71">
        <f t="shared" si="121"/>
        <v>0</v>
      </c>
      <c r="AO230" s="71">
        <f t="shared" si="122"/>
        <v>0</v>
      </c>
      <c r="AP230" s="71">
        <f t="shared" si="123"/>
        <v>0</v>
      </c>
      <c r="AQ230" s="72">
        <f>IF(OR($H230="GIROSSOL II",$H230="GIROSSOL II e III"),INDEX('Resumo Operacional'!$A$1:$P$1103,MATCH("Energia Injetada prevista total Fatura da Usina (TUSD)",'Resumo Operacional'!$B$1:$B$1103,0),MATCH('Detalhe Por UC'!$R230,'Resumo Operacional'!$A$1:$P$1,0))*$S230,INDEX('Resumo Operacional'!$A$1:$P$1103,53,MATCH('Detalhe Por UC'!$R230,'Resumo Operacional'!$A$1:$P$1,0))*$S230)</f>
        <v>144.66</v>
      </c>
      <c r="AR230" s="71">
        <f t="shared" si="124"/>
        <v>-144.66</v>
      </c>
      <c r="AS230" s="73">
        <f t="shared" si="125"/>
        <v>250.33999999999997</v>
      </c>
      <c r="AT230" s="74">
        <f t="shared" si="126"/>
        <v>250.33999999999997</v>
      </c>
      <c r="AU230" s="74" t="str">
        <f t="shared" si="127"/>
        <v/>
      </c>
      <c r="AV230" s="74">
        <f t="shared" si="128"/>
        <v>0</v>
      </c>
      <c r="AW230" s="74">
        <f t="shared" si="129"/>
        <v>0</v>
      </c>
      <c r="AX230" s="74">
        <f t="shared" si="130"/>
        <v>0</v>
      </c>
      <c r="AY230" s="74" t="str">
        <f t="shared" si="131"/>
        <v/>
      </c>
      <c r="BC230" s="73" t="str">
        <f t="shared" si="132"/>
        <v/>
      </c>
      <c r="BD230" s="73">
        <f t="shared" si="133"/>
        <v>250.33999999999997</v>
      </c>
      <c r="BE230" s="73">
        <f t="shared" si="134"/>
        <v>250.33999999999997</v>
      </c>
      <c r="BF230" s="77">
        <f t="shared" si="135"/>
        <v>0</v>
      </c>
      <c r="BG230" s="77">
        <f t="shared" si="136"/>
        <v>0</v>
      </c>
      <c r="BH230" s="77">
        <f t="shared" si="137"/>
        <v>0</v>
      </c>
      <c r="BI230" s="78" t="str">
        <f t="shared" si="138"/>
        <v/>
      </c>
      <c r="BJ230" s="79">
        <f t="shared" si="139"/>
        <v>0</v>
      </c>
      <c r="BK230" s="80" t="str">
        <f t="shared" si="140"/>
        <v/>
      </c>
      <c r="BL230" s="80" t="str">
        <f t="shared" si="141"/>
        <v/>
      </c>
      <c r="BM230" s="79" t="str">
        <f t="shared" si="142"/>
        <v/>
      </c>
      <c r="BN230" s="81" t="str">
        <f t="shared" si="143"/>
        <v/>
      </c>
      <c r="BO230" s="82" t="str">
        <f t="shared" si="144"/>
        <v/>
      </c>
      <c r="BP230" s="81" t="str">
        <f t="shared" si="145"/>
        <v/>
      </c>
      <c r="BQ230" s="81" t="str">
        <f t="shared" si="146"/>
        <v/>
      </c>
      <c r="BR230" s="81" t="str">
        <f t="shared" si="147"/>
        <v/>
      </c>
      <c r="BS230" s="82">
        <f t="shared" si="148"/>
        <v>0</v>
      </c>
      <c r="BT230" s="82" t="str">
        <f t="shared" si="149"/>
        <v/>
      </c>
      <c r="BU230" s="82">
        <f t="shared" si="150"/>
        <v>0</v>
      </c>
      <c r="BW230" s="82">
        <f>IFERROR(INDEX('Infos Clientes'!$T:$T,MATCH('Detalhe Por UC'!$C230,'Infos Clientes'!B:B,0)),"")</f>
        <v>254.09090909090909</v>
      </c>
      <c r="BX230" s="83">
        <f t="shared" si="151"/>
        <v>0</v>
      </c>
      <c r="BY230" s="84" t="str">
        <f t="shared" si="152"/>
        <v/>
      </c>
      <c r="BZ230" s="85">
        <f>IF(_xlfn.MINIFS('Detalhe Por UC'!R:R,'Detalhe Por UC'!C:C,C230,'Detalhe Por UC'!AD:AD,"&gt;"&amp;0)=0,"",_xlfn.MINIFS('Detalhe Por UC'!R:R,'Detalhe Por UC'!C:C,C230,'Detalhe Por UC'!AD:AD,"&gt;"&amp;0))</f>
        <v>45658</v>
      </c>
      <c r="CA230" s="114">
        <f ca="1">IF(OR(S230&gt;0,AD230&gt;0),IFERROR(
SUMIFS(INDIRECT("'Infos Clientes'!$W"&amp;INDEX('Infos Clientes'!$C:$C,MATCH(C230,'Infos Clientes'!$H:$H,0))&amp;":$CZ"&amp;INDEX('Infos Clientes'!$C:$C,MATCH(C230,'Infos Clientes'!$H:$H,0))),'Infos Clientes'!$W$2:$CZ$2,"&gt;"&amp;$R230-365,'Infos Clientes'!$W$2:$CZ$2,"&lt;="&amp;$R230)/
COUNTIFS(INDIRECT("'Infos Clientes'!$W"&amp;INDEX('Infos Clientes'!$C:$C,MATCH(C230,'Infos Clientes'!$H:$H,0))&amp;":$CZ"&amp;INDEX('Infos Clientes'!$C:$C,MATCH(C230,'Infos Clientes'!$H:$H,0))),"&gt;="&amp;0,'Infos Clientes'!$W$2:$CZ$2,"&gt;"&amp;$R230-365,'Infos Clientes'!$W$2:$CZ$2,"&lt;="&amp;$R230),""),"")</f>
        <v>228.08333333333334</v>
      </c>
      <c r="CB230" s="87">
        <f>VLOOKUP(C230,'Infos Clientes'!B:L,11,0)</f>
        <v>0</v>
      </c>
      <c r="CC230" s="88" t="str">
        <f t="shared" si="153"/>
        <v>A Unidade Consumidora 10/512142-1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0" s="40" t="s">
        <v>66</v>
      </c>
      <c r="CF230" s="115">
        <f t="shared" si="154"/>
        <v>-250.33999999999997</v>
      </c>
    </row>
    <row r="231" spans="1:84" ht="16.2" hidden="1" customHeight="1" x14ac:dyDescent="0.3">
      <c r="A231" s="105" t="str">
        <f>INDEX('Infos Clientes'!$D:$D,MATCH('Detalhe Por UC'!C231,'Infos Clientes'!B:B,0))</f>
        <v>IGREJA DO EVANGELHO QUADRANGULAR</v>
      </c>
      <c r="B231" s="106" t="str">
        <f>INDEX('Infos Clientes'!$F:$F,MATCH('Detalhe Por UC'!C231,'Infos Clientes'!B:B,0))</f>
        <v>62.955.505/3358-51</v>
      </c>
      <c r="C231" s="31" t="s">
        <v>150</v>
      </c>
      <c r="D231" t="s">
        <v>351</v>
      </c>
      <c r="E231" s="1" t="s">
        <v>352</v>
      </c>
      <c r="F231" s="56" t="str">
        <f>INDEX('Infos Clientes'!$I:$I,MATCH('Detalhe Por UC'!C231,'Infos Clientes'!B:B,0))</f>
        <v>BT</v>
      </c>
      <c r="G231" s="56" t="str">
        <f>INDEX('Infos Clientes'!$J:$J,MATCH('Detalhe Por UC'!C231,'Infos Clientes'!B:B,0))</f>
        <v>trifasico</v>
      </c>
      <c r="H231" s="108" t="s">
        <v>138</v>
      </c>
      <c r="I231" s="58">
        <f>IFERROR(VLOOKUP(C231,'Infos Clientes'!B:E,4,),"")</f>
        <v>306</v>
      </c>
      <c r="J231" s="109">
        <v>0.25</v>
      </c>
      <c r="K231" s="59">
        <f>INDEX('Infos Clientes'!$M:$M,MATCH('Detalhe Por UC'!C231,'Infos Clientes'!B:B,0))</f>
        <v>0.25</v>
      </c>
      <c r="L231" s="125">
        <v>0</v>
      </c>
      <c r="M231" s="56">
        <f>INDEX('Infos Clientes'!$N:$N,MATCH('Detalhe Por UC'!C231,'Infos Clientes'!B:B,0))</f>
        <v>0</v>
      </c>
      <c r="N231" s="56">
        <f t="shared" si="118"/>
        <v>0</v>
      </c>
      <c r="O231" s="56">
        <f t="shared" si="119"/>
        <v>10</v>
      </c>
      <c r="P231" s="56">
        <f t="shared" si="120"/>
        <v>0</v>
      </c>
      <c r="Q231" s="61">
        <f>IFERROR(IFERROR(INDEX('Infos Clientes'!$A$2:$V$9884,MATCH($C231,'Infos Clientes'!$B$2:$B$9884,0),MATCH(Q$8,'Infos Clientes'!$A$2:$V$2,0)),"")
+IF(OR(INDEX('Infos Clientes'!$A$2:$V$9884,MATCH($C231,'Infos Clientes'!$B$2:$B$9884,0),MATCH("Tempo de Fidelidade (meses)",'Infos Clientes'!$A$2:$V$2,0))=0,R231&gt;=MAX(R:R)),0,
ROUND((MAX(R:R)-R231)/(365/12),0)),"")</f>
        <v>0</v>
      </c>
      <c r="R231" s="111">
        <v>45689</v>
      </c>
      <c r="S231" s="63">
        <v>0.01</v>
      </c>
      <c r="T231" s="113" t="str">
        <f>IF($H231="GIROSSOL II",AP231/INDEX('Resumo Operacional'!$A$1:$P$1103,17,MATCH('Detalhe Por UC'!$R231,'Resumo Operacional'!$A$1:$P$1,0)),
IF($H231="GIROSSOL II e III",AP231/INDEX('Resumo Operacional'!$A$1:$P$1103,17,MATCH('Detalhe Por UC'!$R231,'Resumo Operacional'!$A$1:$P$1,0)),
""))</f>
        <v/>
      </c>
      <c r="U231" s="113">
        <f>IF($H231="GIROSSOL III",AP231/INDEX('Resumo Operacional'!$A$1:$P$1103,53,MATCH('Detalhe Por UC'!$R231,'Resumo Operacional'!$A$1:$P$1,0)),
IF($H231="GIROSSOL II e III",AP231/INDEX('Resumo Operacional'!$A$1:$P$1103,53,MATCH('Detalhe Por UC'!$R231,'Resumo Operacional'!$A$1:$P$1,0)),
""))</f>
        <v>0</v>
      </c>
      <c r="V231" s="18"/>
      <c r="W231" s="54"/>
      <c r="X231" s="131">
        <v>1.1162450592885376</v>
      </c>
      <c r="Y231" s="132">
        <v>0</v>
      </c>
      <c r="Z231" s="133">
        <v>0.97419354838709682</v>
      </c>
      <c r="AA231" s="133">
        <v>0</v>
      </c>
      <c r="AB231" s="134">
        <v>253</v>
      </c>
      <c r="AC231" s="134">
        <v>0</v>
      </c>
      <c r="AD231" s="135">
        <v>31</v>
      </c>
      <c r="AE231" s="35"/>
      <c r="AF231" s="135">
        <v>0</v>
      </c>
      <c r="AG231" s="135">
        <v>0</v>
      </c>
      <c r="AH231" s="44">
        <v>0</v>
      </c>
      <c r="AI231" s="44">
        <v>0</v>
      </c>
      <c r="AJ231" s="44">
        <v>0</v>
      </c>
      <c r="AK231" s="31"/>
      <c r="AN231" s="71">
        <f t="shared" si="121"/>
        <v>-31</v>
      </c>
      <c r="AO231" s="71">
        <f t="shared" si="122"/>
        <v>0</v>
      </c>
      <c r="AP231" s="71">
        <f t="shared" si="123"/>
        <v>0</v>
      </c>
      <c r="AQ231" s="72">
        <f>IF(OR($H231="GIROSSOL II",$H231="GIROSSOL II e III"),INDEX('Resumo Operacional'!$A$1:$P$1103,MATCH("Energia Injetada prevista total Fatura da Usina (TUSD)",'Resumo Operacional'!$B$1:$B$1103,0),MATCH('Detalhe Por UC'!$R231,'Resumo Operacional'!$A$1:$P$1,0))*$S231,INDEX('Resumo Operacional'!$A$1:$P$1103,53,MATCH('Detalhe Por UC'!$R231,'Resumo Operacional'!$A$1:$P$1,0))*$S231)</f>
        <v>144.66</v>
      </c>
      <c r="AR231" s="71">
        <f t="shared" si="124"/>
        <v>-144.66</v>
      </c>
      <c r="AS231" s="73">
        <f t="shared" si="125"/>
        <v>252.21000000000004</v>
      </c>
      <c r="AT231" s="74">
        <f t="shared" si="126"/>
        <v>252.21000000000004</v>
      </c>
      <c r="AU231" s="74">
        <f t="shared" si="127"/>
        <v>0.83214203748565607</v>
      </c>
      <c r="AV231" s="74">
        <f t="shared" si="128"/>
        <v>22.650000000000002</v>
      </c>
      <c r="AW231" s="74">
        <f t="shared" si="129"/>
        <v>0</v>
      </c>
      <c r="AX231" s="74">
        <f t="shared" si="130"/>
        <v>30.200000000000003</v>
      </c>
      <c r="AY231" s="74">
        <f t="shared" si="131"/>
        <v>22.65</v>
      </c>
      <c r="AZ231" s="49">
        <v>22.65</v>
      </c>
      <c r="BA231" s="49">
        <v>22.65</v>
      </c>
      <c r="BB231" s="49">
        <v>22.65</v>
      </c>
      <c r="BC231" s="73" t="str">
        <f t="shared" si="132"/>
        <v/>
      </c>
      <c r="BD231" s="73">
        <f t="shared" si="133"/>
        <v>282.41000000000003</v>
      </c>
      <c r="BE231" s="73">
        <f t="shared" si="134"/>
        <v>274.86</v>
      </c>
      <c r="BF231" s="77">
        <f t="shared" si="135"/>
        <v>7.55</v>
      </c>
      <c r="BG231" s="77">
        <f t="shared" si="136"/>
        <v>2.2649999999999997</v>
      </c>
      <c r="BH231" s="77">
        <f t="shared" si="137"/>
        <v>30.200000000000003</v>
      </c>
      <c r="BI231" s="78">
        <f t="shared" si="138"/>
        <v>0.25</v>
      </c>
      <c r="BJ231" s="79">
        <f t="shared" si="139"/>
        <v>2.6734180800963136E-2</v>
      </c>
      <c r="BK231" s="80">
        <f t="shared" si="140"/>
        <v>274.86</v>
      </c>
      <c r="BL231" s="80">
        <f t="shared" si="141"/>
        <v>7.5500000000000114</v>
      </c>
      <c r="BM231" s="79">
        <f t="shared" si="142"/>
        <v>2.6734180800963177E-2</v>
      </c>
      <c r="BN231" s="81">
        <f t="shared" si="143"/>
        <v>0.73064516129032253</v>
      </c>
      <c r="BO231" s="82">
        <f t="shared" si="144"/>
        <v>22.65</v>
      </c>
      <c r="BP231" s="81">
        <f t="shared" si="145"/>
        <v>0.73064516129032253</v>
      </c>
      <c r="BQ231" s="81">
        <f t="shared" si="146"/>
        <v>0.87269667219176328</v>
      </c>
      <c r="BR231" s="81">
        <f t="shared" si="147"/>
        <v>1.1162450592885376</v>
      </c>
      <c r="BS231" s="82">
        <f t="shared" si="148"/>
        <v>31</v>
      </c>
      <c r="BT231" s="82">
        <f t="shared" si="149"/>
        <v>34.603596837944664</v>
      </c>
      <c r="BU231" s="82">
        <f t="shared" si="150"/>
        <v>30.200000000000003</v>
      </c>
      <c r="BW231" s="82">
        <f>IFERROR(INDEX('Infos Clientes'!$T:$T,MATCH('Detalhe Por UC'!$C231,'Infos Clientes'!B:B,0)),"")</f>
        <v>209.54545454545453</v>
      </c>
      <c r="BX231" s="83">
        <f t="shared" si="151"/>
        <v>0</v>
      </c>
      <c r="BY231" s="84">
        <f t="shared" si="152"/>
        <v>0.21818541105302183</v>
      </c>
      <c r="BZ231" s="85">
        <f>IF(_xlfn.MINIFS('Detalhe Por UC'!R:R,'Detalhe Por UC'!C:C,C231,'Detalhe Por UC'!AD:AD,"&gt;"&amp;0)=0,"",_xlfn.MINIFS('Detalhe Por UC'!R:R,'Detalhe Por UC'!C:C,C231,'Detalhe Por UC'!AD:AD,"&gt;"&amp;0))</f>
        <v>45658</v>
      </c>
      <c r="CA231" s="114">
        <f ca="1">IF(OR(S231&gt;0,AD231&gt;0),IFERROR(
SUMIFS(INDIRECT("'Infos Clientes'!$W"&amp;INDEX('Infos Clientes'!$C:$C,MATCH(C231,'Infos Clientes'!$H:$H,0))&amp;":$CZ"&amp;INDEX('Infos Clientes'!$C:$C,MATCH(C231,'Infos Clientes'!$H:$H,0))),'Infos Clientes'!$W$2:$CZ$2,"&gt;"&amp;$R231-365,'Infos Clientes'!$W$2:$CZ$2,"&lt;="&amp;$R231)/
COUNTIFS(INDIRECT("'Infos Clientes'!$W"&amp;INDEX('Infos Clientes'!$C:$C,MATCH(C231,'Infos Clientes'!$H:$H,0))&amp;":$CZ"&amp;INDEX('Infos Clientes'!$C:$C,MATCH(C231,'Infos Clientes'!$H:$H,0))),"&gt;="&amp;0,'Infos Clientes'!$W$2:$CZ$2,"&gt;"&amp;$R231-365,'Infos Clientes'!$W$2:$CZ$2,"&lt;="&amp;$R231),""),"")</f>
        <v>193.66666666666666</v>
      </c>
      <c r="CB231" s="87">
        <f>VLOOKUP(C231,'Infos Clientes'!B:L,11,0)</f>
        <v>0</v>
      </c>
      <c r="CC231" s="88" t="str">
        <f t="shared" si="153"/>
        <v>A Unidade Consumidora 10/1288241-1 economizou R$7,55 na fatura referente à fev/2025  consumindo 31 kWh em créditos de energia renovável conforme fatura de energia. A economia foi de 25% em relação ao que seria pago para a Energisa considerando os créditos consumidos. Atenção: Mantenha as contas da Energisa em dia para evitar cortes.</v>
      </c>
      <c r="CD231" s="40" t="s">
        <v>143</v>
      </c>
      <c r="CF231" s="115">
        <f t="shared" si="154"/>
        <v>-252.21000000000004</v>
      </c>
    </row>
    <row r="232" spans="1:84" ht="16.2" hidden="1" customHeight="1" x14ac:dyDescent="0.3">
      <c r="A232" s="105" t="str">
        <f>INDEX('Infos Clientes'!$D:$D,MATCH('Detalhe Por UC'!C232,'Infos Clientes'!B:B,0))</f>
        <v>IGREJA DO EVANGELHO QUADRANGULAR</v>
      </c>
      <c r="B232" s="106" t="str">
        <f>INDEX('Infos Clientes'!$F:$F,MATCH('Detalhe Por UC'!C232,'Infos Clientes'!B:B,0))</f>
        <v>62.955.505/0165-94</v>
      </c>
      <c r="C232" s="31" t="s">
        <v>169</v>
      </c>
      <c r="D232" t="s">
        <v>351</v>
      </c>
      <c r="E232" s="1" t="s">
        <v>352</v>
      </c>
      <c r="F232" s="56" t="str">
        <f>INDEX('Infos Clientes'!$I:$I,MATCH('Detalhe Por UC'!C232,'Infos Clientes'!B:B,0))</f>
        <v>BT</v>
      </c>
      <c r="G232" s="56" t="str">
        <f>INDEX('Infos Clientes'!$J:$J,MATCH('Detalhe Por UC'!C232,'Infos Clientes'!B:B,0))</f>
        <v>bifasico</v>
      </c>
      <c r="H232" s="108" t="s">
        <v>138</v>
      </c>
      <c r="I232" s="58">
        <f>IFERROR(VLOOKUP(C232,'Infos Clientes'!B:E,4,),"")</f>
        <v>302</v>
      </c>
      <c r="J232" s="109">
        <v>0.25</v>
      </c>
      <c r="K232" s="59">
        <f>INDEX('Infos Clientes'!$M:$M,MATCH('Detalhe Por UC'!C232,'Infos Clientes'!B:B,0))</f>
        <v>0.25</v>
      </c>
      <c r="L232" s="125">
        <v>0</v>
      </c>
      <c r="M232" s="56">
        <f>INDEX('Infos Clientes'!$N:$N,MATCH('Detalhe Por UC'!C232,'Infos Clientes'!B:B,0))</f>
        <v>0</v>
      </c>
      <c r="N232" s="56">
        <f t="shared" si="118"/>
        <v>0</v>
      </c>
      <c r="O232" s="56">
        <f t="shared" si="119"/>
        <v>9</v>
      </c>
      <c r="P232" s="56">
        <f t="shared" si="120"/>
        <v>0</v>
      </c>
      <c r="Q232" s="61">
        <f>IFERROR(IFERROR(INDEX('Infos Clientes'!$A$2:$V$9884,MATCH($C232,'Infos Clientes'!$B$2:$B$9884,0),MATCH(Q$8,'Infos Clientes'!$A$2:$V$2,0)),"")
+IF(OR(INDEX('Infos Clientes'!$A$2:$V$9884,MATCH($C232,'Infos Clientes'!$B$2:$B$9884,0),MATCH("Tempo de Fidelidade (meses)",'Infos Clientes'!$A$2:$V$2,0))=0,R232&gt;=MAX(R:R)),0,
ROUND((MAX(R:R)-R232)/(365/12),0)),"")</f>
        <v>0</v>
      </c>
      <c r="R232" s="111">
        <v>45689</v>
      </c>
      <c r="S232" s="63">
        <v>0.02</v>
      </c>
      <c r="T232" s="113" t="str">
        <f>IF($H232="GIROSSOL II",AP232/INDEX('Resumo Operacional'!$A$1:$P$1103,17,MATCH('Detalhe Por UC'!$R232,'Resumo Operacional'!$A$1:$P$1,0)),
IF($H232="GIROSSOL II e III",AP232/INDEX('Resumo Operacional'!$A$1:$P$1103,17,MATCH('Detalhe Por UC'!$R232,'Resumo Operacional'!$A$1:$P$1,0)),
""))</f>
        <v/>
      </c>
      <c r="U232" s="113">
        <f>IF($H232="GIROSSOL III",AP232/INDEX('Resumo Operacional'!$A$1:$P$1103,53,MATCH('Detalhe Por UC'!$R232,'Resumo Operacional'!$A$1:$P$1,0)),
IF($H232="GIROSSOL II e III",AP232/INDEX('Resumo Operacional'!$A$1:$P$1103,53,MATCH('Detalhe Por UC'!$R232,'Resumo Operacional'!$A$1:$P$1,0)),
""))</f>
        <v>0</v>
      </c>
      <c r="V232" s="18"/>
      <c r="W232" s="54"/>
      <c r="X232" s="131">
        <v>1.1162622950819672</v>
      </c>
      <c r="Y232" s="132">
        <v>0</v>
      </c>
      <c r="Z232" s="133">
        <v>0</v>
      </c>
      <c r="AA232" s="133">
        <v>0</v>
      </c>
      <c r="AB232" s="134">
        <v>305</v>
      </c>
      <c r="AC232" s="134">
        <v>0</v>
      </c>
      <c r="AD232" s="135">
        <v>0</v>
      </c>
      <c r="AE232" s="35"/>
      <c r="AF232" s="135">
        <v>0</v>
      </c>
      <c r="AG232" s="135">
        <v>0</v>
      </c>
      <c r="AH232" s="44">
        <v>64.349999999999994</v>
      </c>
      <c r="AI232" s="44">
        <v>0</v>
      </c>
      <c r="AJ232" s="44">
        <v>0</v>
      </c>
      <c r="AK232" s="31"/>
      <c r="AN232" s="71">
        <f t="shared" si="121"/>
        <v>0</v>
      </c>
      <c r="AO232" s="71">
        <f t="shared" si="122"/>
        <v>0</v>
      </c>
      <c r="AP232" s="71">
        <f t="shared" si="123"/>
        <v>0</v>
      </c>
      <c r="AQ232" s="72">
        <f>IF(OR($H232="GIROSSOL II",$H232="GIROSSOL II e III"),INDEX('Resumo Operacional'!$A$1:$P$1103,MATCH("Energia Injetada prevista total Fatura da Usina (TUSD)",'Resumo Operacional'!$B$1:$B$1103,0),MATCH('Detalhe Por UC'!$R232,'Resumo Operacional'!$A$1:$P$1,0))*$S232,INDEX('Resumo Operacional'!$A$1:$P$1103,53,MATCH('Detalhe Por UC'!$R232,'Resumo Operacional'!$A$1:$P$1,0))*$S232)</f>
        <v>289.32</v>
      </c>
      <c r="AR232" s="71">
        <f t="shared" si="124"/>
        <v>-289.32</v>
      </c>
      <c r="AS232" s="73">
        <f t="shared" si="125"/>
        <v>404.80999999999995</v>
      </c>
      <c r="AT232" s="74">
        <f t="shared" si="126"/>
        <v>404.80999999999995</v>
      </c>
      <c r="AU232" s="74" t="str">
        <f t="shared" si="127"/>
        <v/>
      </c>
      <c r="AV232" s="74">
        <f t="shared" si="128"/>
        <v>0</v>
      </c>
      <c r="AW232" s="74">
        <f t="shared" si="129"/>
        <v>0</v>
      </c>
      <c r="AX232" s="74">
        <f t="shared" si="130"/>
        <v>0</v>
      </c>
      <c r="AY232" s="74" t="str">
        <f t="shared" si="131"/>
        <v/>
      </c>
      <c r="BC232" s="73" t="str">
        <f t="shared" si="132"/>
        <v/>
      </c>
      <c r="BD232" s="73">
        <f t="shared" si="133"/>
        <v>404.80999999999995</v>
      </c>
      <c r="BE232" s="73">
        <f t="shared" si="134"/>
        <v>404.80999999999995</v>
      </c>
      <c r="BF232" s="77">
        <f t="shared" si="135"/>
        <v>0</v>
      </c>
      <c r="BG232" s="77">
        <f t="shared" si="136"/>
        <v>0</v>
      </c>
      <c r="BH232" s="77">
        <f t="shared" si="137"/>
        <v>0</v>
      </c>
      <c r="BI232" s="78" t="str">
        <f t="shared" si="138"/>
        <v/>
      </c>
      <c r="BJ232" s="79">
        <f t="shared" si="139"/>
        <v>0</v>
      </c>
      <c r="BK232" s="80" t="str">
        <f t="shared" si="140"/>
        <v/>
      </c>
      <c r="BL232" s="80" t="str">
        <f t="shared" si="141"/>
        <v/>
      </c>
      <c r="BM232" s="79" t="str">
        <f t="shared" si="142"/>
        <v/>
      </c>
      <c r="BN232" s="81" t="str">
        <f t="shared" si="143"/>
        <v/>
      </c>
      <c r="BO232" s="82" t="str">
        <f t="shared" si="144"/>
        <v/>
      </c>
      <c r="BP232" s="81" t="str">
        <f t="shared" si="145"/>
        <v/>
      </c>
      <c r="BQ232" s="81" t="str">
        <f t="shared" si="146"/>
        <v/>
      </c>
      <c r="BR232" s="81" t="str">
        <f t="shared" si="147"/>
        <v/>
      </c>
      <c r="BS232" s="82">
        <f t="shared" si="148"/>
        <v>0</v>
      </c>
      <c r="BT232" s="82" t="str">
        <f t="shared" si="149"/>
        <v/>
      </c>
      <c r="BU232" s="82">
        <f t="shared" si="150"/>
        <v>0</v>
      </c>
      <c r="BW232" s="82">
        <f>IFERROR(INDEX('Infos Clientes'!$T:$T,MATCH('Detalhe Por UC'!$C232,'Infos Clientes'!B:B,0)),"")</f>
        <v>287.36363636363637</v>
      </c>
      <c r="BX232" s="83">
        <f t="shared" si="151"/>
        <v>0</v>
      </c>
      <c r="BY232" s="84" t="str">
        <f t="shared" si="152"/>
        <v/>
      </c>
      <c r="BZ232" s="85">
        <f>IF(_xlfn.MINIFS('Detalhe Por UC'!R:R,'Detalhe Por UC'!C:C,C232,'Detalhe Por UC'!AD:AD,"&gt;"&amp;0)=0,"",_xlfn.MINIFS('Detalhe Por UC'!R:R,'Detalhe Por UC'!C:C,C232,'Detalhe Por UC'!AD:AD,"&gt;"&amp;0))</f>
        <v>45658</v>
      </c>
      <c r="CA232" s="114">
        <f ca="1">IF(OR(S232&gt;0,AD232&gt;0),IFERROR(
SUMIFS(INDIRECT("'Infos Clientes'!$W"&amp;INDEX('Infos Clientes'!$C:$C,MATCH(C232,'Infos Clientes'!$H:$H,0))&amp;":$CZ"&amp;INDEX('Infos Clientes'!$C:$C,MATCH(C232,'Infos Clientes'!$H:$H,0))),'Infos Clientes'!$W$2:$CZ$2,"&gt;"&amp;$R232-365,'Infos Clientes'!$W$2:$CZ$2,"&lt;="&amp;$R232)/
COUNTIFS(INDIRECT("'Infos Clientes'!$W"&amp;INDEX('Infos Clientes'!$C:$C,MATCH(C232,'Infos Clientes'!$H:$H,0))&amp;":$CZ"&amp;INDEX('Infos Clientes'!$C:$C,MATCH(C232,'Infos Clientes'!$H:$H,0))),"&gt;="&amp;0,'Infos Clientes'!$W$2:$CZ$2,"&gt;"&amp;$R232-365,'Infos Clientes'!$W$2:$CZ$2,"&lt;="&amp;$R232),""),"")</f>
        <v>266.83333333333331</v>
      </c>
      <c r="CB232" s="87">
        <f>VLOOKUP(C232,'Infos Clientes'!B:L,11,0)</f>
        <v>0</v>
      </c>
      <c r="CC232" s="88" t="str">
        <f t="shared" si="153"/>
        <v>A Unidade Consumidora 10/239312-2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2" s="40" t="s">
        <v>171</v>
      </c>
      <c r="CF232" s="115">
        <f t="shared" si="154"/>
        <v>-404.80999999999995</v>
      </c>
    </row>
    <row r="233" spans="1:84" ht="16.2" hidden="1" customHeight="1" x14ac:dyDescent="0.3">
      <c r="A233" s="105" t="str">
        <f>INDEX('Infos Clientes'!$D:$D,MATCH('Detalhe Por UC'!C233,'Infos Clientes'!B:B,0))</f>
        <v>IGREJA DO EVANGELHO QUADRANGULAR</v>
      </c>
      <c r="B233" s="106" t="str">
        <f>INDEX('Infos Clientes'!$F:$F,MATCH('Detalhe Por UC'!C233,'Infos Clientes'!B:B,0))</f>
        <v>62.955.505/3124-87</v>
      </c>
      <c r="C233" s="31" t="s">
        <v>185</v>
      </c>
      <c r="D233" t="s">
        <v>351</v>
      </c>
      <c r="E233" s="1" t="s">
        <v>352</v>
      </c>
      <c r="F233" s="56" t="str">
        <f>INDEX('Infos Clientes'!$I:$I,MATCH('Detalhe Por UC'!C233,'Infos Clientes'!B:B,0))</f>
        <v>BT</v>
      </c>
      <c r="G233" s="56" t="str">
        <f>INDEX('Infos Clientes'!$J:$J,MATCH('Detalhe Por UC'!C233,'Infos Clientes'!B:B,0))</f>
        <v>trifasico</v>
      </c>
      <c r="H233" s="108" t="s">
        <v>138</v>
      </c>
      <c r="I233" s="58">
        <f>IFERROR(VLOOKUP(C233,'Infos Clientes'!B:E,4,),"")</f>
        <v>357</v>
      </c>
      <c r="J233" s="109">
        <v>0.25</v>
      </c>
      <c r="K233" s="59">
        <f>INDEX('Infos Clientes'!$M:$M,MATCH('Detalhe Por UC'!C233,'Infos Clientes'!B:B,0))</f>
        <v>0.25</v>
      </c>
      <c r="L233" s="125">
        <v>0</v>
      </c>
      <c r="M233" s="56">
        <f>INDEX('Infos Clientes'!$N:$N,MATCH('Detalhe Por UC'!C233,'Infos Clientes'!B:B,0))</f>
        <v>0</v>
      </c>
      <c r="N233" s="56">
        <f t="shared" si="118"/>
        <v>0</v>
      </c>
      <c r="O233" s="56">
        <f t="shared" si="119"/>
        <v>3</v>
      </c>
      <c r="P233" s="56">
        <f t="shared" si="120"/>
        <v>0</v>
      </c>
      <c r="Q233" s="61">
        <f>IFERROR(IFERROR(INDEX('Infos Clientes'!$A$2:$V$9884,MATCH($C233,'Infos Clientes'!$B$2:$B$9884,0),MATCH(Q$8,'Infos Clientes'!$A$2:$V$2,0)),"")
+IF(OR(INDEX('Infos Clientes'!$A$2:$V$9884,MATCH($C233,'Infos Clientes'!$B$2:$B$9884,0),MATCH("Tempo de Fidelidade (meses)",'Infos Clientes'!$A$2:$V$2,0))=0,R233&gt;=MAX(R:R)),0,
ROUND((MAX(R:R)-R233)/(365/12),0)),"")</f>
        <v>0</v>
      </c>
      <c r="R233" s="111">
        <v>45689</v>
      </c>
      <c r="S233" s="63">
        <v>0.01</v>
      </c>
      <c r="T233" s="113" t="str">
        <f>IF($H233="GIROSSOL II",AP233/INDEX('Resumo Operacional'!$A$1:$P$1103,17,MATCH('Detalhe Por UC'!$R233,'Resumo Operacional'!$A$1:$P$1,0)),
IF($H233="GIROSSOL II e III",AP233/INDEX('Resumo Operacional'!$A$1:$P$1103,17,MATCH('Detalhe Por UC'!$R233,'Resumo Operacional'!$A$1:$P$1,0)),
""))</f>
        <v/>
      </c>
      <c r="U233" s="113">
        <f>IF($H233="GIROSSOL III",AP233/INDEX('Resumo Operacional'!$A$1:$P$1103,53,MATCH('Detalhe Por UC'!$R233,'Resumo Operacional'!$A$1:$P$1,0)),
IF($H233="GIROSSOL II e III",AP233/INDEX('Resumo Operacional'!$A$1:$P$1103,53,MATCH('Detalhe Por UC'!$R233,'Resumo Operacional'!$A$1:$P$1,0)),
""))</f>
        <v>-1.6798009124844464E-2</v>
      </c>
      <c r="V233" s="18"/>
      <c r="W233" s="54"/>
      <c r="X233" s="131">
        <v>1.11625</v>
      </c>
      <c r="Y233" s="132">
        <v>0</v>
      </c>
      <c r="Z233" s="133">
        <v>0.97408450704225347</v>
      </c>
      <c r="AA233" s="133">
        <v>0</v>
      </c>
      <c r="AB233" s="134">
        <v>160</v>
      </c>
      <c r="AC233" s="134">
        <v>0</v>
      </c>
      <c r="AD233" s="135">
        <v>71</v>
      </c>
      <c r="AE233" s="35"/>
      <c r="AF233" s="135">
        <v>0</v>
      </c>
      <c r="AG233" s="135">
        <v>0</v>
      </c>
      <c r="AH233" s="44">
        <v>49.03</v>
      </c>
      <c r="AI233" s="44">
        <v>0</v>
      </c>
      <c r="AJ233" s="44">
        <v>0</v>
      </c>
      <c r="AK233" s="31"/>
      <c r="AN233" s="71">
        <f t="shared" si="121"/>
        <v>-314</v>
      </c>
      <c r="AO233" s="71">
        <f t="shared" si="122"/>
        <v>0</v>
      </c>
      <c r="AP233" s="71">
        <f t="shared" si="123"/>
        <v>-243</v>
      </c>
      <c r="AQ233" s="72">
        <f>IF(OR($H233="GIROSSOL II",$H233="GIROSSOL II e III"),INDEX('Resumo Operacional'!$A$1:$P$1103,MATCH("Energia Injetada prevista total Fatura da Usina (TUSD)",'Resumo Operacional'!$B$1:$B$1103,0),MATCH('Detalhe Por UC'!$R233,'Resumo Operacional'!$A$1:$P$1,0))*$S233,INDEX('Resumo Operacional'!$A$1:$P$1103,53,MATCH('Detalhe Por UC'!$R233,'Resumo Operacional'!$A$1:$P$1,0))*$S233)</f>
        <v>144.66</v>
      </c>
      <c r="AR233" s="71">
        <f t="shared" si="124"/>
        <v>-387.65999999999997</v>
      </c>
      <c r="AS233" s="73">
        <f t="shared" si="125"/>
        <v>158.47</v>
      </c>
      <c r="AT233" s="74">
        <f t="shared" si="126"/>
        <v>158.47</v>
      </c>
      <c r="AU233" s="74">
        <f t="shared" si="127"/>
        <v>0.83191901408450697</v>
      </c>
      <c r="AV233" s="74">
        <f t="shared" si="128"/>
        <v>51.87</v>
      </c>
      <c r="AW233" s="74">
        <f t="shared" si="129"/>
        <v>0</v>
      </c>
      <c r="AX233" s="74">
        <f t="shared" si="130"/>
        <v>69.16</v>
      </c>
      <c r="AY233" s="74">
        <f t="shared" si="131"/>
        <v>51.87</v>
      </c>
      <c r="AZ233" s="49">
        <v>51.87</v>
      </c>
      <c r="BA233" s="49">
        <v>51.87</v>
      </c>
      <c r="BB233" s="49">
        <v>51.87</v>
      </c>
      <c r="BC233" s="73" t="str">
        <f t="shared" si="132"/>
        <v/>
      </c>
      <c r="BD233" s="73">
        <f t="shared" si="133"/>
        <v>227.63</v>
      </c>
      <c r="BE233" s="73">
        <f t="shared" si="134"/>
        <v>210.34</v>
      </c>
      <c r="BF233" s="77">
        <f t="shared" si="135"/>
        <v>17.29</v>
      </c>
      <c r="BG233" s="77">
        <f t="shared" si="136"/>
        <v>5.1869999999999994</v>
      </c>
      <c r="BH233" s="77">
        <f t="shared" si="137"/>
        <v>69.16</v>
      </c>
      <c r="BI233" s="78">
        <f t="shared" si="138"/>
        <v>0.25</v>
      </c>
      <c r="BJ233" s="79">
        <f t="shared" si="139"/>
        <v>7.5956596230725301E-2</v>
      </c>
      <c r="BK233" s="80">
        <f t="shared" si="140"/>
        <v>210.34</v>
      </c>
      <c r="BL233" s="80">
        <f t="shared" si="141"/>
        <v>17.289999999999992</v>
      </c>
      <c r="BM233" s="79">
        <f t="shared" si="142"/>
        <v>7.595659623072526E-2</v>
      </c>
      <c r="BN233" s="81">
        <f t="shared" si="143"/>
        <v>0.7305633802816901</v>
      </c>
      <c r="BO233" s="82">
        <f t="shared" si="144"/>
        <v>51.87</v>
      </c>
      <c r="BP233" s="81">
        <f t="shared" si="145"/>
        <v>0.7305633802816901</v>
      </c>
      <c r="BQ233" s="81">
        <f t="shared" si="146"/>
        <v>0.8727288732394366</v>
      </c>
      <c r="BR233" s="81">
        <f t="shared" si="147"/>
        <v>1.11625</v>
      </c>
      <c r="BS233" s="82">
        <f t="shared" si="148"/>
        <v>71</v>
      </c>
      <c r="BT233" s="82">
        <f t="shared" si="149"/>
        <v>79.253749999999997</v>
      </c>
      <c r="BU233" s="82">
        <f t="shared" si="150"/>
        <v>69.16</v>
      </c>
      <c r="BW233" s="82">
        <f>IFERROR(INDEX('Infos Clientes'!$T:$T,MATCH('Detalhe Por UC'!$C233,'Infos Clientes'!B:B,0)),"")</f>
        <v>178.4</v>
      </c>
      <c r="BX233" s="83">
        <f t="shared" si="151"/>
        <v>0</v>
      </c>
      <c r="BY233" s="84">
        <f t="shared" si="152"/>
        <v>0.21816002397362899</v>
      </c>
      <c r="BZ233" s="85">
        <f>IF(_xlfn.MINIFS('Detalhe Por UC'!R:R,'Detalhe Por UC'!C:C,C233,'Detalhe Por UC'!AD:AD,"&gt;"&amp;0)=0,"",_xlfn.MINIFS('Detalhe Por UC'!R:R,'Detalhe Por UC'!C:C,C233,'Detalhe Por UC'!AD:AD,"&gt;"&amp;0))</f>
        <v>45689</v>
      </c>
      <c r="CA233" s="114">
        <f ca="1">IF(OR(S233&gt;0,AD233&gt;0),IFERROR(
SUMIFS(INDIRECT("'Infos Clientes'!$W"&amp;INDEX('Infos Clientes'!$C:$C,MATCH(C233,'Infos Clientes'!$H:$H,0))&amp;":$CZ"&amp;INDEX('Infos Clientes'!$C:$C,MATCH(C233,'Infos Clientes'!$H:$H,0))),'Infos Clientes'!$W$2:$CZ$2,"&gt;"&amp;$R233-365,'Infos Clientes'!$W$2:$CZ$2,"&lt;="&amp;$R233)/
COUNTIFS(INDIRECT("'Infos Clientes'!$W"&amp;INDEX('Infos Clientes'!$C:$C,MATCH(C233,'Infos Clientes'!$H:$H,0))&amp;":$CZ"&amp;INDEX('Infos Clientes'!$C:$C,MATCH(C233,'Infos Clientes'!$H:$H,0))),"&gt;="&amp;0,'Infos Clientes'!$W$2:$CZ$2,"&gt;"&amp;$R233-365,'Infos Clientes'!$W$2:$CZ$2,"&lt;="&amp;$R233),""),"")</f>
        <v>161.90909090909091</v>
      </c>
      <c r="CB233" s="87">
        <f>VLOOKUP(C233,'Infos Clientes'!B:L,11,0)</f>
        <v>0</v>
      </c>
      <c r="CC233" s="88" t="str">
        <f t="shared" si="153"/>
        <v>A Unidade Consumidora 10/3054052-0 economizou R$17,29 na fatura referente à fev/2025  consumindo 71 kWh em créditos de energia renovável conforme fatura de energia. A economia foi de 25% em relação ao que seria pago para a Energisa considerando os créditos consumidos. Atenção: Mantenha as contas da Energisa em dia para evitar cortes.</v>
      </c>
      <c r="CD233" s="40" t="s">
        <v>186</v>
      </c>
      <c r="CF233" s="115">
        <f t="shared" si="154"/>
        <v>-158.47</v>
      </c>
    </row>
    <row r="234" spans="1:84" ht="16.2" hidden="1" customHeight="1" x14ac:dyDescent="0.3">
      <c r="A234" s="105" t="str">
        <f>INDEX('Infos Clientes'!$D:$D,MATCH('Detalhe Por UC'!C234,'Infos Clientes'!B:B,0))</f>
        <v>IGREJA DO EVANGELHO QUADRANGULAR</v>
      </c>
      <c r="B234" s="106" t="str">
        <f>INDEX('Infos Clientes'!$F:$F,MATCH('Detalhe Por UC'!C234,'Infos Clientes'!B:B,0))</f>
        <v>62.955.505/0001-67</v>
      </c>
      <c r="C234" s="31" t="s">
        <v>142</v>
      </c>
      <c r="D234" t="s">
        <v>351</v>
      </c>
      <c r="E234" s="1" t="s">
        <v>352</v>
      </c>
      <c r="F234" s="56" t="str">
        <f>INDEX('Infos Clientes'!$I:$I,MATCH('Detalhe Por UC'!C234,'Infos Clientes'!B:B,0))</f>
        <v>BT</v>
      </c>
      <c r="G234" s="56" t="str">
        <f>INDEX('Infos Clientes'!$J:$J,MATCH('Detalhe Por UC'!C234,'Infos Clientes'!B:B,0))</f>
        <v>bifasico</v>
      </c>
      <c r="H234" s="108" t="s">
        <v>138</v>
      </c>
      <c r="I234" s="58">
        <f>IFERROR(VLOOKUP(C234,'Infos Clientes'!B:E,4,),"")</f>
        <v>319</v>
      </c>
      <c r="J234" s="109">
        <v>0.25</v>
      </c>
      <c r="K234" s="59">
        <f>INDEX('Infos Clientes'!$M:$M,MATCH('Detalhe Por UC'!C234,'Infos Clientes'!B:B,0))</f>
        <v>0.25</v>
      </c>
      <c r="L234" s="125">
        <v>0</v>
      </c>
      <c r="M234" s="56">
        <f>INDEX('Infos Clientes'!$N:$N,MATCH('Detalhe Por UC'!C234,'Infos Clientes'!B:B,0))</f>
        <v>0</v>
      </c>
      <c r="N234" s="56">
        <f t="shared" si="118"/>
        <v>0</v>
      </c>
      <c r="O234" s="56">
        <f t="shared" si="119"/>
        <v>9</v>
      </c>
      <c r="P234" s="56">
        <f t="shared" si="120"/>
        <v>0</v>
      </c>
      <c r="Q234" s="61">
        <f>IFERROR(IFERROR(INDEX('Infos Clientes'!$A$2:$V$9884,MATCH($C234,'Infos Clientes'!$B$2:$B$9884,0),MATCH(Q$8,'Infos Clientes'!$A$2:$V$2,0)),"")
+IF(OR(INDEX('Infos Clientes'!$A$2:$V$9884,MATCH($C234,'Infos Clientes'!$B$2:$B$9884,0),MATCH("Tempo de Fidelidade (meses)",'Infos Clientes'!$A$2:$V$2,0))=0,R234&gt;=MAX(R:R)),0,
ROUND((MAX(R:R)-R234)/(365/12),0)),"")</f>
        <v>0</v>
      </c>
      <c r="R234" s="111">
        <v>45689</v>
      </c>
      <c r="S234" s="63">
        <v>0.02</v>
      </c>
      <c r="T234" s="113" t="str">
        <f>IF($H234="GIROSSOL II",AP234/INDEX('Resumo Operacional'!$A$1:$P$1103,17,MATCH('Detalhe Por UC'!$R234,'Resumo Operacional'!$A$1:$P$1,0)),
IF($H234="GIROSSOL II e III",AP234/INDEX('Resumo Operacional'!$A$1:$P$1103,17,MATCH('Detalhe Por UC'!$R234,'Resumo Operacional'!$A$1:$P$1,0)),
""))</f>
        <v/>
      </c>
      <c r="U234" s="113">
        <f>IF($H234="GIROSSOL III",AP234/INDEX('Resumo Operacional'!$A$1:$P$1103,53,MATCH('Detalhe Por UC'!$R234,'Resumo Operacional'!$A$1:$P$1,0)),
IF($H234="GIROSSOL II e III",AP234/INDEX('Resumo Operacional'!$A$1:$P$1103,53,MATCH('Detalhe Por UC'!$R234,'Resumo Operacional'!$A$1:$P$1,0)),
""))</f>
        <v>0</v>
      </c>
      <c r="V234" s="18"/>
      <c r="W234" s="54"/>
      <c r="X234" s="131">
        <v>1.116259842519685</v>
      </c>
      <c r="Y234" s="132">
        <v>0</v>
      </c>
      <c r="Z234" s="133">
        <v>0</v>
      </c>
      <c r="AA234" s="133">
        <v>0</v>
      </c>
      <c r="AB234" s="134">
        <v>254</v>
      </c>
      <c r="AC234" s="134">
        <v>0</v>
      </c>
      <c r="AD234" s="135">
        <v>0</v>
      </c>
      <c r="AE234" s="35"/>
      <c r="AF234" s="135">
        <v>0</v>
      </c>
      <c r="AG234" s="135">
        <v>0</v>
      </c>
      <c r="AH234" s="44">
        <v>18.64</v>
      </c>
      <c r="AI234" s="44">
        <v>0</v>
      </c>
      <c r="AJ234" s="44">
        <v>0</v>
      </c>
      <c r="AK234" s="31"/>
      <c r="AN234" s="71">
        <f t="shared" si="121"/>
        <v>0</v>
      </c>
      <c r="AO234" s="71">
        <f t="shared" si="122"/>
        <v>0</v>
      </c>
      <c r="AP234" s="71">
        <f t="shared" si="123"/>
        <v>0</v>
      </c>
      <c r="AQ234" s="72">
        <f>IF(OR($H234="GIROSSOL II",$H234="GIROSSOL II e III"),INDEX('Resumo Operacional'!$A$1:$P$1103,MATCH("Energia Injetada prevista total Fatura da Usina (TUSD)",'Resumo Operacional'!$B$1:$B$1103,0),MATCH('Detalhe Por UC'!$R234,'Resumo Operacional'!$A$1:$P$1,0))*$S234,INDEX('Resumo Operacional'!$A$1:$P$1103,53,MATCH('Detalhe Por UC'!$R234,'Resumo Operacional'!$A$1:$P$1,0))*$S234)</f>
        <v>289.32</v>
      </c>
      <c r="AR234" s="71">
        <f t="shared" si="124"/>
        <v>-289.32</v>
      </c>
      <c r="AS234" s="73">
        <f t="shared" si="125"/>
        <v>302.16999999999996</v>
      </c>
      <c r="AT234" s="74">
        <f t="shared" si="126"/>
        <v>302.16999999999996</v>
      </c>
      <c r="AU234" s="74" t="str">
        <f t="shared" si="127"/>
        <v/>
      </c>
      <c r="AV234" s="74">
        <f t="shared" si="128"/>
        <v>0</v>
      </c>
      <c r="AW234" s="74">
        <f t="shared" si="129"/>
        <v>0</v>
      </c>
      <c r="AX234" s="74">
        <f t="shared" si="130"/>
        <v>0</v>
      </c>
      <c r="AY234" s="74" t="str">
        <f t="shared" si="131"/>
        <v/>
      </c>
      <c r="BC234" s="73" t="str">
        <f t="shared" si="132"/>
        <v/>
      </c>
      <c r="BD234" s="73">
        <f t="shared" si="133"/>
        <v>302.16999999999996</v>
      </c>
      <c r="BE234" s="73">
        <f t="shared" si="134"/>
        <v>302.16999999999996</v>
      </c>
      <c r="BF234" s="77">
        <f t="shared" si="135"/>
        <v>0</v>
      </c>
      <c r="BG234" s="77">
        <f t="shared" si="136"/>
        <v>0</v>
      </c>
      <c r="BH234" s="77">
        <f t="shared" si="137"/>
        <v>0</v>
      </c>
      <c r="BI234" s="78" t="str">
        <f t="shared" si="138"/>
        <v/>
      </c>
      <c r="BJ234" s="79">
        <f t="shared" si="139"/>
        <v>0</v>
      </c>
      <c r="BK234" s="80" t="str">
        <f t="shared" si="140"/>
        <v/>
      </c>
      <c r="BL234" s="80" t="str">
        <f t="shared" si="141"/>
        <v/>
      </c>
      <c r="BM234" s="79" t="str">
        <f t="shared" si="142"/>
        <v/>
      </c>
      <c r="BN234" s="81" t="str">
        <f t="shared" si="143"/>
        <v/>
      </c>
      <c r="BO234" s="82" t="str">
        <f t="shared" si="144"/>
        <v/>
      </c>
      <c r="BP234" s="81" t="str">
        <f t="shared" si="145"/>
        <v/>
      </c>
      <c r="BQ234" s="81" t="str">
        <f t="shared" si="146"/>
        <v/>
      </c>
      <c r="BR234" s="81" t="str">
        <f t="shared" si="147"/>
        <v/>
      </c>
      <c r="BS234" s="82">
        <f t="shared" si="148"/>
        <v>0</v>
      </c>
      <c r="BT234" s="82" t="str">
        <f t="shared" si="149"/>
        <v/>
      </c>
      <c r="BU234" s="82">
        <f t="shared" si="150"/>
        <v>0</v>
      </c>
      <c r="BW234" s="82">
        <f>IFERROR(INDEX('Infos Clientes'!$T:$T,MATCH('Detalhe Por UC'!$C234,'Infos Clientes'!B:B,0)),"")</f>
        <v>244.81818181818181</v>
      </c>
      <c r="BX234" s="83">
        <f t="shared" si="151"/>
        <v>0</v>
      </c>
      <c r="BY234" s="84" t="str">
        <f t="shared" si="152"/>
        <v/>
      </c>
      <c r="BZ234" s="85">
        <f>IF(_xlfn.MINIFS('Detalhe Por UC'!R:R,'Detalhe Por UC'!C:C,C234,'Detalhe Por UC'!AD:AD,"&gt;"&amp;0)=0,"",_xlfn.MINIFS('Detalhe Por UC'!R:R,'Detalhe Por UC'!C:C,C234,'Detalhe Por UC'!AD:AD,"&gt;"&amp;0))</f>
        <v>45658</v>
      </c>
      <c r="CA234" s="114">
        <f ca="1">IF(OR(S234&gt;0,AD234&gt;0),IFERROR(
SUMIFS(INDIRECT("'Infos Clientes'!$W"&amp;INDEX('Infos Clientes'!$C:$C,MATCH(C234,'Infos Clientes'!$H:$H,0))&amp;":$CZ"&amp;INDEX('Infos Clientes'!$C:$C,MATCH(C234,'Infos Clientes'!$H:$H,0))),'Infos Clientes'!$W$2:$CZ$2,"&gt;"&amp;$R234-365,'Infos Clientes'!$W$2:$CZ$2,"&lt;="&amp;$R234)/
COUNTIFS(INDIRECT("'Infos Clientes'!$W"&amp;INDEX('Infos Clientes'!$C:$C,MATCH(C234,'Infos Clientes'!$H:$H,0))&amp;":$CZ"&amp;INDEX('Infos Clientes'!$C:$C,MATCH(C234,'Infos Clientes'!$H:$H,0))),"&gt;="&amp;0,'Infos Clientes'!$W$2:$CZ$2,"&gt;"&amp;$R234-365,'Infos Clientes'!$W$2:$CZ$2,"&lt;="&amp;$R234),""),"")</f>
        <v>235.08333333333334</v>
      </c>
      <c r="CB234" s="87">
        <f>VLOOKUP(C234,'Infos Clientes'!B:L,11,0)</f>
        <v>0</v>
      </c>
      <c r="CC234" s="88" t="str">
        <f t="shared" si="153"/>
        <v>A Unidade Consumidora 10/109074-5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4" s="40" t="s">
        <v>143</v>
      </c>
      <c r="CF234" s="115">
        <f t="shared" si="154"/>
        <v>-302.16999999999996</v>
      </c>
    </row>
    <row r="235" spans="1:84" ht="16.2" hidden="1" customHeight="1" x14ac:dyDescent="0.3">
      <c r="A235" s="105" t="str">
        <f>INDEX('Infos Clientes'!$D:$D,MATCH('Detalhe Por UC'!C235,'Infos Clientes'!B:B,0))</f>
        <v>IGREJA DO EVANGELHO QUADRANGULAR</v>
      </c>
      <c r="B235" s="106" t="str">
        <f>INDEX('Infos Clientes'!$F:$F,MATCH('Detalhe Por UC'!C235,'Infos Clientes'!B:B,0))</f>
        <v>62.955.505/0408-94</v>
      </c>
      <c r="C235" s="31" t="s">
        <v>144</v>
      </c>
      <c r="D235" t="s">
        <v>351</v>
      </c>
      <c r="E235" s="1" t="s">
        <v>352</v>
      </c>
      <c r="F235" s="56" t="str">
        <f>INDEX('Infos Clientes'!$I:$I,MATCH('Detalhe Por UC'!C235,'Infos Clientes'!B:B,0))</f>
        <v>BT</v>
      </c>
      <c r="G235" s="56" t="str">
        <f>INDEX('Infos Clientes'!$J:$J,MATCH('Detalhe Por UC'!C235,'Infos Clientes'!B:B,0))</f>
        <v>bifasico</v>
      </c>
      <c r="H235" s="108" t="s">
        <v>138</v>
      </c>
      <c r="I235" s="58">
        <f>IFERROR(VLOOKUP(C235,'Infos Clientes'!B:E,4,),"")</f>
        <v>371</v>
      </c>
      <c r="J235" s="109">
        <v>0.25</v>
      </c>
      <c r="K235" s="59">
        <f>INDEX('Infos Clientes'!$M:$M,MATCH('Detalhe Por UC'!C235,'Infos Clientes'!B:B,0))</f>
        <v>0.25</v>
      </c>
      <c r="L235" s="125">
        <v>0</v>
      </c>
      <c r="M235" s="56">
        <f>INDEX('Infos Clientes'!$N:$N,MATCH('Detalhe Por UC'!C235,'Infos Clientes'!B:B,0))</f>
        <v>0</v>
      </c>
      <c r="N235" s="56">
        <f t="shared" si="118"/>
        <v>0</v>
      </c>
      <c r="O235" s="56">
        <f t="shared" si="119"/>
        <v>9</v>
      </c>
      <c r="P235" s="56">
        <f t="shared" si="120"/>
        <v>0</v>
      </c>
      <c r="Q235" s="61">
        <f>IFERROR(IFERROR(INDEX('Infos Clientes'!$A$2:$V$9884,MATCH($C235,'Infos Clientes'!$B$2:$B$9884,0),MATCH(Q$8,'Infos Clientes'!$A$2:$V$2,0)),"")
+IF(OR(INDEX('Infos Clientes'!$A$2:$V$9884,MATCH($C235,'Infos Clientes'!$B$2:$B$9884,0),MATCH("Tempo de Fidelidade (meses)",'Infos Clientes'!$A$2:$V$2,0))=0,R235&gt;=MAX(R:R)),0,
ROUND((MAX(R:R)-R235)/(365/12),0)),"")</f>
        <v>0</v>
      </c>
      <c r="R235" s="111">
        <v>45689</v>
      </c>
      <c r="S235" s="63">
        <v>0.01</v>
      </c>
      <c r="T235" s="113" t="str">
        <f>IF($H235="GIROSSOL II",AP235/INDEX('Resumo Operacional'!$A$1:$P$1103,17,MATCH('Detalhe Por UC'!$R235,'Resumo Operacional'!$A$1:$P$1,0)),
IF($H235="GIROSSOL II e III",AP235/INDEX('Resumo Operacional'!$A$1:$P$1103,17,MATCH('Detalhe Por UC'!$R235,'Resumo Operacional'!$A$1:$P$1,0)),
""))</f>
        <v/>
      </c>
      <c r="U235" s="113">
        <f>IF($H235="GIROSSOL III",AP235/INDEX('Resumo Operacional'!$A$1:$P$1103,53,MATCH('Detalhe Por UC'!$R235,'Resumo Operacional'!$A$1:$P$1,0)),
IF($H235="GIROSSOL II e III",AP235/INDEX('Resumo Operacional'!$A$1:$P$1103,53,MATCH('Detalhe Por UC'!$R235,'Resumo Operacional'!$A$1:$P$1,0)),
""))</f>
        <v>0</v>
      </c>
      <c r="V235" s="18"/>
      <c r="W235" s="54"/>
      <c r="X235" s="131">
        <v>1.1162616822429907</v>
      </c>
      <c r="Y235" s="132">
        <v>0</v>
      </c>
      <c r="Z235" s="133">
        <v>0</v>
      </c>
      <c r="AA235" s="133">
        <v>0</v>
      </c>
      <c r="AB235" s="134">
        <v>321</v>
      </c>
      <c r="AC235" s="134">
        <v>0</v>
      </c>
      <c r="AD235" s="135">
        <v>0</v>
      </c>
      <c r="AE235" s="35"/>
      <c r="AF235" s="135">
        <v>0</v>
      </c>
      <c r="AG235" s="135">
        <v>0</v>
      </c>
      <c r="AH235" s="44">
        <v>23.59</v>
      </c>
      <c r="AI235" s="44">
        <v>0</v>
      </c>
      <c r="AJ235" s="44">
        <v>0</v>
      </c>
      <c r="AK235" s="31"/>
      <c r="AN235" s="71">
        <f t="shared" si="121"/>
        <v>0</v>
      </c>
      <c r="AO235" s="71">
        <f t="shared" si="122"/>
        <v>0</v>
      </c>
      <c r="AP235" s="71">
        <f t="shared" si="123"/>
        <v>0</v>
      </c>
      <c r="AQ235" s="72">
        <f>IF(OR($H235="GIROSSOL II",$H235="GIROSSOL II e III"),INDEX('Resumo Operacional'!$A$1:$P$1103,MATCH("Energia Injetada prevista total Fatura da Usina (TUSD)",'Resumo Operacional'!$B$1:$B$1103,0),MATCH('Detalhe Por UC'!$R235,'Resumo Operacional'!$A$1:$P$1,0))*$S235,INDEX('Resumo Operacional'!$A$1:$P$1103,53,MATCH('Detalhe Por UC'!$R235,'Resumo Operacional'!$A$1:$P$1,0))*$S235)</f>
        <v>144.66</v>
      </c>
      <c r="AR235" s="71">
        <f t="shared" si="124"/>
        <v>-144.66</v>
      </c>
      <c r="AS235" s="73">
        <f t="shared" si="125"/>
        <v>381.90999999999997</v>
      </c>
      <c r="AT235" s="74">
        <f t="shared" si="126"/>
        <v>381.90999999999997</v>
      </c>
      <c r="AU235" s="74" t="str">
        <f t="shared" si="127"/>
        <v/>
      </c>
      <c r="AV235" s="74">
        <f t="shared" si="128"/>
        <v>0</v>
      </c>
      <c r="AW235" s="74">
        <f t="shared" si="129"/>
        <v>0</v>
      </c>
      <c r="AX235" s="74">
        <f t="shared" si="130"/>
        <v>0</v>
      </c>
      <c r="AY235" s="74" t="str">
        <f t="shared" si="131"/>
        <v/>
      </c>
      <c r="BC235" s="73" t="str">
        <f t="shared" si="132"/>
        <v/>
      </c>
      <c r="BD235" s="73">
        <f t="shared" si="133"/>
        <v>381.90999999999997</v>
      </c>
      <c r="BE235" s="73">
        <f t="shared" si="134"/>
        <v>381.90999999999997</v>
      </c>
      <c r="BF235" s="77">
        <f t="shared" si="135"/>
        <v>0</v>
      </c>
      <c r="BG235" s="77">
        <f t="shared" si="136"/>
        <v>0</v>
      </c>
      <c r="BH235" s="77">
        <f t="shared" si="137"/>
        <v>0</v>
      </c>
      <c r="BI235" s="78" t="str">
        <f t="shared" si="138"/>
        <v/>
      </c>
      <c r="BJ235" s="79">
        <f t="shared" si="139"/>
        <v>0</v>
      </c>
      <c r="BK235" s="80" t="str">
        <f t="shared" si="140"/>
        <v/>
      </c>
      <c r="BL235" s="80" t="str">
        <f t="shared" si="141"/>
        <v/>
      </c>
      <c r="BM235" s="79" t="str">
        <f t="shared" si="142"/>
        <v/>
      </c>
      <c r="BN235" s="81" t="str">
        <f t="shared" si="143"/>
        <v/>
      </c>
      <c r="BO235" s="82" t="str">
        <f t="shared" si="144"/>
        <v/>
      </c>
      <c r="BP235" s="81" t="str">
        <f t="shared" si="145"/>
        <v/>
      </c>
      <c r="BQ235" s="81" t="str">
        <f t="shared" si="146"/>
        <v/>
      </c>
      <c r="BR235" s="81" t="str">
        <f t="shared" si="147"/>
        <v/>
      </c>
      <c r="BS235" s="82">
        <f t="shared" si="148"/>
        <v>0</v>
      </c>
      <c r="BT235" s="82" t="str">
        <f t="shared" si="149"/>
        <v/>
      </c>
      <c r="BU235" s="82">
        <f t="shared" si="150"/>
        <v>0</v>
      </c>
      <c r="BW235" s="82">
        <f>IFERROR(INDEX('Infos Clientes'!$T:$T,MATCH('Detalhe Por UC'!$C235,'Infos Clientes'!B:B,0)),"")</f>
        <v>238.54545454545453</v>
      </c>
      <c r="BX235" s="83">
        <f t="shared" si="151"/>
        <v>0</v>
      </c>
      <c r="BY235" s="84" t="str">
        <f t="shared" si="152"/>
        <v/>
      </c>
      <c r="BZ235" s="85">
        <f>IF(_xlfn.MINIFS('Detalhe Por UC'!R:R,'Detalhe Por UC'!C:C,C235,'Detalhe Por UC'!AD:AD,"&gt;"&amp;0)=0,"",_xlfn.MINIFS('Detalhe Por UC'!R:R,'Detalhe Por UC'!C:C,C235,'Detalhe Por UC'!AD:AD,"&gt;"&amp;0))</f>
        <v>45658</v>
      </c>
      <c r="CA235" s="114">
        <f ca="1">IF(OR(S235&gt;0,AD235&gt;0),IFERROR(
SUMIFS(INDIRECT("'Infos Clientes'!$W"&amp;INDEX('Infos Clientes'!$C:$C,MATCH(C235,'Infos Clientes'!$H:$H,0))&amp;":$CZ"&amp;INDEX('Infos Clientes'!$C:$C,MATCH(C235,'Infos Clientes'!$H:$H,0))),'Infos Clientes'!$W$2:$CZ$2,"&gt;"&amp;$R235-365,'Infos Clientes'!$W$2:$CZ$2,"&lt;="&amp;$R235)/
COUNTIFS(INDIRECT("'Infos Clientes'!$W"&amp;INDEX('Infos Clientes'!$C:$C,MATCH(C235,'Infos Clientes'!$H:$H,0))&amp;":$CZ"&amp;INDEX('Infos Clientes'!$C:$C,MATCH(C235,'Infos Clientes'!$H:$H,0))),"&gt;="&amp;0,'Infos Clientes'!$W$2:$CZ$2,"&gt;"&amp;$R235-365,'Infos Clientes'!$W$2:$CZ$2,"&lt;="&amp;$R235),""),"")</f>
        <v>220.75</v>
      </c>
      <c r="CB235" s="87">
        <f>VLOOKUP(C235,'Infos Clientes'!B:L,11,0)</f>
        <v>0</v>
      </c>
      <c r="CC235" s="88" t="str">
        <f t="shared" si="153"/>
        <v>A Unidade Consumidora 10/1130988-7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5" s="40" t="s">
        <v>145</v>
      </c>
      <c r="CF235" s="115">
        <f t="shared" si="154"/>
        <v>-381.90999999999997</v>
      </c>
    </row>
    <row r="236" spans="1:84" ht="16.2" hidden="1" customHeight="1" x14ac:dyDescent="0.3">
      <c r="A236" s="105" t="str">
        <f>INDEX('Infos Clientes'!$D:$D,MATCH('Detalhe Por UC'!C236,'Infos Clientes'!B:B,0))</f>
        <v>IGREJA DO EVANGELHO QUADRANGULAR</v>
      </c>
      <c r="B236" s="106" t="str">
        <f>INDEX('Infos Clientes'!$F:$F,MATCH('Detalhe Por UC'!C236,'Infos Clientes'!B:B,0))</f>
        <v>62.955.505/0168-37</v>
      </c>
      <c r="C236" s="31" t="s">
        <v>228</v>
      </c>
      <c r="D236" t="s">
        <v>351</v>
      </c>
      <c r="E236" s="1" t="s">
        <v>352</v>
      </c>
      <c r="F236" s="56" t="str">
        <f>INDEX('Infos Clientes'!$I:$I,MATCH('Detalhe Por UC'!C236,'Infos Clientes'!B:B,0))</f>
        <v>BT</v>
      </c>
      <c r="G236" s="56" t="str">
        <f>INDEX('Infos Clientes'!$J:$J,MATCH('Detalhe Por UC'!C236,'Infos Clientes'!B:B,0))</f>
        <v>trifasico</v>
      </c>
      <c r="H236" s="108" t="s">
        <v>138</v>
      </c>
      <c r="I236" s="58">
        <f>IFERROR(VLOOKUP(C236,'Infos Clientes'!B:E,4,),"")</f>
        <v>302</v>
      </c>
      <c r="J236" s="109">
        <v>0.25</v>
      </c>
      <c r="K236" s="59">
        <f>INDEX('Infos Clientes'!$M:$M,MATCH('Detalhe Por UC'!C236,'Infos Clientes'!B:B,0))</f>
        <v>0.25</v>
      </c>
      <c r="L236" s="125">
        <v>0</v>
      </c>
      <c r="M236" s="56">
        <f>INDEX('Infos Clientes'!$N:$N,MATCH('Detalhe Por UC'!C236,'Infos Clientes'!B:B,0))</f>
        <v>0</v>
      </c>
      <c r="N236" s="56">
        <f t="shared" si="118"/>
        <v>0</v>
      </c>
      <c r="O236" s="56">
        <f t="shared" si="119"/>
        <v>9</v>
      </c>
      <c r="P236" s="56">
        <f t="shared" si="120"/>
        <v>0</v>
      </c>
      <c r="Q236" s="61">
        <f>IFERROR(IFERROR(INDEX('Infos Clientes'!$A$2:$V$9884,MATCH($C236,'Infos Clientes'!$B$2:$B$9884,0),MATCH(Q$8,'Infos Clientes'!$A$2:$V$2,0)),"")
+IF(OR(INDEX('Infos Clientes'!$A$2:$V$9884,MATCH($C236,'Infos Clientes'!$B$2:$B$9884,0),MATCH("Tempo de Fidelidade (meses)",'Infos Clientes'!$A$2:$V$2,0))=0,R236&gt;=MAX(R:R)),0,
ROUND((MAX(R:R)-R236)/(365/12),0)),"")</f>
        <v>0</v>
      </c>
      <c r="R236" s="111">
        <v>45689</v>
      </c>
      <c r="S236" s="63">
        <v>0.02</v>
      </c>
      <c r="T236" s="113" t="str">
        <f>IF($H236="GIROSSOL II",AP236/INDEX('Resumo Operacional'!$A$1:$P$1103,17,MATCH('Detalhe Por UC'!$R236,'Resumo Operacional'!$A$1:$P$1,0)),
IF($H236="GIROSSOL II e III",AP236/INDEX('Resumo Operacional'!$A$1:$P$1103,17,MATCH('Detalhe Por UC'!$R236,'Resumo Operacional'!$A$1:$P$1,0)),
""))</f>
        <v/>
      </c>
      <c r="U236" s="113">
        <f>IF($H236="GIROSSOL III",AP236/INDEX('Resumo Operacional'!$A$1:$P$1103,53,MATCH('Detalhe Por UC'!$R236,'Resumo Operacional'!$A$1:$P$1,0)),
IF($H236="GIROSSOL II e III",AP236/INDEX('Resumo Operacional'!$A$1:$P$1103,53,MATCH('Detalhe Por UC'!$R236,'Resumo Operacional'!$A$1:$P$1,0)),
""))</f>
        <v>0</v>
      </c>
      <c r="V236" s="18"/>
      <c r="W236" s="54"/>
      <c r="X236" s="131">
        <v>1.11625</v>
      </c>
      <c r="Y236" s="132">
        <v>0</v>
      </c>
      <c r="Z236" s="133">
        <v>0</v>
      </c>
      <c r="AA236" s="133">
        <v>0</v>
      </c>
      <c r="AB236" s="134">
        <v>480</v>
      </c>
      <c r="AC236" s="134">
        <v>0</v>
      </c>
      <c r="AD236" s="135">
        <v>0</v>
      </c>
      <c r="AE236" s="35"/>
      <c r="AF236" s="135">
        <v>0</v>
      </c>
      <c r="AG236" s="135">
        <v>0</v>
      </c>
      <c r="AH236" s="44">
        <v>70.48</v>
      </c>
      <c r="AI236" s="44">
        <v>0</v>
      </c>
      <c r="AJ236" s="44">
        <v>0</v>
      </c>
      <c r="AK236" s="31"/>
      <c r="AN236" s="71">
        <f t="shared" si="121"/>
        <v>0</v>
      </c>
      <c r="AO236" s="71">
        <f t="shared" si="122"/>
        <v>0</v>
      </c>
      <c r="AP236" s="71">
        <f t="shared" si="123"/>
        <v>0</v>
      </c>
      <c r="AQ236" s="72">
        <f>IF(OR($H236="GIROSSOL II",$H236="GIROSSOL II e III"),INDEX('Resumo Operacional'!$A$1:$P$1103,MATCH("Energia Injetada prevista total Fatura da Usina (TUSD)",'Resumo Operacional'!$B$1:$B$1103,0),MATCH('Detalhe Por UC'!$R236,'Resumo Operacional'!$A$1:$P$1,0))*$S236,INDEX('Resumo Operacional'!$A$1:$P$1103,53,MATCH('Detalhe Por UC'!$R236,'Resumo Operacional'!$A$1:$P$1,0))*$S236)</f>
        <v>289.32</v>
      </c>
      <c r="AR236" s="71">
        <f t="shared" si="124"/>
        <v>-289.32</v>
      </c>
      <c r="AS236" s="73">
        <f t="shared" si="125"/>
        <v>606.28</v>
      </c>
      <c r="AT236" s="74">
        <f t="shared" si="126"/>
        <v>606.28</v>
      </c>
      <c r="AU236" s="74" t="str">
        <f t="shared" si="127"/>
        <v/>
      </c>
      <c r="AV236" s="74">
        <f t="shared" si="128"/>
        <v>0</v>
      </c>
      <c r="AW236" s="74">
        <f t="shared" si="129"/>
        <v>0</v>
      </c>
      <c r="AX236" s="74">
        <f t="shared" si="130"/>
        <v>0</v>
      </c>
      <c r="AY236" s="74" t="str">
        <f t="shared" si="131"/>
        <v/>
      </c>
      <c r="BC236" s="73" t="str">
        <f t="shared" si="132"/>
        <v/>
      </c>
      <c r="BD236" s="73">
        <f t="shared" si="133"/>
        <v>606.28</v>
      </c>
      <c r="BE236" s="73">
        <f t="shared" si="134"/>
        <v>606.28</v>
      </c>
      <c r="BF236" s="77">
        <f t="shared" si="135"/>
        <v>0</v>
      </c>
      <c r="BG236" s="77">
        <f t="shared" si="136"/>
        <v>0</v>
      </c>
      <c r="BH236" s="77">
        <f t="shared" si="137"/>
        <v>0</v>
      </c>
      <c r="BI236" s="78" t="str">
        <f t="shared" si="138"/>
        <v/>
      </c>
      <c r="BJ236" s="79">
        <f t="shared" si="139"/>
        <v>0</v>
      </c>
      <c r="BK236" s="80" t="str">
        <f t="shared" si="140"/>
        <v/>
      </c>
      <c r="BL236" s="80" t="str">
        <f t="shared" si="141"/>
        <v/>
      </c>
      <c r="BM236" s="79" t="str">
        <f t="shared" si="142"/>
        <v/>
      </c>
      <c r="BN236" s="81" t="str">
        <f t="shared" si="143"/>
        <v/>
      </c>
      <c r="BO236" s="82" t="str">
        <f t="shared" si="144"/>
        <v/>
      </c>
      <c r="BP236" s="81" t="str">
        <f t="shared" si="145"/>
        <v/>
      </c>
      <c r="BQ236" s="81" t="str">
        <f t="shared" si="146"/>
        <v/>
      </c>
      <c r="BR236" s="81" t="str">
        <f t="shared" si="147"/>
        <v/>
      </c>
      <c r="BS236" s="82">
        <f t="shared" si="148"/>
        <v>0</v>
      </c>
      <c r="BT236" s="82" t="str">
        <f t="shared" si="149"/>
        <v/>
      </c>
      <c r="BU236" s="82">
        <f t="shared" si="150"/>
        <v>0</v>
      </c>
      <c r="BW236" s="82">
        <f>IFERROR(INDEX('Infos Clientes'!$T:$T,MATCH('Detalhe Por UC'!$C236,'Infos Clientes'!B:B,0)),"")</f>
        <v>286.18181818181819</v>
      </c>
      <c r="BX236" s="83">
        <f t="shared" si="151"/>
        <v>0</v>
      </c>
      <c r="BY236" s="84" t="str">
        <f t="shared" si="152"/>
        <v/>
      </c>
      <c r="BZ236" s="85">
        <f>IF(_xlfn.MINIFS('Detalhe Por UC'!R:R,'Detalhe Por UC'!C:C,C236,'Detalhe Por UC'!AD:AD,"&gt;"&amp;0)=0,"",_xlfn.MINIFS('Detalhe Por UC'!R:R,'Detalhe Por UC'!C:C,C236,'Detalhe Por UC'!AD:AD,"&gt;"&amp;0))</f>
        <v>45658</v>
      </c>
      <c r="CA236" s="114">
        <f ca="1">IF(OR(S236&gt;0,AD236&gt;0),IFERROR(
SUMIFS(INDIRECT("'Infos Clientes'!$W"&amp;INDEX('Infos Clientes'!$C:$C,MATCH(C236,'Infos Clientes'!$H:$H,0))&amp;":$CZ"&amp;INDEX('Infos Clientes'!$C:$C,MATCH(C236,'Infos Clientes'!$H:$H,0))),'Infos Clientes'!$W$2:$CZ$2,"&gt;"&amp;$R236-365,'Infos Clientes'!$W$2:$CZ$2,"&lt;="&amp;$R236)/
COUNTIFS(INDIRECT("'Infos Clientes'!$W"&amp;INDEX('Infos Clientes'!$C:$C,MATCH(C236,'Infos Clientes'!$H:$H,0))&amp;":$CZ"&amp;INDEX('Infos Clientes'!$C:$C,MATCH(C236,'Infos Clientes'!$H:$H,0))),"&gt;="&amp;0,'Infos Clientes'!$W$2:$CZ$2,"&gt;"&amp;$R236-365,'Infos Clientes'!$W$2:$CZ$2,"&lt;="&amp;$R236),""),"")</f>
        <v>269.33333333333331</v>
      </c>
      <c r="CB236" s="87">
        <f>VLOOKUP(C236,'Infos Clientes'!B:L,11,0)</f>
        <v>0</v>
      </c>
      <c r="CC236" s="88" t="str">
        <f t="shared" si="153"/>
        <v>A Unidade Consumidora 10/78338-1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6" s="40" t="s">
        <v>230</v>
      </c>
      <c r="CF236" s="115">
        <f t="shared" si="154"/>
        <v>-606.28</v>
      </c>
    </row>
    <row r="237" spans="1:84" ht="16.2" hidden="1" customHeight="1" x14ac:dyDescent="0.3">
      <c r="A237" s="105" t="str">
        <f>INDEX('Infos Clientes'!$D:$D,MATCH('Detalhe Por UC'!C237,'Infos Clientes'!B:B,0))</f>
        <v>IGREJA DO EVANGELHO QUADRANGULAR</v>
      </c>
      <c r="B237" s="106" t="str">
        <f>INDEX('Infos Clientes'!$F:$F,MATCH('Detalhe Por UC'!C237,'Infos Clientes'!B:B,0))</f>
        <v>62.955.505/3671-17</v>
      </c>
      <c r="C237" s="31" t="s">
        <v>217</v>
      </c>
      <c r="D237" t="s">
        <v>351</v>
      </c>
      <c r="E237" s="1" t="s">
        <v>352</v>
      </c>
      <c r="F237" s="56" t="str">
        <f>INDEX('Infos Clientes'!$I:$I,MATCH('Detalhe Por UC'!C237,'Infos Clientes'!B:B,0))</f>
        <v>BT</v>
      </c>
      <c r="G237" s="56" t="str">
        <f>INDEX('Infos Clientes'!$J:$J,MATCH('Detalhe Por UC'!C237,'Infos Clientes'!B:B,0))</f>
        <v>bifasico</v>
      </c>
      <c r="H237" s="108" t="s">
        <v>138</v>
      </c>
      <c r="I237" s="58">
        <f>IFERROR(VLOOKUP(C237,'Infos Clientes'!B:E,4,),"")</f>
        <v>362</v>
      </c>
      <c r="J237" s="109">
        <v>0.25</v>
      </c>
      <c r="K237" s="59">
        <f>INDEX('Infos Clientes'!$M:$M,MATCH('Detalhe Por UC'!C237,'Infos Clientes'!B:B,0))</f>
        <v>0.25</v>
      </c>
      <c r="L237" s="125">
        <v>0</v>
      </c>
      <c r="M237" s="56">
        <f>INDEX('Infos Clientes'!$N:$N,MATCH('Detalhe Por UC'!C237,'Infos Clientes'!B:B,0))</f>
        <v>0</v>
      </c>
      <c r="N237" s="56">
        <f t="shared" si="118"/>
        <v>0</v>
      </c>
      <c r="O237" s="56">
        <f t="shared" si="119"/>
        <v>8</v>
      </c>
      <c r="P237" s="56">
        <f t="shared" si="120"/>
        <v>0</v>
      </c>
      <c r="Q237" s="61">
        <f>IFERROR(IFERROR(INDEX('Infos Clientes'!$A$2:$V$9884,MATCH($C237,'Infos Clientes'!$B$2:$B$9884,0),MATCH(Q$8,'Infos Clientes'!$A$2:$V$2,0)),"")
+IF(OR(INDEX('Infos Clientes'!$A$2:$V$9884,MATCH($C237,'Infos Clientes'!$B$2:$B$9884,0),MATCH("Tempo de Fidelidade (meses)",'Infos Clientes'!$A$2:$V$2,0))=0,R237&gt;=MAX(R:R)),0,
ROUND((MAX(R:R)-R237)/(365/12),0)),"")</f>
        <v>0</v>
      </c>
      <c r="R237" s="111">
        <v>45689</v>
      </c>
      <c r="S237" s="63">
        <v>0.01</v>
      </c>
      <c r="T237" s="113" t="str">
        <f>IF($H237="GIROSSOL II",AP237/INDEX('Resumo Operacional'!$A$1:$P$1103,17,MATCH('Detalhe Por UC'!$R237,'Resumo Operacional'!$A$1:$P$1,0)),
IF($H237="GIROSSOL II e III",AP237/INDEX('Resumo Operacional'!$A$1:$P$1103,17,MATCH('Detalhe Por UC'!$R237,'Resumo Operacional'!$A$1:$P$1,0)),
""))</f>
        <v/>
      </c>
      <c r="U237" s="113">
        <f>IF($H237="GIROSSOL III",AP237/INDEX('Resumo Operacional'!$A$1:$P$1103,53,MATCH('Detalhe Por UC'!$R237,'Resumo Operacional'!$A$1:$P$1,0)),
IF($H237="GIROSSOL II e III",AP237/INDEX('Resumo Operacional'!$A$1:$P$1103,53,MATCH('Detalhe Por UC'!$R237,'Resumo Operacional'!$A$1:$P$1,0)),
""))</f>
        <v>0</v>
      </c>
      <c r="V237" s="18"/>
      <c r="W237" s="54"/>
      <c r="X237" s="131">
        <v>1.1162275449101797</v>
      </c>
      <c r="Y237" s="132">
        <v>0</v>
      </c>
      <c r="Z237" s="133">
        <v>0.97412698412698417</v>
      </c>
      <c r="AA237" s="133">
        <v>0</v>
      </c>
      <c r="AB237" s="134">
        <v>167</v>
      </c>
      <c r="AC237" s="134">
        <v>0</v>
      </c>
      <c r="AD237" s="135">
        <v>63</v>
      </c>
      <c r="AE237" s="35"/>
      <c r="AF237" s="135">
        <v>0</v>
      </c>
      <c r="AG237" s="135">
        <v>0</v>
      </c>
      <c r="AH237" s="44">
        <v>34.5</v>
      </c>
      <c r="AI237" s="44">
        <v>0</v>
      </c>
      <c r="AJ237" s="44">
        <v>0</v>
      </c>
      <c r="AK237" s="31"/>
      <c r="AN237" s="71">
        <f t="shared" si="121"/>
        <v>-63</v>
      </c>
      <c r="AO237" s="71">
        <f t="shared" si="122"/>
        <v>0</v>
      </c>
      <c r="AP237" s="71">
        <f t="shared" si="123"/>
        <v>0</v>
      </c>
      <c r="AQ237" s="72">
        <f>IF(OR($H237="GIROSSOL II",$H237="GIROSSOL II e III"),INDEX('Resumo Operacional'!$A$1:$P$1103,MATCH("Energia Injetada prevista total Fatura da Usina (TUSD)",'Resumo Operacional'!$B$1:$B$1103,0),MATCH('Detalhe Por UC'!$R237,'Resumo Operacional'!$A$1:$P$1,0))*$S237,INDEX('Resumo Operacional'!$A$1:$P$1103,53,MATCH('Detalhe Por UC'!$R237,'Resumo Operacional'!$A$1:$P$1,0))*$S237)</f>
        <v>144.66</v>
      </c>
      <c r="AR237" s="71">
        <f t="shared" si="124"/>
        <v>-144.66</v>
      </c>
      <c r="AS237" s="73">
        <f t="shared" si="125"/>
        <v>159.54000000000002</v>
      </c>
      <c r="AT237" s="74">
        <f t="shared" si="126"/>
        <v>159.54000000000002</v>
      </c>
      <c r="AU237" s="74">
        <f t="shared" si="127"/>
        <v>0.83202642334378862</v>
      </c>
      <c r="AV237" s="74">
        <f t="shared" si="128"/>
        <v>46.027499999999996</v>
      </c>
      <c r="AW237" s="74">
        <f t="shared" si="129"/>
        <v>0</v>
      </c>
      <c r="AX237" s="74">
        <f t="shared" si="130"/>
        <v>61.370000000000005</v>
      </c>
      <c r="AY237" s="74">
        <f t="shared" si="131"/>
        <v>46.03</v>
      </c>
      <c r="AZ237" s="49">
        <v>46.03</v>
      </c>
      <c r="BA237" s="49">
        <v>46.03</v>
      </c>
      <c r="BB237" s="49">
        <v>46.03</v>
      </c>
      <c r="BC237" s="73" t="str">
        <f t="shared" si="132"/>
        <v/>
      </c>
      <c r="BD237" s="73">
        <f t="shared" si="133"/>
        <v>220.91000000000003</v>
      </c>
      <c r="BE237" s="73">
        <f t="shared" si="134"/>
        <v>205.56750000000002</v>
      </c>
      <c r="BF237" s="77">
        <f t="shared" si="135"/>
        <v>15.34</v>
      </c>
      <c r="BG237" s="77">
        <f t="shared" si="136"/>
        <v>4.6019999999999994</v>
      </c>
      <c r="BH237" s="77">
        <f t="shared" si="137"/>
        <v>61.370000000000005</v>
      </c>
      <c r="BI237" s="78">
        <f t="shared" si="138"/>
        <v>0.25</v>
      </c>
      <c r="BJ237" s="79">
        <f t="shared" si="139"/>
        <v>6.9440043456611283E-2</v>
      </c>
      <c r="BK237" s="80">
        <f t="shared" si="140"/>
        <v>205.57000000000002</v>
      </c>
      <c r="BL237" s="80">
        <f t="shared" si="141"/>
        <v>15.340000000000003</v>
      </c>
      <c r="BM237" s="79">
        <f t="shared" si="142"/>
        <v>6.9440043456611297E-2</v>
      </c>
      <c r="BN237" s="81">
        <f t="shared" si="143"/>
        <v>0.73063492063492064</v>
      </c>
      <c r="BO237" s="82">
        <f t="shared" si="144"/>
        <v>46.03</v>
      </c>
      <c r="BP237" s="81">
        <f t="shared" si="145"/>
        <v>0.73063492063492064</v>
      </c>
      <c r="BQ237" s="81">
        <f t="shared" si="146"/>
        <v>0.87273548141811619</v>
      </c>
      <c r="BR237" s="81">
        <f t="shared" si="147"/>
        <v>1.1162275449101797</v>
      </c>
      <c r="BS237" s="82">
        <f t="shared" si="148"/>
        <v>63</v>
      </c>
      <c r="BT237" s="82">
        <f t="shared" si="149"/>
        <v>70.322335329341328</v>
      </c>
      <c r="BU237" s="82">
        <f t="shared" si="150"/>
        <v>61.370000000000005</v>
      </c>
      <c r="BW237" s="82">
        <f>IFERROR(INDEX('Infos Clientes'!$T:$T,MATCH('Detalhe Por UC'!$C237,'Infos Clientes'!B:B,0)),"")</f>
        <v>122.45454545454545</v>
      </c>
      <c r="BX237" s="83">
        <f t="shared" si="151"/>
        <v>0</v>
      </c>
      <c r="BY237" s="84">
        <f t="shared" si="152"/>
        <v>0.21813837564065558</v>
      </c>
      <c r="BZ237" s="85">
        <f>IF(_xlfn.MINIFS('Detalhe Por UC'!R:R,'Detalhe Por UC'!C:C,C237,'Detalhe Por UC'!AD:AD,"&gt;"&amp;0)=0,"",_xlfn.MINIFS('Detalhe Por UC'!R:R,'Detalhe Por UC'!C:C,C237,'Detalhe Por UC'!AD:AD,"&gt;"&amp;0))</f>
        <v>45658</v>
      </c>
      <c r="CA237" s="114">
        <f ca="1">IF(OR(S237&gt;0,AD237&gt;0),IFERROR(
SUMIFS(INDIRECT("'Infos Clientes'!$W"&amp;INDEX('Infos Clientes'!$C:$C,MATCH(C237,'Infos Clientes'!$H:$H,0))&amp;":$CZ"&amp;INDEX('Infos Clientes'!$C:$C,MATCH(C237,'Infos Clientes'!$H:$H,0))),'Infos Clientes'!$W$2:$CZ$2,"&gt;"&amp;$R237-365,'Infos Clientes'!$W$2:$CZ$2,"&lt;="&amp;$R237)/
COUNTIFS(INDIRECT("'Infos Clientes'!$W"&amp;INDEX('Infos Clientes'!$C:$C,MATCH(C237,'Infos Clientes'!$H:$H,0))&amp;":$CZ"&amp;INDEX('Infos Clientes'!$C:$C,MATCH(C237,'Infos Clientes'!$H:$H,0))),"&gt;="&amp;0,'Infos Clientes'!$W$2:$CZ$2,"&gt;"&amp;$R237-365,'Infos Clientes'!$W$2:$CZ$2,"&lt;="&amp;$R237),""),"")</f>
        <v>117.75</v>
      </c>
      <c r="CB237" s="87">
        <f>VLOOKUP(C237,'Infos Clientes'!B:L,11,0)</f>
        <v>0</v>
      </c>
      <c r="CC237" s="88" t="str">
        <f t="shared" si="153"/>
        <v>A Unidade Consumidora 10/530195-7 economizou R$15,34 na fatura referente à fev/2025  consumindo 63 kWh em créditos de energia renovável conforme fatura de energia. A economia foi de 25% em relação ao que seria pago para a Energisa considerando os créditos consumidos. Atenção: Mantenha as contas da Energisa em dia para evitar cortes.</v>
      </c>
      <c r="CD237" s="40" t="s">
        <v>83</v>
      </c>
      <c r="CF237" s="115">
        <f t="shared" si="154"/>
        <v>-159.54000000000002</v>
      </c>
    </row>
    <row r="238" spans="1:84" ht="16.2" hidden="1" customHeight="1" x14ac:dyDescent="0.3">
      <c r="A238" s="105" t="str">
        <f>INDEX('Infos Clientes'!$D:$D,MATCH('Detalhe Por UC'!C238,'Infos Clientes'!B:B,0))</f>
        <v>IGREJA DO EVANGELHO QUADRANGULAR</v>
      </c>
      <c r="B238" s="106" t="str">
        <f>INDEX('Infos Clientes'!$F:$F,MATCH('Detalhe Por UC'!C238,'Infos Clientes'!B:B,0))</f>
        <v>62.955.505/0154-31</v>
      </c>
      <c r="C238" s="31" t="s">
        <v>183</v>
      </c>
      <c r="D238" t="s">
        <v>351</v>
      </c>
      <c r="E238" s="1" t="s">
        <v>352</v>
      </c>
      <c r="F238" s="56" t="str">
        <f>INDEX('Infos Clientes'!$I:$I,MATCH('Detalhe Por UC'!C238,'Infos Clientes'!B:B,0))</f>
        <v>BT</v>
      </c>
      <c r="G238" s="56" t="str">
        <f>INDEX('Infos Clientes'!$J:$J,MATCH('Detalhe Por UC'!C238,'Infos Clientes'!B:B,0))</f>
        <v>bifasico</v>
      </c>
      <c r="H238" s="108" t="s">
        <v>138</v>
      </c>
      <c r="I238" s="58">
        <f>IFERROR(VLOOKUP(C238,'Infos Clientes'!B:E,4,),"")</f>
        <v>319</v>
      </c>
      <c r="J238" s="109">
        <v>0.25</v>
      </c>
      <c r="K238" s="59">
        <f>INDEX('Infos Clientes'!$M:$M,MATCH('Detalhe Por UC'!C238,'Infos Clientes'!B:B,0))</f>
        <v>0.25</v>
      </c>
      <c r="L238" s="125">
        <v>0</v>
      </c>
      <c r="M238" s="56">
        <f>INDEX('Infos Clientes'!$N:$N,MATCH('Detalhe Por UC'!C238,'Infos Clientes'!B:B,0))</f>
        <v>0</v>
      </c>
      <c r="N238" s="56">
        <f t="shared" si="118"/>
        <v>0</v>
      </c>
      <c r="O238" s="56">
        <f t="shared" si="119"/>
        <v>9</v>
      </c>
      <c r="P238" s="56">
        <f t="shared" si="120"/>
        <v>0</v>
      </c>
      <c r="Q238" s="61">
        <f>IFERROR(IFERROR(INDEX('Infos Clientes'!$A$2:$V$9884,MATCH($C238,'Infos Clientes'!$B$2:$B$9884,0),MATCH(Q$8,'Infos Clientes'!$A$2:$V$2,0)),"")
+IF(OR(INDEX('Infos Clientes'!$A$2:$V$9884,MATCH($C238,'Infos Clientes'!$B$2:$B$9884,0),MATCH("Tempo de Fidelidade (meses)",'Infos Clientes'!$A$2:$V$2,0))=0,R238&gt;=MAX(R:R)),0,
ROUND((MAX(R:R)-R238)/(365/12),0)),"")</f>
        <v>0</v>
      </c>
      <c r="R238" s="111">
        <v>45689</v>
      </c>
      <c r="S238" s="63">
        <v>0.02</v>
      </c>
      <c r="T238" s="113" t="str">
        <f>IF($H238="GIROSSOL II",AP238/INDEX('Resumo Operacional'!$A$1:$P$1103,17,MATCH('Detalhe Por UC'!$R238,'Resumo Operacional'!$A$1:$P$1,0)),
IF($H238="GIROSSOL II e III",AP238/INDEX('Resumo Operacional'!$A$1:$P$1103,17,MATCH('Detalhe Por UC'!$R238,'Resumo Operacional'!$A$1:$P$1,0)),
""))</f>
        <v/>
      </c>
      <c r="U238" s="113">
        <f>IF($H238="GIROSSOL III",AP238/INDEX('Resumo Operacional'!$A$1:$P$1103,53,MATCH('Detalhe Por UC'!$R238,'Resumo Operacional'!$A$1:$P$1,0)),
IF($H238="GIROSSOL II e III",AP238/INDEX('Resumo Operacional'!$A$1:$P$1103,53,MATCH('Detalhe Por UC'!$R238,'Resumo Operacional'!$A$1:$P$1,0)),
""))</f>
        <v>0</v>
      </c>
      <c r="V238" s="18"/>
      <c r="W238" s="54"/>
      <c r="X238" s="131">
        <v>1.1162459546925567</v>
      </c>
      <c r="Y238" s="132">
        <v>0</v>
      </c>
      <c r="Z238" s="133">
        <v>0</v>
      </c>
      <c r="AA238" s="133">
        <v>0</v>
      </c>
      <c r="AB238" s="134">
        <v>309</v>
      </c>
      <c r="AC238" s="134">
        <v>0</v>
      </c>
      <c r="AD238" s="135">
        <v>0</v>
      </c>
      <c r="AE238" s="35"/>
      <c r="AF238" s="135">
        <v>0</v>
      </c>
      <c r="AG238" s="135">
        <v>0</v>
      </c>
      <c r="AH238" s="44">
        <v>60.96</v>
      </c>
      <c r="AI238" s="44">
        <v>0</v>
      </c>
      <c r="AJ238" s="44">
        <v>0</v>
      </c>
      <c r="AK238" s="31"/>
      <c r="AN238" s="71">
        <f t="shared" si="121"/>
        <v>0</v>
      </c>
      <c r="AO238" s="71">
        <f t="shared" si="122"/>
        <v>0</v>
      </c>
      <c r="AP238" s="71">
        <f t="shared" si="123"/>
        <v>0</v>
      </c>
      <c r="AQ238" s="72">
        <f>IF(OR($H238="GIROSSOL II",$H238="GIROSSOL II e III"),INDEX('Resumo Operacional'!$A$1:$P$1103,MATCH("Energia Injetada prevista total Fatura da Usina (TUSD)",'Resumo Operacional'!$B$1:$B$1103,0),MATCH('Detalhe Por UC'!$R238,'Resumo Operacional'!$A$1:$P$1,0))*$S238,INDEX('Resumo Operacional'!$A$1:$P$1103,53,MATCH('Detalhe Por UC'!$R238,'Resumo Operacional'!$A$1:$P$1,0))*$S238)</f>
        <v>289.32</v>
      </c>
      <c r="AR238" s="71">
        <f t="shared" si="124"/>
        <v>-289.32</v>
      </c>
      <c r="AS238" s="73">
        <f t="shared" si="125"/>
        <v>405.88</v>
      </c>
      <c r="AT238" s="74">
        <f t="shared" si="126"/>
        <v>405.88</v>
      </c>
      <c r="AU238" s="74" t="str">
        <f t="shared" si="127"/>
        <v/>
      </c>
      <c r="AV238" s="74">
        <f t="shared" si="128"/>
        <v>0</v>
      </c>
      <c r="AW238" s="74">
        <f t="shared" si="129"/>
        <v>0</v>
      </c>
      <c r="AX238" s="74">
        <f t="shared" si="130"/>
        <v>0</v>
      </c>
      <c r="AY238" s="74" t="str">
        <f t="shared" si="131"/>
        <v/>
      </c>
      <c r="BC238" s="73" t="str">
        <f t="shared" si="132"/>
        <v/>
      </c>
      <c r="BD238" s="73">
        <f t="shared" si="133"/>
        <v>405.88</v>
      </c>
      <c r="BE238" s="73">
        <f t="shared" si="134"/>
        <v>405.88</v>
      </c>
      <c r="BF238" s="77">
        <f t="shared" si="135"/>
        <v>0</v>
      </c>
      <c r="BG238" s="77">
        <f t="shared" si="136"/>
        <v>0</v>
      </c>
      <c r="BH238" s="77">
        <f t="shared" si="137"/>
        <v>0</v>
      </c>
      <c r="BI238" s="78" t="str">
        <f t="shared" si="138"/>
        <v/>
      </c>
      <c r="BJ238" s="79">
        <f t="shared" si="139"/>
        <v>0</v>
      </c>
      <c r="BK238" s="80" t="str">
        <f t="shared" si="140"/>
        <v/>
      </c>
      <c r="BL238" s="80" t="str">
        <f t="shared" si="141"/>
        <v/>
      </c>
      <c r="BM238" s="79" t="str">
        <f t="shared" si="142"/>
        <v/>
      </c>
      <c r="BN238" s="81" t="str">
        <f t="shared" si="143"/>
        <v/>
      </c>
      <c r="BO238" s="82" t="str">
        <f t="shared" si="144"/>
        <v/>
      </c>
      <c r="BP238" s="81" t="str">
        <f t="shared" si="145"/>
        <v/>
      </c>
      <c r="BQ238" s="81" t="str">
        <f t="shared" si="146"/>
        <v/>
      </c>
      <c r="BR238" s="81" t="str">
        <f t="shared" si="147"/>
        <v/>
      </c>
      <c r="BS238" s="82">
        <f t="shared" si="148"/>
        <v>0</v>
      </c>
      <c r="BT238" s="82" t="str">
        <f t="shared" si="149"/>
        <v/>
      </c>
      <c r="BU238" s="82">
        <f t="shared" si="150"/>
        <v>0</v>
      </c>
      <c r="BW238" s="82">
        <f>IFERROR(INDEX('Infos Clientes'!$T:$T,MATCH('Detalhe Por UC'!$C238,'Infos Clientes'!B:B,0)),"")</f>
        <v>250.27272727272728</v>
      </c>
      <c r="BX238" s="83">
        <f t="shared" si="151"/>
        <v>0</v>
      </c>
      <c r="BY238" s="84" t="str">
        <f t="shared" si="152"/>
        <v/>
      </c>
      <c r="BZ238" s="85">
        <f>IF(_xlfn.MINIFS('Detalhe Por UC'!R:R,'Detalhe Por UC'!C:C,C238,'Detalhe Por UC'!AD:AD,"&gt;"&amp;0)=0,"",_xlfn.MINIFS('Detalhe Por UC'!R:R,'Detalhe Por UC'!C:C,C238,'Detalhe Por UC'!AD:AD,"&gt;"&amp;0))</f>
        <v>45658</v>
      </c>
      <c r="CA238" s="114">
        <f ca="1">IF(OR(S238&gt;0,AD238&gt;0),IFERROR(
SUMIFS(INDIRECT("'Infos Clientes'!$W"&amp;INDEX('Infos Clientes'!$C:$C,MATCH(C238,'Infos Clientes'!$H:$H,0))&amp;":$CZ"&amp;INDEX('Infos Clientes'!$C:$C,MATCH(C238,'Infos Clientes'!$H:$H,0))),'Infos Clientes'!$W$2:$CZ$2,"&gt;"&amp;$R238-365,'Infos Clientes'!$W$2:$CZ$2,"&lt;="&amp;$R238)/
COUNTIFS(INDIRECT("'Infos Clientes'!$W"&amp;INDEX('Infos Clientes'!$C:$C,MATCH(C238,'Infos Clientes'!$H:$H,0))&amp;":$CZ"&amp;INDEX('Infos Clientes'!$C:$C,MATCH(C238,'Infos Clientes'!$H:$H,0))),"&gt;="&amp;0,'Infos Clientes'!$W$2:$CZ$2,"&gt;"&amp;$R238-365,'Infos Clientes'!$W$2:$CZ$2,"&lt;="&amp;$R238),""),"")</f>
        <v>233.75</v>
      </c>
      <c r="CB238" s="87">
        <f>VLOOKUP(C238,'Infos Clientes'!B:L,11,0)</f>
        <v>0</v>
      </c>
      <c r="CC238" s="88" t="str">
        <f t="shared" si="153"/>
        <v>A Unidade Consumidora 10/3040565-8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8" s="40" t="s">
        <v>27</v>
      </c>
      <c r="CF238" s="115">
        <f t="shared" si="154"/>
        <v>-405.88</v>
      </c>
    </row>
    <row r="239" spans="1:84" ht="16.2" hidden="1" customHeight="1" x14ac:dyDescent="0.3">
      <c r="A239" s="105" t="str">
        <f>INDEX('Infos Clientes'!$D:$D,MATCH('Detalhe Por UC'!C239,'Infos Clientes'!B:B,0))</f>
        <v>IGREJA DO EVANGELHO QUADRANGULAR</v>
      </c>
      <c r="B239" s="106" t="str">
        <f>INDEX('Infos Clientes'!$F:$F,MATCH('Detalhe Por UC'!C239,'Infos Clientes'!B:B,0))</f>
        <v>62.955.505/2488-86</v>
      </c>
      <c r="C239" s="31" t="s">
        <v>195</v>
      </c>
      <c r="D239" t="s">
        <v>351</v>
      </c>
      <c r="E239" s="1" t="s">
        <v>352</v>
      </c>
      <c r="F239" s="56" t="str">
        <f>INDEX('Infos Clientes'!$I:$I,MATCH('Detalhe Por UC'!C239,'Infos Clientes'!B:B,0))</f>
        <v>BT</v>
      </c>
      <c r="G239" s="56" t="str">
        <f>INDEX('Infos Clientes'!$J:$J,MATCH('Detalhe Por UC'!C239,'Infos Clientes'!B:B,0))</f>
        <v>trifasico</v>
      </c>
      <c r="H239" s="108" t="s">
        <v>138</v>
      </c>
      <c r="I239" s="58">
        <f>IFERROR(VLOOKUP(C239,'Infos Clientes'!B:E,4,),"")</f>
        <v>306</v>
      </c>
      <c r="J239" s="109">
        <v>0.25</v>
      </c>
      <c r="K239" s="59">
        <f>INDEX('Infos Clientes'!$M:$M,MATCH('Detalhe Por UC'!C239,'Infos Clientes'!B:B,0))</f>
        <v>0.25</v>
      </c>
      <c r="L239" s="125">
        <v>0</v>
      </c>
      <c r="M239" s="56">
        <f>INDEX('Infos Clientes'!$N:$N,MATCH('Detalhe Por UC'!C239,'Infos Clientes'!B:B,0))</f>
        <v>0</v>
      </c>
      <c r="N239" s="56">
        <f t="shared" si="118"/>
        <v>0</v>
      </c>
      <c r="O239" s="56">
        <f t="shared" si="119"/>
        <v>9</v>
      </c>
      <c r="P239" s="56">
        <f t="shared" si="120"/>
        <v>0</v>
      </c>
      <c r="Q239" s="61">
        <f>IFERROR(IFERROR(INDEX('Infos Clientes'!$A$2:$V$9884,MATCH($C239,'Infos Clientes'!$B$2:$B$9884,0),MATCH(Q$8,'Infos Clientes'!$A$2:$V$2,0)),"")
+IF(OR(INDEX('Infos Clientes'!$A$2:$V$9884,MATCH($C239,'Infos Clientes'!$B$2:$B$9884,0),MATCH("Tempo de Fidelidade (meses)",'Infos Clientes'!$A$2:$V$2,0))=0,R239&gt;=MAX(R:R)),0,
ROUND((MAX(R:R)-R239)/(365/12),0)),"")</f>
        <v>0</v>
      </c>
      <c r="R239" s="111">
        <v>45689</v>
      </c>
      <c r="S239" s="63">
        <v>0.02</v>
      </c>
      <c r="T239" s="113" t="str">
        <f>IF($H239="GIROSSOL II",AP239/INDEX('Resumo Operacional'!$A$1:$P$1103,17,MATCH('Detalhe Por UC'!$R239,'Resumo Operacional'!$A$1:$P$1,0)),
IF($H239="GIROSSOL II e III",AP239/INDEX('Resumo Operacional'!$A$1:$P$1103,17,MATCH('Detalhe Por UC'!$R239,'Resumo Operacional'!$A$1:$P$1,0)),
""))</f>
        <v/>
      </c>
      <c r="U239" s="113">
        <f>IF($H239="GIROSSOL III",AP239/INDEX('Resumo Operacional'!$A$1:$P$1103,53,MATCH('Detalhe Por UC'!$R239,'Resumo Operacional'!$A$1:$P$1,0)),
IF($H239="GIROSSOL II e III",AP239/INDEX('Resumo Operacional'!$A$1:$P$1103,53,MATCH('Detalhe Por UC'!$R239,'Resumo Operacional'!$A$1:$P$1,0)),
""))</f>
        <v>0</v>
      </c>
      <c r="V239" s="18"/>
      <c r="W239" s="54"/>
      <c r="X239" s="131">
        <v>1.1162561576354679</v>
      </c>
      <c r="Y239" s="132">
        <v>0</v>
      </c>
      <c r="Z239" s="133">
        <v>0</v>
      </c>
      <c r="AA239" s="133">
        <v>0</v>
      </c>
      <c r="AB239" s="134">
        <v>406</v>
      </c>
      <c r="AC239" s="134">
        <v>0</v>
      </c>
      <c r="AD239" s="135">
        <v>0</v>
      </c>
      <c r="AE239" s="35"/>
      <c r="AF239" s="135">
        <v>0</v>
      </c>
      <c r="AG239" s="135">
        <v>0</v>
      </c>
      <c r="AH239" s="44">
        <v>0</v>
      </c>
      <c r="AI239" s="44">
        <v>0</v>
      </c>
      <c r="AJ239" s="44">
        <v>0</v>
      </c>
      <c r="AK239" s="31"/>
      <c r="AN239" s="71">
        <f t="shared" si="121"/>
        <v>0</v>
      </c>
      <c r="AO239" s="71">
        <f t="shared" si="122"/>
        <v>0</v>
      </c>
      <c r="AP239" s="71">
        <f t="shared" si="123"/>
        <v>0</v>
      </c>
      <c r="AQ239" s="72">
        <f>IF(OR($H239="GIROSSOL II",$H239="GIROSSOL II e III"),INDEX('Resumo Operacional'!$A$1:$P$1103,MATCH("Energia Injetada prevista total Fatura da Usina (TUSD)",'Resumo Operacional'!$B$1:$B$1103,0),MATCH('Detalhe Por UC'!$R239,'Resumo Operacional'!$A$1:$P$1,0))*$S239,INDEX('Resumo Operacional'!$A$1:$P$1103,53,MATCH('Detalhe Por UC'!$R239,'Resumo Operacional'!$A$1:$P$1,0))*$S239)</f>
        <v>289.32</v>
      </c>
      <c r="AR239" s="71">
        <f t="shared" si="124"/>
        <v>-289.32</v>
      </c>
      <c r="AS239" s="73">
        <f t="shared" si="125"/>
        <v>453.2</v>
      </c>
      <c r="AT239" s="74">
        <f t="shared" si="126"/>
        <v>453.2</v>
      </c>
      <c r="AU239" s="74" t="str">
        <f t="shared" si="127"/>
        <v/>
      </c>
      <c r="AV239" s="74">
        <f t="shared" si="128"/>
        <v>0</v>
      </c>
      <c r="AW239" s="74">
        <f t="shared" si="129"/>
        <v>0</v>
      </c>
      <c r="AX239" s="74">
        <f t="shared" si="130"/>
        <v>0</v>
      </c>
      <c r="AY239" s="74" t="str">
        <f t="shared" si="131"/>
        <v/>
      </c>
      <c r="BC239" s="73" t="str">
        <f t="shared" si="132"/>
        <v/>
      </c>
      <c r="BD239" s="73">
        <f t="shared" si="133"/>
        <v>453.2</v>
      </c>
      <c r="BE239" s="73">
        <f t="shared" si="134"/>
        <v>453.2</v>
      </c>
      <c r="BF239" s="77">
        <f t="shared" si="135"/>
        <v>0</v>
      </c>
      <c r="BG239" s="77">
        <f t="shared" si="136"/>
        <v>0</v>
      </c>
      <c r="BH239" s="77">
        <f t="shared" si="137"/>
        <v>0</v>
      </c>
      <c r="BI239" s="78" t="str">
        <f t="shared" si="138"/>
        <v/>
      </c>
      <c r="BJ239" s="79">
        <f t="shared" si="139"/>
        <v>0</v>
      </c>
      <c r="BK239" s="80" t="str">
        <f t="shared" si="140"/>
        <v/>
      </c>
      <c r="BL239" s="80" t="str">
        <f t="shared" si="141"/>
        <v/>
      </c>
      <c r="BM239" s="79" t="str">
        <f t="shared" si="142"/>
        <v/>
      </c>
      <c r="BN239" s="81" t="str">
        <f t="shared" si="143"/>
        <v/>
      </c>
      <c r="BO239" s="82" t="str">
        <f t="shared" si="144"/>
        <v/>
      </c>
      <c r="BP239" s="81" t="str">
        <f t="shared" si="145"/>
        <v/>
      </c>
      <c r="BQ239" s="81" t="str">
        <f t="shared" si="146"/>
        <v/>
      </c>
      <c r="BR239" s="81" t="str">
        <f t="shared" si="147"/>
        <v/>
      </c>
      <c r="BS239" s="82">
        <f t="shared" si="148"/>
        <v>0</v>
      </c>
      <c r="BT239" s="82" t="str">
        <f t="shared" si="149"/>
        <v/>
      </c>
      <c r="BU239" s="82">
        <f t="shared" si="150"/>
        <v>0</v>
      </c>
      <c r="BW239" s="82">
        <f>IFERROR(INDEX('Infos Clientes'!$T:$T,MATCH('Detalhe Por UC'!$C239,'Infos Clientes'!B:B,0)),"")</f>
        <v>249.81818181818181</v>
      </c>
      <c r="BX239" s="83">
        <f t="shared" si="151"/>
        <v>0</v>
      </c>
      <c r="BY239" s="84" t="str">
        <f t="shared" si="152"/>
        <v/>
      </c>
      <c r="BZ239" s="85">
        <f>IF(_xlfn.MINIFS('Detalhe Por UC'!R:R,'Detalhe Por UC'!C:C,C239,'Detalhe Por UC'!AD:AD,"&gt;"&amp;0)=0,"",_xlfn.MINIFS('Detalhe Por UC'!R:R,'Detalhe Por UC'!C:C,C239,'Detalhe Por UC'!AD:AD,"&gt;"&amp;0))</f>
        <v>45658</v>
      </c>
      <c r="CA239" s="114">
        <f ca="1">IF(OR(S239&gt;0,AD239&gt;0),IFERROR(
SUMIFS(INDIRECT("'Infos Clientes'!$W"&amp;INDEX('Infos Clientes'!$C:$C,MATCH(C239,'Infos Clientes'!$H:$H,0))&amp;":$CZ"&amp;INDEX('Infos Clientes'!$C:$C,MATCH(C239,'Infos Clientes'!$H:$H,0))),'Infos Clientes'!$W$2:$CZ$2,"&gt;"&amp;$R239-365,'Infos Clientes'!$W$2:$CZ$2,"&lt;="&amp;$R239)/
COUNTIFS(INDIRECT("'Infos Clientes'!$W"&amp;INDEX('Infos Clientes'!$C:$C,MATCH(C239,'Infos Clientes'!$H:$H,0))&amp;":$CZ"&amp;INDEX('Infos Clientes'!$C:$C,MATCH(C239,'Infos Clientes'!$H:$H,0))),"&gt;="&amp;0,'Infos Clientes'!$W$2:$CZ$2,"&gt;"&amp;$R239-365,'Infos Clientes'!$W$2:$CZ$2,"&lt;="&amp;$R239),""),"")</f>
        <v>252.5</v>
      </c>
      <c r="CB239" s="87">
        <f>VLOOKUP(C239,'Infos Clientes'!B:L,11,0)</f>
        <v>0</v>
      </c>
      <c r="CC239" s="88" t="str">
        <f t="shared" si="153"/>
        <v>A Unidade Consumidora 10/395471-6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39" s="40" t="s">
        <v>143</v>
      </c>
      <c r="CF239" s="115">
        <f t="shared" si="154"/>
        <v>-453.2</v>
      </c>
    </row>
    <row r="240" spans="1:84" ht="16.2" hidden="1" customHeight="1" x14ac:dyDescent="0.3">
      <c r="A240" s="105" t="str">
        <f>INDEX('Infos Clientes'!$D:$D,MATCH('Detalhe Por UC'!C240,'Infos Clientes'!B:B,0))</f>
        <v>IGREJA DO EVANGELHO QUADRANGULAR</v>
      </c>
      <c r="B240" s="106" t="str">
        <f>INDEX('Infos Clientes'!$F:$F,MATCH('Detalhe Por UC'!C240,'Infos Clientes'!B:B,0))</f>
        <v>62.955.505/0155-12</v>
      </c>
      <c r="C240" s="31" t="s">
        <v>189</v>
      </c>
      <c r="D240" t="s">
        <v>351</v>
      </c>
      <c r="E240" s="1" t="s">
        <v>352</v>
      </c>
      <c r="F240" s="56" t="str">
        <f>INDEX('Infos Clientes'!$I:$I,MATCH('Detalhe Por UC'!C240,'Infos Clientes'!B:B,0))</f>
        <v>BT</v>
      </c>
      <c r="G240" s="56" t="str">
        <f>INDEX('Infos Clientes'!$J:$J,MATCH('Detalhe Por UC'!C240,'Infos Clientes'!B:B,0))</f>
        <v>bifasico</v>
      </c>
      <c r="H240" s="108" t="s">
        <v>138</v>
      </c>
      <c r="I240" s="58">
        <f>IFERROR(VLOOKUP(C240,'Infos Clientes'!B:E,4,),"")</f>
        <v>358</v>
      </c>
      <c r="J240" s="109">
        <v>0.25</v>
      </c>
      <c r="K240" s="59">
        <f>INDEX('Infos Clientes'!$M:$M,MATCH('Detalhe Por UC'!C240,'Infos Clientes'!B:B,0))</f>
        <v>0.25</v>
      </c>
      <c r="L240" s="125">
        <v>0</v>
      </c>
      <c r="M240" s="56">
        <f>INDEX('Infos Clientes'!$N:$N,MATCH('Detalhe Por UC'!C240,'Infos Clientes'!B:B,0))</f>
        <v>0</v>
      </c>
      <c r="N240" s="56">
        <f t="shared" si="118"/>
        <v>0</v>
      </c>
      <c r="O240" s="56">
        <f t="shared" si="119"/>
        <v>8</v>
      </c>
      <c r="P240" s="56">
        <f t="shared" si="120"/>
        <v>0</v>
      </c>
      <c r="Q240" s="61">
        <f>IFERROR(IFERROR(INDEX('Infos Clientes'!$A$2:$V$9884,MATCH($C240,'Infos Clientes'!$B$2:$B$9884,0),MATCH(Q$8,'Infos Clientes'!$A$2:$V$2,0)),"")
+IF(OR(INDEX('Infos Clientes'!$A$2:$V$9884,MATCH($C240,'Infos Clientes'!$B$2:$B$9884,0),MATCH("Tempo de Fidelidade (meses)",'Infos Clientes'!$A$2:$V$2,0))=0,R240&gt;=MAX(R:R)),0,
ROUND((MAX(R:R)-R240)/(365/12),0)),"")</f>
        <v>0</v>
      </c>
      <c r="R240" s="111">
        <v>45689</v>
      </c>
      <c r="S240" s="63">
        <v>0.01</v>
      </c>
      <c r="T240" s="113" t="str">
        <f>IF($H240="GIROSSOL II",AP240/INDEX('Resumo Operacional'!$A$1:$P$1103,17,MATCH('Detalhe Por UC'!$R240,'Resumo Operacional'!$A$1:$P$1,0)),
IF($H240="GIROSSOL II e III",AP240/INDEX('Resumo Operacional'!$A$1:$P$1103,17,MATCH('Detalhe Por UC'!$R240,'Resumo Operacional'!$A$1:$P$1,0)),
""))</f>
        <v/>
      </c>
      <c r="U240" s="113">
        <f>IF($H240="GIROSSOL III",AP240/INDEX('Resumo Operacional'!$A$1:$P$1103,53,MATCH('Detalhe Por UC'!$R240,'Resumo Operacional'!$A$1:$P$1,0)),
IF($H240="GIROSSOL II e III",AP240/INDEX('Resumo Operacional'!$A$1:$P$1103,53,MATCH('Detalhe Por UC'!$R240,'Resumo Operacional'!$A$1:$P$1,0)),
""))</f>
        <v>0</v>
      </c>
      <c r="V240" s="18"/>
      <c r="W240" s="54"/>
      <c r="X240" s="131">
        <v>1.1162295081967213</v>
      </c>
      <c r="Y240" s="132">
        <v>0</v>
      </c>
      <c r="Z240" s="133">
        <v>0</v>
      </c>
      <c r="AA240" s="133">
        <v>0</v>
      </c>
      <c r="AB240" s="134">
        <v>244</v>
      </c>
      <c r="AC240" s="134">
        <v>0</v>
      </c>
      <c r="AD240" s="135">
        <v>0</v>
      </c>
      <c r="AE240" s="35"/>
      <c r="AF240" s="135">
        <v>0</v>
      </c>
      <c r="AG240" s="135">
        <v>0</v>
      </c>
      <c r="AH240" s="44">
        <v>98.54</v>
      </c>
      <c r="AI240" s="44">
        <v>0</v>
      </c>
      <c r="AJ240" s="44">
        <v>0</v>
      </c>
      <c r="AK240" s="31"/>
      <c r="AN240" s="71">
        <f t="shared" si="121"/>
        <v>0</v>
      </c>
      <c r="AO240" s="71">
        <f t="shared" si="122"/>
        <v>0</v>
      </c>
      <c r="AP240" s="71">
        <f t="shared" si="123"/>
        <v>0</v>
      </c>
      <c r="AQ240" s="72">
        <f>IF(OR($H240="GIROSSOL II",$H240="GIROSSOL II e III"),INDEX('Resumo Operacional'!$A$1:$P$1103,MATCH("Energia Injetada prevista total Fatura da Usina (TUSD)",'Resumo Operacional'!$B$1:$B$1103,0),MATCH('Detalhe Por UC'!$R240,'Resumo Operacional'!$A$1:$P$1,0))*$S240,INDEX('Resumo Operacional'!$A$1:$P$1103,53,MATCH('Detalhe Por UC'!$R240,'Resumo Operacional'!$A$1:$P$1,0))*$S240)</f>
        <v>144.66</v>
      </c>
      <c r="AR240" s="71">
        <f t="shared" si="124"/>
        <v>-144.66</v>
      </c>
      <c r="AS240" s="73">
        <f t="shared" si="125"/>
        <v>370.90000000000003</v>
      </c>
      <c r="AT240" s="74">
        <f t="shared" si="126"/>
        <v>370.90000000000003</v>
      </c>
      <c r="AU240" s="74" t="str">
        <f t="shared" si="127"/>
        <v/>
      </c>
      <c r="AV240" s="74">
        <f t="shared" si="128"/>
        <v>0</v>
      </c>
      <c r="AW240" s="74">
        <f t="shared" si="129"/>
        <v>0</v>
      </c>
      <c r="AX240" s="74">
        <f t="shared" si="130"/>
        <v>0</v>
      </c>
      <c r="AY240" s="74" t="str">
        <f t="shared" si="131"/>
        <v/>
      </c>
      <c r="BC240" s="73" t="str">
        <f t="shared" si="132"/>
        <v/>
      </c>
      <c r="BD240" s="73">
        <f t="shared" si="133"/>
        <v>370.90000000000003</v>
      </c>
      <c r="BE240" s="73">
        <f t="shared" si="134"/>
        <v>370.90000000000003</v>
      </c>
      <c r="BF240" s="77">
        <f t="shared" si="135"/>
        <v>0</v>
      </c>
      <c r="BG240" s="77">
        <f t="shared" si="136"/>
        <v>0</v>
      </c>
      <c r="BH240" s="77">
        <f t="shared" si="137"/>
        <v>0</v>
      </c>
      <c r="BI240" s="78" t="str">
        <f t="shared" si="138"/>
        <v/>
      </c>
      <c r="BJ240" s="79">
        <f t="shared" si="139"/>
        <v>0</v>
      </c>
      <c r="BK240" s="80" t="str">
        <f t="shared" si="140"/>
        <v/>
      </c>
      <c r="BL240" s="80" t="str">
        <f t="shared" si="141"/>
        <v/>
      </c>
      <c r="BM240" s="79" t="str">
        <f t="shared" si="142"/>
        <v/>
      </c>
      <c r="BN240" s="81" t="str">
        <f t="shared" si="143"/>
        <v/>
      </c>
      <c r="BO240" s="82" t="str">
        <f t="shared" si="144"/>
        <v/>
      </c>
      <c r="BP240" s="81" t="str">
        <f t="shared" si="145"/>
        <v/>
      </c>
      <c r="BQ240" s="81" t="str">
        <f t="shared" si="146"/>
        <v/>
      </c>
      <c r="BR240" s="81" t="str">
        <f t="shared" si="147"/>
        <v/>
      </c>
      <c r="BS240" s="82">
        <f t="shared" si="148"/>
        <v>0</v>
      </c>
      <c r="BT240" s="82" t="str">
        <f t="shared" si="149"/>
        <v/>
      </c>
      <c r="BU240" s="82">
        <f t="shared" si="150"/>
        <v>0</v>
      </c>
      <c r="BW240" s="82">
        <f>IFERROR(INDEX('Infos Clientes'!$T:$T,MATCH('Detalhe Por UC'!$C240,'Infos Clientes'!B:B,0)),"")</f>
        <v>164.36363636363637</v>
      </c>
      <c r="BX240" s="83">
        <f t="shared" si="151"/>
        <v>0</v>
      </c>
      <c r="BY240" s="84" t="str">
        <f t="shared" si="152"/>
        <v/>
      </c>
      <c r="BZ240" s="85">
        <f>IF(_xlfn.MINIFS('Detalhe Por UC'!R:R,'Detalhe Por UC'!C:C,C240,'Detalhe Por UC'!AD:AD,"&gt;"&amp;0)=0,"",_xlfn.MINIFS('Detalhe Por UC'!R:R,'Detalhe Por UC'!C:C,C240,'Detalhe Por UC'!AD:AD,"&gt;"&amp;0))</f>
        <v>45658</v>
      </c>
      <c r="CA240" s="114">
        <f ca="1">IF(OR(S240&gt;0,AD240&gt;0),IFERROR(
SUMIFS(INDIRECT("'Infos Clientes'!$W"&amp;INDEX('Infos Clientes'!$C:$C,MATCH(C240,'Infos Clientes'!$H:$H,0))&amp;":$CZ"&amp;INDEX('Infos Clientes'!$C:$C,MATCH(C240,'Infos Clientes'!$H:$H,0))),'Infos Clientes'!$W$2:$CZ$2,"&gt;"&amp;$R240-365,'Infos Clientes'!$W$2:$CZ$2,"&lt;="&amp;$R240)/
COUNTIFS(INDIRECT("'Infos Clientes'!$W"&amp;INDEX('Infos Clientes'!$C:$C,MATCH(C240,'Infos Clientes'!$H:$H,0))&amp;":$CZ"&amp;INDEX('Infos Clientes'!$C:$C,MATCH(C240,'Infos Clientes'!$H:$H,0))),"&gt;="&amp;0,'Infos Clientes'!$W$2:$CZ$2,"&gt;"&amp;$R240-365,'Infos Clientes'!$W$2:$CZ$2,"&lt;="&amp;$R240),""),"")</f>
        <v>162.25</v>
      </c>
      <c r="CB240" s="87">
        <f>VLOOKUP(C240,'Infos Clientes'!B:L,11,0)</f>
        <v>0</v>
      </c>
      <c r="CC240" s="88" t="str">
        <f t="shared" si="153"/>
        <v>A Unidade Consumidora 10/3125732-2 economizou R$0 na fatura referente à fev/2025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40" s="40" t="s">
        <v>159</v>
      </c>
      <c r="CF240" s="115">
        <f t="shared" si="154"/>
        <v>-370.90000000000003</v>
      </c>
    </row>
    <row r="241" spans="1:84" ht="16.2" hidden="1" customHeight="1" x14ac:dyDescent="0.3">
      <c r="A241" s="105" t="str">
        <f>INDEX('Infos Clientes'!$D:$D,MATCH('Detalhe Por UC'!C241,'Infos Clientes'!B:B,0))</f>
        <v>IGREJA DO EVANGELHO QUADRANGULAR</v>
      </c>
      <c r="B241" s="106" t="str">
        <f>INDEX('Infos Clientes'!$F:$F,MATCH('Detalhe Por UC'!C241,'Infos Clientes'!B:B,0))</f>
        <v>62.955.505/1355-00</v>
      </c>
      <c r="C241" s="107" t="s">
        <v>245</v>
      </c>
      <c r="D241" t="s">
        <v>351</v>
      </c>
      <c r="E241" s="1" t="s">
        <v>352</v>
      </c>
      <c r="F241" s="56" t="str">
        <f>INDEX('Infos Clientes'!$I:$I,MATCH('Detalhe Por UC'!C241,'Infos Clientes'!B:B,0))</f>
        <v>BT</v>
      </c>
      <c r="G241" s="56">
        <f>INDEX('Infos Clientes'!$J:$J,MATCH('Detalhe Por UC'!C241,'Infos Clientes'!B:B,0))</f>
        <v>0</v>
      </c>
      <c r="H241" s="108" t="s">
        <v>138</v>
      </c>
      <c r="I241" s="58">
        <f>IFERROR(VLOOKUP(C241,'Infos Clientes'!B:E,4,),"")</f>
        <v>0</v>
      </c>
      <c r="J241" s="109">
        <v>0.25</v>
      </c>
      <c r="K241" s="59">
        <f>INDEX('Infos Clientes'!$M:$M,MATCH('Detalhe Por UC'!C241,'Infos Clientes'!B:B,0))</f>
        <v>0.25</v>
      </c>
      <c r="L241" s="125">
        <v>0</v>
      </c>
      <c r="M241" s="56">
        <f>INDEX('Infos Clientes'!$N:$N,MATCH('Detalhe Por UC'!C241,'Infos Clientes'!B:B,0))</f>
        <v>0</v>
      </c>
      <c r="N241" s="56">
        <f t="shared" si="118"/>
        <v>0</v>
      </c>
      <c r="O241" s="56">
        <f t="shared" si="119"/>
        <v>0</v>
      </c>
      <c r="P241" s="56">
        <f t="shared" si="120"/>
        <v>0</v>
      </c>
      <c r="Q241" s="61">
        <f>IFERROR(IFERROR(INDEX('Infos Clientes'!$A$2:$V$9884,MATCH($C241,'Infos Clientes'!$B$2:$B$9884,0),MATCH(Q$8,'Infos Clientes'!$A$2:$V$2,0)),"")
+IF(OR(INDEX('Infos Clientes'!$A$2:$V$9884,MATCH($C241,'Infos Clientes'!$B$2:$B$9884,0),MATCH("Tempo de Fidelidade (meses)",'Infos Clientes'!$A$2:$V$2,0))=0,R241&gt;=MAX(R:R)),0,
ROUND((MAX(R:R)-R241)/(365/12),0)),"")</f>
        <v>0</v>
      </c>
      <c r="R241" s="111">
        <v>45689</v>
      </c>
      <c r="S241" s="63">
        <v>0</v>
      </c>
      <c r="T241" s="113" t="str">
        <f>IF($H241="GIROSSOL II",AP241/INDEX('Resumo Operacional'!$A$1:$P$1103,17,MATCH('Detalhe Por UC'!$R241,'Resumo Operacional'!$A$1:$P$1,0)),
IF($H241="GIROSSOL II e III",AP241/INDEX('Resumo Operacional'!$A$1:$P$1103,17,MATCH('Detalhe Por UC'!$R241,'Resumo Operacional'!$A$1:$P$1,0)),
""))</f>
        <v/>
      </c>
      <c r="U241" s="113">
        <f>IF($H241="GIROSSOL III",AP241/INDEX('Resumo Operacional'!$A$1:$P$1103,53,MATCH('Detalhe Por UC'!$R241,'Resumo Operacional'!$A$1:$P$1,0)),
IF($H241="GIROSSOL II e III",AP241/INDEX('Resumo Operacional'!$A$1:$P$1103,53,MATCH('Detalhe Por UC'!$R241,'Resumo Operacional'!$A$1:$P$1,0)),
""))</f>
        <v>0</v>
      </c>
      <c r="V241" s="18"/>
      <c r="W241" s="54"/>
      <c r="X241" s="131"/>
      <c r="Y241" s="132"/>
      <c r="Z241" s="133"/>
      <c r="AA241" s="133"/>
      <c r="AB241" s="134"/>
      <c r="AC241" s="134"/>
      <c r="AD241" s="135"/>
      <c r="AE241" s="35"/>
      <c r="AF241" s="135"/>
      <c r="AG241" s="135"/>
      <c r="AH241" s="44"/>
      <c r="AI241" s="44"/>
      <c r="AJ241" s="44"/>
      <c r="AK241" s="31"/>
      <c r="AN241" s="71" t="str">
        <f t="shared" si="121"/>
        <v/>
      </c>
      <c r="AO241" s="71" t="str">
        <f t="shared" si="122"/>
        <v/>
      </c>
      <c r="AP241" s="71">
        <f t="shared" si="123"/>
        <v>0</v>
      </c>
      <c r="AQ241" s="72">
        <f>IF(OR($H241="GIROSSOL II",$H241="GIROSSOL II e III"),INDEX('Resumo Operacional'!$A$1:$P$1103,MATCH("Energia Injetada prevista total Fatura da Usina (TUSD)",'Resumo Operacional'!$B$1:$B$1103,0),MATCH('Detalhe Por UC'!$R241,'Resumo Operacional'!$A$1:$P$1,0))*$S241,INDEX('Resumo Operacional'!$A$1:$P$1103,53,MATCH('Detalhe Por UC'!$R241,'Resumo Operacional'!$A$1:$P$1,0))*$S241)</f>
        <v>0</v>
      </c>
      <c r="AR241" s="71" t="str">
        <f t="shared" si="124"/>
        <v/>
      </c>
      <c r="AS241" s="73">
        <f t="shared" si="125"/>
        <v>0</v>
      </c>
      <c r="AT241" s="74">
        <f t="shared" si="126"/>
        <v>0</v>
      </c>
      <c r="AU241" s="74" t="str">
        <f t="shared" si="127"/>
        <v/>
      </c>
      <c r="AV241" s="74">
        <f t="shared" si="128"/>
        <v>0</v>
      </c>
      <c r="AW241" s="74">
        <f t="shared" si="129"/>
        <v>0</v>
      </c>
      <c r="AX241" s="74">
        <f t="shared" si="130"/>
        <v>0</v>
      </c>
      <c r="AY241" s="74" t="str">
        <f t="shared" si="131"/>
        <v/>
      </c>
      <c r="BC241" s="73" t="str">
        <f t="shared" si="132"/>
        <v/>
      </c>
      <c r="BD241" s="73">
        <f t="shared" si="133"/>
        <v>0</v>
      </c>
      <c r="BE241" s="73">
        <f t="shared" si="134"/>
        <v>0</v>
      </c>
      <c r="BF241" s="77">
        <f t="shared" si="135"/>
        <v>0</v>
      </c>
      <c r="BG241" s="77">
        <f t="shared" si="136"/>
        <v>0</v>
      </c>
      <c r="BH241" s="77">
        <f t="shared" si="137"/>
        <v>0</v>
      </c>
      <c r="BI241" s="78" t="str">
        <f t="shared" si="138"/>
        <v/>
      </c>
      <c r="BJ241" s="79" t="str">
        <f t="shared" si="139"/>
        <v/>
      </c>
      <c r="BK241" s="80" t="str">
        <f t="shared" si="140"/>
        <v/>
      </c>
      <c r="BL241" s="80" t="str">
        <f t="shared" si="141"/>
        <v/>
      </c>
      <c r="BM241" s="79" t="str">
        <f t="shared" si="142"/>
        <v/>
      </c>
      <c r="BN241" s="81" t="str">
        <f t="shared" si="143"/>
        <v/>
      </c>
      <c r="BO241" s="82" t="str">
        <f t="shared" si="144"/>
        <v/>
      </c>
      <c r="BP241" s="81" t="str">
        <f t="shared" si="145"/>
        <v/>
      </c>
      <c r="BQ241" s="81" t="str">
        <f t="shared" si="146"/>
        <v/>
      </c>
      <c r="BR241" s="81" t="str">
        <f t="shared" si="147"/>
        <v/>
      </c>
      <c r="BS241" s="82">
        <f t="shared" si="148"/>
        <v>0</v>
      </c>
      <c r="BT241" s="82" t="str">
        <f t="shared" si="149"/>
        <v/>
      </c>
      <c r="BU241" s="82">
        <f t="shared" si="150"/>
        <v>0</v>
      </c>
      <c r="BW241" s="82">
        <f>IFERROR(INDEX('Infos Clientes'!$T:$T,MATCH('Detalhe Por UC'!$C241,'Infos Clientes'!B:B,0)),"")</f>
        <v>0</v>
      </c>
      <c r="BX241" s="83">
        <f t="shared" si="151"/>
        <v>0</v>
      </c>
      <c r="BY241" s="84" t="str">
        <f t="shared" si="152"/>
        <v/>
      </c>
      <c r="BZ241" s="85" t="str">
        <f>IF(_xlfn.MINIFS('Detalhe Por UC'!R:R,'Detalhe Por UC'!C:C,C241,'Detalhe Por UC'!AD:AD,"&gt;"&amp;0)=0,"",_xlfn.MINIFS('Detalhe Por UC'!R:R,'Detalhe Por UC'!C:C,C241,'Detalhe Por UC'!AD:AD,"&gt;"&amp;0))</f>
        <v/>
      </c>
      <c r="CA241" s="114" t="str">
        <f ca="1">IF(OR(S241&gt;0,AD241&gt;0),IFERROR(
SUMIFS(INDIRECT("'Infos Clientes'!$W"&amp;INDEX('Infos Clientes'!$C:$C,MATCH(C241,'Infos Clientes'!$H:$H,0))&amp;":$CZ"&amp;INDEX('Infos Clientes'!$C:$C,MATCH(C241,'Infos Clientes'!$H:$H,0))),'Infos Clientes'!$W$2:$CZ$2,"&gt;"&amp;$R241-365,'Infos Clientes'!$W$2:$CZ$2,"&lt;="&amp;$R241)/
COUNTIFS(INDIRECT("'Infos Clientes'!$W"&amp;INDEX('Infos Clientes'!$C:$C,MATCH(C241,'Infos Clientes'!$H:$H,0))&amp;":$CZ"&amp;INDEX('Infos Clientes'!$C:$C,MATCH(C241,'Infos Clientes'!$H:$H,0))),"&gt;="&amp;0,'Infos Clientes'!$W$2:$CZ$2,"&gt;"&amp;$R241-365,'Infos Clientes'!$W$2:$CZ$2,"&lt;="&amp;$R241),""),"")</f>
        <v/>
      </c>
      <c r="CB241" s="87">
        <f>VLOOKUP(C241,'Infos Clientes'!B:L,11,0)</f>
        <v>0</v>
      </c>
      <c r="CC241" s="88" t="str">
        <f t="shared" si="153"/>
        <v>A Unidade Consumidora 10/2344751-9 economizou R$0 na fatura referente à fev/2025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241" s="40"/>
      <c r="CF241" s="115">
        <f t="shared" si="154"/>
        <v>0</v>
      </c>
    </row>
    <row r="242" spans="1:84" ht="16.2" hidden="1" customHeight="1" x14ac:dyDescent="0.3">
      <c r="A242" s="105" t="str">
        <f>INDEX('Infos Clientes'!$D:$D,MATCH('Detalhe Por UC'!C242,'Infos Clientes'!B:B,0))</f>
        <v>IGREJA DO EVANGELHO QUADRANGULAR</v>
      </c>
      <c r="B242" s="106" t="str">
        <f>INDEX('Infos Clientes'!$F:$F,MATCH('Detalhe Por UC'!C242,'Infos Clientes'!B:B,0))</f>
        <v>62.955.505/0160-80</v>
      </c>
      <c r="C242" s="31" t="s">
        <v>190</v>
      </c>
      <c r="D242" t="s">
        <v>351</v>
      </c>
      <c r="E242" s="1" t="s">
        <v>352</v>
      </c>
      <c r="F242" s="56" t="str">
        <f>INDEX('Infos Clientes'!$I:$I,MATCH('Detalhe Por UC'!C242,'Infos Clientes'!B:B,0))</f>
        <v>BT</v>
      </c>
      <c r="G242" s="56" t="str">
        <f>INDEX('Infos Clientes'!$J:$J,MATCH('Detalhe Por UC'!C242,'Infos Clientes'!B:B,0))</f>
        <v>bifasico</v>
      </c>
      <c r="H242" s="108" t="s">
        <v>138</v>
      </c>
      <c r="I242" s="58">
        <f>IFERROR(VLOOKUP(C242,'Infos Clientes'!B:E,4,),"")</f>
        <v>357</v>
      </c>
      <c r="J242" s="109">
        <v>0.25</v>
      </c>
      <c r="K242" s="59">
        <f>INDEX('Infos Clientes'!$M:$M,MATCH('Detalhe Por UC'!C242,'Infos Clientes'!B:B,0))</f>
        <v>0.25</v>
      </c>
      <c r="L242" s="125">
        <v>0</v>
      </c>
      <c r="M242" s="56">
        <f>INDEX('Infos Clientes'!$N:$N,MATCH('Detalhe Por UC'!C242,'Infos Clientes'!B:B,0))</f>
        <v>0</v>
      </c>
      <c r="N242" s="56">
        <f t="shared" si="118"/>
        <v>0</v>
      </c>
      <c r="O242" s="56">
        <f t="shared" si="119"/>
        <v>3</v>
      </c>
      <c r="P242" s="56">
        <f t="shared" si="120"/>
        <v>0</v>
      </c>
      <c r="Q242" s="61">
        <f>IFERROR(IFERROR(INDEX('Infos Clientes'!$A$2:$V$9884,MATCH($C242,'Infos Clientes'!$B$2:$B$9884,0),MATCH(Q$8,'Infos Clientes'!$A$2:$V$2,0)),"")
+IF(OR(INDEX('Infos Clientes'!$A$2:$V$9884,MATCH($C242,'Infos Clientes'!$B$2:$B$9884,0),MATCH("Tempo de Fidelidade (meses)",'Infos Clientes'!$A$2:$V$2,0))=0,R242&gt;=MAX(R:R)),0,
ROUND((MAX(R:R)-R242)/(365/12),0)),"")</f>
        <v>0</v>
      </c>
      <c r="R242" s="111">
        <v>45689</v>
      </c>
      <c r="S242" s="63">
        <v>0.01</v>
      </c>
      <c r="T242" s="113" t="str">
        <f>IF($H242="GIROSSOL II",AP242/INDEX('Resumo Operacional'!$A$1:$P$1103,17,MATCH('Detalhe Por UC'!$R242,'Resumo Operacional'!$A$1:$P$1,0)),
IF($H242="GIROSSOL II e III",AP242/INDEX('Resumo Operacional'!$A$1:$P$1103,17,MATCH('Detalhe Por UC'!$R242,'Resumo Operacional'!$A$1:$P$1,0)),
""))</f>
        <v/>
      </c>
      <c r="U242" s="113">
        <f>IF($H242="GIROSSOL III",AP242/INDEX('Resumo Operacional'!$A$1:$P$1103,53,MATCH('Detalhe Por UC'!$R242,'Resumo Operacional'!$A$1:$P$1,0)),
IF($H242="GIROSSOL II e III",AP242/INDEX('Resumo Operacional'!$A$1:$P$1103,53,MATCH('Detalhe Por UC'!$R242,'Resumo Operacional'!$A$1:$P$1,0)),
""))</f>
        <v>0</v>
      </c>
      <c r="V242" s="18"/>
      <c r="W242" s="54"/>
      <c r="X242" s="131">
        <v>1.11625</v>
      </c>
      <c r="Y242" s="132">
        <v>0</v>
      </c>
      <c r="Z242" s="133">
        <v>0.97409090909090912</v>
      </c>
      <c r="AA242" s="133">
        <v>0</v>
      </c>
      <c r="AB242" s="134">
        <v>184</v>
      </c>
      <c r="AC242" s="134">
        <v>0</v>
      </c>
      <c r="AD242" s="135">
        <v>44</v>
      </c>
      <c r="AE242" s="35"/>
      <c r="AF242" s="135">
        <v>0</v>
      </c>
      <c r="AG242" s="135">
        <v>0</v>
      </c>
      <c r="AH242" s="44">
        <v>50.34</v>
      </c>
      <c r="AI242" s="44">
        <v>0</v>
      </c>
      <c r="AJ242" s="44">
        <v>0</v>
      </c>
      <c r="AK242" s="31"/>
      <c r="AN242" s="71">
        <f t="shared" si="121"/>
        <v>-44</v>
      </c>
      <c r="AO242" s="71">
        <f t="shared" si="122"/>
        <v>0</v>
      </c>
      <c r="AP242" s="71">
        <f t="shared" si="123"/>
        <v>0</v>
      </c>
      <c r="AQ242" s="72">
        <f>IF(OR($H242="GIROSSOL II",$H242="GIROSSOL II e III"),INDEX('Resumo Operacional'!$A$1:$P$1103,MATCH("Energia Injetada prevista total Fatura da Usina (TUSD)",'Resumo Operacional'!$B$1:$B$1103,0),MATCH('Detalhe Por UC'!$R242,'Resumo Operacional'!$A$1:$P$1,0))*$S242,INDEX('Resumo Operacional'!$A$1:$P$1103,53,MATCH('Detalhe Por UC'!$R242,'Resumo Operacional'!$A$1:$P$1,0))*$S242)</f>
        <v>144.66</v>
      </c>
      <c r="AR242" s="71">
        <f t="shared" si="124"/>
        <v>-144.66</v>
      </c>
      <c r="AS242" s="73">
        <f t="shared" si="125"/>
        <v>212.86999999999998</v>
      </c>
      <c r="AT242" s="74">
        <f t="shared" si="126"/>
        <v>212.86999999999998</v>
      </c>
      <c r="AU242" s="74">
        <f t="shared" si="127"/>
        <v>0.83193181818181827</v>
      </c>
      <c r="AV242" s="74">
        <f t="shared" si="128"/>
        <v>32.145000000000003</v>
      </c>
      <c r="AW242" s="74">
        <f t="shared" si="129"/>
        <v>0</v>
      </c>
      <c r="AX242" s="74">
        <f t="shared" si="130"/>
        <v>42.86</v>
      </c>
      <c r="AY242" s="74">
        <f t="shared" si="131"/>
        <v>32.15</v>
      </c>
      <c r="AZ242" s="49">
        <v>32.15</v>
      </c>
      <c r="BA242" s="49">
        <v>32.15</v>
      </c>
      <c r="BB242" s="49">
        <v>32.15</v>
      </c>
      <c r="BC242" s="73" t="str">
        <f t="shared" si="132"/>
        <v/>
      </c>
      <c r="BD242" s="73">
        <f t="shared" si="133"/>
        <v>255.73</v>
      </c>
      <c r="BE242" s="73">
        <f t="shared" si="134"/>
        <v>245.01499999999999</v>
      </c>
      <c r="BF242" s="77">
        <f t="shared" si="135"/>
        <v>10.72</v>
      </c>
      <c r="BG242" s="77">
        <f t="shared" si="136"/>
        <v>3.2160000000000002</v>
      </c>
      <c r="BH242" s="77">
        <f t="shared" si="137"/>
        <v>42.86</v>
      </c>
      <c r="BI242" s="78">
        <f t="shared" si="138"/>
        <v>0.25</v>
      </c>
      <c r="BJ242" s="79">
        <f t="shared" si="139"/>
        <v>4.1919211668556687E-2</v>
      </c>
      <c r="BK242" s="80">
        <f t="shared" si="140"/>
        <v>245.01999999999998</v>
      </c>
      <c r="BL242" s="80">
        <f t="shared" si="141"/>
        <v>10.710000000000008</v>
      </c>
      <c r="BM242" s="79">
        <f t="shared" si="142"/>
        <v>4.1880107926328583E-2</v>
      </c>
      <c r="BN242" s="81">
        <f t="shared" si="143"/>
        <v>0.7306818181818181</v>
      </c>
      <c r="BO242" s="82">
        <f t="shared" si="144"/>
        <v>32.15</v>
      </c>
      <c r="BP242" s="81">
        <f t="shared" si="145"/>
        <v>0.7306818181818181</v>
      </c>
      <c r="BQ242" s="81">
        <f t="shared" si="146"/>
        <v>0.87284090909090895</v>
      </c>
      <c r="BR242" s="81">
        <f t="shared" si="147"/>
        <v>1.11625</v>
      </c>
      <c r="BS242" s="82">
        <f t="shared" si="148"/>
        <v>44</v>
      </c>
      <c r="BT242" s="82">
        <f t="shared" si="149"/>
        <v>49.114999999999995</v>
      </c>
      <c r="BU242" s="82">
        <f t="shared" si="150"/>
        <v>42.86</v>
      </c>
      <c r="BW242" s="82">
        <f>IFERROR(INDEX('Infos Clientes'!$T:$T,MATCH('Detalhe Por UC'!$C242,'Infos Clientes'!B:B,0)),"")</f>
        <v>167.54545454545453</v>
      </c>
      <c r="BX242" s="83">
        <f t="shared" si="151"/>
        <v>0</v>
      </c>
      <c r="BY242" s="84">
        <f t="shared" si="152"/>
        <v>0.21805965590960003</v>
      </c>
      <c r="BZ242" s="85">
        <f>IF(_xlfn.MINIFS('Detalhe Por UC'!R:R,'Detalhe Por UC'!C:C,C242,'Detalhe Por UC'!AD:AD,"&gt;"&amp;0)=0,"",_xlfn.MINIFS('Detalhe Por UC'!R:R,'Detalhe Por UC'!C:C,C242,'Detalhe Por UC'!AD:AD,"&gt;"&amp;0))</f>
        <v>45658</v>
      </c>
      <c r="CA242" s="114">
        <f ca="1">IF(OR(S242&gt;0,AD242&gt;0),IFERROR(
SUMIFS(INDIRECT("'Infos Clientes'!$W"&amp;INDEX('Infos Clientes'!$C:$C,MATCH(C242,'Infos Clientes'!$H:$H,0))&amp;":$CZ"&amp;INDEX('Infos Clientes'!$C:$C,MATCH(C242,'Infos Clientes'!$H:$H,0))),'Infos Clientes'!$W$2:$CZ$2,"&gt;"&amp;$R242-365,'Infos Clientes'!$W$2:$CZ$2,"&lt;="&amp;$R242)/
COUNTIFS(INDIRECT("'Infos Clientes'!$W"&amp;INDEX('Infos Clientes'!$C:$C,MATCH(C242,'Infos Clientes'!$H:$H,0))&amp;":$CZ"&amp;INDEX('Infos Clientes'!$C:$C,MATCH(C242,'Infos Clientes'!$H:$H,0))),"&gt;="&amp;0,'Infos Clientes'!$W$2:$CZ$2,"&gt;"&amp;$R242-365,'Infos Clientes'!$W$2:$CZ$2,"&lt;="&amp;$R242),""),"")</f>
        <v>362.5</v>
      </c>
      <c r="CB242" s="87">
        <f>VLOOKUP(C242,'Infos Clientes'!B:L,11,0)</f>
        <v>0</v>
      </c>
      <c r="CC242" s="88" t="str">
        <f t="shared" si="153"/>
        <v>A Unidade Consumidora 10/31292-6 economizou R$10,72 na fatura referente à fev/2025  consumindo 44 kWh em créditos de energia renovável conforme fatura de energia. A economia foi de 25% em relação ao que seria pago para a Energisa considerando os créditos consumidos. Atenção: Mantenha as contas da Energisa em dia para evitar cortes.</v>
      </c>
      <c r="CD242" s="40" t="s">
        <v>191</v>
      </c>
      <c r="CF242" s="115">
        <f t="shared" si="154"/>
        <v>-212.86999999999998</v>
      </c>
    </row>
    <row r="243" spans="1:84" ht="16.2" hidden="1" customHeight="1" x14ac:dyDescent="0.3">
      <c r="A243" s="105" t="str">
        <f>INDEX('Infos Clientes'!$D:$D,MATCH('Detalhe Por UC'!C243,'Infos Clientes'!B:B,0))</f>
        <v>IGREJA DO EVANGELHO QUADRANGULAR</v>
      </c>
      <c r="B243" s="106" t="str">
        <f>INDEX('Infos Clientes'!$F:$F,MATCH('Detalhe Por UC'!C243,'Infos Clientes'!B:B,0))</f>
        <v>62.955.505/0155-12</v>
      </c>
      <c r="C243" s="31" t="s">
        <v>205</v>
      </c>
      <c r="D243" t="s">
        <v>351</v>
      </c>
      <c r="E243" s="1" t="s">
        <v>352</v>
      </c>
      <c r="F243" s="56" t="str">
        <f>INDEX('Infos Clientes'!$I:$I,MATCH('Detalhe Por UC'!C243,'Infos Clientes'!B:B,0))</f>
        <v>BT</v>
      </c>
      <c r="G243" s="56" t="str">
        <f>INDEX('Infos Clientes'!$J:$J,MATCH('Detalhe Por UC'!C243,'Infos Clientes'!B:B,0))</f>
        <v>bifasico</v>
      </c>
      <c r="H243" s="108" t="s">
        <v>138</v>
      </c>
      <c r="I243" s="58">
        <f>IFERROR(VLOOKUP(C243,'Infos Clientes'!B:E,4,),"")</f>
        <v>358</v>
      </c>
      <c r="J243" s="109">
        <v>0.25</v>
      </c>
      <c r="K243" s="59">
        <f>INDEX('Infos Clientes'!$M:$M,MATCH('Detalhe Por UC'!C243,'Infos Clientes'!B:B,0))</f>
        <v>0.25</v>
      </c>
      <c r="L243" s="125">
        <v>0</v>
      </c>
      <c r="M243" s="56">
        <f>INDEX('Infos Clientes'!$N:$N,MATCH('Detalhe Por UC'!C243,'Infos Clientes'!B:B,0))</f>
        <v>0</v>
      </c>
      <c r="N243" s="56">
        <f t="shared" si="118"/>
        <v>0</v>
      </c>
      <c r="O243" s="56">
        <f t="shared" si="119"/>
        <v>10</v>
      </c>
      <c r="P243" s="56">
        <f t="shared" si="120"/>
        <v>0</v>
      </c>
      <c r="Q243" s="61">
        <f>IFERROR(IFERROR(INDEX('Infos Clientes'!$A$2:$V$9884,MATCH($C243,'Infos Clientes'!$B$2:$B$9884,0),MATCH(Q$8,'Infos Clientes'!$A$2:$V$2,0)),"")
+IF(OR(INDEX('Infos Clientes'!$A$2:$V$9884,MATCH($C243,'Infos Clientes'!$B$2:$B$9884,0),MATCH("Tempo de Fidelidade (meses)",'Infos Clientes'!$A$2:$V$2,0))=0,R243&gt;=MAX(R:R)),0,
ROUND((MAX(R:R)-R243)/(365/12),0)),"")</f>
        <v>0</v>
      </c>
      <c r="R243" s="111">
        <v>45689</v>
      </c>
      <c r="S243" s="63">
        <v>0.01</v>
      </c>
      <c r="T243" s="113" t="str">
        <f>IF($H243="GIROSSOL II",AP243/INDEX('Resumo Operacional'!$A$1:$P$1103,17,MATCH('Detalhe Por UC'!$R243,'Resumo Operacional'!$A$1:$P$1,0)),
IF($H243="GIROSSOL II e III",AP243/INDEX('Resumo Operacional'!$A$1:$P$1103,17,MATCH('Detalhe Por UC'!$R243,'Resumo Operacional'!$A$1:$P$1,0)),
""))</f>
        <v/>
      </c>
      <c r="U243" s="113">
        <f>IF($H243="GIROSSOL III",AP243/INDEX('Resumo Operacional'!$A$1:$P$1103,53,MATCH('Detalhe Por UC'!$R243,'Resumo Operacional'!$A$1:$P$1,0)),
IF($H243="GIROSSOL II e III",AP243/INDEX('Resumo Operacional'!$A$1:$P$1103,53,MATCH('Detalhe Por UC'!$R243,'Resumo Operacional'!$A$1:$P$1,0)),
""))</f>
        <v>0</v>
      </c>
      <c r="V243" s="18"/>
      <c r="W243" s="54"/>
      <c r="X243" s="131">
        <v>1.116264367816092</v>
      </c>
      <c r="Y243" s="132">
        <v>0</v>
      </c>
      <c r="Z243" s="133">
        <v>0.97410256410256424</v>
      </c>
      <c r="AA243" s="133">
        <v>0</v>
      </c>
      <c r="AB243" s="134">
        <v>174</v>
      </c>
      <c r="AC243" s="134">
        <v>0</v>
      </c>
      <c r="AD243" s="135">
        <v>39</v>
      </c>
      <c r="AE243" s="35"/>
      <c r="AF243" s="135">
        <v>0</v>
      </c>
      <c r="AG243" s="135">
        <v>0</v>
      </c>
      <c r="AH243" s="44">
        <v>51.68</v>
      </c>
      <c r="AI243" s="44">
        <v>0</v>
      </c>
      <c r="AJ243" s="44">
        <v>0</v>
      </c>
      <c r="AK243" s="31"/>
      <c r="AN243" s="71">
        <f t="shared" si="121"/>
        <v>-39</v>
      </c>
      <c r="AO243" s="71">
        <f t="shared" si="122"/>
        <v>0</v>
      </c>
      <c r="AP243" s="71">
        <f t="shared" si="123"/>
        <v>0</v>
      </c>
      <c r="AQ243" s="72">
        <f>IF(OR($H243="GIROSSOL II",$H243="GIROSSOL II e III"),INDEX('Resumo Operacional'!$A$1:$P$1103,MATCH("Energia Injetada prevista total Fatura da Usina (TUSD)",'Resumo Operacional'!$B$1:$B$1103,0),MATCH('Detalhe Por UC'!$R243,'Resumo Operacional'!$A$1:$P$1,0))*$S243,INDEX('Resumo Operacional'!$A$1:$P$1103,53,MATCH('Detalhe Por UC'!$R243,'Resumo Operacional'!$A$1:$P$1,0))*$S243)</f>
        <v>144.66</v>
      </c>
      <c r="AR243" s="71">
        <f t="shared" si="124"/>
        <v>-144.66</v>
      </c>
      <c r="AS243" s="73">
        <f t="shared" si="125"/>
        <v>207.92</v>
      </c>
      <c r="AT243" s="74">
        <f t="shared" si="126"/>
        <v>207.92</v>
      </c>
      <c r="AU243" s="74">
        <f t="shared" si="127"/>
        <v>0.83194076038903642</v>
      </c>
      <c r="AV243" s="74">
        <f t="shared" si="128"/>
        <v>28.492500000000007</v>
      </c>
      <c r="AW243" s="74">
        <f t="shared" si="129"/>
        <v>0</v>
      </c>
      <c r="AX243" s="74">
        <f t="shared" si="130"/>
        <v>37.99</v>
      </c>
      <c r="AY243" s="74">
        <f t="shared" si="131"/>
        <v>28.49</v>
      </c>
      <c r="AZ243" s="49">
        <v>28.49</v>
      </c>
      <c r="BA243" s="49">
        <v>28.49</v>
      </c>
      <c r="BB243" s="49">
        <v>28.49</v>
      </c>
      <c r="BC243" s="73" t="str">
        <f t="shared" si="132"/>
        <v/>
      </c>
      <c r="BD243" s="73">
        <f t="shared" si="133"/>
        <v>245.91</v>
      </c>
      <c r="BE243" s="73">
        <f t="shared" si="134"/>
        <v>236.41249999999999</v>
      </c>
      <c r="BF243" s="77">
        <f t="shared" si="135"/>
        <v>9.5</v>
      </c>
      <c r="BG243" s="77">
        <f t="shared" si="136"/>
        <v>2.85</v>
      </c>
      <c r="BH243" s="77">
        <f t="shared" si="137"/>
        <v>37.990000000000009</v>
      </c>
      <c r="BI243" s="78">
        <f t="shared" si="138"/>
        <v>0.25</v>
      </c>
      <c r="BJ243" s="79">
        <f t="shared" si="139"/>
        <v>3.8632019844658617E-2</v>
      </c>
      <c r="BK243" s="80">
        <f t="shared" si="140"/>
        <v>236.41</v>
      </c>
      <c r="BL243" s="80">
        <f t="shared" si="141"/>
        <v>9.5</v>
      </c>
      <c r="BM243" s="79">
        <f t="shared" si="142"/>
        <v>3.8632019844658617E-2</v>
      </c>
      <c r="BN243" s="81">
        <f t="shared" si="143"/>
        <v>0.73051282051282052</v>
      </c>
      <c r="BO243" s="82">
        <f t="shared" si="144"/>
        <v>28.49</v>
      </c>
      <c r="BP243" s="81">
        <f t="shared" si="145"/>
        <v>0.73051282051282052</v>
      </c>
      <c r="BQ243" s="81">
        <f t="shared" si="146"/>
        <v>0.87267462422634823</v>
      </c>
      <c r="BR243" s="81">
        <f t="shared" si="147"/>
        <v>1.116264367816092</v>
      </c>
      <c r="BS243" s="82">
        <f t="shared" si="148"/>
        <v>39</v>
      </c>
      <c r="BT243" s="82">
        <f t="shared" si="149"/>
        <v>43.534310344827588</v>
      </c>
      <c r="BU243" s="82">
        <f t="shared" si="150"/>
        <v>37.99</v>
      </c>
      <c r="BW243" s="82">
        <f>IFERROR(INDEX('Infos Clientes'!$T:$T,MATCH('Detalhe Por UC'!$C243,'Infos Clientes'!B:B,0)),"")</f>
        <v>178</v>
      </c>
      <c r="BX243" s="83">
        <f t="shared" si="151"/>
        <v>0</v>
      </c>
      <c r="BY243" s="84">
        <f t="shared" si="152"/>
        <v>0.21821868601459821</v>
      </c>
      <c r="BZ243" s="85">
        <f>IF(_xlfn.MINIFS('Detalhe Por UC'!R:R,'Detalhe Por UC'!C:C,C243,'Detalhe Por UC'!AD:AD,"&gt;"&amp;0)=0,"",_xlfn.MINIFS('Detalhe Por UC'!R:R,'Detalhe Por UC'!C:C,C243,'Detalhe Por UC'!AD:AD,"&gt;"&amp;0))</f>
        <v>45658</v>
      </c>
      <c r="CA243" s="114">
        <f ca="1">IF(OR(S243&gt;0,AD243&gt;0),IFERROR(
SUMIFS(INDIRECT("'Infos Clientes'!$W"&amp;INDEX('Infos Clientes'!$C:$C,MATCH(C243,'Infos Clientes'!$H:$H,0))&amp;":$CZ"&amp;INDEX('Infos Clientes'!$C:$C,MATCH(C243,'Infos Clientes'!$H:$H,0))),'Infos Clientes'!$W$2:$CZ$2,"&gt;"&amp;$R243-365,'Infos Clientes'!$W$2:$CZ$2,"&lt;="&amp;$R243)/
COUNTIFS(INDIRECT("'Infos Clientes'!$W"&amp;INDEX('Infos Clientes'!$C:$C,MATCH(C243,'Infos Clientes'!$H:$H,0))&amp;":$CZ"&amp;INDEX('Infos Clientes'!$C:$C,MATCH(C243,'Infos Clientes'!$H:$H,0))),"&gt;="&amp;0,'Infos Clientes'!$W$2:$CZ$2,"&gt;"&amp;$R243-365,'Infos Clientes'!$W$2:$CZ$2,"&lt;="&amp;$R243),""),"")</f>
        <v>162.08333333333334</v>
      </c>
      <c r="CB243" s="87">
        <f>VLOOKUP(C243,'Infos Clientes'!B:L,11,0)</f>
        <v>0</v>
      </c>
      <c r="CC243" s="88" t="str">
        <f t="shared" si="153"/>
        <v>A Unidade Consumidora 10/466560-0 economizou R$9,5 na fatura referente à fev/2025  consumindo 39 kWh em créditos de energia renovável conforme fatura de energia. A economia foi de 25% em relação ao que seria pago para a Energisa considerando os créditos consumidos. Atenção: Mantenha as contas da Energisa em dia para evitar cortes.</v>
      </c>
      <c r="CD243" s="40"/>
      <c r="CF243" s="115">
        <f t="shared" si="154"/>
        <v>-207.92</v>
      </c>
    </row>
    <row r="244" spans="1:84" ht="16.2" hidden="1" customHeight="1" x14ac:dyDescent="0.3">
      <c r="A244" s="105" t="str">
        <f>INDEX('Infos Clientes'!$D:$D,MATCH('Detalhe Por UC'!C244,'Infos Clientes'!B:B,0))</f>
        <v>IGREJA DO EVANGELHO QUADRANGULAR</v>
      </c>
      <c r="B244" s="106" t="str">
        <f>INDEX('Infos Clientes'!$F:$F,MATCH('Detalhe Por UC'!C244,'Infos Clientes'!B:B,0))</f>
        <v>62.955.505/0001-67</v>
      </c>
      <c r="C244" s="31" t="s">
        <v>240</v>
      </c>
      <c r="D244" t="s">
        <v>351</v>
      </c>
      <c r="E244" s="1" t="s">
        <v>352</v>
      </c>
      <c r="F244" s="56" t="str">
        <f>INDEX('Infos Clientes'!$I:$I,MATCH('Detalhe Por UC'!C244,'Infos Clientes'!B:B,0))</f>
        <v>BT</v>
      </c>
      <c r="G244" s="56" t="str">
        <f>INDEX('Infos Clientes'!$J:$J,MATCH('Detalhe Por UC'!C244,'Infos Clientes'!B:B,0))</f>
        <v>trifasico</v>
      </c>
      <c r="H244" s="108" t="s">
        <v>138</v>
      </c>
      <c r="I244" s="58">
        <f>IFERROR(VLOOKUP(C244,'Infos Clientes'!B:E,4,),"")</f>
        <v>360</v>
      </c>
      <c r="J244" s="109">
        <v>0.25</v>
      </c>
      <c r="K244" s="59">
        <f>INDEX('Infos Clientes'!$M:$M,MATCH('Detalhe Por UC'!C244,'Infos Clientes'!B:B,0))</f>
        <v>0.25</v>
      </c>
      <c r="L244" s="125">
        <v>0</v>
      </c>
      <c r="M244" s="56">
        <f>INDEX('Infos Clientes'!$N:$N,MATCH('Detalhe Por UC'!C244,'Infos Clientes'!B:B,0))</f>
        <v>0</v>
      </c>
      <c r="N244" s="56">
        <f t="shared" si="118"/>
        <v>0</v>
      </c>
      <c r="O244" s="56">
        <f t="shared" si="119"/>
        <v>10</v>
      </c>
      <c r="P244" s="56">
        <f t="shared" si="120"/>
        <v>0</v>
      </c>
      <c r="Q244" s="61">
        <f>IFERROR(IFERROR(INDEX('Infos Clientes'!$A$2:$V$9884,MATCH($C244,'Infos Clientes'!$B$2:$B$9884,0),MATCH(Q$8,'Infos Clientes'!$A$2:$V$2,0)),"")
+IF(OR(INDEX('Infos Clientes'!$A$2:$V$9884,MATCH($C244,'Infos Clientes'!$B$2:$B$9884,0),MATCH("Tempo de Fidelidade (meses)",'Infos Clientes'!$A$2:$V$2,0))=0,R244&gt;=MAX(R:R)),0,
ROUND((MAX(R:R)-R244)/(365/12),0)),"")</f>
        <v>0</v>
      </c>
      <c r="R244" s="111">
        <v>45689</v>
      </c>
      <c r="S244" s="63">
        <v>0.02</v>
      </c>
      <c r="T244" s="113" t="str">
        <f>IF($H244="GIROSSOL II",AP244/INDEX('Resumo Operacional'!$A$1:$P$1103,17,MATCH('Detalhe Por UC'!$R244,'Resumo Operacional'!$A$1:$P$1,0)),
IF($H244="GIROSSOL II e III",AP244/INDEX('Resumo Operacional'!$A$1:$P$1103,17,MATCH('Detalhe Por UC'!$R244,'Resumo Operacional'!$A$1:$P$1,0)),
""))</f>
        <v/>
      </c>
      <c r="U244" s="113">
        <f>IF($H244="GIROSSOL III",AP244/INDEX('Resumo Operacional'!$A$1:$P$1103,53,MATCH('Detalhe Por UC'!$R244,'Resumo Operacional'!$A$1:$P$1,0)),
IF($H244="GIROSSOL II e III",AP244/INDEX('Resumo Operacional'!$A$1:$P$1103,53,MATCH('Detalhe Por UC'!$R244,'Resumo Operacional'!$A$1:$P$1,0)),
""))</f>
        <v>2.7789299046038989E-2</v>
      </c>
      <c r="V244" s="18"/>
      <c r="W244" s="54"/>
      <c r="X244" s="131">
        <v>1.1162471395881006</v>
      </c>
      <c r="Y244" s="132">
        <v>0</v>
      </c>
      <c r="Z244" s="133">
        <v>0.97405472636815926</v>
      </c>
      <c r="AA244" s="133">
        <v>0</v>
      </c>
      <c r="AB244" s="134">
        <v>437</v>
      </c>
      <c r="AC244" s="134">
        <v>0</v>
      </c>
      <c r="AD244" s="135">
        <v>402</v>
      </c>
      <c r="AE244" s="35"/>
      <c r="AF244" s="135">
        <v>0</v>
      </c>
      <c r="AG244" s="135">
        <v>0</v>
      </c>
      <c r="AH244" s="44">
        <v>94.960000000000008</v>
      </c>
      <c r="AI244" s="44">
        <v>0</v>
      </c>
      <c r="AJ244" s="44">
        <v>0</v>
      </c>
      <c r="AK244" s="31"/>
      <c r="AN244" s="71">
        <f t="shared" si="121"/>
        <v>0</v>
      </c>
      <c r="AO244" s="71">
        <f t="shared" si="122"/>
        <v>0</v>
      </c>
      <c r="AP244" s="71">
        <f t="shared" si="123"/>
        <v>402</v>
      </c>
      <c r="AQ244" s="72">
        <f>IF(OR($H244="GIROSSOL II",$H244="GIROSSOL II e III"),INDEX('Resumo Operacional'!$A$1:$P$1103,MATCH("Energia Injetada prevista total Fatura da Usina (TUSD)",'Resumo Operacional'!$B$1:$B$1103,0),MATCH('Detalhe Por UC'!$R244,'Resumo Operacional'!$A$1:$P$1,0))*$S244,INDEX('Resumo Operacional'!$A$1:$P$1103,53,MATCH('Detalhe Por UC'!$R244,'Resumo Operacional'!$A$1:$P$1,0))*$S244)</f>
        <v>289.32</v>
      </c>
      <c r="AR244" s="71">
        <f t="shared" si="124"/>
        <v>112.68</v>
      </c>
      <c r="AS244" s="73">
        <f t="shared" si="125"/>
        <v>191.18999999999991</v>
      </c>
      <c r="AT244" s="74">
        <f t="shared" si="126"/>
        <v>191.18999999999991</v>
      </c>
      <c r="AU244" s="74">
        <f t="shared" si="127"/>
        <v>0.83186231314821801</v>
      </c>
      <c r="AV244" s="74">
        <f t="shared" si="128"/>
        <v>293.67750000000001</v>
      </c>
      <c r="AW244" s="74">
        <f t="shared" si="129"/>
        <v>0</v>
      </c>
      <c r="AX244" s="74">
        <f t="shared" si="130"/>
        <v>391.57000000000005</v>
      </c>
      <c r="AY244" s="74">
        <f t="shared" si="131"/>
        <v>293.68</v>
      </c>
      <c r="AZ244" s="49">
        <v>293.68</v>
      </c>
      <c r="BA244" s="49">
        <v>293.68</v>
      </c>
      <c r="BB244" s="49">
        <v>293.68</v>
      </c>
      <c r="BC244" s="73" t="str">
        <f t="shared" si="132"/>
        <v/>
      </c>
      <c r="BD244" s="73">
        <f t="shared" si="133"/>
        <v>582.76</v>
      </c>
      <c r="BE244" s="73">
        <f t="shared" si="134"/>
        <v>484.86749999999995</v>
      </c>
      <c r="BF244" s="77">
        <f t="shared" si="135"/>
        <v>97.89</v>
      </c>
      <c r="BG244" s="77">
        <f t="shared" si="136"/>
        <v>29.366999999999997</v>
      </c>
      <c r="BH244" s="77">
        <f t="shared" si="137"/>
        <v>391.57</v>
      </c>
      <c r="BI244" s="78">
        <f t="shared" si="138"/>
        <v>0.25</v>
      </c>
      <c r="BJ244" s="79">
        <f t="shared" si="139"/>
        <v>0.16797652549934794</v>
      </c>
      <c r="BK244" s="80">
        <f t="shared" si="140"/>
        <v>484.86999999999989</v>
      </c>
      <c r="BL244" s="80">
        <f t="shared" si="141"/>
        <v>97.8900000000001</v>
      </c>
      <c r="BM244" s="79">
        <f t="shared" si="142"/>
        <v>0.16797652549934811</v>
      </c>
      <c r="BN244" s="81">
        <f t="shared" si="143"/>
        <v>0.73054726368159206</v>
      </c>
      <c r="BO244" s="82">
        <f t="shared" si="144"/>
        <v>293.68</v>
      </c>
      <c r="BP244" s="81">
        <f t="shared" si="145"/>
        <v>0.73054726368159206</v>
      </c>
      <c r="BQ244" s="81">
        <f t="shared" si="146"/>
        <v>0.87273967690153342</v>
      </c>
      <c r="BR244" s="81">
        <f t="shared" si="147"/>
        <v>1.1162471395881006</v>
      </c>
      <c r="BS244" s="82">
        <f t="shared" si="148"/>
        <v>402</v>
      </c>
      <c r="BT244" s="82">
        <f t="shared" si="149"/>
        <v>448.73135011441644</v>
      </c>
      <c r="BU244" s="82">
        <f t="shared" si="150"/>
        <v>391.57000000000005</v>
      </c>
      <c r="BW244" s="82">
        <f>IFERROR(INDEX('Infos Clientes'!$T:$T,MATCH('Detalhe Por UC'!$C244,'Infos Clientes'!B:B,0)),"")</f>
        <v>413.36363636363637</v>
      </c>
      <c r="BX244" s="83">
        <f t="shared" si="151"/>
        <v>0</v>
      </c>
      <c r="BY244" s="84">
        <f t="shared" si="152"/>
        <v>0.21814834193118054</v>
      </c>
      <c r="BZ244" s="85">
        <f>IF(_xlfn.MINIFS('Detalhe Por UC'!R:R,'Detalhe Por UC'!C:C,C244,'Detalhe Por UC'!AD:AD,"&gt;"&amp;0)=0,"",_xlfn.MINIFS('Detalhe Por UC'!R:R,'Detalhe Por UC'!C:C,C244,'Detalhe Por UC'!AD:AD,"&gt;"&amp;0))</f>
        <v>45658</v>
      </c>
      <c r="CA244" s="114">
        <f ca="1">IF(OR(S244&gt;0,AD244&gt;0),IFERROR(
SUMIFS(INDIRECT("'Infos Clientes'!$W"&amp;INDEX('Infos Clientes'!$C:$C,MATCH(C244,'Infos Clientes'!$H:$H,0))&amp;":$CZ"&amp;INDEX('Infos Clientes'!$C:$C,MATCH(C244,'Infos Clientes'!$H:$H,0))),'Infos Clientes'!$W$2:$CZ$2,"&gt;"&amp;$R244-365,'Infos Clientes'!$W$2:$CZ$2,"&lt;="&amp;$R244)/
COUNTIFS(INDIRECT("'Infos Clientes'!$W"&amp;INDEX('Infos Clientes'!$C:$C,MATCH(C244,'Infos Clientes'!$H:$H,0))&amp;":$CZ"&amp;INDEX('Infos Clientes'!$C:$C,MATCH(C244,'Infos Clientes'!$H:$H,0))),"&gt;="&amp;0,'Infos Clientes'!$W$2:$CZ$2,"&gt;"&amp;$R244-365,'Infos Clientes'!$W$2:$CZ$2,"&lt;="&amp;$R244),""),"")</f>
        <v>370.08333333333331</v>
      </c>
      <c r="CB244" s="87">
        <f>VLOOKUP(C244,'Infos Clientes'!B:L,11,0)</f>
        <v>0</v>
      </c>
      <c r="CC244" s="88" t="str">
        <f t="shared" si="153"/>
        <v>A Unidade Consumidora 10/260761-2 economizou R$97,89 na fatura referente à fev/2025  consumindo 402 kWh em créditos de energia renovável conforme fatura de energia. A economia foi de 25% em relação ao que seria pago para a Energisa considerando os créditos consumidos. Atenção: Mantenha as contas da Energisa em dia para evitar cortes.</v>
      </c>
      <c r="CD244" s="40"/>
      <c r="CF244" s="115">
        <f t="shared" si="154"/>
        <v>-191.18999999999991</v>
      </c>
    </row>
    <row r="245" spans="1:84" ht="16.2" hidden="1" customHeight="1" x14ac:dyDescent="0.3">
      <c r="A245" s="105" t="str">
        <f>INDEX('Infos Clientes'!$D:$D,MATCH('Detalhe Por UC'!C245,'Infos Clientes'!B:B,0))</f>
        <v>IGREJA DO EVANGELHO QUADRANGULAR</v>
      </c>
      <c r="B245" s="106" t="str">
        <f>INDEX('Infos Clientes'!$F:$F,MATCH('Detalhe Por UC'!C245,'Infos Clientes'!B:B,0))</f>
        <v>62.955.505/3586-30</v>
      </c>
      <c r="C245" s="31" t="s">
        <v>242</v>
      </c>
      <c r="D245" t="s">
        <v>351</v>
      </c>
      <c r="E245" s="1" t="s">
        <v>352</v>
      </c>
      <c r="F245" s="56" t="str">
        <f>INDEX('Infos Clientes'!$I:$I,MATCH('Detalhe Por UC'!C245,'Infos Clientes'!B:B,0))</f>
        <v>BT</v>
      </c>
      <c r="G245" s="56" t="str">
        <f>INDEX('Infos Clientes'!$J:$J,MATCH('Detalhe Por UC'!C245,'Infos Clientes'!B:B,0))</f>
        <v>trifasico</v>
      </c>
      <c r="H245" s="108" t="s">
        <v>138</v>
      </c>
      <c r="I245" s="58">
        <f>IFERROR(VLOOKUP(C245,'Infos Clientes'!B:E,4,),"")</f>
        <v>371</v>
      </c>
      <c r="J245" s="109">
        <v>0.25</v>
      </c>
      <c r="K245" s="59">
        <f>INDEX('Infos Clientes'!$M:$M,MATCH('Detalhe Por UC'!C245,'Infos Clientes'!B:B,0))</f>
        <v>0.25</v>
      </c>
      <c r="L245" s="125">
        <v>0</v>
      </c>
      <c r="M245" s="56">
        <f>INDEX('Infos Clientes'!$N:$N,MATCH('Detalhe Por UC'!C245,'Infos Clientes'!B:B,0))</f>
        <v>0</v>
      </c>
      <c r="N245" s="56">
        <f t="shared" si="118"/>
        <v>0</v>
      </c>
      <c r="O245" s="56">
        <f t="shared" si="119"/>
        <v>7</v>
      </c>
      <c r="P245" s="56">
        <f t="shared" si="120"/>
        <v>0</v>
      </c>
      <c r="Q245" s="61">
        <f>IFERROR(IFERROR(INDEX('Infos Clientes'!$A$2:$V$9884,MATCH($C245,'Infos Clientes'!$B$2:$B$9884,0),MATCH(Q$8,'Infos Clientes'!$A$2:$V$2,0)),"")
+IF(OR(INDEX('Infos Clientes'!$A$2:$V$9884,MATCH($C245,'Infos Clientes'!$B$2:$B$9884,0),MATCH("Tempo de Fidelidade (meses)",'Infos Clientes'!$A$2:$V$2,0))=0,R245&gt;=MAX(R:R)),0,
ROUND((MAX(R:R)-R245)/(365/12),0)),"")</f>
        <v>0</v>
      </c>
      <c r="R245" s="111">
        <v>45689</v>
      </c>
      <c r="S245" s="63">
        <v>0.01</v>
      </c>
      <c r="T245" s="113" t="str">
        <f>IF($H245="GIROSSOL II",AP245/INDEX('Resumo Operacional'!$A$1:$P$1103,17,MATCH('Detalhe Por UC'!$R245,'Resumo Operacional'!$A$1:$P$1,0)),
IF($H245="GIROSSOL II e III",AP245/INDEX('Resumo Operacional'!$A$1:$P$1103,17,MATCH('Detalhe Por UC'!$R245,'Resumo Operacional'!$A$1:$P$1,0)),
""))</f>
        <v/>
      </c>
      <c r="U245" s="113">
        <f>IF($H245="GIROSSOL III",AP245/INDEX('Resumo Operacional'!$A$1:$P$1103,53,MATCH('Detalhe Por UC'!$R245,'Resumo Operacional'!$A$1:$P$1,0)),
IF($H245="GIROSSOL II e III",AP245/INDEX('Resumo Operacional'!$A$1:$P$1103,53,MATCH('Detalhe Por UC'!$R245,'Resumo Operacional'!$A$1:$P$1,0)),
""))</f>
        <v>6.0141020323517215E-3</v>
      </c>
      <c r="V245" s="18"/>
      <c r="W245" s="54"/>
      <c r="X245" s="131">
        <v>1.1162285714285713</v>
      </c>
      <c r="Y245" s="132">
        <v>0</v>
      </c>
      <c r="Z245" s="133">
        <v>0.9740229885057472</v>
      </c>
      <c r="AA245" s="133">
        <v>0</v>
      </c>
      <c r="AB245" s="134">
        <v>175</v>
      </c>
      <c r="AC245" s="134">
        <v>0</v>
      </c>
      <c r="AD245" s="135">
        <v>87</v>
      </c>
      <c r="AE245" s="35"/>
      <c r="AF245" s="135">
        <v>0</v>
      </c>
      <c r="AG245" s="135">
        <v>0</v>
      </c>
      <c r="AH245" s="44">
        <v>38.9</v>
      </c>
      <c r="AI245" s="44">
        <v>0</v>
      </c>
      <c r="AJ245" s="44">
        <v>0</v>
      </c>
      <c r="AK245" s="31"/>
      <c r="AN245" s="71">
        <f t="shared" si="121"/>
        <v>0</v>
      </c>
      <c r="AO245" s="71">
        <f t="shared" si="122"/>
        <v>0</v>
      </c>
      <c r="AP245" s="71">
        <f t="shared" si="123"/>
        <v>87</v>
      </c>
      <c r="AQ245" s="72">
        <f>IF(OR($H245="GIROSSOL II",$H245="GIROSSOL II e III"),INDEX('Resumo Operacional'!$A$1:$P$1103,MATCH("Energia Injetada prevista total Fatura da Usina (TUSD)",'Resumo Operacional'!$B$1:$B$1103,0),MATCH('Detalhe Por UC'!$R245,'Resumo Operacional'!$A$1:$P$1,0))*$S245,INDEX('Resumo Operacional'!$A$1:$P$1103,53,MATCH('Detalhe Por UC'!$R245,'Resumo Operacional'!$A$1:$P$1,0))*$S245)</f>
        <v>144.66</v>
      </c>
      <c r="AR245" s="71">
        <f t="shared" si="124"/>
        <v>-57.66</v>
      </c>
      <c r="AS245" s="73">
        <f t="shared" si="125"/>
        <v>149.49999999999997</v>
      </c>
      <c r="AT245" s="74">
        <f t="shared" si="126"/>
        <v>149.49999999999997</v>
      </c>
      <c r="AU245" s="74">
        <f t="shared" si="127"/>
        <v>0.83181740558292305</v>
      </c>
      <c r="AV245" s="74">
        <f t="shared" si="128"/>
        <v>63.555000000000007</v>
      </c>
      <c r="AW245" s="74">
        <f t="shared" si="129"/>
        <v>0</v>
      </c>
      <c r="AX245" s="74">
        <f t="shared" si="130"/>
        <v>84.740000000000009</v>
      </c>
      <c r="AY245" s="74">
        <f t="shared" si="131"/>
        <v>63.56</v>
      </c>
      <c r="AZ245" s="49">
        <v>63.56</v>
      </c>
      <c r="BA245" s="49">
        <v>63.56</v>
      </c>
      <c r="BB245" s="49">
        <v>63.56</v>
      </c>
      <c r="BC245" s="73" t="str">
        <f t="shared" si="132"/>
        <v/>
      </c>
      <c r="BD245" s="73">
        <f t="shared" si="133"/>
        <v>234.23999999999998</v>
      </c>
      <c r="BE245" s="73">
        <f t="shared" si="134"/>
        <v>213.05499999999998</v>
      </c>
      <c r="BF245" s="77">
        <f t="shared" si="135"/>
        <v>21.19</v>
      </c>
      <c r="BG245" s="77">
        <f t="shared" si="136"/>
        <v>6.3570000000000002</v>
      </c>
      <c r="BH245" s="77">
        <f t="shared" si="137"/>
        <v>84.740000000000009</v>
      </c>
      <c r="BI245" s="78">
        <f t="shared" si="138"/>
        <v>0.25</v>
      </c>
      <c r="BJ245" s="79">
        <f t="shared" si="139"/>
        <v>9.0462773224043724E-2</v>
      </c>
      <c r="BK245" s="80">
        <f t="shared" si="140"/>
        <v>213.05999999999997</v>
      </c>
      <c r="BL245" s="80">
        <f t="shared" si="141"/>
        <v>21.180000000000007</v>
      </c>
      <c r="BM245" s="79">
        <f t="shared" si="142"/>
        <v>9.0420081967213156E-2</v>
      </c>
      <c r="BN245" s="81">
        <f t="shared" si="143"/>
        <v>0.73057471264367824</v>
      </c>
      <c r="BO245" s="82">
        <f t="shared" si="144"/>
        <v>63.560000000000009</v>
      </c>
      <c r="BP245" s="81">
        <f t="shared" si="145"/>
        <v>0.73057471264367824</v>
      </c>
      <c r="BQ245" s="81">
        <f t="shared" si="146"/>
        <v>0.87278029556650238</v>
      </c>
      <c r="BR245" s="81">
        <f t="shared" si="147"/>
        <v>1.1162285714285713</v>
      </c>
      <c r="BS245" s="82">
        <f t="shared" si="148"/>
        <v>87</v>
      </c>
      <c r="BT245" s="82">
        <f t="shared" si="149"/>
        <v>97.111885714285705</v>
      </c>
      <c r="BU245" s="82">
        <f t="shared" si="150"/>
        <v>84.740000000000009</v>
      </c>
      <c r="BW245" s="82">
        <f>IFERROR(INDEX('Infos Clientes'!$T:$T,MATCH('Detalhe Por UC'!$C245,'Infos Clientes'!B:B,0)),"")</f>
        <v>175.90909090909091</v>
      </c>
      <c r="BX245" s="83">
        <f t="shared" si="151"/>
        <v>0</v>
      </c>
      <c r="BY245" s="84">
        <f t="shared" si="152"/>
        <v>0.21809894684069864</v>
      </c>
      <c r="BZ245" s="85">
        <f>IF(_xlfn.MINIFS('Detalhe Por UC'!R:R,'Detalhe Por UC'!C:C,C245,'Detalhe Por UC'!AD:AD,"&gt;"&amp;0)=0,"",_xlfn.MINIFS('Detalhe Por UC'!R:R,'Detalhe Por UC'!C:C,C245,'Detalhe Por UC'!AD:AD,"&gt;"&amp;0))</f>
        <v>45658</v>
      </c>
      <c r="CA245" s="114">
        <f ca="1">IF(OR(S245&gt;0,AD245&gt;0),IFERROR(
SUMIFS(INDIRECT("'Infos Clientes'!$W"&amp;INDEX('Infos Clientes'!$C:$C,MATCH(C245,'Infos Clientes'!$H:$H,0))&amp;":$CZ"&amp;INDEX('Infos Clientes'!$C:$C,MATCH(C245,'Infos Clientes'!$H:$H,0))),'Infos Clientes'!$W$2:$CZ$2,"&gt;"&amp;$R245-365,'Infos Clientes'!$W$2:$CZ$2,"&lt;="&amp;$R245)/
COUNTIFS(INDIRECT("'Infos Clientes'!$W"&amp;INDEX('Infos Clientes'!$C:$C,MATCH(C245,'Infos Clientes'!$H:$H,0))&amp;":$CZ"&amp;INDEX('Infos Clientes'!$C:$C,MATCH(C245,'Infos Clientes'!$H:$H,0))),"&gt;="&amp;0,'Infos Clientes'!$W$2:$CZ$2,"&gt;"&amp;$R245-365,'Infos Clientes'!$W$2:$CZ$2,"&lt;="&amp;$R245),""),"")</f>
        <v>156.58333333333334</v>
      </c>
      <c r="CB245" s="87">
        <f>VLOOKUP(C245,'Infos Clientes'!B:L,11,0)</f>
        <v>0</v>
      </c>
      <c r="CC245" s="88" t="str">
        <f t="shared" si="153"/>
        <v>A Unidade Consumidora 10/908866-7 economizou R$21,19 na fatura referente à fev/2025  consumindo 87 kWh em créditos de energia renovável conforme fatura de energia. A economia foi de 25% em relação ao que seria pago para a Energisa considerando os créditos consumidos. Atenção: Mantenha as contas da Energisa em dia para evitar cortes.</v>
      </c>
      <c r="CD245" s="40"/>
      <c r="CF245" s="115">
        <f t="shared" si="154"/>
        <v>-149.49999999999997</v>
      </c>
    </row>
    <row r="246" spans="1:84" ht="16.2" hidden="1" customHeight="1" x14ac:dyDescent="0.3">
      <c r="A246" s="105" t="str">
        <f>INDEX('Infos Clientes'!$D:$D,MATCH('Detalhe Por UC'!C246,'Infos Clientes'!B:B,0))</f>
        <v>IGREJA DO EVANGELHO QUADRANGULAR</v>
      </c>
      <c r="B246" s="106" t="str">
        <f>INDEX('Infos Clientes'!$F:$F,MATCH('Detalhe Por UC'!C246,'Infos Clientes'!B:B,0))</f>
        <v>62.955.505/0151-99</v>
      </c>
      <c r="C246" s="137" t="s">
        <v>102</v>
      </c>
      <c r="D246" t="s">
        <v>351</v>
      </c>
      <c r="E246" s="1" t="s">
        <v>352</v>
      </c>
      <c r="F246" s="56" t="str">
        <f>INDEX('Infos Clientes'!$I:$I,MATCH('Detalhe Por UC'!C246,'Infos Clientes'!B:B,0))</f>
        <v>BT</v>
      </c>
      <c r="G246" s="56" t="str">
        <f>INDEX('Infos Clientes'!$J:$J,MATCH('Detalhe Por UC'!C246,'Infos Clientes'!B:B,0))</f>
        <v>trifasico</v>
      </c>
      <c r="H246" s="108" t="s">
        <v>353</v>
      </c>
      <c r="I246" s="58">
        <f>IFERROR(VLOOKUP(C246,'Infos Clientes'!B:E,4,),"")</f>
        <v>306</v>
      </c>
      <c r="J246" s="109">
        <v>0.25</v>
      </c>
      <c r="K246" s="59">
        <f>INDEX('Infos Clientes'!$M:$M,MATCH('Detalhe Por UC'!C246,'Infos Clientes'!B:B,0))</f>
        <v>0.25</v>
      </c>
      <c r="L246" s="125">
        <v>0</v>
      </c>
      <c r="M246" s="56">
        <f>INDEX('Infos Clientes'!$N:$N,MATCH('Detalhe Por UC'!C246,'Infos Clientes'!B:B,0))</f>
        <v>0</v>
      </c>
      <c r="N246" s="56">
        <f t="shared" si="118"/>
        <v>0</v>
      </c>
      <c r="O246" s="56">
        <f t="shared" si="119"/>
        <v>12</v>
      </c>
      <c r="P246" s="56">
        <f t="shared" si="120"/>
        <v>0</v>
      </c>
      <c r="Q246" s="61">
        <f>IFERROR(IFERROR(INDEX('Infos Clientes'!$A$2:$V$9884,MATCH($C246,'Infos Clientes'!$B$2:$B$9884,0),MATCH(Q$8,'Infos Clientes'!$A$2:$V$2,0)),"")
+IF(OR(INDEX('Infos Clientes'!$A$2:$V$9884,MATCH($C246,'Infos Clientes'!$B$2:$B$9884,0),MATCH("Tempo de Fidelidade (meses)",'Infos Clientes'!$A$2:$V$2,0))=0,R246&gt;=MAX(R:R)),0,
ROUND((MAX(R:R)-R246)/(365/12),0)),"")</f>
        <v>0</v>
      </c>
      <c r="R246" s="111">
        <v>45717</v>
      </c>
      <c r="S246" s="17">
        <v>0.21</v>
      </c>
      <c r="T246" s="113">
        <f>IF($H246="GIROSSOL II",AP246/INDEX('Resumo Operacional'!$A$1:$P$1103,17,MATCH('Detalhe Por UC'!$R246,'Resumo Operacional'!$A$1:$P$1,0)),
IF($H246="GIROSSOL II e III",AP246/INDEX('Resumo Operacional'!$A$1:$P$1103,17,MATCH('Detalhe Por UC'!$R246,'Resumo Operacional'!$A$1:$P$1,0)),
""))</f>
        <v>0.46266301187806297</v>
      </c>
      <c r="U246" s="113">
        <f>IF($H246="GIROSSOL III",AP246/INDEX('Resumo Operacional'!$A$1:$P$1103,53,MATCH('Detalhe Por UC'!$R246,'Resumo Operacional'!$A$1:$P$1,0)),
IF($H246="GIROSSOL II e III",AP246/INDEX('Resumo Operacional'!$A$1:$P$1103,53,MATCH('Detalhe Por UC'!$R246,'Resumo Operacional'!$A$1:$P$1,0)),
""))</f>
        <v>0.46250934152619777</v>
      </c>
      <c r="V246" s="18"/>
      <c r="W246" s="18"/>
      <c r="X246" s="18">
        <v>1.1162638580931263</v>
      </c>
      <c r="Y246" s="18"/>
      <c r="Z246" s="18">
        <v>1.0372764227642275</v>
      </c>
      <c r="AA246" s="18"/>
      <c r="AB246" s="18">
        <v>2706</v>
      </c>
      <c r="AC246" s="18"/>
      <c r="AD246" s="18">
        <v>2706</v>
      </c>
      <c r="AE246" s="35"/>
      <c r="AF246" s="18">
        <v>6427</v>
      </c>
      <c r="AG246" s="18"/>
      <c r="AH246" s="18">
        <v>4.3199999999999932</v>
      </c>
      <c r="AI246" s="18"/>
      <c r="AJ246" s="18"/>
      <c r="AN246" s="71">
        <f t="shared" si="121"/>
        <v>2864</v>
      </c>
      <c r="AO246" s="71">
        <f t="shared" si="122"/>
        <v>0</v>
      </c>
      <c r="AP246" s="71">
        <f t="shared" si="123"/>
        <v>5570</v>
      </c>
      <c r="AQ246" s="72">
        <f>IF(OR($H246="GIROSSOL II",$H246="GIROSSOL II e III"),INDEX('Resumo Operacional'!$A$1:$P$1103,MATCH("Energia Injetada prevista total Fatura da Usina (TUSD)",'Resumo Operacional'!$B$1:$B$1103,0),MATCH('Detalhe Por UC'!$R246,'Resumo Operacional'!$A$1:$P$1,0))*$S246,INDEX('Resumo Operacional'!$A$1:$P$1103,53,MATCH('Detalhe Por UC'!$R246,'Resumo Operacional'!$A$1:$P$1,0))*$S246)</f>
        <v>2528.19</v>
      </c>
      <c r="AR246" s="71">
        <f t="shared" si="124"/>
        <v>3041.81</v>
      </c>
      <c r="AS246" s="73">
        <f t="shared" si="125"/>
        <v>218.06000000000023</v>
      </c>
      <c r="AT246" s="74">
        <f t="shared" si="126"/>
        <v>218.06000000000023</v>
      </c>
      <c r="AU246" s="74">
        <f t="shared" si="127"/>
        <v>0.95828898743532864</v>
      </c>
      <c r="AV246" s="74">
        <f t="shared" si="128"/>
        <v>2105.1524999999997</v>
      </c>
      <c r="AW246" s="74">
        <f t="shared" si="129"/>
        <v>0</v>
      </c>
      <c r="AX246" s="74">
        <f t="shared" si="130"/>
        <v>2806.8699999999994</v>
      </c>
      <c r="AY246" s="74">
        <f t="shared" si="131"/>
        <v>2105.15</v>
      </c>
      <c r="AZ246" s="49">
        <v>2105.15</v>
      </c>
      <c r="BA246" s="49">
        <v>2105.15</v>
      </c>
      <c r="BB246" s="49">
        <v>2105.15</v>
      </c>
      <c r="BC246" s="73" t="str">
        <f t="shared" si="132"/>
        <v/>
      </c>
      <c r="BD246" s="73">
        <f t="shared" si="133"/>
        <v>3024.93</v>
      </c>
      <c r="BE246" s="73">
        <f t="shared" si="134"/>
        <v>2323.2125000000001</v>
      </c>
      <c r="BF246" s="77">
        <f t="shared" si="135"/>
        <v>701.72</v>
      </c>
      <c r="BG246" s="77">
        <f t="shared" si="136"/>
        <v>210.51599999999999</v>
      </c>
      <c r="BH246" s="77">
        <f t="shared" si="137"/>
        <v>2806.8699999999994</v>
      </c>
      <c r="BI246" s="78">
        <f t="shared" si="138"/>
        <v>0.25</v>
      </c>
      <c r="BJ246" s="79">
        <f t="shared" si="139"/>
        <v>0.23197892182629021</v>
      </c>
      <c r="BK246" s="80">
        <f t="shared" si="140"/>
        <v>2323.2100000000005</v>
      </c>
      <c r="BL246" s="80">
        <f t="shared" si="141"/>
        <v>701.71999999999935</v>
      </c>
      <c r="BM246" s="79">
        <f t="shared" si="142"/>
        <v>0.23197892182628999</v>
      </c>
      <c r="BN246" s="81">
        <f t="shared" si="143"/>
        <v>0.77795639320029564</v>
      </c>
      <c r="BO246" s="82">
        <f t="shared" si="144"/>
        <v>2105.15</v>
      </c>
      <c r="BP246" s="81">
        <f t="shared" si="145"/>
        <v>0.77795639320029564</v>
      </c>
      <c r="BQ246" s="81">
        <f t="shared" si="146"/>
        <v>0.85694382852919448</v>
      </c>
      <c r="BR246" s="81">
        <f t="shared" si="147"/>
        <v>1.1162638580931263</v>
      </c>
      <c r="BS246" s="82">
        <f t="shared" si="148"/>
        <v>2706</v>
      </c>
      <c r="BT246" s="82">
        <f t="shared" si="149"/>
        <v>3020.6099999999997</v>
      </c>
      <c r="BU246" s="82">
        <f t="shared" si="150"/>
        <v>2806.8699999999994</v>
      </c>
      <c r="BW246" s="82">
        <f>IFERROR(INDEX('Infos Clientes'!$T:$T,MATCH('Detalhe Por UC'!$C246,'Infos Clientes'!B:B,0)),"")</f>
        <v>2675.750833333333</v>
      </c>
      <c r="BX246" s="83">
        <f t="shared" si="151"/>
        <v>0</v>
      </c>
      <c r="BY246" s="84">
        <f t="shared" si="152"/>
        <v>0.23231069221117576</v>
      </c>
      <c r="BZ246" s="85">
        <f>IF(_xlfn.MINIFS('Detalhe Por UC'!R:R,'Detalhe Por UC'!C:C,C246,'Detalhe Por UC'!AD:AD,"&gt;"&amp;0)=0,"",_xlfn.MINIFS('Detalhe Por UC'!R:R,'Detalhe Por UC'!C:C,C246,'Detalhe Por UC'!AD:AD,"&gt;"&amp;0))</f>
        <v>45627</v>
      </c>
      <c r="CA246" s="114">
        <f ca="1">IF(OR(S246&gt;0,AD246&gt;0),IFERROR(
SUMIFS(INDIRECT("'Infos Clientes'!$W"&amp;INDEX('Infos Clientes'!$C:$C,MATCH(C246,'Infos Clientes'!$H:$H,0))&amp;":$CZ"&amp;INDEX('Infos Clientes'!$C:$C,MATCH(C246,'Infos Clientes'!$H:$H,0))),'Infos Clientes'!$W$2:$CZ$2,"&gt;"&amp;$R246-365,'Infos Clientes'!$W$2:$CZ$2,"&lt;="&amp;$R246)/
COUNTIFS(INDIRECT("'Infos Clientes'!$W"&amp;INDEX('Infos Clientes'!$C:$C,MATCH(C246,'Infos Clientes'!$H:$H,0))&amp;":$CZ"&amp;INDEX('Infos Clientes'!$C:$C,MATCH(C246,'Infos Clientes'!$H:$H,0))),"&gt;="&amp;0,'Infos Clientes'!$W$2:$CZ$2,"&gt;"&amp;$R246-365,'Infos Clientes'!$W$2:$CZ$2,"&lt;="&amp;$R246),""),"")</f>
        <v>2722.5158333333334</v>
      </c>
      <c r="CB246" s="87">
        <f>VLOOKUP(C246,'Infos Clientes'!B:L,11,0)</f>
        <v>0</v>
      </c>
      <c r="CC246" s="88" t="str">
        <f t="shared" si="153"/>
        <v>A Unidade Consumidora 10/364440-8 economizou R$701,72 na fatura referente à mar/2025  consumindo 2706 kWh em créditos de energia renovável conforme fatura de energia. A economia foi de 25% em relação ao que seria pago para a Energisa considerando os créditos consumidos. Atenção: Mantenha as contas da Energisa em dia para evitar cortes.</v>
      </c>
      <c r="CD246" s="40" t="s">
        <v>86</v>
      </c>
      <c r="CF246" s="115">
        <f t="shared" si="154"/>
        <v>-218.06000000000023</v>
      </c>
    </row>
    <row r="247" spans="1:84" ht="16.2" hidden="1" customHeight="1" x14ac:dyDescent="0.3">
      <c r="A247" s="105" t="str">
        <f>INDEX('Infos Clientes'!$D:$D,MATCH('Detalhe Por UC'!C247,'Infos Clientes'!B:B,0))</f>
        <v>IGREJA DO EVANGELHO QUADRANGULAR</v>
      </c>
      <c r="B247" s="106" t="str">
        <f>INDEX('Infos Clientes'!$F:$F,MATCH('Detalhe Por UC'!C247,'Infos Clientes'!B:B,0))</f>
        <v>62.955.505/3932-07</v>
      </c>
      <c r="C247" s="137" t="s">
        <v>119</v>
      </c>
      <c r="D247" t="s">
        <v>351</v>
      </c>
      <c r="E247" s="1" t="s">
        <v>352</v>
      </c>
      <c r="F247" s="56" t="str">
        <f>INDEX('Infos Clientes'!$I:$I,MATCH('Detalhe Por UC'!C247,'Infos Clientes'!B:B,0))</f>
        <v>BT</v>
      </c>
      <c r="G247" s="56" t="str">
        <f>INDEX('Infos Clientes'!$J:$J,MATCH('Detalhe Por UC'!C247,'Infos Clientes'!B:B,0))</f>
        <v>trifasico</v>
      </c>
      <c r="H247" s="108" t="s">
        <v>353</v>
      </c>
      <c r="I247" s="58">
        <f>IFERROR(VLOOKUP(C247,'Infos Clientes'!B:E,4,),"")</f>
        <v>302</v>
      </c>
      <c r="J247" s="109">
        <v>0.25</v>
      </c>
      <c r="K247" s="59">
        <f>INDEX('Infos Clientes'!$M:$M,MATCH('Detalhe Por UC'!C247,'Infos Clientes'!B:B,0))</f>
        <v>0.25</v>
      </c>
      <c r="L247" s="125">
        <v>0</v>
      </c>
      <c r="M247" s="56">
        <f>INDEX('Infos Clientes'!$N:$N,MATCH('Detalhe Por UC'!C247,'Infos Clientes'!B:B,0))</f>
        <v>0</v>
      </c>
      <c r="N247" s="56">
        <f t="shared" si="118"/>
        <v>0</v>
      </c>
      <c r="O247" s="56">
        <f t="shared" si="119"/>
        <v>12</v>
      </c>
      <c r="P247" s="56">
        <f t="shared" si="120"/>
        <v>0</v>
      </c>
      <c r="Q247" s="61">
        <f>IFERROR(IFERROR(INDEX('Infos Clientes'!$A$2:$V$9884,MATCH($C247,'Infos Clientes'!$B$2:$B$9884,0),MATCH(Q$8,'Infos Clientes'!$A$2:$V$2,0)),"")
+IF(OR(INDEX('Infos Clientes'!$A$2:$V$9884,MATCH($C247,'Infos Clientes'!$B$2:$B$9884,0),MATCH("Tempo de Fidelidade (meses)",'Infos Clientes'!$A$2:$V$2,0))=0,R247&gt;=MAX(R:R)),0,
ROUND((MAX(R:R)-R247)/(365/12),0)),"")</f>
        <v>0</v>
      </c>
      <c r="R247" s="111">
        <v>45717</v>
      </c>
      <c r="S247" s="17">
        <v>0.1</v>
      </c>
      <c r="T247" s="113">
        <f>IF($H247="GIROSSOL II",AP247/INDEX('Resumo Operacional'!$A$1:$P$1103,17,MATCH('Detalhe Por UC'!$R247,'Resumo Operacional'!$A$1:$P$1,0)),
IF($H247="GIROSSOL II e III",AP247/INDEX('Resumo Operacional'!$A$1:$P$1103,17,MATCH('Detalhe Por UC'!$R247,'Resumo Operacional'!$A$1:$P$1,0)),
""))</f>
        <v>0.22526787939197607</v>
      </c>
      <c r="U247" s="113">
        <f>IF($H247="GIROSSOL III",AP247/INDEX('Resumo Operacional'!$A$1:$P$1103,53,MATCH('Detalhe Por UC'!$R247,'Resumo Operacional'!$A$1:$P$1,0)),
IF($H247="GIROSSOL II e III",AP247/INDEX('Resumo Operacional'!$A$1:$P$1103,53,MATCH('Detalhe Por UC'!$R247,'Resumo Operacional'!$A$1:$P$1,0)),
""))</f>
        <v>0.22519305820808769</v>
      </c>
      <c r="V247" s="18"/>
      <c r="W247" s="18"/>
      <c r="X247" s="18">
        <v>1.116262732701089</v>
      </c>
      <c r="Y247" s="18"/>
      <c r="Z247" s="18">
        <v>1.0398060739114525</v>
      </c>
      <c r="AA247" s="18"/>
      <c r="AB247" s="120">
        <v>2733.12</v>
      </c>
      <c r="AC247" s="18">
        <v>0</v>
      </c>
      <c r="AD247" s="18">
        <v>2733</v>
      </c>
      <c r="AE247" s="35"/>
      <c r="AF247" s="18">
        <v>1205</v>
      </c>
      <c r="AG247" s="18"/>
      <c r="AH247" s="18">
        <v>257.41999999999996</v>
      </c>
      <c r="AI247" s="18"/>
      <c r="AJ247" s="18"/>
      <c r="AN247" s="71">
        <f t="shared" si="121"/>
        <v>-21</v>
      </c>
      <c r="AO247" s="71">
        <f t="shared" si="122"/>
        <v>0</v>
      </c>
      <c r="AP247" s="71">
        <f t="shared" si="123"/>
        <v>2712</v>
      </c>
      <c r="AQ247" s="72">
        <f>IF(OR($H247="GIROSSOL II",$H247="GIROSSOL II e III"),INDEX('Resumo Operacional'!$A$1:$P$1103,MATCH("Energia Injetada prevista total Fatura da Usina (TUSD)",'Resumo Operacional'!$B$1:$B$1103,0),MATCH('Detalhe Por UC'!$R247,'Resumo Operacional'!$A$1:$P$1,0))*$S247,INDEX('Resumo Operacional'!$A$1:$P$1103,53,MATCH('Detalhe Por UC'!$R247,'Resumo Operacional'!$A$1:$P$1,0))*$S247)</f>
        <v>1203.9000000000001</v>
      </c>
      <c r="AR247" s="71">
        <f t="shared" si="124"/>
        <v>1508.1</v>
      </c>
      <c r="AS247" s="73">
        <f t="shared" si="125"/>
        <v>466.5100000000001</v>
      </c>
      <c r="AT247" s="74">
        <f t="shared" si="126"/>
        <v>466.5100000000001</v>
      </c>
      <c r="AU247" s="74">
        <f t="shared" si="127"/>
        <v>0.96334941512181604</v>
      </c>
      <c r="AV247" s="74">
        <f t="shared" si="128"/>
        <v>2131.3424999999997</v>
      </c>
      <c r="AW247" s="74">
        <f t="shared" si="129"/>
        <v>0</v>
      </c>
      <c r="AX247" s="74">
        <f t="shared" si="130"/>
        <v>2841.79</v>
      </c>
      <c r="AY247" s="74">
        <f t="shared" si="131"/>
        <v>2131.34</v>
      </c>
      <c r="AZ247" s="49">
        <v>2131.34</v>
      </c>
      <c r="BA247" s="49">
        <v>2131.34</v>
      </c>
      <c r="BB247" s="49">
        <v>2131.34</v>
      </c>
      <c r="BC247" s="73" t="str">
        <f t="shared" si="132"/>
        <v/>
      </c>
      <c r="BD247" s="73">
        <f t="shared" si="133"/>
        <v>3308.3</v>
      </c>
      <c r="BE247" s="73">
        <f t="shared" si="134"/>
        <v>2597.8525</v>
      </c>
      <c r="BF247" s="77">
        <f t="shared" si="135"/>
        <v>710.45</v>
      </c>
      <c r="BG247" s="77">
        <f t="shared" si="136"/>
        <v>213.13500000000002</v>
      </c>
      <c r="BH247" s="77">
        <f t="shared" si="137"/>
        <v>2841.79</v>
      </c>
      <c r="BI247" s="78">
        <f t="shared" si="138"/>
        <v>0.25</v>
      </c>
      <c r="BJ247" s="79">
        <f t="shared" si="139"/>
        <v>0.21474775564489315</v>
      </c>
      <c r="BK247" s="80">
        <f t="shared" si="140"/>
        <v>2597.8500000000004</v>
      </c>
      <c r="BL247" s="80">
        <f t="shared" si="141"/>
        <v>710.44999999999982</v>
      </c>
      <c r="BM247" s="79">
        <f t="shared" si="142"/>
        <v>0.21474775564489307</v>
      </c>
      <c r="BN247" s="81">
        <f t="shared" si="143"/>
        <v>0.77985364068788887</v>
      </c>
      <c r="BO247" s="82">
        <f t="shared" si="144"/>
        <v>2131.34</v>
      </c>
      <c r="BP247" s="81">
        <f t="shared" si="145"/>
        <v>0.77985364068788887</v>
      </c>
      <c r="BQ247" s="81">
        <f t="shared" si="146"/>
        <v>0.85631029947752535</v>
      </c>
      <c r="BR247" s="81">
        <f t="shared" si="147"/>
        <v>1.116262732701089</v>
      </c>
      <c r="BS247" s="82">
        <f t="shared" si="148"/>
        <v>2733</v>
      </c>
      <c r="BT247" s="82">
        <f t="shared" si="149"/>
        <v>3050.7460484720764</v>
      </c>
      <c r="BU247" s="82">
        <f t="shared" si="150"/>
        <v>2841.79</v>
      </c>
      <c r="BW247" s="82">
        <f>IFERROR(INDEX('Infos Clientes'!$T:$T,MATCH('Detalhe Por UC'!$C247,'Infos Clientes'!B:B,0)),"")</f>
        <v>1810.6008333333332</v>
      </c>
      <c r="BX247" s="83">
        <f t="shared" si="151"/>
        <v>0</v>
      </c>
      <c r="BY247" s="84">
        <f t="shared" si="152"/>
        <v>0.2328774629916569</v>
      </c>
      <c r="BZ247" s="85">
        <f>IF(_xlfn.MINIFS('Detalhe Por UC'!R:R,'Detalhe Por UC'!C:C,C247,'Detalhe Por UC'!AD:AD,"&gt;"&amp;0)=0,"",_xlfn.MINIFS('Detalhe Por UC'!R:R,'Detalhe Por UC'!C:C,C247,'Detalhe Por UC'!AD:AD,"&gt;"&amp;0))</f>
        <v>45627</v>
      </c>
      <c r="CA247" s="114">
        <f ca="1">IF(OR(S247&gt;0,AD247&gt;0),IFERROR(
SUMIFS(INDIRECT("'Infos Clientes'!$W"&amp;INDEX('Infos Clientes'!$C:$C,MATCH(C247,'Infos Clientes'!$H:$H,0))&amp;":$CZ"&amp;INDEX('Infos Clientes'!$C:$C,MATCH(C247,'Infos Clientes'!$H:$H,0))),'Infos Clientes'!$W$2:$CZ$2,"&gt;"&amp;$R247-365,'Infos Clientes'!$W$2:$CZ$2,"&lt;="&amp;$R247)/
COUNTIFS(INDIRECT("'Infos Clientes'!$W"&amp;INDEX('Infos Clientes'!$C:$C,MATCH(C247,'Infos Clientes'!$H:$H,0))&amp;":$CZ"&amp;INDEX('Infos Clientes'!$C:$C,MATCH(C247,'Infos Clientes'!$H:$H,0))),"&gt;="&amp;0,'Infos Clientes'!$W$2:$CZ$2,"&gt;"&amp;$R247-365,'Infos Clientes'!$W$2:$CZ$2,"&lt;="&amp;$R247),""),"")</f>
        <v>1869.2099999999998</v>
      </c>
      <c r="CB247" s="87">
        <f>VLOOKUP(C247,'Infos Clientes'!B:L,11,0)</f>
        <v>0</v>
      </c>
      <c r="CC247" s="88" t="str">
        <f t="shared" si="153"/>
        <v>A Unidade Consumidora 10/5202-7 economizou R$710,45 na fatura referente à mar/2025  consumindo 2733 kWh em créditos de energia renovável conforme fatura de energia. A economia foi de 25% em relação ao que seria pago para a Energisa considerando os créditos consumidos. Atenção: Mantenha as contas da Energisa em dia para evitar cortes.</v>
      </c>
      <c r="CD247" s="40" t="s">
        <v>107</v>
      </c>
      <c r="CF247" s="115">
        <f t="shared" si="154"/>
        <v>-466.5100000000001</v>
      </c>
    </row>
    <row r="248" spans="1:84" ht="16.2" hidden="1" customHeight="1" x14ac:dyDescent="0.3">
      <c r="A248" s="105" t="str">
        <f>INDEX('Infos Clientes'!$D:$D,MATCH('Detalhe Por UC'!C248,'Infos Clientes'!B:B,0))</f>
        <v>IGREJA DO EVANGELHO QUADRANGULAR</v>
      </c>
      <c r="B248" s="106" t="str">
        <f>INDEX('Infos Clientes'!$F:$F,MATCH('Detalhe Por UC'!C248,'Infos Clientes'!B:B,0))</f>
        <v>62.955.505/0172-13</v>
      </c>
      <c r="C248" s="44" t="s">
        <v>54</v>
      </c>
      <c r="D248" t="s">
        <v>351</v>
      </c>
      <c r="E248" s="1" t="s">
        <v>352</v>
      </c>
      <c r="F248" s="56" t="str">
        <f>INDEX('Infos Clientes'!$I:$I,MATCH('Detalhe Por UC'!C248,'Infos Clientes'!B:B,0))</f>
        <v>BT</v>
      </c>
      <c r="G248" s="56" t="str">
        <f>INDEX('Infos Clientes'!$J:$J,MATCH('Detalhe Por UC'!C248,'Infos Clientes'!B:B,0))</f>
        <v>trifasico</v>
      </c>
      <c r="H248" s="108" t="s">
        <v>24</v>
      </c>
      <c r="I248" s="58">
        <f>IFERROR(VLOOKUP(C248,'Infos Clientes'!B:E,4,),"")</f>
        <v>371</v>
      </c>
      <c r="J248" s="109">
        <v>0.25</v>
      </c>
      <c r="K248" s="59">
        <f>INDEX('Infos Clientes'!$M:$M,MATCH('Detalhe Por UC'!C248,'Infos Clientes'!B:B,0))</f>
        <v>0.25</v>
      </c>
      <c r="L248" s="125">
        <v>0</v>
      </c>
      <c r="M248" s="56">
        <f>INDEX('Infos Clientes'!$N:$N,MATCH('Detalhe Por UC'!C248,'Infos Clientes'!B:B,0))</f>
        <v>0</v>
      </c>
      <c r="N248" s="56">
        <f t="shared" si="118"/>
        <v>0</v>
      </c>
      <c r="O248" s="56">
        <f t="shared" si="119"/>
        <v>12</v>
      </c>
      <c r="P248" s="56">
        <f t="shared" si="120"/>
        <v>0</v>
      </c>
      <c r="Q248" s="61">
        <f>IFERROR(IFERROR(INDEX('Infos Clientes'!$A$2:$V$9884,MATCH($C248,'Infos Clientes'!$B$2:$B$9884,0),MATCH(Q$8,'Infos Clientes'!$A$2:$V$2,0)),"")
+IF(OR(INDEX('Infos Clientes'!$A$2:$V$9884,MATCH($C248,'Infos Clientes'!$B$2:$B$9884,0),MATCH("Tempo de Fidelidade (meses)",'Infos Clientes'!$A$2:$V$2,0))=0,R248&gt;=MAX(R:R)),0,
ROUND((MAX(R:R)-R248)/(365/12),0)),"")</f>
        <v>0</v>
      </c>
      <c r="R248" s="111">
        <v>45717</v>
      </c>
      <c r="S248" s="17">
        <v>5.0000000000000001E-3</v>
      </c>
      <c r="T248" s="113">
        <f>IF($H248="GIROSSOL II",AP248/INDEX('Resumo Operacional'!$A$1:$P$1103,17,MATCH('Detalhe Por UC'!$R248,'Resumo Operacional'!$A$1:$P$1,0)),
IF($H248="GIROSSOL II e III",AP248/INDEX('Resumo Operacional'!$A$1:$P$1103,17,MATCH('Detalhe Por UC'!$R248,'Resumo Operacional'!$A$1:$P$1,0)),
""))</f>
        <v>1.6446548716670818E-2</v>
      </c>
      <c r="U248" s="113" t="str">
        <f>IF($H248="GIROSSOL III",AP248/INDEX('Resumo Operacional'!$A$1:$P$1103,53,MATCH('Detalhe Por UC'!$R248,'Resumo Operacional'!$A$1:$P$1,0)),
IF($H248="GIROSSOL II e III",AP248/INDEX('Resumo Operacional'!$A$1:$P$1103,53,MATCH('Detalhe Por UC'!$R248,'Resumo Operacional'!$A$1:$P$1,0)),
""))</f>
        <v/>
      </c>
      <c r="V248" s="18"/>
      <c r="W248" s="18"/>
      <c r="X248" s="18">
        <v>1.1162605042016807</v>
      </c>
      <c r="Y248" s="18"/>
      <c r="Z248" s="18">
        <v>1.11625</v>
      </c>
      <c r="AA248" s="18"/>
      <c r="AB248" s="18">
        <v>476</v>
      </c>
      <c r="AC248" s="18">
        <v>0</v>
      </c>
      <c r="AD248" s="18">
        <v>376</v>
      </c>
      <c r="AE248" s="35"/>
      <c r="AF248" s="18">
        <v>3397</v>
      </c>
      <c r="AG248" s="18"/>
      <c r="AH248" s="18">
        <v>55.16</v>
      </c>
      <c r="AI248" s="18"/>
      <c r="AJ248" s="18"/>
      <c r="AN248" s="71">
        <f t="shared" si="121"/>
        <v>-178</v>
      </c>
      <c r="AO248" s="71">
        <f t="shared" si="122"/>
        <v>0</v>
      </c>
      <c r="AP248" s="71">
        <f t="shared" si="123"/>
        <v>198</v>
      </c>
      <c r="AQ248" s="72">
        <f>IF(OR($H248="GIROSSOL II",$H248="GIROSSOL II e III"),INDEX('Resumo Operacional'!$A$1:$P$1103,MATCH("Energia Injetada prevista total Fatura da Usina (TUSD)",'Resumo Operacional'!$B$1:$B$1103,0),MATCH('Detalhe Por UC'!$R248,'Resumo Operacional'!$A$1:$P$1,0))*$S248,INDEX('Resumo Operacional'!$A$1:$P$1103,53,MATCH('Detalhe Por UC'!$R248,'Resumo Operacional'!$A$1:$P$1,0))*$S248)</f>
        <v>60.195</v>
      </c>
      <c r="AR248" s="71">
        <f t="shared" si="124"/>
        <v>137.80500000000001</v>
      </c>
      <c r="AS248" s="73">
        <f t="shared" si="125"/>
        <v>166.79000000000005</v>
      </c>
      <c r="AT248" s="74">
        <f t="shared" si="126"/>
        <v>166.79000000000005</v>
      </c>
      <c r="AU248" s="74">
        <f t="shared" si="127"/>
        <v>1.1162394957983193</v>
      </c>
      <c r="AV248" s="74">
        <f t="shared" si="128"/>
        <v>314.78249999999997</v>
      </c>
      <c r="AW248" s="74">
        <f t="shared" si="129"/>
        <v>0</v>
      </c>
      <c r="AX248" s="74">
        <f t="shared" si="130"/>
        <v>419.71</v>
      </c>
      <c r="AY248" s="74">
        <f t="shared" si="131"/>
        <v>314.77999999999997</v>
      </c>
      <c r="AZ248" s="49">
        <v>314.77999999999997</v>
      </c>
      <c r="BA248" s="49">
        <v>314.77999999999997</v>
      </c>
      <c r="BB248" s="49">
        <v>314.77999999999997</v>
      </c>
      <c r="BC248" s="73" t="str">
        <f t="shared" si="132"/>
        <v/>
      </c>
      <c r="BD248" s="73">
        <f t="shared" si="133"/>
        <v>586.5</v>
      </c>
      <c r="BE248" s="73">
        <f t="shared" si="134"/>
        <v>481.57249999999999</v>
      </c>
      <c r="BF248" s="77">
        <f t="shared" si="135"/>
        <v>104.93</v>
      </c>
      <c r="BG248" s="77">
        <f t="shared" si="136"/>
        <v>31.478999999999999</v>
      </c>
      <c r="BH248" s="77">
        <f t="shared" si="137"/>
        <v>419.71</v>
      </c>
      <c r="BI248" s="78">
        <f t="shared" si="138"/>
        <v>0.25</v>
      </c>
      <c r="BJ248" s="79">
        <f t="shared" si="139"/>
        <v>0.17890878090366583</v>
      </c>
      <c r="BK248" s="80">
        <f t="shared" si="140"/>
        <v>481.57000000000005</v>
      </c>
      <c r="BL248" s="80">
        <f t="shared" si="141"/>
        <v>104.92999999999995</v>
      </c>
      <c r="BM248" s="79">
        <f t="shared" si="142"/>
        <v>0.17890878090366572</v>
      </c>
      <c r="BN248" s="81">
        <f t="shared" si="143"/>
        <v>0.83718085106382967</v>
      </c>
      <c r="BO248" s="82">
        <f t="shared" si="144"/>
        <v>314.77999999999997</v>
      </c>
      <c r="BP248" s="81">
        <f t="shared" si="145"/>
        <v>0.83718085106382967</v>
      </c>
      <c r="BQ248" s="81">
        <f t="shared" si="146"/>
        <v>0.83719135526551036</v>
      </c>
      <c r="BR248" s="81">
        <f t="shared" si="147"/>
        <v>1.1162605042016807</v>
      </c>
      <c r="BS248" s="82">
        <f t="shared" si="148"/>
        <v>376</v>
      </c>
      <c r="BT248" s="82">
        <f t="shared" si="149"/>
        <v>419.71394957983193</v>
      </c>
      <c r="BU248" s="82">
        <f t="shared" si="150"/>
        <v>419.71</v>
      </c>
      <c r="BW248" s="82">
        <f>IFERROR(INDEX('Infos Clientes'!$T:$T,MATCH('Detalhe Por UC'!$C248,'Infos Clientes'!B:B,0)),"")</f>
        <v>418.16666666666669</v>
      </c>
      <c r="BX248" s="83">
        <f t="shared" si="151"/>
        <v>0</v>
      </c>
      <c r="BY248" s="84">
        <f t="shared" si="152"/>
        <v>0.25000360389508991</v>
      </c>
      <c r="BZ248" s="85">
        <f>IF(_xlfn.MINIFS('Detalhe Por UC'!R:R,'Detalhe Por UC'!C:C,C248,'Detalhe Por UC'!AD:AD,"&gt;"&amp;0)=0,"",_xlfn.MINIFS('Detalhe Por UC'!R:R,'Detalhe Por UC'!C:C,C248,'Detalhe Por UC'!AD:AD,"&gt;"&amp;0))</f>
        <v>45627</v>
      </c>
      <c r="CA248" s="114">
        <f ca="1">IF(OR(S248&gt;0,AD248&gt;0),IFERROR(
SUMIFS(INDIRECT("'Infos Clientes'!$W"&amp;INDEX('Infos Clientes'!$C:$C,MATCH(C248,'Infos Clientes'!$H:$H,0))&amp;":$CZ"&amp;INDEX('Infos Clientes'!$C:$C,MATCH(C248,'Infos Clientes'!$H:$H,0))),'Infos Clientes'!$W$2:$CZ$2,"&gt;"&amp;$R248-365,'Infos Clientes'!$W$2:$CZ$2,"&lt;="&amp;$R248)/
COUNTIFS(INDIRECT("'Infos Clientes'!$W"&amp;INDEX('Infos Clientes'!$C:$C,MATCH(C248,'Infos Clientes'!$H:$H,0))&amp;":$CZ"&amp;INDEX('Infos Clientes'!$C:$C,MATCH(C248,'Infos Clientes'!$H:$H,0))),"&gt;="&amp;0,'Infos Clientes'!$W$2:$CZ$2,"&gt;"&amp;$R248-365,'Infos Clientes'!$W$2:$CZ$2,"&lt;="&amp;$R248),""),"")</f>
        <v>386.33333333333331</v>
      </c>
      <c r="CB248" s="87">
        <f>VLOOKUP(C248,'Infos Clientes'!B:L,11,0)</f>
        <v>0</v>
      </c>
      <c r="CC248" s="88" t="str">
        <f t="shared" si="153"/>
        <v>A Unidade Consumidora 10/1672452-8 economizou R$104,93 na fatura referente à mar/2025  consumindo 376 kWh em créditos de energia renovável conforme fatura de energia. A economia foi de 25% em relação ao que seria pago para a Energisa considerando os créditos consumidos. Atenção: Mantenha as contas da Energisa em dia para evitar cortes.</v>
      </c>
      <c r="CD248" s="40" t="s">
        <v>56</v>
      </c>
      <c r="CF248" s="115">
        <f t="shared" si="154"/>
        <v>-166.79000000000005</v>
      </c>
    </row>
    <row r="249" spans="1:84" ht="16.2" hidden="1" customHeight="1" x14ac:dyDescent="0.3">
      <c r="A249" s="105" t="str">
        <f>INDEX('Infos Clientes'!$D:$D,MATCH('Detalhe Por UC'!C249,'Infos Clientes'!B:B,0))</f>
        <v>IGREJA DO EVANGELHO QUADRANGULAR</v>
      </c>
      <c r="B249" s="106" t="str">
        <f>INDEX('Infos Clientes'!$F:$F,MATCH('Detalhe Por UC'!C249,'Infos Clientes'!B:B,0))</f>
        <v>62.955.505/0160-80</v>
      </c>
      <c r="C249" s="137" t="s">
        <v>61</v>
      </c>
      <c r="D249" t="s">
        <v>351</v>
      </c>
      <c r="E249" s="1" t="s">
        <v>352</v>
      </c>
      <c r="F249" s="56" t="str">
        <f>INDEX('Infos Clientes'!$I:$I,MATCH('Detalhe Por UC'!C249,'Infos Clientes'!B:B,0))</f>
        <v>BT</v>
      </c>
      <c r="G249" s="56" t="str">
        <f>INDEX('Infos Clientes'!$J:$J,MATCH('Detalhe Por UC'!C249,'Infos Clientes'!B:B,0))</f>
        <v>trifasico</v>
      </c>
      <c r="H249" s="108" t="s">
        <v>353</v>
      </c>
      <c r="I249" s="58">
        <f>IFERROR(VLOOKUP(C249,'Infos Clientes'!B:E,4,),"")</f>
        <v>357</v>
      </c>
      <c r="J249" s="109">
        <v>0.25</v>
      </c>
      <c r="K249" s="59">
        <f>INDEX('Infos Clientes'!$M:$M,MATCH('Detalhe Por UC'!C249,'Infos Clientes'!B:B,0))</f>
        <v>0.25</v>
      </c>
      <c r="L249" s="125">
        <v>0</v>
      </c>
      <c r="M249" s="56">
        <f>INDEX('Infos Clientes'!$N:$N,MATCH('Detalhe Por UC'!C249,'Infos Clientes'!B:B,0))</f>
        <v>0</v>
      </c>
      <c r="N249" s="56">
        <f t="shared" si="118"/>
        <v>0</v>
      </c>
      <c r="O249" s="56">
        <f t="shared" si="119"/>
        <v>11</v>
      </c>
      <c r="P249" s="56">
        <f t="shared" si="120"/>
        <v>0</v>
      </c>
      <c r="Q249" s="61">
        <f>IFERROR(IFERROR(INDEX('Infos Clientes'!$A$2:$V$9884,MATCH($C249,'Infos Clientes'!$B$2:$B$9884,0),MATCH(Q$8,'Infos Clientes'!$A$2:$V$2,0)),"")
+IF(OR(INDEX('Infos Clientes'!$A$2:$V$9884,MATCH($C249,'Infos Clientes'!$B$2:$B$9884,0),MATCH("Tempo de Fidelidade (meses)",'Infos Clientes'!$A$2:$V$2,0))=0,R249&gt;=MAX(R:R)),0,
ROUND((MAX(R:R)-R249)/(365/12),0)),"")</f>
        <v>0</v>
      </c>
      <c r="R249" s="111">
        <v>45717</v>
      </c>
      <c r="S249" s="17">
        <v>0.02</v>
      </c>
      <c r="T249" s="113">
        <f>IF($H249="GIROSSOL II",AP249/INDEX('Resumo Operacional'!$A$1:$P$1103,17,MATCH('Detalhe Por UC'!$R249,'Resumo Operacional'!$A$1:$P$1,0)),
IF($H249="GIROSSOL II e III",AP249/INDEX('Resumo Operacional'!$A$1:$P$1103,17,MATCH('Detalhe Por UC'!$R249,'Resumo Operacional'!$A$1:$P$1,0)),
""))</f>
        <v>1.9935210565661599E-2</v>
      </c>
      <c r="U249" s="113">
        <f>IF($H249="GIROSSOL III",AP249/INDEX('Resumo Operacional'!$A$1:$P$1103,53,MATCH('Detalhe Por UC'!$R249,'Resumo Operacional'!$A$1:$P$1,0)),
IF($H249="GIROSSOL II e III",AP249/INDEX('Resumo Operacional'!$A$1:$P$1103,53,MATCH('Detalhe Por UC'!$R249,'Resumo Operacional'!$A$1:$P$1,0)),
""))</f>
        <v>1.9928589221954663E-2</v>
      </c>
      <c r="V249" s="18"/>
      <c r="W249" s="18"/>
      <c r="X249" s="18">
        <v>1.1162654867256638</v>
      </c>
      <c r="Y249" s="18"/>
      <c r="Z249" s="18">
        <v>1.0997584541062799</v>
      </c>
      <c r="AA249" s="18"/>
      <c r="AB249" s="18">
        <v>1130</v>
      </c>
      <c r="AC249" s="18">
        <v>0</v>
      </c>
      <c r="AD249" s="18">
        <v>414</v>
      </c>
      <c r="AE249" s="35"/>
      <c r="AF249" s="18">
        <v>0</v>
      </c>
      <c r="AG249" s="18"/>
      <c r="AH249" s="18">
        <v>0</v>
      </c>
      <c r="AI249" s="18"/>
      <c r="AJ249" s="18"/>
      <c r="AN249" s="71">
        <f t="shared" si="121"/>
        <v>-174</v>
      </c>
      <c r="AO249" s="71">
        <f t="shared" si="122"/>
        <v>0</v>
      </c>
      <c r="AP249" s="71">
        <f t="shared" si="123"/>
        <v>240</v>
      </c>
      <c r="AQ249" s="72">
        <f>IF(OR($H249="GIROSSOL II",$H249="GIROSSOL II e III"),INDEX('Resumo Operacional'!$A$1:$P$1103,MATCH("Energia Injetada prevista total Fatura da Usina (TUSD)",'Resumo Operacional'!$B$1:$B$1103,0),MATCH('Detalhe Por UC'!$R249,'Resumo Operacional'!$A$1:$P$1,0))*$S249,INDEX('Resumo Operacional'!$A$1:$P$1103,53,MATCH('Detalhe Por UC'!$R249,'Resumo Operacional'!$A$1:$P$1,0))*$S249)</f>
        <v>240.78</v>
      </c>
      <c r="AR249" s="71">
        <f t="shared" si="124"/>
        <v>-0.78000000000000114</v>
      </c>
      <c r="AS249" s="73">
        <f t="shared" si="125"/>
        <v>806.08000000000015</v>
      </c>
      <c r="AT249" s="74">
        <f t="shared" si="126"/>
        <v>806.08000000000015</v>
      </c>
      <c r="AU249" s="74">
        <f t="shared" si="127"/>
        <v>1.083251421486896</v>
      </c>
      <c r="AV249" s="74">
        <f t="shared" si="128"/>
        <v>341.47499999999991</v>
      </c>
      <c r="AW249" s="74">
        <f t="shared" si="129"/>
        <v>0</v>
      </c>
      <c r="AX249" s="74">
        <f t="shared" si="130"/>
        <v>455.2999999999999</v>
      </c>
      <c r="AY249" s="74">
        <f t="shared" si="131"/>
        <v>341.48</v>
      </c>
      <c r="AZ249" s="49">
        <v>341.48</v>
      </c>
      <c r="BA249" s="49">
        <v>341.48</v>
      </c>
      <c r="BB249" s="49">
        <v>341.48</v>
      </c>
      <c r="BC249" s="73" t="str">
        <f t="shared" si="132"/>
        <v/>
      </c>
      <c r="BD249" s="73">
        <f t="shared" si="133"/>
        <v>1261.3800000000001</v>
      </c>
      <c r="BE249" s="73">
        <f t="shared" si="134"/>
        <v>1147.5550000000001</v>
      </c>
      <c r="BF249" s="77">
        <f t="shared" si="135"/>
        <v>113.83</v>
      </c>
      <c r="BG249" s="77">
        <f t="shared" si="136"/>
        <v>34.149000000000001</v>
      </c>
      <c r="BH249" s="77">
        <f t="shared" si="137"/>
        <v>455.2999999999999</v>
      </c>
      <c r="BI249" s="78">
        <f t="shared" si="138"/>
        <v>0.25</v>
      </c>
      <c r="BJ249" s="79">
        <f t="shared" si="139"/>
        <v>9.0242432890960692E-2</v>
      </c>
      <c r="BK249" s="80">
        <f t="shared" si="140"/>
        <v>1147.5600000000002</v>
      </c>
      <c r="BL249" s="80">
        <f t="shared" si="141"/>
        <v>113.81999999999994</v>
      </c>
      <c r="BM249" s="79">
        <f t="shared" si="142"/>
        <v>9.0234505065880169E-2</v>
      </c>
      <c r="BN249" s="81">
        <f t="shared" si="143"/>
        <v>0.82483091787439622</v>
      </c>
      <c r="BO249" s="82">
        <f t="shared" si="144"/>
        <v>341.48</v>
      </c>
      <c r="BP249" s="81">
        <f t="shared" si="145"/>
        <v>0.82483091787439622</v>
      </c>
      <c r="BQ249" s="81">
        <f t="shared" si="146"/>
        <v>0.84133795049378013</v>
      </c>
      <c r="BR249" s="81">
        <f t="shared" si="147"/>
        <v>1.1162654867256638</v>
      </c>
      <c r="BS249" s="82">
        <f t="shared" si="148"/>
        <v>414</v>
      </c>
      <c r="BT249" s="82">
        <f t="shared" si="149"/>
        <v>462.13391150442482</v>
      </c>
      <c r="BU249" s="82">
        <f t="shared" si="150"/>
        <v>455.2999999999999</v>
      </c>
      <c r="BW249" s="82">
        <f>IFERROR(INDEX('Infos Clientes'!$T:$T,MATCH('Detalhe Por UC'!$C249,'Infos Clientes'!B:B,0)),"")</f>
        <v>958.25</v>
      </c>
      <c r="BX249" s="83">
        <f t="shared" si="151"/>
        <v>0</v>
      </c>
      <c r="BY249" s="84">
        <f t="shared" si="152"/>
        <v>0.24629224812667758</v>
      </c>
      <c r="BZ249" s="85">
        <f>IF(_xlfn.MINIFS('Detalhe Por UC'!R:R,'Detalhe Por UC'!C:C,C249,'Detalhe Por UC'!AD:AD,"&gt;"&amp;0)=0,"",_xlfn.MINIFS('Detalhe Por UC'!R:R,'Detalhe Por UC'!C:C,C249,'Detalhe Por UC'!AD:AD,"&gt;"&amp;0))</f>
        <v>45627</v>
      </c>
      <c r="CA249" s="114">
        <f ca="1">IF(OR(S249&gt;0,AD249&gt;0),IFERROR(
SUMIFS(INDIRECT("'Infos Clientes'!$W"&amp;INDEX('Infos Clientes'!$C:$C,MATCH(C249,'Infos Clientes'!$H:$H,0))&amp;":$CZ"&amp;INDEX('Infos Clientes'!$C:$C,MATCH(C249,'Infos Clientes'!$H:$H,0))),'Infos Clientes'!$W$2:$CZ$2,"&gt;"&amp;$R249-365,'Infos Clientes'!$W$2:$CZ$2,"&lt;="&amp;$R249)/
COUNTIFS(INDIRECT("'Infos Clientes'!$W"&amp;INDEX('Infos Clientes'!$C:$C,MATCH(C249,'Infos Clientes'!$H:$H,0))&amp;":$CZ"&amp;INDEX('Infos Clientes'!$C:$C,MATCH(C249,'Infos Clientes'!$H:$H,0))),"&gt;="&amp;0,'Infos Clientes'!$W$2:$CZ$2,"&gt;"&amp;$R249-365,'Infos Clientes'!$W$2:$CZ$2,"&lt;="&amp;$R249),""),"")</f>
        <v>962.83333333333337</v>
      </c>
      <c r="CB249" s="87">
        <f>VLOOKUP(C249,'Infos Clientes'!B:L,11,0)</f>
        <v>0</v>
      </c>
      <c r="CC249" s="88" t="str">
        <f t="shared" si="153"/>
        <v>A Unidade Consumidora 10/18015-8 economizou R$113,83 na fatura referente à mar/2025  consumindo 414 kWh em créditos de energia renovável conforme fatura de energia. A economia foi de 25% em relação ao que seria pago para a Energisa considerando os créditos consumidos. Atenção: Mantenha as contas da Energisa em dia para evitar cortes.</v>
      </c>
      <c r="CD249" s="40" t="s">
        <v>63</v>
      </c>
      <c r="CF249" s="115">
        <f t="shared" si="154"/>
        <v>-806.08000000000015</v>
      </c>
    </row>
    <row r="250" spans="1:84" ht="16.2" hidden="1" customHeight="1" x14ac:dyDescent="0.3">
      <c r="A250" s="105" t="str">
        <f>INDEX('Infos Clientes'!$D:$D,MATCH('Detalhe Por UC'!C250,'Infos Clientes'!B:B,0))</f>
        <v>IGREJA DO EVANGELHO QUADRANGULAR</v>
      </c>
      <c r="B250" s="106" t="str">
        <f>INDEX('Infos Clientes'!$F:$F,MATCH('Detalhe Por UC'!C250,'Infos Clientes'!B:B,0))</f>
        <v>62.955.505/0676-60</v>
      </c>
      <c r="C250" s="137" t="s">
        <v>91</v>
      </c>
      <c r="D250" t="s">
        <v>351</v>
      </c>
      <c r="E250" s="1" t="s">
        <v>352</v>
      </c>
      <c r="F250" s="56" t="str">
        <f>INDEX('Infos Clientes'!$I:$I,MATCH('Detalhe Por UC'!C250,'Infos Clientes'!B:B,0))</f>
        <v>BT</v>
      </c>
      <c r="G250" s="56" t="str">
        <f>INDEX('Infos Clientes'!$J:$J,MATCH('Detalhe Por UC'!C250,'Infos Clientes'!B:B,0))</f>
        <v>trifasico</v>
      </c>
      <c r="H250" s="108" t="s">
        <v>353</v>
      </c>
      <c r="I250" s="58">
        <f>IFERROR(VLOOKUP(C250,'Infos Clientes'!B:E,4,),"")</f>
        <v>357</v>
      </c>
      <c r="J250" s="109">
        <v>0.25</v>
      </c>
      <c r="K250" s="59">
        <f>INDEX('Infos Clientes'!$M:$M,MATCH('Detalhe Por UC'!C250,'Infos Clientes'!B:B,0))</f>
        <v>0.25</v>
      </c>
      <c r="L250" s="125">
        <v>0</v>
      </c>
      <c r="M250" s="56">
        <f>INDEX('Infos Clientes'!$N:$N,MATCH('Detalhe Por UC'!C250,'Infos Clientes'!B:B,0))</f>
        <v>0</v>
      </c>
      <c r="N250" s="56">
        <f t="shared" si="118"/>
        <v>0</v>
      </c>
      <c r="O250" s="56">
        <f t="shared" si="119"/>
        <v>12</v>
      </c>
      <c r="P250" s="56">
        <f t="shared" si="120"/>
        <v>0</v>
      </c>
      <c r="Q250" s="61">
        <f>IFERROR(IFERROR(INDEX('Infos Clientes'!$A$2:$V$9884,MATCH($C250,'Infos Clientes'!$B$2:$B$9884,0),MATCH(Q$8,'Infos Clientes'!$A$2:$V$2,0)),"")
+IF(OR(INDEX('Infos Clientes'!$A$2:$V$9884,MATCH($C250,'Infos Clientes'!$B$2:$B$9884,0),MATCH("Tempo de Fidelidade (meses)",'Infos Clientes'!$A$2:$V$2,0))=0,R250&gt;=MAX(R:R)),0,
ROUND((MAX(R:R)-R250)/(365/12),0)),"")</f>
        <v>0</v>
      </c>
      <c r="R250" s="111">
        <v>45717</v>
      </c>
      <c r="S250" s="17">
        <v>0.04</v>
      </c>
      <c r="T250" s="113">
        <f>IF($H250="GIROSSOL II",AP250/INDEX('Resumo Operacional'!$A$1:$P$1103,17,MATCH('Detalhe Por UC'!$R250,'Resumo Operacional'!$A$1:$P$1,0)),
IF($H250="GIROSSOL II e III",AP250/INDEX('Resumo Operacional'!$A$1:$P$1103,17,MATCH('Detalhe Por UC'!$R250,'Resumo Operacional'!$A$1:$P$1,0)),
""))</f>
        <v>9.1868095356757204E-2</v>
      </c>
      <c r="U250" s="113">
        <f>IF($H250="GIROSSOL III",AP250/INDEX('Resumo Operacional'!$A$1:$P$1103,53,MATCH('Detalhe Por UC'!$R250,'Resumo Operacional'!$A$1:$P$1,0)),
IF($H250="GIROSSOL II e III",AP250/INDEX('Resumo Operacional'!$A$1:$P$1103,53,MATCH('Detalhe Por UC'!$R250,'Resumo Operacional'!$A$1:$P$1,0)),
""))</f>
        <v>9.1837581997841075E-2</v>
      </c>
      <c r="V250" s="18"/>
      <c r="W250" s="18"/>
      <c r="X250" s="18">
        <v>1.1162657342657343</v>
      </c>
      <c r="Y250" s="18"/>
      <c r="Z250" s="18">
        <v>1.0410252600297178</v>
      </c>
      <c r="AA250" s="18"/>
      <c r="AB250" s="18">
        <v>715</v>
      </c>
      <c r="AC250" s="18">
        <v>0</v>
      </c>
      <c r="AD250" s="18">
        <v>673</v>
      </c>
      <c r="AE250" s="35"/>
      <c r="AF250" s="18">
        <v>934</v>
      </c>
      <c r="AG250" s="18"/>
      <c r="AH250" s="18">
        <v>0</v>
      </c>
      <c r="AI250" s="18"/>
      <c r="AJ250" s="18"/>
      <c r="AN250" s="71">
        <f t="shared" si="121"/>
        <v>433</v>
      </c>
      <c r="AO250" s="71">
        <f t="shared" si="122"/>
        <v>0</v>
      </c>
      <c r="AP250" s="71">
        <f t="shared" si="123"/>
        <v>1106</v>
      </c>
      <c r="AQ250" s="72">
        <f>IF(OR($H250="GIROSSOL II",$H250="GIROSSOL II e III"),INDEX('Resumo Operacional'!$A$1:$P$1103,MATCH("Energia Injetada prevista total Fatura da Usina (TUSD)",'Resumo Operacional'!$B$1:$B$1103,0),MATCH('Detalhe Por UC'!$R250,'Resumo Operacional'!$A$1:$P$1,0))*$S250,INDEX('Resumo Operacional'!$A$1:$P$1103,53,MATCH('Detalhe Por UC'!$R250,'Resumo Operacional'!$A$1:$P$1,0))*$S250)</f>
        <v>481.56</v>
      </c>
      <c r="AR250" s="71">
        <f t="shared" si="124"/>
        <v>624.44000000000005</v>
      </c>
      <c r="AS250" s="73">
        <f t="shared" si="125"/>
        <v>97.519999999999868</v>
      </c>
      <c r="AT250" s="74">
        <f t="shared" si="126"/>
        <v>97.519999999999868</v>
      </c>
      <c r="AU250" s="74">
        <f t="shared" si="127"/>
        <v>0.96578478579370142</v>
      </c>
      <c r="AV250" s="74">
        <f t="shared" si="128"/>
        <v>525.4575000000001</v>
      </c>
      <c r="AW250" s="74">
        <f t="shared" si="129"/>
        <v>0</v>
      </c>
      <c r="AX250" s="74">
        <f t="shared" si="130"/>
        <v>700.61000000000013</v>
      </c>
      <c r="AY250" s="74">
        <f t="shared" si="131"/>
        <v>525.46</v>
      </c>
      <c r="AZ250" s="49">
        <v>525.46</v>
      </c>
      <c r="BA250" s="49">
        <v>525.46</v>
      </c>
      <c r="BB250" s="49">
        <v>525.46</v>
      </c>
      <c r="BC250" s="73" t="str">
        <f t="shared" si="132"/>
        <v/>
      </c>
      <c r="BD250" s="73">
        <f t="shared" si="133"/>
        <v>798.13</v>
      </c>
      <c r="BE250" s="73">
        <f t="shared" si="134"/>
        <v>622.97749999999996</v>
      </c>
      <c r="BF250" s="77">
        <f t="shared" si="135"/>
        <v>175.15</v>
      </c>
      <c r="BG250" s="77">
        <f t="shared" si="136"/>
        <v>52.545000000000002</v>
      </c>
      <c r="BH250" s="77">
        <f t="shared" si="137"/>
        <v>700.61000000000013</v>
      </c>
      <c r="BI250" s="78">
        <f t="shared" si="138"/>
        <v>0.25</v>
      </c>
      <c r="BJ250" s="79">
        <f t="shared" si="139"/>
        <v>0.21945046546301983</v>
      </c>
      <c r="BK250" s="80">
        <f t="shared" si="140"/>
        <v>622.9799999999999</v>
      </c>
      <c r="BL250" s="80">
        <f t="shared" si="141"/>
        <v>175.15000000000009</v>
      </c>
      <c r="BM250" s="79">
        <f t="shared" si="142"/>
        <v>0.21945046546301991</v>
      </c>
      <c r="BN250" s="81">
        <f t="shared" si="143"/>
        <v>0.78077265973254095</v>
      </c>
      <c r="BO250" s="82">
        <f t="shared" si="144"/>
        <v>525.46</v>
      </c>
      <c r="BP250" s="81">
        <f t="shared" si="145"/>
        <v>0.78077265973254095</v>
      </c>
      <c r="BQ250" s="81">
        <f t="shared" si="146"/>
        <v>0.85601313396855738</v>
      </c>
      <c r="BR250" s="81">
        <f t="shared" si="147"/>
        <v>1.1162657342657343</v>
      </c>
      <c r="BS250" s="82">
        <f t="shared" si="148"/>
        <v>673</v>
      </c>
      <c r="BT250" s="82">
        <f t="shared" si="149"/>
        <v>751.24683916083916</v>
      </c>
      <c r="BU250" s="82">
        <f t="shared" si="150"/>
        <v>700.61000000000013</v>
      </c>
      <c r="BW250" s="82">
        <f>IFERROR(INDEX('Infos Clientes'!$T:$T,MATCH('Detalhe Por UC'!$C250,'Infos Clientes'!B:B,0)),"")</f>
        <v>708</v>
      </c>
      <c r="BX250" s="83">
        <f t="shared" si="151"/>
        <v>0</v>
      </c>
      <c r="BY250" s="84">
        <f t="shared" si="152"/>
        <v>0.23314573968210878</v>
      </c>
      <c r="BZ250" s="85">
        <f>IF(_xlfn.MINIFS('Detalhe Por UC'!R:R,'Detalhe Por UC'!C:C,C250,'Detalhe Por UC'!AD:AD,"&gt;"&amp;0)=0,"",_xlfn.MINIFS('Detalhe Por UC'!R:R,'Detalhe Por UC'!C:C,C250,'Detalhe Por UC'!AD:AD,"&gt;"&amp;0))</f>
        <v>45627</v>
      </c>
      <c r="CA250" s="114">
        <f ca="1">IF(OR(S250&gt;0,AD250&gt;0),IFERROR(
SUMIFS(INDIRECT("'Infos Clientes'!$W"&amp;INDEX('Infos Clientes'!$C:$C,MATCH(C250,'Infos Clientes'!$H:$H,0))&amp;":$CZ"&amp;INDEX('Infos Clientes'!$C:$C,MATCH(C250,'Infos Clientes'!$H:$H,0))),'Infos Clientes'!$W$2:$CZ$2,"&gt;"&amp;$R250-365,'Infos Clientes'!$W$2:$CZ$2,"&lt;="&amp;$R250)/
COUNTIFS(INDIRECT("'Infos Clientes'!$W"&amp;INDEX('Infos Clientes'!$C:$C,MATCH(C250,'Infos Clientes'!$H:$H,0))&amp;":$CZ"&amp;INDEX('Infos Clientes'!$C:$C,MATCH(C250,'Infos Clientes'!$H:$H,0))),"&gt;="&amp;0,'Infos Clientes'!$W$2:$CZ$2,"&gt;"&amp;$R250-365,'Infos Clientes'!$W$2:$CZ$2,"&lt;="&amp;$R250),""),"")</f>
        <v>679.91666666666663</v>
      </c>
      <c r="CB250" s="87">
        <f>VLOOKUP(C250,'Infos Clientes'!B:L,11,0)</f>
        <v>0</v>
      </c>
      <c r="CC250" s="88" t="str">
        <f t="shared" si="153"/>
        <v>A Unidade Consumidora 10/29964-4 economizou R$175,15 na fatura referente à mar/2025  consumindo 673 kWh em créditos de energia renovável conforme fatura de energia. A economia foi de 25% em relação ao que seria pago para a Energisa considerando os créditos consumidos. Atenção: Mantenha as contas da Energisa em dia para evitar cortes.</v>
      </c>
      <c r="CD250" s="40" t="s">
        <v>93</v>
      </c>
      <c r="CF250" s="115">
        <f t="shared" si="154"/>
        <v>-97.519999999999868</v>
      </c>
    </row>
    <row r="251" spans="1:84" ht="16.2" hidden="1" customHeight="1" x14ac:dyDescent="0.3">
      <c r="A251" s="105" t="str">
        <f>INDEX('Infos Clientes'!$D:$D,MATCH('Detalhe Por UC'!C251,'Infos Clientes'!B:B,0))</f>
        <v>IGREJA DO EVANGELHO QUADRANGULAR</v>
      </c>
      <c r="B251" s="106" t="str">
        <f>INDEX('Infos Clientes'!$F:$F,MATCH('Detalhe Por UC'!C251,'Infos Clientes'!B:B,0))</f>
        <v>62.955.505/2157-91</v>
      </c>
      <c r="C251" s="44" t="s">
        <v>64</v>
      </c>
      <c r="D251" t="s">
        <v>351</v>
      </c>
      <c r="E251" s="1" t="s">
        <v>352</v>
      </c>
      <c r="F251" s="56" t="str">
        <f>INDEX('Infos Clientes'!$I:$I,MATCH('Detalhe Por UC'!C251,'Infos Clientes'!B:B,0))</f>
        <v>BT</v>
      </c>
      <c r="G251" s="56" t="str">
        <f>INDEX('Infos Clientes'!$J:$J,MATCH('Detalhe Por UC'!C251,'Infos Clientes'!B:B,0))</f>
        <v>trifasico</v>
      </c>
      <c r="H251" s="108" t="s">
        <v>24</v>
      </c>
      <c r="I251" s="58">
        <f>IFERROR(VLOOKUP(C251,'Infos Clientes'!B:E,4,),"")</f>
        <v>349</v>
      </c>
      <c r="J251" s="109">
        <v>0.25</v>
      </c>
      <c r="K251" s="59">
        <f>INDEX('Infos Clientes'!$M:$M,MATCH('Detalhe Por UC'!C251,'Infos Clientes'!B:B,0))</f>
        <v>0.25</v>
      </c>
      <c r="L251" s="125">
        <v>0</v>
      </c>
      <c r="M251" s="56">
        <f>INDEX('Infos Clientes'!$N:$N,MATCH('Detalhe Por UC'!C251,'Infos Clientes'!B:B,0))</f>
        <v>0</v>
      </c>
      <c r="N251" s="56">
        <f t="shared" si="118"/>
        <v>0</v>
      </c>
      <c r="O251" s="56">
        <f t="shared" si="119"/>
        <v>12</v>
      </c>
      <c r="P251" s="56">
        <f t="shared" si="120"/>
        <v>0</v>
      </c>
      <c r="Q251" s="61">
        <f>IFERROR(IFERROR(INDEX('Infos Clientes'!$A$2:$V$9884,MATCH($C251,'Infos Clientes'!$B$2:$B$9884,0),MATCH(Q$8,'Infos Clientes'!$A$2:$V$2,0)),"")
+IF(OR(INDEX('Infos Clientes'!$A$2:$V$9884,MATCH($C251,'Infos Clientes'!$B$2:$B$9884,0),MATCH("Tempo de Fidelidade (meses)",'Infos Clientes'!$A$2:$V$2,0))=0,R251&gt;=MAX(R:R)),0,
ROUND((MAX(R:R)-R251)/(365/12),0)),"")</f>
        <v>0</v>
      </c>
      <c r="R251" s="111">
        <v>45717</v>
      </c>
      <c r="S251" s="17">
        <v>0.01</v>
      </c>
      <c r="T251" s="113">
        <f>IF($H251="GIROSSOL II",AP251/INDEX('Resumo Operacional'!$A$1:$P$1103,17,MATCH('Detalhe Por UC'!$R251,'Resumo Operacional'!$A$1:$P$1,0)),
IF($H251="GIROSSOL II e III",AP251/INDEX('Resumo Operacional'!$A$1:$P$1103,17,MATCH('Detalhe Por UC'!$R251,'Resumo Operacional'!$A$1:$P$1,0)),
""))</f>
        <v>9.9676052828307996E-3</v>
      </c>
      <c r="U251" s="113" t="str">
        <f>IF($H251="GIROSSOL III",AP251/INDEX('Resumo Operacional'!$A$1:$P$1103,53,MATCH('Detalhe Por UC'!$R251,'Resumo Operacional'!$A$1:$P$1,0)),
IF($H251="GIROSSOL II e III",AP251/INDEX('Resumo Operacional'!$A$1:$P$1103,53,MATCH('Detalhe Por UC'!$R251,'Resumo Operacional'!$A$1:$P$1,0)),
""))</f>
        <v/>
      </c>
      <c r="V251" s="18"/>
      <c r="W251" s="18"/>
      <c r="X251" s="18">
        <v>1.1162642369020501</v>
      </c>
      <c r="Y251" s="18"/>
      <c r="Z251" s="18">
        <v>1.11625</v>
      </c>
      <c r="AA251" s="18"/>
      <c r="AB251" s="18">
        <v>878</v>
      </c>
      <c r="AC251" s="18">
        <v>0</v>
      </c>
      <c r="AD251" s="18">
        <v>120</v>
      </c>
      <c r="AE251" s="35"/>
      <c r="AF251" s="18">
        <v>0</v>
      </c>
      <c r="AG251" s="18"/>
      <c r="AH251" s="18">
        <v>183.87</v>
      </c>
      <c r="AI251" s="18"/>
      <c r="AJ251" s="18"/>
      <c r="AN251" s="71">
        <f t="shared" si="121"/>
        <v>0</v>
      </c>
      <c r="AO251" s="71">
        <f t="shared" si="122"/>
        <v>0</v>
      </c>
      <c r="AP251" s="71">
        <f t="shared" si="123"/>
        <v>120</v>
      </c>
      <c r="AQ251" s="72">
        <f>IF(OR($H251="GIROSSOL II",$H251="GIROSSOL II e III"),INDEX('Resumo Operacional'!$A$1:$P$1103,MATCH("Energia Injetada prevista total Fatura da Usina (TUSD)",'Resumo Operacional'!$B$1:$B$1103,0),MATCH('Detalhe Por UC'!$R251,'Resumo Operacional'!$A$1:$P$1,0))*$S251,INDEX('Resumo Operacional'!$A$1:$P$1103,53,MATCH('Detalhe Por UC'!$R251,'Resumo Operacional'!$A$1:$P$1,0))*$S251)</f>
        <v>120.39</v>
      </c>
      <c r="AR251" s="71">
        <f t="shared" si="124"/>
        <v>-0.39000000000000057</v>
      </c>
      <c r="AS251" s="73">
        <f t="shared" si="125"/>
        <v>1030</v>
      </c>
      <c r="AT251" s="74">
        <f t="shared" si="126"/>
        <v>1030</v>
      </c>
      <c r="AU251" s="74">
        <f t="shared" si="127"/>
        <v>1.1162357630979498</v>
      </c>
      <c r="AV251" s="74">
        <f t="shared" si="128"/>
        <v>100.46249999999999</v>
      </c>
      <c r="AW251" s="74">
        <f t="shared" si="129"/>
        <v>0</v>
      </c>
      <c r="AX251" s="74">
        <f t="shared" si="130"/>
        <v>133.94999999999999</v>
      </c>
      <c r="AY251" s="74">
        <f t="shared" si="131"/>
        <v>100.46</v>
      </c>
      <c r="AZ251" s="49">
        <v>100.46</v>
      </c>
      <c r="BA251" s="49">
        <v>100.46</v>
      </c>
      <c r="BB251" s="49">
        <v>100.46</v>
      </c>
      <c r="BC251" s="73" t="str">
        <f t="shared" si="132"/>
        <v/>
      </c>
      <c r="BD251" s="73">
        <f t="shared" si="133"/>
        <v>1163.95</v>
      </c>
      <c r="BE251" s="73">
        <f t="shared" si="134"/>
        <v>1130.4625000000001</v>
      </c>
      <c r="BF251" s="77">
        <f t="shared" si="135"/>
        <v>33.49</v>
      </c>
      <c r="BG251" s="77">
        <f t="shared" si="136"/>
        <v>10.047000000000001</v>
      </c>
      <c r="BH251" s="77">
        <f t="shared" si="137"/>
        <v>133.94999999999999</v>
      </c>
      <c r="BI251" s="78">
        <f t="shared" si="138"/>
        <v>0.25</v>
      </c>
      <c r="BJ251" s="79">
        <f t="shared" si="139"/>
        <v>2.8772713604536277E-2</v>
      </c>
      <c r="BK251" s="80">
        <f t="shared" si="140"/>
        <v>1130.46</v>
      </c>
      <c r="BL251" s="80">
        <f t="shared" si="141"/>
        <v>33.490000000000009</v>
      </c>
      <c r="BM251" s="79">
        <f t="shared" si="142"/>
        <v>2.8772713604536284E-2</v>
      </c>
      <c r="BN251" s="81">
        <f t="shared" si="143"/>
        <v>0.83716666666666661</v>
      </c>
      <c r="BO251" s="82">
        <f t="shared" si="144"/>
        <v>100.46</v>
      </c>
      <c r="BP251" s="81">
        <f t="shared" si="145"/>
        <v>0.83716666666666661</v>
      </c>
      <c r="BQ251" s="81">
        <f t="shared" si="146"/>
        <v>0.83718090356871677</v>
      </c>
      <c r="BR251" s="81">
        <f t="shared" si="147"/>
        <v>1.1162642369020501</v>
      </c>
      <c r="BS251" s="82">
        <f t="shared" si="148"/>
        <v>120</v>
      </c>
      <c r="BT251" s="82">
        <f t="shared" si="149"/>
        <v>133.95170842824601</v>
      </c>
      <c r="BU251" s="82">
        <f t="shared" si="150"/>
        <v>133.94999999999999</v>
      </c>
      <c r="BW251" s="82">
        <f>IFERROR(INDEX('Infos Clientes'!$T:$T,MATCH('Detalhe Por UC'!$C251,'Infos Clientes'!B:B,0)),"")</f>
        <v>802.5</v>
      </c>
      <c r="BX251" s="83">
        <f t="shared" si="151"/>
        <v>0</v>
      </c>
      <c r="BY251" s="84">
        <f t="shared" si="152"/>
        <v>0.25001547492721682</v>
      </c>
      <c r="BZ251" s="85">
        <f>IF(_xlfn.MINIFS('Detalhe Por UC'!R:R,'Detalhe Por UC'!C:C,C251,'Detalhe Por UC'!AD:AD,"&gt;"&amp;0)=0,"",_xlfn.MINIFS('Detalhe Por UC'!R:R,'Detalhe Por UC'!C:C,C251,'Detalhe Por UC'!AD:AD,"&gt;"&amp;0))</f>
        <v>45627</v>
      </c>
      <c r="CA251" s="114">
        <f ca="1">IF(OR(S251&gt;0,AD251&gt;0),IFERROR(
SUMIFS(INDIRECT("'Infos Clientes'!$W"&amp;INDEX('Infos Clientes'!$C:$C,MATCH(C251,'Infos Clientes'!$H:$H,0))&amp;":$CZ"&amp;INDEX('Infos Clientes'!$C:$C,MATCH(C251,'Infos Clientes'!$H:$H,0))),'Infos Clientes'!$W$2:$CZ$2,"&gt;"&amp;$R251-365,'Infos Clientes'!$W$2:$CZ$2,"&lt;="&amp;$R251)/
COUNTIFS(INDIRECT("'Infos Clientes'!$W"&amp;INDEX('Infos Clientes'!$C:$C,MATCH(C251,'Infos Clientes'!$H:$H,0))&amp;":$CZ"&amp;INDEX('Infos Clientes'!$C:$C,MATCH(C251,'Infos Clientes'!$H:$H,0))),"&gt;="&amp;0,'Infos Clientes'!$W$2:$CZ$2,"&gt;"&amp;$R251-365,'Infos Clientes'!$W$2:$CZ$2,"&lt;="&amp;$R251),""),"")</f>
        <v>769.66666666666663</v>
      </c>
      <c r="CB251" s="87">
        <f>VLOOKUP(C251,'Infos Clientes'!B:L,11,0)</f>
        <v>0</v>
      </c>
      <c r="CC251" s="88" t="str">
        <f t="shared" si="153"/>
        <v>A Unidade Consumidora 10/191945-5 economizou R$33,49 na fatura referente à mar/2025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251" s="40" t="s">
        <v>66</v>
      </c>
      <c r="CF251" s="115">
        <f t="shared" si="154"/>
        <v>-1030</v>
      </c>
    </row>
    <row r="252" spans="1:84" ht="16.2" hidden="1" customHeight="1" x14ac:dyDescent="0.3">
      <c r="A252" s="105" t="str">
        <f>INDEX('Infos Clientes'!$D:$D,MATCH('Detalhe Por UC'!C252,'Infos Clientes'!B:B,0))</f>
        <v>IGREJA DO EVANGELHO QUADRANGULAR</v>
      </c>
      <c r="B252" s="106" t="str">
        <f>INDEX('Infos Clientes'!$F:$F,MATCH('Detalhe Por UC'!C252,'Infos Clientes'!B:B,0))</f>
        <v>62.955.505/3216-30</v>
      </c>
      <c r="C252" s="44" t="s">
        <v>116</v>
      </c>
      <c r="D252" t="s">
        <v>351</v>
      </c>
      <c r="E252" s="1" t="s">
        <v>352</v>
      </c>
      <c r="F252" s="56" t="str">
        <f>INDEX('Infos Clientes'!$I:$I,MATCH('Detalhe Por UC'!C252,'Infos Clientes'!B:B,0))</f>
        <v>BT</v>
      </c>
      <c r="G252" s="56" t="str">
        <f>INDEX('Infos Clientes'!$J:$J,MATCH('Detalhe Por UC'!C252,'Infos Clientes'!B:B,0))</f>
        <v>trifasico</v>
      </c>
      <c r="H252" s="108" t="s">
        <v>24</v>
      </c>
      <c r="I252" s="58">
        <f>IFERROR(VLOOKUP(C252,'Infos Clientes'!B:E,4,),"")</f>
        <v>371</v>
      </c>
      <c r="J252" s="109">
        <v>0.25</v>
      </c>
      <c r="K252" s="59">
        <f>INDEX('Infos Clientes'!$M:$M,MATCH('Detalhe Por UC'!C252,'Infos Clientes'!B:B,0))</f>
        <v>0.25</v>
      </c>
      <c r="L252" s="125">
        <v>0</v>
      </c>
      <c r="M252" s="56">
        <f>INDEX('Infos Clientes'!$N:$N,MATCH('Detalhe Por UC'!C252,'Infos Clientes'!B:B,0))</f>
        <v>0</v>
      </c>
      <c r="N252" s="56">
        <f t="shared" si="118"/>
        <v>0</v>
      </c>
      <c r="O252" s="56">
        <f t="shared" si="119"/>
        <v>9</v>
      </c>
      <c r="P252" s="56">
        <f t="shared" si="120"/>
        <v>0</v>
      </c>
      <c r="Q252" s="61">
        <f>IFERROR(IFERROR(INDEX('Infos Clientes'!$A$2:$V$9884,MATCH($C252,'Infos Clientes'!$B$2:$B$9884,0),MATCH(Q$8,'Infos Clientes'!$A$2:$V$2,0)),"")
+IF(OR(INDEX('Infos Clientes'!$A$2:$V$9884,MATCH($C252,'Infos Clientes'!$B$2:$B$9884,0),MATCH("Tempo de Fidelidade (meses)",'Infos Clientes'!$A$2:$V$2,0))=0,R252&gt;=MAX(R:R)),0,
ROUND((MAX(R:R)-R252)/(365/12),0)),"")</f>
        <v>0</v>
      </c>
      <c r="R252" s="111">
        <v>45717</v>
      </c>
      <c r="S252" s="17">
        <v>0</v>
      </c>
      <c r="T252" s="113">
        <f>IF($H252="GIROSSOL II",AP252/INDEX('Resumo Operacional'!$A$1:$P$1103,17,MATCH('Detalhe Por UC'!$R252,'Resumo Operacional'!$A$1:$P$1,0)),
IF($H252="GIROSSOL II e III",AP252/INDEX('Resumo Operacional'!$A$1:$P$1103,17,MATCH('Detalhe Por UC'!$R252,'Resumo Operacional'!$A$1:$P$1,0)),
""))</f>
        <v>2.1015034471301604E-2</v>
      </c>
      <c r="U252" s="113" t="str">
        <f>IF($H252="GIROSSOL III",AP252/INDEX('Resumo Operacional'!$A$1:$P$1103,53,MATCH('Detalhe Por UC'!$R252,'Resumo Operacional'!$A$1:$P$1,0)),
IF($H252="GIROSSOL II e III",AP252/INDEX('Resumo Operacional'!$A$1:$P$1103,53,MATCH('Detalhe Por UC'!$R252,'Resumo Operacional'!$A$1:$P$1,0)),
""))</f>
        <v/>
      </c>
      <c r="V252" s="18"/>
      <c r="W252" s="18"/>
      <c r="X252" s="18">
        <v>1.1162522522522522</v>
      </c>
      <c r="Y252" s="18"/>
      <c r="Z252" s="18">
        <v>1.1162450592885376</v>
      </c>
      <c r="AA252" s="18"/>
      <c r="AB252" s="18">
        <v>555</v>
      </c>
      <c r="AC252" s="18">
        <v>0</v>
      </c>
      <c r="AD252" s="18">
        <v>253</v>
      </c>
      <c r="AE252" s="35"/>
      <c r="AF252" s="18">
        <v>0</v>
      </c>
      <c r="AG252" s="18"/>
      <c r="AH252" s="18">
        <v>122.58</v>
      </c>
      <c r="AI252" s="18"/>
      <c r="AJ252" s="18"/>
      <c r="AN252" s="71">
        <f t="shared" si="121"/>
        <v>0</v>
      </c>
      <c r="AO252" s="71">
        <f t="shared" si="122"/>
        <v>0</v>
      </c>
      <c r="AP252" s="71">
        <f t="shared" si="123"/>
        <v>253</v>
      </c>
      <c r="AQ252" s="72">
        <f>IF(OR($H252="GIROSSOL II",$H252="GIROSSOL II e III"),INDEX('Resumo Operacional'!$A$1:$P$1103,MATCH("Energia Injetada prevista total Fatura da Usina (TUSD)",'Resumo Operacional'!$B$1:$B$1103,0),MATCH('Detalhe Por UC'!$R252,'Resumo Operacional'!$A$1:$P$1,0))*$S252,INDEX('Resumo Operacional'!$A$1:$P$1103,53,MATCH('Detalhe Por UC'!$R252,'Resumo Operacional'!$A$1:$P$1,0))*$S252)</f>
        <v>0</v>
      </c>
      <c r="AR252" s="71">
        <f t="shared" si="124"/>
        <v>253</v>
      </c>
      <c r="AS252" s="73">
        <f t="shared" si="125"/>
        <v>459.68999999999994</v>
      </c>
      <c r="AT252" s="74">
        <f t="shared" si="126"/>
        <v>459.68999999999994</v>
      </c>
      <c r="AU252" s="74">
        <f t="shared" si="127"/>
        <v>1.1162378663248229</v>
      </c>
      <c r="AV252" s="74">
        <f t="shared" si="128"/>
        <v>211.80749999999998</v>
      </c>
      <c r="AW252" s="74">
        <f t="shared" si="129"/>
        <v>0</v>
      </c>
      <c r="AX252" s="74">
        <f t="shared" si="130"/>
        <v>282.41000000000003</v>
      </c>
      <c r="AY252" s="74">
        <f t="shared" si="131"/>
        <v>211.81</v>
      </c>
      <c r="AZ252" s="49">
        <v>211.81</v>
      </c>
      <c r="BA252" s="49">
        <v>211.81</v>
      </c>
      <c r="BB252" s="49">
        <v>211.81</v>
      </c>
      <c r="BC252" s="73" t="str">
        <f t="shared" si="132"/>
        <v/>
      </c>
      <c r="BD252" s="73">
        <f t="shared" si="133"/>
        <v>742.1</v>
      </c>
      <c r="BE252" s="73">
        <f t="shared" si="134"/>
        <v>671.49749999999995</v>
      </c>
      <c r="BF252" s="77">
        <f t="shared" si="135"/>
        <v>70.599999999999994</v>
      </c>
      <c r="BG252" s="77">
        <f t="shared" si="136"/>
        <v>21.179999999999996</v>
      </c>
      <c r="BH252" s="77">
        <f t="shared" si="137"/>
        <v>282.41000000000003</v>
      </c>
      <c r="BI252" s="78">
        <f t="shared" si="138"/>
        <v>0.25</v>
      </c>
      <c r="BJ252" s="79">
        <f t="shared" si="139"/>
        <v>9.513542649238646E-2</v>
      </c>
      <c r="BK252" s="80">
        <f t="shared" si="140"/>
        <v>671.5</v>
      </c>
      <c r="BL252" s="80">
        <f t="shared" si="141"/>
        <v>70.600000000000023</v>
      </c>
      <c r="BM252" s="79">
        <f t="shared" si="142"/>
        <v>9.5135426492386502E-2</v>
      </c>
      <c r="BN252" s="81">
        <f t="shared" si="143"/>
        <v>0.83719367588932803</v>
      </c>
      <c r="BO252" s="82">
        <f t="shared" si="144"/>
        <v>211.81</v>
      </c>
      <c r="BP252" s="81">
        <f t="shared" si="145"/>
        <v>0.83719367588932803</v>
      </c>
      <c r="BQ252" s="81">
        <f t="shared" si="146"/>
        <v>0.83720086885304268</v>
      </c>
      <c r="BR252" s="81">
        <f t="shared" si="147"/>
        <v>1.1162522522522522</v>
      </c>
      <c r="BS252" s="82">
        <f t="shared" si="148"/>
        <v>253</v>
      </c>
      <c r="BT252" s="82">
        <f t="shared" si="149"/>
        <v>282.41181981981981</v>
      </c>
      <c r="BU252" s="82">
        <f t="shared" si="150"/>
        <v>282.41000000000003</v>
      </c>
      <c r="BW252" s="82">
        <f>IFERROR(INDEX('Infos Clientes'!$T:$T,MATCH('Detalhe Por UC'!$C252,'Infos Clientes'!B:B,0)),"")</f>
        <v>513.41666666666663</v>
      </c>
      <c r="BX252" s="83">
        <f t="shared" si="151"/>
        <v>0</v>
      </c>
      <c r="BY252" s="84">
        <f t="shared" si="152"/>
        <v>0.24998953671642771</v>
      </c>
      <c r="BZ252" s="85">
        <f>IF(_xlfn.MINIFS('Detalhe Por UC'!R:R,'Detalhe Por UC'!C:C,C252,'Detalhe Por UC'!AD:AD,"&gt;"&amp;0)=0,"",_xlfn.MINIFS('Detalhe Por UC'!R:R,'Detalhe Por UC'!C:C,C252,'Detalhe Por UC'!AD:AD,"&gt;"&amp;0))</f>
        <v>45627</v>
      </c>
      <c r="CA252" s="114">
        <f ca="1">IF(OR(S252&gt;0,AD252&gt;0),IFERROR(
SUMIFS(INDIRECT("'Infos Clientes'!$W"&amp;INDEX('Infos Clientes'!$C:$C,MATCH(C252,'Infos Clientes'!$H:$H,0))&amp;":$CZ"&amp;INDEX('Infos Clientes'!$C:$C,MATCH(C252,'Infos Clientes'!$H:$H,0))),'Infos Clientes'!$W$2:$CZ$2,"&gt;"&amp;$R252-365,'Infos Clientes'!$W$2:$CZ$2,"&lt;="&amp;$R252)/
COUNTIFS(INDIRECT("'Infos Clientes'!$W"&amp;INDEX('Infos Clientes'!$C:$C,MATCH(C252,'Infos Clientes'!$H:$H,0))&amp;":$CZ"&amp;INDEX('Infos Clientes'!$C:$C,MATCH(C252,'Infos Clientes'!$H:$H,0))),"&gt;="&amp;0,'Infos Clientes'!$W$2:$CZ$2,"&gt;"&amp;$R252-365,'Infos Clientes'!$W$2:$CZ$2,"&lt;="&amp;$R252),""),"")</f>
        <v>502.75</v>
      </c>
      <c r="CB252" s="87">
        <f>VLOOKUP(C252,'Infos Clientes'!B:L,11,0)</f>
        <v>0</v>
      </c>
      <c r="CC252" s="88" t="str">
        <f t="shared" si="153"/>
        <v>A Unidade Consumidora 10/513413-5 economizou R$70,6 na fatura referente à mar/2025  consumindo 253 kWh em créditos de energia renovável conforme fatura de energia. A economia foi de 25% em relação ao que seria pago para a Energisa considerando os créditos consumidos. Atenção: Mantenha as contas da Energisa em dia para evitar cortes.</v>
      </c>
      <c r="CD252" s="40" t="s">
        <v>118</v>
      </c>
      <c r="CF252" s="115">
        <f t="shared" si="154"/>
        <v>-459.68999999999994</v>
      </c>
    </row>
    <row r="253" spans="1:84" ht="16.2" hidden="1" customHeight="1" x14ac:dyDescent="0.3">
      <c r="A253" s="105" t="str">
        <f>INDEX('Infos Clientes'!$D:$D,MATCH('Detalhe Por UC'!C253,'Infos Clientes'!B:B,0))</f>
        <v>IGREJA DO EVANGELHO QUADRANGULAR</v>
      </c>
      <c r="B253" s="106" t="str">
        <f>INDEX('Infos Clientes'!$F:$F,MATCH('Detalhe Por UC'!C253,'Infos Clientes'!B:B,0))</f>
        <v>62.955.505/3671-17</v>
      </c>
      <c r="C253" s="137" t="s">
        <v>111</v>
      </c>
      <c r="D253" t="s">
        <v>351</v>
      </c>
      <c r="E253" s="1" t="s">
        <v>352</v>
      </c>
      <c r="F253" s="56" t="str">
        <f>INDEX('Infos Clientes'!$I:$I,MATCH('Detalhe Por UC'!C253,'Infos Clientes'!B:B,0))</f>
        <v>BT</v>
      </c>
      <c r="G253" s="56" t="str">
        <f>INDEX('Infos Clientes'!$J:$J,MATCH('Detalhe Por UC'!C253,'Infos Clientes'!B:B,0))</f>
        <v>trifasico</v>
      </c>
      <c r="H253" s="108" t="s">
        <v>353</v>
      </c>
      <c r="I253" s="58">
        <f>IFERROR(VLOOKUP(C253,'Infos Clientes'!B:E,4,),"")</f>
        <v>358</v>
      </c>
      <c r="J253" s="109">
        <v>0.25</v>
      </c>
      <c r="K253" s="59">
        <f>INDEX('Infos Clientes'!$M:$M,MATCH('Detalhe Por UC'!C253,'Infos Clientes'!B:B,0))</f>
        <v>0.25</v>
      </c>
      <c r="L253" s="125">
        <v>0</v>
      </c>
      <c r="M253" s="56">
        <f>INDEX('Infos Clientes'!$N:$N,MATCH('Detalhe Por UC'!C253,'Infos Clientes'!B:B,0))</f>
        <v>0</v>
      </c>
      <c r="N253" s="56">
        <f t="shared" si="118"/>
        <v>0</v>
      </c>
      <c r="O253" s="56">
        <f t="shared" si="119"/>
        <v>12</v>
      </c>
      <c r="P253" s="56">
        <f t="shared" si="120"/>
        <v>0</v>
      </c>
      <c r="Q253" s="61">
        <f>IFERROR(IFERROR(INDEX('Infos Clientes'!$A$2:$V$9884,MATCH($C253,'Infos Clientes'!$B$2:$B$9884,0),MATCH(Q$8,'Infos Clientes'!$A$2:$V$2,0)),"")
+IF(OR(INDEX('Infos Clientes'!$A$2:$V$9884,MATCH($C253,'Infos Clientes'!$B$2:$B$9884,0),MATCH("Tempo de Fidelidade (meses)",'Infos Clientes'!$A$2:$V$2,0))=0,R253&gt;=MAX(R:R)),0,
ROUND((MAX(R:R)-R253)/(365/12),0)),"")</f>
        <v>0</v>
      </c>
      <c r="R253" s="111">
        <v>45717</v>
      </c>
      <c r="S253" s="17">
        <v>0.02</v>
      </c>
      <c r="T253" s="113">
        <f>IF($H253="GIROSSOL II",AP253/INDEX('Resumo Operacional'!$A$1:$P$1103,17,MATCH('Detalhe Por UC'!$R253,'Resumo Operacional'!$A$1:$P$1,0)),
IF($H253="GIROSSOL II e III",AP253/INDEX('Resumo Operacional'!$A$1:$P$1103,17,MATCH('Detalhe Por UC'!$R253,'Resumo Operacional'!$A$1:$P$1,0)),
""))</f>
        <v>4.5020350527452443E-2</v>
      </c>
      <c r="U253" s="113">
        <f>IF($H253="GIROSSOL III",AP253/INDEX('Resumo Operacional'!$A$1:$P$1103,53,MATCH('Detalhe Por UC'!$R253,'Resumo Operacional'!$A$1:$P$1,0)),
IF($H253="GIROSSOL II e III",AP253/INDEX('Resumo Operacional'!$A$1:$P$1103,53,MATCH('Detalhe Por UC'!$R253,'Resumo Operacional'!$A$1:$P$1,0)),
""))</f>
        <v>4.5005397326247615E-2</v>
      </c>
      <c r="V253" s="18"/>
      <c r="W253" s="18"/>
      <c r="X253" s="18">
        <v>1.1162623762376238</v>
      </c>
      <c r="Y253" s="18"/>
      <c r="Z253" s="18">
        <v>1.0404428044280443</v>
      </c>
      <c r="AA253" s="18"/>
      <c r="AB253" s="18">
        <v>808</v>
      </c>
      <c r="AC253" s="18">
        <v>0</v>
      </c>
      <c r="AD253" s="18">
        <v>542</v>
      </c>
      <c r="AE253" s="35"/>
      <c r="AF253" s="18">
        <v>0</v>
      </c>
      <c r="AG253" s="18"/>
      <c r="AH253" s="18">
        <v>124</v>
      </c>
      <c r="AI253" s="18"/>
      <c r="AJ253" s="18"/>
      <c r="AN253" s="71">
        <f t="shared" si="121"/>
        <v>0</v>
      </c>
      <c r="AO253" s="71">
        <f t="shared" si="122"/>
        <v>0</v>
      </c>
      <c r="AP253" s="71">
        <f t="shared" si="123"/>
        <v>542</v>
      </c>
      <c r="AQ253" s="72">
        <f>IF(OR($H253="GIROSSOL II",$H253="GIROSSOL II e III"),INDEX('Resumo Operacional'!$A$1:$P$1103,MATCH("Energia Injetada prevista total Fatura da Usina (TUSD)",'Resumo Operacional'!$B$1:$B$1103,0),MATCH('Detalhe Por UC'!$R253,'Resumo Operacional'!$A$1:$P$1,0))*$S253,INDEX('Resumo Operacional'!$A$1:$P$1103,53,MATCH('Detalhe Por UC'!$R253,'Resumo Operacional'!$A$1:$P$1,0))*$S253)</f>
        <v>240.78</v>
      </c>
      <c r="AR253" s="71">
        <f t="shared" si="124"/>
        <v>301.22000000000003</v>
      </c>
      <c r="AS253" s="73">
        <f t="shared" si="125"/>
        <v>462.0200000000001</v>
      </c>
      <c r="AT253" s="74">
        <f t="shared" si="126"/>
        <v>462.0200000000001</v>
      </c>
      <c r="AU253" s="74">
        <f t="shared" si="127"/>
        <v>0.96462323261846472</v>
      </c>
      <c r="AV253" s="74">
        <f t="shared" si="128"/>
        <v>422.94</v>
      </c>
      <c r="AW253" s="74">
        <f t="shared" si="129"/>
        <v>0</v>
      </c>
      <c r="AX253" s="74">
        <f t="shared" si="130"/>
        <v>563.91999999999996</v>
      </c>
      <c r="AY253" s="74">
        <f t="shared" si="131"/>
        <v>422.94</v>
      </c>
      <c r="AZ253" s="49">
        <v>422.94</v>
      </c>
      <c r="BA253" s="49">
        <v>422.94</v>
      </c>
      <c r="BB253" s="49">
        <v>422.94</v>
      </c>
      <c r="BC253" s="73" t="str">
        <f t="shared" si="132"/>
        <v/>
      </c>
      <c r="BD253" s="73">
        <f t="shared" si="133"/>
        <v>1025.94</v>
      </c>
      <c r="BE253" s="73">
        <f t="shared" si="134"/>
        <v>884.96</v>
      </c>
      <c r="BF253" s="77">
        <f t="shared" si="135"/>
        <v>140.97999999999999</v>
      </c>
      <c r="BG253" s="77">
        <f t="shared" si="136"/>
        <v>42.293999999999997</v>
      </c>
      <c r="BH253" s="77">
        <f t="shared" si="137"/>
        <v>563.92000000000007</v>
      </c>
      <c r="BI253" s="78">
        <f t="shared" si="138"/>
        <v>0.25</v>
      </c>
      <c r="BJ253" s="79">
        <f t="shared" si="139"/>
        <v>0.1374154433982494</v>
      </c>
      <c r="BK253" s="80">
        <f t="shared" si="140"/>
        <v>884.96</v>
      </c>
      <c r="BL253" s="80">
        <f t="shared" si="141"/>
        <v>140.98000000000002</v>
      </c>
      <c r="BM253" s="79">
        <f t="shared" si="142"/>
        <v>0.13741544339824943</v>
      </c>
      <c r="BN253" s="81">
        <f t="shared" si="143"/>
        <v>0.7803321033210332</v>
      </c>
      <c r="BO253" s="82">
        <f t="shared" si="144"/>
        <v>422.94</v>
      </c>
      <c r="BP253" s="81">
        <f t="shared" si="145"/>
        <v>0.7803321033210332</v>
      </c>
      <c r="BQ253" s="81">
        <f t="shared" si="146"/>
        <v>0.85615167513061274</v>
      </c>
      <c r="BR253" s="81">
        <f t="shared" si="147"/>
        <v>1.1162623762376238</v>
      </c>
      <c r="BS253" s="82">
        <f t="shared" si="148"/>
        <v>542</v>
      </c>
      <c r="BT253" s="82">
        <f t="shared" si="149"/>
        <v>605.01420792079216</v>
      </c>
      <c r="BU253" s="82">
        <f t="shared" si="150"/>
        <v>563.91999999999996</v>
      </c>
      <c r="BW253" s="82">
        <f>IFERROR(INDEX('Infos Clientes'!$T:$T,MATCH('Detalhe Por UC'!$C253,'Infos Clientes'!B:B,0)),"")</f>
        <v>586</v>
      </c>
      <c r="BX253" s="83">
        <f t="shared" si="151"/>
        <v>0</v>
      </c>
      <c r="BY253" s="84">
        <f t="shared" si="152"/>
        <v>0.2330193211238718</v>
      </c>
      <c r="BZ253" s="85">
        <f>IF(_xlfn.MINIFS('Detalhe Por UC'!R:R,'Detalhe Por UC'!C:C,C253,'Detalhe Por UC'!AD:AD,"&gt;"&amp;0)=0,"",_xlfn.MINIFS('Detalhe Por UC'!R:R,'Detalhe Por UC'!C:C,C253,'Detalhe Por UC'!AD:AD,"&gt;"&amp;0))</f>
        <v>45627</v>
      </c>
      <c r="CA253" s="114">
        <f ca="1">IF(OR(S253&gt;0,AD253&gt;0),IFERROR(
SUMIFS(INDIRECT("'Infos Clientes'!$W"&amp;INDEX('Infos Clientes'!$C:$C,MATCH(C253,'Infos Clientes'!$H:$H,0))&amp;":$CZ"&amp;INDEX('Infos Clientes'!$C:$C,MATCH(C253,'Infos Clientes'!$H:$H,0))),'Infos Clientes'!$W$2:$CZ$2,"&gt;"&amp;$R253-365,'Infos Clientes'!$W$2:$CZ$2,"&lt;="&amp;$R253)/
COUNTIFS(INDIRECT("'Infos Clientes'!$W"&amp;INDEX('Infos Clientes'!$C:$C,MATCH(C253,'Infos Clientes'!$H:$H,0))&amp;":$CZ"&amp;INDEX('Infos Clientes'!$C:$C,MATCH(C253,'Infos Clientes'!$H:$H,0))),"&gt;="&amp;0,'Infos Clientes'!$W$2:$CZ$2,"&gt;"&amp;$R253-365,'Infos Clientes'!$W$2:$CZ$2,"&lt;="&amp;$R253),""),"")</f>
        <v>601.91666666666663</v>
      </c>
      <c r="CB253" s="87">
        <f>VLOOKUP(C253,'Infos Clientes'!B:L,11,0)</f>
        <v>0</v>
      </c>
      <c r="CC253" s="88" t="str">
        <f t="shared" si="153"/>
        <v>A Unidade Consumidora 10/510330-4 economizou R$140,98 na fatura referente à mar/2025  consumindo 542 kWh em créditos de energia renovável conforme fatura de energia. A economia foi de 25% em relação ao que seria pago para a Energisa considerando os créditos consumidos. Atenção: Mantenha as contas da Energisa em dia para evitar cortes.</v>
      </c>
      <c r="CD253" s="40" t="s">
        <v>113</v>
      </c>
      <c r="CF253" s="115">
        <f t="shared" si="154"/>
        <v>-462.0200000000001</v>
      </c>
    </row>
    <row r="254" spans="1:84" ht="16.2" hidden="1" customHeight="1" x14ac:dyDescent="0.3">
      <c r="A254" s="105" t="str">
        <f>INDEX('Infos Clientes'!$D:$D,MATCH('Detalhe Por UC'!C254,'Infos Clientes'!B:B,0))</f>
        <v>IGREJA DO EVANGELHO QUADRANGULAR</v>
      </c>
      <c r="B254" s="106" t="str">
        <f>INDEX('Infos Clientes'!$F:$F,MATCH('Detalhe Por UC'!C254,'Infos Clientes'!B:B,0))</f>
        <v>62.955.505/0160-80</v>
      </c>
      <c r="C254" s="137" t="s">
        <v>97</v>
      </c>
      <c r="D254" t="s">
        <v>351</v>
      </c>
      <c r="E254" s="1" t="s">
        <v>352</v>
      </c>
      <c r="F254" s="56" t="str">
        <f>INDEX('Infos Clientes'!$I:$I,MATCH('Detalhe Por UC'!C254,'Infos Clientes'!B:B,0))</f>
        <v>BT</v>
      </c>
      <c r="G254" s="56" t="str">
        <f>INDEX('Infos Clientes'!$J:$J,MATCH('Detalhe Por UC'!C254,'Infos Clientes'!B:B,0))</f>
        <v>trifasico</v>
      </c>
      <c r="H254" s="108" t="s">
        <v>353</v>
      </c>
      <c r="I254" s="58">
        <f>IFERROR(VLOOKUP(C254,'Infos Clientes'!B:E,4,),"")</f>
        <v>357</v>
      </c>
      <c r="J254" s="109">
        <v>0.25</v>
      </c>
      <c r="K254" s="59">
        <f>INDEX('Infos Clientes'!$M:$M,MATCH('Detalhe Por UC'!C254,'Infos Clientes'!B:B,0))</f>
        <v>0.25</v>
      </c>
      <c r="L254" s="125">
        <v>0</v>
      </c>
      <c r="M254" s="56">
        <f>INDEX('Infos Clientes'!$N:$N,MATCH('Detalhe Por UC'!C254,'Infos Clientes'!B:B,0))</f>
        <v>0</v>
      </c>
      <c r="N254" s="56">
        <f t="shared" si="118"/>
        <v>0</v>
      </c>
      <c r="O254" s="56">
        <f t="shared" si="119"/>
        <v>11</v>
      </c>
      <c r="P254" s="56">
        <f t="shared" si="120"/>
        <v>0</v>
      </c>
      <c r="Q254" s="61">
        <f>IFERROR(IFERROR(INDEX('Infos Clientes'!$A$2:$V$9884,MATCH($C254,'Infos Clientes'!$B$2:$B$9884,0),MATCH(Q$8,'Infos Clientes'!$A$2:$V$2,0)),"")
+IF(OR(INDEX('Infos Clientes'!$A$2:$V$9884,MATCH($C254,'Infos Clientes'!$B$2:$B$9884,0),MATCH("Tempo de Fidelidade (meses)",'Infos Clientes'!$A$2:$V$2,0))=0,R254&gt;=MAX(R:R)),0,
ROUND((MAX(R:R)-R254)/(365/12),0)),"")</f>
        <v>0</v>
      </c>
      <c r="R254" s="111">
        <v>45717</v>
      </c>
      <c r="S254" s="17">
        <v>0.02</v>
      </c>
      <c r="T254" s="113">
        <f>IF($H254="GIROSSOL II",AP254/INDEX('Resumo Operacional'!$A$1:$P$1103,17,MATCH('Detalhe Por UC'!$R254,'Resumo Operacional'!$A$1:$P$1,0)),
IF($H254="GIROSSOL II e III",AP254/INDEX('Resumo Operacional'!$A$1:$P$1103,17,MATCH('Detalhe Por UC'!$R254,'Resumo Operacional'!$A$1:$P$1,0)),
""))</f>
        <v>4.5020350527452443E-2</v>
      </c>
      <c r="U254" s="113">
        <f>IF($H254="GIROSSOL III",AP254/INDEX('Resumo Operacional'!$A$1:$P$1103,53,MATCH('Detalhe Por UC'!$R254,'Resumo Operacional'!$A$1:$P$1,0)),
IF($H254="GIROSSOL II e III",AP254/INDEX('Resumo Operacional'!$A$1:$P$1103,53,MATCH('Detalhe Por UC'!$R254,'Resumo Operacional'!$A$1:$P$1,0)),
""))</f>
        <v>4.5005397326247615E-2</v>
      </c>
      <c r="V254" s="18"/>
      <c r="W254" s="18"/>
      <c r="X254" s="18">
        <v>1.11625</v>
      </c>
      <c r="Y254" s="18"/>
      <c r="Z254" s="18">
        <v>1.0399452554744526</v>
      </c>
      <c r="AA254" s="18"/>
      <c r="AB254" s="18">
        <v>600</v>
      </c>
      <c r="AC254" s="18">
        <v>0</v>
      </c>
      <c r="AD254" s="18">
        <v>548</v>
      </c>
      <c r="AE254" s="35"/>
      <c r="AF254" s="18">
        <v>217</v>
      </c>
      <c r="AG254" s="18"/>
      <c r="AH254" s="18">
        <v>76.350000000000009</v>
      </c>
      <c r="AI254" s="18"/>
      <c r="AJ254" s="18"/>
      <c r="AN254" s="71">
        <f t="shared" si="121"/>
        <v>-6</v>
      </c>
      <c r="AO254" s="71">
        <f t="shared" si="122"/>
        <v>0</v>
      </c>
      <c r="AP254" s="71">
        <f t="shared" si="123"/>
        <v>542</v>
      </c>
      <c r="AQ254" s="72">
        <f>IF(OR($H254="GIROSSOL II",$H254="GIROSSOL II e III"),INDEX('Resumo Operacional'!$A$1:$P$1103,MATCH("Energia Injetada prevista total Fatura da Usina (TUSD)",'Resumo Operacional'!$B$1:$B$1103,0),MATCH('Detalhe Por UC'!$R254,'Resumo Operacional'!$A$1:$P$1,0))*$S254,INDEX('Resumo Operacional'!$A$1:$P$1103,53,MATCH('Detalhe Por UC'!$R254,'Resumo Operacional'!$A$1:$P$1,0))*$S254)</f>
        <v>240.78</v>
      </c>
      <c r="AR254" s="71">
        <f t="shared" si="124"/>
        <v>301.22000000000003</v>
      </c>
      <c r="AS254" s="73">
        <f t="shared" si="125"/>
        <v>176.21000000000004</v>
      </c>
      <c r="AT254" s="74">
        <f t="shared" si="126"/>
        <v>176.21000000000004</v>
      </c>
      <c r="AU254" s="74">
        <f t="shared" si="127"/>
        <v>0.96364051094890524</v>
      </c>
      <c r="AV254" s="74">
        <f t="shared" si="128"/>
        <v>427.41750000000002</v>
      </c>
      <c r="AW254" s="74">
        <f t="shared" si="129"/>
        <v>0</v>
      </c>
      <c r="AX254" s="74">
        <f t="shared" si="130"/>
        <v>569.89</v>
      </c>
      <c r="AY254" s="74">
        <f t="shared" si="131"/>
        <v>427.42</v>
      </c>
      <c r="AZ254" s="49">
        <v>427.42</v>
      </c>
      <c r="BA254" s="49">
        <v>427.42</v>
      </c>
      <c r="BB254" s="49">
        <v>427.42</v>
      </c>
      <c r="BC254" s="73" t="str">
        <f t="shared" si="132"/>
        <v/>
      </c>
      <c r="BD254" s="73">
        <f t="shared" si="133"/>
        <v>746.1</v>
      </c>
      <c r="BE254" s="73">
        <f t="shared" si="134"/>
        <v>603.62750000000005</v>
      </c>
      <c r="BF254" s="77">
        <f t="shared" si="135"/>
        <v>142.47</v>
      </c>
      <c r="BG254" s="77">
        <f t="shared" si="136"/>
        <v>42.741</v>
      </c>
      <c r="BH254" s="77">
        <f t="shared" si="137"/>
        <v>569.89</v>
      </c>
      <c r="BI254" s="78">
        <f t="shared" si="138"/>
        <v>0.25</v>
      </c>
      <c r="BJ254" s="79">
        <f t="shared" si="139"/>
        <v>0.19095295536791315</v>
      </c>
      <c r="BK254" s="80">
        <f t="shared" si="140"/>
        <v>603.63000000000011</v>
      </c>
      <c r="BL254" s="80">
        <f t="shared" si="141"/>
        <v>142.46999999999991</v>
      </c>
      <c r="BM254" s="79">
        <f t="shared" si="142"/>
        <v>0.19095295536791301</v>
      </c>
      <c r="BN254" s="81">
        <f t="shared" si="143"/>
        <v>0.77996350364963507</v>
      </c>
      <c r="BO254" s="82">
        <f t="shared" si="144"/>
        <v>427.42</v>
      </c>
      <c r="BP254" s="81">
        <f t="shared" si="145"/>
        <v>0.77996350364963507</v>
      </c>
      <c r="BQ254" s="81">
        <f t="shared" si="146"/>
        <v>0.85626824817518243</v>
      </c>
      <c r="BR254" s="81">
        <f t="shared" si="147"/>
        <v>1.11625</v>
      </c>
      <c r="BS254" s="82">
        <f t="shared" si="148"/>
        <v>548</v>
      </c>
      <c r="BT254" s="82">
        <f t="shared" si="149"/>
        <v>611.70499999999993</v>
      </c>
      <c r="BU254" s="82">
        <f t="shared" si="150"/>
        <v>569.89</v>
      </c>
      <c r="BW254" s="82">
        <f>IFERROR(INDEX('Infos Clientes'!$T:$T,MATCH('Detalhe Por UC'!$C254,'Infos Clientes'!B:B,0)),"")</f>
        <v>468.66666666666669</v>
      </c>
      <c r="BX254" s="83">
        <f t="shared" si="151"/>
        <v>0</v>
      </c>
      <c r="BY254" s="84">
        <f t="shared" si="152"/>
        <v>0.23290638461349836</v>
      </c>
      <c r="BZ254" s="85">
        <f>IF(_xlfn.MINIFS('Detalhe Por UC'!R:R,'Detalhe Por UC'!C:C,C254,'Detalhe Por UC'!AD:AD,"&gt;"&amp;0)=0,"",_xlfn.MINIFS('Detalhe Por UC'!R:R,'Detalhe Por UC'!C:C,C254,'Detalhe Por UC'!AD:AD,"&gt;"&amp;0))</f>
        <v>45627</v>
      </c>
      <c r="CA254" s="114">
        <f ca="1">IF(OR(S254&gt;0,AD254&gt;0),IFERROR(
SUMIFS(INDIRECT("'Infos Clientes'!$W"&amp;INDEX('Infos Clientes'!$C:$C,MATCH(C254,'Infos Clientes'!$H:$H,0))&amp;":$CZ"&amp;INDEX('Infos Clientes'!$C:$C,MATCH(C254,'Infos Clientes'!$H:$H,0))),'Infos Clientes'!$W$2:$CZ$2,"&gt;"&amp;$R254-365,'Infos Clientes'!$W$2:$CZ$2,"&lt;="&amp;$R254)/
COUNTIFS(INDIRECT("'Infos Clientes'!$W"&amp;INDEX('Infos Clientes'!$C:$C,MATCH(C254,'Infos Clientes'!$H:$H,0))&amp;":$CZ"&amp;INDEX('Infos Clientes'!$C:$C,MATCH(C254,'Infos Clientes'!$H:$H,0))),"&gt;="&amp;0,'Infos Clientes'!$W$2:$CZ$2,"&gt;"&amp;$R254-365,'Infos Clientes'!$W$2:$CZ$2,"&lt;="&amp;$R254),""),"")</f>
        <v>483.25</v>
      </c>
      <c r="CB254" s="87">
        <f>VLOOKUP(C254,'Infos Clientes'!B:L,11,0)</f>
        <v>0</v>
      </c>
      <c r="CC254" s="88" t="str">
        <f t="shared" si="153"/>
        <v>A Unidade Consumidora 10/3030784-7 economizou R$142,47 na fatura referente à mar/2025  consumindo 548 kWh em créditos de energia renovável conforme fatura de energia. A economia foi de 25% em relação ao que seria pago para a Energisa considerando os créditos consumidos. Atenção: Mantenha as contas da Energisa em dia para evitar cortes.</v>
      </c>
      <c r="CD254" s="40" t="s">
        <v>98</v>
      </c>
      <c r="CF254" s="115">
        <f t="shared" si="154"/>
        <v>-176.21000000000004</v>
      </c>
    </row>
    <row r="255" spans="1:84" ht="16.2" hidden="1" customHeight="1" x14ac:dyDescent="0.3">
      <c r="A255" s="105" t="str">
        <f>INDEX('Infos Clientes'!$D:$D,MATCH('Detalhe Por UC'!C255,'Infos Clientes'!B:B,0))</f>
        <v>IGREJA DO EVANGELHO QUADRANGULAR</v>
      </c>
      <c r="B255" s="106" t="str">
        <f>INDEX('Infos Clientes'!$F:$F,MATCH('Detalhe Por UC'!C255,'Infos Clientes'!B:B,0))</f>
        <v>62.955.505/4194-43</v>
      </c>
      <c r="C255" s="137" t="s">
        <v>99</v>
      </c>
      <c r="D255" t="s">
        <v>351</v>
      </c>
      <c r="E255" s="1" t="s">
        <v>352</v>
      </c>
      <c r="F255" s="56" t="str">
        <f>INDEX('Infos Clientes'!$I:$I,MATCH('Detalhe Por UC'!C255,'Infos Clientes'!B:B,0))</f>
        <v>BT</v>
      </c>
      <c r="G255" s="56" t="str">
        <f>INDEX('Infos Clientes'!$J:$J,MATCH('Detalhe Por UC'!C255,'Infos Clientes'!B:B,0))</f>
        <v>trifasico</v>
      </c>
      <c r="H255" s="108" t="s">
        <v>353</v>
      </c>
      <c r="I255" s="58">
        <f>IFERROR(VLOOKUP(C255,'Infos Clientes'!B:E,4,),"")</f>
        <v>331</v>
      </c>
      <c r="J255" s="109">
        <v>0.25</v>
      </c>
      <c r="K255" s="59">
        <f>INDEX('Infos Clientes'!$M:$M,MATCH('Detalhe Por UC'!C255,'Infos Clientes'!B:B,0))</f>
        <v>0.25</v>
      </c>
      <c r="L255" s="125">
        <v>0</v>
      </c>
      <c r="M255" s="56">
        <f>INDEX('Infos Clientes'!$N:$N,MATCH('Detalhe Por UC'!C255,'Infos Clientes'!B:B,0))</f>
        <v>0</v>
      </c>
      <c r="N255" s="56">
        <f t="shared" si="118"/>
        <v>0</v>
      </c>
      <c r="O255" s="56">
        <f t="shared" si="119"/>
        <v>12</v>
      </c>
      <c r="P255" s="56">
        <f t="shared" si="120"/>
        <v>0</v>
      </c>
      <c r="Q255" s="61">
        <f>IFERROR(IFERROR(INDEX('Infos Clientes'!$A$2:$V$9884,MATCH($C255,'Infos Clientes'!$B$2:$B$9884,0),MATCH(Q$8,'Infos Clientes'!$A$2:$V$2,0)),"")
+IF(OR(INDEX('Infos Clientes'!$A$2:$V$9884,MATCH($C255,'Infos Clientes'!$B$2:$B$9884,0),MATCH("Tempo de Fidelidade (meses)",'Infos Clientes'!$A$2:$V$2,0))=0,R255&gt;=MAX(R:R)),0,
ROUND((MAX(R:R)-R255)/(365/12),0)),"")</f>
        <v>0</v>
      </c>
      <c r="R255" s="111">
        <v>45717</v>
      </c>
      <c r="S255" s="17">
        <v>0.02</v>
      </c>
      <c r="T255" s="113">
        <f>IF($H255="GIROSSOL II",AP255/INDEX('Resumo Operacional'!$A$1:$P$1103,17,MATCH('Detalhe Por UC'!$R255,'Resumo Operacional'!$A$1:$P$1,0)),
IF($H255="GIROSSOL II e III",AP255/INDEX('Resumo Operacional'!$A$1:$P$1103,17,MATCH('Detalhe Por UC'!$R255,'Resumo Operacional'!$A$1:$P$1,0)),
""))</f>
        <v>4.5020350527452443E-2</v>
      </c>
      <c r="U255" s="113">
        <f>IF($H255="GIROSSOL III",AP255/INDEX('Resumo Operacional'!$A$1:$P$1103,53,MATCH('Detalhe Por UC'!$R255,'Resumo Operacional'!$A$1:$P$1,0)),
IF($H255="GIROSSOL II e III",AP255/INDEX('Resumo Operacional'!$A$1:$P$1103,53,MATCH('Detalhe Por UC'!$R255,'Resumo Operacional'!$A$1:$P$1,0)),
""))</f>
        <v>4.5005397326247615E-2</v>
      </c>
      <c r="V255" s="18"/>
      <c r="W255" s="18"/>
      <c r="X255" s="18">
        <v>1.1162520193861067</v>
      </c>
      <c r="Y255" s="18"/>
      <c r="Z255" s="18">
        <v>1.0398591549295775</v>
      </c>
      <c r="AA255" s="18"/>
      <c r="AB255" s="18">
        <v>619</v>
      </c>
      <c r="AC255" s="18">
        <v>0</v>
      </c>
      <c r="AD255" s="18">
        <v>568</v>
      </c>
      <c r="AE255" s="35"/>
      <c r="AF255" s="18">
        <v>214</v>
      </c>
      <c r="AG255" s="18"/>
      <c r="AH255" s="18">
        <v>0</v>
      </c>
      <c r="AI255" s="18"/>
      <c r="AJ255" s="18"/>
      <c r="AN255" s="71">
        <f t="shared" si="121"/>
        <v>-26</v>
      </c>
      <c r="AO255" s="71">
        <f t="shared" si="122"/>
        <v>0</v>
      </c>
      <c r="AP255" s="71">
        <f t="shared" si="123"/>
        <v>542</v>
      </c>
      <c r="AQ255" s="72">
        <f>IF(OR($H255="GIROSSOL II",$H255="GIROSSOL II e III"),INDEX('Resumo Operacional'!$A$1:$P$1103,MATCH("Energia Injetada prevista total Fatura da Usina (TUSD)",'Resumo Operacional'!$B$1:$B$1103,0),MATCH('Detalhe Por UC'!$R255,'Resumo Operacional'!$A$1:$P$1,0))*$S255,INDEX('Resumo Operacional'!$A$1:$P$1103,53,MATCH('Detalhe Por UC'!$R255,'Resumo Operacional'!$A$1:$P$1,0))*$S255)</f>
        <v>240.78</v>
      </c>
      <c r="AR255" s="71">
        <f t="shared" si="124"/>
        <v>301.22000000000003</v>
      </c>
      <c r="AS255" s="73">
        <f t="shared" si="125"/>
        <v>100.32000000000005</v>
      </c>
      <c r="AT255" s="74">
        <f t="shared" si="126"/>
        <v>100.32000000000005</v>
      </c>
      <c r="AU255" s="74">
        <f t="shared" si="127"/>
        <v>0.96346629047304821</v>
      </c>
      <c r="AV255" s="74">
        <f t="shared" si="128"/>
        <v>442.98</v>
      </c>
      <c r="AW255" s="74">
        <f t="shared" si="129"/>
        <v>0</v>
      </c>
      <c r="AX255" s="74">
        <f t="shared" si="130"/>
        <v>590.64</v>
      </c>
      <c r="AY255" s="74">
        <f t="shared" si="131"/>
        <v>442.98</v>
      </c>
      <c r="AZ255" s="49">
        <v>442.98</v>
      </c>
      <c r="BA255" s="49">
        <v>442.98</v>
      </c>
      <c r="BB255" s="49">
        <v>442.98</v>
      </c>
      <c r="BC255" s="73" t="str">
        <f t="shared" si="132"/>
        <v/>
      </c>
      <c r="BD255" s="73">
        <f t="shared" si="133"/>
        <v>690.96</v>
      </c>
      <c r="BE255" s="73">
        <f t="shared" si="134"/>
        <v>543.30000000000007</v>
      </c>
      <c r="BF255" s="77">
        <f t="shared" si="135"/>
        <v>147.66</v>
      </c>
      <c r="BG255" s="77">
        <f t="shared" si="136"/>
        <v>44.297999999999995</v>
      </c>
      <c r="BH255" s="77">
        <f t="shared" si="137"/>
        <v>590.64</v>
      </c>
      <c r="BI255" s="78">
        <f t="shared" si="138"/>
        <v>0.25</v>
      </c>
      <c r="BJ255" s="79">
        <f t="shared" si="139"/>
        <v>0.21370267453977074</v>
      </c>
      <c r="BK255" s="80">
        <f t="shared" si="140"/>
        <v>543.30000000000007</v>
      </c>
      <c r="BL255" s="80">
        <f t="shared" si="141"/>
        <v>147.65999999999997</v>
      </c>
      <c r="BM255" s="79">
        <f t="shared" si="142"/>
        <v>0.21370267453977071</v>
      </c>
      <c r="BN255" s="81">
        <f t="shared" si="143"/>
        <v>0.77989436619718311</v>
      </c>
      <c r="BO255" s="82">
        <f t="shared" si="144"/>
        <v>442.98</v>
      </c>
      <c r="BP255" s="81">
        <f t="shared" si="145"/>
        <v>0.77989436619718311</v>
      </c>
      <c r="BQ255" s="81">
        <f t="shared" si="146"/>
        <v>0.85628723065371237</v>
      </c>
      <c r="BR255" s="81">
        <f t="shared" si="147"/>
        <v>1.1162520193861067</v>
      </c>
      <c r="BS255" s="82">
        <f t="shared" si="148"/>
        <v>568</v>
      </c>
      <c r="BT255" s="82">
        <f t="shared" si="149"/>
        <v>634.03114701130858</v>
      </c>
      <c r="BU255" s="82">
        <f t="shared" si="150"/>
        <v>590.64</v>
      </c>
      <c r="BW255" s="82">
        <f>IFERROR(INDEX('Infos Clientes'!$T:$T,MATCH('Detalhe Por UC'!$C255,'Infos Clientes'!B:B,0)),"")</f>
        <v>433.16666666666669</v>
      </c>
      <c r="BX255" s="83">
        <f t="shared" si="151"/>
        <v>0</v>
      </c>
      <c r="BY255" s="84">
        <f t="shared" si="152"/>
        <v>0.23289076679598253</v>
      </c>
      <c r="BZ255" s="85">
        <f>IF(_xlfn.MINIFS('Detalhe Por UC'!R:R,'Detalhe Por UC'!C:C,C255,'Detalhe Por UC'!AD:AD,"&gt;"&amp;0)=0,"",_xlfn.MINIFS('Detalhe Por UC'!R:R,'Detalhe Por UC'!C:C,C255,'Detalhe Por UC'!AD:AD,"&gt;"&amp;0))</f>
        <v>45627</v>
      </c>
      <c r="CA255" s="114">
        <f ca="1">IF(OR(S255&gt;0,AD255&gt;0),IFERROR(
SUMIFS(INDIRECT("'Infos Clientes'!$W"&amp;INDEX('Infos Clientes'!$C:$C,MATCH(C255,'Infos Clientes'!$H:$H,0))&amp;":$CZ"&amp;INDEX('Infos Clientes'!$C:$C,MATCH(C255,'Infos Clientes'!$H:$H,0))),'Infos Clientes'!$W$2:$CZ$2,"&gt;"&amp;$R255-365,'Infos Clientes'!$W$2:$CZ$2,"&lt;="&amp;$R255)/
COUNTIFS(INDIRECT("'Infos Clientes'!$W"&amp;INDEX('Infos Clientes'!$C:$C,MATCH(C255,'Infos Clientes'!$H:$H,0))&amp;":$CZ"&amp;INDEX('Infos Clientes'!$C:$C,MATCH(C255,'Infos Clientes'!$H:$H,0))),"&gt;="&amp;0,'Infos Clientes'!$W$2:$CZ$2,"&gt;"&amp;$R255-365,'Infos Clientes'!$W$2:$CZ$2,"&lt;="&amp;$R255),""),"")</f>
        <v>425.91666666666669</v>
      </c>
      <c r="CB255" s="87">
        <f>VLOOKUP(C255,'Infos Clientes'!B:L,11,0)</f>
        <v>0</v>
      </c>
      <c r="CC255" s="88" t="str">
        <f t="shared" si="153"/>
        <v>A Unidade Consumidora 10/3092868-3 economizou R$147,66 na fatura referente à mar/2025  consumindo 568 kWh em créditos de energia renovável conforme fatura de energia. A economia foi de 25% em relação ao que seria pago para a Energisa considerando os créditos consumidos. Atenção: Mantenha as contas da Energisa em dia para evitar cortes.</v>
      </c>
      <c r="CD255" s="40" t="s">
        <v>100</v>
      </c>
      <c r="CF255" s="115">
        <f t="shared" si="154"/>
        <v>-100.32000000000005</v>
      </c>
    </row>
    <row r="256" spans="1:84" ht="16.2" hidden="1" customHeight="1" x14ac:dyDescent="0.3">
      <c r="A256" s="105" t="str">
        <f>INDEX('Infos Clientes'!$D:$D,MATCH('Detalhe Por UC'!C256,'Infos Clientes'!B:B,0))</f>
        <v>IGREJA DO EVANGELHO QUADRANGULAR</v>
      </c>
      <c r="B256" s="106" t="str">
        <f>INDEX('Infos Clientes'!$F:$F,MATCH('Detalhe Por UC'!C256,'Infos Clientes'!B:B,0))</f>
        <v>62.955.505/0884-04</v>
      </c>
      <c r="C256" s="44" t="s">
        <v>88</v>
      </c>
      <c r="D256" t="s">
        <v>351</v>
      </c>
      <c r="E256" s="1" t="s">
        <v>352</v>
      </c>
      <c r="F256" s="56" t="str">
        <f>INDEX('Infos Clientes'!$I:$I,MATCH('Detalhe Por UC'!C256,'Infos Clientes'!B:B,0))</f>
        <v>BT</v>
      </c>
      <c r="G256" s="56" t="str">
        <f>INDEX('Infos Clientes'!$J:$J,MATCH('Detalhe Por UC'!C256,'Infos Clientes'!B:B,0))</f>
        <v>trifasico</v>
      </c>
      <c r="H256" s="108" t="s">
        <v>24</v>
      </c>
      <c r="I256" s="58">
        <f>IFERROR(VLOOKUP(C256,'Infos Clientes'!B:E,4,),"")</f>
        <v>994</v>
      </c>
      <c r="J256" s="109">
        <v>0.25</v>
      </c>
      <c r="K256" s="59">
        <f>INDEX('Infos Clientes'!$M:$M,MATCH('Detalhe Por UC'!C256,'Infos Clientes'!B:B,0))</f>
        <v>0.25</v>
      </c>
      <c r="L256" s="125">
        <v>0</v>
      </c>
      <c r="M256" s="56">
        <f>INDEX('Infos Clientes'!$N:$N,MATCH('Detalhe Por UC'!C256,'Infos Clientes'!B:B,0))</f>
        <v>0</v>
      </c>
      <c r="N256" s="56">
        <f t="shared" si="118"/>
        <v>0</v>
      </c>
      <c r="O256" s="56">
        <f t="shared" si="119"/>
        <v>12</v>
      </c>
      <c r="P256" s="56">
        <f t="shared" si="120"/>
        <v>0</v>
      </c>
      <c r="Q256" s="61">
        <f>IFERROR(IFERROR(INDEX('Infos Clientes'!$A$2:$V$9884,MATCH($C256,'Infos Clientes'!$B$2:$B$9884,0),MATCH(Q$8,'Infos Clientes'!$A$2:$V$2,0)),"")
+IF(OR(INDEX('Infos Clientes'!$A$2:$V$9884,MATCH($C256,'Infos Clientes'!$B$2:$B$9884,0),MATCH("Tempo de Fidelidade (meses)",'Infos Clientes'!$A$2:$V$2,0))=0,R256&gt;=MAX(R:R)),0,
ROUND((MAX(R:R)-R256)/(365/12),0)),"")</f>
        <v>0</v>
      </c>
      <c r="R256" s="111">
        <v>45717</v>
      </c>
      <c r="S256" s="17">
        <v>0.02</v>
      </c>
      <c r="T256" s="113">
        <f>IF($H256="GIROSSOL II",AP256/INDEX('Resumo Operacional'!$A$1:$P$1103,17,MATCH('Detalhe Por UC'!$R256,'Resumo Operacional'!$A$1:$P$1,0)),
IF($H256="GIROSSOL II e III",AP256/INDEX('Resumo Operacional'!$A$1:$P$1103,17,MATCH('Detalhe Por UC'!$R256,'Resumo Operacional'!$A$1:$P$1,0)),
""))</f>
        <v>1.9935210565661599E-2</v>
      </c>
      <c r="U256" s="113" t="str">
        <f>IF($H256="GIROSSOL III",AP256/INDEX('Resumo Operacional'!$A$1:$P$1103,53,MATCH('Detalhe Por UC'!$R256,'Resumo Operacional'!$A$1:$P$1,0)),
IF($H256="GIROSSOL II e III",AP256/INDEX('Resumo Operacional'!$A$1:$P$1103,53,MATCH('Detalhe Por UC'!$R256,'Resumo Operacional'!$A$1:$P$1,0)),
""))</f>
        <v/>
      </c>
      <c r="V256" s="18"/>
      <c r="W256" s="18"/>
      <c r="X256" s="18">
        <v>1.116264367816092</v>
      </c>
      <c r="Y256" s="18"/>
      <c r="Z256" s="18">
        <v>1.116208530805687</v>
      </c>
      <c r="AA256" s="18"/>
      <c r="AB256" s="18">
        <v>522</v>
      </c>
      <c r="AC256" s="18">
        <v>0</v>
      </c>
      <c r="AD256" s="18">
        <v>422</v>
      </c>
      <c r="AE256" s="35"/>
      <c r="AF256" s="18">
        <v>827</v>
      </c>
      <c r="AG256" s="18"/>
      <c r="AH256" s="18">
        <v>94.12</v>
      </c>
      <c r="AI256" s="18"/>
      <c r="AJ256" s="18"/>
      <c r="AN256" s="71">
        <f t="shared" si="121"/>
        <v>-182</v>
      </c>
      <c r="AO256" s="71">
        <f t="shared" si="122"/>
        <v>0</v>
      </c>
      <c r="AP256" s="71">
        <f t="shared" si="123"/>
        <v>240</v>
      </c>
      <c r="AQ256" s="72">
        <f>IF(OR($H256="GIROSSOL II",$H256="GIROSSOL II e III"),INDEX('Resumo Operacional'!$A$1:$P$1103,MATCH("Energia Injetada prevista total Fatura da Usina (TUSD)",'Resumo Operacional'!$B$1:$B$1103,0),MATCH('Detalhe Por UC'!$R256,'Resumo Operacional'!$A$1:$P$1,0))*$S256,INDEX('Resumo Operacional'!$A$1:$P$1103,53,MATCH('Detalhe Por UC'!$R256,'Resumo Operacional'!$A$1:$P$1,0))*$S256)</f>
        <v>240.78</v>
      </c>
      <c r="AR256" s="71">
        <f t="shared" si="124"/>
        <v>-0.78000000000000114</v>
      </c>
      <c r="AS256" s="73">
        <f t="shared" si="125"/>
        <v>205.77000000000015</v>
      </c>
      <c r="AT256" s="74">
        <f t="shared" si="126"/>
        <v>205.77000000000015</v>
      </c>
      <c r="AU256" s="74">
        <f t="shared" si="127"/>
        <v>1.1161526937952821</v>
      </c>
      <c r="AV256" s="74">
        <f t="shared" si="128"/>
        <v>353.28</v>
      </c>
      <c r="AW256" s="74">
        <f t="shared" si="129"/>
        <v>0</v>
      </c>
      <c r="AX256" s="74">
        <f t="shared" si="130"/>
        <v>471.03999999999991</v>
      </c>
      <c r="AY256" s="74">
        <f t="shared" si="131"/>
        <v>353.28</v>
      </c>
      <c r="AZ256" s="49">
        <v>353.28</v>
      </c>
      <c r="BA256" s="49">
        <v>353.28</v>
      </c>
      <c r="BB256" s="49">
        <v>353.28</v>
      </c>
      <c r="BC256" s="73" t="str">
        <f t="shared" si="132"/>
        <v/>
      </c>
      <c r="BD256" s="73">
        <f t="shared" si="133"/>
        <v>676.81000000000006</v>
      </c>
      <c r="BE256" s="73">
        <f t="shared" si="134"/>
        <v>559.05000000000018</v>
      </c>
      <c r="BF256" s="77">
        <f t="shared" si="135"/>
        <v>117.76</v>
      </c>
      <c r="BG256" s="77">
        <f t="shared" si="136"/>
        <v>35.328000000000003</v>
      </c>
      <c r="BH256" s="77">
        <f t="shared" si="137"/>
        <v>471.03999999999996</v>
      </c>
      <c r="BI256" s="78">
        <f t="shared" si="138"/>
        <v>0.25</v>
      </c>
      <c r="BJ256" s="79">
        <f t="shared" si="139"/>
        <v>0.17399270105347142</v>
      </c>
      <c r="BK256" s="80">
        <f t="shared" si="140"/>
        <v>559.05000000000018</v>
      </c>
      <c r="BL256" s="80">
        <f t="shared" si="141"/>
        <v>117.75999999999988</v>
      </c>
      <c r="BM256" s="79">
        <f t="shared" si="142"/>
        <v>0.17399270105347123</v>
      </c>
      <c r="BN256" s="81">
        <f t="shared" si="143"/>
        <v>0.83715639810426534</v>
      </c>
      <c r="BO256" s="82">
        <f t="shared" si="144"/>
        <v>353.28</v>
      </c>
      <c r="BP256" s="81">
        <f t="shared" si="145"/>
        <v>0.83715639810426534</v>
      </c>
      <c r="BQ256" s="81">
        <f t="shared" si="146"/>
        <v>0.83721223511467024</v>
      </c>
      <c r="BR256" s="81">
        <f t="shared" si="147"/>
        <v>1.116264367816092</v>
      </c>
      <c r="BS256" s="82">
        <f t="shared" si="148"/>
        <v>422</v>
      </c>
      <c r="BT256" s="82">
        <f t="shared" si="149"/>
        <v>471.06356321839081</v>
      </c>
      <c r="BU256" s="82">
        <f t="shared" si="150"/>
        <v>471.03999999999991</v>
      </c>
      <c r="BW256" s="82">
        <f>IFERROR(INDEX('Infos Clientes'!$T:$T,MATCH('Detalhe Por UC'!$C256,'Infos Clientes'!B:B,0)),"")</f>
        <v>335.75</v>
      </c>
      <c r="BX256" s="83">
        <f t="shared" si="151"/>
        <v>0</v>
      </c>
      <c r="BY256" s="84">
        <f t="shared" si="152"/>
        <v>0.24998749467150994</v>
      </c>
      <c r="BZ256" s="85">
        <f>IF(_xlfn.MINIFS('Detalhe Por UC'!R:R,'Detalhe Por UC'!C:C,C256,'Detalhe Por UC'!AD:AD,"&gt;"&amp;0)=0,"",_xlfn.MINIFS('Detalhe Por UC'!R:R,'Detalhe Por UC'!C:C,C256,'Detalhe Por UC'!AD:AD,"&gt;"&amp;0))</f>
        <v>45627</v>
      </c>
      <c r="CA256" s="114">
        <f ca="1">IF(OR(S256&gt;0,AD256&gt;0),IFERROR(
SUMIFS(INDIRECT("'Infos Clientes'!$W"&amp;INDEX('Infos Clientes'!$C:$C,MATCH(C256,'Infos Clientes'!$H:$H,0))&amp;":$CZ"&amp;INDEX('Infos Clientes'!$C:$C,MATCH(C256,'Infos Clientes'!$H:$H,0))),'Infos Clientes'!$W$2:$CZ$2,"&gt;"&amp;$R256-365,'Infos Clientes'!$W$2:$CZ$2,"&lt;="&amp;$R256)/
COUNTIFS(INDIRECT("'Infos Clientes'!$W"&amp;INDEX('Infos Clientes'!$C:$C,MATCH(C256,'Infos Clientes'!$H:$H,0))&amp;":$CZ"&amp;INDEX('Infos Clientes'!$C:$C,MATCH(C256,'Infos Clientes'!$H:$H,0))),"&gt;="&amp;0,'Infos Clientes'!$W$2:$CZ$2,"&gt;"&amp;$R256-365,'Infos Clientes'!$W$2:$CZ$2,"&lt;="&amp;$R256),""),"")</f>
        <v>356.16666666666669</v>
      </c>
      <c r="CB256" s="87">
        <f>VLOOKUP(C256,'Infos Clientes'!B:L,11,0)</f>
        <v>0</v>
      </c>
      <c r="CC256" s="88" t="str">
        <f t="shared" si="153"/>
        <v>A Unidade Consumidora 10/276283-9 economizou R$117,76 na fatura referente à mar/2025  consumindo 422 kWh em créditos de energia renovável conforme fatura de energia. A economia foi de 25% em relação ao que seria pago para a Energisa considerando os créditos consumidos. Atenção: Mantenha as contas da Energisa em dia para evitar cortes.</v>
      </c>
      <c r="CD256" s="40" t="s">
        <v>90</v>
      </c>
      <c r="CF256" s="115">
        <f t="shared" si="154"/>
        <v>-205.77000000000015</v>
      </c>
    </row>
    <row r="257" spans="1:84" ht="16.2" hidden="1" customHeight="1" x14ac:dyDescent="0.3">
      <c r="A257" s="105" t="str">
        <f>INDEX('Infos Clientes'!$D:$D,MATCH('Detalhe Por UC'!C257,'Infos Clientes'!B:B,0))</f>
        <v>IGREJA DO EVANGELHO QUADRANGULAR</v>
      </c>
      <c r="B257" s="106" t="str">
        <f>INDEX('Infos Clientes'!$F:$F,MATCH('Detalhe Por UC'!C257,'Infos Clientes'!B:B,0))</f>
        <v>62.955.505/3593-60</v>
      </c>
      <c r="C257" s="44" t="s">
        <v>123</v>
      </c>
      <c r="D257" t="s">
        <v>351</v>
      </c>
      <c r="E257" s="1" t="s">
        <v>352</v>
      </c>
      <c r="F257" s="56" t="str">
        <f>INDEX('Infos Clientes'!$I:$I,MATCH('Detalhe Por UC'!C257,'Infos Clientes'!B:B,0))</f>
        <v>BT</v>
      </c>
      <c r="G257" s="56" t="str">
        <f>INDEX('Infos Clientes'!$J:$J,MATCH('Detalhe Por UC'!C257,'Infos Clientes'!B:B,0))</f>
        <v>trifasico</v>
      </c>
      <c r="H257" s="108" t="s">
        <v>24</v>
      </c>
      <c r="I257" s="58">
        <f>IFERROR(VLOOKUP(C257,'Infos Clientes'!B:E,4,),"")</f>
        <v>351</v>
      </c>
      <c r="J257" s="109">
        <v>0.25</v>
      </c>
      <c r="K257" s="59">
        <f>INDEX('Infos Clientes'!$M:$M,MATCH('Detalhe Por UC'!C257,'Infos Clientes'!B:B,0))</f>
        <v>0.25</v>
      </c>
      <c r="L257" s="125">
        <v>0</v>
      </c>
      <c r="M257" s="56">
        <f>INDEX('Infos Clientes'!$N:$N,MATCH('Detalhe Por UC'!C257,'Infos Clientes'!B:B,0))</f>
        <v>0</v>
      </c>
      <c r="N257" s="56">
        <f t="shared" si="118"/>
        <v>0</v>
      </c>
      <c r="O257" s="56">
        <f t="shared" si="119"/>
        <v>12</v>
      </c>
      <c r="P257" s="56">
        <f t="shared" si="120"/>
        <v>0</v>
      </c>
      <c r="Q257" s="61">
        <f>IFERROR(IFERROR(INDEX('Infos Clientes'!$A$2:$V$9884,MATCH($C257,'Infos Clientes'!$B$2:$B$9884,0),MATCH(Q$8,'Infos Clientes'!$A$2:$V$2,0)),"")
+IF(OR(INDEX('Infos Clientes'!$A$2:$V$9884,MATCH($C257,'Infos Clientes'!$B$2:$B$9884,0),MATCH("Tempo de Fidelidade (meses)",'Infos Clientes'!$A$2:$V$2,0))=0,R257&gt;=MAX(R:R)),0,
ROUND((MAX(R:R)-R257)/(365/12),0)),"")</f>
        <v>0</v>
      </c>
      <c r="R257" s="111">
        <v>45717</v>
      </c>
      <c r="S257" s="17">
        <v>0.04</v>
      </c>
      <c r="T257" s="113">
        <f>IF($H257="GIROSSOL II",AP257/INDEX('Resumo Operacional'!$A$1:$P$1103,17,MATCH('Detalhe Por UC'!$R257,'Resumo Operacional'!$A$1:$P$1,0)),
IF($H257="GIROSSOL II e III",AP257/INDEX('Resumo Operacional'!$A$1:$P$1103,17,MATCH('Detalhe Por UC'!$R257,'Resumo Operacional'!$A$1:$P$1,0)),
""))</f>
        <v>3.9953484508680123E-2</v>
      </c>
      <c r="U257" s="113" t="str">
        <f>IF($H257="GIROSSOL III",AP257/INDEX('Resumo Operacional'!$A$1:$P$1103,53,MATCH('Detalhe Por UC'!$R257,'Resumo Operacional'!$A$1:$P$1,0)),
IF($H257="GIROSSOL II e III",AP257/INDEX('Resumo Operacional'!$A$1:$P$1103,53,MATCH('Detalhe Por UC'!$R257,'Resumo Operacional'!$A$1:$P$1,0)),
""))</f>
        <v/>
      </c>
      <c r="V257" s="18"/>
      <c r="W257" s="18"/>
      <c r="X257" s="18">
        <v>1.11625</v>
      </c>
      <c r="Y257" s="18"/>
      <c r="Z257" s="18">
        <v>1.1162628865979383</v>
      </c>
      <c r="AA257" s="18"/>
      <c r="AB257" s="18">
        <v>488</v>
      </c>
      <c r="AC257" s="18">
        <v>0</v>
      </c>
      <c r="AD257" s="18">
        <v>388</v>
      </c>
      <c r="AE257" s="35"/>
      <c r="AF257" s="18">
        <v>1135</v>
      </c>
      <c r="AG257" s="18"/>
      <c r="AH257" s="18">
        <v>88.8</v>
      </c>
      <c r="AI257" s="18"/>
      <c r="AJ257" s="18"/>
      <c r="AN257" s="71">
        <f t="shared" si="121"/>
        <v>93</v>
      </c>
      <c r="AO257" s="71">
        <f t="shared" si="122"/>
        <v>0</v>
      </c>
      <c r="AP257" s="71">
        <f t="shared" si="123"/>
        <v>481</v>
      </c>
      <c r="AQ257" s="72">
        <f>IF(OR($H257="GIROSSOL II",$H257="GIROSSOL II e III"),INDEX('Resumo Operacional'!$A$1:$P$1103,MATCH("Energia Injetada prevista total Fatura da Usina (TUSD)",'Resumo Operacional'!$B$1:$B$1103,0),MATCH('Detalhe Por UC'!$R257,'Resumo Operacional'!$A$1:$P$1,0))*$S257,INDEX('Resumo Operacional'!$A$1:$P$1103,53,MATCH('Detalhe Por UC'!$R257,'Resumo Operacional'!$A$1:$P$1,0))*$S257)</f>
        <v>481.56</v>
      </c>
      <c r="AR257" s="71">
        <f t="shared" si="124"/>
        <v>-0.56000000000000227</v>
      </c>
      <c r="AS257" s="73">
        <f t="shared" si="125"/>
        <v>200.41999999999996</v>
      </c>
      <c r="AT257" s="74">
        <f t="shared" si="126"/>
        <v>200.41999999999996</v>
      </c>
      <c r="AU257" s="74">
        <f t="shared" si="127"/>
        <v>1.1162757731958766</v>
      </c>
      <c r="AV257" s="74">
        <f t="shared" si="128"/>
        <v>324.83250000000004</v>
      </c>
      <c r="AW257" s="74">
        <f t="shared" si="129"/>
        <v>0</v>
      </c>
      <c r="AX257" s="74">
        <f t="shared" si="130"/>
        <v>433.11000000000007</v>
      </c>
      <c r="AY257" s="74">
        <f t="shared" si="131"/>
        <v>324.83</v>
      </c>
      <c r="AZ257" s="49">
        <v>324.83</v>
      </c>
      <c r="BA257" s="49">
        <v>324.83</v>
      </c>
      <c r="BB257" s="49">
        <v>324.83</v>
      </c>
      <c r="BC257" s="73" t="str">
        <f t="shared" si="132"/>
        <v/>
      </c>
      <c r="BD257" s="73">
        <f t="shared" si="133"/>
        <v>633.53</v>
      </c>
      <c r="BE257" s="73">
        <f t="shared" si="134"/>
        <v>525.25250000000005</v>
      </c>
      <c r="BF257" s="77">
        <f t="shared" si="135"/>
        <v>108.28</v>
      </c>
      <c r="BG257" s="77">
        <f t="shared" si="136"/>
        <v>32.484000000000002</v>
      </c>
      <c r="BH257" s="77">
        <f t="shared" si="137"/>
        <v>433.11</v>
      </c>
      <c r="BI257" s="78">
        <f t="shared" si="138"/>
        <v>0.25</v>
      </c>
      <c r="BJ257" s="79">
        <f t="shared" si="139"/>
        <v>0.17091534733951036</v>
      </c>
      <c r="BK257" s="80">
        <f t="shared" si="140"/>
        <v>525.25</v>
      </c>
      <c r="BL257" s="80">
        <f t="shared" si="141"/>
        <v>108.27999999999997</v>
      </c>
      <c r="BM257" s="79">
        <f t="shared" si="142"/>
        <v>0.17091534733951033</v>
      </c>
      <c r="BN257" s="81">
        <f t="shared" si="143"/>
        <v>0.83719072164948449</v>
      </c>
      <c r="BO257" s="82">
        <f t="shared" si="144"/>
        <v>324.83</v>
      </c>
      <c r="BP257" s="81">
        <f t="shared" si="145"/>
        <v>0.83719072164948449</v>
      </c>
      <c r="BQ257" s="81">
        <f t="shared" si="146"/>
        <v>0.83717783505154619</v>
      </c>
      <c r="BR257" s="81">
        <f t="shared" si="147"/>
        <v>1.11625</v>
      </c>
      <c r="BS257" s="82">
        <f t="shared" si="148"/>
        <v>388</v>
      </c>
      <c r="BT257" s="82">
        <f t="shared" si="149"/>
        <v>433.10499999999996</v>
      </c>
      <c r="BU257" s="82">
        <f t="shared" si="150"/>
        <v>433.11000000000007</v>
      </c>
      <c r="BW257" s="82">
        <f>IFERROR(INDEX('Infos Clientes'!$T:$T,MATCH('Detalhe Por UC'!$C257,'Infos Clientes'!B:B,0)),"")</f>
        <v>409.33333333333331</v>
      </c>
      <c r="BX257" s="83">
        <f t="shared" si="151"/>
        <v>0</v>
      </c>
      <c r="BY257" s="84">
        <f t="shared" si="152"/>
        <v>0.25000865840846925</v>
      </c>
      <c r="BZ257" s="85">
        <f>IF(_xlfn.MINIFS('Detalhe Por UC'!R:R,'Detalhe Por UC'!C:C,C257,'Detalhe Por UC'!AD:AD,"&gt;"&amp;0)=0,"",_xlfn.MINIFS('Detalhe Por UC'!R:R,'Detalhe Por UC'!C:C,C257,'Detalhe Por UC'!AD:AD,"&gt;"&amp;0))</f>
        <v>45627</v>
      </c>
      <c r="CA257" s="114">
        <f ca="1">IF(OR(S257&gt;0,AD257&gt;0),IFERROR(
SUMIFS(INDIRECT("'Infos Clientes'!$W"&amp;INDEX('Infos Clientes'!$C:$C,MATCH(C257,'Infos Clientes'!$H:$H,0))&amp;":$CZ"&amp;INDEX('Infos Clientes'!$C:$C,MATCH(C257,'Infos Clientes'!$H:$H,0))),'Infos Clientes'!$W$2:$CZ$2,"&gt;"&amp;$R257-365,'Infos Clientes'!$W$2:$CZ$2,"&lt;="&amp;$R257)/
COUNTIFS(INDIRECT("'Infos Clientes'!$W"&amp;INDEX('Infos Clientes'!$C:$C,MATCH(C257,'Infos Clientes'!$H:$H,0))&amp;":$CZ"&amp;INDEX('Infos Clientes'!$C:$C,MATCH(C257,'Infos Clientes'!$H:$H,0))),"&gt;="&amp;0,'Infos Clientes'!$W$2:$CZ$2,"&gt;"&amp;$R257-365,'Infos Clientes'!$W$2:$CZ$2,"&lt;="&amp;$R257),""),"")</f>
        <v>410.83333333333331</v>
      </c>
      <c r="CB257" s="87">
        <f>VLOOKUP(C257,'Infos Clientes'!B:L,11,0)</f>
        <v>0</v>
      </c>
      <c r="CC257" s="88" t="str">
        <f t="shared" si="153"/>
        <v>A Unidade Consumidora 10/532723-4 economizou R$108,28 na fatura referente à mar/2025  consumindo 388 kWh em créditos de energia renovável conforme fatura de energia. A economia foi de 25% em relação ao que seria pago para a Energisa considerando os créditos consumidos. Atenção: Mantenha as contas da Energisa em dia para evitar cortes.</v>
      </c>
      <c r="CD257" s="40" t="s">
        <v>125</v>
      </c>
      <c r="CF257" s="115">
        <f t="shared" si="154"/>
        <v>-200.41999999999996</v>
      </c>
    </row>
    <row r="258" spans="1:84" ht="16.2" hidden="1" customHeight="1" x14ac:dyDescent="0.3">
      <c r="A258" s="105" t="str">
        <f>INDEX('Infos Clientes'!$D:$D,MATCH('Detalhe Por UC'!C258,'Infos Clientes'!B:B,0))</f>
        <v>IGREJA DO EVANGELHO QUADRANGULAR</v>
      </c>
      <c r="B258" s="106" t="str">
        <f>INDEX('Infos Clientes'!$F:$F,MATCH('Detalhe Por UC'!C258,'Infos Clientes'!B:B,0))</f>
        <v>62.955.505/1822-57</v>
      </c>
      <c r="C258" s="44" t="s">
        <v>25</v>
      </c>
      <c r="D258" t="s">
        <v>351</v>
      </c>
      <c r="E258" s="1" t="s">
        <v>352</v>
      </c>
      <c r="F258" s="56" t="str">
        <f>INDEX('Infos Clientes'!$I:$I,MATCH('Detalhe Por UC'!C258,'Infos Clientes'!B:B,0))</f>
        <v>BT</v>
      </c>
      <c r="G258" s="56" t="str">
        <f>INDEX('Infos Clientes'!$J:$J,MATCH('Detalhe Por UC'!C258,'Infos Clientes'!B:B,0))</f>
        <v>trifasico</v>
      </c>
      <c r="H258" s="108" t="s">
        <v>24</v>
      </c>
      <c r="I258" s="58">
        <f>IFERROR(VLOOKUP(C258,'Infos Clientes'!B:E,4,),"")</f>
        <v>319</v>
      </c>
      <c r="J258" s="109">
        <v>0.25</v>
      </c>
      <c r="K258" s="59">
        <f>INDEX('Infos Clientes'!$M:$M,MATCH('Detalhe Por UC'!C258,'Infos Clientes'!B:B,0))</f>
        <v>0.25</v>
      </c>
      <c r="L258" s="125">
        <v>0</v>
      </c>
      <c r="M258" s="56">
        <f>INDEX('Infos Clientes'!$N:$N,MATCH('Detalhe Por UC'!C258,'Infos Clientes'!B:B,0))</f>
        <v>0</v>
      </c>
      <c r="N258" s="56">
        <f t="shared" si="118"/>
        <v>0</v>
      </c>
      <c r="O258" s="56">
        <f t="shared" si="119"/>
        <v>12</v>
      </c>
      <c r="P258" s="56">
        <f t="shared" si="120"/>
        <v>0</v>
      </c>
      <c r="Q258" s="61">
        <f>IFERROR(IFERROR(INDEX('Infos Clientes'!$A$2:$V$9884,MATCH($C258,'Infos Clientes'!$B$2:$B$9884,0),MATCH(Q$8,'Infos Clientes'!$A$2:$V$2,0)),"")
+IF(OR(INDEX('Infos Clientes'!$A$2:$V$9884,MATCH($C258,'Infos Clientes'!$B$2:$B$9884,0),MATCH("Tempo de Fidelidade (meses)",'Infos Clientes'!$A$2:$V$2,0))=0,R258&gt;=MAX(R:R)),0,
ROUND((MAX(R:R)-R258)/(365/12),0)),"")</f>
        <v>0</v>
      </c>
      <c r="R258" s="111">
        <v>45717</v>
      </c>
      <c r="S258" s="17">
        <v>0.06</v>
      </c>
      <c r="T258" s="113">
        <f>IF($H258="GIROSSOL II",AP258/INDEX('Resumo Operacional'!$A$1:$P$1103,17,MATCH('Detalhe Por UC'!$R258,'Resumo Operacional'!$A$1:$P$1,0)),
IF($H258="GIROSSOL II e III",AP258/INDEX('Resumo Operacional'!$A$1:$P$1103,17,MATCH('Detalhe Por UC'!$R258,'Resumo Operacional'!$A$1:$P$1,0)),
""))</f>
        <v>5.9971758451698644E-2</v>
      </c>
      <c r="U258" s="113" t="str">
        <f>IF($H258="GIROSSOL III",AP258/INDEX('Resumo Operacional'!$A$1:$P$1103,53,MATCH('Detalhe Por UC'!$R258,'Resumo Operacional'!$A$1:$P$1,0)),
IF($H258="GIROSSOL II e III",AP258/INDEX('Resumo Operacional'!$A$1:$P$1103,53,MATCH('Detalhe Por UC'!$R258,'Resumo Operacional'!$A$1:$P$1,0)),
""))</f>
        <v/>
      </c>
      <c r="V258" s="18"/>
      <c r="W258" s="18"/>
      <c r="X258" s="18">
        <v>1.1162650602409638</v>
      </c>
      <c r="Y258" s="18"/>
      <c r="Z258" s="18">
        <v>1.1162577962577962</v>
      </c>
      <c r="AA258" s="18"/>
      <c r="AB258" s="18">
        <v>581</v>
      </c>
      <c r="AC258" s="18">
        <v>0</v>
      </c>
      <c r="AD258" s="18">
        <v>481</v>
      </c>
      <c r="AE258" s="35"/>
      <c r="AF258" s="18">
        <v>1749</v>
      </c>
      <c r="AG258" s="18"/>
      <c r="AH258" s="18">
        <v>78.66</v>
      </c>
      <c r="AI258" s="18"/>
      <c r="AJ258" s="18"/>
      <c r="AN258" s="71">
        <f t="shared" si="121"/>
        <v>241</v>
      </c>
      <c r="AO258" s="71">
        <f t="shared" si="122"/>
        <v>0</v>
      </c>
      <c r="AP258" s="71">
        <f t="shared" si="123"/>
        <v>722</v>
      </c>
      <c r="AQ258" s="72">
        <f>IF(OR($H258="GIROSSOL II",$H258="GIROSSOL II e III"),INDEX('Resumo Operacional'!$A$1:$P$1103,MATCH("Energia Injetada prevista total Fatura da Usina (TUSD)",'Resumo Operacional'!$B$1:$B$1103,0),MATCH('Detalhe Por UC'!$R258,'Resumo Operacional'!$A$1:$P$1,0))*$S258,INDEX('Resumo Operacional'!$A$1:$P$1103,53,MATCH('Detalhe Por UC'!$R258,'Resumo Operacional'!$A$1:$P$1,0))*$S258)</f>
        <v>722.33999999999992</v>
      </c>
      <c r="AR258" s="71">
        <f t="shared" si="124"/>
        <v>-0.33999999999991815</v>
      </c>
      <c r="AS258" s="73">
        <f t="shared" si="125"/>
        <v>190.29</v>
      </c>
      <c r="AT258" s="74">
        <f t="shared" si="126"/>
        <v>190.29</v>
      </c>
      <c r="AU258" s="74">
        <f t="shared" si="127"/>
        <v>1.1162505322746286</v>
      </c>
      <c r="AV258" s="74">
        <f t="shared" si="128"/>
        <v>402.69</v>
      </c>
      <c r="AW258" s="74">
        <f t="shared" si="129"/>
        <v>0</v>
      </c>
      <c r="AX258" s="74">
        <f t="shared" si="130"/>
        <v>536.91999999999996</v>
      </c>
      <c r="AY258" s="74">
        <f t="shared" si="131"/>
        <v>402.69</v>
      </c>
      <c r="AZ258" s="49">
        <v>402.69</v>
      </c>
      <c r="BA258" s="49">
        <v>402.69</v>
      </c>
      <c r="BB258" s="49">
        <v>402.69</v>
      </c>
      <c r="BC258" s="73" t="str">
        <f t="shared" si="132"/>
        <v/>
      </c>
      <c r="BD258" s="73">
        <f t="shared" si="133"/>
        <v>727.20999999999992</v>
      </c>
      <c r="BE258" s="73">
        <f t="shared" si="134"/>
        <v>592.98</v>
      </c>
      <c r="BF258" s="77">
        <f t="shared" si="135"/>
        <v>134.22999999999999</v>
      </c>
      <c r="BG258" s="77">
        <f t="shared" si="136"/>
        <v>40.268999999999998</v>
      </c>
      <c r="BH258" s="77">
        <f t="shared" si="137"/>
        <v>536.91999999999996</v>
      </c>
      <c r="BI258" s="78">
        <f t="shared" si="138"/>
        <v>0.25</v>
      </c>
      <c r="BJ258" s="79">
        <f t="shared" si="139"/>
        <v>0.18458217021218082</v>
      </c>
      <c r="BK258" s="80">
        <f t="shared" si="140"/>
        <v>592.98</v>
      </c>
      <c r="BL258" s="80">
        <f t="shared" si="141"/>
        <v>134.2299999999999</v>
      </c>
      <c r="BM258" s="79">
        <f t="shared" si="142"/>
        <v>0.18458217021218068</v>
      </c>
      <c r="BN258" s="81">
        <f t="shared" si="143"/>
        <v>0.83719334719334715</v>
      </c>
      <c r="BO258" s="82">
        <f t="shared" si="144"/>
        <v>402.69</v>
      </c>
      <c r="BP258" s="81">
        <f t="shared" si="145"/>
        <v>0.83719334719334715</v>
      </c>
      <c r="BQ258" s="81">
        <f t="shared" si="146"/>
        <v>0.83720061117651479</v>
      </c>
      <c r="BR258" s="81">
        <f t="shared" si="147"/>
        <v>1.1162650602409638</v>
      </c>
      <c r="BS258" s="82">
        <f t="shared" si="148"/>
        <v>481</v>
      </c>
      <c r="BT258" s="82">
        <f t="shared" si="149"/>
        <v>536.92349397590363</v>
      </c>
      <c r="BU258" s="82">
        <f t="shared" si="150"/>
        <v>536.91999999999996</v>
      </c>
      <c r="BW258" s="82">
        <f>IFERROR(INDEX('Infos Clientes'!$T:$T,MATCH('Detalhe Por UC'!$C258,'Infos Clientes'!B:B,0)),"")</f>
        <v>453.58333333333331</v>
      </c>
      <c r="BX258" s="83">
        <f t="shared" si="151"/>
        <v>0</v>
      </c>
      <c r="BY258" s="84">
        <f t="shared" si="152"/>
        <v>0.24999837315001913</v>
      </c>
      <c r="BZ258" s="85">
        <f>IF(_xlfn.MINIFS('Detalhe Por UC'!R:R,'Detalhe Por UC'!C:C,C258,'Detalhe Por UC'!AD:AD,"&gt;"&amp;0)=0,"",_xlfn.MINIFS('Detalhe Por UC'!R:R,'Detalhe Por UC'!C:C,C258,'Detalhe Por UC'!AD:AD,"&gt;"&amp;0))</f>
        <v>45627</v>
      </c>
      <c r="CA258" s="114">
        <f ca="1">IF(OR(S258&gt;0,AD258&gt;0),IFERROR(
SUMIFS(INDIRECT("'Infos Clientes'!$W"&amp;INDEX('Infos Clientes'!$C:$C,MATCH(C258,'Infos Clientes'!$H:$H,0))&amp;":$CZ"&amp;INDEX('Infos Clientes'!$C:$C,MATCH(C258,'Infos Clientes'!$H:$H,0))),'Infos Clientes'!$W$2:$CZ$2,"&gt;"&amp;$R258-365,'Infos Clientes'!$W$2:$CZ$2,"&lt;="&amp;$R258)/
COUNTIFS(INDIRECT("'Infos Clientes'!$W"&amp;INDEX('Infos Clientes'!$C:$C,MATCH(C258,'Infos Clientes'!$H:$H,0))&amp;":$CZ"&amp;INDEX('Infos Clientes'!$C:$C,MATCH(C258,'Infos Clientes'!$H:$H,0))),"&gt;="&amp;0,'Infos Clientes'!$W$2:$CZ$2,"&gt;"&amp;$R258-365,'Infos Clientes'!$W$2:$CZ$2,"&lt;="&amp;$R258),""),"")</f>
        <v>436.33333333333331</v>
      </c>
      <c r="CB258" s="87">
        <f>VLOOKUP(C258,'Infos Clientes'!B:L,11,0)</f>
        <v>0</v>
      </c>
      <c r="CC258" s="88" t="str">
        <f t="shared" si="153"/>
        <v>A Unidade Consumidora 10/1035655-8 economizou R$134,23 na fatura referente à mar/2025  consumindo 481 kWh em créditos de energia renovável conforme fatura de energia. A economia foi de 25% em relação ao que seria pago para a Energisa considerando os créditos consumidos. Atenção: Mantenha as contas da Energisa em dia para evitar cortes.</v>
      </c>
      <c r="CD258" s="40" t="s">
        <v>27</v>
      </c>
      <c r="CF258" s="115">
        <f t="shared" si="154"/>
        <v>-190.29</v>
      </c>
    </row>
    <row r="259" spans="1:84" ht="16.2" hidden="1" customHeight="1" x14ac:dyDescent="0.3">
      <c r="A259" s="105" t="str">
        <f>INDEX('Infos Clientes'!$D:$D,MATCH('Detalhe Por UC'!C259,'Infos Clientes'!B:B,0))</f>
        <v>IGREJA DO EVANGELHO QUADRANGULAR</v>
      </c>
      <c r="B259" s="106" t="str">
        <f>INDEX('Infos Clientes'!$F:$F,MATCH('Detalhe Por UC'!C259,'Infos Clientes'!B:B,0))</f>
        <v>62.955.505/1935-34</v>
      </c>
      <c r="C259" s="137" t="s">
        <v>120</v>
      </c>
      <c r="D259" t="s">
        <v>351</v>
      </c>
      <c r="E259" s="1" t="s">
        <v>352</v>
      </c>
      <c r="F259" s="56" t="str">
        <f>INDEX('Infos Clientes'!$I:$I,MATCH('Detalhe Por UC'!C259,'Infos Clientes'!B:B,0))</f>
        <v>BT</v>
      </c>
      <c r="G259" s="56" t="str">
        <f>INDEX('Infos Clientes'!$J:$J,MATCH('Detalhe Por UC'!C259,'Infos Clientes'!B:B,0))</f>
        <v>trifasico</v>
      </c>
      <c r="H259" s="108" t="s">
        <v>353</v>
      </c>
      <c r="I259" s="58">
        <f>IFERROR(VLOOKUP(C259,'Infos Clientes'!B:E,4,),"")</f>
        <v>994</v>
      </c>
      <c r="J259" s="109">
        <v>0.25</v>
      </c>
      <c r="K259" s="59">
        <f>INDEX('Infos Clientes'!$M:$M,MATCH('Detalhe Por UC'!C259,'Infos Clientes'!B:B,0))</f>
        <v>0.25</v>
      </c>
      <c r="L259" s="125">
        <v>0</v>
      </c>
      <c r="M259" s="56">
        <f>INDEX('Infos Clientes'!$N:$N,MATCH('Detalhe Por UC'!C259,'Infos Clientes'!B:B,0))</f>
        <v>0</v>
      </c>
      <c r="N259" s="56">
        <f t="shared" si="118"/>
        <v>0</v>
      </c>
      <c r="O259" s="56">
        <f t="shared" si="119"/>
        <v>12</v>
      </c>
      <c r="P259" s="56">
        <f t="shared" si="120"/>
        <v>0</v>
      </c>
      <c r="Q259" s="61">
        <f>IFERROR(IFERROR(INDEX('Infos Clientes'!$A$2:$V$9884,MATCH($C259,'Infos Clientes'!$B$2:$B$9884,0),MATCH(Q$8,'Infos Clientes'!$A$2:$V$2,0)),"")
+IF(OR(INDEX('Infos Clientes'!$A$2:$V$9884,MATCH($C259,'Infos Clientes'!$B$2:$B$9884,0),MATCH("Tempo de Fidelidade (meses)",'Infos Clientes'!$A$2:$V$2,0))=0,R259&gt;=MAX(R:R)),0,
ROUND((MAX(R:R)-R259)/(365/12),0)),"")</f>
        <v>0</v>
      </c>
      <c r="R259" s="111">
        <v>45717</v>
      </c>
      <c r="S259" s="17">
        <v>0.01</v>
      </c>
      <c r="T259" s="113">
        <f>IF($H259="GIROSSOL II",AP259/INDEX('Resumo Operacional'!$A$1:$P$1103,17,MATCH('Detalhe Por UC'!$R259,'Resumo Operacional'!$A$1:$P$1,0)),
IF($H259="GIROSSOL II e III",AP259/INDEX('Resumo Operacional'!$A$1:$P$1103,17,MATCH('Detalhe Por UC'!$R259,'Resumo Operacional'!$A$1:$P$1,0)),
""))</f>
        <v>3.2976160810698561E-2</v>
      </c>
      <c r="U259" s="113">
        <f>IF($H259="GIROSSOL III",AP259/INDEX('Resumo Operacional'!$A$1:$P$1103,53,MATCH('Detalhe Por UC'!$R259,'Resumo Operacional'!$A$1:$P$1,0)),
IF($H259="GIROSSOL II e III",AP259/INDEX('Resumo Operacional'!$A$1:$P$1103,53,MATCH('Detalhe Por UC'!$R259,'Resumo Operacional'!$A$1:$P$1,0)),
""))</f>
        <v>3.2965208004650005E-2</v>
      </c>
      <c r="V259" s="18"/>
      <c r="W259" s="18"/>
      <c r="X259" s="18">
        <v>1.1162523540489642</v>
      </c>
      <c r="Y259" s="18"/>
      <c r="Z259" s="18">
        <v>1.0643668122270742</v>
      </c>
      <c r="AA259" s="18"/>
      <c r="AB259" s="18">
        <v>531</v>
      </c>
      <c r="AC259" s="18">
        <v>0</v>
      </c>
      <c r="AD259" s="18">
        <v>458</v>
      </c>
      <c r="AE259" s="35"/>
      <c r="AF259" s="18">
        <v>40</v>
      </c>
      <c r="AG259" s="18"/>
      <c r="AH259" s="18">
        <v>118.78000000000002</v>
      </c>
      <c r="AI259" s="18"/>
      <c r="AJ259" s="18"/>
      <c r="AN259" s="71">
        <f t="shared" si="121"/>
        <v>-61</v>
      </c>
      <c r="AO259" s="71">
        <f t="shared" si="122"/>
        <v>0</v>
      </c>
      <c r="AP259" s="71">
        <f t="shared" si="123"/>
        <v>397</v>
      </c>
      <c r="AQ259" s="72">
        <f>IF(OR($H259="GIROSSOL II",$H259="GIROSSOL II e III"),INDEX('Resumo Operacional'!$A$1:$P$1103,MATCH("Energia Injetada prevista total Fatura da Usina (TUSD)",'Resumo Operacional'!$B$1:$B$1103,0),MATCH('Detalhe Por UC'!$R259,'Resumo Operacional'!$A$1:$P$1,0))*$S259,INDEX('Resumo Operacional'!$A$1:$P$1103,53,MATCH('Detalhe Por UC'!$R259,'Resumo Operacional'!$A$1:$P$1,0))*$S259)</f>
        <v>120.39</v>
      </c>
      <c r="AR259" s="71">
        <f t="shared" si="124"/>
        <v>276.61</v>
      </c>
      <c r="AS259" s="73">
        <f t="shared" si="125"/>
        <v>224.03000000000009</v>
      </c>
      <c r="AT259" s="74">
        <f t="shared" si="126"/>
        <v>224.03000000000009</v>
      </c>
      <c r="AU259" s="74">
        <f t="shared" si="127"/>
        <v>1.0124812704051842</v>
      </c>
      <c r="AV259" s="74">
        <f t="shared" si="128"/>
        <v>365.60999999999996</v>
      </c>
      <c r="AW259" s="74">
        <f t="shared" si="129"/>
        <v>0</v>
      </c>
      <c r="AX259" s="74">
        <f t="shared" si="130"/>
        <v>487.47999999999996</v>
      </c>
      <c r="AY259" s="74">
        <f t="shared" si="131"/>
        <v>365.61</v>
      </c>
      <c r="AZ259" s="49">
        <v>365.61</v>
      </c>
      <c r="BA259" s="49">
        <v>365.61</v>
      </c>
      <c r="BB259" s="49">
        <v>365.61</v>
      </c>
      <c r="BC259" s="73" t="str">
        <f t="shared" si="132"/>
        <v/>
      </c>
      <c r="BD259" s="73">
        <f t="shared" si="133"/>
        <v>711.51</v>
      </c>
      <c r="BE259" s="73">
        <f t="shared" si="134"/>
        <v>589.6400000000001</v>
      </c>
      <c r="BF259" s="77">
        <f t="shared" si="135"/>
        <v>121.87</v>
      </c>
      <c r="BG259" s="77">
        <f t="shared" si="136"/>
        <v>36.561</v>
      </c>
      <c r="BH259" s="77">
        <f t="shared" si="137"/>
        <v>487.47999999999996</v>
      </c>
      <c r="BI259" s="78">
        <f t="shared" si="138"/>
        <v>0.25</v>
      </c>
      <c r="BJ259" s="79">
        <f t="shared" si="139"/>
        <v>0.17128360810108081</v>
      </c>
      <c r="BK259" s="80">
        <f t="shared" si="140"/>
        <v>589.6400000000001</v>
      </c>
      <c r="BL259" s="80">
        <f t="shared" si="141"/>
        <v>121.86999999999989</v>
      </c>
      <c r="BM259" s="79">
        <f t="shared" si="142"/>
        <v>0.17128360810108065</v>
      </c>
      <c r="BN259" s="81">
        <f t="shared" si="143"/>
        <v>0.79827510917030575</v>
      </c>
      <c r="BO259" s="82">
        <f t="shared" si="144"/>
        <v>365.61</v>
      </c>
      <c r="BP259" s="81">
        <f t="shared" si="145"/>
        <v>0.79827510917030575</v>
      </c>
      <c r="BQ259" s="81">
        <f t="shared" si="146"/>
        <v>0.85016065099219573</v>
      </c>
      <c r="BR259" s="81">
        <f t="shared" si="147"/>
        <v>1.1162523540489642</v>
      </c>
      <c r="BS259" s="82">
        <f t="shared" si="148"/>
        <v>458</v>
      </c>
      <c r="BT259" s="82">
        <f t="shared" si="149"/>
        <v>511.24357815442556</v>
      </c>
      <c r="BU259" s="82">
        <f t="shared" si="150"/>
        <v>487.47999999999996</v>
      </c>
      <c r="BW259" s="82">
        <f>IFERROR(INDEX('Infos Clientes'!$T:$T,MATCH('Detalhe Por UC'!$C259,'Infos Clientes'!B:B,0)),"")</f>
        <v>350.91666666666669</v>
      </c>
      <c r="BX259" s="83">
        <f t="shared" si="151"/>
        <v>0</v>
      </c>
      <c r="BY259" s="84">
        <f t="shared" si="152"/>
        <v>0.23837952241854476</v>
      </c>
      <c r="BZ259" s="85">
        <f>IF(_xlfn.MINIFS('Detalhe Por UC'!R:R,'Detalhe Por UC'!C:C,C259,'Detalhe Por UC'!AD:AD,"&gt;"&amp;0)=0,"",_xlfn.MINIFS('Detalhe Por UC'!R:R,'Detalhe Por UC'!C:C,C259,'Detalhe Por UC'!AD:AD,"&gt;"&amp;0))</f>
        <v>45627</v>
      </c>
      <c r="CA259" s="114">
        <f ca="1">IF(OR(S259&gt;0,AD259&gt;0),IFERROR(
SUMIFS(INDIRECT("'Infos Clientes'!$W"&amp;INDEX('Infos Clientes'!$C:$C,MATCH(C259,'Infos Clientes'!$H:$H,0))&amp;":$CZ"&amp;INDEX('Infos Clientes'!$C:$C,MATCH(C259,'Infos Clientes'!$H:$H,0))),'Infos Clientes'!$W$2:$CZ$2,"&gt;"&amp;$R259-365,'Infos Clientes'!$W$2:$CZ$2,"&lt;="&amp;$R259)/
COUNTIFS(INDIRECT("'Infos Clientes'!$W"&amp;INDEX('Infos Clientes'!$C:$C,MATCH(C259,'Infos Clientes'!$H:$H,0))&amp;":$CZ"&amp;INDEX('Infos Clientes'!$C:$C,MATCH(C259,'Infos Clientes'!$H:$H,0))),"&gt;="&amp;0,'Infos Clientes'!$W$2:$CZ$2,"&gt;"&amp;$R259-365,'Infos Clientes'!$W$2:$CZ$2,"&lt;="&amp;$R259),""),"")</f>
        <v>369.08333333333331</v>
      </c>
      <c r="CB259" s="87">
        <f>VLOOKUP(C259,'Infos Clientes'!B:L,11,0)</f>
        <v>0</v>
      </c>
      <c r="CC259" s="88" t="str">
        <f t="shared" si="153"/>
        <v>A Unidade Consumidora 10/532081-7 economizou R$121,87 na fatura referente à mar/2025  consumindo 458 kWh em créditos de energia renovável conforme fatura de energia. A economia foi de 25% em relação ao que seria pago para a Energisa considerando os créditos consumidos. Atenção: Mantenha as contas da Energisa em dia para evitar cortes.</v>
      </c>
      <c r="CD259" s="40" t="s">
        <v>122</v>
      </c>
      <c r="CF259" s="115">
        <f t="shared" si="154"/>
        <v>-224.03000000000009</v>
      </c>
    </row>
    <row r="260" spans="1:84" ht="16.2" hidden="1" customHeight="1" x14ac:dyDescent="0.3">
      <c r="A260" s="105" t="str">
        <f>INDEX('Infos Clientes'!$D:$D,MATCH('Detalhe Por UC'!C260,'Infos Clientes'!B:B,0))</f>
        <v>IGREJA DO EVANGELHO QUADRANGULAR</v>
      </c>
      <c r="B260" s="106" t="str">
        <f>INDEX('Infos Clientes'!$F:$F,MATCH('Detalhe Por UC'!C260,'Infos Clientes'!B:B,0))</f>
        <v>62.955.505/0153-50</v>
      </c>
      <c r="C260" s="137" t="s">
        <v>45</v>
      </c>
      <c r="D260" t="s">
        <v>351</v>
      </c>
      <c r="E260" s="1" t="s">
        <v>352</v>
      </c>
      <c r="F260" s="56" t="str">
        <f>INDEX('Infos Clientes'!$I:$I,MATCH('Detalhe Por UC'!C260,'Infos Clientes'!B:B,0))</f>
        <v>BT</v>
      </c>
      <c r="G260" s="56" t="str">
        <f>INDEX('Infos Clientes'!$J:$J,MATCH('Detalhe Por UC'!C260,'Infos Clientes'!B:B,0))</f>
        <v>trifasico</v>
      </c>
      <c r="H260" s="108" t="s">
        <v>353</v>
      </c>
      <c r="I260" s="58">
        <f>IFERROR(VLOOKUP(C260,'Infos Clientes'!B:E,4,),"")</f>
        <v>994</v>
      </c>
      <c r="J260" s="109">
        <v>0.25</v>
      </c>
      <c r="K260" s="59">
        <f>INDEX('Infos Clientes'!$M:$M,MATCH('Detalhe Por UC'!C260,'Infos Clientes'!B:B,0))</f>
        <v>0.25</v>
      </c>
      <c r="L260" s="125">
        <v>0</v>
      </c>
      <c r="M260" s="56">
        <f>INDEX('Infos Clientes'!$N:$N,MATCH('Detalhe Por UC'!C260,'Infos Clientes'!B:B,0))</f>
        <v>0</v>
      </c>
      <c r="N260" s="56">
        <f t="shared" si="118"/>
        <v>0</v>
      </c>
      <c r="O260" s="56">
        <f t="shared" si="119"/>
        <v>12</v>
      </c>
      <c r="P260" s="56">
        <f t="shared" si="120"/>
        <v>0</v>
      </c>
      <c r="Q260" s="61">
        <f>IFERROR(IFERROR(INDEX('Infos Clientes'!$A$2:$V$9884,MATCH($C260,'Infos Clientes'!$B$2:$B$9884,0),MATCH(Q$8,'Infos Clientes'!$A$2:$V$2,0)),"")
+IF(OR(INDEX('Infos Clientes'!$A$2:$V$9884,MATCH($C260,'Infos Clientes'!$B$2:$B$9884,0),MATCH("Tempo de Fidelidade (meses)",'Infos Clientes'!$A$2:$V$2,0))=0,R260&gt;=MAX(R:R)),0,
ROUND((MAX(R:R)-R260)/(365/12),0)),"")</f>
        <v>0</v>
      </c>
      <c r="R260" s="111">
        <v>45717</v>
      </c>
      <c r="S260" s="17">
        <v>0.02</v>
      </c>
      <c r="T260" s="113">
        <f>IF($H260="GIROSSOL II",AP260/INDEX('Resumo Operacional'!$A$1:$P$1103,17,MATCH('Detalhe Por UC'!$R260,'Resumo Operacional'!$A$1:$P$1,0)),
IF($H260="GIROSSOL II e III",AP260/INDEX('Resumo Operacional'!$A$1:$P$1103,17,MATCH('Detalhe Por UC'!$R260,'Resumo Operacional'!$A$1:$P$1,0)),
""))</f>
        <v>4.5020350527452443E-2</v>
      </c>
      <c r="U260" s="113">
        <f>IF($H260="GIROSSOL III",AP260/INDEX('Resumo Operacional'!$A$1:$P$1103,53,MATCH('Detalhe Por UC'!$R260,'Resumo Operacional'!$A$1:$P$1,0)),
IF($H260="GIROSSOL II e III",AP260/INDEX('Resumo Operacional'!$A$1:$P$1103,53,MATCH('Detalhe Por UC'!$R260,'Resumo Operacional'!$A$1:$P$1,0)),
""))</f>
        <v>4.5005397326247615E-2</v>
      </c>
      <c r="V260" s="18"/>
      <c r="W260" s="18"/>
      <c r="X260" s="18">
        <v>1.1162576687116565</v>
      </c>
      <c r="Y260" s="18"/>
      <c r="Z260" s="18">
        <v>1.0394600938967136</v>
      </c>
      <c r="AA260" s="18"/>
      <c r="AB260" s="18">
        <v>489</v>
      </c>
      <c r="AC260" s="18">
        <v>0</v>
      </c>
      <c r="AD260" s="18">
        <v>426</v>
      </c>
      <c r="AE260" s="35"/>
      <c r="AF260" s="18">
        <v>405</v>
      </c>
      <c r="AG260" s="18"/>
      <c r="AH260" s="18">
        <v>97.64</v>
      </c>
      <c r="AI260" s="18"/>
      <c r="AJ260" s="18"/>
      <c r="AN260" s="71">
        <f t="shared" si="121"/>
        <v>116</v>
      </c>
      <c r="AO260" s="71">
        <f t="shared" si="122"/>
        <v>0</v>
      </c>
      <c r="AP260" s="71">
        <f t="shared" si="123"/>
        <v>542</v>
      </c>
      <c r="AQ260" s="72">
        <f>IF(OR($H260="GIROSSOL II",$H260="GIROSSOL II e III"),INDEX('Resumo Operacional'!$A$1:$P$1103,MATCH("Energia Injetada prevista total Fatura da Usina (TUSD)",'Resumo Operacional'!$B$1:$B$1103,0),MATCH('Detalhe Por UC'!$R260,'Resumo Operacional'!$A$1:$P$1,0))*$S260,INDEX('Resumo Operacional'!$A$1:$P$1103,53,MATCH('Detalhe Por UC'!$R260,'Resumo Operacional'!$A$1:$P$1,0))*$S260)</f>
        <v>240.78</v>
      </c>
      <c r="AR260" s="71">
        <f t="shared" si="124"/>
        <v>301.22000000000003</v>
      </c>
      <c r="AS260" s="73">
        <f t="shared" si="125"/>
        <v>200.68</v>
      </c>
      <c r="AT260" s="74">
        <f t="shared" si="126"/>
        <v>200.68</v>
      </c>
      <c r="AU260" s="74">
        <f t="shared" si="127"/>
        <v>0.96266251908177058</v>
      </c>
      <c r="AV260" s="74">
        <f t="shared" si="128"/>
        <v>332.10749999999996</v>
      </c>
      <c r="AW260" s="74">
        <f t="shared" si="129"/>
        <v>0</v>
      </c>
      <c r="AX260" s="74">
        <f t="shared" si="130"/>
        <v>442.81</v>
      </c>
      <c r="AY260" s="74">
        <f t="shared" si="131"/>
        <v>332.11</v>
      </c>
      <c r="AZ260" s="49">
        <v>332.11</v>
      </c>
      <c r="BA260" s="49">
        <v>332.11</v>
      </c>
      <c r="BB260" s="49">
        <v>332.11</v>
      </c>
      <c r="BC260" s="73" t="str">
        <f t="shared" si="132"/>
        <v/>
      </c>
      <c r="BD260" s="73">
        <f t="shared" si="133"/>
        <v>643.49</v>
      </c>
      <c r="BE260" s="73">
        <f t="shared" si="134"/>
        <v>532.78749999999991</v>
      </c>
      <c r="BF260" s="77">
        <f t="shared" si="135"/>
        <v>110.7</v>
      </c>
      <c r="BG260" s="77">
        <f t="shared" si="136"/>
        <v>33.21</v>
      </c>
      <c r="BH260" s="77">
        <f t="shared" si="137"/>
        <v>442.80999999999995</v>
      </c>
      <c r="BI260" s="78">
        <f t="shared" si="138"/>
        <v>0.25</v>
      </c>
      <c r="BJ260" s="79">
        <f t="shared" si="139"/>
        <v>0.17203064538687471</v>
      </c>
      <c r="BK260" s="80">
        <f t="shared" si="140"/>
        <v>532.79</v>
      </c>
      <c r="BL260" s="80">
        <f t="shared" si="141"/>
        <v>110.70000000000005</v>
      </c>
      <c r="BM260" s="79">
        <f t="shared" si="142"/>
        <v>0.17203064538687476</v>
      </c>
      <c r="BN260" s="81">
        <f t="shared" si="143"/>
        <v>0.77960093896713623</v>
      </c>
      <c r="BO260" s="82">
        <f t="shared" si="144"/>
        <v>332.11</v>
      </c>
      <c r="BP260" s="81">
        <f t="shared" si="145"/>
        <v>0.77960093896713623</v>
      </c>
      <c r="BQ260" s="81">
        <f t="shared" si="146"/>
        <v>0.85639851378207921</v>
      </c>
      <c r="BR260" s="81">
        <f t="shared" si="147"/>
        <v>1.1162576687116565</v>
      </c>
      <c r="BS260" s="82">
        <f t="shared" si="148"/>
        <v>426</v>
      </c>
      <c r="BT260" s="82">
        <f t="shared" si="149"/>
        <v>475.52576687116567</v>
      </c>
      <c r="BU260" s="82">
        <f t="shared" si="150"/>
        <v>442.81</v>
      </c>
      <c r="BW260" s="82">
        <f>IFERROR(INDEX('Infos Clientes'!$T:$T,MATCH('Detalhe Por UC'!$C260,'Infos Clientes'!B:B,0)),"")</f>
        <v>362.41666666666669</v>
      </c>
      <c r="BX260" s="83">
        <f t="shared" si="151"/>
        <v>0</v>
      </c>
      <c r="BY260" s="84">
        <f t="shared" si="152"/>
        <v>0.23279495605122894</v>
      </c>
      <c r="BZ260" s="85">
        <f>IF(_xlfn.MINIFS('Detalhe Por UC'!R:R,'Detalhe Por UC'!C:C,C260,'Detalhe Por UC'!AD:AD,"&gt;"&amp;0)=0,"",_xlfn.MINIFS('Detalhe Por UC'!R:R,'Detalhe Por UC'!C:C,C260,'Detalhe Por UC'!AD:AD,"&gt;"&amp;0))</f>
        <v>45627</v>
      </c>
      <c r="CA260" s="114">
        <f ca="1">IF(OR(S260&gt;0,AD260&gt;0),IFERROR(
SUMIFS(INDIRECT("'Infos Clientes'!$W"&amp;INDEX('Infos Clientes'!$C:$C,MATCH(C260,'Infos Clientes'!$H:$H,0))&amp;":$CZ"&amp;INDEX('Infos Clientes'!$C:$C,MATCH(C260,'Infos Clientes'!$H:$H,0))),'Infos Clientes'!$W$2:$CZ$2,"&gt;"&amp;$R260-365,'Infos Clientes'!$W$2:$CZ$2,"&lt;="&amp;$R260)/
COUNTIFS(INDIRECT("'Infos Clientes'!$W"&amp;INDEX('Infos Clientes'!$C:$C,MATCH(C260,'Infos Clientes'!$H:$H,0))&amp;":$CZ"&amp;INDEX('Infos Clientes'!$C:$C,MATCH(C260,'Infos Clientes'!$H:$H,0))),"&gt;="&amp;0,'Infos Clientes'!$W$2:$CZ$2,"&gt;"&amp;$R260-365,'Infos Clientes'!$W$2:$CZ$2,"&lt;="&amp;$R260),""),"")</f>
        <v>369.75</v>
      </c>
      <c r="CB260" s="87">
        <f>VLOOKUP(C260,'Infos Clientes'!B:L,11,0)</f>
        <v>0</v>
      </c>
      <c r="CC260" s="88" t="str">
        <f t="shared" si="153"/>
        <v>A Unidade Consumidora 10/156956-5 economizou R$110,7 na fatura referente à mar/2025  consumindo 426 kWh em créditos de energia renovável conforme fatura de energia. A economia foi de 25% em relação ao que seria pago para a Energisa considerando os créditos consumidos. Atenção: Mantenha as contas da Energisa em dia para evitar cortes.</v>
      </c>
      <c r="CD260" s="40" t="s">
        <v>47</v>
      </c>
      <c r="CF260" s="115">
        <f t="shared" si="154"/>
        <v>-200.68</v>
      </c>
    </row>
    <row r="261" spans="1:84" ht="16.2" hidden="1" customHeight="1" x14ac:dyDescent="0.3">
      <c r="A261" s="105" t="str">
        <f>INDEX('Infos Clientes'!$D:$D,MATCH('Detalhe Por UC'!C261,'Infos Clientes'!B:B,0))</f>
        <v>IGREJA DO EVANGELHO QUADRANGULAR</v>
      </c>
      <c r="B261" s="106" t="str">
        <f>INDEX('Infos Clientes'!$F:$F,MATCH('Detalhe Por UC'!C261,'Infos Clientes'!B:B,0))</f>
        <v>62.955.505/0914-56</v>
      </c>
      <c r="C261" s="44" t="s">
        <v>132</v>
      </c>
      <c r="D261" t="s">
        <v>351</v>
      </c>
      <c r="E261" s="1" t="s">
        <v>352</v>
      </c>
      <c r="F261" s="56">
        <f>INDEX('Infos Clientes'!$I:$I,MATCH('Detalhe Por UC'!C261,'Infos Clientes'!B:B,0))</f>
        <v>0</v>
      </c>
      <c r="G261" s="56">
        <f>INDEX('Infos Clientes'!$J:$J,MATCH('Detalhe Por UC'!C261,'Infos Clientes'!B:B,0))</f>
        <v>0</v>
      </c>
      <c r="H261" s="108" t="s">
        <v>24</v>
      </c>
      <c r="I261" s="58">
        <f>IFERROR(VLOOKUP(C261,'Infos Clientes'!B:E,4,),"")</f>
        <v>0</v>
      </c>
      <c r="J261" s="109">
        <v>0</v>
      </c>
      <c r="K261" s="59">
        <f>INDEX('Infos Clientes'!$M:$M,MATCH('Detalhe Por UC'!C261,'Infos Clientes'!B:B,0))</f>
        <v>0</v>
      </c>
      <c r="L261" s="125">
        <v>0</v>
      </c>
      <c r="M261" s="56">
        <f>INDEX('Infos Clientes'!$N:$N,MATCH('Detalhe Por UC'!C261,'Infos Clientes'!B:B,0))</f>
        <v>0</v>
      </c>
      <c r="N261" s="56">
        <f t="shared" si="118"/>
        <v>6</v>
      </c>
      <c r="O261" s="56">
        <f t="shared" si="119"/>
        <v>0</v>
      </c>
      <c r="P261" s="56">
        <f t="shared" si="120"/>
        <v>-6</v>
      </c>
      <c r="Q261" s="61">
        <f>IFERROR(IFERROR(INDEX('Infos Clientes'!$A$2:$V$9884,MATCH($C261,'Infos Clientes'!$B$2:$B$9884,0),MATCH(Q$8,'Infos Clientes'!$A$2:$V$2,0)),"")
+IF(OR(INDEX('Infos Clientes'!$A$2:$V$9884,MATCH($C261,'Infos Clientes'!$B$2:$B$9884,0),MATCH("Tempo de Fidelidade (meses)",'Infos Clientes'!$A$2:$V$2,0))=0,R261&gt;=MAX(R:R)),0,
ROUND((MAX(R:R)-R261)/(365/12),0)),"")</f>
        <v>0</v>
      </c>
      <c r="R261" s="111">
        <v>45717</v>
      </c>
      <c r="S261" s="17">
        <v>0.02</v>
      </c>
      <c r="T261" s="113">
        <f>IF($H261="GIROSSOL II",AP261/INDEX('Resumo Operacional'!$A$1:$P$1103,17,MATCH('Detalhe Por UC'!$R261,'Resumo Operacional'!$A$1:$P$1,0)),
IF($H261="GIROSSOL II e III",AP261/INDEX('Resumo Operacional'!$A$1:$P$1103,17,MATCH('Detalhe Por UC'!$R261,'Resumo Operacional'!$A$1:$P$1,0)),
""))</f>
        <v>0</v>
      </c>
      <c r="U261" s="113" t="str">
        <f>IF($H261="GIROSSOL III",AP261/INDEX('Resumo Operacional'!$A$1:$P$1103,53,MATCH('Detalhe Por UC'!$R261,'Resumo Operacional'!$A$1:$P$1,0)),
IF($H261="GIROSSOL II e III",AP261/INDEX('Resumo Operacional'!$A$1:$P$1103,53,MATCH('Detalhe Por UC'!$R261,'Resumo Operacional'!$A$1:$P$1,0)),
""))</f>
        <v/>
      </c>
      <c r="V261" s="18"/>
      <c r="W261" s="18"/>
      <c r="X261" s="18"/>
      <c r="Y261" s="18"/>
      <c r="Z261" s="18"/>
      <c r="AA261" s="18"/>
      <c r="AB261" s="18"/>
      <c r="AC261" s="18"/>
      <c r="AD261" s="18"/>
      <c r="AE261" s="35"/>
      <c r="AF261" s="18"/>
      <c r="AG261" s="18"/>
      <c r="AH261" s="18"/>
      <c r="AI261" s="18"/>
      <c r="AJ261" s="18"/>
      <c r="AN261" s="71" t="str">
        <f t="shared" si="121"/>
        <v/>
      </c>
      <c r="AO261" s="71" t="str">
        <f t="shared" si="122"/>
        <v/>
      </c>
      <c r="AP261" s="71">
        <f t="shared" si="123"/>
        <v>0</v>
      </c>
      <c r="AQ261" s="72">
        <f>IF(OR($H261="GIROSSOL II",$H261="GIROSSOL II e III"),INDEX('Resumo Operacional'!$A$1:$P$1103,MATCH("Energia Injetada prevista total Fatura da Usina (TUSD)",'Resumo Operacional'!$B$1:$B$1103,0),MATCH('Detalhe Por UC'!$R261,'Resumo Operacional'!$A$1:$P$1,0))*$S261,INDEX('Resumo Operacional'!$A$1:$P$1103,53,MATCH('Detalhe Por UC'!$R261,'Resumo Operacional'!$A$1:$P$1,0))*$S261)</f>
        <v>240.78</v>
      </c>
      <c r="AR261" s="71" t="str">
        <f t="shared" si="124"/>
        <v/>
      </c>
      <c r="AS261" s="73">
        <f t="shared" si="125"/>
        <v>0</v>
      </c>
      <c r="AT261" s="74">
        <f t="shared" si="126"/>
        <v>0</v>
      </c>
      <c r="AU261" s="74" t="str">
        <f t="shared" si="127"/>
        <v/>
      </c>
      <c r="AV261" s="74">
        <f t="shared" si="128"/>
        <v>0</v>
      </c>
      <c r="AW261" s="74">
        <f t="shared" si="129"/>
        <v>0</v>
      </c>
      <c r="AX261" s="74">
        <f t="shared" si="130"/>
        <v>0</v>
      </c>
      <c r="AY261" s="74" t="str">
        <f t="shared" si="131"/>
        <v/>
      </c>
      <c r="AZ261" s="49" t="s">
        <v>354</v>
      </c>
      <c r="BA261" s="49">
        <v>0</v>
      </c>
      <c r="BC261" s="73" t="str">
        <f t="shared" si="132"/>
        <v/>
      </c>
      <c r="BD261" s="73">
        <f t="shared" si="133"/>
        <v>0</v>
      </c>
      <c r="BE261" s="73">
        <f t="shared" si="134"/>
        <v>0</v>
      </c>
      <c r="BF261" s="77">
        <f t="shared" si="135"/>
        <v>0</v>
      </c>
      <c r="BG261" s="77">
        <f t="shared" si="136"/>
        <v>0</v>
      </c>
      <c r="BH261" s="77">
        <f t="shared" si="137"/>
        <v>0</v>
      </c>
      <c r="BI261" s="78" t="str">
        <f t="shared" si="138"/>
        <v/>
      </c>
      <c r="BJ261" s="79" t="str">
        <f t="shared" si="139"/>
        <v/>
      </c>
      <c r="BK261" s="80" t="str">
        <f t="shared" si="140"/>
        <v/>
      </c>
      <c r="BL261" s="80" t="str">
        <f t="shared" si="141"/>
        <v/>
      </c>
      <c r="BM261" s="79" t="str">
        <f t="shared" si="142"/>
        <v/>
      </c>
      <c r="BN261" s="81" t="str">
        <f t="shared" si="143"/>
        <v/>
      </c>
      <c r="BO261" s="82" t="str">
        <f t="shared" si="144"/>
        <v/>
      </c>
      <c r="BP261" s="81" t="str">
        <f t="shared" si="145"/>
        <v/>
      </c>
      <c r="BQ261" s="81" t="str">
        <f t="shared" si="146"/>
        <v/>
      </c>
      <c r="BR261" s="81" t="str">
        <f t="shared" si="147"/>
        <v/>
      </c>
      <c r="BS261" s="82">
        <f t="shared" si="148"/>
        <v>0</v>
      </c>
      <c r="BT261" s="82" t="str">
        <f t="shared" si="149"/>
        <v/>
      </c>
      <c r="BU261" s="82">
        <f t="shared" si="150"/>
        <v>0</v>
      </c>
      <c r="BW261" s="82">
        <f>IFERROR(INDEX('Infos Clientes'!$T:$T,MATCH('Detalhe Por UC'!$C261,'Infos Clientes'!B:B,0)),"")</f>
        <v>0</v>
      </c>
      <c r="BX261" s="83">
        <f t="shared" si="151"/>
        <v>0</v>
      </c>
      <c r="BY261" s="84" t="str">
        <f t="shared" si="152"/>
        <v/>
      </c>
      <c r="BZ261" s="85" t="str">
        <f>IF(_xlfn.MINIFS('Detalhe Por UC'!R:R,'Detalhe Por UC'!C:C,C261,'Detalhe Por UC'!AD:AD,"&gt;"&amp;0)=0,"",_xlfn.MINIFS('Detalhe Por UC'!R:R,'Detalhe Por UC'!C:C,C261,'Detalhe Por UC'!AD:AD,"&gt;"&amp;0))</f>
        <v/>
      </c>
      <c r="CA261" s="114">
        <f ca="1">IF(OR(S261&gt;0,AD261&gt;0),IFERROR(
SUMIFS(INDIRECT("'Infos Clientes'!$W"&amp;INDEX('Infos Clientes'!$C:$C,MATCH(C261,'Infos Clientes'!$H:$H,0))&amp;":$CZ"&amp;INDEX('Infos Clientes'!$C:$C,MATCH(C261,'Infos Clientes'!$H:$H,0))),'Infos Clientes'!$W$2:$CZ$2,"&gt;"&amp;$R261-365,'Infos Clientes'!$W$2:$CZ$2,"&lt;="&amp;$R261)/
COUNTIFS(INDIRECT("'Infos Clientes'!$W"&amp;INDEX('Infos Clientes'!$C:$C,MATCH(C261,'Infos Clientes'!$H:$H,0))&amp;":$CZ"&amp;INDEX('Infos Clientes'!$C:$C,MATCH(C261,'Infos Clientes'!$H:$H,0))),"&gt;="&amp;0,'Infos Clientes'!$W$2:$CZ$2,"&gt;"&amp;$R261-365,'Infos Clientes'!$W$2:$CZ$2,"&lt;="&amp;$R261),""),"")</f>
        <v>136</v>
      </c>
      <c r="CB261" s="87">
        <f>VLOOKUP(C261,'Infos Clientes'!B:L,11,0)</f>
        <v>0</v>
      </c>
      <c r="CC261" s="88" t="str">
        <f t="shared" si="153"/>
        <v>A Unidade Consumidora 10/104720-8 economizou R$0 na fatura referente à mar/2025  consumindo  kWh em créditos de energia renovável conforme fatura de energia. A economia foi de 0% em relação ao que seria pago para a Energisa considerando os créditos consumidos. Atenção: Mantenha as contas da Energisa em dia para evitar cortes.</v>
      </c>
      <c r="CD261" s="40"/>
      <c r="CF261" s="115">
        <f t="shared" si="154"/>
        <v>0</v>
      </c>
    </row>
    <row r="262" spans="1:84" ht="16.2" hidden="1" customHeight="1" x14ac:dyDescent="0.3">
      <c r="A262" s="105" t="str">
        <f>INDEX('Infos Clientes'!$D:$D,MATCH('Detalhe Por UC'!C262,'Infos Clientes'!B:B,0))</f>
        <v>IGREJA DO EVANGELHO QUADRANGULAR</v>
      </c>
      <c r="B262" s="106" t="str">
        <f>INDEX('Infos Clientes'!$F:$F,MATCH('Detalhe Por UC'!C262,'Infos Clientes'!B:B,0))</f>
        <v>62.955.505/0160-80</v>
      </c>
      <c r="C262" s="137" t="s">
        <v>114</v>
      </c>
      <c r="D262" t="s">
        <v>351</v>
      </c>
      <c r="E262" s="1" t="s">
        <v>352</v>
      </c>
      <c r="F262" s="56" t="str">
        <f>INDEX('Infos Clientes'!$I:$I,MATCH('Detalhe Por UC'!C262,'Infos Clientes'!B:B,0))</f>
        <v>BT</v>
      </c>
      <c r="G262" s="56" t="str">
        <f>INDEX('Infos Clientes'!$J:$J,MATCH('Detalhe Por UC'!C262,'Infos Clientes'!B:B,0))</f>
        <v>bifasico</v>
      </c>
      <c r="H262" s="108" t="s">
        <v>353</v>
      </c>
      <c r="I262" s="58">
        <f>IFERROR(VLOOKUP(C262,'Infos Clientes'!B:E,4,),"")</f>
        <v>357</v>
      </c>
      <c r="J262" s="109">
        <v>0.25</v>
      </c>
      <c r="K262" s="59">
        <f>INDEX('Infos Clientes'!$M:$M,MATCH('Detalhe Por UC'!C262,'Infos Clientes'!B:B,0))</f>
        <v>0.25</v>
      </c>
      <c r="L262" s="125">
        <v>0</v>
      </c>
      <c r="M262" s="56">
        <f>INDEX('Infos Clientes'!$N:$N,MATCH('Detalhe Por UC'!C262,'Infos Clientes'!B:B,0))</f>
        <v>0</v>
      </c>
      <c r="N262" s="56">
        <f t="shared" si="118"/>
        <v>0</v>
      </c>
      <c r="O262" s="56">
        <f t="shared" si="119"/>
        <v>12</v>
      </c>
      <c r="P262" s="56">
        <f t="shared" si="120"/>
        <v>0</v>
      </c>
      <c r="Q262" s="61">
        <f>IFERROR(IFERROR(INDEX('Infos Clientes'!$A$2:$V$9884,MATCH($C262,'Infos Clientes'!$B$2:$B$9884,0),MATCH(Q$8,'Infos Clientes'!$A$2:$V$2,0)),"")
+IF(OR(INDEX('Infos Clientes'!$A$2:$V$9884,MATCH($C262,'Infos Clientes'!$B$2:$B$9884,0),MATCH("Tempo de Fidelidade (meses)",'Infos Clientes'!$A$2:$V$2,0))=0,R262&gt;=MAX(R:R)),0,
ROUND((MAX(R:R)-R262)/(365/12),0)),"")</f>
        <v>0</v>
      </c>
      <c r="R262" s="111">
        <v>45717</v>
      </c>
      <c r="S262" s="17">
        <v>0.02</v>
      </c>
      <c r="T262" s="113">
        <f>IF($H262="GIROSSOL II",AP262/INDEX('Resumo Operacional'!$A$1:$P$1103,17,MATCH('Detalhe Por UC'!$R262,'Resumo Operacional'!$A$1:$P$1,0)),
IF($H262="GIROSSOL II e III",AP262/INDEX('Resumo Operacional'!$A$1:$P$1103,17,MATCH('Detalhe Por UC'!$R262,'Resumo Operacional'!$A$1:$P$1,0)),
""))</f>
        <v>3.4471301603123186E-2</v>
      </c>
      <c r="U262" s="113">
        <f>IF($H262="GIROSSOL III",AP262/INDEX('Resumo Operacional'!$A$1:$P$1103,53,MATCH('Detalhe Por UC'!$R262,'Resumo Operacional'!$A$1:$P$1,0)),
IF($H262="GIROSSOL II e III",AP262/INDEX('Resumo Operacional'!$A$1:$P$1103,53,MATCH('Detalhe Por UC'!$R262,'Resumo Operacional'!$A$1:$P$1,0)),
""))</f>
        <v>3.4459852196296603E-2</v>
      </c>
      <c r="V262" s="18"/>
      <c r="W262" s="18"/>
      <c r="X262" s="18">
        <v>1.1162460567823345</v>
      </c>
      <c r="Y262" s="18"/>
      <c r="Z262" s="18">
        <v>1.0160797342192691</v>
      </c>
      <c r="AA262" s="18"/>
      <c r="AB262" s="18">
        <v>317</v>
      </c>
      <c r="AC262" s="18">
        <v>0</v>
      </c>
      <c r="AD262" s="18">
        <v>301</v>
      </c>
      <c r="AE262" s="35"/>
      <c r="AF262" s="18">
        <v>475</v>
      </c>
      <c r="AG262" s="18"/>
      <c r="AH262" s="18">
        <v>61.290000000000006</v>
      </c>
      <c r="AI262" s="18"/>
      <c r="AJ262" s="18"/>
      <c r="AN262" s="71">
        <f t="shared" si="121"/>
        <v>114</v>
      </c>
      <c r="AO262" s="71">
        <f t="shared" si="122"/>
        <v>0</v>
      </c>
      <c r="AP262" s="71">
        <f t="shared" si="123"/>
        <v>415</v>
      </c>
      <c r="AQ262" s="72">
        <f>IF(OR($H262="GIROSSOL II",$H262="GIROSSOL II e III"),INDEX('Resumo Operacional'!$A$1:$P$1103,MATCH("Energia Injetada prevista total Fatura da Usina (TUSD)",'Resumo Operacional'!$B$1:$B$1103,0),MATCH('Detalhe Por UC'!$R262,'Resumo Operacional'!$A$1:$P$1,0))*$S262,INDEX('Resumo Operacional'!$A$1:$P$1103,53,MATCH('Detalhe Por UC'!$R262,'Resumo Operacional'!$A$1:$P$1,0))*$S262)</f>
        <v>240.78</v>
      </c>
      <c r="AR262" s="71">
        <f t="shared" si="124"/>
        <v>174.22</v>
      </c>
      <c r="AS262" s="73">
        <f t="shared" si="125"/>
        <v>109.3</v>
      </c>
      <c r="AT262" s="74">
        <f t="shared" si="126"/>
        <v>109.3</v>
      </c>
      <c r="AU262" s="74">
        <f t="shared" si="127"/>
        <v>0.91591341165620377</v>
      </c>
      <c r="AV262" s="74">
        <f t="shared" si="128"/>
        <v>229.38000000000002</v>
      </c>
      <c r="AW262" s="74">
        <f t="shared" si="129"/>
        <v>0</v>
      </c>
      <c r="AX262" s="74">
        <f t="shared" si="130"/>
        <v>305.84000000000003</v>
      </c>
      <c r="AY262" s="74">
        <f t="shared" si="131"/>
        <v>229.38</v>
      </c>
      <c r="AZ262" s="49">
        <v>229.38</v>
      </c>
      <c r="BA262" s="49">
        <v>229.38</v>
      </c>
      <c r="BB262" s="49">
        <v>229.38</v>
      </c>
      <c r="BC262" s="73" t="str">
        <f t="shared" si="132"/>
        <v/>
      </c>
      <c r="BD262" s="73">
        <f t="shared" si="133"/>
        <v>415.14000000000004</v>
      </c>
      <c r="BE262" s="73">
        <f t="shared" si="134"/>
        <v>338.68</v>
      </c>
      <c r="BF262" s="77">
        <f t="shared" si="135"/>
        <v>76.459999999999994</v>
      </c>
      <c r="BG262" s="77">
        <f t="shared" si="136"/>
        <v>22.937999999999999</v>
      </c>
      <c r="BH262" s="77">
        <f t="shared" si="137"/>
        <v>305.84000000000003</v>
      </c>
      <c r="BI262" s="78">
        <f t="shared" si="138"/>
        <v>0.25</v>
      </c>
      <c r="BJ262" s="79">
        <f t="shared" si="139"/>
        <v>0.18417883123765474</v>
      </c>
      <c r="BK262" s="80">
        <f t="shared" si="140"/>
        <v>338.68</v>
      </c>
      <c r="BL262" s="80">
        <f t="shared" si="141"/>
        <v>76.460000000000036</v>
      </c>
      <c r="BM262" s="79">
        <f t="shared" si="142"/>
        <v>0.18417883123765483</v>
      </c>
      <c r="BN262" s="81">
        <f t="shared" si="143"/>
        <v>0.76205980066445178</v>
      </c>
      <c r="BO262" s="82">
        <f t="shared" si="144"/>
        <v>229.38</v>
      </c>
      <c r="BP262" s="81">
        <f t="shared" si="145"/>
        <v>0.76205980066445178</v>
      </c>
      <c r="BQ262" s="81">
        <f t="shared" si="146"/>
        <v>0.86222612322751713</v>
      </c>
      <c r="BR262" s="81">
        <f t="shared" si="147"/>
        <v>1.1162460567823345</v>
      </c>
      <c r="BS262" s="82">
        <f t="shared" si="148"/>
        <v>301</v>
      </c>
      <c r="BT262" s="82">
        <f t="shared" si="149"/>
        <v>335.99006309148268</v>
      </c>
      <c r="BU262" s="82">
        <f t="shared" si="150"/>
        <v>305.84000000000003</v>
      </c>
      <c r="BW262" s="82">
        <f>IFERROR(INDEX('Infos Clientes'!$T:$T,MATCH('Detalhe Por UC'!$C262,'Infos Clientes'!B:B,0)),"")</f>
        <v>215.58333333333334</v>
      </c>
      <c r="BX262" s="83">
        <f t="shared" si="151"/>
        <v>0</v>
      </c>
      <c r="BY262" s="84">
        <f t="shared" si="152"/>
        <v>0.22756625388406695</v>
      </c>
      <c r="BZ262" s="85">
        <f>IF(_xlfn.MINIFS('Detalhe Por UC'!R:R,'Detalhe Por UC'!C:C,C262,'Detalhe Por UC'!AD:AD,"&gt;"&amp;0)=0,"",_xlfn.MINIFS('Detalhe Por UC'!R:R,'Detalhe Por UC'!C:C,C262,'Detalhe Por UC'!AD:AD,"&gt;"&amp;0))</f>
        <v>45627</v>
      </c>
      <c r="CA262" s="114">
        <f ca="1">IF(OR(S262&gt;0,AD262&gt;0),IFERROR(
SUMIFS(INDIRECT("'Infos Clientes'!$W"&amp;INDEX('Infos Clientes'!$C:$C,MATCH(C262,'Infos Clientes'!$H:$H,0))&amp;":$CZ"&amp;INDEX('Infos Clientes'!$C:$C,MATCH(C262,'Infos Clientes'!$H:$H,0))),'Infos Clientes'!$W$2:$CZ$2,"&gt;"&amp;$R262-365,'Infos Clientes'!$W$2:$CZ$2,"&lt;="&amp;$R262)/
COUNTIFS(INDIRECT("'Infos Clientes'!$W"&amp;INDEX('Infos Clientes'!$C:$C,MATCH(C262,'Infos Clientes'!$H:$H,0))&amp;":$CZ"&amp;INDEX('Infos Clientes'!$C:$C,MATCH(C262,'Infos Clientes'!$H:$H,0))),"&gt;="&amp;0,'Infos Clientes'!$W$2:$CZ$2,"&gt;"&amp;$R262-365,'Infos Clientes'!$W$2:$CZ$2,"&lt;="&amp;$R262),""),"")</f>
        <v>226.75</v>
      </c>
      <c r="CB262" s="87">
        <f>VLOOKUP(C262,'Infos Clientes'!B:L,11,0)</f>
        <v>0</v>
      </c>
      <c r="CC262" s="88" t="str">
        <f t="shared" si="153"/>
        <v>A Unidade Consumidora 10/511753-6 economizou R$76,46 na fatura referente à mar/2025  consumindo 301 kWh em créditos de energia renovável conforme fatura de energia. A economia foi de 25% em relação ao que seria pago para a Energisa considerando os créditos consumidos. Atenção: Mantenha as contas da Energisa em dia para evitar cortes.</v>
      </c>
      <c r="CD262" s="40" t="s">
        <v>115</v>
      </c>
      <c r="CF262" s="115">
        <f t="shared" si="154"/>
        <v>-109.3</v>
      </c>
    </row>
    <row r="263" spans="1:84" ht="16.2" hidden="1" customHeight="1" x14ac:dyDescent="0.3">
      <c r="A263" s="105" t="str">
        <f>INDEX('Infos Clientes'!$D:$D,MATCH('Detalhe Por UC'!C263,'Infos Clientes'!B:B,0))</f>
        <v>IGREJA DO EVANGELHO QUADRANGULAR</v>
      </c>
      <c r="B263" s="106" t="str">
        <f>INDEX('Infos Clientes'!$F:$F,MATCH('Detalhe Por UC'!C263,'Infos Clientes'!B:B,0))</f>
        <v>62.955.505/4027-10</v>
      </c>
      <c r="C263" s="137" t="s">
        <v>126</v>
      </c>
      <c r="D263" t="s">
        <v>351</v>
      </c>
      <c r="E263" s="1" t="s">
        <v>352</v>
      </c>
      <c r="F263" s="56" t="str">
        <f>INDEX('Infos Clientes'!$I:$I,MATCH('Detalhe Por UC'!C263,'Infos Clientes'!B:B,0))</f>
        <v>BT</v>
      </c>
      <c r="G263" s="56" t="str">
        <f>INDEX('Infos Clientes'!$J:$J,MATCH('Detalhe Por UC'!C263,'Infos Clientes'!B:B,0))</f>
        <v>trifasico</v>
      </c>
      <c r="H263" s="108" t="s">
        <v>353</v>
      </c>
      <c r="I263" s="58">
        <f>IFERROR(VLOOKUP(C263,'Infos Clientes'!B:E,4,),"")</f>
        <v>994</v>
      </c>
      <c r="J263" s="109">
        <v>0.25</v>
      </c>
      <c r="K263" s="59">
        <f>INDEX('Infos Clientes'!$M:$M,MATCH('Detalhe Por UC'!C263,'Infos Clientes'!B:B,0))</f>
        <v>0.25</v>
      </c>
      <c r="L263" s="125">
        <v>0</v>
      </c>
      <c r="M263" s="56">
        <f>INDEX('Infos Clientes'!$N:$N,MATCH('Detalhe Por UC'!C263,'Infos Clientes'!B:B,0))</f>
        <v>0</v>
      </c>
      <c r="N263" s="56">
        <f t="shared" si="118"/>
        <v>0</v>
      </c>
      <c r="O263" s="56">
        <f t="shared" si="119"/>
        <v>12</v>
      </c>
      <c r="P263" s="56">
        <f t="shared" si="120"/>
        <v>0</v>
      </c>
      <c r="Q263" s="61">
        <f>IFERROR(IFERROR(INDEX('Infos Clientes'!$A$2:$V$9884,MATCH($C263,'Infos Clientes'!$B$2:$B$9884,0),MATCH(Q$8,'Infos Clientes'!$A$2:$V$2,0)),"")
+IF(OR(INDEX('Infos Clientes'!$A$2:$V$9884,MATCH($C263,'Infos Clientes'!$B$2:$B$9884,0),MATCH("Tempo de Fidelidade (meses)",'Infos Clientes'!$A$2:$V$2,0))=0,R263&gt;=MAX(R:R)),0,
ROUND((MAX(R:R)-R263)/(365/12),0)),"")</f>
        <v>0</v>
      </c>
      <c r="R263" s="111">
        <v>45717</v>
      </c>
      <c r="S263" s="17">
        <v>0.02</v>
      </c>
      <c r="T263" s="113">
        <f>IF($H263="GIROSSOL II",AP263/INDEX('Resumo Operacional'!$A$1:$P$1103,17,MATCH('Detalhe Por UC'!$R263,'Resumo Operacional'!$A$1:$P$1,0)),
IF($H263="GIROSSOL II e III",AP263/INDEX('Resumo Operacional'!$A$1:$P$1103,17,MATCH('Detalhe Por UC'!$R263,'Resumo Operacional'!$A$1:$P$1,0)),
""))</f>
        <v>4.5020350527452443E-2</v>
      </c>
      <c r="U263" s="113">
        <f>IF($H263="GIROSSOL III",AP263/INDEX('Resumo Operacional'!$A$1:$P$1103,53,MATCH('Detalhe Por UC'!$R263,'Resumo Operacional'!$A$1:$P$1,0)),
IF($H263="GIROSSOL II e III",AP263/INDEX('Resumo Operacional'!$A$1:$P$1103,53,MATCH('Detalhe Por UC'!$R263,'Resumo Operacional'!$A$1:$P$1,0)),
""))</f>
        <v>4.5005397326247615E-2</v>
      </c>
      <c r="V263" s="18"/>
      <c r="W263" s="18"/>
      <c r="X263" s="18">
        <v>1.1162621359223301</v>
      </c>
      <c r="Y263" s="18"/>
      <c r="Z263" s="18">
        <v>1.0393274853801169</v>
      </c>
      <c r="AA263" s="18"/>
      <c r="AB263" s="18">
        <v>412</v>
      </c>
      <c r="AC263" s="18">
        <v>0</v>
      </c>
      <c r="AD263" s="18">
        <v>342</v>
      </c>
      <c r="AE263" s="35"/>
      <c r="AF263" s="18">
        <v>746</v>
      </c>
      <c r="AG263" s="18"/>
      <c r="AH263" s="18">
        <v>95.06</v>
      </c>
      <c r="AI263" s="18"/>
      <c r="AJ263" s="18"/>
      <c r="AN263" s="71">
        <f t="shared" si="121"/>
        <v>200</v>
      </c>
      <c r="AO263" s="71">
        <f t="shared" si="122"/>
        <v>0</v>
      </c>
      <c r="AP263" s="71">
        <f t="shared" si="123"/>
        <v>542</v>
      </c>
      <c r="AQ263" s="72">
        <f>IF(OR($H263="GIROSSOL II",$H263="GIROSSOL II e III"),INDEX('Resumo Operacional'!$A$1:$P$1103,MATCH("Energia Injetada prevista total Fatura da Usina (TUSD)",'Resumo Operacional'!$B$1:$B$1103,0),MATCH('Detalhe Por UC'!$R263,'Resumo Operacional'!$A$1:$P$1,0))*$S263,INDEX('Resumo Operacional'!$A$1:$P$1103,53,MATCH('Detalhe Por UC'!$R263,'Resumo Operacional'!$A$1:$P$1,0))*$S263)</f>
        <v>240.78</v>
      </c>
      <c r="AR263" s="71">
        <f t="shared" si="124"/>
        <v>301.22000000000003</v>
      </c>
      <c r="AS263" s="73">
        <f t="shared" si="125"/>
        <v>199.51000000000005</v>
      </c>
      <c r="AT263" s="74">
        <f t="shared" si="126"/>
        <v>199.51000000000005</v>
      </c>
      <c r="AU263" s="74">
        <f t="shared" si="127"/>
        <v>0.96239283483790361</v>
      </c>
      <c r="AV263" s="74">
        <f t="shared" si="128"/>
        <v>266.58749999999998</v>
      </c>
      <c r="AW263" s="74">
        <f t="shared" si="129"/>
        <v>0</v>
      </c>
      <c r="AX263" s="74">
        <f t="shared" si="130"/>
        <v>355.45</v>
      </c>
      <c r="AY263" s="74">
        <f t="shared" si="131"/>
        <v>266.58999999999997</v>
      </c>
      <c r="AZ263" s="49">
        <v>266.58999999999997</v>
      </c>
      <c r="BA263" s="49">
        <v>266.58999999999997</v>
      </c>
      <c r="BB263" s="49">
        <v>266.58999999999997</v>
      </c>
      <c r="BC263" s="73" t="str">
        <f t="shared" si="132"/>
        <v/>
      </c>
      <c r="BD263" s="73">
        <f t="shared" si="133"/>
        <v>554.96</v>
      </c>
      <c r="BE263" s="73">
        <f t="shared" si="134"/>
        <v>466.09750000000003</v>
      </c>
      <c r="BF263" s="77">
        <f t="shared" si="135"/>
        <v>88.86</v>
      </c>
      <c r="BG263" s="77">
        <f t="shared" si="136"/>
        <v>26.657999999999998</v>
      </c>
      <c r="BH263" s="77">
        <f t="shared" si="137"/>
        <v>355.45</v>
      </c>
      <c r="BI263" s="78">
        <f t="shared" si="138"/>
        <v>0.25</v>
      </c>
      <c r="BJ263" s="79">
        <f t="shared" si="139"/>
        <v>0.16011964826293787</v>
      </c>
      <c r="BK263" s="80">
        <f t="shared" si="140"/>
        <v>466.1</v>
      </c>
      <c r="BL263" s="80">
        <f t="shared" si="141"/>
        <v>88.860000000000014</v>
      </c>
      <c r="BM263" s="79">
        <f t="shared" si="142"/>
        <v>0.1601196482629379</v>
      </c>
      <c r="BN263" s="81">
        <f t="shared" si="143"/>
        <v>0.77950292397660814</v>
      </c>
      <c r="BO263" s="82">
        <f t="shared" si="144"/>
        <v>266.58999999999997</v>
      </c>
      <c r="BP263" s="81">
        <f t="shared" si="145"/>
        <v>0.77950292397660814</v>
      </c>
      <c r="BQ263" s="81">
        <f t="shared" si="146"/>
        <v>0.85643757451882141</v>
      </c>
      <c r="BR263" s="81">
        <f t="shared" si="147"/>
        <v>1.1162621359223301</v>
      </c>
      <c r="BS263" s="82">
        <f t="shared" si="148"/>
        <v>342</v>
      </c>
      <c r="BT263" s="82">
        <f t="shared" si="149"/>
        <v>381.76165048543692</v>
      </c>
      <c r="BU263" s="82">
        <f t="shared" si="150"/>
        <v>355.45</v>
      </c>
      <c r="BW263" s="82">
        <f>IFERROR(INDEX('Infos Clientes'!$T:$T,MATCH('Detalhe Por UC'!$C263,'Infos Clientes'!B:B,0)),"")</f>
        <v>274.25</v>
      </c>
      <c r="BX263" s="83">
        <f t="shared" si="151"/>
        <v>0</v>
      </c>
      <c r="BY263" s="84">
        <f t="shared" si="152"/>
        <v>0.23276303391660272</v>
      </c>
      <c r="BZ263" s="85">
        <f>IF(_xlfn.MINIFS('Detalhe Por UC'!R:R,'Detalhe Por UC'!C:C,C263,'Detalhe Por UC'!AD:AD,"&gt;"&amp;0)=0,"",_xlfn.MINIFS('Detalhe Por UC'!R:R,'Detalhe Por UC'!C:C,C263,'Detalhe Por UC'!AD:AD,"&gt;"&amp;0))</f>
        <v>45627</v>
      </c>
      <c r="CA263" s="114">
        <f ca="1">IF(OR(S263&gt;0,AD263&gt;0),IFERROR(
SUMIFS(INDIRECT("'Infos Clientes'!$W"&amp;INDEX('Infos Clientes'!$C:$C,MATCH(C263,'Infos Clientes'!$H:$H,0))&amp;":$CZ"&amp;INDEX('Infos Clientes'!$C:$C,MATCH(C263,'Infos Clientes'!$H:$H,0))),'Infos Clientes'!$W$2:$CZ$2,"&gt;"&amp;$R263-365,'Infos Clientes'!$W$2:$CZ$2,"&lt;="&amp;$R263)/
COUNTIFS(INDIRECT("'Infos Clientes'!$W"&amp;INDEX('Infos Clientes'!$C:$C,MATCH(C263,'Infos Clientes'!$H:$H,0))&amp;":$CZ"&amp;INDEX('Infos Clientes'!$C:$C,MATCH(C263,'Infos Clientes'!$H:$H,0))),"&gt;="&amp;0,'Infos Clientes'!$W$2:$CZ$2,"&gt;"&amp;$R263-365,'Infos Clientes'!$W$2:$CZ$2,"&lt;="&amp;$R263),""),"")</f>
        <v>288.5</v>
      </c>
      <c r="CB263" s="87">
        <f>VLOOKUP(C263,'Infos Clientes'!B:L,11,0)</f>
        <v>0</v>
      </c>
      <c r="CC263" s="88" t="str">
        <f t="shared" si="153"/>
        <v>A Unidade Consumidora 10/931327-1 economizou R$88,86 na fatura referente à mar/2025  consumindo 342 kWh em créditos de energia renovável conforme fatura de energia. A economia foi de 25% em relação ao que seria pago para a Energisa considerando os créditos consumidos. Atenção: Mantenha as contas da Energisa em dia para evitar cortes.</v>
      </c>
      <c r="CD263" s="40" t="s">
        <v>128</v>
      </c>
      <c r="CF263" s="115">
        <f t="shared" si="154"/>
        <v>-199.51000000000005</v>
      </c>
    </row>
    <row r="264" spans="1:84" ht="16.2" hidden="1" customHeight="1" x14ac:dyDescent="0.3">
      <c r="A264" s="105" t="str">
        <f>INDEX('Infos Clientes'!$D:$D,MATCH('Detalhe Por UC'!C264,'Infos Clientes'!B:B,0))</f>
        <v>IGREJA DO EVANGELHO QUADRANGULAR</v>
      </c>
      <c r="B264" s="106" t="str">
        <f>INDEX('Infos Clientes'!$F:$F,MATCH('Detalhe Por UC'!C264,'Infos Clientes'!B:B,0))</f>
        <v>62.955.505/4612-10</v>
      </c>
      <c r="C264" s="137" t="s">
        <v>60</v>
      </c>
      <c r="D264" t="s">
        <v>351</v>
      </c>
      <c r="E264" s="1" t="s">
        <v>352</v>
      </c>
      <c r="F264" s="56" t="str">
        <f>INDEX('Infos Clientes'!$I:$I,MATCH('Detalhe Por UC'!C264,'Infos Clientes'!B:B,0))</f>
        <v>BT</v>
      </c>
      <c r="G264" s="56" t="str">
        <f>INDEX('Infos Clientes'!$J:$J,MATCH('Detalhe Por UC'!C264,'Infos Clientes'!B:B,0))</f>
        <v>trifasico</v>
      </c>
      <c r="H264" s="108" t="s">
        <v>353</v>
      </c>
      <c r="I264" s="58">
        <f>IFERROR(VLOOKUP(C264,'Infos Clientes'!B:E,4,),"")</f>
        <v>306</v>
      </c>
      <c r="J264" s="109">
        <v>0.25</v>
      </c>
      <c r="K264" s="59">
        <f>INDEX('Infos Clientes'!$M:$M,MATCH('Detalhe Por UC'!C264,'Infos Clientes'!B:B,0))</f>
        <v>0.25</v>
      </c>
      <c r="L264" s="125">
        <v>0</v>
      </c>
      <c r="M264" s="56">
        <f>INDEX('Infos Clientes'!$N:$N,MATCH('Detalhe Por UC'!C264,'Infos Clientes'!B:B,0))</f>
        <v>0</v>
      </c>
      <c r="N264" s="56">
        <f t="shared" si="118"/>
        <v>0</v>
      </c>
      <c r="O264" s="56">
        <f t="shared" si="119"/>
        <v>12</v>
      </c>
      <c r="P264" s="56">
        <f t="shared" si="120"/>
        <v>0</v>
      </c>
      <c r="Q264" s="61">
        <f>IFERROR(IFERROR(INDEX('Infos Clientes'!$A$2:$V$9884,MATCH($C264,'Infos Clientes'!$B$2:$B$9884,0),MATCH(Q$8,'Infos Clientes'!$A$2:$V$2,0)),"")
+IF(OR(INDEX('Infos Clientes'!$A$2:$V$9884,MATCH($C264,'Infos Clientes'!$B$2:$B$9884,0),MATCH("Tempo de Fidelidade (meses)",'Infos Clientes'!$A$2:$V$2,0))=0,R264&gt;=MAX(R:R)),0,
ROUND((MAX(R:R)-R264)/(365/12),0)),"")</f>
        <v>0</v>
      </c>
      <c r="R264" s="111">
        <v>45717</v>
      </c>
      <c r="S264" s="138">
        <v>0.01</v>
      </c>
      <c r="T264" s="113">
        <f>IF($H264="GIROSSOL II",AP264/INDEX('Resumo Operacional'!$A$1:$P$1103,17,MATCH('Detalhe Por UC'!$R264,'Resumo Operacional'!$A$1:$P$1,0)),
IF($H264="GIROSSOL II e III",AP264/INDEX('Resumo Operacional'!$A$1:$P$1103,17,MATCH('Detalhe Por UC'!$R264,'Resumo Operacional'!$A$1:$P$1,0)),
""))</f>
        <v>2.24271118863693E-2</v>
      </c>
      <c r="U264" s="113">
        <f>IF($H264="GIROSSOL III",AP264/INDEX('Resumo Operacional'!$A$1:$P$1103,53,MATCH('Detalhe Por UC'!$R264,'Resumo Operacional'!$A$1:$P$1,0)),
IF($H264="GIROSSOL II e III",AP264/INDEX('Resumo Operacional'!$A$1:$P$1103,53,MATCH('Detalhe Por UC'!$R264,'Resumo Operacional'!$A$1:$P$1,0)),
""))</f>
        <v>2.2419662874698994E-2</v>
      </c>
      <c r="V264" s="18"/>
      <c r="W264" s="18"/>
      <c r="X264" s="18">
        <v>1.1162385321100916</v>
      </c>
      <c r="Y264" s="18"/>
      <c r="Z264" s="18">
        <v>1.0399193548387098</v>
      </c>
      <c r="AA264" s="18"/>
      <c r="AB264" s="18">
        <v>327</v>
      </c>
      <c r="AC264" s="18">
        <v>0</v>
      </c>
      <c r="AD264" s="18">
        <v>248</v>
      </c>
      <c r="AE264" s="35"/>
      <c r="AF264" s="18">
        <v>72</v>
      </c>
      <c r="AG264" s="18"/>
      <c r="AH264" s="18">
        <v>82.12</v>
      </c>
      <c r="AI264" s="18"/>
      <c r="AJ264" s="18"/>
      <c r="AN264" s="71">
        <f t="shared" si="121"/>
        <v>22</v>
      </c>
      <c r="AO264" s="71">
        <f t="shared" si="122"/>
        <v>0</v>
      </c>
      <c r="AP264" s="71">
        <f t="shared" si="123"/>
        <v>270</v>
      </c>
      <c r="AQ264" s="72">
        <f>IF(OR($H264="GIROSSOL II",$H264="GIROSSOL II e III"),INDEX('Resumo Operacional'!$A$1:$P$1103,MATCH("Energia Injetada prevista total Fatura da Usina (TUSD)",'Resumo Operacional'!$B$1:$B$1103,0),MATCH('Detalhe Por UC'!$R264,'Resumo Operacional'!$A$1:$P$1,0))*$S264,INDEX('Resumo Operacional'!$A$1:$P$1103,53,MATCH('Detalhe Por UC'!$R264,'Resumo Operacional'!$A$1:$P$1,0))*$S264)</f>
        <v>120.39</v>
      </c>
      <c r="AR264" s="71">
        <f t="shared" si="124"/>
        <v>149.61000000000001</v>
      </c>
      <c r="AS264" s="73">
        <f t="shared" si="125"/>
        <v>189.2299999999999</v>
      </c>
      <c r="AT264" s="74">
        <f t="shared" si="126"/>
        <v>189.2299999999999</v>
      </c>
      <c r="AU264" s="74">
        <f t="shared" si="127"/>
        <v>0.96360017756732796</v>
      </c>
      <c r="AV264" s="74">
        <f t="shared" si="128"/>
        <v>193.42500000000001</v>
      </c>
      <c r="AW264" s="74">
        <f t="shared" si="129"/>
        <v>0</v>
      </c>
      <c r="AX264" s="74">
        <f t="shared" si="130"/>
        <v>257.90000000000003</v>
      </c>
      <c r="AY264" s="74">
        <f t="shared" si="131"/>
        <v>193.43</v>
      </c>
      <c r="AZ264" s="49">
        <v>193.43</v>
      </c>
      <c r="BA264" s="49">
        <v>193.43</v>
      </c>
      <c r="BB264" s="49">
        <v>193.43</v>
      </c>
      <c r="BC264" s="73" t="str">
        <f t="shared" si="132"/>
        <v/>
      </c>
      <c r="BD264" s="73">
        <f t="shared" si="133"/>
        <v>447.12999999999994</v>
      </c>
      <c r="BE264" s="73">
        <f t="shared" si="134"/>
        <v>382.65499999999992</v>
      </c>
      <c r="BF264" s="77">
        <f t="shared" si="135"/>
        <v>64.48</v>
      </c>
      <c r="BG264" s="77">
        <f t="shared" si="136"/>
        <v>19.344000000000001</v>
      </c>
      <c r="BH264" s="77">
        <f t="shared" si="137"/>
        <v>257.90000000000003</v>
      </c>
      <c r="BI264" s="78">
        <f t="shared" si="138"/>
        <v>0.25</v>
      </c>
      <c r="BJ264" s="79">
        <f t="shared" si="139"/>
        <v>0.14420861941717178</v>
      </c>
      <c r="BK264" s="80">
        <f t="shared" si="140"/>
        <v>382.65999999999991</v>
      </c>
      <c r="BL264" s="80">
        <f t="shared" si="141"/>
        <v>64.470000000000027</v>
      </c>
      <c r="BM264" s="79">
        <f t="shared" si="142"/>
        <v>0.14418625455684037</v>
      </c>
      <c r="BN264" s="81">
        <f t="shared" si="143"/>
        <v>0.7799596774193549</v>
      </c>
      <c r="BO264" s="82">
        <f t="shared" si="144"/>
        <v>193.43</v>
      </c>
      <c r="BP264" s="81">
        <f t="shared" si="145"/>
        <v>0.7799596774193549</v>
      </c>
      <c r="BQ264" s="81">
        <f t="shared" si="146"/>
        <v>0.85627885469073672</v>
      </c>
      <c r="BR264" s="81">
        <f t="shared" si="147"/>
        <v>1.1162385321100916</v>
      </c>
      <c r="BS264" s="82">
        <f t="shared" si="148"/>
        <v>248</v>
      </c>
      <c r="BT264" s="82">
        <f t="shared" si="149"/>
        <v>276.82715596330274</v>
      </c>
      <c r="BU264" s="82">
        <f t="shared" si="150"/>
        <v>257.90000000000003</v>
      </c>
      <c r="BW264" s="82">
        <f>IFERROR(INDEX('Infos Clientes'!$T:$T,MATCH('Detalhe Por UC'!$C264,'Infos Clientes'!B:B,0)),"")</f>
        <v>279.08333333333331</v>
      </c>
      <c r="BX264" s="83">
        <f t="shared" si="151"/>
        <v>0</v>
      </c>
      <c r="BY264" s="84">
        <f t="shared" si="152"/>
        <v>0.23288900171537508</v>
      </c>
      <c r="BZ264" s="85">
        <f>IF(_xlfn.MINIFS('Detalhe Por UC'!R:R,'Detalhe Por UC'!C:C,C264,'Detalhe Por UC'!AD:AD,"&gt;"&amp;0)=0,"",_xlfn.MINIFS('Detalhe Por UC'!R:R,'Detalhe Por UC'!C:C,C264,'Detalhe Por UC'!AD:AD,"&gt;"&amp;0))</f>
        <v>45627</v>
      </c>
      <c r="CA264" s="114">
        <f ca="1">IF(OR(S264&gt;0,AD264&gt;0),IFERROR(
SUMIFS(INDIRECT("'Infos Clientes'!$W"&amp;INDEX('Infos Clientes'!$C:$C,MATCH(C264,'Infos Clientes'!$H:$H,0))&amp;":$CZ"&amp;INDEX('Infos Clientes'!$C:$C,MATCH(C264,'Infos Clientes'!$H:$H,0))),'Infos Clientes'!$W$2:$CZ$2,"&gt;"&amp;$R264-365,'Infos Clientes'!$W$2:$CZ$2,"&lt;="&amp;$R264)/
COUNTIFS(INDIRECT("'Infos Clientes'!$W"&amp;INDEX('Infos Clientes'!$C:$C,MATCH(C264,'Infos Clientes'!$H:$H,0))&amp;":$CZ"&amp;INDEX('Infos Clientes'!$C:$C,MATCH(C264,'Infos Clientes'!$H:$H,0))),"&gt;="&amp;0,'Infos Clientes'!$W$2:$CZ$2,"&gt;"&amp;$R264-365,'Infos Clientes'!$W$2:$CZ$2,"&lt;="&amp;$R264),""),"")</f>
        <v>266.25</v>
      </c>
      <c r="CB264" s="87">
        <f>VLOOKUP(C264,'Infos Clientes'!B:L,11,0)</f>
        <v>0</v>
      </c>
      <c r="CC264" s="88" t="str">
        <f t="shared" si="153"/>
        <v>A Unidade Consumidora 10/1698130-0 economizou R$64,48 na fatura referente à mar/2025  consumindo 248 kWh em créditos de energia renovável conforme fatura de energia. A economia foi de 25% em relação ao que seria pago para a Energisa considerando os créditos consumidos. Atenção: Mantenha as contas da Energisa em dia para evitar cortes.</v>
      </c>
      <c r="CD264" s="40" t="s">
        <v>59</v>
      </c>
      <c r="CF264" s="115">
        <f t="shared" si="154"/>
        <v>-189.2299999999999</v>
      </c>
    </row>
    <row r="265" spans="1:84" ht="16.2" hidden="1" customHeight="1" x14ac:dyDescent="0.3">
      <c r="A265" s="105" t="str">
        <f>INDEX('Infos Clientes'!$D:$D,MATCH('Detalhe Por UC'!C265,'Infos Clientes'!B:B,0))</f>
        <v>IGREJA DO EVANGELHO QUADRANGULAR</v>
      </c>
      <c r="B265" s="106" t="str">
        <f>INDEX('Infos Clientes'!$F:$F,MATCH('Detalhe Por UC'!C265,'Infos Clientes'!B:B,0))</f>
        <v>62.955.505/0914-56</v>
      </c>
      <c r="C265" s="44" t="s">
        <v>134</v>
      </c>
      <c r="D265" t="s">
        <v>351</v>
      </c>
      <c r="E265" s="1" t="s">
        <v>352</v>
      </c>
      <c r="F265" s="56" t="str">
        <f>INDEX('Infos Clientes'!$I:$I,MATCH('Detalhe Por UC'!C265,'Infos Clientes'!B:B,0))</f>
        <v>BT</v>
      </c>
      <c r="G265" s="56" t="str">
        <f>INDEX('Infos Clientes'!$J:$J,MATCH('Detalhe Por UC'!C265,'Infos Clientes'!B:B,0))</f>
        <v>monofasico</v>
      </c>
      <c r="H265" s="108" t="s">
        <v>24</v>
      </c>
      <c r="I265" s="58">
        <f>IFERROR(VLOOKUP(C265,'Infos Clientes'!B:E,4,),"")</f>
        <v>0</v>
      </c>
      <c r="J265" s="109">
        <v>0.25</v>
      </c>
      <c r="K265" s="59">
        <f>INDEX('Infos Clientes'!$M:$M,MATCH('Detalhe Por UC'!C265,'Infos Clientes'!B:B,0))</f>
        <v>0.25</v>
      </c>
      <c r="L265" s="125">
        <v>0</v>
      </c>
      <c r="M265" s="56">
        <f>INDEX('Infos Clientes'!$N:$N,MATCH('Detalhe Por UC'!C265,'Infos Clientes'!B:B,0))</f>
        <v>0</v>
      </c>
      <c r="N265" s="56">
        <f t="shared" ref="N265:N328" si="155">COUNTIFS(C:C,C265,J:J,L265)</f>
        <v>0</v>
      </c>
      <c r="O265" s="56">
        <f t="shared" ref="O265:O328" si="156">COUNTIFS(C:C,C265,AD:AD,"&gt;0")</f>
        <v>10</v>
      </c>
      <c r="P265" s="56">
        <f t="shared" ref="P265:P328" si="157">M265-N265</f>
        <v>0</v>
      </c>
      <c r="Q265" s="61">
        <f>IFERROR(IFERROR(INDEX('Infos Clientes'!$A$2:$V$9884,MATCH($C265,'Infos Clientes'!$B$2:$B$9884,0),MATCH(Q$8,'Infos Clientes'!$A$2:$V$2,0)),"")
+IF(OR(INDEX('Infos Clientes'!$A$2:$V$9884,MATCH($C265,'Infos Clientes'!$B$2:$B$9884,0),MATCH("Tempo de Fidelidade (meses)",'Infos Clientes'!$A$2:$V$2,0))=0,R265&gt;=MAX(R:R)),0,
ROUND((MAX(R:R)-R265)/(365/12),0)),"")</f>
        <v>0</v>
      </c>
      <c r="R265" s="111">
        <v>45717</v>
      </c>
      <c r="S265" s="17">
        <v>0.02</v>
      </c>
      <c r="T265" s="113">
        <f>IF($H265="GIROSSOL II",AP265/INDEX('Resumo Operacional'!$A$1:$P$1103,17,MATCH('Detalhe Por UC'!$R265,'Resumo Operacional'!$A$1:$P$1,0)),
IF($H265="GIROSSOL II e III",AP265/INDEX('Resumo Operacional'!$A$1:$P$1103,17,MATCH('Detalhe Por UC'!$R265,'Resumo Operacional'!$A$1:$P$1,0)),
""))</f>
        <v>6.2962040036547887E-2</v>
      </c>
      <c r="U265" s="113" t="str">
        <f>IF($H265="GIROSSOL III",AP265/INDEX('Resumo Operacional'!$A$1:$P$1103,53,MATCH('Detalhe Por UC'!$R265,'Resumo Operacional'!$A$1:$P$1,0)),
IF($H265="GIROSSOL II e III",AP265/INDEX('Resumo Operacional'!$A$1:$P$1103,53,MATCH('Detalhe Por UC'!$R265,'Resumo Operacional'!$A$1:$P$1,0)),
""))</f>
        <v/>
      </c>
      <c r="V265" s="18"/>
      <c r="W265" s="18"/>
      <c r="X265" s="18">
        <v>1.1162376237623761</v>
      </c>
      <c r="Y265" s="18"/>
      <c r="Z265" s="18">
        <v>1.1162209302325581</v>
      </c>
      <c r="AA265" s="18"/>
      <c r="AB265" s="18">
        <v>202</v>
      </c>
      <c r="AC265" s="18">
        <v>0</v>
      </c>
      <c r="AD265" s="18">
        <v>172</v>
      </c>
      <c r="AE265" s="35"/>
      <c r="AF265" s="18">
        <v>586</v>
      </c>
      <c r="AG265" s="18">
        <v>0</v>
      </c>
      <c r="AH265" s="18">
        <v>54.27</v>
      </c>
      <c r="AI265" s="18"/>
      <c r="AJ265" s="18"/>
      <c r="AN265" s="71">
        <f t="shared" ref="AN265:AN328" si="158">IF(X265="","",AF265-SUMIFS(AF:AF,$C:$C,$C265,$R:$R,EDATE($R265,-1)))</f>
        <v>586</v>
      </c>
      <c r="AO265" s="71">
        <f t="shared" ref="AO265:AO328" si="159">IF(X265="","",AG265-SUMIFS(AG:AG,$H:$H,$H265,$C:$C,$C265,$R:$R,EDATE($R265,-1)))</f>
        <v>0</v>
      </c>
      <c r="AP265" s="71">
        <f t="shared" ref="AP265:AP328" si="160">IFERROR(IF(D265="CRÉD. CONSUMIDO",SUM(AD265,AE265,AN265,AO265),IF(D265="GERADO",AQ265)),"")</f>
        <v>758</v>
      </c>
      <c r="AQ265" s="72">
        <f>IF(OR($H265="GIROSSOL II",$H265="GIROSSOL II e III"),INDEX('Resumo Operacional'!$A$1:$P$1103,MATCH("Energia Injetada prevista total Fatura da Usina (TUSD)",'Resumo Operacional'!$B$1:$B$1103,0),MATCH('Detalhe Por UC'!$R265,'Resumo Operacional'!$A$1:$P$1,0))*$S265,INDEX('Resumo Operacional'!$A$1:$P$1103,53,MATCH('Detalhe Por UC'!$R265,'Resumo Operacional'!$A$1:$P$1,0))*$S265)</f>
        <v>240.78</v>
      </c>
      <c r="AR265" s="71">
        <f t="shared" ref="AR265:AR328" si="161">IF(X265="","",AP265-AQ265)</f>
        <v>517.22</v>
      </c>
      <c r="AS265" s="73">
        <f t="shared" ref="AS265:AS328" si="162">IFERROR((X265*AB265-Z265*AD265+Y265*AC265-AA265*AE265)+AH265+
IF(F265&lt;&gt;"BT",0,
IF(AND(G265="trifasico",AD265=0,AB265&lt;100),X265*(100-(AB265-AD265)),
IF(AND(G265="bifasico",AD265=0,AB265&lt;50),X265*(50-(AB265-AD265)),
IF(AND(G265="monofasico",AD265=0,AB265&lt;30),X265*(30-(AB265-AD265)),0)))),"")</f>
        <v>87.760000000000019</v>
      </c>
      <c r="AT265" s="74">
        <f t="shared" ref="AT265:AT328" si="163">IFERROR(AS265+AI265+AJ265,"")</f>
        <v>87.760000000000019</v>
      </c>
      <c r="AU265" s="74">
        <f t="shared" ref="AU265:AU328" si="164">IFERROR((Z265*AD265+AA265*AE265)/(AD265+AE265)-((X265-Z265)*AD265+(Y265-AA265)*AE265)/(AD265+AE265),"")</f>
        <v>1.11620423670274</v>
      </c>
      <c r="AV265" s="74">
        <f t="shared" ref="AV265:AV328" si="165">IFERROR(IF(AND(E265="FINAL-Ñ.COMP",D265="CRÉD. CONSUMIDO"),(X265*(1-J265)-(X265-Z265))*AD265+(Y265*(1-J265)-(Y265-AA265))*AE265,
IF(AND(E265="T.COMP",D265="CRÉD. CONSUMIDO"),Z265*(1-J265)*AD265+AA265*(1-J265)*AE265,
IF(AND(E265="T.S.IMP",D265="CRÉD. CONSUMIDO"),V265*(1-J265)*AD265+W265*(1-J265)*AE265,
IF(AND(E265="T.S.IMP",D265="GERADO"),V265*(1-J265)*AQ265+W265*(1-J265)*AQ265,
IF(AND(E265="T.COMP",D265="GERADO"),AU265*(1-J265)*AQ265,
IF(AND(E265="FINAL-Ñ.COMP",D265="GERADO"),(AU265*(1-J265)-(X265-Z265))*AQ265,"ERRO")))))),"")</f>
        <v>143.99250000000001</v>
      </c>
      <c r="AW265" s="74">
        <f t="shared" ref="AW265:AW328" si="166">IF(45658=R265,0,IF(
SUMIFS($BA:$BA,$C:$C,$C265,$R:$R,EDATE($R265,-1))
&gt;=0,
SUMIFS(AY:AY,$C:$C,$C265,$R:$R,EDATE($R265,-1))-SUMIFS(BA:BA,$C:$C,$C265,$R:$R,EDATE($R265,-1)),0))</f>
        <v>134.56</v>
      </c>
      <c r="AX265" s="74">
        <f t="shared" ref="AX265:AX328" si="167">IFERROR(IF(AND(E265="FINAL-Ñ.COMP",D265="CRÉD. CONSUMIDO"),(X265-(X265-Z265))*AD265+(Y265-(Y265-AA265))*AE265,
IF(AND(E265="T.COMP",D265="CRÉD. CONSUMIDO"),Z265*AD265+AA265*AE265,
IF(AND(E265="T.S.IMP",D265="CRÉD. CONSUMIDO"),V265*AD265+W265*AE265,
IF(AND(E265="T.S.IMP",D265="GERADO"),V265*AQ265+W265*AQ265,
IF(AND(E265="T.COMP",D265="GERADO"),AU265*AQ265,
IF(AND(E265="FINAL-Ñ.COMP",D265="GERADO"),(AU265-(X265-Z265))*AQ265,"ERRO"))))))+AW265,"")</f>
        <v>326.54999999999995</v>
      </c>
      <c r="AY265" s="74">
        <f t="shared" ref="AY265:AY328" si="168">IF(AV265=0,IF(AW265=0,"",AW265),IFERROR(ROUND(IF(SUMIFS($BA:$BA,$C:$C,$C265,$R:$R,EDATE($R265,-1))&gt;0,AV265+AW265,AV265),2),""))</f>
        <v>143.99</v>
      </c>
      <c r="AZ265" s="49">
        <v>143.99</v>
      </c>
      <c r="BA265" s="49">
        <v>143.99</v>
      </c>
      <c r="BC265" s="73" t="str">
        <f t="shared" ref="BC265:BC328" si="169">IF(BB265&gt;BA265,BB265-BA265,"")</f>
        <v/>
      </c>
      <c r="BD265" s="73">
        <f t="shared" ref="BD265:BD328" si="170">IF(AB265&gt;0,X265*AB265+Y265*AC265+AH265,AH265+
IF(AND(G265="trifasico",AB265-AD265=0),X265*(100-(AB265-AD265)),
IF(AND(G265="bifasico",AB265-AD265=0),X265*(50-(AB265-AD265)),
IF(AND(G265="monofasico",AB265-AD265=0),X265*(30-(AB265-AD265)),0))))</f>
        <v>279.75</v>
      </c>
      <c r="BE265" s="73">
        <f t="shared" ref="BE265:BE328" si="171">IFERROR(AS265+AV265,"")</f>
        <v>231.75250000000003</v>
      </c>
      <c r="BF265" s="77">
        <f t="shared" ref="BF265:BF328" si="172">ROUND(BD265-BE265,2)</f>
        <v>48</v>
      </c>
      <c r="BG265" s="77">
        <f t="shared" ref="BG265:BG328" si="173">BF265*0.3</f>
        <v>14.399999999999999</v>
      </c>
      <c r="BH265" s="77">
        <f t="shared" ref="BH265:BH328" si="174">(X265*AD265)-((X265-Z265)*AD265)</f>
        <v>191.98999999999998</v>
      </c>
      <c r="BI265" s="78">
        <f t="shared" ref="BI265:BI328" si="175">IFERROR(ROUND(IFERROR(IF(BF265=0,"",BF265/(AY265+Z265*J265*AD265+AA265*J265*AE265)),0),2),"")</f>
        <v>0.25</v>
      </c>
      <c r="BJ265" s="79">
        <f t="shared" ref="BJ265:BJ328" si="176">IFERROR(BF265/BD265,"")</f>
        <v>0.17158176943699732</v>
      </c>
      <c r="BK265" s="80">
        <f t="shared" ref="BK265:BK328" si="177">IFERROR(AS265+AY265,"")</f>
        <v>231.75000000000003</v>
      </c>
      <c r="BL265" s="80">
        <f t="shared" ref="BL265:BL328" si="178">IFERROR(BD265-BK265,"")</f>
        <v>47.999999999999972</v>
      </c>
      <c r="BM265" s="79">
        <f t="shared" ref="BM265:BM328" si="179">IFERROR(IF(BL265=0,"",BL265/BD265),"")</f>
        <v>0.17158176943699721</v>
      </c>
      <c r="BN265" s="81">
        <f t="shared" ref="BN265:BN328" si="180">IFERROR(IF(AD265="","",AY265/(AD265+AE265)),"")</f>
        <v>0.83715116279069768</v>
      </c>
      <c r="BO265" s="82">
        <f t="shared" ref="BO265:BO328" si="181">IF(OR(BN265="",BN265=0),"",BN265*(AD265+AE265))</f>
        <v>143.99</v>
      </c>
      <c r="BP265" s="81">
        <f t="shared" ref="BP265:BP328" si="182">IFERROR(IF(AD265="","",AY265/AD265),"")</f>
        <v>0.83715116279069768</v>
      </c>
      <c r="BQ265" s="81">
        <f t="shared" ref="BQ265:BQ328" si="183">IFERROR(BP265+(X265-Z265),"")</f>
        <v>0.83716785632051571</v>
      </c>
      <c r="BR265" s="81">
        <f t="shared" ref="BR265:BR328" si="184">IFERROR(IF(AD265="","",(X265*AD265+Y265*AE265)/(AD265+AE265)),"")</f>
        <v>1.1162376237623761</v>
      </c>
      <c r="BS265" s="82">
        <f t="shared" ref="BS265:BS328" si="185">IFERROR(IF(D265="gerado",AQ265,AD265),"")</f>
        <v>172</v>
      </c>
      <c r="BT265" s="82">
        <f t="shared" ref="BT265:BT328" si="186">IF(OR(BR265="",BR265=0),"",BR265*(AD265+AE265))</f>
        <v>191.99287128712868</v>
      </c>
      <c r="BU265" s="82">
        <f t="shared" ref="BU265:BU328" si="187">IFERROR(BS265*Z265,"")</f>
        <v>191.98999999999998</v>
      </c>
      <c r="BW265" s="82">
        <f>IFERROR(INDEX('Infos Clientes'!$T:$T,MATCH('Detalhe Por UC'!$C265,'Infos Clientes'!B:B,0)),"")</f>
        <v>0</v>
      </c>
      <c r="BX265" s="83">
        <f t="shared" ref="BX265:BX328" si="188">IFERROR(BW265*Q265,"")</f>
        <v>0</v>
      </c>
      <c r="BY265" s="84">
        <f t="shared" ref="BY265:BY328" si="189">IFERROR((X265-BQ265)/X265,"")</f>
        <v>0.25000928252286592</v>
      </c>
      <c r="BZ265" s="85">
        <f>IF(_xlfn.MINIFS('Detalhe Por UC'!R:R,'Detalhe Por UC'!C:C,C265,'Detalhe Por UC'!AD:AD,"&gt;"&amp;0)=0,"",_xlfn.MINIFS('Detalhe Por UC'!R:R,'Detalhe Por UC'!C:C,C265,'Detalhe Por UC'!AD:AD,"&gt;"&amp;0))</f>
        <v>45658</v>
      </c>
      <c r="CA265" s="114">
        <f ca="1">IF(OR(S265&gt;0,AD265&gt;0),IFERROR(
SUMIFS(INDIRECT("'Infos Clientes'!$W"&amp;INDEX('Infos Clientes'!$C:$C,MATCH(C265,'Infos Clientes'!$H:$H,0))&amp;":$CZ"&amp;INDEX('Infos Clientes'!$C:$C,MATCH(C265,'Infos Clientes'!$H:$H,0))),'Infos Clientes'!$W$2:$CZ$2,"&gt;"&amp;$R265-365,'Infos Clientes'!$W$2:$CZ$2,"&lt;="&amp;$R265)/
COUNTIFS(INDIRECT("'Infos Clientes'!$W"&amp;INDEX('Infos Clientes'!$C:$C,MATCH(C265,'Infos Clientes'!$H:$H,0))&amp;":$CZ"&amp;INDEX('Infos Clientes'!$C:$C,MATCH(C265,'Infos Clientes'!$H:$H,0))),"&gt;="&amp;0,'Infos Clientes'!$W$2:$CZ$2,"&gt;"&amp;$R265-365,'Infos Clientes'!$W$2:$CZ$2,"&lt;="&amp;$R265),""),"")</f>
        <v>175.33333333333334</v>
      </c>
      <c r="CB265" s="87">
        <f>VLOOKUP(C265,'Infos Clientes'!B:L,11,0)</f>
        <v>0</v>
      </c>
      <c r="CC265" s="88" t="str">
        <f t="shared" ref="CC265:CC328" si="190">"A Unidade Consumidora "&amp;C265&amp;" economizou R$"&amp;BF265&amp;" na fatura referente à "&amp;TEXT(R265,"mmm/aaaa")&amp;"  consumindo "&amp;AD265&amp;" kWh em créditos de energia renovável conforme fatura de energia. A economia foi de "&amp;$J265*100&amp;"% em relação ao que seria pago para a Energisa considerando os créditos consumidos. Atenção: Mantenha as contas da Energisa em dia para evitar cortes."</f>
        <v>A Unidade Consumidora 10/150263-2 economizou R$48 na fatura referente à mar/2025  consumindo 172 kWh em créditos de energia renovável conforme fatura de energia. A economia foi de 25% em relação ao que seria pago para a Energisa considerando os créditos consumidos. Atenção: Mantenha as contas da Energisa em dia para evitar cortes.</v>
      </c>
      <c r="CD265" s="40"/>
      <c r="CF265" s="115">
        <f t="shared" ref="CF265:CF328" si="191">CE265-AT265</f>
        <v>-87.760000000000019</v>
      </c>
    </row>
    <row r="266" spans="1:84" ht="16.2" hidden="1" customHeight="1" x14ac:dyDescent="0.3">
      <c r="A266" s="105" t="str">
        <f>INDEX('Infos Clientes'!$D:$D,MATCH('Detalhe Por UC'!C266,'Infos Clientes'!B:B,0))</f>
        <v>IGREJA DO EVANGELHO QUADRANGULAR</v>
      </c>
      <c r="B266" s="106" t="str">
        <f>INDEX('Infos Clientes'!$F:$F,MATCH('Detalhe Por UC'!C266,'Infos Clientes'!B:B,0))</f>
        <v>62.955.505/0156-01</v>
      </c>
      <c r="C266" s="44" t="s">
        <v>32</v>
      </c>
      <c r="D266" t="s">
        <v>351</v>
      </c>
      <c r="E266" s="1" t="s">
        <v>352</v>
      </c>
      <c r="F266" s="56" t="str">
        <f>INDEX('Infos Clientes'!$I:$I,MATCH('Detalhe Por UC'!C266,'Infos Clientes'!B:B,0))</f>
        <v>BT</v>
      </c>
      <c r="G266" s="56" t="str">
        <f>INDEX('Infos Clientes'!$J:$J,MATCH('Detalhe Por UC'!C266,'Infos Clientes'!B:B,0))</f>
        <v>trifasico</v>
      </c>
      <c r="H266" s="108" t="s">
        <v>24</v>
      </c>
      <c r="I266" s="58">
        <f>IFERROR(VLOOKUP(C266,'Infos Clientes'!B:E,4,),"")</f>
        <v>319</v>
      </c>
      <c r="J266" s="109">
        <v>0.25</v>
      </c>
      <c r="K266" s="59">
        <f>INDEX('Infos Clientes'!$M:$M,MATCH('Detalhe Por UC'!C266,'Infos Clientes'!B:B,0))</f>
        <v>0.25</v>
      </c>
      <c r="L266" s="125">
        <v>0</v>
      </c>
      <c r="M266" s="56">
        <f>INDEX('Infos Clientes'!$N:$N,MATCH('Detalhe Por UC'!C266,'Infos Clientes'!B:B,0))</f>
        <v>0</v>
      </c>
      <c r="N266" s="56">
        <f t="shared" si="155"/>
        <v>0</v>
      </c>
      <c r="O266" s="56">
        <f t="shared" si="156"/>
        <v>9</v>
      </c>
      <c r="P266" s="56">
        <f t="shared" si="157"/>
        <v>0</v>
      </c>
      <c r="Q266" s="61">
        <f>IFERROR(IFERROR(INDEX('Infos Clientes'!$A$2:$V$9884,MATCH($C266,'Infos Clientes'!$B$2:$B$9884,0),MATCH(Q$8,'Infos Clientes'!$A$2:$V$2,0)),"")
+IF(OR(INDEX('Infos Clientes'!$A$2:$V$9884,MATCH($C266,'Infos Clientes'!$B$2:$B$9884,0),MATCH("Tempo de Fidelidade (meses)",'Infos Clientes'!$A$2:$V$2,0))=0,R266&gt;=MAX(R:R)),0,
ROUND((MAX(R:R)-R266)/(365/12),0)),"")</f>
        <v>0</v>
      </c>
      <c r="R266" s="111">
        <v>45717</v>
      </c>
      <c r="S266" s="17">
        <v>0</v>
      </c>
      <c r="T266" s="113">
        <f>IF($H266="GIROSSOL II",AP266/INDEX('Resumo Operacional'!$A$1:$P$1103,17,MATCH('Detalhe Por UC'!$R266,'Resumo Operacional'!$A$1:$P$1,0)),
IF($H266="GIROSSOL II e III",AP266/INDEX('Resumo Operacional'!$A$1:$P$1103,17,MATCH('Detalhe Por UC'!$R266,'Resumo Operacional'!$A$1:$P$1,0)),
""))</f>
        <v>1.046598554697234E-2</v>
      </c>
      <c r="U266" s="113" t="str">
        <f>IF($H266="GIROSSOL III",AP266/INDEX('Resumo Operacional'!$A$1:$P$1103,53,MATCH('Detalhe Por UC'!$R266,'Resumo Operacional'!$A$1:$P$1,0)),
IF($H266="GIROSSOL II e III",AP266/INDEX('Resumo Operacional'!$A$1:$P$1103,53,MATCH('Detalhe Por UC'!$R266,'Resumo Operacional'!$A$1:$P$1,0)),
""))</f>
        <v/>
      </c>
      <c r="V266" s="18"/>
      <c r="W266" s="18"/>
      <c r="X266" s="18">
        <v>1.1162436548223351</v>
      </c>
      <c r="Y266" s="18"/>
      <c r="Z266" s="18">
        <v>1.1161904761904762</v>
      </c>
      <c r="AA266" s="18"/>
      <c r="AB266" s="18">
        <v>394</v>
      </c>
      <c r="AC266" s="18">
        <v>0</v>
      </c>
      <c r="AD266" s="18">
        <v>126</v>
      </c>
      <c r="AE266" s="35"/>
      <c r="AF266" s="18">
        <v>0</v>
      </c>
      <c r="AG266" s="18"/>
      <c r="AH266" s="18">
        <v>32.44</v>
      </c>
      <c r="AI266" s="18"/>
      <c r="AJ266" s="18"/>
      <c r="AN266" s="71">
        <f t="shared" si="158"/>
        <v>0</v>
      </c>
      <c r="AO266" s="71">
        <f t="shared" si="159"/>
        <v>0</v>
      </c>
      <c r="AP266" s="71">
        <f t="shared" si="160"/>
        <v>126</v>
      </c>
      <c r="AQ266" s="72">
        <f>IF(OR($H266="GIROSSOL II",$H266="GIROSSOL II e III"),INDEX('Resumo Operacional'!$A$1:$P$1103,MATCH("Energia Injetada prevista total Fatura da Usina (TUSD)",'Resumo Operacional'!$B$1:$B$1103,0),MATCH('Detalhe Por UC'!$R266,'Resumo Operacional'!$A$1:$P$1,0))*$S266,INDEX('Resumo Operacional'!$A$1:$P$1103,53,MATCH('Detalhe Por UC'!$R266,'Resumo Operacional'!$A$1:$P$1,0))*$S266)</f>
        <v>0</v>
      </c>
      <c r="AR266" s="71">
        <f t="shared" si="161"/>
        <v>126</v>
      </c>
      <c r="AS266" s="73">
        <f t="shared" si="162"/>
        <v>331.6</v>
      </c>
      <c r="AT266" s="74">
        <f t="shared" si="163"/>
        <v>331.6</v>
      </c>
      <c r="AU266" s="74">
        <f t="shared" si="164"/>
        <v>1.1161372975586172</v>
      </c>
      <c r="AV266" s="74">
        <f t="shared" si="165"/>
        <v>105.48</v>
      </c>
      <c r="AW266" s="74">
        <f t="shared" si="166"/>
        <v>0</v>
      </c>
      <c r="AX266" s="74">
        <f t="shared" si="167"/>
        <v>140.63999999999999</v>
      </c>
      <c r="AY266" s="74">
        <f t="shared" si="168"/>
        <v>105.48</v>
      </c>
      <c r="AZ266" s="49">
        <v>105.48</v>
      </c>
      <c r="BA266" s="49">
        <v>105.48</v>
      </c>
      <c r="BB266" s="49">
        <v>105.48</v>
      </c>
      <c r="BC266" s="73" t="str">
        <f t="shared" si="169"/>
        <v/>
      </c>
      <c r="BD266" s="73">
        <f t="shared" si="170"/>
        <v>472.24</v>
      </c>
      <c r="BE266" s="73">
        <f t="shared" si="171"/>
        <v>437.08000000000004</v>
      </c>
      <c r="BF266" s="77">
        <f t="shared" si="172"/>
        <v>35.159999999999997</v>
      </c>
      <c r="BG266" s="77">
        <f t="shared" si="173"/>
        <v>10.547999999999998</v>
      </c>
      <c r="BH266" s="77">
        <f t="shared" si="174"/>
        <v>140.63999999999999</v>
      </c>
      <c r="BI266" s="78">
        <f t="shared" si="175"/>
        <v>0.25</v>
      </c>
      <c r="BJ266" s="79">
        <f t="shared" si="176"/>
        <v>7.4453667626630513E-2</v>
      </c>
      <c r="BK266" s="80">
        <f t="shared" si="177"/>
        <v>437.08000000000004</v>
      </c>
      <c r="BL266" s="80">
        <f t="shared" si="178"/>
        <v>35.159999999999968</v>
      </c>
      <c r="BM266" s="79">
        <f t="shared" si="179"/>
        <v>7.4453667626630457E-2</v>
      </c>
      <c r="BN266" s="81">
        <f t="shared" si="180"/>
        <v>0.83714285714285719</v>
      </c>
      <c r="BO266" s="82">
        <f t="shared" si="181"/>
        <v>105.48</v>
      </c>
      <c r="BP266" s="81">
        <f t="shared" si="182"/>
        <v>0.83714285714285719</v>
      </c>
      <c r="BQ266" s="81">
        <f t="shared" si="183"/>
        <v>0.83719603577471613</v>
      </c>
      <c r="BR266" s="81">
        <f t="shared" si="184"/>
        <v>1.1162436548223351</v>
      </c>
      <c r="BS266" s="82">
        <f t="shared" si="185"/>
        <v>126</v>
      </c>
      <c r="BT266" s="82">
        <f t="shared" si="186"/>
        <v>140.64670050761421</v>
      </c>
      <c r="BU266" s="82">
        <f t="shared" si="187"/>
        <v>140.63999999999999</v>
      </c>
      <c r="BW266" s="82">
        <f>IFERROR(INDEX('Infos Clientes'!$T:$T,MATCH('Detalhe Por UC'!$C266,'Infos Clientes'!B:B,0)),"")</f>
        <v>236.08333333333334</v>
      </c>
      <c r="BX266" s="83">
        <f t="shared" si="188"/>
        <v>0</v>
      </c>
      <c r="BY266" s="84">
        <f t="shared" si="189"/>
        <v>0.24998808982437898</v>
      </c>
      <c r="BZ266" s="85">
        <f>IF(_xlfn.MINIFS('Detalhe Por UC'!R:R,'Detalhe Por UC'!C:C,C266,'Detalhe Por UC'!AD:AD,"&gt;"&amp;0)=0,"",_xlfn.MINIFS('Detalhe Por UC'!R:R,'Detalhe Por UC'!C:C,C266,'Detalhe Por UC'!AD:AD,"&gt;"&amp;0))</f>
        <v>45627</v>
      </c>
      <c r="CA266" s="114">
        <f ca="1">IF(OR(S266&gt;0,AD266&gt;0),IFERROR(
SUMIFS(INDIRECT("'Infos Clientes'!$W"&amp;INDEX('Infos Clientes'!$C:$C,MATCH(C266,'Infos Clientes'!$H:$H,0))&amp;":$CZ"&amp;INDEX('Infos Clientes'!$C:$C,MATCH(C266,'Infos Clientes'!$H:$H,0))),'Infos Clientes'!$W$2:$CZ$2,"&gt;"&amp;$R266-365,'Infos Clientes'!$W$2:$CZ$2,"&lt;="&amp;$R266)/
COUNTIFS(INDIRECT("'Infos Clientes'!$W"&amp;INDEX('Infos Clientes'!$C:$C,MATCH(C266,'Infos Clientes'!$H:$H,0))&amp;":$CZ"&amp;INDEX('Infos Clientes'!$C:$C,MATCH(C266,'Infos Clientes'!$H:$H,0))),"&gt;="&amp;0,'Infos Clientes'!$W$2:$CZ$2,"&gt;"&amp;$R266-365,'Infos Clientes'!$W$2:$CZ$2,"&lt;="&amp;$R266),""),"")</f>
        <v>259</v>
      </c>
      <c r="CB266" s="87">
        <f>VLOOKUP(C266,'Infos Clientes'!B:L,11,0)</f>
        <v>0</v>
      </c>
      <c r="CC266" s="88" t="str">
        <f t="shared" si="190"/>
        <v>A Unidade Consumidora 10/113971-6 economizou R$35,16 na fatura referente à mar/2025  consumindo 126 kWh em créditos de energia renovável conforme fatura de energia. A economia foi de 25% em relação ao que seria pago para a Energisa considerando os créditos consumidos. Atenção: Mantenha as contas da Energisa em dia para evitar cortes.</v>
      </c>
      <c r="CD266" s="40" t="s">
        <v>34</v>
      </c>
      <c r="CF266" s="115">
        <f t="shared" si="191"/>
        <v>-331.6</v>
      </c>
    </row>
    <row r="267" spans="1:84" ht="16.2" hidden="1" customHeight="1" x14ac:dyDescent="0.3">
      <c r="A267" s="105" t="str">
        <f>INDEX('Infos Clientes'!$D:$D,MATCH('Detalhe Por UC'!C267,'Infos Clientes'!B:B,0))</f>
        <v>IGREJA DO EVANGELHO QUADRANGULAR</v>
      </c>
      <c r="B267" s="106" t="str">
        <f>INDEX('Infos Clientes'!$F:$F,MATCH('Detalhe Por UC'!C267,'Infos Clientes'!B:B,0))</f>
        <v>62.955.505/1490-47</v>
      </c>
      <c r="C267" s="137" t="s">
        <v>35</v>
      </c>
      <c r="D267" t="s">
        <v>351</v>
      </c>
      <c r="E267" s="1" t="s">
        <v>352</v>
      </c>
      <c r="F267" s="56" t="str">
        <f>INDEX('Infos Clientes'!$I:$I,MATCH('Detalhe Por UC'!C267,'Infos Clientes'!B:B,0))</f>
        <v>BT</v>
      </c>
      <c r="G267" s="56" t="str">
        <f>INDEX('Infos Clientes'!$J:$J,MATCH('Detalhe Por UC'!C267,'Infos Clientes'!B:B,0))</f>
        <v>trifasico</v>
      </c>
      <c r="H267" s="108" t="s">
        <v>353</v>
      </c>
      <c r="I267" s="58">
        <f>IFERROR(VLOOKUP(C267,'Infos Clientes'!B:E,4,),"")</f>
        <v>319</v>
      </c>
      <c r="J267" s="109">
        <v>0.25</v>
      </c>
      <c r="K267" s="59">
        <f>INDEX('Infos Clientes'!$M:$M,MATCH('Detalhe Por UC'!C267,'Infos Clientes'!B:B,0))</f>
        <v>0.25</v>
      </c>
      <c r="L267" s="125">
        <v>0</v>
      </c>
      <c r="M267" s="56">
        <f>INDEX('Infos Clientes'!$N:$N,MATCH('Detalhe Por UC'!C267,'Infos Clientes'!B:B,0))</f>
        <v>0</v>
      </c>
      <c r="N267" s="56">
        <f t="shared" si="155"/>
        <v>0</v>
      </c>
      <c r="O267" s="56">
        <f t="shared" si="156"/>
        <v>12</v>
      </c>
      <c r="P267" s="56">
        <f t="shared" si="157"/>
        <v>0</v>
      </c>
      <c r="Q267" s="61">
        <f>IFERROR(IFERROR(INDEX('Infos Clientes'!$A$2:$V$9884,MATCH($C267,'Infos Clientes'!$B$2:$B$9884,0),MATCH(Q$8,'Infos Clientes'!$A$2:$V$2,0)),"")
+IF(OR(INDEX('Infos Clientes'!$A$2:$V$9884,MATCH($C267,'Infos Clientes'!$B$2:$B$9884,0),MATCH("Tempo de Fidelidade (meses)",'Infos Clientes'!$A$2:$V$2,0))=0,R267&gt;=MAX(R:R)),0,
ROUND((MAX(R:R)-R267)/(365/12),0)),"")</f>
        <v>0</v>
      </c>
      <c r="R267" s="111">
        <v>45717</v>
      </c>
      <c r="S267" s="17">
        <v>0.01</v>
      </c>
      <c r="T267" s="113">
        <f>IF($H267="GIROSSOL II",AP267/INDEX('Resumo Operacional'!$A$1:$P$1103,17,MATCH('Detalhe Por UC'!$R267,'Resumo Operacional'!$A$1:$P$1,0)),
IF($H267="GIROSSOL II e III",AP267/INDEX('Resumo Operacional'!$A$1:$P$1103,17,MATCH('Detalhe Por UC'!$R267,'Resumo Operacional'!$A$1:$P$1,0)),
""))</f>
        <v>2.24271118863693E-2</v>
      </c>
      <c r="U267" s="113">
        <f>IF($H267="GIROSSOL III",AP267/INDEX('Resumo Operacional'!$A$1:$P$1103,53,MATCH('Detalhe Por UC'!$R267,'Resumo Operacional'!$A$1:$P$1,0)),
IF($H267="GIROSSOL II e III",AP267/INDEX('Resumo Operacional'!$A$1:$P$1103,53,MATCH('Detalhe Por UC'!$R267,'Resumo Operacional'!$A$1:$P$1,0)),
""))</f>
        <v>2.2419662874698994E-2</v>
      </c>
      <c r="V267" s="18"/>
      <c r="W267" s="18"/>
      <c r="X267" s="18">
        <v>1.1162533692722372</v>
      </c>
      <c r="Y267" s="18"/>
      <c r="Z267" s="18">
        <v>1.0704545454545455</v>
      </c>
      <c r="AA267" s="18"/>
      <c r="AB267" s="18">
        <v>371</v>
      </c>
      <c r="AC267" s="18">
        <v>0</v>
      </c>
      <c r="AD267" s="18">
        <v>286</v>
      </c>
      <c r="AE267" s="35"/>
      <c r="AF267" s="18">
        <v>402</v>
      </c>
      <c r="AG267" s="18"/>
      <c r="AH267" s="18">
        <v>68.759999999999991</v>
      </c>
      <c r="AI267" s="18"/>
      <c r="AJ267" s="18"/>
      <c r="AN267" s="71">
        <f t="shared" si="158"/>
        <v>-16</v>
      </c>
      <c r="AO267" s="71">
        <f t="shared" si="159"/>
        <v>0</v>
      </c>
      <c r="AP267" s="71">
        <f t="shared" si="160"/>
        <v>270</v>
      </c>
      <c r="AQ267" s="72">
        <f>IF(OR($H267="GIROSSOL II",$H267="GIROSSOL II e III"),INDEX('Resumo Operacional'!$A$1:$P$1103,MATCH("Energia Injetada prevista total Fatura da Usina (TUSD)",'Resumo Operacional'!$B$1:$B$1103,0),MATCH('Detalhe Por UC'!$R267,'Resumo Operacional'!$A$1:$P$1,0))*$S267,INDEX('Resumo Operacional'!$A$1:$P$1103,53,MATCH('Detalhe Por UC'!$R267,'Resumo Operacional'!$A$1:$P$1,0))*$S267)</f>
        <v>120.39</v>
      </c>
      <c r="AR267" s="71">
        <f t="shared" si="161"/>
        <v>149.61000000000001</v>
      </c>
      <c r="AS267" s="73">
        <f t="shared" si="162"/>
        <v>176.73999999999995</v>
      </c>
      <c r="AT267" s="74">
        <f t="shared" si="163"/>
        <v>176.73999999999995</v>
      </c>
      <c r="AU267" s="74">
        <f t="shared" si="164"/>
        <v>1.0246557216368539</v>
      </c>
      <c r="AV267" s="74">
        <f t="shared" si="165"/>
        <v>229.61250000000004</v>
      </c>
      <c r="AW267" s="74">
        <f t="shared" si="166"/>
        <v>0</v>
      </c>
      <c r="AX267" s="74">
        <f t="shared" si="167"/>
        <v>306.15000000000003</v>
      </c>
      <c r="AY267" s="74">
        <f t="shared" si="168"/>
        <v>229.61</v>
      </c>
      <c r="AZ267" s="49">
        <v>229.61</v>
      </c>
      <c r="BA267" s="49">
        <v>229.61</v>
      </c>
      <c r="BB267" s="49">
        <v>229.61</v>
      </c>
      <c r="BC267" s="73" t="str">
        <f t="shared" si="169"/>
        <v/>
      </c>
      <c r="BD267" s="73">
        <f t="shared" si="170"/>
        <v>482.89</v>
      </c>
      <c r="BE267" s="73">
        <f t="shared" si="171"/>
        <v>406.35249999999996</v>
      </c>
      <c r="BF267" s="77">
        <f t="shared" si="172"/>
        <v>76.540000000000006</v>
      </c>
      <c r="BG267" s="77">
        <f t="shared" si="173"/>
        <v>22.962</v>
      </c>
      <c r="BH267" s="77">
        <f t="shared" si="174"/>
        <v>306.15000000000003</v>
      </c>
      <c r="BI267" s="78">
        <f t="shared" si="175"/>
        <v>0.25</v>
      </c>
      <c r="BJ267" s="79">
        <f t="shared" si="176"/>
        <v>0.15850400712377563</v>
      </c>
      <c r="BK267" s="80">
        <f t="shared" si="177"/>
        <v>406.34999999999997</v>
      </c>
      <c r="BL267" s="80">
        <f t="shared" si="178"/>
        <v>76.54000000000002</v>
      </c>
      <c r="BM267" s="79">
        <f t="shared" si="179"/>
        <v>0.15850400712377566</v>
      </c>
      <c r="BN267" s="81">
        <f t="shared" si="180"/>
        <v>0.80283216783216793</v>
      </c>
      <c r="BO267" s="82">
        <f t="shared" si="181"/>
        <v>229.61000000000004</v>
      </c>
      <c r="BP267" s="81">
        <f t="shared" si="182"/>
        <v>0.80283216783216793</v>
      </c>
      <c r="BQ267" s="81">
        <f t="shared" si="183"/>
        <v>0.84863099164985956</v>
      </c>
      <c r="BR267" s="81">
        <f t="shared" si="184"/>
        <v>1.1162533692722372</v>
      </c>
      <c r="BS267" s="82">
        <f t="shared" si="185"/>
        <v>286</v>
      </c>
      <c r="BT267" s="82">
        <f t="shared" si="186"/>
        <v>319.24846361185985</v>
      </c>
      <c r="BU267" s="82">
        <f t="shared" si="187"/>
        <v>306.15000000000003</v>
      </c>
      <c r="BW267" s="82">
        <f>IFERROR(INDEX('Infos Clientes'!$T:$T,MATCH('Detalhe Por UC'!$C267,'Infos Clientes'!B:B,0)),"")</f>
        <v>182.25</v>
      </c>
      <c r="BX267" s="83">
        <f t="shared" si="188"/>
        <v>0</v>
      </c>
      <c r="BY267" s="84">
        <f t="shared" si="189"/>
        <v>0.2397505664837179</v>
      </c>
      <c r="BZ267" s="85">
        <f>IF(_xlfn.MINIFS('Detalhe Por UC'!R:R,'Detalhe Por UC'!C:C,C267,'Detalhe Por UC'!AD:AD,"&gt;"&amp;0)=0,"",_xlfn.MINIFS('Detalhe Por UC'!R:R,'Detalhe Por UC'!C:C,C267,'Detalhe Por UC'!AD:AD,"&gt;"&amp;0))</f>
        <v>45627</v>
      </c>
      <c r="CA267" s="114">
        <f ca="1">IF(OR(S267&gt;0,AD267&gt;0),IFERROR(
SUMIFS(INDIRECT("'Infos Clientes'!$W"&amp;INDEX('Infos Clientes'!$C:$C,MATCH(C267,'Infos Clientes'!$H:$H,0))&amp;":$CZ"&amp;INDEX('Infos Clientes'!$C:$C,MATCH(C267,'Infos Clientes'!$H:$H,0))),'Infos Clientes'!$W$2:$CZ$2,"&gt;"&amp;$R267-365,'Infos Clientes'!$W$2:$CZ$2,"&lt;="&amp;$R267)/
COUNTIFS(INDIRECT("'Infos Clientes'!$W"&amp;INDEX('Infos Clientes'!$C:$C,MATCH(C267,'Infos Clientes'!$H:$H,0))&amp;":$CZ"&amp;INDEX('Infos Clientes'!$C:$C,MATCH(C267,'Infos Clientes'!$H:$H,0))),"&gt;="&amp;0,'Infos Clientes'!$W$2:$CZ$2,"&gt;"&amp;$R267-365,'Infos Clientes'!$W$2:$CZ$2,"&lt;="&amp;$R267),""),"")</f>
        <v>206</v>
      </c>
      <c r="CB267" s="87">
        <f>VLOOKUP(C267,'Infos Clientes'!B:L,11,0)</f>
        <v>0</v>
      </c>
      <c r="CC267" s="88" t="str">
        <f t="shared" si="190"/>
        <v>A Unidade Consumidora 10/1184751-4 economizou R$76,54 na fatura referente à mar/2025  consumindo 286 kWh em créditos de energia renovável conforme fatura de energia. A economia foi de 25% em relação ao que seria pago para a Energisa considerando os créditos consumidos. Atenção: Mantenha as contas da Energisa em dia para evitar cortes.</v>
      </c>
      <c r="CD267" s="40" t="s">
        <v>37</v>
      </c>
      <c r="CF267" s="115">
        <f t="shared" si="191"/>
        <v>-176.73999999999995</v>
      </c>
    </row>
    <row r="268" spans="1:84" ht="16.2" hidden="1" customHeight="1" x14ac:dyDescent="0.3">
      <c r="A268" s="105" t="str">
        <f>INDEX('Infos Clientes'!$D:$D,MATCH('Detalhe Por UC'!C268,'Infos Clientes'!B:B,0))</f>
        <v>IGREJA DO EVANGELHO QUADRANGULAR</v>
      </c>
      <c r="B268" s="106" t="str">
        <f>INDEX('Infos Clientes'!$F:$F,MATCH('Detalhe Por UC'!C268,'Infos Clientes'!B:B,0))</f>
        <v>62.955.505/0172-13</v>
      </c>
      <c r="C268" s="137" t="s">
        <v>79</v>
      </c>
      <c r="D268" t="s">
        <v>351</v>
      </c>
      <c r="E268" s="1" t="s">
        <v>352</v>
      </c>
      <c r="F268" s="56" t="str">
        <f>INDEX('Infos Clientes'!$I:$I,MATCH('Detalhe Por UC'!C268,'Infos Clientes'!B:B,0))</f>
        <v>BT</v>
      </c>
      <c r="G268" s="56" t="str">
        <f>INDEX('Infos Clientes'!$J:$J,MATCH('Detalhe Por UC'!C268,'Infos Clientes'!B:B,0))</f>
        <v>trifasico</v>
      </c>
      <c r="H268" s="108" t="s">
        <v>24</v>
      </c>
      <c r="I268" s="58">
        <f>IFERROR(VLOOKUP(C268,'Infos Clientes'!B:E,4,),"")</f>
        <v>371</v>
      </c>
      <c r="J268" s="109">
        <v>0.25</v>
      </c>
      <c r="K268" s="59">
        <f>INDEX('Infos Clientes'!$M:$M,MATCH('Detalhe Por UC'!C268,'Infos Clientes'!B:B,0))</f>
        <v>0.25</v>
      </c>
      <c r="L268" s="125">
        <v>0</v>
      </c>
      <c r="M268" s="56">
        <f>INDEX('Infos Clientes'!$N:$N,MATCH('Detalhe Por UC'!C268,'Infos Clientes'!B:B,0))</f>
        <v>0</v>
      </c>
      <c r="N268" s="56">
        <f t="shared" si="155"/>
        <v>0</v>
      </c>
      <c r="O268" s="56">
        <f t="shared" si="156"/>
        <v>8</v>
      </c>
      <c r="P268" s="56">
        <f t="shared" si="157"/>
        <v>0</v>
      </c>
      <c r="Q268" s="61">
        <f>IFERROR(IFERROR(INDEX('Infos Clientes'!$A$2:$V$9884,MATCH($C268,'Infos Clientes'!$B$2:$B$9884,0),MATCH(Q$8,'Infos Clientes'!$A$2:$V$2,0)),"")
+IF(OR(INDEX('Infos Clientes'!$A$2:$V$9884,MATCH($C268,'Infos Clientes'!$B$2:$B$9884,0),MATCH("Tempo de Fidelidade (meses)",'Infos Clientes'!$A$2:$V$2,0))=0,R268&gt;=MAX(R:R)),0,
ROUND((MAX(R:R)-R268)/(365/12),0)),"")</f>
        <v>0</v>
      </c>
      <c r="R268" s="111">
        <v>45717</v>
      </c>
      <c r="S268" s="17">
        <v>6.0000000000000001E-3</v>
      </c>
      <c r="T268" s="113">
        <f>IF($H268="GIROSSOL II",AP268/INDEX('Resumo Operacional'!$A$1:$P$1103,17,MATCH('Detalhe Por UC'!$R268,'Resumo Operacional'!$A$1:$P$1,0)),
IF($H268="GIROSSOL II e III",AP268/INDEX('Resumo Operacional'!$A$1:$P$1103,17,MATCH('Detalhe Por UC'!$R268,'Resumo Operacional'!$A$1:$P$1,0)),
""))</f>
        <v>1.7609435999667748E-2</v>
      </c>
      <c r="U268" s="113" t="str">
        <f>IF($H268="GIROSSOL III",AP268/INDEX('Resumo Operacional'!$A$1:$P$1103,53,MATCH('Detalhe Por UC'!$R268,'Resumo Operacional'!$A$1:$P$1,0)),
IF($H268="GIROSSOL II e III",AP268/INDEX('Resumo Operacional'!$A$1:$P$1103,53,MATCH('Detalhe Por UC'!$R268,'Resumo Operacional'!$A$1:$P$1,0)),
""))</f>
        <v/>
      </c>
      <c r="V268" s="18"/>
      <c r="W268" s="18"/>
      <c r="X268" s="18">
        <v>1.1162460567823345</v>
      </c>
      <c r="Y268" s="18"/>
      <c r="Z268" s="18">
        <v>1.1148847926267282</v>
      </c>
      <c r="AA268" s="18"/>
      <c r="AB268" s="18">
        <v>317</v>
      </c>
      <c r="AC268" s="18">
        <v>0</v>
      </c>
      <c r="AD268" s="18">
        <v>217</v>
      </c>
      <c r="AE268" s="35"/>
      <c r="AF268" s="18">
        <v>443</v>
      </c>
      <c r="AG268" s="18"/>
      <c r="AH268" s="18">
        <v>42.9</v>
      </c>
      <c r="AI268" s="18"/>
      <c r="AJ268" s="18"/>
      <c r="AN268" s="71">
        <f t="shared" si="158"/>
        <v>-5</v>
      </c>
      <c r="AO268" s="71">
        <f t="shared" si="159"/>
        <v>0</v>
      </c>
      <c r="AP268" s="71">
        <f t="shared" si="160"/>
        <v>212</v>
      </c>
      <c r="AQ268" s="72">
        <f>IF(OR($H268="GIROSSOL II",$H268="GIROSSOL II e III"),INDEX('Resumo Operacional'!$A$1:$P$1103,MATCH("Energia Injetada prevista total Fatura da Usina (TUSD)",'Resumo Operacional'!$B$1:$B$1103,0),MATCH('Detalhe Por UC'!$R268,'Resumo Operacional'!$A$1:$P$1,0))*$S268,INDEX('Resumo Operacional'!$A$1:$P$1103,53,MATCH('Detalhe Por UC'!$R268,'Resumo Operacional'!$A$1:$P$1,0))*$S268)</f>
        <v>72.233999999999995</v>
      </c>
      <c r="AR268" s="71">
        <f t="shared" si="161"/>
        <v>139.76600000000002</v>
      </c>
      <c r="AS268" s="73">
        <f t="shared" si="162"/>
        <v>154.82</v>
      </c>
      <c r="AT268" s="74">
        <f t="shared" si="163"/>
        <v>154.82</v>
      </c>
      <c r="AU268" s="74">
        <f t="shared" si="164"/>
        <v>1.113523528471122</v>
      </c>
      <c r="AV268" s="74">
        <f t="shared" si="165"/>
        <v>181.44750000000002</v>
      </c>
      <c r="AW268" s="74">
        <f t="shared" si="166"/>
        <v>0</v>
      </c>
      <c r="AX268" s="74">
        <f t="shared" si="167"/>
        <v>241.93000000000004</v>
      </c>
      <c r="AY268" s="74">
        <f t="shared" si="168"/>
        <v>181.45</v>
      </c>
      <c r="AZ268" s="49">
        <v>181.45</v>
      </c>
      <c r="BA268" s="49">
        <v>181.45</v>
      </c>
      <c r="BB268" s="49">
        <v>181.45</v>
      </c>
      <c r="BC268" s="73" t="str">
        <f t="shared" si="169"/>
        <v/>
      </c>
      <c r="BD268" s="73">
        <f t="shared" si="170"/>
        <v>396.75</v>
      </c>
      <c r="BE268" s="73">
        <f t="shared" si="171"/>
        <v>336.26750000000004</v>
      </c>
      <c r="BF268" s="77">
        <f t="shared" si="172"/>
        <v>60.48</v>
      </c>
      <c r="BG268" s="77">
        <f t="shared" si="173"/>
        <v>18.143999999999998</v>
      </c>
      <c r="BH268" s="77">
        <f t="shared" si="174"/>
        <v>241.93000000000004</v>
      </c>
      <c r="BI268" s="78">
        <f t="shared" si="175"/>
        <v>0.25</v>
      </c>
      <c r="BJ268" s="79">
        <f t="shared" si="176"/>
        <v>0.15243856332703212</v>
      </c>
      <c r="BK268" s="80">
        <f t="shared" si="177"/>
        <v>336.27</v>
      </c>
      <c r="BL268" s="80">
        <f t="shared" si="178"/>
        <v>60.480000000000018</v>
      </c>
      <c r="BM268" s="79">
        <f t="shared" si="179"/>
        <v>0.15243856332703218</v>
      </c>
      <c r="BN268" s="81">
        <f t="shared" si="180"/>
        <v>0.8361751152073732</v>
      </c>
      <c r="BO268" s="82">
        <f t="shared" si="181"/>
        <v>181.45</v>
      </c>
      <c r="BP268" s="81">
        <f t="shared" si="182"/>
        <v>0.8361751152073732</v>
      </c>
      <c r="BQ268" s="81">
        <f t="shared" si="183"/>
        <v>0.83753637936297942</v>
      </c>
      <c r="BR268" s="81">
        <f t="shared" si="184"/>
        <v>1.1162460567823345</v>
      </c>
      <c r="BS268" s="82">
        <f t="shared" si="185"/>
        <v>217</v>
      </c>
      <c r="BT268" s="82">
        <f t="shared" si="186"/>
        <v>242.22539432176657</v>
      </c>
      <c r="BU268" s="82">
        <f t="shared" si="187"/>
        <v>241.93000000000004</v>
      </c>
      <c r="BW268" s="82">
        <f>IFERROR(INDEX('Infos Clientes'!$T:$T,MATCH('Detalhe Por UC'!$C268,'Infos Clientes'!B:B,0)),"")</f>
        <v>166.66666666666666</v>
      </c>
      <c r="BX268" s="83">
        <f t="shared" si="188"/>
        <v>0</v>
      </c>
      <c r="BY268" s="84">
        <f t="shared" si="189"/>
        <v>0.24968480356630082</v>
      </c>
      <c r="BZ268" s="85">
        <f>IF(_xlfn.MINIFS('Detalhe Por UC'!R:R,'Detalhe Por UC'!C:C,C268,'Detalhe Por UC'!AD:AD,"&gt;"&amp;0)=0,"",_xlfn.MINIFS('Detalhe Por UC'!R:R,'Detalhe Por UC'!C:C,C268,'Detalhe Por UC'!AD:AD,"&gt;"&amp;0))</f>
        <v>45627</v>
      </c>
      <c r="CA268" s="114">
        <f ca="1">IF(OR(S268&gt;0,AD268&gt;0),IFERROR(
SUMIFS(INDIRECT("'Infos Clientes'!$W"&amp;INDEX('Infos Clientes'!$C:$C,MATCH(C268,'Infos Clientes'!$H:$H,0))&amp;":$CZ"&amp;INDEX('Infos Clientes'!$C:$C,MATCH(C268,'Infos Clientes'!$H:$H,0))),'Infos Clientes'!$W$2:$CZ$2,"&gt;"&amp;$R268-365,'Infos Clientes'!$W$2:$CZ$2,"&lt;="&amp;$R268)/
COUNTIFS(INDIRECT("'Infos Clientes'!$W"&amp;INDEX('Infos Clientes'!$C:$C,MATCH(C268,'Infos Clientes'!$H:$H,0))&amp;":$CZ"&amp;INDEX('Infos Clientes'!$C:$C,MATCH(C268,'Infos Clientes'!$H:$H,0))),"&gt;="&amp;0,'Infos Clientes'!$W$2:$CZ$2,"&gt;"&amp;$R268-365,'Infos Clientes'!$W$2:$CZ$2,"&lt;="&amp;$R268),""),"")</f>
        <v>171.58333333333334</v>
      </c>
      <c r="CB268" s="87">
        <f>VLOOKUP(C268,'Infos Clientes'!B:L,11,0)</f>
        <v>0</v>
      </c>
      <c r="CC268" s="88" t="str">
        <f t="shared" si="190"/>
        <v>A Unidade Consumidora 10/237441-1 economizou R$60,48 na fatura referente à mar/2025  consumindo 217 kWh em créditos de energia renovável conforme fatura de energia. A economia foi de 25% em relação ao que seria pago para a Energisa considerando os créditos consumidos. Atenção: Mantenha as contas da Energisa em dia para evitar cortes.</v>
      </c>
      <c r="CD268" s="40" t="s">
        <v>80</v>
      </c>
      <c r="CF268" s="115">
        <f t="shared" si="191"/>
        <v>-154.82</v>
      </c>
    </row>
    <row r="269" spans="1:84" ht="16.2" hidden="1" customHeight="1" x14ac:dyDescent="0.3">
      <c r="A269" s="105" t="str">
        <f>INDEX('Infos Clientes'!$D:$D,MATCH('Detalhe Por UC'!C269,'Infos Clientes'!B:B,0))</f>
        <v>IGREJA DO EVANGELHO QUADRANGULAR</v>
      </c>
      <c r="B269" s="106" t="str">
        <f>INDEX('Infos Clientes'!$F:$F,MATCH('Detalhe Por UC'!C269,'Infos Clientes'!B:B,0))</f>
        <v>62.955.505/4612-10</v>
      </c>
      <c r="C269" s="137" t="s">
        <v>57</v>
      </c>
      <c r="D269" t="s">
        <v>351</v>
      </c>
      <c r="E269" s="1" t="s">
        <v>352</v>
      </c>
      <c r="F269" s="56" t="str">
        <f>INDEX('Infos Clientes'!$I:$I,MATCH('Detalhe Por UC'!C269,'Infos Clientes'!B:B,0))</f>
        <v>BT</v>
      </c>
      <c r="G269" s="56" t="str">
        <f>INDEX('Infos Clientes'!$J:$J,MATCH('Detalhe Por UC'!C269,'Infos Clientes'!B:B,0))</f>
        <v>trifasico</v>
      </c>
      <c r="H269" s="108" t="s">
        <v>353</v>
      </c>
      <c r="I269" s="58">
        <f>IFERROR(VLOOKUP(C269,'Infos Clientes'!B:E,4,),"")</f>
        <v>306</v>
      </c>
      <c r="J269" s="109">
        <v>0.25</v>
      </c>
      <c r="K269" s="59">
        <f>INDEX('Infos Clientes'!$M:$M,MATCH('Detalhe Por UC'!C269,'Infos Clientes'!B:B,0))</f>
        <v>0.25</v>
      </c>
      <c r="L269" s="125">
        <v>0</v>
      </c>
      <c r="M269" s="56">
        <f>INDEX('Infos Clientes'!$N:$N,MATCH('Detalhe Por UC'!C269,'Infos Clientes'!B:B,0))</f>
        <v>0</v>
      </c>
      <c r="N269" s="56">
        <f t="shared" si="155"/>
        <v>0</v>
      </c>
      <c r="O269" s="56">
        <f t="shared" si="156"/>
        <v>12</v>
      </c>
      <c r="P269" s="56">
        <f t="shared" si="157"/>
        <v>0</v>
      </c>
      <c r="Q269" s="61">
        <f>IFERROR(IFERROR(INDEX('Infos Clientes'!$A$2:$V$9884,MATCH($C269,'Infos Clientes'!$B$2:$B$9884,0),MATCH(Q$8,'Infos Clientes'!$A$2:$V$2,0)),"")
+IF(OR(INDEX('Infos Clientes'!$A$2:$V$9884,MATCH($C269,'Infos Clientes'!$B$2:$B$9884,0),MATCH("Tempo de Fidelidade (meses)",'Infos Clientes'!$A$2:$V$2,0))=0,R269&gt;=MAX(R:R)),0,
ROUND((MAX(R:R)-R269)/(365/12),0)),"")</f>
        <v>0</v>
      </c>
      <c r="R269" s="111">
        <v>45717</v>
      </c>
      <c r="S269" s="17">
        <v>6.0000000000000001E-3</v>
      </c>
      <c r="T269" s="113">
        <f>IF($H269="GIROSSOL II",AP269/INDEX('Resumo Operacional'!$A$1:$P$1103,17,MATCH('Detalhe Por UC'!$R269,'Resumo Operacional'!$A$1:$P$1,0)),
IF($H269="GIROSSOL II e III",AP269/INDEX('Resumo Operacional'!$A$1:$P$1103,17,MATCH('Detalhe Por UC'!$R269,'Resumo Operacional'!$A$1:$P$1,0)),
""))</f>
        <v>2.8158484923997008E-2</v>
      </c>
      <c r="U269" s="113">
        <f>IF($H269="GIROSSOL III",AP269/INDEX('Resumo Operacional'!$A$1:$P$1103,53,MATCH('Detalhe Por UC'!$R269,'Resumo Operacional'!$A$1:$P$1,0)),
IF($H269="GIROSSOL II e III",AP269/INDEX('Resumo Operacional'!$A$1:$P$1103,53,MATCH('Detalhe Por UC'!$R269,'Resumo Operacional'!$A$1:$P$1,0)),
""))</f>
        <v>2.8149132276010961E-2</v>
      </c>
      <c r="V269" s="18"/>
      <c r="W269" s="18"/>
      <c r="X269" s="18">
        <v>1.1162657502863689</v>
      </c>
      <c r="Y269" s="18"/>
      <c r="Z269" s="18">
        <v>1.0801769911504426</v>
      </c>
      <c r="AA269" s="18"/>
      <c r="AB269" s="18">
        <v>873</v>
      </c>
      <c r="AC269" s="18">
        <v>0</v>
      </c>
      <c r="AD269" s="18">
        <v>339</v>
      </c>
      <c r="AE269" s="35"/>
      <c r="AF269" s="18">
        <v>0</v>
      </c>
      <c r="AG269" s="18"/>
      <c r="AH269" s="18">
        <v>137.22</v>
      </c>
      <c r="AI269" s="18"/>
      <c r="AJ269" s="18"/>
      <c r="AN269" s="71">
        <f t="shared" si="158"/>
        <v>0</v>
      </c>
      <c r="AO269" s="71">
        <f t="shared" si="159"/>
        <v>0</v>
      </c>
      <c r="AP269" s="71">
        <f t="shared" si="160"/>
        <v>339</v>
      </c>
      <c r="AQ269" s="72">
        <f>IF(OR($H269="GIROSSOL II",$H269="GIROSSOL II e III"),INDEX('Resumo Operacional'!$A$1:$P$1103,MATCH("Energia Injetada prevista total Fatura da Usina (TUSD)",'Resumo Operacional'!$B$1:$B$1103,0),MATCH('Detalhe Por UC'!$R269,'Resumo Operacional'!$A$1:$P$1,0))*$S269,INDEX('Resumo Operacional'!$A$1:$P$1103,53,MATCH('Detalhe Por UC'!$R269,'Resumo Operacional'!$A$1:$P$1,0))*$S269)</f>
        <v>72.233999999999995</v>
      </c>
      <c r="AR269" s="71">
        <f t="shared" si="161"/>
        <v>266.76600000000002</v>
      </c>
      <c r="AS269" s="73">
        <f t="shared" si="162"/>
        <v>745.54</v>
      </c>
      <c r="AT269" s="74">
        <f t="shared" si="163"/>
        <v>745.54</v>
      </c>
      <c r="AU269" s="74">
        <f t="shared" si="164"/>
        <v>1.0440882320145164</v>
      </c>
      <c r="AV269" s="74">
        <f t="shared" si="165"/>
        <v>274.63500000000005</v>
      </c>
      <c r="AW269" s="74">
        <f t="shared" si="166"/>
        <v>0</v>
      </c>
      <c r="AX269" s="74">
        <f t="shared" si="167"/>
        <v>366.18000000000006</v>
      </c>
      <c r="AY269" s="74">
        <f t="shared" si="168"/>
        <v>274.64</v>
      </c>
      <c r="AZ269" s="49">
        <v>274.64</v>
      </c>
      <c r="BA269" s="49">
        <v>274.64</v>
      </c>
      <c r="BB269" s="49">
        <v>274.64</v>
      </c>
      <c r="BC269" s="73" t="str">
        <f t="shared" si="169"/>
        <v/>
      </c>
      <c r="BD269" s="73">
        <f t="shared" si="170"/>
        <v>1111.72</v>
      </c>
      <c r="BE269" s="73">
        <f t="shared" si="171"/>
        <v>1020.175</v>
      </c>
      <c r="BF269" s="77">
        <f t="shared" si="172"/>
        <v>91.55</v>
      </c>
      <c r="BG269" s="77">
        <f t="shared" si="173"/>
        <v>27.465</v>
      </c>
      <c r="BH269" s="77">
        <f t="shared" si="174"/>
        <v>366.18</v>
      </c>
      <c r="BI269" s="78">
        <f t="shared" si="175"/>
        <v>0.25</v>
      </c>
      <c r="BJ269" s="79">
        <f t="shared" si="176"/>
        <v>8.2349872269996044E-2</v>
      </c>
      <c r="BK269" s="80">
        <f t="shared" si="177"/>
        <v>1020.18</v>
      </c>
      <c r="BL269" s="80">
        <f t="shared" si="178"/>
        <v>91.540000000000077</v>
      </c>
      <c r="BM269" s="79">
        <f t="shared" si="179"/>
        <v>8.2340877199294851E-2</v>
      </c>
      <c r="BN269" s="81">
        <f t="shared" si="180"/>
        <v>0.81014749262536867</v>
      </c>
      <c r="BO269" s="82">
        <f t="shared" si="181"/>
        <v>274.64</v>
      </c>
      <c r="BP269" s="81">
        <f t="shared" si="182"/>
        <v>0.81014749262536867</v>
      </c>
      <c r="BQ269" s="81">
        <f t="shared" si="183"/>
        <v>0.84623625176129491</v>
      </c>
      <c r="BR269" s="81">
        <f t="shared" si="184"/>
        <v>1.1162657502863689</v>
      </c>
      <c r="BS269" s="82">
        <f t="shared" si="185"/>
        <v>339</v>
      </c>
      <c r="BT269" s="82">
        <f t="shared" si="186"/>
        <v>378.41408934707903</v>
      </c>
      <c r="BU269" s="82">
        <f t="shared" si="187"/>
        <v>366.18000000000006</v>
      </c>
      <c r="BW269" s="82">
        <f>IFERROR(INDEX('Infos Clientes'!$T:$T,MATCH('Detalhe Por UC'!$C269,'Infos Clientes'!B:B,0)),"")</f>
        <v>511.41666666666669</v>
      </c>
      <c r="BX269" s="83">
        <f t="shared" si="188"/>
        <v>0</v>
      </c>
      <c r="BY269" s="84">
        <f t="shared" si="189"/>
        <v>0.24190431217279587</v>
      </c>
      <c r="BZ269" s="85">
        <f>IF(_xlfn.MINIFS('Detalhe Por UC'!R:R,'Detalhe Por UC'!C:C,C269,'Detalhe Por UC'!AD:AD,"&gt;"&amp;0)=0,"",_xlfn.MINIFS('Detalhe Por UC'!R:R,'Detalhe Por UC'!C:C,C269,'Detalhe Por UC'!AD:AD,"&gt;"&amp;0))</f>
        <v>45627</v>
      </c>
      <c r="CA269" s="114">
        <f ca="1">IF(OR(S269&gt;0,AD269&gt;0),IFERROR(
SUMIFS(INDIRECT("'Infos Clientes'!$W"&amp;INDEX('Infos Clientes'!$C:$C,MATCH(C269,'Infos Clientes'!$H:$H,0))&amp;":$CZ"&amp;INDEX('Infos Clientes'!$C:$C,MATCH(C269,'Infos Clientes'!$H:$H,0))),'Infos Clientes'!$W$2:$CZ$2,"&gt;"&amp;$R269-365,'Infos Clientes'!$W$2:$CZ$2,"&lt;="&amp;$R269)/
COUNTIFS(INDIRECT("'Infos Clientes'!$W"&amp;INDEX('Infos Clientes'!$C:$C,MATCH(C269,'Infos Clientes'!$H:$H,0))&amp;":$CZ"&amp;INDEX('Infos Clientes'!$C:$C,MATCH(C269,'Infos Clientes'!$H:$H,0))),"&gt;="&amp;0,'Infos Clientes'!$W$2:$CZ$2,"&gt;"&amp;$R269-365,'Infos Clientes'!$W$2:$CZ$2,"&lt;="&amp;$R269),""),"")</f>
        <v>619.25</v>
      </c>
      <c r="CB269" s="87">
        <f>VLOOKUP(C269,'Infos Clientes'!B:L,11,0)</f>
        <v>0</v>
      </c>
      <c r="CC269" s="88" t="str">
        <f t="shared" si="190"/>
        <v>A Unidade Consumidora 10/1695011-5 economizou R$91,55 na fatura referente à mar/2025  consumindo 339 kWh em créditos de energia renovável conforme fatura de energia. A economia foi de 25% em relação ao que seria pago para a Energisa considerando os créditos consumidos. Atenção: Mantenha as contas da Energisa em dia para evitar cortes.</v>
      </c>
      <c r="CD269" s="40" t="s">
        <v>59</v>
      </c>
      <c r="CF269" s="115">
        <f t="shared" si="191"/>
        <v>-745.54</v>
      </c>
    </row>
    <row r="270" spans="1:84" ht="16.2" hidden="1" customHeight="1" x14ac:dyDescent="0.3">
      <c r="A270" s="105" t="str">
        <f>INDEX('Infos Clientes'!$D:$D,MATCH('Detalhe Por UC'!C270,'Infos Clientes'!B:B,0))</f>
        <v>IGREJA DO EVANGELHO QUADRANGULAR</v>
      </c>
      <c r="B270" s="106" t="str">
        <f>INDEX('Infos Clientes'!$F:$F,MATCH('Detalhe Por UC'!C270,'Infos Clientes'!B:B,0))</f>
        <v>62.955.505/4194-43</v>
      </c>
      <c r="C270" s="44" t="s">
        <v>135</v>
      </c>
      <c r="D270" t="s">
        <v>351</v>
      </c>
      <c r="E270" s="1" t="s">
        <v>352</v>
      </c>
      <c r="F270" s="56" t="str">
        <f>INDEX('Infos Clientes'!$I:$I,MATCH('Detalhe Por UC'!C270,'Infos Clientes'!B:B,0))</f>
        <v>BT</v>
      </c>
      <c r="G270" s="56" t="str">
        <f>INDEX('Infos Clientes'!$J:$J,MATCH('Detalhe Por UC'!C270,'Infos Clientes'!B:B,0))</f>
        <v>trifasico</v>
      </c>
      <c r="H270" s="108" t="s">
        <v>24</v>
      </c>
      <c r="I270" s="58">
        <f>IFERROR(VLOOKUP(C270,'Infos Clientes'!B:E,4,),"")</f>
        <v>0</v>
      </c>
      <c r="J270" s="109">
        <v>0.25</v>
      </c>
      <c r="K270" s="59">
        <f>INDEX('Infos Clientes'!$M:$M,MATCH('Detalhe Por UC'!C270,'Infos Clientes'!B:B,0))</f>
        <v>0.25</v>
      </c>
      <c r="L270" s="125">
        <v>0</v>
      </c>
      <c r="M270" s="56">
        <f>INDEX('Infos Clientes'!$N:$N,MATCH('Detalhe Por UC'!C270,'Infos Clientes'!B:B,0))</f>
        <v>0</v>
      </c>
      <c r="N270" s="56">
        <f t="shared" si="155"/>
        <v>0</v>
      </c>
      <c r="O270" s="56">
        <f t="shared" si="156"/>
        <v>7</v>
      </c>
      <c r="P270" s="56">
        <f t="shared" si="157"/>
        <v>0</v>
      </c>
      <c r="Q270" s="61">
        <f>IFERROR(IFERROR(INDEX('Infos Clientes'!$A$2:$V$9884,MATCH($C270,'Infos Clientes'!$B$2:$B$9884,0),MATCH(Q$8,'Infos Clientes'!$A$2:$V$2,0)),"")
+IF(OR(INDEX('Infos Clientes'!$A$2:$V$9884,MATCH($C270,'Infos Clientes'!$B$2:$B$9884,0),MATCH("Tempo de Fidelidade (meses)",'Infos Clientes'!$A$2:$V$2,0))=0,R270&gt;=MAX(R:R)),0,
ROUND((MAX(R:R)-R270)/(365/12),0)),"")</f>
        <v>0</v>
      </c>
      <c r="R270" s="111">
        <v>45717</v>
      </c>
      <c r="S270" s="17">
        <v>0</v>
      </c>
      <c r="T270" s="113">
        <f>IF($H270="GIROSSOL II",AP270/INDEX('Resumo Operacional'!$A$1:$P$1103,17,MATCH('Detalhe Por UC'!$R270,'Resumo Operacional'!$A$1:$P$1,0)),
IF($H270="GIROSSOL II e III",AP270/INDEX('Resumo Operacional'!$A$1:$P$1103,17,MATCH('Detalhe Por UC'!$R270,'Resumo Operacional'!$A$1:$P$1,0)),
""))</f>
        <v>-2.4919013207077E-4</v>
      </c>
      <c r="U270" s="113" t="str">
        <f>IF($H270="GIROSSOL III",AP270/INDEX('Resumo Operacional'!$A$1:$P$1103,53,MATCH('Detalhe Por UC'!$R270,'Resumo Operacional'!$A$1:$P$1,0)),
IF($H270="GIROSSOL II e III",AP270/INDEX('Resumo Operacional'!$A$1:$P$1103,53,MATCH('Detalhe Por UC'!$R270,'Resumo Operacional'!$A$1:$P$1,0)),
""))</f>
        <v/>
      </c>
      <c r="V270" s="18"/>
      <c r="W270" s="18"/>
      <c r="X270" s="18">
        <v>1.11625748502994</v>
      </c>
      <c r="Y270" s="18"/>
      <c r="Z270" s="18">
        <v>1.1162393162393163</v>
      </c>
      <c r="AA270" s="18"/>
      <c r="AB270" s="18">
        <v>334</v>
      </c>
      <c r="AC270" s="18">
        <v>0</v>
      </c>
      <c r="AD270" s="18">
        <v>234</v>
      </c>
      <c r="AE270" s="35"/>
      <c r="AF270" s="18">
        <v>0</v>
      </c>
      <c r="AG270" s="18">
        <v>0</v>
      </c>
      <c r="AH270" s="18">
        <v>39.340000000000003</v>
      </c>
      <c r="AI270" s="18"/>
      <c r="AJ270" s="18"/>
      <c r="AN270" s="71">
        <f t="shared" si="158"/>
        <v>-237</v>
      </c>
      <c r="AO270" s="71">
        <f t="shared" si="159"/>
        <v>0</v>
      </c>
      <c r="AP270" s="71">
        <f t="shared" si="160"/>
        <v>-3</v>
      </c>
      <c r="AQ270" s="72">
        <f>IF(OR($H270="GIROSSOL II",$H270="GIROSSOL II e III"),INDEX('Resumo Operacional'!$A$1:$P$1103,MATCH("Energia Injetada prevista total Fatura da Usina (TUSD)",'Resumo Operacional'!$B$1:$B$1103,0),MATCH('Detalhe Por UC'!$R270,'Resumo Operacional'!$A$1:$P$1,0))*$S270,INDEX('Resumo Operacional'!$A$1:$P$1103,53,MATCH('Detalhe Por UC'!$R270,'Resumo Operacional'!$A$1:$P$1,0))*$S270)</f>
        <v>0</v>
      </c>
      <c r="AR270" s="71">
        <f t="shared" si="161"/>
        <v>-3</v>
      </c>
      <c r="AS270" s="73">
        <f t="shared" si="162"/>
        <v>150.97</v>
      </c>
      <c r="AT270" s="74">
        <f t="shared" si="163"/>
        <v>150.97</v>
      </c>
      <c r="AU270" s="74">
        <f t="shared" si="164"/>
        <v>1.1162211474486925</v>
      </c>
      <c r="AV270" s="74">
        <f t="shared" si="165"/>
        <v>195.9</v>
      </c>
      <c r="AW270" s="74">
        <f t="shared" si="166"/>
        <v>0</v>
      </c>
      <c r="AX270" s="74">
        <f t="shared" si="167"/>
        <v>261.2</v>
      </c>
      <c r="AY270" s="74">
        <f t="shared" si="168"/>
        <v>195.9</v>
      </c>
      <c r="AZ270" s="49">
        <v>195.9</v>
      </c>
      <c r="BA270" s="49">
        <v>195.9</v>
      </c>
      <c r="BB270" s="49">
        <v>195.9</v>
      </c>
      <c r="BC270" s="73" t="str">
        <f t="shared" si="169"/>
        <v/>
      </c>
      <c r="BD270" s="73">
        <f t="shared" si="170"/>
        <v>412.16999999999996</v>
      </c>
      <c r="BE270" s="73">
        <f t="shared" si="171"/>
        <v>346.87</v>
      </c>
      <c r="BF270" s="77">
        <f t="shared" si="172"/>
        <v>65.3</v>
      </c>
      <c r="BG270" s="77">
        <f t="shared" si="173"/>
        <v>19.59</v>
      </c>
      <c r="BH270" s="77">
        <f t="shared" si="174"/>
        <v>261.20000000000005</v>
      </c>
      <c r="BI270" s="78">
        <f t="shared" si="175"/>
        <v>0.25</v>
      </c>
      <c r="BJ270" s="79">
        <f t="shared" si="176"/>
        <v>0.15842977412232817</v>
      </c>
      <c r="BK270" s="80">
        <f t="shared" si="177"/>
        <v>346.87</v>
      </c>
      <c r="BL270" s="80">
        <f t="shared" si="178"/>
        <v>65.299999999999955</v>
      </c>
      <c r="BM270" s="79">
        <f t="shared" si="179"/>
        <v>0.15842977412232806</v>
      </c>
      <c r="BN270" s="81">
        <f t="shared" si="180"/>
        <v>0.8371794871794872</v>
      </c>
      <c r="BO270" s="82">
        <f t="shared" si="181"/>
        <v>195.9</v>
      </c>
      <c r="BP270" s="81">
        <f t="shared" si="182"/>
        <v>0.8371794871794872</v>
      </c>
      <c r="BQ270" s="81">
        <f t="shared" si="183"/>
        <v>0.83719765597011098</v>
      </c>
      <c r="BR270" s="81">
        <f t="shared" si="184"/>
        <v>1.1162574850299403</v>
      </c>
      <c r="BS270" s="82">
        <f t="shared" si="185"/>
        <v>234</v>
      </c>
      <c r="BT270" s="82">
        <f t="shared" si="186"/>
        <v>261.204251497006</v>
      </c>
      <c r="BU270" s="82">
        <f t="shared" si="187"/>
        <v>261.2</v>
      </c>
      <c r="BW270" s="82">
        <f>IFERROR(INDEX('Infos Clientes'!$T:$T,MATCH('Detalhe Por UC'!$C270,'Infos Clientes'!B:B,0)),"")</f>
        <v>0</v>
      </c>
      <c r="BX270" s="83">
        <f t="shared" si="188"/>
        <v>0</v>
      </c>
      <c r="BY270" s="84">
        <f t="shared" si="189"/>
        <v>0.24999593086925118</v>
      </c>
      <c r="BZ270" s="85">
        <f>IF(_xlfn.MINIFS('Detalhe Por UC'!R:R,'Detalhe Por UC'!C:C,C270,'Detalhe Por UC'!AD:AD,"&gt;"&amp;0)=0,"",_xlfn.MINIFS('Detalhe Por UC'!R:R,'Detalhe Por UC'!C:C,C270,'Detalhe Por UC'!AD:AD,"&gt;"&amp;0))</f>
        <v>45689</v>
      </c>
      <c r="CA270" s="114">
        <f ca="1">IF(OR(S270&gt;0,AD270&gt;0),IFERROR(
SUMIFS(INDIRECT("'Infos Clientes'!$W"&amp;INDEX('Infos Clientes'!$C:$C,MATCH(C270,'Infos Clientes'!$H:$H,0))&amp;":$CZ"&amp;INDEX('Infos Clientes'!$C:$C,MATCH(C270,'Infos Clientes'!$H:$H,0))),'Infos Clientes'!$W$2:$CZ$2,"&gt;"&amp;$R270-365,'Infos Clientes'!$W$2:$CZ$2,"&lt;="&amp;$R270)/
COUNTIFS(INDIRECT("'Infos Clientes'!$W"&amp;INDEX('Infos Clientes'!$C:$C,MATCH(C270,'Infos Clientes'!$H:$H,0))&amp;":$CZ"&amp;INDEX('Infos Clientes'!$C:$C,MATCH(C270,'Infos Clientes'!$H:$H,0))),"&gt;="&amp;0,'Infos Clientes'!$W$2:$CZ$2,"&gt;"&amp;$R270-365,'Infos Clientes'!$W$2:$CZ$2,"&lt;="&amp;$R270),""),"")</f>
        <v>250.66666666666666</v>
      </c>
      <c r="CB270" s="87">
        <f>VLOOKUP(C270,'Infos Clientes'!B:L,11,0)</f>
        <v>0</v>
      </c>
      <c r="CC270" s="88" t="str">
        <f t="shared" si="190"/>
        <v>A Unidade Consumidora 10/1433087-2 economizou R$65,3 na fatura referente à mar/2025  consumindo 234 kWh em créditos de energia renovável conforme fatura de energia. A economia foi de 25% em relação ao que seria pago para a Energisa considerando os créditos consumidos. Atenção: Mantenha as contas da Energisa em dia para evitar cortes.</v>
      </c>
      <c r="CD270" s="40"/>
      <c r="CF270" s="115">
        <f t="shared" si="191"/>
        <v>-150.97</v>
      </c>
    </row>
    <row r="271" spans="1:84" ht="16.2" hidden="1" customHeight="1" x14ac:dyDescent="0.3">
      <c r="A271" s="105" t="str">
        <f>INDEX('Infos Clientes'!$D:$D,MATCH('Detalhe Por UC'!C271,'Infos Clientes'!B:B,0))</f>
        <v>IGREJA DO EVANGELHO QUADRANGULAR</v>
      </c>
      <c r="B271" s="106" t="s">
        <v>104</v>
      </c>
      <c r="C271" s="44" t="s">
        <v>106</v>
      </c>
      <c r="D271" t="s">
        <v>351</v>
      </c>
      <c r="E271" s="1" t="s">
        <v>352</v>
      </c>
      <c r="F271" s="56" t="str">
        <f>INDEX('Infos Clientes'!$I:$I,MATCH('Detalhe Por UC'!C271,'Infos Clientes'!B:B,0))</f>
        <v>BT</v>
      </c>
      <c r="G271" s="56" t="str">
        <f>INDEX('Infos Clientes'!$J:$J,MATCH('Detalhe Por UC'!C271,'Infos Clientes'!B:B,0))</f>
        <v>bifasico</v>
      </c>
      <c r="H271" s="108" t="s">
        <v>24</v>
      </c>
      <c r="I271" s="58">
        <f>IFERROR(VLOOKUP(C271,'Infos Clientes'!B:E,4,),"")</f>
        <v>302</v>
      </c>
      <c r="J271" s="109">
        <v>0.25</v>
      </c>
      <c r="K271" s="59">
        <f>INDEX('Infos Clientes'!$M:$M,MATCH('Detalhe Por UC'!C271,'Infos Clientes'!B:B,0))</f>
        <v>0.25</v>
      </c>
      <c r="L271" s="125">
        <v>0</v>
      </c>
      <c r="M271" s="56">
        <f>INDEX('Infos Clientes'!$N:$N,MATCH('Detalhe Por UC'!C271,'Infos Clientes'!B:B,0))</f>
        <v>0</v>
      </c>
      <c r="N271" s="56">
        <f t="shared" si="155"/>
        <v>0</v>
      </c>
      <c r="O271" s="56">
        <f t="shared" si="156"/>
        <v>11</v>
      </c>
      <c r="P271" s="56">
        <f t="shared" si="157"/>
        <v>0</v>
      </c>
      <c r="Q271" s="61">
        <f>IFERROR(IFERROR(INDEX('Infos Clientes'!$A$2:$V$9884,MATCH($C271,'Infos Clientes'!$B$2:$B$9884,0),MATCH(Q$8,'Infos Clientes'!$A$2:$V$2,0)),"")
+IF(OR(INDEX('Infos Clientes'!$A$2:$V$9884,MATCH($C271,'Infos Clientes'!$B$2:$B$9884,0),MATCH("Tempo de Fidelidade (meses)",'Infos Clientes'!$A$2:$V$2,0))=0,R271&gt;=MAX(R:R)),0,
ROUND((MAX(R:R)-R271)/(365/12),0)),"")</f>
        <v>0</v>
      </c>
      <c r="R271" s="111">
        <v>45717</v>
      </c>
      <c r="S271" s="17">
        <v>5.0000000000000001E-3</v>
      </c>
      <c r="T271" s="113">
        <f>IF($H271="GIROSSOL II",AP271/INDEX('Resumo Operacional'!$A$1:$P$1103,17,MATCH('Detalhe Por UC'!$R271,'Resumo Operacional'!$A$1:$P$1,0)),
IF($H271="GIROSSOL II e III",AP271/INDEX('Resumo Operacional'!$A$1:$P$1103,17,MATCH('Detalhe Por UC'!$R271,'Resumo Operacional'!$A$1:$P$1,0)),
""))</f>
        <v>4.9838026414153998E-3</v>
      </c>
      <c r="U271" s="113" t="str">
        <f>IF($H271="GIROSSOL III",AP271/INDEX('Resumo Operacional'!$A$1:$P$1103,53,MATCH('Detalhe Por UC'!$R271,'Resumo Operacional'!$A$1:$P$1,0)),
IF($H271="GIROSSOL II e III",AP271/INDEX('Resumo Operacional'!$A$1:$P$1103,53,MATCH('Detalhe Por UC'!$R271,'Resumo Operacional'!$A$1:$P$1,0)),
""))</f>
        <v/>
      </c>
      <c r="V271" s="18"/>
      <c r="W271" s="18"/>
      <c r="X271" s="18">
        <v>1.1162578616352201</v>
      </c>
      <c r="Y271" s="18"/>
      <c r="Z271" s="18">
        <v>1.1161567164179105</v>
      </c>
      <c r="AA271" s="18"/>
      <c r="AB271" s="18">
        <v>318</v>
      </c>
      <c r="AC271" s="18">
        <v>0</v>
      </c>
      <c r="AD271" s="18">
        <v>268</v>
      </c>
      <c r="AE271" s="35"/>
      <c r="AF271" s="18">
        <v>249</v>
      </c>
      <c r="AG271" s="18"/>
      <c r="AH271" s="18">
        <v>0</v>
      </c>
      <c r="AI271" s="18"/>
      <c r="AJ271" s="18"/>
      <c r="AN271" s="71">
        <f t="shared" si="158"/>
        <v>-208</v>
      </c>
      <c r="AO271" s="71">
        <f t="shared" si="159"/>
        <v>0</v>
      </c>
      <c r="AP271" s="71">
        <f t="shared" si="160"/>
        <v>60</v>
      </c>
      <c r="AQ271" s="72">
        <f>IF(OR($H271="GIROSSOL II",$H271="GIROSSOL II e III"),INDEX('Resumo Operacional'!$A$1:$P$1103,MATCH("Energia Injetada prevista total Fatura da Usina (TUSD)",'Resumo Operacional'!$B$1:$B$1103,0),MATCH('Detalhe Por UC'!$R271,'Resumo Operacional'!$A$1:$P$1,0))*$S271,INDEX('Resumo Operacional'!$A$1:$P$1103,53,MATCH('Detalhe Por UC'!$R271,'Resumo Operacional'!$A$1:$P$1,0))*$S271)</f>
        <v>60.195</v>
      </c>
      <c r="AR271" s="71">
        <f t="shared" si="161"/>
        <v>-0.19500000000000028</v>
      </c>
      <c r="AS271" s="73">
        <f t="shared" si="162"/>
        <v>55.839999999999975</v>
      </c>
      <c r="AT271" s="74">
        <f t="shared" si="163"/>
        <v>55.839999999999975</v>
      </c>
      <c r="AU271" s="74">
        <f t="shared" si="164"/>
        <v>1.1160555712006008</v>
      </c>
      <c r="AV271" s="74">
        <f t="shared" si="165"/>
        <v>224.3475</v>
      </c>
      <c r="AW271" s="74">
        <f t="shared" si="166"/>
        <v>0</v>
      </c>
      <c r="AX271" s="74">
        <f t="shared" si="167"/>
        <v>299.13</v>
      </c>
      <c r="AY271" s="74">
        <f t="shared" si="168"/>
        <v>224.35</v>
      </c>
      <c r="AZ271" s="49">
        <v>224.35</v>
      </c>
      <c r="BA271" s="49">
        <v>224.35</v>
      </c>
      <c r="BB271" s="49">
        <v>224.35</v>
      </c>
      <c r="BC271" s="73" t="str">
        <f t="shared" si="169"/>
        <v/>
      </c>
      <c r="BD271" s="73">
        <f t="shared" si="170"/>
        <v>354.96999999999997</v>
      </c>
      <c r="BE271" s="73">
        <f t="shared" si="171"/>
        <v>280.1875</v>
      </c>
      <c r="BF271" s="77">
        <f t="shared" si="172"/>
        <v>74.78</v>
      </c>
      <c r="BG271" s="77">
        <f t="shared" si="173"/>
        <v>22.434000000000001</v>
      </c>
      <c r="BH271" s="77">
        <f t="shared" si="174"/>
        <v>299.13</v>
      </c>
      <c r="BI271" s="78">
        <f t="shared" si="175"/>
        <v>0.25</v>
      </c>
      <c r="BJ271" s="79">
        <f t="shared" si="176"/>
        <v>0.21066569005831481</v>
      </c>
      <c r="BK271" s="80">
        <f t="shared" si="177"/>
        <v>280.18999999999994</v>
      </c>
      <c r="BL271" s="80">
        <f t="shared" si="178"/>
        <v>74.78000000000003</v>
      </c>
      <c r="BM271" s="79">
        <f t="shared" si="179"/>
        <v>0.2106656900583149</v>
      </c>
      <c r="BN271" s="81">
        <f t="shared" si="180"/>
        <v>0.83712686567164174</v>
      </c>
      <c r="BO271" s="82">
        <f t="shared" si="181"/>
        <v>224.35</v>
      </c>
      <c r="BP271" s="81">
        <f t="shared" si="182"/>
        <v>0.83712686567164174</v>
      </c>
      <c r="BQ271" s="81">
        <f t="shared" si="183"/>
        <v>0.83722801088895138</v>
      </c>
      <c r="BR271" s="81">
        <f t="shared" si="184"/>
        <v>1.1162578616352201</v>
      </c>
      <c r="BS271" s="82">
        <f t="shared" si="185"/>
        <v>268</v>
      </c>
      <c r="BT271" s="82">
        <f t="shared" si="186"/>
        <v>299.15710691823898</v>
      </c>
      <c r="BU271" s="82">
        <f t="shared" si="187"/>
        <v>299.13</v>
      </c>
      <c r="BW271" s="82">
        <f>IFERROR(INDEX('Infos Clientes'!$T:$T,MATCH('Detalhe Por UC'!$C271,'Infos Clientes'!B:B,0)),"")</f>
        <v>147.33333333333334</v>
      </c>
      <c r="BX271" s="83">
        <f t="shared" si="188"/>
        <v>0</v>
      </c>
      <c r="BY271" s="84">
        <f t="shared" si="189"/>
        <v>0.24996899044232881</v>
      </c>
      <c r="BZ271" s="85">
        <f>IF(_xlfn.MINIFS('Detalhe Por UC'!R:R,'Detalhe Por UC'!C:C,C271,'Detalhe Por UC'!AD:AD,"&gt;"&amp;0)=0,"",_xlfn.MINIFS('Detalhe Por UC'!R:R,'Detalhe Por UC'!C:C,C271,'Detalhe Por UC'!AD:AD,"&gt;"&amp;0))</f>
        <v>45627</v>
      </c>
      <c r="CA271" s="114">
        <f ca="1">IF(OR(S271&gt;0,AD271&gt;0),IFERROR(
SUMIFS(INDIRECT("'Infos Clientes'!$W"&amp;INDEX('Infos Clientes'!$C:$C,MATCH(C271,'Infos Clientes'!$H:$H,0))&amp;":$CZ"&amp;INDEX('Infos Clientes'!$C:$C,MATCH(C271,'Infos Clientes'!$H:$H,0))),'Infos Clientes'!$W$2:$CZ$2,"&gt;"&amp;$R271-365,'Infos Clientes'!$W$2:$CZ$2,"&lt;="&amp;$R271)/
COUNTIFS(INDIRECT("'Infos Clientes'!$W"&amp;INDEX('Infos Clientes'!$C:$C,MATCH(C271,'Infos Clientes'!$H:$H,0))&amp;":$CZ"&amp;INDEX('Infos Clientes'!$C:$C,MATCH(C271,'Infos Clientes'!$H:$H,0))),"&gt;="&amp;0,'Infos Clientes'!$W$2:$CZ$2,"&gt;"&amp;$R271-365,'Infos Clientes'!$W$2:$CZ$2,"&lt;="&amp;$R271),""),"")</f>
        <v>149.25</v>
      </c>
      <c r="CB271" s="87">
        <f>VLOOKUP(C271,'Infos Clientes'!B:L,11,0)</f>
        <v>0</v>
      </c>
      <c r="CC271" s="88" t="str">
        <f t="shared" si="190"/>
        <v>A Unidade Consumidora 10/452884-0 economizou R$74,78 na fatura referente à mar/2025  consumindo 268 kWh em créditos de energia renovável conforme fatura de energia. A economia foi de 25% em relação ao que seria pago para a Energisa considerando os créditos consumidos. Atenção: Mantenha as contas da Energisa em dia para evitar cortes.</v>
      </c>
      <c r="CD271" s="40" t="s">
        <v>107</v>
      </c>
      <c r="CF271" s="115">
        <f t="shared" si="191"/>
        <v>-55.839999999999975</v>
      </c>
    </row>
    <row r="272" spans="1:84" ht="16.2" hidden="1" customHeight="1" x14ac:dyDescent="0.3">
      <c r="A272" s="105" t="str">
        <f>INDEX('Infos Clientes'!$D:$D,MATCH('Detalhe Por UC'!C272,'Infos Clientes'!B:B,0))</f>
        <v>IGREJA DO EVANGELHO QUADRANGULAR</v>
      </c>
      <c r="B272" s="106" t="str">
        <f>INDEX('Infos Clientes'!$F:$F,MATCH('Detalhe Por UC'!C272,'Infos Clientes'!B:B,0))</f>
        <v>62.955.505/8921-14</v>
      </c>
      <c r="C272" s="44" t="s">
        <v>29</v>
      </c>
      <c r="D272" t="s">
        <v>351</v>
      </c>
      <c r="E272" s="1" t="s">
        <v>352</v>
      </c>
      <c r="F272" s="56" t="str">
        <f>INDEX('Infos Clientes'!$I:$I,MATCH('Detalhe Por UC'!C272,'Infos Clientes'!B:B,0))</f>
        <v>BT</v>
      </c>
      <c r="G272" s="56" t="str">
        <f>INDEX('Infos Clientes'!$J:$J,MATCH('Detalhe Por UC'!C272,'Infos Clientes'!B:B,0))</f>
        <v>trifasico</v>
      </c>
      <c r="H272" s="108" t="s">
        <v>24</v>
      </c>
      <c r="I272" s="58">
        <f>IFERROR(VLOOKUP(C272,'Infos Clientes'!B:E,4,),"")</f>
        <v>362</v>
      </c>
      <c r="J272" s="109">
        <v>0.25</v>
      </c>
      <c r="K272" s="59">
        <f>INDEX('Infos Clientes'!$M:$M,MATCH('Detalhe Por UC'!C272,'Infos Clientes'!B:B,0))</f>
        <v>0.25</v>
      </c>
      <c r="L272" s="125">
        <v>0</v>
      </c>
      <c r="M272" s="56">
        <f>INDEX('Infos Clientes'!$N:$N,MATCH('Detalhe Por UC'!C272,'Infos Clientes'!B:B,0))</f>
        <v>0</v>
      </c>
      <c r="N272" s="56">
        <f t="shared" si="155"/>
        <v>0</v>
      </c>
      <c r="O272" s="56">
        <f t="shared" si="156"/>
        <v>12</v>
      </c>
      <c r="P272" s="56">
        <f t="shared" si="157"/>
        <v>0</v>
      </c>
      <c r="Q272" s="61">
        <f>IFERROR(IFERROR(INDEX('Infos Clientes'!$A$2:$V$9884,MATCH($C272,'Infos Clientes'!$B$2:$B$9884,0),MATCH(Q$8,'Infos Clientes'!$A$2:$V$2,0)),"")
+IF(OR(INDEX('Infos Clientes'!$A$2:$V$9884,MATCH($C272,'Infos Clientes'!$B$2:$B$9884,0),MATCH("Tempo de Fidelidade (meses)",'Infos Clientes'!$A$2:$V$2,0))=0,R272&gt;=MAX(R:R)),0,
ROUND((MAX(R:R)-R272)/(365/12),0)),"")</f>
        <v>0</v>
      </c>
      <c r="R272" s="111">
        <v>45717</v>
      </c>
      <c r="S272" s="17">
        <v>5.0000000000000001E-3</v>
      </c>
      <c r="T272" s="113">
        <f>IF($H272="GIROSSOL II",AP272/INDEX('Resumo Operacional'!$A$1:$P$1103,17,MATCH('Detalhe Por UC'!$R272,'Resumo Operacional'!$A$1:$P$1,0)),
IF($H272="GIROSSOL II e III",AP272/INDEX('Resumo Operacional'!$A$1:$P$1103,17,MATCH('Detalhe Por UC'!$R272,'Resumo Operacional'!$A$1:$P$1,0)),
""))</f>
        <v>4.9838026414153998E-3</v>
      </c>
      <c r="U272" s="113" t="str">
        <f>IF($H272="GIROSSOL III",AP272/INDEX('Resumo Operacional'!$A$1:$P$1103,53,MATCH('Detalhe Por UC'!$R272,'Resumo Operacional'!$A$1:$P$1,0)),
IF($H272="GIROSSOL II e III",AP272/INDEX('Resumo Operacional'!$A$1:$P$1103,53,MATCH('Detalhe Por UC'!$R272,'Resumo Operacional'!$A$1:$P$1,0)),
""))</f>
        <v/>
      </c>
      <c r="V272" s="18"/>
      <c r="W272" s="18"/>
      <c r="X272" s="18">
        <v>1.1162162162162161</v>
      </c>
      <c r="Y272" s="18"/>
      <c r="Z272" s="18">
        <v>1.1161176470588237</v>
      </c>
      <c r="AA272" s="18"/>
      <c r="AB272" s="18">
        <v>185</v>
      </c>
      <c r="AC272" s="18">
        <v>0</v>
      </c>
      <c r="AD272" s="18">
        <v>85</v>
      </c>
      <c r="AE272" s="35"/>
      <c r="AF272" s="18">
        <v>536</v>
      </c>
      <c r="AG272" s="18"/>
      <c r="AH272" s="18">
        <v>36.770000000000003</v>
      </c>
      <c r="AI272" s="18"/>
      <c r="AJ272" s="18"/>
      <c r="AN272" s="71">
        <f t="shared" si="158"/>
        <v>-25</v>
      </c>
      <c r="AO272" s="71">
        <f t="shared" si="159"/>
        <v>0</v>
      </c>
      <c r="AP272" s="71">
        <f t="shared" si="160"/>
        <v>60</v>
      </c>
      <c r="AQ272" s="72">
        <f>IF(OR($H272="GIROSSOL II",$H272="GIROSSOL II e III"),INDEX('Resumo Operacional'!$A$1:$P$1103,MATCH("Energia Injetada prevista total Fatura da Usina (TUSD)",'Resumo Operacional'!$B$1:$B$1103,0),MATCH('Detalhe Por UC'!$R272,'Resumo Operacional'!$A$1:$P$1,0))*$S272,INDEX('Resumo Operacional'!$A$1:$P$1103,53,MATCH('Detalhe Por UC'!$R272,'Resumo Operacional'!$A$1:$P$1,0))*$S272)</f>
        <v>60.195</v>
      </c>
      <c r="AR272" s="71">
        <f t="shared" si="161"/>
        <v>-0.19500000000000028</v>
      </c>
      <c r="AS272" s="73">
        <f t="shared" si="162"/>
        <v>148.4</v>
      </c>
      <c r="AT272" s="74">
        <f t="shared" si="163"/>
        <v>148.4</v>
      </c>
      <c r="AU272" s="74">
        <f t="shared" si="164"/>
        <v>1.1160190779014312</v>
      </c>
      <c r="AV272" s="74">
        <f t="shared" si="165"/>
        <v>71.152500000000018</v>
      </c>
      <c r="AW272" s="74">
        <f t="shared" si="166"/>
        <v>0</v>
      </c>
      <c r="AX272" s="74">
        <f t="shared" si="167"/>
        <v>94.87</v>
      </c>
      <c r="AY272" s="74">
        <f t="shared" si="168"/>
        <v>71.150000000000006</v>
      </c>
      <c r="AZ272" s="49">
        <v>71.150000000000006</v>
      </c>
      <c r="BA272" s="49">
        <v>71.150000000000006</v>
      </c>
      <c r="BB272" s="49">
        <v>71.150000000000006</v>
      </c>
      <c r="BC272" s="73" t="str">
        <f t="shared" si="169"/>
        <v/>
      </c>
      <c r="BD272" s="73">
        <f t="shared" si="170"/>
        <v>243.27</v>
      </c>
      <c r="BE272" s="73">
        <f t="shared" si="171"/>
        <v>219.55250000000001</v>
      </c>
      <c r="BF272" s="77">
        <f t="shared" si="172"/>
        <v>23.72</v>
      </c>
      <c r="BG272" s="77">
        <f t="shared" si="173"/>
        <v>7.1159999999999997</v>
      </c>
      <c r="BH272" s="77">
        <f t="shared" si="174"/>
        <v>94.87</v>
      </c>
      <c r="BI272" s="78">
        <f t="shared" si="175"/>
        <v>0.25</v>
      </c>
      <c r="BJ272" s="79">
        <f t="shared" si="176"/>
        <v>9.7504830024252878E-2</v>
      </c>
      <c r="BK272" s="80">
        <f t="shared" si="177"/>
        <v>219.55</v>
      </c>
      <c r="BL272" s="80">
        <f t="shared" si="178"/>
        <v>23.72</v>
      </c>
      <c r="BM272" s="79">
        <f t="shared" si="179"/>
        <v>9.7504830024252878E-2</v>
      </c>
      <c r="BN272" s="81">
        <f t="shared" si="180"/>
        <v>0.83705882352941186</v>
      </c>
      <c r="BO272" s="82">
        <f t="shared" si="181"/>
        <v>71.150000000000006</v>
      </c>
      <c r="BP272" s="81">
        <f t="shared" si="182"/>
        <v>0.83705882352941186</v>
      </c>
      <c r="BQ272" s="81">
        <f t="shared" si="183"/>
        <v>0.83715739268680434</v>
      </c>
      <c r="BR272" s="81">
        <f t="shared" si="184"/>
        <v>1.1162162162162161</v>
      </c>
      <c r="BS272" s="82">
        <f t="shared" si="185"/>
        <v>85</v>
      </c>
      <c r="BT272" s="82">
        <f t="shared" si="186"/>
        <v>94.878378378378372</v>
      </c>
      <c r="BU272" s="82">
        <f t="shared" si="187"/>
        <v>94.87</v>
      </c>
      <c r="BW272" s="82">
        <f>IFERROR(INDEX('Infos Clientes'!$T:$T,MATCH('Detalhe Por UC'!$C272,'Infos Clientes'!B:B,0)),"")</f>
        <v>178.41666666666666</v>
      </c>
      <c r="BX272" s="83">
        <f t="shared" si="188"/>
        <v>0</v>
      </c>
      <c r="BY272" s="84">
        <f t="shared" si="189"/>
        <v>0.25000427289559896</v>
      </c>
      <c r="BZ272" s="85">
        <f>IF(_xlfn.MINIFS('Detalhe Por UC'!R:R,'Detalhe Por UC'!C:C,C272,'Detalhe Por UC'!AD:AD,"&gt;"&amp;0)=0,"",_xlfn.MINIFS('Detalhe Por UC'!R:R,'Detalhe Por UC'!C:C,C272,'Detalhe Por UC'!AD:AD,"&gt;"&amp;0))</f>
        <v>45627</v>
      </c>
      <c r="CA272" s="114">
        <f ca="1">IF(OR(S272&gt;0,AD272&gt;0),IFERROR(
SUMIFS(INDIRECT("'Infos Clientes'!$W"&amp;INDEX('Infos Clientes'!$C:$C,MATCH(C272,'Infos Clientes'!$H:$H,0))&amp;":$CZ"&amp;INDEX('Infos Clientes'!$C:$C,MATCH(C272,'Infos Clientes'!$H:$H,0))),'Infos Clientes'!$W$2:$CZ$2,"&gt;"&amp;$R272-365,'Infos Clientes'!$W$2:$CZ$2,"&lt;="&amp;$R272)/
COUNTIFS(INDIRECT("'Infos Clientes'!$W"&amp;INDEX('Infos Clientes'!$C:$C,MATCH(C272,'Infos Clientes'!$H:$H,0))&amp;":$CZ"&amp;INDEX('Infos Clientes'!$C:$C,MATCH(C272,'Infos Clientes'!$H:$H,0))),"&gt;="&amp;0,'Infos Clientes'!$W$2:$CZ$2,"&gt;"&amp;$R272-365,'Infos Clientes'!$W$2:$CZ$2,"&lt;="&amp;$R272),""),"")</f>
        <v>176.25</v>
      </c>
      <c r="CB272" s="87">
        <f>VLOOKUP(C272,'Infos Clientes'!B:L,11,0)</f>
        <v>0</v>
      </c>
      <c r="CC272" s="88" t="str">
        <f t="shared" si="190"/>
        <v>A Unidade Consumidora 10/1117293-9 economizou R$23,72 na fatura referente à mar/2025  consumindo 85 kWh em créditos de energia renovável conforme fatura de energia. A economia foi de 25% em relação ao que seria pago para a Energisa considerando os créditos consumidos. Atenção: Mantenha as contas da Energisa em dia para evitar cortes.</v>
      </c>
      <c r="CD272" s="40" t="s">
        <v>31</v>
      </c>
      <c r="CF272" s="115">
        <f t="shared" si="191"/>
        <v>-148.4</v>
      </c>
    </row>
    <row r="273" spans="1:84" ht="16.2" hidden="1" customHeight="1" x14ac:dyDescent="0.3">
      <c r="A273" s="105" t="str">
        <f>INDEX('Infos Clientes'!$D:$D,MATCH('Detalhe Por UC'!C273,'Infos Clientes'!B:B,0))</f>
        <v>IGREJA DO EVANGELHO QUADRANGULAR</v>
      </c>
      <c r="B273" s="106" t="str">
        <f>INDEX('Infos Clientes'!$F:$F,MATCH('Detalhe Por UC'!C273,'Infos Clientes'!B:B,0))</f>
        <v>62.955.505/2730-58</v>
      </c>
      <c r="C273" s="44" t="s">
        <v>108</v>
      </c>
      <c r="D273" t="s">
        <v>351</v>
      </c>
      <c r="E273" s="1" t="s">
        <v>352</v>
      </c>
      <c r="F273" s="56" t="str">
        <f>INDEX('Infos Clientes'!$I:$I,MATCH('Detalhe Por UC'!C273,'Infos Clientes'!B:B,0))</f>
        <v>BT</v>
      </c>
      <c r="G273" s="56" t="str">
        <f>INDEX('Infos Clientes'!$J:$J,MATCH('Detalhe Por UC'!C273,'Infos Clientes'!B:B,0))</f>
        <v>trifasico</v>
      </c>
      <c r="H273" s="108" t="s">
        <v>24</v>
      </c>
      <c r="I273" s="58">
        <f>IFERROR(VLOOKUP(C273,'Infos Clientes'!B:E,4,),"")</f>
        <v>306</v>
      </c>
      <c r="J273" s="109">
        <v>0.25</v>
      </c>
      <c r="K273" s="59">
        <f>INDEX('Infos Clientes'!$M:$M,MATCH('Detalhe Por UC'!C273,'Infos Clientes'!B:B,0))</f>
        <v>0.25</v>
      </c>
      <c r="L273" s="125">
        <v>0</v>
      </c>
      <c r="M273" s="56">
        <f>INDEX('Infos Clientes'!$N:$N,MATCH('Detalhe Por UC'!C273,'Infos Clientes'!B:B,0))</f>
        <v>0</v>
      </c>
      <c r="N273" s="56">
        <f t="shared" si="155"/>
        <v>0</v>
      </c>
      <c r="O273" s="56">
        <f t="shared" si="156"/>
        <v>12</v>
      </c>
      <c r="P273" s="56">
        <f t="shared" si="157"/>
        <v>0</v>
      </c>
      <c r="Q273" s="61">
        <f>IFERROR(IFERROR(INDEX('Infos Clientes'!$A$2:$V$9884,MATCH($C273,'Infos Clientes'!$B$2:$B$9884,0),MATCH(Q$8,'Infos Clientes'!$A$2:$V$2,0)),"")
+IF(OR(INDEX('Infos Clientes'!$A$2:$V$9884,MATCH($C273,'Infos Clientes'!$B$2:$B$9884,0),MATCH("Tempo de Fidelidade (meses)",'Infos Clientes'!$A$2:$V$2,0))=0,R273&gt;=MAX(R:R)),0,
ROUND((MAX(R:R)-R273)/(365/12),0)),"")</f>
        <v>0</v>
      </c>
      <c r="R273" s="111">
        <v>45717</v>
      </c>
      <c r="S273" s="17">
        <v>6.0000000000000001E-3</v>
      </c>
      <c r="T273" s="113">
        <f>IF($H273="GIROSSOL II",AP273/INDEX('Resumo Operacional'!$A$1:$P$1103,17,MATCH('Detalhe Por UC'!$R273,'Resumo Operacional'!$A$1:$P$1,0)),
IF($H273="GIROSSOL II e III",AP273/INDEX('Resumo Operacional'!$A$1:$P$1103,17,MATCH('Detalhe Por UC'!$R273,'Resumo Operacional'!$A$1:$P$1,0)),
""))</f>
        <v>1.7609435999667748E-2</v>
      </c>
      <c r="U273" s="113" t="str">
        <f>IF($H273="GIROSSOL III",AP273/INDEX('Resumo Operacional'!$A$1:$P$1103,53,MATCH('Detalhe Por UC'!$R273,'Resumo Operacional'!$A$1:$P$1,0)),
IF($H273="GIROSSOL II e III",AP273/INDEX('Resumo Operacional'!$A$1:$P$1103,53,MATCH('Detalhe Por UC'!$R273,'Resumo Operacional'!$A$1:$P$1,0)),
""))</f>
        <v/>
      </c>
      <c r="V273" s="18"/>
      <c r="W273" s="18"/>
      <c r="X273" s="18">
        <v>1.1162592592592593</v>
      </c>
      <c r="Y273" s="18"/>
      <c r="Z273" s="18">
        <v>1.1161764705882353</v>
      </c>
      <c r="AA273" s="18"/>
      <c r="AB273" s="18">
        <v>270</v>
      </c>
      <c r="AC273" s="18">
        <v>0</v>
      </c>
      <c r="AD273" s="18">
        <v>170</v>
      </c>
      <c r="AE273" s="35"/>
      <c r="AF273" s="18">
        <v>552</v>
      </c>
      <c r="AG273" s="18"/>
      <c r="AH273" s="18">
        <v>0</v>
      </c>
      <c r="AI273" s="18"/>
      <c r="AJ273" s="18"/>
      <c r="AN273" s="71">
        <f t="shared" si="158"/>
        <v>42</v>
      </c>
      <c r="AO273" s="71">
        <f t="shared" si="159"/>
        <v>0</v>
      </c>
      <c r="AP273" s="71">
        <f t="shared" si="160"/>
        <v>212</v>
      </c>
      <c r="AQ273" s="72">
        <f>IF(OR($H273="GIROSSOL II",$H273="GIROSSOL II e III"),INDEX('Resumo Operacional'!$A$1:$P$1103,MATCH("Energia Injetada prevista total Fatura da Usina (TUSD)",'Resumo Operacional'!$B$1:$B$1103,0),MATCH('Detalhe Por UC'!$R273,'Resumo Operacional'!$A$1:$P$1,0))*$S273,INDEX('Resumo Operacional'!$A$1:$P$1103,53,MATCH('Detalhe Por UC'!$R273,'Resumo Operacional'!$A$1:$P$1,0))*$S273)</f>
        <v>72.233999999999995</v>
      </c>
      <c r="AR273" s="71">
        <f t="shared" si="161"/>
        <v>139.76600000000002</v>
      </c>
      <c r="AS273" s="73">
        <f t="shared" si="162"/>
        <v>111.63999999999999</v>
      </c>
      <c r="AT273" s="74">
        <f t="shared" si="163"/>
        <v>111.63999999999999</v>
      </c>
      <c r="AU273" s="74">
        <f t="shared" si="164"/>
        <v>1.1160936819172114</v>
      </c>
      <c r="AV273" s="74">
        <f t="shared" si="165"/>
        <v>142.3125</v>
      </c>
      <c r="AW273" s="74">
        <f t="shared" si="166"/>
        <v>0</v>
      </c>
      <c r="AX273" s="74">
        <f t="shared" si="167"/>
        <v>189.75</v>
      </c>
      <c r="AY273" s="74">
        <f t="shared" si="168"/>
        <v>142.31</v>
      </c>
      <c r="AZ273" s="49">
        <v>142.31</v>
      </c>
      <c r="BA273" s="49">
        <v>142.31</v>
      </c>
      <c r="BB273" s="49">
        <v>142.31</v>
      </c>
      <c r="BC273" s="73" t="str">
        <f t="shared" si="169"/>
        <v/>
      </c>
      <c r="BD273" s="73">
        <f t="shared" si="170"/>
        <v>301.39</v>
      </c>
      <c r="BE273" s="73">
        <f t="shared" si="171"/>
        <v>253.95249999999999</v>
      </c>
      <c r="BF273" s="77">
        <f t="shared" si="172"/>
        <v>47.44</v>
      </c>
      <c r="BG273" s="77">
        <f t="shared" si="173"/>
        <v>14.231999999999999</v>
      </c>
      <c r="BH273" s="77">
        <f t="shared" si="174"/>
        <v>189.75</v>
      </c>
      <c r="BI273" s="78">
        <f t="shared" si="175"/>
        <v>0.25</v>
      </c>
      <c r="BJ273" s="79">
        <f t="shared" si="176"/>
        <v>0.15740402800358338</v>
      </c>
      <c r="BK273" s="80">
        <f t="shared" si="177"/>
        <v>253.95</v>
      </c>
      <c r="BL273" s="80">
        <f t="shared" si="178"/>
        <v>47.44</v>
      </c>
      <c r="BM273" s="79">
        <f t="shared" si="179"/>
        <v>0.15740402800358338</v>
      </c>
      <c r="BN273" s="81">
        <f t="shared" si="180"/>
        <v>0.83711764705882352</v>
      </c>
      <c r="BO273" s="82">
        <f t="shared" si="181"/>
        <v>142.31</v>
      </c>
      <c r="BP273" s="81">
        <f t="shared" si="182"/>
        <v>0.83711764705882352</v>
      </c>
      <c r="BQ273" s="81">
        <f t="shared" si="183"/>
        <v>0.83720043572984748</v>
      </c>
      <c r="BR273" s="81">
        <f t="shared" si="184"/>
        <v>1.1162592592592593</v>
      </c>
      <c r="BS273" s="82">
        <f t="shared" si="185"/>
        <v>170</v>
      </c>
      <c r="BT273" s="82">
        <f t="shared" si="186"/>
        <v>189.76407407407407</v>
      </c>
      <c r="BU273" s="82">
        <f t="shared" si="187"/>
        <v>189.75</v>
      </c>
      <c r="BW273" s="82">
        <f>IFERROR(INDEX('Infos Clientes'!$T:$T,MATCH('Detalhe Por UC'!$C273,'Infos Clientes'!B:B,0)),"")</f>
        <v>187.5</v>
      </c>
      <c r="BX273" s="83">
        <f t="shared" si="188"/>
        <v>0</v>
      </c>
      <c r="BY273" s="84">
        <f t="shared" si="189"/>
        <v>0.24999463271157366</v>
      </c>
      <c r="BZ273" s="85">
        <f>IF(_xlfn.MINIFS('Detalhe Por UC'!R:R,'Detalhe Por UC'!C:C,C273,'Detalhe Por UC'!AD:AD,"&gt;"&amp;0)=0,"",_xlfn.MINIFS('Detalhe Por UC'!R:R,'Detalhe Por UC'!C:C,C273,'Detalhe Por UC'!AD:AD,"&gt;"&amp;0))</f>
        <v>45627</v>
      </c>
      <c r="CA273" s="114">
        <f ca="1">IF(OR(S273&gt;0,AD273&gt;0),IFERROR(
SUMIFS(INDIRECT("'Infos Clientes'!$W"&amp;INDEX('Infos Clientes'!$C:$C,MATCH(C273,'Infos Clientes'!$H:$H,0))&amp;":$CZ"&amp;INDEX('Infos Clientes'!$C:$C,MATCH(C273,'Infos Clientes'!$H:$H,0))),'Infos Clientes'!$W$2:$CZ$2,"&gt;"&amp;$R273-365,'Infos Clientes'!$W$2:$CZ$2,"&lt;="&amp;$R273)/
COUNTIFS(INDIRECT("'Infos Clientes'!$W"&amp;INDEX('Infos Clientes'!$C:$C,MATCH(C273,'Infos Clientes'!$H:$H,0))&amp;":$CZ"&amp;INDEX('Infos Clientes'!$C:$C,MATCH(C273,'Infos Clientes'!$H:$H,0))),"&gt;="&amp;0,'Infos Clientes'!$W$2:$CZ$2,"&gt;"&amp;$R273-365,'Infos Clientes'!$W$2:$CZ$2,"&lt;="&amp;$R273),""),"")</f>
        <v>185</v>
      </c>
      <c r="CB273" s="87">
        <f>VLOOKUP(C273,'Infos Clientes'!B:L,11,0)</f>
        <v>0</v>
      </c>
      <c r="CC273" s="88" t="str">
        <f t="shared" si="190"/>
        <v>A Unidade Consumidora 10/501586-2 economizou R$47,44 na fatura referente à mar/2025  consumindo 170 kWh em créditos de energia renovável conforme fatura de energia. A economia foi de 25% em relação ao que seria pago para a Energisa considerando os créditos consumidos. Atenção: Mantenha as contas da Energisa em dia para evitar cortes.</v>
      </c>
      <c r="CD273" s="40" t="s">
        <v>110</v>
      </c>
      <c r="CF273" s="115">
        <f t="shared" si="191"/>
        <v>-111.63999999999999</v>
      </c>
    </row>
    <row r="274" spans="1:84" ht="16.2" hidden="1" customHeight="1" x14ac:dyDescent="0.3">
      <c r="A274" s="105" t="str">
        <f>INDEX('Infos Clientes'!$D:$D,MATCH('Detalhe Por UC'!C274,'Infos Clientes'!B:B,0))</f>
        <v>IGREJA DO EVANGELHO QUADRANGULAR</v>
      </c>
      <c r="B274" s="106" t="str">
        <f>INDEX('Infos Clientes'!$F:$F,MATCH('Detalhe Por UC'!C274,'Infos Clientes'!B:B,0))</f>
        <v>62.955.505/1973-60</v>
      </c>
      <c r="C274" s="137" t="s">
        <v>51</v>
      </c>
      <c r="D274" t="s">
        <v>351</v>
      </c>
      <c r="E274" s="1" t="s">
        <v>352</v>
      </c>
      <c r="F274" s="56" t="str">
        <f>INDEX('Infos Clientes'!$I:$I,MATCH('Detalhe Por UC'!C274,'Infos Clientes'!B:B,0))</f>
        <v>BT</v>
      </c>
      <c r="G274" s="56" t="str">
        <f>INDEX('Infos Clientes'!$J:$J,MATCH('Detalhe Por UC'!C274,'Infos Clientes'!B:B,0))</f>
        <v>trifasico</v>
      </c>
      <c r="H274" s="108" t="s">
        <v>353</v>
      </c>
      <c r="I274" s="58">
        <f>IFERROR(VLOOKUP(C274,'Infos Clientes'!B:E,4,),"")</f>
        <v>360</v>
      </c>
      <c r="J274" s="109">
        <v>0.25</v>
      </c>
      <c r="K274" s="59">
        <f>INDEX('Infos Clientes'!$M:$M,MATCH('Detalhe Por UC'!C274,'Infos Clientes'!B:B,0))</f>
        <v>0.25</v>
      </c>
      <c r="L274" s="125">
        <v>0</v>
      </c>
      <c r="M274" s="56">
        <f>INDEX('Infos Clientes'!$N:$N,MATCH('Detalhe Por UC'!C274,'Infos Clientes'!B:B,0))</f>
        <v>0</v>
      </c>
      <c r="N274" s="56">
        <f t="shared" si="155"/>
        <v>0</v>
      </c>
      <c r="O274" s="56">
        <f t="shared" si="156"/>
        <v>9</v>
      </c>
      <c r="P274" s="56">
        <f t="shared" si="157"/>
        <v>0</v>
      </c>
      <c r="Q274" s="61">
        <f>IFERROR(IFERROR(INDEX('Infos Clientes'!$A$2:$V$9884,MATCH($C274,'Infos Clientes'!$B$2:$B$9884,0),MATCH(Q$8,'Infos Clientes'!$A$2:$V$2,0)),"")
+IF(OR(INDEX('Infos Clientes'!$A$2:$V$9884,MATCH($C274,'Infos Clientes'!$B$2:$B$9884,0),MATCH("Tempo de Fidelidade (meses)",'Infos Clientes'!$A$2:$V$2,0))=0,R274&gt;=MAX(R:R)),0,
ROUND((MAX(R:R)-R274)/(365/12),0)),"")</f>
        <v>0</v>
      </c>
      <c r="R274" s="111">
        <v>45717</v>
      </c>
      <c r="S274" s="17">
        <v>0.01</v>
      </c>
      <c r="T274" s="113">
        <f>IF($H274="GIROSSOL II",AP274/INDEX('Resumo Operacional'!$A$1:$P$1103,17,MATCH('Detalhe Por UC'!$R274,'Resumo Operacional'!$A$1:$P$1,0)),
IF($H274="GIROSSOL II e III",AP274/INDEX('Resumo Operacional'!$A$1:$P$1103,17,MATCH('Detalhe Por UC'!$R274,'Resumo Operacional'!$A$1:$P$1,0)),
""))</f>
        <v>2.24271118863693E-2</v>
      </c>
      <c r="U274" s="113">
        <f>IF($H274="GIROSSOL III",AP274/INDEX('Resumo Operacional'!$A$1:$P$1103,53,MATCH('Detalhe Por UC'!$R274,'Resumo Operacional'!$A$1:$P$1,0)),
IF($H274="GIROSSOL II e III",AP274/INDEX('Resumo Operacional'!$A$1:$P$1103,53,MATCH('Detalhe Por UC'!$R274,'Resumo Operacional'!$A$1:$P$1,0)),
""))</f>
        <v>2.2419662874698994E-2</v>
      </c>
      <c r="V274" s="18"/>
      <c r="W274" s="18"/>
      <c r="X274" s="18">
        <v>1.1162473794549268</v>
      </c>
      <c r="Y274" s="18"/>
      <c r="Z274" s="18">
        <v>1.0397578692493947</v>
      </c>
      <c r="AA274" s="18"/>
      <c r="AB274" s="18">
        <v>477</v>
      </c>
      <c r="AC274" s="18">
        <v>0</v>
      </c>
      <c r="AD274" s="18">
        <v>413</v>
      </c>
      <c r="AE274" s="35"/>
      <c r="AF274" s="18">
        <v>45</v>
      </c>
      <c r="AG274" s="18"/>
      <c r="AH274" s="18">
        <v>98.06</v>
      </c>
      <c r="AI274" s="18"/>
      <c r="AJ274" s="18"/>
      <c r="AN274" s="71">
        <f t="shared" si="158"/>
        <v>-143</v>
      </c>
      <c r="AO274" s="71">
        <f t="shared" si="159"/>
        <v>0</v>
      </c>
      <c r="AP274" s="71">
        <f t="shared" si="160"/>
        <v>270</v>
      </c>
      <c r="AQ274" s="72">
        <f>IF(OR($H274="GIROSSOL II",$H274="GIROSSOL II e III"),INDEX('Resumo Operacional'!$A$1:$P$1103,MATCH("Energia Injetada prevista total Fatura da Usina (TUSD)",'Resumo Operacional'!$B$1:$B$1103,0),MATCH('Detalhe Por UC'!$R274,'Resumo Operacional'!$A$1:$P$1,0))*$S274,INDEX('Resumo Operacional'!$A$1:$P$1103,53,MATCH('Detalhe Por UC'!$R274,'Resumo Operacional'!$A$1:$P$1,0))*$S274)</f>
        <v>120.39</v>
      </c>
      <c r="AR274" s="71">
        <f t="shared" si="161"/>
        <v>149.61000000000001</v>
      </c>
      <c r="AS274" s="73">
        <f t="shared" si="162"/>
        <v>201.09000000000003</v>
      </c>
      <c r="AT274" s="74">
        <f t="shared" si="163"/>
        <v>201.09000000000003</v>
      </c>
      <c r="AU274" s="74">
        <f t="shared" si="164"/>
        <v>0.96326835904386265</v>
      </c>
      <c r="AV274" s="74">
        <f t="shared" si="165"/>
        <v>322.065</v>
      </c>
      <c r="AW274" s="74">
        <f t="shared" si="166"/>
        <v>0</v>
      </c>
      <c r="AX274" s="74">
        <f t="shared" si="167"/>
        <v>429.42</v>
      </c>
      <c r="AY274" s="74">
        <f t="shared" si="168"/>
        <v>322.07</v>
      </c>
      <c r="AZ274" s="49">
        <v>322.07</v>
      </c>
      <c r="BA274" s="49">
        <v>322.07</v>
      </c>
      <c r="BC274" s="73" t="str">
        <f t="shared" si="169"/>
        <v/>
      </c>
      <c r="BD274" s="73">
        <f t="shared" si="170"/>
        <v>630.51</v>
      </c>
      <c r="BE274" s="73">
        <f t="shared" si="171"/>
        <v>523.15499999999997</v>
      </c>
      <c r="BF274" s="77">
        <f t="shared" si="172"/>
        <v>107.36</v>
      </c>
      <c r="BG274" s="77">
        <f t="shared" si="173"/>
        <v>32.207999999999998</v>
      </c>
      <c r="BH274" s="77">
        <f t="shared" si="174"/>
        <v>429.42</v>
      </c>
      <c r="BI274" s="78">
        <f t="shared" si="175"/>
        <v>0.25</v>
      </c>
      <c r="BJ274" s="79">
        <f t="shared" si="176"/>
        <v>0.17027485686190544</v>
      </c>
      <c r="BK274" s="80">
        <f t="shared" si="177"/>
        <v>523.16000000000008</v>
      </c>
      <c r="BL274" s="80">
        <f t="shared" si="178"/>
        <v>107.34999999999991</v>
      </c>
      <c r="BM274" s="79">
        <f t="shared" si="179"/>
        <v>0.17025899668522293</v>
      </c>
      <c r="BN274" s="81">
        <f t="shared" si="180"/>
        <v>0.77983050847457624</v>
      </c>
      <c r="BO274" s="82">
        <f t="shared" si="181"/>
        <v>322.07</v>
      </c>
      <c r="BP274" s="81">
        <f t="shared" si="182"/>
        <v>0.77983050847457624</v>
      </c>
      <c r="BQ274" s="81">
        <f t="shared" si="183"/>
        <v>0.85632001868010832</v>
      </c>
      <c r="BR274" s="81">
        <f t="shared" si="184"/>
        <v>1.1162473794549268</v>
      </c>
      <c r="BS274" s="82">
        <f t="shared" si="185"/>
        <v>413</v>
      </c>
      <c r="BT274" s="82">
        <f t="shared" si="186"/>
        <v>461.01016771488474</v>
      </c>
      <c r="BU274" s="82">
        <f t="shared" si="187"/>
        <v>429.42</v>
      </c>
      <c r="BW274" s="82">
        <f>IFERROR(INDEX('Infos Clientes'!$T:$T,MATCH('Detalhe Por UC'!$C274,'Infos Clientes'!B:B,0)),"")</f>
        <v>185.66666666666666</v>
      </c>
      <c r="BX274" s="83">
        <f t="shared" si="188"/>
        <v>0</v>
      </c>
      <c r="BY274" s="84">
        <f t="shared" si="189"/>
        <v>0.23285820469450352</v>
      </c>
      <c r="BZ274" s="85">
        <f>IF(_xlfn.MINIFS('Detalhe Por UC'!R:R,'Detalhe Por UC'!C:C,C274,'Detalhe Por UC'!AD:AD,"&gt;"&amp;0)=0,"",_xlfn.MINIFS('Detalhe Por UC'!R:R,'Detalhe Por UC'!C:C,C274,'Detalhe Por UC'!AD:AD,"&gt;"&amp;0))</f>
        <v>45627</v>
      </c>
      <c r="CA274" s="114">
        <f ca="1">IF(OR(S274&gt;0,AD274&gt;0),IFERROR(
SUMIFS(INDIRECT("'Infos Clientes'!$W"&amp;INDEX('Infos Clientes'!$C:$C,MATCH(C274,'Infos Clientes'!$H:$H,0))&amp;":$CZ"&amp;INDEX('Infos Clientes'!$C:$C,MATCH(C274,'Infos Clientes'!$H:$H,0))),'Infos Clientes'!$W$2:$CZ$2,"&gt;"&amp;$R274-365,'Infos Clientes'!$W$2:$CZ$2,"&lt;="&amp;$R274)/
COUNTIFS(INDIRECT("'Infos Clientes'!$W"&amp;INDEX('Infos Clientes'!$C:$C,MATCH(C274,'Infos Clientes'!$H:$H,0))&amp;":$CZ"&amp;INDEX('Infos Clientes'!$C:$C,MATCH(C274,'Infos Clientes'!$H:$H,0))),"&gt;="&amp;0,'Infos Clientes'!$W$2:$CZ$2,"&gt;"&amp;$R274-365,'Infos Clientes'!$W$2:$CZ$2,"&lt;="&amp;$R274),""),"")</f>
        <v>233.5</v>
      </c>
      <c r="CB274" s="87">
        <f>VLOOKUP(C274,'Infos Clientes'!B:L,11,0)</f>
        <v>0</v>
      </c>
      <c r="CC274" s="88" t="str">
        <f t="shared" si="190"/>
        <v>A Unidade Consumidora 10/162736-3 economizou R$107,36 na fatura referente à mar/2025  consumindo 413 kWh em créditos de energia renovável conforme fatura de energia. A economia foi de 25% em relação ao que seria pago para a Energisa considerando os créditos consumidos. Atenção: Mantenha as contas da Energisa em dia para evitar cortes.</v>
      </c>
      <c r="CD274" s="40" t="s">
        <v>53</v>
      </c>
      <c r="CF274" s="115">
        <f t="shared" si="191"/>
        <v>-201.09000000000003</v>
      </c>
    </row>
    <row r="275" spans="1:84" ht="16.2" hidden="1" customHeight="1" x14ac:dyDescent="0.3">
      <c r="A275" s="105" t="str">
        <f>INDEX('Infos Clientes'!$D:$D,MATCH('Detalhe Por UC'!C275,'Infos Clientes'!B:B,0))</f>
        <v>IGREJA DO EVANGELHO QUADRANGULAR</v>
      </c>
      <c r="B275" s="106" t="str">
        <f>INDEX('Infos Clientes'!$F:$F,MATCH('Detalhe Por UC'!C275,'Infos Clientes'!B:B,0))</f>
        <v>62.955.505/0408-94</v>
      </c>
      <c r="C275" s="137" t="s">
        <v>76</v>
      </c>
      <c r="D275" t="s">
        <v>351</v>
      </c>
      <c r="E275" s="1" t="s">
        <v>352</v>
      </c>
      <c r="F275" s="56" t="str">
        <f>INDEX('Infos Clientes'!$I:$I,MATCH('Detalhe Por UC'!C275,'Infos Clientes'!B:B,0))</f>
        <v>BT</v>
      </c>
      <c r="G275" s="56" t="str">
        <f>INDEX('Infos Clientes'!$J:$J,MATCH('Detalhe Por UC'!C275,'Infos Clientes'!B:B,0))</f>
        <v>bifasico</v>
      </c>
      <c r="H275" s="108" t="s">
        <v>353</v>
      </c>
      <c r="I275" s="58">
        <f>IFERROR(VLOOKUP(C275,'Infos Clientes'!B:E,4,),"")</f>
        <v>371</v>
      </c>
      <c r="J275" s="109">
        <v>0.25</v>
      </c>
      <c r="K275" s="59">
        <f>INDEX('Infos Clientes'!$M:$M,MATCH('Detalhe Por UC'!C275,'Infos Clientes'!B:B,0))</f>
        <v>0.25</v>
      </c>
      <c r="L275" s="125">
        <v>0</v>
      </c>
      <c r="M275" s="56">
        <f>INDEX('Infos Clientes'!$N:$N,MATCH('Detalhe Por UC'!C275,'Infos Clientes'!B:B,0))</f>
        <v>0</v>
      </c>
      <c r="N275" s="56">
        <f t="shared" si="155"/>
        <v>0</v>
      </c>
      <c r="O275" s="56">
        <f t="shared" si="156"/>
        <v>11</v>
      </c>
      <c r="P275" s="56">
        <f t="shared" si="157"/>
        <v>0</v>
      </c>
      <c r="Q275" s="61">
        <f>IFERROR(IFERROR(INDEX('Infos Clientes'!$A$2:$V$9884,MATCH($C275,'Infos Clientes'!$B$2:$B$9884,0),MATCH(Q$8,'Infos Clientes'!$A$2:$V$2,0)),"")
+IF(OR(INDEX('Infos Clientes'!$A$2:$V$9884,MATCH($C275,'Infos Clientes'!$B$2:$B$9884,0),MATCH("Tempo de Fidelidade (meses)",'Infos Clientes'!$A$2:$V$2,0))=0,R275&gt;=MAX(R:R)),0,
ROUND((MAX(R:R)-R275)/(365/12),0)),"")</f>
        <v>0</v>
      </c>
      <c r="R275" s="111">
        <v>45717</v>
      </c>
      <c r="S275" s="17">
        <v>0.01</v>
      </c>
      <c r="T275" s="113">
        <f>IF($H275="GIROSSOL II",AP275/INDEX('Resumo Operacional'!$A$1:$P$1103,17,MATCH('Detalhe Por UC'!$R275,'Resumo Operacional'!$A$1:$P$1,0)),
IF($H275="GIROSSOL II e III",AP275/INDEX('Resumo Operacional'!$A$1:$P$1103,17,MATCH('Detalhe Por UC'!$R275,'Resumo Operacional'!$A$1:$P$1,0)),
""))</f>
        <v>2.24271118863693E-2</v>
      </c>
      <c r="U275" s="113">
        <f>IF($H275="GIROSSOL III",AP275/INDEX('Resumo Operacional'!$A$1:$P$1103,53,MATCH('Detalhe Por UC'!$R275,'Resumo Operacional'!$A$1:$P$1,0)),
IF($H275="GIROSSOL II e III",AP275/INDEX('Resumo Operacional'!$A$1:$P$1103,53,MATCH('Detalhe Por UC'!$R275,'Resumo Operacional'!$A$1:$P$1,0)),
""))</f>
        <v>2.2419662874698994E-2</v>
      </c>
      <c r="V275" s="18"/>
      <c r="W275" s="18"/>
      <c r="X275" s="18">
        <v>1.1162420382165605</v>
      </c>
      <c r="Y275" s="18"/>
      <c r="Z275" s="18">
        <v>1.0555652173913044</v>
      </c>
      <c r="AA275" s="18"/>
      <c r="AB275" s="18">
        <v>157</v>
      </c>
      <c r="AC275" s="18">
        <v>0</v>
      </c>
      <c r="AD275" s="18">
        <v>115</v>
      </c>
      <c r="AE275" s="35"/>
      <c r="AF275" s="18">
        <v>482</v>
      </c>
      <c r="AG275" s="18"/>
      <c r="AH275" s="18">
        <v>42.9</v>
      </c>
      <c r="AI275" s="18"/>
      <c r="AJ275" s="18"/>
      <c r="AN275" s="71">
        <f t="shared" si="158"/>
        <v>155</v>
      </c>
      <c r="AO275" s="71">
        <f t="shared" si="159"/>
        <v>0</v>
      </c>
      <c r="AP275" s="71">
        <f t="shared" si="160"/>
        <v>270</v>
      </c>
      <c r="AQ275" s="72">
        <f>IF(OR($H275="GIROSSOL II",$H275="GIROSSOL II e III"),INDEX('Resumo Operacional'!$A$1:$P$1103,MATCH("Energia Injetada prevista total Fatura da Usina (TUSD)",'Resumo Operacional'!$B$1:$B$1103,0),MATCH('Detalhe Por UC'!$R275,'Resumo Operacional'!$A$1:$P$1,0))*$S275,INDEX('Resumo Operacional'!$A$1:$P$1103,53,MATCH('Detalhe Por UC'!$R275,'Resumo Operacional'!$A$1:$P$1,0))*$S275)</f>
        <v>120.39</v>
      </c>
      <c r="AR275" s="71">
        <f t="shared" si="161"/>
        <v>149.61000000000001</v>
      </c>
      <c r="AS275" s="73">
        <f t="shared" si="162"/>
        <v>96.759999999999991</v>
      </c>
      <c r="AT275" s="74">
        <f t="shared" si="163"/>
        <v>96.759999999999991</v>
      </c>
      <c r="AU275" s="74">
        <f t="shared" si="164"/>
        <v>0.99488839656604822</v>
      </c>
      <c r="AV275" s="74">
        <f t="shared" si="165"/>
        <v>91.04249999999999</v>
      </c>
      <c r="AW275" s="74">
        <f t="shared" si="166"/>
        <v>0</v>
      </c>
      <c r="AX275" s="74">
        <f t="shared" si="167"/>
        <v>121.39</v>
      </c>
      <c r="AY275" s="74">
        <f t="shared" si="168"/>
        <v>91.04</v>
      </c>
      <c r="AZ275" s="49">
        <v>91.04</v>
      </c>
      <c r="BA275" s="49">
        <v>91.04</v>
      </c>
      <c r="BB275" s="49">
        <v>91.04</v>
      </c>
      <c r="BC275" s="73" t="str">
        <f t="shared" si="169"/>
        <v/>
      </c>
      <c r="BD275" s="73">
        <f t="shared" si="170"/>
        <v>218.15</v>
      </c>
      <c r="BE275" s="73">
        <f t="shared" si="171"/>
        <v>187.80249999999998</v>
      </c>
      <c r="BF275" s="77">
        <f t="shared" si="172"/>
        <v>30.35</v>
      </c>
      <c r="BG275" s="77">
        <f t="shared" si="173"/>
        <v>9.1050000000000004</v>
      </c>
      <c r="BH275" s="77">
        <f t="shared" si="174"/>
        <v>121.39</v>
      </c>
      <c r="BI275" s="78">
        <f t="shared" si="175"/>
        <v>0.25</v>
      </c>
      <c r="BJ275" s="79">
        <f t="shared" si="176"/>
        <v>0.13912445564978226</v>
      </c>
      <c r="BK275" s="80">
        <f t="shared" si="177"/>
        <v>187.8</v>
      </c>
      <c r="BL275" s="80">
        <f t="shared" si="178"/>
        <v>30.349999999999994</v>
      </c>
      <c r="BM275" s="79">
        <f t="shared" si="179"/>
        <v>0.13912445564978224</v>
      </c>
      <c r="BN275" s="81">
        <f t="shared" si="180"/>
        <v>0.79165217391304354</v>
      </c>
      <c r="BO275" s="82">
        <f t="shared" si="181"/>
        <v>91.04</v>
      </c>
      <c r="BP275" s="81">
        <f t="shared" si="182"/>
        <v>0.79165217391304354</v>
      </c>
      <c r="BQ275" s="81">
        <f t="shared" si="183"/>
        <v>0.85232899473829971</v>
      </c>
      <c r="BR275" s="81">
        <f t="shared" si="184"/>
        <v>1.1162420382165605</v>
      </c>
      <c r="BS275" s="82">
        <f t="shared" si="185"/>
        <v>115</v>
      </c>
      <c r="BT275" s="82">
        <f t="shared" si="186"/>
        <v>128.36783439490446</v>
      </c>
      <c r="BU275" s="82">
        <f t="shared" si="187"/>
        <v>121.39</v>
      </c>
      <c r="BW275" s="82">
        <f>IFERROR(INDEX('Infos Clientes'!$T:$T,MATCH('Detalhe Por UC'!$C275,'Infos Clientes'!B:B,0)),"")</f>
        <v>157.66666666666666</v>
      </c>
      <c r="BX275" s="83">
        <f t="shared" si="188"/>
        <v>0</v>
      </c>
      <c r="BY275" s="84">
        <f t="shared" si="189"/>
        <v>0.23642994479935492</v>
      </c>
      <c r="BZ275" s="85">
        <f>IF(_xlfn.MINIFS('Detalhe Por UC'!R:R,'Detalhe Por UC'!C:C,C275,'Detalhe Por UC'!AD:AD,"&gt;"&amp;0)=0,"",_xlfn.MINIFS('Detalhe Por UC'!R:R,'Detalhe Por UC'!C:C,C275,'Detalhe Por UC'!AD:AD,"&gt;"&amp;0))</f>
        <v>45627</v>
      </c>
      <c r="CA275" s="114">
        <f ca="1">IF(OR(S275&gt;0,AD275&gt;0),IFERROR(
SUMIFS(INDIRECT("'Infos Clientes'!$W"&amp;INDEX('Infos Clientes'!$C:$C,MATCH(C275,'Infos Clientes'!$H:$H,0))&amp;":$CZ"&amp;INDEX('Infos Clientes'!$C:$C,MATCH(C275,'Infos Clientes'!$H:$H,0))),'Infos Clientes'!$W$2:$CZ$2,"&gt;"&amp;$R275-365,'Infos Clientes'!$W$2:$CZ$2,"&lt;="&amp;$R275)/
COUNTIFS(INDIRECT("'Infos Clientes'!$W"&amp;INDEX('Infos Clientes'!$C:$C,MATCH(C275,'Infos Clientes'!$H:$H,0))&amp;":$CZ"&amp;INDEX('Infos Clientes'!$C:$C,MATCH(C275,'Infos Clientes'!$H:$H,0))),"&gt;="&amp;0,'Infos Clientes'!$W$2:$CZ$2,"&gt;"&amp;$R275-365,'Infos Clientes'!$W$2:$CZ$2,"&lt;="&amp;$R275),""),"")</f>
        <v>154.41666666666666</v>
      </c>
      <c r="CB275" s="87">
        <f>VLOOKUP(C275,'Infos Clientes'!B:L,11,0)</f>
        <v>0</v>
      </c>
      <c r="CC275" s="88" t="str">
        <f t="shared" si="190"/>
        <v>A Unidade Consumidora 10/226667-4 economizou R$30,35 na fatura referente à mar/2025  consumindo 115 kWh em créditos de energia renovável conforme fatura de energia. A economia foi de 25% em relação ao que seria pago para a Energisa considerando os créditos consumidos. Atenção: Mantenha as contas da Energisa em dia para evitar cortes.</v>
      </c>
      <c r="CD275" s="40" t="s">
        <v>78</v>
      </c>
      <c r="CF275" s="115">
        <f t="shared" si="191"/>
        <v>-96.759999999999991</v>
      </c>
    </row>
    <row r="276" spans="1:84" ht="16.2" hidden="1" customHeight="1" x14ac:dyDescent="0.3">
      <c r="A276" s="105" t="str">
        <f>INDEX('Infos Clientes'!$D:$D,MATCH('Detalhe Por UC'!C276,'Infos Clientes'!B:B,0))</f>
        <v>IGREJA DO EVANGELHO QUADRANGULAR</v>
      </c>
      <c r="B276" s="106" t="str">
        <f>INDEX('Infos Clientes'!$F:$F,MATCH('Detalhe Por UC'!C276,'Infos Clientes'!B:B,0))</f>
        <v>62.955.505/0800-98</v>
      </c>
      <c r="C276" s="44" t="s">
        <v>38</v>
      </c>
      <c r="D276" t="s">
        <v>351</v>
      </c>
      <c r="E276" s="1" t="s">
        <v>352</v>
      </c>
      <c r="F276" s="56" t="str">
        <f>INDEX('Infos Clientes'!$I:$I,MATCH('Detalhe Por UC'!C276,'Infos Clientes'!B:B,0))</f>
        <v>BT</v>
      </c>
      <c r="G276" s="56" t="str">
        <f>INDEX('Infos Clientes'!$J:$J,MATCH('Detalhe Por UC'!C276,'Infos Clientes'!B:B,0))</f>
        <v>trifasico</v>
      </c>
      <c r="H276" s="108" t="s">
        <v>24</v>
      </c>
      <c r="I276" s="58">
        <f>IFERROR(VLOOKUP(C276,'Infos Clientes'!B:E,4,),"")</f>
        <v>351</v>
      </c>
      <c r="J276" s="109">
        <v>0.25</v>
      </c>
      <c r="K276" s="59">
        <f>INDEX('Infos Clientes'!$M:$M,MATCH('Detalhe Por UC'!C276,'Infos Clientes'!B:B,0))</f>
        <v>0.25</v>
      </c>
      <c r="L276" s="125">
        <v>0</v>
      </c>
      <c r="M276" s="56">
        <f>INDEX('Infos Clientes'!$N:$N,MATCH('Detalhe Por UC'!C276,'Infos Clientes'!B:B,0))</f>
        <v>0</v>
      </c>
      <c r="N276" s="56">
        <f t="shared" si="155"/>
        <v>0</v>
      </c>
      <c r="O276" s="56">
        <f t="shared" si="156"/>
        <v>7</v>
      </c>
      <c r="P276" s="56">
        <f t="shared" si="157"/>
        <v>0</v>
      </c>
      <c r="Q276" s="61">
        <f>IFERROR(IFERROR(INDEX('Infos Clientes'!$A$2:$V$9884,MATCH($C276,'Infos Clientes'!$B$2:$B$9884,0),MATCH(Q$8,'Infos Clientes'!$A$2:$V$2,0)),"")
+IF(OR(INDEX('Infos Clientes'!$A$2:$V$9884,MATCH($C276,'Infos Clientes'!$B$2:$B$9884,0),MATCH("Tempo de Fidelidade (meses)",'Infos Clientes'!$A$2:$V$2,0))=0,R276&gt;=MAX(R:R)),0,
ROUND((MAX(R:R)-R276)/(365/12),0)),"")</f>
        <v>0</v>
      </c>
      <c r="R276" s="111">
        <v>45717</v>
      </c>
      <c r="S276" s="17">
        <v>3.0000000000000001E-3</v>
      </c>
      <c r="T276" s="113">
        <f>IF($H276="GIROSSOL II",AP276/INDEX('Resumo Operacional'!$A$1:$P$1103,17,MATCH('Detalhe Por UC'!$R276,'Resumo Operacional'!$A$1:$P$1,0)),
IF($H276="GIROSSOL II e III",AP276/INDEX('Resumo Operacional'!$A$1:$P$1103,17,MATCH('Detalhe Por UC'!$R276,'Resumo Operacional'!$A$1:$P$1,0)),
""))</f>
        <v>1.046598554697234E-2</v>
      </c>
      <c r="U276" s="113" t="str">
        <f>IF($H276="GIROSSOL III",AP276/INDEX('Resumo Operacional'!$A$1:$P$1103,53,MATCH('Detalhe Por UC'!$R276,'Resumo Operacional'!$A$1:$P$1,0)),
IF($H276="GIROSSOL II e III",AP276/INDEX('Resumo Operacional'!$A$1:$P$1103,53,MATCH('Detalhe Por UC'!$R276,'Resumo Operacional'!$A$1:$P$1,0)),
""))</f>
        <v/>
      </c>
      <c r="V276" s="18"/>
      <c r="W276" s="18"/>
      <c r="X276" s="18">
        <v>1.1162436548223351</v>
      </c>
      <c r="Y276" s="18"/>
      <c r="Z276" s="18">
        <v>1.1160824742268041</v>
      </c>
      <c r="AA276" s="18"/>
      <c r="AB276" s="18">
        <v>197</v>
      </c>
      <c r="AC276" s="18">
        <v>0</v>
      </c>
      <c r="AD276" s="18">
        <v>97</v>
      </c>
      <c r="AE276" s="35"/>
      <c r="AF276" s="18">
        <v>964</v>
      </c>
      <c r="AG276" s="18"/>
      <c r="AH276" s="18">
        <v>18.18</v>
      </c>
      <c r="AI276" s="18"/>
      <c r="AJ276" s="18"/>
      <c r="AN276" s="71">
        <f t="shared" si="158"/>
        <v>29</v>
      </c>
      <c r="AO276" s="71">
        <f t="shared" si="159"/>
        <v>0</v>
      </c>
      <c r="AP276" s="71">
        <f t="shared" si="160"/>
        <v>126</v>
      </c>
      <c r="AQ276" s="72">
        <f>IF(OR($H276="GIROSSOL II",$H276="GIROSSOL II e III"),INDEX('Resumo Operacional'!$A$1:$P$1103,MATCH("Energia Injetada prevista total Fatura da Usina (TUSD)",'Resumo Operacional'!$B$1:$B$1103,0),MATCH('Detalhe Por UC'!$R276,'Resumo Operacional'!$A$1:$P$1,0))*$S276,INDEX('Resumo Operacional'!$A$1:$P$1103,53,MATCH('Detalhe Por UC'!$R276,'Resumo Operacional'!$A$1:$P$1,0))*$S276)</f>
        <v>36.116999999999997</v>
      </c>
      <c r="AR276" s="71">
        <f t="shared" si="161"/>
        <v>89.88300000000001</v>
      </c>
      <c r="AS276" s="73">
        <f t="shared" si="162"/>
        <v>129.82000000000002</v>
      </c>
      <c r="AT276" s="74">
        <f t="shared" si="163"/>
        <v>129.82000000000002</v>
      </c>
      <c r="AU276" s="74">
        <f t="shared" si="164"/>
        <v>1.115921293631273</v>
      </c>
      <c r="AV276" s="74">
        <f t="shared" si="165"/>
        <v>81.194999999999993</v>
      </c>
      <c r="AW276" s="74">
        <f t="shared" si="166"/>
        <v>48.56</v>
      </c>
      <c r="AX276" s="74">
        <f t="shared" si="167"/>
        <v>156.82</v>
      </c>
      <c r="AY276" s="74">
        <f t="shared" si="168"/>
        <v>81.2</v>
      </c>
      <c r="AZ276" s="49">
        <v>81.2</v>
      </c>
      <c r="BA276" s="49">
        <v>81.2</v>
      </c>
      <c r="BB276" s="49">
        <v>81.2</v>
      </c>
      <c r="BC276" s="73" t="str">
        <f t="shared" si="169"/>
        <v/>
      </c>
      <c r="BD276" s="73">
        <f t="shared" si="170"/>
        <v>238.08</v>
      </c>
      <c r="BE276" s="73">
        <f t="shared" si="171"/>
        <v>211.01500000000001</v>
      </c>
      <c r="BF276" s="77">
        <f t="shared" si="172"/>
        <v>27.07</v>
      </c>
      <c r="BG276" s="77">
        <f t="shared" si="173"/>
        <v>8.1210000000000004</v>
      </c>
      <c r="BH276" s="77">
        <f t="shared" si="174"/>
        <v>108.25999999999999</v>
      </c>
      <c r="BI276" s="78">
        <f t="shared" si="175"/>
        <v>0.25</v>
      </c>
      <c r="BJ276" s="79">
        <f t="shared" si="176"/>
        <v>0.11370127688172042</v>
      </c>
      <c r="BK276" s="80">
        <f t="shared" si="177"/>
        <v>211.02000000000004</v>
      </c>
      <c r="BL276" s="80">
        <f t="shared" si="178"/>
        <v>27.059999999999974</v>
      </c>
      <c r="BM276" s="79">
        <f t="shared" si="179"/>
        <v>0.11365927419354827</v>
      </c>
      <c r="BN276" s="81">
        <f t="shared" si="180"/>
        <v>0.83711340206185569</v>
      </c>
      <c r="BO276" s="82">
        <f t="shared" si="181"/>
        <v>81.2</v>
      </c>
      <c r="BP276" s="81">
        <f t="shared" si="182"/>
        <v>0.83711340206185569</v>
      </c>
      <c r="BQ276" s="81">
        <f t="shared" si="183"/>
        <v>0.83727458265738675</v>
      </c>
      <c r="BR276" s="81">
        <f t="shared" si="184"/>
        <v>1.1162436548223351</v>
      </c>
      <c r="BS276" s="82">
        <f t="shared" si="185"/>
        <v>97</v>
      </c>
      <c r="BT276" s="82">
        <f t="shared" si="186"/>
        <v>108.27563451776651</v>
      </c>
      <c r="BU276" s="82">
        <f t="shared" si="187"/>
        <v>108.25999999999999</v>
      </c>
      <c r="BW276" s="82">
        <f>IFERROR(INDEX('Infos Clientes'!$T:$T,MATCH('Detalhe Por UC'!$C276,'Infos Clientes'!B:B,0)),"")</f>
        <v>134.36363636363637</v>
      </c>
      <c r="BX276" s="83">
        <f t="shared" si="188"/>
        <v>0</v>
      </c>
      <c r="BY276" s="84">
        <f t="shared" si="189"/>
        <v>0.24991772267619292</v>
      </c>
      <c r="BZ276" s="85">
        <f>IF(_xlfn.MINIFS('Detalhe Por UC'!R:R,'Detalhe Por UC'!C:C,C276,'Detalhe Por UC'!AD:AD,"&gt;"&amp;0)=0,"",_xlfn.MINIFS('Detalhe Por UC'!R:R,'Detalhe Por UC'!C:C,C276,'Detalhe Por UC'!AD:AD,"&gt;"&amp;0))</f>
        <v>45627</v>
      </c>
      <c r="CA276" s="114">
        <f ca="1">IF(OR(S276&gt;0,AD276&gt;0),IFERROR(
SUMIFS(INDIRECT("'Infos Clientes'!$W"&amp;INDEX('Infos Clientes'!$C:$C,MATCH(C276,'Infos Clientes'!$H:$H,0))&amp;":$CZ"&amp;INDEX('Infos Clientes'!$C:$C,MATCH(C276,'Infos Clientes'!$H:$H,0))),'Infos Clientes'!$W$2:$CZ$2,"&gt;"&amp;$R276-365,'Infos Clientes'!$W$2:$CZ$2,"&lt;="&amp;$R276)/
COUNTIFS(INDIRECT("'Infos Clientes'!$W"&amp;INDEX('Infos Clientes'!$C:$C,MATCH(C276,'Infos Clientes'!$H:$H,0))&amp;":$CZ"&amp;INDEX('Infos Clientes'!$C:$C,MATCH(C276,'Infos Clientes'!$H:$H,0))),"&gt;="&amp;0,'Infos Clientes'!$W$2:$CZ$2,"&gt;"&amp;$R276-365,'Infos Clientes'!$W$2:$CZ$2,"&lt;="&amp;$R276),""),"")</f>
        <v>136.36363636363637</v>
      </c>
      <c r="CB276" s="87">
        <f>VLOOKUP(C276,'Infos Clientes'!B:L,11,0)</f>
        <v>0</v>
      </c>
      <c r="CC276" s="88" t="str">
        <f t="shared" si="190"/>
        <v>A Unidade Consumidora 10/135237-6 economizou R$27,07 na fatura referente à mar/2025  consumindo 97 kWh em créditos de energia renovável conforme fatura de energia. A economia foi de 25% em relação ao que seria pago para a Energisa considerando os créditos consumidos. Atenção: Mantenha as contas da Energisa em dia para evitar cortes.</v>
      </c>
      <c r="CD276" s="40" t="s">
        <v>40</v>
      </c>
      <c r="CF276" s="115">
        <f t="shared" si="191"/>
        <v>-129.82000000000002</v>
      </c>
    </row>
    <row r="277" spans="1:84" ht="16.2" hidden="1" customHeight="1" x14ac:dyDescent="0.3">
      <c r="A277" s="105" t="str">
        <f>INDEX('Infos Clientes'!$D:$D,MATCH('Detalhe Por UC'!C277,'Infos Clientes'!B:B,0))</f>
        <v>IGREJA DO EVANGELHO QUADRANGULAR</v>
      </c>
      <c r="B277" s="106" t="str">
        <f>INDEX('Infos Clientes'!$F:$F,MATCH('Detalhe Por UC'!C277,'Infos Clientes'!B:B,0))</f>
        <v>62.955.505/0170-51</v>
      </c>
      <c r="C277" s="44" t="s">
        <v>73</v>
      </c>
      <c r="D277" t="s">
        <v>351</v>
      </c>
      <c r="E277" s="1" t="s">
        <v>352</v>
      </c>
      <c r="F277" s="56" t="str">
        <f>INDEX('Infos Clientes'!$I:$I,MATCH('Detalhe Por UC'!C277,'Infos Clientes'!B:B,0))</f>
        <v>BT</v>
      </c>
      <c r="G277" s="56" t="str">
        <f>INDEX('Infos Clientes'!$J:$J,MATCH('Detalhe Por UC'!C277,'Infos Clientes'!B:B,0))</f>
        <v>bifasico</v>
      </c>
      <c r="H277" s="108" t="s">
        <v>353</v>
      </c>
      <c r="I277" s="58">
        <f>IFERROR(VLOOKUP(C277,'Infos Clientes'!B:E,4,),"")</f>
        <v>306</v>
      </c>
      <c r="J277" s="109">
        <v>0.25</v>
      </c>
      <c r="K277" s="59">
        <f>INDEX('Infos Clientes'!$M:$M,MATCH('Detalhe Por UC'!C277,'Infos Clientes'!B:B,0))</f>
        <v>0.25</v>
      </c>
      <c r="L277" s="125">
        <v>0</v>
      </c>
      <c r="M277" s="56">
        <f>INDEX('Infos Clientes'!$N:$N,MATCH('Detalhe Por UC'!C277,'Infos Clientes'!B:B,0))</f>
        <v>0</v>
      </c>
      <c r="N277" s="56">
        <f t="shared" si="155"/>
        <v>0</v>
      </c>
      <c r="O277" s="56">
        <f t="shared" si="156"/>
        <v>12</v>
      </c>
      <c r="P277" s="56">
        <f t="shared" si="157"/>
        <v>0</v>
      </c>
      <c r="Q277" s="61">
        <f>IFERROR(IFERROR(INDEX('Infos Clientes'!$A$2:$V$9884,MATCH($C277,'Infos Clientes'!$B$2:$B$9884,0),MATCH(Q$8,'Infos Clientes'!$A$2:$V$2,0)),"")
+IF(OR(INDEX('Infos Clientes'!$A$2:$V$9884,MATCH($C277,'Infos Clientes'!$B$2:$B$9884,0),MATCH("Tempo de Fidelidade (meses)",'Infos Clientes'!$A$2:$V$2,0))=0,R277&gt;=MAX(R:R)),0,
ROUND((MAX(R:R)-R277)/(365/12),0)),"")</f>
        <v>0</v>
      </c>
      <c r="R277" s="111">
        <v>45717</v>
      </c>
      <c r="S277" s="17">
        <v>0.01</v>
      </c>
      <c r="T277" s="113">
        <f>IF($H277="GIROSSOL II",AP277/INDEX('Resumo Operacional'!$A$1:$P$1103,17,MATCH('Detalhe Por UC'!$R277,'Resumo Operacional'!$A$1:$P$1,0)),
IF($H277="GIROSSOL II e III",AP277/INDEX('Resumo Operacional'!$A$1:$P$1103,17,MATCH('Detalhe Por UC'!$R277,'Resumo Operacional'!$A$1:$P$1,0)),
""))</f>
        <v>2.24271118863693E-2</v>
      </c>
      <c r="U277" s="113">
        <f>IF($H277="GIROSSOL III",AP277/INDEX('Resumo Operacional'!$A$1:$P$1103,53,MATCH('Detalhe Por UC'!$R277,'Resumo Operacional'!$A$1:$P$1,0)),
IF($H277="GIROSSOL II e III",AP277/INDEX('Resumo Operacional'!$A$1:$P$1103,53,MATCH('Detalhe Por UC'!$R277,'Resumo Operacional'!$A$1:$P$1,0)),
""))</f>
        <v>2.2419662874698994E-2</v>
      </c>
      <c r="V277" s="18"/>
      <c r="W277" s="18"/>
      <c r="X277" s="18">
        <v>1.1162251655629141</v>
      </c>
      <c r="Y277" s="18"/>
      <c r="Z277" s="18">
        <v>1.1161818181818182</v>
      </c>
      <c r="AA277" s="18"/>
      <c r="AB277" s="18">
        <v>151</v>
      </c>
      <c r="AC277" s="18">
        <v>0</v>
      </c>
      <c r="AD277" s="18">
        <v>110</v>
      </c>
      <c r="AE277" s="35"/>
      <c r="AF277" s="18">
        <v>453</v>
      </c>
      <c r="AG277" s="18">
        <v>0</v>
      </c>
      <c r="AH277" s="18">
        <v>29.979999999999997</v>
      </c>
      <c r="AI277" s="18"/>
      <c r="AJ277" s="18"/>
      <c r="AN277" s="71">
        <f t="shared" si="158"/>
        <v>160</v>
      </c>
      <c r="AO277" s="71">
        <f t="shared" si="159"/>
        <v>0</v>
      </c>
      <c r="AP277" s="71">
        <f t="shared" si="160"/>
        <v>270</v>
      </c>
      <c r="AQ277" s="72">
        <f>IF(OR($H277="GIROSSOL II",$H277="GIROSSOL II e III"),INDEX('Resumo Operacional'!$A$1:$P$1103,MATCH("Energia Injetada prevista total Fatura da Usina (TUSD)",'Resumo Operacional'!$B$1:$B$1103,0),MATCH('Detalhe Por UC'!$R277,'Resumo Operacional'!$A$1:$P$1,0))*$S277,INDEX('Resumo Operacional'!$A$1:$P$1103,53,MATCH('Detalhe Por UC'!$R277,'Resumo Operacional'!$A$1:$P$1,0))*$S277)</f>
        <v>120.39</v>
      </c>
      <c r="AR277" s="71">
        <f t="shared" si="161"/>
        <v>149.61000000000001</v>
      </c>
      <c r="AS277" s="73">
        <f t="shared" si="162"/>
        <v>75.75</v>
      </c>
      <c r="AT277" s="74">
        <f t="shared" si="163"/>
        <v>75.75</v>
      </c>
      <c r="AU277" s="74">
        <f t="shared" si="164"/>
        <v>1.1161384708007223</v>
      </c>
      <c r="AV277" s="74">
        <f t="shared" si="165"/>
        <v>92.084999999999994</v>
      </c>
      <c r="AW277" s="74">
        <f t="shared" si="166"/>
        <v>0</v>
      </c>
      <c r="AX277" s="74">
        <f t="shared" si="167"/>
        <v>122.78</v>
      </c>
      <c r="AY277" s="74">
        <f t="shared" si="168"/>
        <v>92.09</v>
      </c>
      <c r="AZ277" s="49">
        <v>92.09</v>
      </c>
      <c r="BA277" s="49">
        <v>92.09</v>
      </c>
      <c r="BB277" s="49">
        <v>92.09</v>
      </c>
      <c r="BC277" s="73" t="str">
        <f t="shared" si="169"/>
        <v/>
      </c>
      <c r="BD277" s="73">
        <f t="shared" si="170"/>
        <v>198.53</v>
      </c>
      <c r="BE277" s="73">
        <f t="shared" si="171"/>
        <v>167.83499999999998</v>
      </c>
      <c r="BF277" s="77">
        <f t="shared" si="172"/>
        <v>30.7</v>
      </c>
      <c r="BG277" s="77">
        <f t="shared" si="173"/>
        <v>9.2099999999999991</v>
      </c>
      <c r="BH277" s="77">
        <f t="shared" si="174"/>
        <v>122.78</v>
      </c>
      <c r="BI277" s="78">
        <f t="shared" si="175"/>
        <v>0.25</v>
      </c>
      <c r="BJ277" s="79">
        <f t="shared" si="176"/>
        <v>0.15463657885458118</v>
      </c>
      <c r="BK277" s="80">
        <f t="shared" si="177"/>
        <v>167.84</v>
      </c>
      <c r="BL277" s="80">
        <f t="shared" si="178"/>
        <v>30.689999999999998</v>
      </c>
      <c r="BM277" s="79">
        <f t="shared" si="179"/>
        <v>0.1545862086334559</v>
      </c>
      <c r="BN277" s="81">
        <f t="shared" si="180"/>
        <v>0.83718181818181825</v>
      </c>
      <c r="BO277" s="82">
        <f t="shared" si="181"/>
        <v>92.09</v>
      </c>
      <c r="BP277" s="81">
        <f t="shared" si="182"/>
        <v>0.83718181818181825</v>
      </c>
      <c r="BQ277" s="81">
        <f t="shared" si="183"/>
        <v>0.83722516556291415</v>
      </c>
      <c r="BR277" s="81">
        <f t="shared" si="184"/>
        <v>1.1162251655629141</v>
      </c>
      <c r="BS277" s="82">
        <f t="shared" si="185"/>
        <v>110</v>
      </c>
      <c r="BT277" s="82">
        <f t="shared" si="186"/>
        <v>122.78476821192055</v>
      </c>
      <c r="BU277" s="82">
        <f t="shared" si="187"/>
        <v>122.78</v>
      </c>
      <c r="BW277" s="82">
        <f>IFERROR(INDEX('Infos Clientes'!$T:$T,MATCH('Detalhe Por UC'!$C277,'Infos Clientes'!B:B,0)),"")</f>
        <v>153.91666666666666</v>
      </c>
      <c r="BX277" s="83">
        <f t="shared" si="188"/>
        <v>0</v>
      </c>
      <c r="BY277" s="84">
        <f t="shared" si="189"/>
        <v>0.24994956986057537</v>
      </c>
      <c r="BZ277" s="85">
        <f>IF(_xlfn.MINIFS('Detalhe Por UC'!R:R,'Detalhe Por UC'!C:C,C277,'Detalhe Por UC'!AD:AD,"&gt;"&amp;0)=0,"",_xlfn.MINIFS('Detalhe Por UC'!R:R,'Detalhe Por UC'!C:C,C277,'Detalhe Por UC'!AD:AD,"&gt;"&amp;0))</f>
        <v>45627</v>
      </c>
      <c r="CA277" s="114">
        <f ca="1">IF(OR(S277&gt;0,AD277&gt;0),IFERROR(
SUMIFS(INDIRECT("'Infos Clientes'!$W"&amp;INDEX('Infos Clientes'!$C:$C,MATCH(C277,'Infos Clientes'!$H:$H,0))&amp;":$CZ"&amp;INDEX('Infos Clientes'!$C:$C,MATCH(C277,'Infos Clientes'!$H:$H,0))),'Infos Clientes'!$W$2:$CZ$2,"&gt;"&amp;$R277-365,'Infos Clientes'!$W$2:$CZ$2,"&lt;="&amp;$R277)/
COUNTIFS(INDIRECT("'Infos Clientes'!$W"&amp;INDEX('Infos Clientes'!$C:$C,MATCH(C277,'Infos Clientes'!$H:$H,0))&amp;":$CZ"&amp;INDEX('Infos Clientes'!$C:$C,MATCH(C277,'Infos Clientes'!$H:$H,0))),"&gt;="&amp;0,'Infos Clientes'!$W$2:$CZ$2,"&gt;"&amp;$R277-365,'Infos Clientes'!$W$2:$CZ$2,"&lt;="&amp;$R277),""),"")</f>
        <v>154.41666666666666</v>
      </c>
      <c r="CB277" s="87">
        <f>VLOOKUP(C277,'Infos Clientes'!B:L,11,0)</f>
        <v>0</v>
      </c>
      <c r="CC277" s="88" t="str">
        <f t="shared" si="190"/>
        <v>A Unidade Consumidora 10/218777-1 economizou R$30,7 na fatura referente à mar/2025  consumindo 110 kWh em créditos de energia renovável conforme fatura de energia. A economia foi de 25% em relação ao que seria pago para a Energisa considerando os créditos consumidos. Atenção: Mantenha as contas da Energisa em dia para evitar cortes.</v>
      </c>
      <c r="CD277" s="40" t="s">
        <v>75</v>
      </c>
      <c r="CF277" s="115">
        <f t="shared" si="191"/>
        <v>-75.75</v>
      </c>
    </row>
    <row r="278" spans="1:84" ht="16.2" hidden="1" customHeight="1" x14ac:dyDescent="0.3">
      <c r="A278" s="105" t="str">
        <f>INDEX('Infos Clientes'!$D:$D,MATCH('Detalhe Por UC'!C278,'Infos Clientes'!B:B,0))</f>
        <v>IGREJA DO EVANGELHO QUADRANGULAR</v>
      </c>
      <c r="B278" s="106" t="str">
        <f>INDEX('Infos Clientes'!$F:$F,MATCH('Detalhe Por UC'!C278,'Infos Clientes'!B:B,0))</f>
        <v>62.955.505/0847-51</v>
      </c>
      <c r="C278" s="44" t="s">
        <v>41</v>
      </c>
      <c r="D278" t="s">
        <v>351</v>
      </c>
      <c r="E278" s="1" t="s">
        <v>352</v>
      </c>
      <c r="F278" s="56" t="str">
        <f>INDEX('Infos Clientes'!$I:$I,MATCH('Detalhe Por UC'!C278,'Infos Clientes'!B:B,0))</f>
        <v>BT</v>
      </c>
      <c r="G278" s="56" t="str">
        <f>INDEX('Infos Clientes'!$J:$J,MATCH('Detalhe Por UC'!C278,'Infos Clientes'!B:B,0))</f>
        <v>monofasico</v>
      </c>
      <c r="H278" s="108" t="s">
        <v>24</v>
      </c>
      <c r="I278" s="58">
        <f>IFERROR(VLOOKUP(C278,'Infos Clientes'!B:E,4,),"")</f>
        <v>349</v>
      </c>
      <c r="J278" s="109">
        <v>0.25</v>
      </c>
      <c r="K278" s="59">
        <f>INDEX('Infos Clientes'!$M:$M,MATCH('Detalhe Por UC'!C278,'Infos Clientes'!B:B,0))</f>
        <v>0.25</v>
      </c>
      <c r="L278" s="125">
        <v>0</v>
      </c>
      <c r="M278" s="56">
        <f>INDEX('Infos Clientes'!$N:$N,MATCH('Detalhe Por UC'!C278,'Infos Clientes'!B:B,0))</f>
        <v>0</v>
      </c>
      <c r="N278" s="56">
        <f t="shared" si="155"/>
        <v>0</v>
      </c>
      <c r="O278" s="56">
        <f t="shared" si="156"/>
        <v>12</v>
      </c>
      <c r="P278" s="56">
        <f t="shared" si="157"/>
        <v>0</v>
      </c>
      <c r="Q278" s="61">
        <f>IFERROR(IFERROR(INDEX('Infos Clientes'!$A$2:$V$9884,MATCH($C278,'Infos Clientes'!$B$2:$B$9884,0),MATCH(Q$8,'Infos Clientes'!$A$2:$V$2,0)),"")
+IF(OR(INDEX('Infos Clientes'!$A$2:$V$9884,MATCH($C278,'Infos Clientes'!$B$2:$B$9884,0),MATCH("Tempo de Fidelidade (meses)",'Infos Clientes'!$A$2:$V$2,0))=0,R278&gt;=MAX(R:R)),0,
ROUND((MAX(R:R)-R278)/(365/12),0)),"")</f>
        <v>0</v>
      </c>
      <c r="R278" s="111">
        <v>45717</v>
      </c>
      <c r="S278" s="17">
        <v>0.01</v>
      </c>
      <c r="T278" s="113">
        <f>IF($H278="GIROSSOL II",AP278/INDEX('Resumo Operacional'!$A$1:$P$1103,17,MATCH('Detalhe Por UC'!$R278,'Resumo Operacional'!$A$1:$P$1,0)),
IF($H278="GIROSSOL II e III",AP278/INDEX('Resumo Operacional'!$A$1:$P$1103,17,MATCH('Detalhe Por UC'!$R278,'Resumo Operacional'!$A$1:$P$1,0)),
""))</f>
        <v>9.9676052828307996E-3</v>
      </c>
      <c r="U278" s="113" t="str">
        <f>IF($H278="GIROSSOL III",AP278/INDEX('Resumo Operacional'!$A$1:$P$1103,53,MATCH('Detalhe Por UC'!$R278,'Resumo Operacional'!$A$1:$P$1,0)),
IF($H278="GIROSSOL II e III",AP278/INDEX('Resumo Operacional'!$A$1:$P$1103,53,MATCH('Detalhe Por UC'!$R278,'Resumo Operacional'!$A$1:$P$1,0)),
""))</f>
        <v/>
      </c>
      <c r="V278" s="18"/>
      <c r="W278" s="18"/>
      <c r="X278" s="18">
        <v>1.1162091503267975</v>
      </c>
      <c r="Y278" s="18"/>
      <c r="Z278" s="18">
        <v>1.1161788617886179</v>
      </c>
      <c r="AA278" s="18"/>
      <c r="AB278" s="18">
        <v>153</v>
      </c>
      <c r="AC278" s="18">
        <v>0</v>
      </c>
      <c r="AD278" s="18">
        <v>123</v>
      </c>
      <c r="AE278" s="35"/>
      <c r="AF278" s="18">
        <v>298</v>
      </c>
      <c r="AG278" s="18"/>
      <c r="AH278" s="18">
        <v>62.97</v>
      </c>
      <c r="AI278" s="18"/>
      <c r="AJ278" s="18"/>
      <c r="AN278" s="71">
        <f t="shared" si="158"/>
        <v>-3</v>
      </c>
      <c r="AO278" s="71">
        <f t="shared" si="159"/>
        <v>0</v>
      </c>
      <c r="AP278" s="71">
        <f t="shared" si="160"/>
        <v>120</v>
      </c>
      <c r="AQ278" s="72">
        <f>IF(OR($H278="GIROSSOL II",$H278="GIROSSOL II e III"),INDEX('Resumo Operacional'!$A$1:$P$1103,MATCH("Energia Injetada prevista total Fatura da Usina (TUSD)",'Resumo Operacional'!$B$1:$B$1103,0),MATCH('Detalhe Por UC'!$R278,'Resumo Operacional'!$A$1:$P$1,0))*$S278,INDEX('Resumo Operacional'!$A$1:$P$1103,53,MATCH('Detalhe Por UC'!$R278,'Resumo Operacional'!$A$1:$P$1,0))*$S278)</f>
        <v>120.39</v>
      </c>
      <c r="AR278" s="71">
        <f t="shared" si="161"/>
        <v>-0.39000000000000057</v>
      </c>
      <c r="AS278" s="73">
        <f t="shared" si="162"/>
        <v>96.460000000000008</v>
      </c>
      <c r="AT278" s="74">
        <f t="shared" si="163"/>
        <v>96.460000000000008</v>
      </c>
      <c r="AU278" s="74">
        <f t="shared" si="164"/>
        <v>1.1161485732504384</v>
      </c>
      <c r="AV278" s="74">
        <f t="shared" si="165"/>
        <v>102.9675</v>
      </c>
      <c r="AW278" s="74">
        <f t="shared" si="166"/>
        <v>0</v>
      </c>
      <c r="AX278" s="74">
        <f t="shared" si="167"/>
        <v>137.29</v>
      </c>
      <c r="AY278" s="74">
        <f t="shared" si="168"/>
        <v>102.97</v>
      </c>
      <c r="AZ278" s="49">
        <v>102.97</v>
      </c>
      <c r="BA278" s="49">
        <v>102.97</v>
      </c>
      <c r="BB278" s="49">
        <v>102.97</v>
      </c>
      <c r="BC278" s="73" t="str">
        <f t="shared" si="169"/>
        <v/>
      </c>
      <c r="BD278" s="73">
        <f t="shared" si="170"/>
        <v>233.75</v>
      </c>
      <c r="BE278" s="73">
        <f t="shared" si="171"/>
        <v>199.42750000000001</v>
      </c>
      <c r="BF278" s="77">
        <f t="shared" si="172"/>
        <v>34.32</v>
      </c>
      <c r="BG278" s="77">
        <f t="shared" si="173"/>
        <v>10.295999999999999</v>
      </c>
      <c r="BH278" s="77">
        <f t="shared" si="174"/>
        <v>137.29000000000002</v>
      </c>
      <c r="BI278" s="78">
        <f t="shared" si="175"/>
        <v>0.25</v>
      </c>
      <c r="BJ278" s="79">
        <f t="shared" si="176"/>
        <v>0.14682352941176471</v>
      </c>
      <c r="BK278" s="80">
        <f t="shared" si="177"/>
        <v>199.43</v>
      </c>
      <c r="BL278" s="80">
        <f t="shared" si="178"/>
        <v>34.319999999999993</v>
      </c>
      <c r="BM278" s="79">
        <f t="shared" si="179"/>
        <v>0.14682352941176469</v>
      </c>
      <c r="BN278" s="81">
        <f t="shared" si="180"/>
        <v>0.83715447154471545</v>
      </c>
      <c r="BO278" s="82">
        <f t="shared" si="181"/>
        <v>102.97</v>
      </c>
      <c r="BP278" s="81">
        <f t="shared" si="182"/>
        <v>0.83715447154471545</v>
      </c>
      <c r="BQ278" s="81">
        <f t="shared" si="183"/>
        <v>0.837184760082895</v>
      </c>
      <c r="BR278" s="81">
        <f t="shared" si="184"/>
        <v>1.1162091503267975</v>
      </c>
      <c r="BS278" s="82">
        <f t="shared" si="185"/>
        <v>123</v>
      </c>
      <c r="BT278" s="82">
        <f t="shared" si="186"/>
        <v>137.2937254901961</v>
      </c>
      <c r="BU278" s="82">
        <f t="shared" si="187"/>
        <v>137.29</v>
      </c>
      <c r="BW278" s="82">
        <f>IFERROR(INDEX('Infos Clientes'!$T:$T,MATCH('Detalhe Por UC'!$C278,'Infos Clientes'!B:B,0)),"")</f>
        <v>156.25</v>
      </c>
      <c r="BX278" s="83">
        <f t="shared" si="188"/>
        <v>0</v>
      </c>
      <c r="BY278" s="84">
        <f t="shared" si="189"/>
        <v>0.24997500706942893</v>
      </c>
      <c r="BZ278" s="85">
        <f>IF(_xlfn.MINIFS('Detalhe Por UC'!R:R,'Detalhe Por UC'!C:C,C278,'Detalhe Por UC'!AD:AD,"&gt;"&amp;0)=0,"",_xlfn.MINIFS('Detalhe Por UC'!R:R,'Detalhe Por UC'!C:C,C278,'Detalhe Por UC'!AD:AD,"&gt;"&amp;0))</f>
        <v>45627</v>
      </c>
      <c r="CA278" s="114">
        <f ca="1">IF(OR(S278&gt;0,AD278&gt;0),IFERROR(
SUMIFS(INDIRECT("'Infos Clientes'!$W"&amp;INDEX('Infos Clientes'!$C:$C,MATCH(C278,'Infos Clientes'!$H:$H,0))&amp;":$CZ"&amp;INDEX('Infos Clientes'!$C:$C,MATCH(C278,'Infos Clientes'!$H:$H,0))),'Infos Clientes'!$W$2:$CZ$2,"&gt;"&amp;$R278-365,'Infos Clientes'!$W$2:$CZ$2,"&lt;="&amp;$R278)/
COUNTIFS(INDIRECT("'Infos Clientes'!$W"&amp;INDEX('Infos Clientes'!$C:$C,MATCH(C278,'Infos Clientes'!$H:$H,0))&amp;":$CZ"&amp;INDEX('Infos Clientes'!$C:$C,MATCH(C278,'Infos Clientes'!$H:$H,0))),"&gt;="&amp;0,'Infos Clientes'!$W$2:$CZ$2,"&gt;"&amp;$R278-365,'Infos Clientes'!$W$2:$CZ$2,"&lt;="&amp;$R278),""),"")</f>
        <v>153.25</v>
      </c>
      <c r="CB278" s="87">
        <f>VLOOKUP(C278,'Infos Clientes'!B:L,11,0)</f>
        <v>0</v>
      </c>
      <c r="CC278" s="88" t="str">
        <f t="shared" si="190"/>
        <v>A Unidade Consumidora 10/1548741-6 economizou R$34,32 na fatura referente à mar/2025  consumindo 123 kWh em créditos de energia renovável conforme fatura de energia. A economia foi de 25% em relação ao que seria pago para a Energisa considerando os créditos consumidos. Atenção: Mantenha as contas da Energisa em dia para evitar cortes.</v>
      </c>
      <c r="CD278" s="40" t="s">
        <v>43</v>
      </c>
      <c r="CF278" s="115">
        <f t="shared" si="191"/>
        <v>-96.460000000000008</v>
      </c>
    </row>
    <row r="279" spans="1:84" ht="16.2" hidden="1" customHeight="1" x14ac:dyDescent="0.3">
      <c r="A279" s="105" t="str">
        <f>INDEX('Infos Clientes'!$D:$D,MATCH('Detalhe Por UC'!C279,'Infos Clientes'!B:B,0))</f>
        <v>IGREJA DO EVANGELHO QUADRANGULAR</v>
      </c>
      <c r="B279" s="106" t="str">
        <f>INDEX('Infos Clientes'!$F:$F,MATCH('Detalhe Por UC'!C279,'Infos Clientes'!B:B,0))</f>
        <v>62.955.505/0155-12</v>
      </c>
      <c r="C279" s="44" t="s">
        <v>129</v>
      </c>
      <c r="D279" t="s">
        <v>351</v>
      </c>
      <c r="E279" s="1" t="s">
        <v>352</v>
      </c>
      <c r="F279" s="56" t="str">
        <f>INDEX('Infos Clientes'!$I:$I,MATCH('Detalhe Por UC'!C279,'Infos Clientes'!B:B,0))</f>
        <v>BT</v>
      </c>
      <c r="G279" s="56" t="str">
        <f>INDEX('Infos Clientes'!$J:$J,MATCH('Detalhe Por UC'!C279,'Infos Clientes'!B:B,0))</f>
        <v>trifasico</v>
      </c>
      <c r="H279" s="108" t="s">
        <v>24</v>
      </c>
      <c r="I279" s="58">
        <f>IFERROR(VLOOKUP(C279,'Infos Clientes'!B:E,4,),"")</f>
        <v>358</v>
      </c>
      <c r="J279" s="109">
        <v>0.25</v>
      </c>
      <c r="K279" s="59">
        <f>INDEX('Infos Clientes'!$M:$M,MATCH('Detalhe Por UC'!C279,'Infos Clientes'!B:B,0))</f>
        <v>0.25</v>
      </c>
      <c r="L279" s="125">
        <v>0</v>
      </c>
      <c r="M279" s="56">
        <f>INDEX('Infos Clientes'!$N:$N,MATCH('Detalhe Por UC'!C279,'Infos Clientes'!B:B,0))</f>
        <v>0</v>
      </c>
      <c r="N279" s="56">
        <f t="shared" si="155"/>
        <v>0</v>
      </c>
      <c r="O279" s="56">
        <f t="shared" si="156"/>
        <v>11</v>
      </c>
      <c r="P279" s="56">
        <f t="shared" si="157"/>
        <v>0</v>
      </c>
      <c r="Q279" s="61">
        <f>IFERROR(IFERROR(INDEX('Infos Clientes'!$A$2:$V$9884,MATCH($C279,'Infos Clientes'!$B$2:$B$9884,0),MATCH(Q$8,'Infos Clientes'!$A$2:$V$2,0)),"")
+IF(OR(INDEX('Infos Clientes'!$A$2:$V$9884,MATCH($C279,'Infos Clientes'!$B$2:$B$9884,0),MATCH("Tempo de Fidelidade (meses)",'Infos Clientes'!$A$2:$V$2,0))=0,R279&gt;=MAX(R:R)),0,
ROUND((MAX(R:R)-R279)/(365/12),0)),"")</f>
        <v>0</v>
      </c>
      <c r="R279" s="111">
        <v>45717</v>
      </c>
      <c r="S279" s="17">
        <v>5.0000000000000001E-3</v>
      </c>
      <c r="T279" s="113">
        <f>IF($H279="GIROSSOL II",AP279/INDEX('Resumo Operacional'!$A$1:$P$1103,17,MATCH('Detalhe Por UC'!$R279,'Resumo Operacional'!$A$1:$P$1,0)),
IF($H279="GIROSSOL II e III",AP279/INDEX('Resumo Operacional'!$A$1:$P$1103,17,MATCH('Detalhe Por UC'!$R279,'Resumo Operacional'!$A$1:$P$1,0)),
""))</f>
        <v>1.6446548716670818E-2</v>
      </c>
      <c r="U279" s="113" t="str">
        <f>IF($H279="GIROSSOL III",AP279/INDEX('Resumo Operacional'!$A$1:$P$1103,53,MATCH('Detalhe Por UC'!$R279,'Resumo Operacional'!$A$1:$P$1,0)),
IF($H279="GIROSSOL II e III",AP279/INDEX('Resumo Operacional'!$A$1:$P$1103,53,MATCH('Detalhe Por UC'!$R279,'Resumo Operacional'!$A$1:$P$1,0)),
""))</f>
        <v/>
      </c>
      <c r="V279" s="18"/>
      <c r="W279" s="18"/>
      <c r="X279" s="18">
        <v>1.1162043795620438</v>
      </c>
      <c r="Y279" s="18"/>
      <c r="Z279" s="18">
        <v>1.115945945945946</v>
      </c>
      <c r="AA279" s="18"/>
      <c r="AB279" s="18">
        <v>137</v>
      </c>
      <c r="AC279" s="18">
        <v>0</v>
      </c>
      <c r="AD279" s="18">
        <v>37</v>
      </c>
      <c r="AE279" s="35"/>
      <c r="AF279" s="18">
        <v>1269</v>
      </c>
      <c r="AG279" s="18">
        <v>0</v>
      </c>
      <c r="AH279" s="18">
        <v>52</v>
      </c>
      <c r="AI279" s="18"/>
      <c r="AJ279" s="18"/>
      <c r="AN279" s="71">
        <f t="shared" si="158"/>
        <v>161</v>
      </c>
      <c r="AO279" s="71">
        <f t="shared" si="159"/>
        <v>0</v>
      </c>
      <c r="AP279" s="71">
        <f t="shared" si="160"/>
        <v>198</v>
      </c>
      <c r="AQ279" s="72">
        <f>IF(OR($H279="GIROSSOL II",$H279="GIROSSOL II e III"),INDEX('Resumo Operacional'!$A$1:$P$1103,MATCH("Energia Injetada prevista total Fatura da Usina (TUSD)",'Resumo Operacional'!$B$1:$B$1103,0),MATCH('Detalhe Por UC'!$R279,'Resumo Operacional'!$A$1:$P$1,0))*$S279,INDEX('Resumo Operacional'!$A$1:$P$1103,53,MATCH('Detalhe Por UC'!$R279,'Resumo Operacional'!$A$1:$P$1,0))*$S279)</f>
        <v>60.195</v>
      </c>
      <c r="AR279" s="71">
        <f t="shared" si="161"/>
        <v>137.80500000000001</v>
      </c>
      <c r="AS279" s="73">
        <f t="shared" si="162"/>
        <v>163.63</v>
      </c>
      <c r="AT279" s="74">
        <f t="shared" si="163"/>
        <v>163.63</v>
      </c>
      <c r="AU279" s="74">
        <f t="shared" si="164"/>
        <v>1.1156875123298482</v>
      </c>
      <c r="AV279" s="74">
        <f t="shared" si="165"/>
        <v>30.967500000000001</v>
      </c>
      <c r="AW279" s="74">
        <f t="shared" si="166"/>
        <v>0</v>
      </c>
      <c r="AX279" s="74">
        <f t="shared" si="167"/>
        <v>41.29</v>
      </c>
      <c r="AY279" s="74">
        <f t="shared" si="168"/>
        <v>30.97</v>
      </c>
      <c r="AZ279" s="49">
        <v>30.97</v>
      </c>
      <c r="BA279" s="49">
        <v>30.97</v>
      </c>
      <c r="BB279" s="49">
        <v>30.97</v>
      </c>
      <c r="BC279" s="73" t="str">
        <f t="shared" si="169"/>
        <v/>
      </c>
      <c r="BD279" s="73">
        <f t="shared" si="170"/>
        <v>204.92</v>
      </c>
      <c r="BE279" s="73">
        <f t="shared" si="171"/>
        <v>194.5975</v>
      </c>
      <c r="BF279" s="77">
        <f t="shared" si="172"/>
        <v>10.32</v>
      </c>
      <c r="BG279" s="77">
        <f t="shared" si="173"/>
        <v>3.0960000000000001</v>
      </c>
      <c r="BH279" s="77">
        <f t="shared" si="174"/>
        <v>41.29</v>
      </c>
      <c r="BI279" s="78">
        <f t="shared" si="175"/>
        <v>0.25</v>
      </c>
      <c r="BJ279" s="79">
        <f t="shared" si="176"/>
        <v>5.0361116533281285E-2</v>
      </c>
      <c r="BK279" s="80">
        <f t="shared" si="177"/>
        <v>194.6</v>
      </c>
      <c r="BL279" s="80">
        <f t="shared" si="178"/>
        <v>10.319999999999993</v>
      </c>
      <c r="BM279" s="79">
        <f t="shared" si="179"/>
        <v>5.036111653328125E-2</v>
      </c>
      <c r="BN279" s="81">
        <f t="shared" si="180"/>
        <v>0.83702702702702703</v>
      </c>
      <c r="BO279" s="82">
        <f t="shared" si="181"/>
        <v>30.97</v>
      </c>
      <c r="BP279" s="81">
        <f t="shared" si="182"/>
        <v>0.83702702702702703</v>
      </c>
      <c r="BQ279" s="81">
        <f t="shared" si="183"/>
        <v>0.83728546064312481</v>
      </c>
      <c r="BR279" s="81">
        <f t="shared" si="184"/>
        <v>1.1162043795620438</v>
      </c>
      <c r="BS279" s="82">
        <f t="shared" si="185"/>
        <v>37</v>
      </c>
      <c r="BT279" s="82">
        <f t="shared" si="186"/>
        <v>41.299562043795618</v>
      </c>
      <c r="BU279" s="82">
        <f t="shared" si="187"/>
        <v>41.29</v>
      </c>
      <c r="BW279" s="82">
        <f>IFERROR(INDEX('Infos Clientes'!$T:$T,MATCH('Detalhe Por UC'!$C279,'Infos Clientes'!B:B,0)),"")</f>
        <v>123.5</v>
      </c>
      <c r="BX279" s="83">
        <f t="shared" si="188"/>
        <v>0</v>
      </c>
      <c r="BY279" s="84">
        <f t="shared" si="189"/>
        <v>0.24988158443559966</v>
      </c>
      <c r="BZ279" s="85">
        <f>IF(_xlfn.MINIFS('Detalhe Por UC'!R:R,'Detalhe Por UC'!C:C,C279,'Detalhe Por UC'!AD:AD,"&gt;"&amp;0)=0,"",_xlfn.MINIFS('Detalhe Por UC'!R:R,'Detalhe Por UC'!C:C,C279,'Detalhe Por UC'!AD:AD,"&gt;"&amp;0))</f>
        <v>45627</v>
      </c>
      <c r="CA279" s="114">
        <f ca="1">IF(OR(S279&gt;0,AD279&gt;0),IFERROR(
SUMIFS(INDIRECT("'Infos Clientes'!$W"&amp;INDEX('Infos Clientes'!$C:$C,MATCH(C279,'Infos Clientes'!$H:$H,0))&amp;":$CZ"&amp;INDEX('Infos Clientes'!$C:$C,MATCH(C279,'Infos Clientes'!$H:$H,0))),'Infos Clientes'!$W$2:$CZ$2,"&gt;"&amp;$R279-365,'Infos Clientes'!$W$2:$CZ$2,"&lt;="&amp;$R279)/
COUNTIFS(INDIRECT("'Infos Clientes'!$W"&amp;INDEX('Infos Clientes'!$C:$C,MATCH(C279,'Infos Clientes'!$H:$H,0))&amp;":$CZ"&amp;INDEX('Infos Clientes'!$C:$C,MATCH(C279,'Infos Clientes'!$H:$H,0))),"&gt;="&amp;0,'Infos Clientes'!$W$2:$CZ$2,"&gt;"&amp;$R279-365,'Infos Clientes'!$W$2:$CZ$2,"&lt;="&amp;$R279),""),"")</f>
        <v>116.83333333333333</v>
      </c>
      <c r="CB279" s="87">
        <f>VLOOKUP(C279,'Infos Clientes'!B:L,11,0)</f>
        <v>0</v>
      </c>
      <c r="CC279" s="88" t="str">
        <f t="shared" si="190"/>
        <v>A Unidade Consumidora 10/987178-1 economizou R$10,32 na fatura referente à mar/2025  consumindo 37 kWh em créditos de energia renovável conforme fatura de energia. A economia foi de 25% em relação ao que seria pago para a Energisa considerando os créditos consumidos. Atenção: Mantenha as contas da Energisa em dia para evitar cortes.</v>
      </c>
      <c r="CD279" s="40" t="s">
        <v>131</v>
      </c>
      <c r="CF279" s="115">
        <f t="shared" si="191"/>
        <v>-163.63</v>
      </c>
    </row>
    <row r="280" spans="1:84" ht="16.2" hidden="1" customHeight="1" x14ac:dyDescent="0.3">
      <c r="A280" s="105" t="str">
        <f>INDEX('Infos Clientes'!$D:$D,MATCH('Detalhe Por UC'!C280,'Infos Clientes'!B:B,0))</f>
        <v>IGREJA DO EVANGELHO QUADRANGULAR</v>
      </c>
      <c r="B280" s="106" t="str">
        <f>INDEX('Infos Clientes'!$F:$F,MATCH('Detalhe Por UC'!C280,'Infos Clientes'!B:B,0))</f>
        <v>62.955.505/1821-76</v>
      </c>
      <c r="C280" s="137" t="s">
        <v>81</v>
      </c>
      <c r="D280" t="s">
        <v>351</v>
      </c>
      <c r="E280" s="1" t="s">
        <v>352</v>
      </c>
      <c r="F280" s="56" t="str">
        <f>INDEX('Infos Clientes'!$I:$I,MATCH('Detalhe Por UC'!C280,'Infos Clientes'!B:B,0))</f>
        <v>BT</v>
      </c>
      <c r="G280" s="56" t="str">
        <f>INDEX('Infos Clientes'!$J:$J,MATCH('Detalhe Por UC'!C280,'Infos Clientes'!B:B,0))</f>
        <v>bifasico</v>
      </c>
      <c r="H280" s="108" t="s">
        <v>353</v>
      </c>
      <c r="I280" s="58">
        <f>IFERROR(VLOOKUP(C280,'Infos Clientes'!B:E,4,),"")</f>
        <v>362</v>
      </c>
      <c r="J280" s="109">
        <v>0.25</v>
      </c>
      <c r="K280" s="59">
        <f>INDEX('Infos Clientes'!$M:$M,MATCH('Detalhe Por UC'!C280,'Infos Clientes'!B:B,0))</f>
        <v>0.25</v>
      </c>
      <c r="L280" s="125">
        <v>0</v>
      </c>
      <c r="M280" s="56">
        <f>INDEX('Infos Clientes'!$N:$N,MATCH('Detalhe Por UC'!C280,'Infos Clientes'!B:B,0))</f>
        <v>0</v>
      </c>
      <c r="N280" s="56">
        <f t="shared" si="155"/>
        <v>0</v>
      </c>
      <c r="O280" s="56">
        <f t="shared" si="156"/>
        <v>12</v>
      </c>
      <c r="P280" s="56">
        <f t="shared" si="157"/>
        <v>0</v>
      </c>
      <c r="Q280" s="61">
        <f>IFERROR(IFERROR(INDEX('Infos Clientes'!$A$2:$V$9884,MATCH($C280,'Infos Clientes'!$B$2:$B$9884,0),MATCH(Q$8,'Infos Clientes'!$A$2:$V$2,0)),"")
+IF(OR(INDEX('Infos Clientes'!$A$2:$V$9884,MATCH($C280,'Infos Clientes'!$B$2:$B$9884,0),MATCH("Tempo de Fidelidade (meses)",'Infos Clientes'!$A$2:$V$2,0))=0,R280&gt;=MAX(R:R)),0,
ROUND((MAX(R:R)-R280)/(365/12),0)),"")</f>
        <v>0</v>
      </c>
      <c r="R280" s="111">
        <v>45717</v>
      </c>
      <c r="S280" s="17">
        <v>5.0000000000000001E-3</v>
      </c>
      <c r="T280" s="113">
        <f>IF($H280="GIROSSOL II",AP280/INDEX('Resumo Operacional'!$A$1:$P$1103,17,MATCH('Detalhe Por UC'!$R280,'Resumo Operacional'!$A$1:$P$1,0)),
IF($H280="GIROSSOL II e III",AP280/INDEX('Resumo Operacional'!$A$1:$P$1103,17,MATCH('Detalhe Por UC'!$R280,'Resumo Operacional'!$A$1:$P$1,0)),
""))</f>
        <v>1.6446548716670818E-2</v>
      </c>
      <c r="U280" s="113">
        <f>IF($H280="GIROSSOL III",AP280/INDEX('Resumo Operacional'!$A$1:$P$1103,53,MATCH('Detalhe Por UC'!$R280,'Resumo Operacional'!$A$1:$P$1,0)),
IF($H280="GIROSSOL II e III",AP280/INDEX('Resumo Operacional'!$A$1:$P$1103,53,MATCH('Detalhe Por UC'!$R280,'Resumo Operacional'!$A$1:$P$1,0)),
""))</f>
        <v>1.6441086108112596E-2</v>
      </c>
      <c r="V280" s="18"/>
      <c r="W280" s="18"/>
      <c r="X280" s="18">
        <v>1.1162399999999999</v>
      </c>
      <c r="Y280" s="18"/>
      <c r="Z280" s="18">
        <v>1.0638679245283018</v>
      </c>
      <c r="AA280" s="18"/>
      <c r="AB280" s="18">
        <v>250</v>
      </c>
      <c r="AC280" s="18">
        <v>0</v>
      </c>
      <c r="AD280" s="18">
        <v>212</v>
      </c>
      <c r="AE280" s="35"/>
      <c r="AF280" s="18">
        <v>85</v>
      </c>
      <c r="AG280" s="18"/>
      <c r="AH280" s="18">
        <v>20.380000000000003</v>
      </c>
      <c r="AI280" s="18"/>
      <c r="AJ280" s="18"/>
      <c r="AN280" s="71">
        <f t="shared" si="158"/>
        <v>-14</v>
      </c>
      <c r="AO280" s="71">
        <f t="shared" si="159"/>
        <v>0</v>
      </c>
      <c r="AP280" s="71">
        <f t="shared" si="160"/>
        <v>198</v>
      </c>
      <c r="AQ280" s="72">
        <f>IF(OR($H280="GIROSSOL II",$H280="GIROSSOL II e III"),INDEX('Resumo Operacional'!$A$1:$P$1103,MATCH("Energia Injetada prevista total Fatura da Usina (TUSD)",'Resumo Operacional'!$B$1:$B$1103,0),MATCH('Detalhe Por UC'!$R280,'Resumo Operacional'!$A$1:$P$1,0))*$S280,INDEX('Resumo Operacional'!$A$1:$P$1103,53,MATCH('Detalhe Por UC'!$R280,'Resumo Operacional'!$A$1:$P$1,0))*$S280)</f>
        <v>60.195</v>
      </c>
      <c r="AR280" s="71">
        <f t="shared" si="161"/>
        <v>137.80500000000001</v>
      </c>
      <c r="AS280" s="73">
        <f t="shared" si="162"/>
        <v>73.900000000000006</v>
      </c>
      <c r="AT280" s="74">
        <f t="shared" si="163"/>
        <v>73.900000000000006</v>
      </c>
      <c r="AU280" s="74">
        <f t="shared" si="164"/>
        <v>1.0114958490566037</v>
      </c>
      <c r="AV280" s="74">
        <f t="shared" si="165"/>
        <v>169.15499999999997</v>
      </c>
      <c r="AW280" s="74">
        <f t="shared" si="166"/>
        <v>0</v>
      </c>
      <c r="AX280" s="74">
        <f t="shared" si="167"/>
        <v>225.54</v>
      </c>
      <c r="AY280" s="74">
        <f t="shared" si="168"/>
        <v>169.16</v>
      </c>
      <c r="AZ280" s="49">
        <v>169.16</v>
      </c>
      <c r="BA280" s="49">
        <v>169.16</v>
      </c>
      <c r="BC280" s="73" t="str">
        <f t="shared" si="169"/>
        <v/>
      </c>
      <c r="BD280" s="73">
        <f t="shared" si="170"/>
        <v>299.44</v>
      </c>
      <c r="BE280" s="73">
        <f t="shared" si="171"/>
        <v>243.05499999999998</v>
      </c>
      <c r="BF280" s="77">
        <f t="shared" si="172"/>
        <v>56.39</v>
      </c>
      <c r="BG280" s="77">
        <f t="shared" si="173"/>
        <v>16.916999999999998</v>
      </c>
      <c r="BH280" s="77">
        <f t="shared" si="174"/>
        <v>225.54</v>
      </c>
      <c r="BI280" s="78">
        <f t="shared" si="175"/>
        <v>0.25</v>
      </c>
      <c r="BJ280" s="79">
        <f t="shared" si="176"/>
        <v>0.18831819396206251</v>
      </c>
      <c r="BK280" s="80">
        <f t="shared" si="177"/>
        <v>243.06</v>
      </c>
      <c r="BL280" s="80">
        <f t="shared" si="178"/>
        <v>56.379999999999995</v>
      </c>
      <c r="BM280" s="79">
        <f t="shared" si="179"/>
        <v>0.18828479829014158</v>
      </c>
      <c r="BN280" s="81">
        <f t="shared" si="180"/>
        <v>0.79792452830188676</v>
      </c>
      <c r="BO280" s="82">
        <f t="shared" si="181"/>
        <v>169.16</v>
      </c>
      <c r="BP280" s="81">
        <f t="shared" si="182"/>
        <v>0.79792452830188676</v>
      </c>
      <c r="BQ280" s="81">
        <f t="shared" si="183"/>
        <v>0.85029660377358485</v>
      </c>
      <c r="BR280" s="81">
        <f t="shared" si="184"/>
        <v>1.1162399999999999</v>
      </c>
      <c r="BS280" s="82">
        <f t="shared" si="185"/>
        <v>212</v>
      </c>
      <c r="BT280" s="82">
        <f t="shared" si="186"/>
        <v>236.64287999999999</v>
      </c>
      <c r="BU280" s="82">
        <f t="shared" si="187"/>
        <v>225.54</v>
      </c>
      <c r="BW280" s="82">
        <f>IFERROR(INDEX('Infos Clientes'!$T:$T,MATCH('Detalhe Por UC'!$C280,'Infos Clientes'!B:B,0)),"")</f>
        <v>153.91666666666666</v>
      </c>
      <c r="BX280" s="83">
        <f t="shared" si="188"/>
        <v>0</v>
      </c>
      <c r="BY280" s="84">
        <f t="shared" si="189"/>
        <v>0.23824929784492141</v>
      </c>
      <c r="BZ280" s="85">
        <f>IF(_xlfn.MINIFS('Detalhe Por UC'!R:R,'Detalhe Por UC'!C:C,C280,'Detalhe Por UC'!AD:AD,"&gt;"&amp;0)=0,"",_xlfn.MINIFS('Detalhe Por UC'!R:R,'Detalhe Por UC'!C:C,C280,'Detalhe Por UC'!AD:AD,"&gt;"&amp;0))</f>
        <v>45627</v>
      </c>
      <c r="CA280" s="114">
        <f ca="1">IF(OR(S280&gt;0,AD280&gt;0),IFERROR(
SUMIFS(INDIRECT("'Infos Clientes'!$W"&amp;INDEX('Infos Clientes'!$C:$C,MATCH(C280,'Infos Clientes'!$H:$H,0))&amp;":$CZ"&amp;INDEX('Infos Clientes'!$C:$C,MATCH(C280,'Infos Clientes'!$H:$H,0))),'Infos Clientes'!$W$2:$CZ$2,"&gt;"&amp;$R280-365,'Infos Clientes'!$W$2:$CZ$2,"&lt;="&amp;$R280)/
COUNTIFS(INDIRECT("'Infos Clientes'!$W"&amp;INDEX('Infos Clientes'!$C:$C,MATCH(C280,'Infos Clientes'!$H:$H,0))&amp;":$CZ"&amp;INDEX('Infos Clientes'!$C:$C,MATCH(C280,'Infos Clientes'!$H:$H,0))),"&gt;="&amp;0,'Infos Clientes'!$W$2:$CZ$2,"&gt;"&amp;$R280-365,'Infos Clientes'!$W$2:$CZ$2,"&lt;="&amp;$R280),""),"")</f>
        <v>168.58333333333334</v>
      </c>
      <c r="CB280" s="87">
        <f>VLOOKUP(C280,'Infos Clientes'!B:L,11,0)</f>
        <v>0</v>
      </c>
      <c r="CC280" s="88" t="str">
        <f t="shared" si="190"/>
        <v>A Unidade Consumidora 10/257864-9 economizou R$56,39 na fatura referente à mar/2025  consumindo 212 kWh em créditos de energia renovável conforme fatura de energia. A economia foi de 25% em relação ao que seria pago para a Energisa considerando os créditos consumidos. Atenção: Mantenha as contas da Energisa em dia para evitar cortes.</v>
      </c>
      <c r="CD280" s="40" t="s">
        <v>83</v>
      </c>
      <c r="CF280" s="115">
        <f t="shared" si="191"/>
        <v>-73.900000000000006</v>
      </c>
    </row>
    <row r="281" spans="1:84" ht="16.2" hidden="1" customHeight="1" x14ac:dyDescent="0.3">
      <c r="A281" s="105" t="str">
        <f>INDEX('Infos Clientes'!$D:$D,MATCH('Detalhe Por UC'!C281,'Infos Clientes'!B:B,0))</f>
        <v>IGREJA DO EVANGELHO QUADRANGULAR</v>
      </c>
      <c r="B281" s="106" t="str">
        <f>INDEX('Infos Clientes'!$F:$F,MATCH('Detalhe Por UC'!C281,'Infos Clientes'!B:B,0))</f>
        <v>62.955.505/3932-07</v>
      </c>
      <c r="C281" s="44" t="s">
        <v>18</v>
      </c>
      <c r="D281" t="s">
        <v>351</v>
      </c>
      <c r="E281" s="1" t="s">
        <v>352</v>
      </c>
      <c r="F281" s="56" t="str">
        <f>INDEX('Infos Clientes'!$I:$I,MATCH('Detalhe Por UC'!C281,'Infos Clientes'!B:B,0))</f>
        <v>BT</v>
      </c>
      <c r="G281" s="56" t="str">
        <f>INDEX('Infos Clientes'!$J:$J,MATCH('Detalhe Por UC'!C281,'Infos Clientes'!B:B,0))</f>
        <v>bifasico</v>
      </c>
      <c r="H281" s="108" t="s">
        <v>24</v>
      </c>
      <c r="I281" s="58">
        <f>IFERROR(VLOOKUP(C281,'Infos Clientes'!B:E,4,),"")</f>
        <v>302</v>
      </c>
      <c r="J281" s="109">
        <v>0.25</v>
      </c>
      <c r="K281" s="59">
        <f>INDEX('Infos Clientes'!$M:$M,MATCH('Detalhe Por UC'!C281,'Infos Clientes'!B:B,0))</f>
        <v>0.25</v>
      </c>
      <c r="L281" s="125">
        <v>0</v>
      </c>
      <c r="M281" s="56">
        <f>INDEX('Infos Clientes'!$N:$N,MATCH('Detalhe Por UC'!C281,'Infos Clientes'!B:B,0))</f>
        <v>0</v>
      </c>
      <c r="N281" s="56">
        <f t="shared" si="155"/>
        <v>0</v>
      </c>
      <c r="O281" s="56">
        <f t="shared" si="156"/>
        <v>12</v>
      </c>
      <c r="P281" s="56">
        <f t="shared" si="157"/>
        <v>0</v>
      </c>
      <c r="Q281" s="61">
        <f>IFERROR(IFERROR(INDEX('Infos Clientes'!$A$2:$V$9884,MATCH($C281,'Infos Clientes'!$B$2:$B$9884,0),MATCH(Q$8,'Infos Clientes'!$A$2:$V$2,0)),"")
+IF(OR(INDEX('Infos Clientes'!$A$2:$V$9884,MATCH($C281,'Infos Clientes'!$B$2:$B$9884,0),MATCH("Tempo de Fidelidade (meses)",'Infos Clientes'!$A$2:$V$2,0))=0,R281&gt;=MAX(R:R)),0,
ROUND((MAX(R:R)-R281)/(365/12),0)),"")</f>
        <v>0</v>
      </c>
      <c r="R281" s="111">
        <v>45717</v>
      </c>
      <c r="S281" s="17">
        <v>5.0000000000000001E-3</v>
      </c>
      <c r="T281" s="113">
        <f>IF($H281="GIROSSOL II",AP281/INDEX('Resumo Operacional'!$A$1:$P$1103,17,MATCH('Detalhe Por UC'!$R281,'Resumo Operacional'!$A$1:$P$1,0)),
IF($H281="GIROSSOL II e III",AP281/INDEX('Resumo Operacional'!$A$1:$P$1103,17,MATCH('Detalhe Por UC'!$R281,'Resumo Operacional'!$A$1:$P$1,0)),
""))</f>
        <v>4.9838026414153998E-3</v>
      </c>
      <c r="U281" s="113" t="str">
        <f>IF($H281="GIROSSOL III",AP281/INDEX('Resumo Operacional'!$A$1:$P$1103,53,MATCH('Detalhe Por UC'!$R281,'Resumo Operacional'!$A$1:$P$1,0)),
IF($H281="GIROSSOL II e III",AP281/INDEX('Resumo Operacional'!$A$1:$P$1103,53,MATCH('Detalhe Por UC'!$R281,'Resumo Operacional'!$A$1:$P$1,0)),
""))</f>
        <v/>
      </c>
      <c r="V281" s="18"/>
      <c r="W281" s="18"/>
      <c r="X281" s="18">
        <v>1.1162393162393163</v>
      </c>
      <c r="Y281" s="18"/>
      <c r="Z281" s="18">
        <v>1.1161413043478261</v>
      </c>
      <c r="AA281" s="18"/>
      <c r="AB281" s="18">
        <v>234</v>
      </c>
      <c r="AC281" s="18">
        <v>0</v>
      </c>
      <c r="AD281" s="18">
        <v>184</v>
      </c>
      <c r="AE281" s="35"/>
      <c r="AF281" s="18">
        <v>669</v>
      </c>
      <c r="AG281" s="18"/>
      <c r="AH281" s="18">
        <v>42.9</v>
      </c>
      <c r="AI281" s="18"/>
      <c r="AJ281" s="18"/>
      <c r="AN281" s="71">
        <f t="shared" si="158"/>
        <v>-124</v>
      </c>
      <c r="AO281" s="71">
        <f t="shared" si="159"/>
        <v>0</v>
      </c>
      <c r="AP281" s="71">
        <f t="shared" si="160"/>
        <v>60</v>
      </c>
      <c r="AQ281" s="72">
        <f>IF(OR($H281="GIROSSOL II",$H281="GIROSSOL II e III"),INDEX('Resumo Operacional'!$A$1:$P$1103,MATCH("Energia Injetada prevista total Fatura da Usina (TUSD)",'Resumo Operacional'!$B$1:$B$1103,0),MATCH('Detalhe Por UC'!$R281,'Resumo Operacional'!$A$1:$P$1,0))*$S281,INDEX('Resumo Operacional'!$A$1:$P$1103,53,MATCH('Detalhe Por UC'!$R281,'Resumo Operacional'!$A$1:$P$1,0))*$S281)</f>
        <v>60.195</v>
      </c>
      <c r="AR281" s="71">
        <f t="shared" si="161"/>
        <v>-0.19500000000000028</v>
      </c>
      <c r="AS281" s="73">
        <f t="shared" si="162"/>
        <v>98.72999999999999</v>
      </c>
      <c r="AT281" s="74">
        <f t="shared" si="163"/>
        <v>98.72999999999999</v>
      </c>
      <c r="AU281" s="74">
        <f t="shared" si="164"/>
        <v>1.1160432924563359</v>
      </c>
      <c r="AV281" s="74">
        <f t="shared" si="165"/>
        <v>154.0275</v>
      </c>
      <c r="AW281" s="74">
        <f t="shared" si="166"/>
        <v>0</v>
      </c>
      <c r="AX281" s="74">
        <f t="shared" si="167"/>
        <v>205.37</v>
      </c>
      <c r="AY281" s="74">
        <f t="shared" si="168"/>
        <v>154.03</v>
      </c>
      <c r="AZ281" s="49">
        <v>154.03</v>
      </c>
      <c r="BA281" s="49">
        <v>154.03</v>
      </c>
      <c r="BB281" s="49">
        <v>154.03</v>
      </c>
      <c r="BC281" s="73" t="str">
        <f t="shared" si="169"/>
        <v/>
      </c>
      <c r="BD281" s="73">
        <f t="shared" si="170"/>
        <v>304.09999999999997</v>
      </c>
      <c r="BE281" s="73">
        <f t="shared" si="171"/>
        <v>252.75749999999999</v>
      </c>
      <c r="BF281" s="77">
        <f t="shared" si="172"/>
        <v>51.34</v>
      </c>
      <c r="BG281" s="77">
        <f t="shared" si="173"/>
        <v>15.402000000000001</v>
      </c>
      <c r="BH281" s="77">
        <f t="shared" si="174"/>
        <v>205.37</v>
      </c>
      <c r="BI281" s="78">
        <f t="shared" si="175"/>
        <v>0.25</v>
      </c>
      <c r="BJ281" s="79">
        <f t="shared" si="176"/>
        <v>0.16882604406445251</v>
      </c>
      <c r="BK281" s="80">
        <f t="shared" si="177"/>
        <v>252.76</v>
      </c>
      <c r="BL281" s="80">
        <f t="shared" si="178"/>
        <v>51.339999999999975</v>
      </c>
      <c r="BM281" s="79">
        <f t="shared" si="179"/>
        <v>0.16882604406445242</v>
      </c>
      <c r="BN281" s="81">
        <f t="shared" si="180"/>
        <v>0.83711956521739128</v>
      </c>
      <c r="BO281" s="82">
        <f t="shared" si="181"/>
        <v>154.03</v>
      </c>
      <c r="BP281" s="81">
        <f t="shared" si="182"/>
        <v>0.83711956521739128</v>
      </c>
      <c r="BQ281" s="81">
        <f t="shared" si="183"/>
        <v>0.83721757710888145</v>
      </c>
      <c r="BR281" s="81">
        <f t="shared" si="184"/>
        <v>1.1162393162393163</v>
      </c>
      <c r="BS281" s="82">
        <f t="shared" si="185"/>
        <v>184</v>
      </c>
      <c r="BT281" s="82">
        <f t="shared" si="186"/>
        <v>205.3880341880342</v>
      </c>
      <c r="BU281" s="82">
        <f t="shared" si="187"/>
        <v>205.37</v>
      </c>
      <c r="BW281" s="82">
        <f>IFERROR(INDEX('Infos Clientes'!$T:$T,MATCH('Detalhe Por UC'!$C281,'Infos Clientes'!B:B,0)),"")</f>
        <v>99.833333333333329</v>
      </c>
      <c r="BX281" s="83">
        <f t="shared" si="188"/>
        <v>0</v>
      </c>
      <c r="BY281" s="84">
        <f t="shared" si="189"/>
        <v>0.24996587655636196</v>
      </c>
      <c r="BZ281" s="85">
        <f>IF(_xlfn.MINIFS('Detalhe Por UC'!R:R,'Detalhe Por UC'!C:C,C281,'Detalhe Por UC'!AD:AD,"&gt;"&amp;0)=0,"",_xlfn.MINIFS('Detalhe Por UC'!R:R,'Detalhe Por UC'!C:C,C281,'Detalhe Por UC'!AD:AD,"&gt;"&amp;0))</f>
        <v>45627</v>
      </c>
      <c r="CA281" s="114">
        <f ca="1">IF(OR(S281&gt;0,AD281&gt;0),IFERROR(
SUMIFS(INDIRECT("'Infos Clientes'!$W"&amp;INDEX('Infos Clientes'!$C:$C,MATCH(C281,'Infos Clientes'!$H:$H,0))&amp;":$CZ"&amp;INDEX('Infos Clientes'!$C:$C,MATCH(C281,'Infos Clientes'!$H:$H,0))),'Infos Clientes'!$W$2:$CZ$2,"&gt;"&amp;$R281-365,'Infos Clientes'!$W$2:$CZ$2,"&lt;="&amp;$R281)/
COUNTIFS(INDIRECT("'Infos Clientes'!$W"&amp;INDEX('Infos Clientes'!$C:$C,MATCH(C281,'Infos Clientes'!$H:$H,0))&amp;":$CZ"&amp;INDEX('Infos Clientes'!$C:$C,MATCH(C281,'Infos Clientes'!$H:$H,0))),"&gt;="&amp;0,'Infos Clientes'!$W$2:$CZ$2,"&gt;"&amp;$R281-365,'Infos Clientes'!$W$2:$CZ$2,"&lt;="&amp;$R281),""),"")</f>
        <v>120.66666666666667</v>
      </c>
      <c r="CB281" s="87">
        <f>VLOOKUP(C281,'Infos Clientes'!B:L,11,0)</f>
        <v>0</v>
      </c>
      <c r="CC281" s="88" t="str">
        <f t="shared" si="190"/>
        <v>A Unidade Consumidora 10/10232-7 economizou R$51,34 na fatura referente à mar/2025  consumindo 184 kWh em créditos de energia renovável conforme fatura de energia. A economia foi de 25% em relação ao que seria pago para a Energisa considerando os créditos consumidos. Atenção: Mantenha as contas da Energisa em dia para evitar cortes.</v>
      </c>
      <c r="CD281" s="40" t="s">
        <v>21</v>
      </c>
      <c r="CF281" s="115">
        <f t="shared" si="191"/>
        <v>-98.72999999999999</v>
      </c>
    </row>
    <row r="282" spans="1:84" ht="16.2" hidden="1" customHeight="1" x14ac:dyDescent="0.3">
      <c r="A282" s="105" t="str">
        <f>INDEX('Infos Clientes'!$D:$D,MATCH('Detalhe Por UC'!C282,'Infos Clientes'!B:B,0))</f>
        <v>IGREJA DO EVANGELHO QUADRANGULAR</v>
      </c>
      <c r="B282" s="106" t="str">
        <f>INDEX('Infos Clientes'!$F:$F,MATCH('Detalhe Por UC'!C282,'Infos Clientes'!B:B,0))</f>
        <v>62.955.505/0001-67</v>
      </c>
      <c r="C282" s="44" t="s">
        <v>103</v>
      </c>
      <c r="D282" t="s">
        <v>351</v>
      </c>
      <c r="E282" s="1" t="s">
        <v>352</v>
      </c>
      <c r="F282" s="56" t="str">
        <f>INDEX('Infos Clientes'!$I:$I,MATCH('Detalhe Por UC'!C282,'Infos Clientes'!B:B,0))</f>
        <v>BT</v>
      </c>
      <c r="G282" s="56" t="str">
        <f>INDEX('Infos Clientes'!$J:$J,MATCH('Detalhe Por UC'!C282,'Infos Clientes'!B:B,0))</f>
        <v>monofasico</v>
      </c>
      <c r="H282" s="108" t="s">
        <v>24</v>
      </c>
      <c r="I282" s="58">
        <f>IFERROR(VLOOKUP(C282,'Infos Clientes'!B:E,4,),"")</f>
        <v>306</v>
      </c>
      <c r="J282" s="109">
        <v>0.25</v>
      </c>
      <c r="K282" s="59">
        <f>INDEX('Infos Clientes'!$M:$M,MATCH('Detalhe Por UC'!C282,'Infos Clientes'!B:B,0))</f>
        <v>0.25</v>
      </c>
      <c r="L282" s="125">
        <v>0</v>
      </c>
      <c r="M282" s="56">
        <f>INDEX('Infos Clientes'!$N:$N,MATCH('Detalhe Por UC'!C282,'Infos Clientes'!B:B,0))</f>
        <v>0</v>
      </c>
      <c r="N282" s="56">
        <f t="shared" si="155"/>
        <v>0</v>
      </c>
      <c r="O282" s="56">
        <f t="shared" si="156"/>
        <v>12</v>
      </c>
      <c r="P282" s="56">
        <f t="shared" si="157"/>
        <v>0</v>
      </c>
      <c r="Q282" s="61">
        <f>IFERROR(IFERROR(INDEX('Infos Clientes'!$A$2:$V$9884,MATCH($C282,'Infos Clientes'!$B$2:$B$9884,0),MATCH(Q$8,'Infos Clientes'!$A$2:$V$2,0)),"")
+IF(OR(INDEX('Infos Clientes'!$A$2:$V$9884,MATCH($C282,'Infos Clientes'!$B$2:$B$9884,0),MATCH("Tempo de Fidelidade (meses)",'Infos Clientes'!$A$2:$V$2,0))=0,R282&gt;=MAX(R:R)),0,
ROUND((MAX(R:R)-R282)/(365/12),0)),"")</f>
        <v>0</v>
      </c>
      <c r="R282" s="111">
        <v>45717</v>
      </c>
      <c r="S282" s="17">
        <v>7.0000000000000001E-3</v>
      </c>
      <c r="T282" s="113">
        <f>IF($H282="GIROSSOL II",AP282/INDEX('Resumo Operacional'!$A$1:$P$1103,17,MATCH('Detalhe Por UC'!$R282,'Resumo Operacional'!$A$1:$P$1,0)),
IF($H282="GIROSSOL II e III",AP282/INDEX('Resumo Operacional'!$A$1:$P$1103,17,MATCH('Detalhe Por UC'!$R282,'Resumo Operacional'!$A$1:$P$1,0)),
""))</f>
        <v>1.8855386660021598E-2</v>
      </c>
      <c r="U282" s="113" t="str">
        <f>IF($H282="GIROSSOL III",AP282/INDEX('Resumo Operacional'!$A$1:$P$1103,53,MATCH('Detalhe Por UC'!$R282,'Resumo Operacional'!$A$1:$P$1,0)),
IF($H282="GIROSSOL II e III",AP282/INDEX('Resumo Operacional'!$A$1:$P$1103,53,MATCH('Detalhe Por UC'!$R282,'Resumo Operacional'!$A$1:$P$1,0)),
""))</f>
        <v/>
      </c>
      <c r="V282" s="18"/>
      <c r="W282" s="18"/>
      <c r="X282" s="18">
        <v>1.1162573099415205</v>
      </c>
      <c r="Y282" s="18"/>
      <c r="Z282" s="18">
        <v>1.1162411347517729</v>
      </c>
      <c r="AA282" s="18"/>
      <c r="AB282" s="18">
        <v>171</v>
      </c>
      <c r="AC282" s="18">
        <v>0</v>
      </c>
      <c r="AD282" s="18">
        <v>141</v>
      </c>
      <c r="AE282" s="35"/>
      <c r="AF282" s="18">
        <v>566</v>
      </c>
      <c r="AG282" s="18"/>
      <c r="AH282" s="18">
        <v>0.71000000000000008</v>
      </c>
      <c r="AI282" s="18"/>
      <c r="AJ282" s="18"/>
      <c r="AN282" s="71">
        <f t="shared" si="158"/>
        <v>86</v>
      </c>
      <c r="AO282" s="71">
        <f t="shared" si="159"/>
        <v>0</v>
      </c>
      <c r="AP282" s="71">
        <f t="shared" si="160"/>
        <v>227</v>
      </c>
      <c r="AQ282" s="72">
        <f>IF(OR($H282="GIROSSOL II",$H282="GIROSSOL II e III"),INDEX('Resumo Operacional'!$A$1:$P$1103,MATCH("Energia Injetada prevista total Fatura da Usina (TUSD)",'Resumo Operacional'!$B$1:$B$1103,0),MATCH('Detalhe Por UC'!$R282,'Resumo Operacional'!$A$1:$P$1,0))*$S282,INDEX('Resumo Operacional'!$A$1:$P$1103,53,MATCH('Detalhe Por UC'!$R282,'Resumo Operacional'!$A$1:$P$1,0))*$S282)</f>
        <v>84.272999999999996</v>
      </c>
      <c r="AR282" s="71">
        <f t="shared" si="161"/>
        <v>142.727</v>
      </c>
      <c r="AS282" s="73">
        <f t="shared" si="162"/>
        <v>34.20000000000001</v>
      </c>
      <c r="AT282" s="74">
        <f t="shared" si="163"/>
        <v>34.20000000000001</v>
      </c>
      <c r="AU282" s="74">
        <f t="shared" si="164"/>
        <v>1.1162249595620253</v>
      </c>
      <c r="AV282" s="74">
        <f t="shared" si="165"/>
        <v>118.04249999999999</v>
      </c>
      <c r="AW282" s="74">
        <f t="shared" si="166"/>
        <v>0</v>
      </c>
      <c r="AX282" s="74">
        <f t="shared" si="167"/>
        <v>157.38999999999999</v>
      </c>
      <c r="AY282" s="74">
        <f t="shared" si="168"/>
        <v>118.04</v>
      </c>
      <c r="AZ282" s="49">
        <v>118.04</v>
      </c>
      <c r="BA282" s="49">
        <v>118.04</v>
      </c>
      <c r="BB282" s="49">
        <v>118.04</v>
      </c>
      <c r="BC282" s="73" t="str">
        <f t="shared" si="169"/>
        <v/>
      </c>
      <c r="BD282" s="73">
        <f t="shared" si="170"/>
        <v>191.59</v>
      </c>
      <c r="BE282" s="73">
        <f t="shared" si="171"/>
        <v>152.24250000000001</v>
      </c>
      <c r="BF282" s="77">
        <f t="shared" si="172"/>
        <v>39.35</v>
      </c>
      <c r="BG282" s="77">
        <f t="shared" si="173"/>
        <v>11.805</v>
      </c>
      <c r="BH282" s="77">
        <f t="shared" si="174"/>
        <v>157.38999999999999</v>
      </c>
      <c r="BI282" s="78">
        <f t="shared" si="175"/>
        <v>0.25</v>
      </c>
      <c r="BJ282" s="79">
        <f t="shared" si="176"/>
        <v>0.20538650242705778</v>
      </c>
      <c r="BK282" s="80">
        <f t="shared" si="177"/>
        <v>152.24</v>
      </c>
      <c r="BL282" s="80">
        <f t="shared" si="178"/>
        <v>39.349999999999994</v>
      </c>
      <c r="BM282" s="79">
        <f t="shared" si="179"/>
        <v>0.20538650242705775</v>
      </c>
      <c r="BN282" s="81">
        <f t="shared" si="180"/>
        <v>0.83716312056737596</v>
      </c>
      <c r="BO282" s="82">
        <f t="shared" si="181"/>
        <v>118.04</v>
      </c>
      <c r="BP282" s="81">
        <f t="shared" si="182"/>
        <v>0.83716312056737596</v>
      </c>
      <c r="BQ282" s="81">
        <f t="shared" si="183"/>
        <v>0.83717929575712358</v>
      </c>
      <c r="BR282" s="81">
        <f t="shared" si="184"/>
        <v>1.1162573099415205</v>
      </c>
      <c r="BS282" s="82">
        <f t="shared" si="185"/>
        <v>141</v>
      </c>
      <c r="BT282" s="82">
        <f t="shared" si="186"/>
        <v>157.3922807017544</v>
      </c>
      <c r="BU282" s="82">
        <f t="shared" si="187"/>
        <v>157.38999999999999</v>
      </c>
      <c r="BW282" s="82">
        <f>IFERROR(INDEX('Infos Clientes'!$T:$T,MATCH('Detalhe Por UC'!$C282,'Infos Clientes'!B:B,0)),"")</f>
        <v>144</v>
      </c>
      <c r="BX282" s="83">
        <f t="shared" si="188"/>
        <v>0</v>
      </c>
      <c r="BY282" s="84">
        <f t="shared" si="189"/>
        <v>0.25001226124021309</v>
      </c>
      <c r="BZ282" s="85">
        <f>IF(_xlfn.MINIFS('Detalhe Por UC'!R:R,'Detalhe Por UC'!C:C,C282,'Detalhe Por UC'!AD:AD,"&gt;"&amp;0)=0,"",_xlfn.MINIFS('Detalhe Por UC'!R:R,'Detalhe Por UC'!C:C,C282,'Detalhe Por UC'!AD:AD,"&gt;"&amp;0))</f>
        <v>45627</v>
      </c>
      <c r="CA282" s="114">
        <f ca="1">IF(OR(S282&gt;0,AD282&gt;0),IFERROR(
SUMIFS(INDIRECT("'Infos Clientes'!$W"&amp;INDEX('Infos Clientes'!$C:$C,MATCH(C282,'Infos Clientes'!$H:$H,0))&amp;":$CZ"&amp;INDEX('Infos Clientes'!$C:$C,MATCH(C282,'Infos Clientes'!$H:$H,0))),'Infos Clientes'!$W$2:$CZ$2,"&gt;"&amp;$R282-365,'Infos Clientes'!$W$2:$CZ$2,"&lt;="&amp;$R282)/
COUNTIFS(INDIRECT("'Infos Clientes'!$W"&amp;INDEX('Infos Clientes'!$C:$C,MATCH(C282,'Infos Clientes'!$H:$H,0))&amp;":$CZ"&amp;INDEX('Infos Clientes'!$C:$C,MATCH(C282,'Infos Clientes'!$H:$H,0))),"&gt;="&amp;0,'Infos Clientes'!$W$2:$CZ$2,"&gt;"&amp;$R282-365,'Infos Clientes'!$W$2:$CZ$2,"&lt;="&amp;$R282),""),"")</f>
        <v>136.25</v>
      </c>
      <c r="CB282" s="87">
        <f>VLOOKUP(C282,'Infos Clientes'!B:L,11,0)</f>
        <v>0</v>
      </c>
      <c r="CC282" s="88" t="str">
        <f t="shared" si="190"/>
        <v>A Unidade Consumidora 10/384823-1 economizou R$39,35 na fatura referente à mar/2025  consumindo 141 kWh em créditos de energia renovável conforme fatura de energia. A economia foi de 25% em relação ao que seria pago para a Energisa considerando os créditos consumidos. Atenção: Mantenha as contas da Energisa em dia para evitar cortes.</v>
      </c>
      <c r="CD282" s="40" t="s">
        <v>105</v>
      </c>
      <c r="CF282" s="115">
        <f t="shared" si="191"/>
        <v>-34.20000000000001</v>
      </c>
    </row>
    <row r="283" spans="1:84" ht="16.2" hidden="1" customHeight="1" x14ac:dyDescent="0.3">
      <c r="A283" s="105" t="str">
        <f>INDEX('Infos Clientes'!$D:$D,MATCH('Detalhe Por UC'!C283,'Infos Clientes'!B:B,0))</f>
        <v>IGREJA DO EVANGELHO QUADRANGULAR</v>
      </c>
      <c r="B283" s="106" t="str">
        <f>INDEX('Infos Clientes'!$F:$F,MATCH('Detalhe Por UC'!C283,'Infos Clientes'!B:B,0))</f>
        <v>62.955.505/3793-95</v>
      </c>
      <c r="C283" s="137" t="s">
        <v>84</v>
      </c>
      <c r="D283" t="s">
        <v>351</v>
      </c>
      <c r="E283" s="1" t="s">
        <v>352</v>
      </c>
      <c r="F283" s="56" t="str">
        <f>INDEX('Infos Clientes'!$I:$I,MATCH('Detalhe Por UC'!C283,'Infos Clientes'!B:B,0))</f>
        <v>BT</v>
      </c>
      <c r="G283" s="56" t="str">
        <f>INDEX('Infos Clientes'!$J:$J,MATCH('Detalhe Por UC'!C283,'Infos Clientes'!B:B,0))</f>
        <v>trifasico</v>
      </c>
      <c r="H283" s="108" t="s">
        <v>353</v>
      </c>
      <c r="I283" s="58">
        <f>IFERROR(VLOOKUP(C283,'Infos Clientes'!B:E,4,),"")</f>
        <v>302</v>
      </c>
      <c r="J283" s="109">
        <v>0.25</v>
      </c>
      <c r="K283" s="59">
        <f>INDEX('Infos Clientes'!$M:$M,MATCH('Detalhe Por UC'!C283,'Infos Clientes'!B:B,0))</f>
        <v>0.25</v>
      </c>
      <c r="L283" s="125">
        <v>0</v>
      </c>
      <c r="M283" s="56">
        <f>INDEX('Infos Clientes'!$N:$N,MATCH('Detalhe Por UC'!C283,'Infos Clientes'!B:B,0))</f>
        <v>0</v>
      </c>
      <c r="N283" s="56">
        <f t="shared" si="155"/>
        <v>0</v>
      </c>
      <c r="O283" s="56">
        <f t="shared" si="156"/>
        <v>12</v>
      </c>
      <c r="P283" s="56">
        <f t="shared" si="157"/>
        <v>0</v>
      </c>
      <c r="Q283" s="61">
        <f>IFERROR(IFERROR(INDEX('Infos Clientes'!$A$2:$V$9884,MATCH($C283,'Infos Clientes'!$B$2:$B$9884,0),MATCH(Q$8,'Infos Clientes'!$A$2:$V$2,0)),"")
+IF(OR(INDEX('Infos Clientes'!$A$2:$V$9884,MATCH($C283,'Infos Clientes'!$B$2:$B$9884,0),MATCH("Tempo de Fidelidade (meses)",'Infos Clientes'!$A$2:$V$2,0))=0,R283&gt;=MAX(R:R)),0,
ROUND((MAX(R:R)-R283)/(365/12),0)),"")</f>
        <v>0</v>
      </c>
      <c r="R283" s="111">
        <v>45717</v>
      </c>
      <c r="S283" s="17">
        <v>0.06</v>
      </c>
      <c r="T283" s="113">
        <f>IF($H283="GIROSSOL II",AP283/INDEX('Resumo Operacional'!$A$1:$P$1103,17,MATCH('Detalhe Por UC'!$R283,'Resumo Operacional'!$A$1:$P$1,0)),
IF($H283="GIROSSOL II e III",AP283/INDEX('Resumo Operacional'!$A$1:$P$1103,17,MATCH('Detalhe Por UC'!$R283,'Resumo Operacional'!$A$1:$P$1,0)),
""))</f>
        <v>0.11404601711105573</v>
      </c>
      <c r="U283" s="113">
        <f>IF($H283="GIROSSOL III",AP283/INDEX('Resumo Operacional'!$A$1:$P$1103,53,MATCH('Detalhe Por UC'!$R283,'Resumo Operacional'!$A$1:$P$1,0)),
IF($H283="GIROSSOL II e III",AP283/INDEX('Resumo Operacional'!$A$1:$P$1103,53,MATCH('Detalhe Por UC'!$R283,'Resumo Operacional'!$A$1:$P$1,0)),
""))</f>
        <v>0.11400813750726563</v>
      </c>
      <c r="V283" s="18"/>
      <c r="W283" s="18"/>
      <c r="X283" s="18">
        <v>1.1162657342657343</v>
      </c>
      <c r="Y283" s="18"/>
      <c r="Z283" s="18">
        <v>1.0257692307692308</v>
      </c>
      <c r="AA283" s="18"/>
      <c r="AB283" s="18">
        <v>1430</v>
      </c>
      <c r="AC283" s="18">
        <v>0</v>
      </c>
      <c r="AD283" s="18">
        <v>1430</v>
      </c>
      <c r="AE283" s="35"/>
      <c r="AF283" s="18">
        <v>682</v>
      </c>
      <c r="AG283" s="18"/>
      <c r="AH283" s="18">
        <v>1.960000000000008</v>
      </c>
      <c r="AI283" s="18"/>
      <c r="AJ283" s="18"/>
      <c r="AN283" s="71">
        <f t="shared" si="158"/>
        <v>-57</v>
      </c>
      <c r="AO283" s="71">
        <f t="shared" si="159"/>
        <v>0</v>
      </c>
      <c r="AP283" s="71">
        <f t="shared" si="160"/>
        <v>1373</v>
      </c>
      <c r="AQ283" s="72">
        <f>IF(OR($H283="GIROSSOL II",$H283="GIROSSOL II e III"),INDEX('Resumo Operacional'!$A$1:$P$1103,MATCH("Energia Injetada prevista total Fatura da Usina (TUSD)",'Resumo Operacional'!$B$1:$B$1103,0),MATCH('Detalhe Por UC'!$R283,'Resumo Operacional'!$A$1:$P$1,0))*$S283,INDEX('Resumo Operacional'!$A$1:$P$1103,53,MATCH('Detalhe Por UC'!$R283,'Resumo Operacional'!$A$1:$P$1,0))*$S283)</f>
        <v>722.33999999999992</v>
      </c>
      <c r="AR283" s="71">
        <f t="shared" si="161"/>
        <v>650.66000000000008</v>
      </c>
      <c r="AS283" s="73">
        <f t="shared" si="162"/>
        <v>131.37000000000009</v>
      </c>
      <c r="AT283" s="74">
        <f t="shared" si="163"/>
        <v>131.37000000000009</v>
      </c>
      <c r="AU283" s="74">
        <f t="shared" si="164"/>
        <v>0.93527272727272726</v>
      </c>
      <c r="AV283" s="74">
        <f t="shared" si="165"/>
        <v>1100.1375</v>
      </c>
      <c r="AW283" s="74">
        <f t="shared" si="166"/>
        <v>0</v>
      </c>
      <c r="AX283" s="74">
        <f t="shared" si="167"/>
        <v>1466.85</v>
      </c>
      <c r="AY283" s="74">
        <f t="shared" si="168"/>
        <v>1100.1400000000001</v>
      </c>
      <c r="AZ283" s="49">
        <v>1100.1400000000001</v>
      </c>
      <c r="BA283" s="49">
        <v>1100.1400000000001</v>
      </c>
      <c r="BB283" s="49">
        <v>1100.1400000000001</v>
      </c>
      <c r="BC283" s="73" t="str">
        <f t="shared" si="169"/>
        <v/>
      </c>
      <c r="BD283" s="73">
        <f t="shared" si="170"/>
        <v>1598.22</v>
      </c>
      <c r="BE283" s="73">
        <f t="shared" si="171"/>
        <v>1231.5075000000002</v>
      </c>
      <c r="BF283" s="77">
        <f t="shared" si="172"/>
        <v>366.71</v>
      </c>
      <c r="BG283" s="77">
        <f t="shared" si="173"/>
        <v>110.01299999999999</v>
      </c>
      <c r="BH283" s="77">
        <f t="shared" si="174"/>
        <v>1466.85</v>
      </c>
      <c r="BI283" s="78">
        <f t="shared" si="175"/>
        <v>0.25</v>
      </c>
      <c r="BJ283" s="79">
        <f t="shared" si="176"/>
        <v>0.22944901202587878</v>
      </c>
      <c r="BK283" s="80">
        <f t="shared" si="177"/>
        <v>1231.5100000000002</v>
      </c>
      <c r="BL283" s="80">
        <f t="shared" si="178"/>
        <v>366.70999999999981</v>
      </c>
      <c r="BM283" s="79">
        <f t="shared" si="179"/>
        <v>0.22944901202587867</v>
      </c>
      <c r="BN283" s="81">
        <f t="shared" si="180"/>
        <v>0.76932867132867144</v>
      </c>
      <c r="BO283" s="82">
        <f t="shared" si="181"/>
        <v>1100.1400000000001</v>
      </c>
      <c r="BP283" s="81">
        <f t="shared" si="182"/>
        <v>0.76932867132867144</v>
      </c>
      <c r="BQ283" s="81">
        <f t="shared" si="183"/>
        <v>0.85982517482517495</v>
      </c>
      <c r="BR283" s="81">
        <f t="shared" si="184"/>
        <v>1.1162657342657343</v>
      </c>
      <c r="BS283" s="82">
        <f t="shared" si="185"/>
        <v>1430</v>
      </c>
      <c r="BT283" s="82">
        <f t="shared" si="186"/>
        <v>1596.26</v>
      </c>
      <c r="BU283" s="82">
        <f t="shared" si="187"/>
        <v>1466.85</v>
      </c>
      <c r="BW283" s="82">
        <f>IFERROR(INDEX('Infos Clientes'!$T:$T,MATCH('Detalhe Por UC'!$C283,'Infos Clientes'!B:B,0)),"")</f>
        <v>818</v>
      </c>
      <c r="BX283" s="83">
        <f t="shared" si="188"/>
        <v>0</v>
      </c>
      <c r="BY283" s="84">
        <f t="shared" si="189"/>
        <v>0.2297307456178817</v>
      </c>
      <c r="BZ283" s="85">
        <f>IF(_xlfn.MINIFS('Detalhe Por UC'!R:R,'Detalhe Por UC'!C:C,C283,'Detalhe Por UC'!AD:AD,"&gt;"&amp;0)=0,"",_xlfn.MINIFS('Detalhe Por UC'!R:R,'Detalhe Por UC'!C:C,C283,'Detalhe Por UC'!AD:AD,"&gt;"&amp;0))</f>
        <v>45627</v>
      </c>
      <c r="CA283" s="114">
        <f ca="1">IF(OR(S283&gt;0,AD283&gt;0),IFERROR(
SUMIFS(INDIRECT("'Infos Clientes'!$W"&amp;INDEX('Infos Clientes'!$C:$C,MATCH(C283,'Infos Clientes'!$H:$H,0))&amp;":$CZ"&amp;INDEX('Infos Clientes'!$C:$C,MATCH(C283,'Infos Clientes'!$H:$H,0))),'Infos Clientes'!$W$2:$CZ$2,"&gt;"&amp;$R283-365,'Infos Clientes'!$W$2:$CZ$2,"&lt;="&amp;$R283)/
COUNTIFS(INDIRECT("'Infos Clientes'!$W"&amp;INDEX('Infos Clientes'!$C:$C,MATCH(C283,'Infos Clientes'!$H:$H,0))&amp;":$CZ"&amp;INDEX('Infos Clientes'!$C:$C,MATCH(C283,'Infos Clientes'!$H:$H,0))),"&gt;="&amp;0,'Infos Clientes'!$W$2:$CZ$2,"&gt;"&amp;$R283-365,'Infos Clientes'!$W$2:$CZ$2,"&lt;="&amp;$R283),""),"")</f>
        <v>817.58333333333337</v>
      </c>
      <c r="CB283" s="87">
        <f>VLOOKUP(C283,'Infos Clientes'!B:L,11,0)</f>
        <v>0</v>
      </c>
      <c r="CC283" s="88" t="str">
        <f t="shared" si="190"/>
        <v>A Unidade Consumidora 10/2599101-9 economizou R$366,71 na fatura referente à mar/2025  consumindo 1430 kWh em créditos de energia renovável conforme fatura de energia. A economia foi de 25% em relação ao que seria pago para a Energisa considerando os créditos consumidos. Atenção: Mantenha as contas da Energisa em dia para evitar cortes.</v>
      </c>
      <c r="CD283" s="40" t="s">
        <v>86</v>
      </c>
      <c r="CF283" s="115">
        <f t="shared" si="191"/>
        <v>-131.37000000000009</v>
      </c>
    </row>
    <row r="284" spans="1:84" ht="16.2" hidden="1" customHeight="1" x14ac:dyDescent="0.3">
      <c r="A284" s="105" t="str">
        <f>INDEX('Infos Clientes'!$D:$D,MATCH('Detalhe Por UC'!C284,'Infos Clientes'!B:B,0))</f>
        <v>IGREJA DO EVANGELHO QUADRANGULAR</v>
      </c>
      <c r="B284" s="106" t="str">
        <f>INDEX('Infos Clientes'!$F:$F,MATCH('Detalhe Por UC'!C284,'Infos Clientes'!B:B,0))</f>
        <v>62.955.505/0164-03</v>
      </c>
      <c r="C284" s="137" t="s">
        <v>70</v>
      </c>
      <c r="D284" t="s">
        <v>351</v>
      </c>
      <c r="E284" s="1" t="s">
        <v>352</v>
      </c>
      <c r="F284" s="56" t="str">
        <f>INDEX('Infos Clientes'!$I:$I,MATCH('Detalhe Por UC'!C284,'Infos Clientes'!B:B,0))</f>
        <v>BT</v>
      </c>
      <c r="G284" s="56" t="str">
        <f>INDEX('Infos Clientes'!$J:$J,MATCH('Detalhe Por UC'!C284,'Infos Clientes'!B:B,0))</f>
        <v>trifasico</v>
      </c>
      <c r="H284" s="108" t="s">
        <v>353</v>
      </c>
      <c r="I284" s="58">
        <f>IFERROR(VLOOKUP(C284,'Infos Clientes'!B:E,4,),"")</f>
        <v>371</v>
      </c>
      <c r="J284" s="109">
        <v>0.25</v>
      </c>
      <c r="K284" s="59">
        <f>INDEX('Infos Clientes'!$M:$M,MATCH('Detalhe Por UC'!C284,'Infos Clientes'!B:B,0))</f>
        <v>0.25</v>
      </c>
      <c r="L284" s="125">
        <v>0</v>
      </c>
      <c r="M284" s="56">
        <f>INDEX('Infos Clientes'!$N:$N,MATCH('Detalhe Por UC'!C284,'Infos Clientes'!B:B,0))</f>
        <v>0</v>
      </c>
      <c r="N284" s="56">
        <f t="shared" si="155"/>
        <v>0</v>
      </c>
      <c r="O284" s="56">
        <f t="shared" si="156"/>
        <v>12</v>
      </c>
      <c r="P284" s="56">
        <f t="shared" si="157"/>
        <v>0</v>
      </c>
      <c r="Q284" s="61">
        <f>IFERROR(IFERROR(INDEX('Infos Clientes'!$A$2:$V$9884,MATCH($C284,'Infos Clientes'!$B$2:$B$9884,0),MATCH(Q$8,'Infos Clientes'!$A$2:$V$2,0)),"")
+IF(OR(INDEX('Infos Clientes'!$A$2:$V$9884,MATCH($C284,'Infos Clientes'!$B$2:$B$9884,0),MATCH("Tempo de Fidelidade (meses)",'Infos Clientes'!$A$2:$V$2,0))=0,R284&gt;=MAX(R:R)),0,
ROUND((MAX(R:R)-R284)/(365/12),0)),"")</f>
        <v>0</v>
      </c>
      <c r="R284" s="111">
        <v>45717</v>
      </c>
      <c r="S284" s="17">
        <v>4.2000000000000003E-2</v>
      </c>
      <c r="T284" s="113">
        <f>IF($H284="GIROSSOL II",AP284/INDEX('Resumo Operacional'!$A$1:$P$1103,17,MATCH('Detalhe Por UC'!$R284,'Resumo Operacional'!$A$1:$P$1,0)),
IF($H284="GIROSSOL II e III",AP284/INDEX('Resumo Operacional'!$A$1:$P$1103,17,MATCH('Detalhe Por UC'!$R284,'Resumo Operacional'!$A$1:$P$1,0)),
""))</f>
        <v>8.1983553451283331E-2</v>
      </c>
      <c r="U284" s="113">
        <f>IF($H284="GIROSSOL III",AP284/INDEX('Resumo Operacional'!$A$1:$P$1103,53,MATCH('Detalhe Por UC'!$R284,'Resumo Operacional'!$A$1:$P$1,0)),
IF($H284="GIROSSOL II e III",AP284/INDEX('Resumo Operacional'!$A$1:$P$1103,53,MATCH('Detalhe Por UC'!$R284,'Resumo Operacional'!$A$1:$P$1,0)),
""))</f>
        <v>8.1956323175288545E-2</v>
      </c>
      <c r="V284" s="18"/>
      <c r="W284" s="18"/>
      <c r="X284" s="18">
        <v>1.1162589285714286</v>
      </c>
      <c r="Y284" s="18"/>
      <c r="Z284" s="18">
        <v>1.0286339285714288</v>
      </c>
      <c r="AA284" s="18"/>
      <c r="AB284" s="18">
        <v>1120</v>
      </c>
      <c r="AC284" s="18">
        <v>0</v>
      </c>
      <c r="AD284" s="18">
        <v>1120</v>
      </c>
      <c r="AE284" s="35"/>
      <c r="AF284" s="18">
        <v>18</v>
      </c>
      <c r="AG284" s="18"/>
      <c r="AH284" s="18">
        <v>208.38</v>
      </c>
      <c r="AI284" s="18"/>
      <c r="AJ284" s="18"/>
      <c r="AN284" s="71">
        <f t="shared" si="158"/>
        <v>-133</v>
      </c>
      <c r="AO284" s="71">
        <f t="shared" si="159"/>
        <v>0</v>
      </c>
      <c r="AP284" s="71">
        <f t="shared" si="160"/>
        <v>987</v>
      </c>
      <c r="AQ284" s="72">
        <f>IF(OR($H284="GIROSSOL II",$H284="GIROSSOL II e III"),INDEX('Resumo Operacional'!$A$1:$P$1103,MATCH("Energia Injetada prevista total Fatura da Usina (TUSD)",'Resumo Operacional'!$B$1:$B$1103,0),MATCH('Detalhe Por UC'!$R284,'Resumo Operacional'!$A$1:$P$1,0))*$S284,INDEX('Resumo Operacional'!$A$1:$P$1103,53,MATCH('Detalhe Por UC'!$R284,'Resumo Operacional'!$A$1:$P$1,0))*$S284)</f>
        <v>505.63800000000003</v>
      </c>
      <c r="AR284" s="71">
        <f t="shared" si="161"/>
        <v>481.36199999999997</v>
      </c>
      <c r="AS284" s="73">
        <f t="shared" si="162"/>
        <v>306.51999999999987</v>
      </c>
      <c r="AT284" s="74">
        <f t="shared" si="163"/>
        <v>306.51999999999987</v>
      </c>
      <c r="AU284" s="74">
        <f t="shared" si="164"/>
        <v>0.94100892857142893</v>
      </c>
      <c r="AV284" s="74">
        <f t="shared" si="165"/>
        <v>864.05250000000012</v>
      </c>
      <c r="AW284" s="74">
        <f t="shared" si="166"/>
        <v>0</v>
      </c>
      <c r="AX284" s="74">
        <f t="shared" si="167"/>
        <v>1152.0700000000002</v>
      </c>
      <c r="AY284" s="74">
        <f t="shared" si="168"/>
        <v>864.05</v>
      </c>
      <c r="AZ284" s="49">
        <v>864.05</v>
      </c>
      <c r="BA284" s="49">
        <v>864.05</v>
      </c>
      <c r="BB284" s="49">
        <v>864.05</v>
      </c>
      <c r="BC284" s="73" t="str">
        <f t="shared" si="169"/>
        <v/>
      </c>
      <c r="BD284" s="73">
        <f t="shared" si="170"/>
        <v>1458.5900000000001</v>
      </c>
      <c r="BE284" s="73">
        <f t="shared" si="171"/>
        <v>1170.5725</v>
      </c>
      <c r="BF284" s="77">
        <f t="shared" si="172"/>
        <v>288.02</v>
      </c>
      <c r="BG284" s="77">
        <f t="shared" si="173"/>
        <v>86.405999999999992</v>
      </c>
      <c r="BH284" s="77">
        <f t="shared" si="174"/>
        <v>1152.0700000000002</v>
      </c>
      <c r="BI284" s="78">
        <f t="shared" si="175"/>
        <v>0.25</v>
      </c>
      <c r="BJ284" s="79">
        <f t="shared" si="176"/>
        <v>0.19746467478866572</v>
      </c>
      <c r="BK284" s="80">
        <f t="shared" si="177"/>
        <v>1170.5699999999997</v>
      </c>
      <c r="BL284" s="80">
        <f t="shared" si="178"/>
        <v>288.02000000000044</v>
      </c>
      <c r="BM284" s="79">
        <f t="shared" si="179"/>
        <v>0.19746467478866606</v>
      </c>
      <c r="BN284" s="81">
        <f t="shared" si="180"/>
        <v>0.77147321428571425</v>
      </c>
      <c r="BO284" s="82">
        <f t="shared" si="181"/>
        <v>864.05</v>
      </c>
      <c r="BP284" s="81">
        <f t="shared" si="182"/>
        <v>0.77147321428571425</v>
      </c>
      <c r="BQ284" s="81">
        <f t="shared" si="183"/>
        <v>0.85909821428571409</v>
      </c>
      <c r="BR284" s="81">
        <f t="shared" si="184"/>
        <v>1.1162589285714286</v>
      </c>
      <c r="BS284" s="82">
        <f t="shared" si="185"/>
        <v>1120</v>
      </c>
      <c r="BT284" s="82">
        <f t="shared" si="186"/>
        <v>1250.21</v>
      </c>
      <c r="BU284" s="82">
        <f t="shared" si="187"/>
        <v>1152.0700000000002</v>
      </c>
      <c r="BW284" s="82">
        <f>IFERROR(INDEX('Infos Clientes'!$T:$T,MATCH('Detalhe Por UC'!$C284,'Infos Clientes'!B:B,0)),"")</f>
        <v>796.66666666666663</v>
      </c>
      <c r="BX284" s="83">
        <f t="shared" si="188"/>
        <v>0</v>
      </c>
      <c r="BY284" s="84">
        <f t="shared" si="189"/>
        <v>0.23037729661416903</v>
      </c>
      <c r="BZ284" s="85">
        <f>IF(_xlfn.MINIFS('Detalhe Por UC'!R:R,'Detalhe Por UC'!C:C,C284,'Detalhe Por UC'!AD:AD,"&gt;"&amp;0)=0,"",_xlfn.MINIFS('Detalhe Por UC'!R:R,'Detalhe Por UC'!C:C,C284,'Detalhe Por UC'!AD:AD,"&gt;"&amp;0))</f>
        <v>45627</v>
      </c>
      <c r="CA284" s="114">
        <f ca="1">IF(OR(S284&gt;0,AD284&gt;0),IFERROR(
SUMIFS(INDIRECT("'Infos Clientes'!$W"&amp;INDEX('Infos Clientes'!$C:$C,MATCH(C284,'Infos Clientes'!$H:$H,0))&amp;":$CZ"&amp;INDEX('Infos Clientes'!$C:$C,MATCH(C284,'Infos Clientes'!$H:$H,0))),'Infos Clientes'!$W$2:$CZ$2,"&gt;"&amp;$R284-365,'Infos Clientes'!$W$2:$CZ$2,"&lt;="&amp;$R284)/
COUNTIFS(INDIRECT("'Infos Clientes'!$W"&amp;INDEX('Infos Clientes'!$C:$C,MATCH(C284,'Infos Clientes'!$H:$H,0))&amp;":$CZ"&amp;INDEX('Infos Clientes'!$C:$C,MATCH(C284,'Infos Clientes'!$H:$H,0))),"&gt;="&amp;0,'Infos Clientes'!$W$2:$CZ$2,"&gt;"&amp;$R284-365,'Infos Clientes'!$W$2:$CZ$2,"&lt;="&amp;$R284),""),"")</f>
        <v>800</v>
      </c>
      <c r="CB284" s="87">
        <f>VLOOKUP(C284,'Infos Clientes'!B:L,11,0)</f>
        <v>0</v>
      </c>
      <c r="CC284" s="88" t="str">
        <f t="shared" si="190"/>
        <v>A Unidade Consumidora 10/202838-9 economizou R$288,02 na fatura referente à mar/2025  consumindo 1120 kWh em créditos de energia renovável conforme fatura de energia. A economia foi de 25% em relação ao que seria pago para a Energisa considerando os créditos consumidos. Atenção: Mantenha as contas da Energisa em dia para evitar cortes.</v>
      </c>
      <c r="CD284" s="40" t="s">
        <v>72</v>
      </c>
      <c r="CF284" s="115">
        <f t="shared" si="191"/>
        <v>-306.51999999999987</v>
      </c>
    </row>
    <row r="285" spans="1:84" ht="16.2" hidden="1" customHeight="1" x14ac:dyDescent="0.3">
      <c r="A285" s="105" t="str">
        <f>INDEX('Infos Clientes'!$D:$D,MATCH('Detalhe Por UC'!C285,'Infos Clientes'!B:B,0))</f>
        <v>IGREJA DO EVANGELHO QUADRANGULAR</v>
      </c>
      <c r="B285" s="106" t="str">
        <f>INDEX('Infos Clientes'!$F:$F,MATCH('Detalhe Por UC'!C285,'Infos Clientes'!B:B,0))</f>
        <v>62.955.505/4194-43</v>
      </c>
      <c r="C285" s="137" t="s">
        <v>67</v>
      </c>
      <c r="D285" t="s">
        <v>351</v>
      </c>
      <c r="E285" s="1" t="s">
        <v>352</v>
      </c>
      <c r="F285" s="56" t="str">
        <f>INDEX('Infos Clientes'!$I:$I,MATCH('Detalhe Por UC'!C285,'Infos Clientes'!B:B,0))</f>
        <v>BT</v>
      </c>
      <c r="G285" s="56" t="str">
        <f>INDEX('Infos Clientes'!$J:$J,MATCH('Detalhe Por UC'!C285,'Infos Clientes'!B:B,0))</f>
        <v>bifasico</v>
      </c>
      <c r="H285" s="108" t="s">
        <v>353</v>
      </c>
      <c r="I285" s="58">
        <f>IFERROR(VLOOKUP(C285,'Infos Clientes'!B:E,4,),"")</f>
        <v>331</v>
      </c>
      <c r="J285" s="109">
        <v>0.25</v>
      </c>
      <c r="K285" s="59">
        <f>INDEX('Infos Clientes'!$M:$M,MATCH('Detalhe Por UC'!C285,'Infos Clientes'!B:B,0))</f>
        <v>0.25</v>
      </c>
      <c r="L285" s="125">
        <v>0</v>
      </c>
      <c r="M285" s="56">
        <f>INDEX('Infos Clientes'!$N:$N,MATCH('Detalhe Por UC'!C285,'Infos Clientes'!B:B,0))</f>
        <v>0</v>
      </c>
      <c r="N285" s="56">
        <f t="shared" si="155"/>
        <v>0</v>
      </c>
      <c r="O285" s="56">
        <f t="shared" si="156"/>
        <v>12</v>
      </c>
      <c r="P285" s="56">
        <f t="shared" si="157"/>
        <v>0</v>
      </c>
      <c r="Q285" s="61">
        <f>IFERROR(IFERROR(INDEX('Infos Clientes'!$A$2:$V$9884,MATCH($C285,'Infos Clientes'!$B$2:$B$9884,0),MATCH(Q$8,'Infos Clientes'!$A$2:$V$2,0)),"")
+IF(OR(INDEX('Infos Clientes'!$A$2:$V$9884,MATCH($C285,'Infos Clientes'!$B$2:$B$9884,0),MATCH("Tempo de Fidelidade (meses)",'Infos Clientes'!$A$2:$V$2,0))=0,R285&gt;=MAX(R:R)),0,
ROUND((MAX(R:R)-R285)/(365/12),0)),"")</f>
        <v>0</v>
      </c>
      <c r="R285" s="111">
        <v>45717</v>
      </c>
      <c r="S285" s="17">
        <v>0.02</v>
      </c>
      <c r="T285" s="113">
        <f>IF($H285="GIROSSOL II",AP285/INDEX('Resumo Operacional'!$A$1:$P$1103,17,MATCH('Detalhe Por UC'!$R285,'Resumo Operacional'!$A$1:$P$1,0)),
IF($H285="GIROSSOL II e III",AP285/INDEX('Resumo Operacional'!$A$1:$P$1103,17,MATCH('Detalhe Por UC'!$R285,'Resumo Operacional'!$A$1:$P$1,0)),
""))</f>
        <v>4.5020350527452443E-2</v>
      </c>
      <c r="U285" s="113">
        <f>IF($H285="GIROSSOL III",AP285/INDEX('Resumo Operacional'!$A$1:$P$1103,53,MATCH('Detalhe Por UC'!$R285,'Resumo Operacional'!$A$1:$P$1,0)),
IF($H285="GIROSSOL II e III",AP285/INDEX('Resumo Operacional'!$A$1:$P$1103,53,MATCH('Detalhe Por UC'!$R285,'Resumo Operacional'!$A$1:$P$1,0)),
""))</f>
        <v>4.5005397326247615E-2</v>
      </c>
      <c r="V285" s="18"/>
      <c r="W285" s="18"/>
      <c r="X285" s="18">
        <v>1.116256880733945</v>
      </c>
      <c r="Y285" s="18"/>
      <c r="Z285" s="18">
        <v>1.0389686924493555</v>
      </c>
      <c r="AA285" s="18"/>
      <c r="AB285" s="18">
        <v>545</v>
      </c>
      <c r="AC285" s="18">
        <v>0</v>
      </c>
      <c r="AD285" s="18">
        <v>543</v>
      </c>
      <c r="AE285" s="35"/>
      <c r="AF285" s="18">
        <v>535</v>
      </c>
      <c r="AG285" s="18"/>
      <c r="AH285" s="18">
        <v>49.36</v>
      </c>
      <c r="AI285" s="18"/>
      <c r="AJ285" s="18"/>
      <c r="AN285" s="71">
        <f t="shared" si="158"/>
        <v>-1</v>
      </c>
      <c r="AO285" s="71">
        <f t="shared" si="159"/>
        <v>0</v>
      </c>
      <c r="AP285" s="71">
        <f t="shared" si="160"/>
        <v>542</v>
      </c>
      <c r="AQ285" s="72">
        <f>IF(OR($H285="GIROSSOL II",$H285="GIROSSOL II e III"),INDEX('Resumo Operacional'!$A$1:$P$1103,MATCH("Energia Injetada prevista total Fatura da Usina (TUSD)",'Resumo Operacional'!$B$1:$B$1103,0),MATCH('Detalhe Por UC'!$R285,'Resumo Operacional'!$A$1:$P$1,0))*$S285,INDEX('Resumo Operacional'!$A$1:$P$1103,53,MATCH('Detalhe Por UC'!$R285,'Resumo Operacional'!$A$1:$P$1,0))*$S285)</f>
        <v>240.78</v>
      </c>
      <c r="AR285" s="71">
        <f t="shared" si="161"/>
        <v>301.22000000000003</v>
      </c>
      <c r="AS285" s="73">
        <f t="shared" si="162"/>
        <v>93.559999999999931</v>
      </c>
      <c r="AT285" s="74">
        <f t="shared" si="163"/>
        <v>93.559999999999931</v>
      </c>
      <c r="AU285" s="74">
        <f t="shared" si="164"/>
        <v>0.96168050416476603</v>
      </c>
      <c r="AV285" s="74">
        <f t="shared" si="165"/>
        <v>423.12000000000006</v>
      </c>
      <c r="AW285" s="74">
        <f t="shared" si="166"/>
        <v>0</v>
      </c>
      <c r="AX285" s="74">
        <f t="shared" si="167"/>
        <v>564.16000000000008</v>
      </c>
      <c r="AY285" s="74">
        <f t="shared" si="168"/>
        <v>423.12</v>
      </c>
      <c r="AZ285" s="49">
        <v>423.12</v>
      </c>
      <c r="BA285" s="49">
        <v>423.12</v>
      </c>
      <c r="BB285" s="49">
        <v>423.12</v>
      </c>
      <c r="BC285" s="73" t="str">
        <f t="shared" si="169"/>
        <v/>
      </c>
      <c r="BD285" s="73">
        <f t="shared" si="170"/>
        <v>657.72</v>
      </c>
      <c r="BE285" s="73">
        <f t="shared" si="171"/>
        <v>516.67999999999995</v>
      </c>
      <c r="BF285" s="77">
        <f t="shared" si="172"/>
        <v>141.04</v>
      </c>
      <c r="BG285" s="77">
        <f t="shared" si="173"/>
        <v>42.311999999999998</v>
      </c>
      <c r="BH285" s="77">
        <f t="shared" si="174"/>
        <v>564.16000000000008</v>
      </c>
      <c r="BI285" s="78">
        <f t="shared" si="175"/>
        <v>0.25</v>
      </c>
      <c r="BJ285" s="79">
        <f t="shared" si="176"/>
        <v>0.2144377546676397</v>
      </c>
      <c r="BK285" s="80">
        <f t="shared" si="177"/>
        <v>516.67999999999995</v>
      </c>
      <c r="BL285" s="80">
        <f t="shared" si="178"/>
        <v>141.04000000000008</v>
      </c>
      <c r="BM285" s="79">
        <f t="shared" si="179"/>
        <v>0.21443775466763984</v>
      </c>
      <c r="BN285" s="81">
        <f t="shared" si="180"/>
        <v>0.77922651933701659</v>
      </c>
      <c r="BO285" s="82">
        <f t="shared" si="181"/>
        <v>423.12</v>
      </c>
      <c r="BP285" s="81">
        <f t="shared" si="182"/>
        <v>0.77922651933701659</v>
      </c>
      <c r="BQ285" s="81">
        <f t="shared" si="183"/>
        <v>0.85651470762160609</v>
      </c>
      <c r="BR285" s="81">
        <f t="shared" si="184"/>
        <v>1.116256880733945</v>
      </c>
      <c r="BS285" s="82">
        <f t="shared" si="185"/>
        <v>543</v>
      </c>
      <c r="BT285" s="82">
        <f t="shared" si="186"/>
        <v>606.12748623853213</v>
      </c>
      <c r="BU285" s="82">
        <f t="shared" si="187"/>
        <v>564.16000000000008</v>
      </c>
      <c r="BW285" s="82">
        <f>IFERROR(INDEX('Infos Clientes'!$T:$T,MATCH('Detalhe Por UC'!$C285,'Infos Clientes'!B:B,0)),"")</f>
        <v>372.25</v>
      </c>
      <c r="BX285" s="83">
        <f t="shared" si="188"/>
        <v>0</v>
      </c>
      <c r="BY285" s="84">
        <f t="shared" si="189"/>
        <v>0.2326903220892641</v>
      </c>
      <c r="BZ285" s="85">
        <f>IF(_xlfn.MINIFS('Detalhe Por UC'!R:R,'Detalhe Por UC'!C:C,C285,'Detalhe Por UC'!AD:AD,"&gt;"&amp;0)=0,"",_xlfn.MINIFS('Detalhe Por UC'!R:R,'Detalhe Por UC'!C:C,C285,'Detalhe Por UC'!AD:AD,"&gt;"&amp;0))</f>
        <v>45627</v>
      </c>
      <c r="CA285" s="114">
        <f ca="1">IF(OR(S285&gt;0,AD285&gt;0),IFERROR(
SUMIFS(INDIRECT("'Infos Clientes'!$W"&amp;INDEX('Infos Clientes'!$C:$C,MATCH(C285,'Infos Clientes'!$H:$H,0))&amp;":$CZ"&amp;INDEX('Infos Clientes'!$C:$C,MATCH(C285,'Infos Clientes'!$H:$H,0))),'Infos Clientes'!$W$2:$CZ$2,"&gt;"&amp;$R285-365,'Infos Clientes'!$W$2:$CZ$2,"&lt;="&amp;$R285)/
COUNTIFS(INDIRECT("'Infos Clientes'!$W"&amp;INDEX('Infos Clientes'!$C:$C,MATCH(C285,'Infos Clientes'!$H:$H,0))&amp;":$CZ"&amp;INDEX('Infos Clientes'!$C:$C,MATCH(C285,'Infos Clientes'!$H:$H,0))),"&gt;="&amp;0,'Infos Clientes'!$W$2:$CZ$2,"&gt;"&amp;$R285-365,'Infos Clientes'!$W$2:$CZ$2,"&lt;="&amp;$R285),""),"")</f>
        <v>373.25</v>
      </c>
      <c r="CB285" s="87">
        <f>VLOOKUP(C285,'Infos Clientes'!B:L,11,0)</f>
        <v>0</v>
      </c>
      <c r="CC285" s="88" t="str">
        <f t="shared" si="190"/>
        <v>A Unidade Consumidora 10/1939035-0 economizou R$141,04 na fatura referente à mar/2025  consumindo 543 kWh em créditos de energia renovável conforme fatura de energia. A economia foi de 25% em relação ao que seria pago para a Energisa considerando os créditos consumidos. Atenção: Mantenha as contas da Energisa em dia para evitar cortes.</v>
      </c>
      <c r="CD285" s="40" t="s">
        <v>69</v>
      </c>
      <c r="CF285" s="115">
        <f t="shared" si="191"/>
        <v>-93.559999999999931</v>
      </c>
    </row>
    <row r="286" spans="1:84" ht="16.2" hidden="1" customHeight="1" x14ac:dyDescent="0.3">
      <c r="A286" s="105" t="str">
        <f>INDEX('Infos Clientes'!$D:$D,MATCH('Detalhe Por UC'!C286,'Infos Clientes'!B:B,0))</f>
        <v>IGREJA DO EVANGELHO QUADRANGULAR</v>
      </c>
      <c r="B286" s="106" t="str">
        <f>INDEX('Infos Clientes'!$F:$F,MATCH('Detalhe Por UC'!C286,'Infos Clientes'!B:B,0))</f>
        <v>62.955.505/0172-13</v>
      </c>
      <c r="C286" s="44" t="s">
        <v>87</v>
      </c>
      <c r="D286" t="s">
        <v>351</v>
      </c>
      <c r="E286" s="1" t="s">
        <v>352</v>
      </c>
      <c r="F286" s="56" t="str">
        <f>INDEX('Infos Clientes'!$I:$I,MATCH('Detalhe Por UC'!C286,'Infos Clientes'!B:B,0))</f>
        <v>BT</v>
      </c>
      <c r="G286" s="56" t="str">
        <f>INDEX('Infos Clientes'!$J:$J,MATCH('Detalhe Por UC'!C286,'Infos Clientes'!B:B,0))</f>
        <v>trifasico</v>
      </c>
      <c r="H286" s="108" t="s">
        <v>24</v>
      </c>
      <c r="I286" s="58">
        <f>IFERROR(VLOOKUP(C286,'Infos Clientes'!B:E,4,),"")</f>
        <v>371</v>
      </c>
      <c r="J286" s="109">
        <v>0.25</v>
      </c>
      <c r="K286" s="59">
        <f>INDEX('Infos Clientes'!$M:$M,MATCH('Detalhe Por UC'!C286,'Infos Clientes'!B:B,0))</f>
        <v>0.25</v>
      </c>
      <c r="L286" s="125">
        <v>0</v>
      </c>
      <c r="M286" s="56">
        <f>INDEX('Infos Clientes'!$N:$N,MATCH('Detalhe Por UC'!C286,'Infos Clientes'!B:B,0))</f>
        <v>0</v>
      </c>
      <c r="N286" s="56">
        <f t="shared" si="155"/>
        <v>0</v>
      </c>
      <c r="O286" s="56">
        <f t="shared" si="156"/>
        <v>12</v>
      </c>
      <c r="P286" s="56">
        <f t="shared" si="157"/>
        <v>0</v>
      </c>
      <c r="Q286" s="61">
        <f>IFERROR(IFERROR(INDEX('Infos Clientes'!$A$2:$V$9884,MATCH($C286,'Infos Clientes'!$B$2:$B$9884,0),MATCH(Q$8,'Infos Clientes'!$A$2:$V$2,0)),"")
+IF(OR(INDEX('Infos Clientes'!$A$2:$V$9884,MATCH($C286,'Infos Clientes'!$B$2:$B$9884,0),MATCH("Tempo de Fidelidade (meses)",'Infos Clientes'!$A$2:$V$2,0))=0,R286&gt;=MAX(R:R)),0,
ROUND((MAX(R:R)-R286)/(365/12),0)),"")</f>
        <v>0</v>
      </c>
      <c r="R286" s="111">
        <v>45717</v>
      </c>
      <c r="S286" s="17">
        <v>0.06</v>
      </c>
      <c r="T286" s="113">
        <f>IF($H286="GIROSSOL II",AP286/INDEX('Resumo Operacional'!$A$1:$P$1103,17,MATCH('Detalhe Por UC'!$R286,'Resumo Operacional'!$A$1:$P$1,0)),
IF($H286="GIROSSOL II e III",AP286/INDEX('Resumo Operacional'!$A$1:$P$1103,17,MATCH('Detalhe Por UC'!$R286,'Resumo Operacional'!$A$1:$P$1,0)),
""))</f>
        <v>5.9971758451698644E-2</v>
      </c>
      <c r="U286" s="113" t="str">
        <f>IF($H286="GIROSSOL III",AP286/INDEX('Resumo Operacional'!$A$1:$P$1103,53,MATCH('Detalhe Por UC'!$R286,'Resumo Operacional'!$A$1:$P$1,0)),
IF($H286="GIROSSOL II e III",AP286/INDEX('Resumo Operacional'!$A$1:$P$1103,53,MATCH('Detalhe Por UC'!$R286,'Resumo Operacional'!$A$1:$P$1,0)),
""))</f>
        <v/>
      </c>
      <c r="V286" s="18"/>
      <c r="W286" s="18"/>
      <c r="X286" s="18">
        <v>1.1162613065326634</v>
      </c>
      <c r="Y286" s="18"/>
      <c r="Z286" s="18">
        <v>1.1162603878116344</v>
      </c>
      <c r="AA286" s="18"/>
      <c r="AB286" s="18">
        <v>995</v>
      </c>
      <c r="AC286" s="18">
        <v>0</v>
      </c>
      <c r="AD286" s="18">
        <v>722</v>
      </c>
      <c r="AE286" s="35"/>
      <c r="AF286" s="18">
        <v>0</v>
      </c>
      <c r="AG286" s="18"/>
      <c r="AH286" s="18">
        <v>79.67</v>
      </c>
      <c r="AI286" s="18"/>
      <c r="AJ286" s="18"/>
      <c r="AN286" s="71">
        <f t="shared" si="158"/>
        <v>0</v>
      </c>
      <c r="AO286" s="71">
        <f t="shared" si="159"/>
        <v>0</v>
      </c>
      <c r="AP286" s="71">
        <f t="shared" si="160"/>
        <v>722</v>
      </c>
      <c r="AQ286" s="72">
        <f>IF(OR($H286="GIROSSOL II",$H286="GIROSSOL II e III"),INDEX('Resumo Operacional'!$A$1:$P$1103,MATCH("Energia Injetada prevista total Fatura da Usina (TUSD)",'Resumo Operacional'!$B$1:$B$1103,0),MATCH('Detalhe Por UC'!$R286,'Resumo Operacional'!$A$1:$P$1,0))*$S286,INDEX('Resumo Operacional'!$A$1:$P$1103,53,MATCH('Detalhe Por UC'!$R286,'Resumo Operacional'!$A$1:$P$1,0))*$S286)</f>
        <v>722.33999999999992</v>
      </c>
      <c r="AR286" s="71">
        <f t="shared" si="161"/>
        <v>-0.33999999999991815</v>
      </c>
      <c r="AS286" s="73">
        <f t="shared" si="162"/>
        <v>384.41</v>
      </c>
      <c r="AT286" s="74">
        <f t="shared" si="163"/>
        <v>384.41</v>
      </c>
      <c r="AU286" s="74">
        <f t="shared" si="164"/>
        <v>1.1162594690906054</v>
      </c>
      <c r="AV286" s="74">
        <f t="shared" si="165"/>
        <v>604.45500000000004</v>
      </c>
      <c r="AW286" s="74">
        <f t="shared" si="166"/>
        <v>0</v>
      </c>
      <c r="AX286" s="74">
        <f t="shared" si="167"/>
        <v>805.94</v>
      </c>
      <c r="AY286" s="74">
        <f t="shared" si="168"/>
        <v>604.46</v>
      </c>
      <c r="AZ286" s="49">
        <v>604.46</v>
      </c>
      <c r="BA286" s="49">
        <v>604.46</v>
      </c>
      <c r="BB286" s="49">
        <v>604.46</v>
      </c>
      <c r="BC286" s="73" t="str">
        <f t="shared" si="169"/>
        <v/>
      </c>
      <c r="BD286" s="73">
        <f t="shared" si="170"/>
        <v>1190.3500000000001</v>
      </c>
      <c r="BE286" s="73">
        <f t="shared" si="171"/>
        <v>988.86500000000001</v>
      </c>
      <c r="BF286" s="77">
        <f t="shared" si="172"/>
        <v>201.49</v>
      </c>
      <c r="BG286" s="77">
        <f t="shared" si="173"/>
        <v>60.447000000000003</v>
      </c>
      <c r="BH286" s="77">
        <f t="shared" si="174"/>
        <v>805.94</v>
      </c>
      <c r="BI286" s="78">
        <f t="shared" si="175"/>
        <v>0.25</v>
      </c>
      <c r="BJ286" s="79">
        <f t="shared" si="176"/>
        <v>0.16926954257151258</v>
      </c>
      <c r="BK286" s="80">
        <f t="shared" si="177"/>
        <v>988.87000000000012</v>
      </c>
      <c r="BL286" s="80">
        <f t="shared" si="178"/>
        <v>201.48000000000002</v>
      </c>
      <c r="BM286" s="79">
        <f t="shared" si="179"/>
        <v>0.16926114168101819</v>
      </c>
      <c r="BN286" s="81">
        <f t="shared" si="180"/>
        <v>0.83720221606648204</v>
      </c>
      <c r="BO286" s="82">
        <f t="shared" si="181"/>
        <v>604.46</v>
      </c>
      <c r="BP286" s="81">
        <f t="shared" si="182"/>
        <v>0.83720221606648204</v>
      </c>
      <c r="BQ286" s="81">
        <f t="shared" si="183"/>
        <v>0.83720313478751107</v>
      </c>
      <c r="BR286" s="81">
        <f t="shared" si="184"/>
        <v>1.1162613065326634</v>
      </c>
      <c r="BS286" s="82">
        <f t="shared" si="185"/>
        <v>722</v>
      </c>
      <c r="BT286" s="82">
        <f t="shared" si="186"/>
        <v>805.94066331658303</v>
      </c>
      <c r="BU286" s="82">
        <f t="shared" si="187"/>
        <v>805.94</v>
      </c>
      <c r="BW286" s="82">
        <f>IFERROR(INDEX('Infos Clientes'!$T:$T,MATCH('Detalhe Por UC'!$C286,'Infos Clientes'!B:B,0)),"")</f>
        <v>1056.1666666666667</v>
      </c>
      <c r="BX286" s="83">
        <f t="shared" si="188"/>
        <v>0</v>
      </c>
      <c r="BY286" s="84">
        <f t="shared" si="189"/>
        <v>0.24999359031082449</v>
      </c>
      <c r="BZ286" s="85">
        <f>IF(_xlfn.MINIFS('Detalhe Por UC'!R:R,'Detalhe Por UC'!C:C,C286,'Detalhe Por UC'!AD:AD,"&gt;"&amp;0)=0,"",_xlfn.MINIFS('Detalhe Por UC'!R:R,'Detalhe Por UC'!C:C,C286,'Detalhe Por UC'!AD:AD,"&gt;"&amp;0))</f>
        <v>45627</v>
      </c>
      <c r="CA286" s="114">
        <f ca="1">IF(OR(S286&gt;0,AD286&gt;0),IFERROR(
SUMIFS(INDIRECT("'Infos Clientes'!$W"&amp;INDEX('Infos Clientes'!$C:$C,MATCH(C286,'Infos Clientes'!$H:$H,0))&amp;":$CZ"&amp;INDEX('Infos Clientes'!$C:$C,MATCH(C286,'Infos Clientes'!$H:$H,0))),'Infos Clientes'!$W$2:$CZ$2,"&gt;"&amp;$R286-365,'Infos Clientes'!$W$2:$CZ$2,"&lt;="&amp;$R286)/
COUNTIFS(INDIRECT("'Infos Clientes'!$W"&amp;INDEX('Infos Clientes'!$C:$C,MATCH(C286,'Infos Clientes'!$H:$H,0))&amp;":$CZ"&amp;INDEX('Infos Clientes'!$C:$C,MATCH(C286,'Infos Clientes'!$H:$H,0))),"&gt;="&amp;0,'Infos Clientes'!$W$2:$CZ$2,"&gt;"&amp;$R286-365,'Infos Clientes'!$W$2:$CZ$2,"&lt;="&amp;$R286),""),"")</f>
        <v>1047.8333333333333</v>
      </c>
      <c r="CB286" s="87">
        <f>VLOOKUP(C286,'Infos Clientes'!B:L,11,0)</f>
        <v>0</v>
      </c>
      <c r="CC286" s="88" t="str">
        <f t="shared" si="190"/>
        <v>A Unidade Consumidora 10/2605731-5 economizou R$201,49 na fatura referente à mar/2025  consumindo 722 kWh em créditos de energia renovável conforme fatura de energia. A economia foi de 25% em relação ao que seria pago para a Energisa considerando os créditos consumidos. Atenção: Mantenha as contas da Energisa em dia para evitar cortes.</v>
      </c>
      <c r="CD286" s="40" t="s">
        <v>56</v>
      </c>
      <c r="CF286" s="115">
        <f t="shared" si="191"/>
        <v>-384.41</v>
      </c>
    </row>
    <row r="287" spans="1:84" ht="16.2" hidden="1" customHeight="1" x14ac:dyDescent="0.3">
      <c r="A287" s="105" t="str">
        <f>INDEX('Infos Clientes'!$D:$D,MATCH('Detalhe Por UC'!C287,'Infos Clientes'!B:B,0))</f>
        <v>IGREJA DO EVANGELHO QUADRANGULAR</v>
      </c>
      <c r="B287" s="106" t="str">
        <f>INDEX('Infos Clientes'!$F:$F,MATCH('Detalhe Por UC'!C287,'Infos Clientes'!B:B,0))</f>
        <v>62.955.505/0151-99</v>
      </c>
      <c r="C287" s="44" t="s">
        <v>48</v>
      </c>
      <c r="D287" t="s">
        <v>351</v>
      </c>
      <c r="E287" s="1" t="s">
        <v>352</v>
      </c>
      <c r="F287" s="56" t="str">
        <f>INDEX('Infos Clientes'!$I:$I,MATCH('Detalhe Por UC'!C287,'Infos Clientes'!B:B,0))</f>
        <v>BT</v>
      </c>
      <c r="G287" s="56" t="str">
        <f>INDEX('Infos Clientes'!$J:$J,MATCH('Detalhe Por UC'!C287,'Infos Clientes'!B:B,0))</f>
        <v>trifasico</v>
      </c>
      <c r="H287" s="108" t="s">
        <v>24</v>
      </c>
      <c r="I287" s="58">
        <f>IFERROR(VLOOKUP(C287,'Infos Clientes'!B:E,4,),"")</f>
        <v>306</v>
      </c>
      <c r="J287" s="109">
        <v>0.25</v>
      </c>
      <c r="K287" s="59">
        <f>INDEX('Infos Clientes'!$M:$M,MATCH('Detalhe Por UC'!C287,'Infos Clientes'!B:B,0))</f>
        <v>0.25</v>
      </c>
      <c r="L287" s="125">
        <v>0</v>
      </c>
      <c r="M287" s="56">
        <f>INDEX('Infos Clientes'!$N:$N,MATCH('Detalhe Por UC'!C287,'Infos Clientes'!B:B,0))</f>
        <v>0</v>
      </c>
      <c r="N287" s="56">
        <f t="shared" si="155"/>
        <v>0</v>
      </c>
      <c r="O287" s="56">
        <f t="shared" si="156"/>
        <v>9</v>
      </c>
      <c r="P287" s="56">
        <f t="shared" si="157"/>
        <v>0</v>
      </c>
      <c r="Q287" s="61">
        <f>IFERROR(IFERROR(INDEX('Infos Clientes'!$A$2:$V$9884,MATCH($C287,'Infos Clientes'!$B$2:$B$9884,0),MATCH(Q$8,'Infos Clientes'!$A$2:$V$2,0)),"")
+IF(OR(INDEX('Infos Clientes'!$A$2:$V$9884,MATCH($C287,'Infos Clientes'!$B$2:$B$9884,0),MATCH("Tempo de Fidelidade (meses)",'Infos Clientes'!$A$2:$V$2,0))=0,R287&gt;=MAX(R:R)),0,
ROUND((MAX(R:R)-R287)/(365/12),0)),"")</f>
        <v>0</v>
      </c>
      <c r="R287" s="111">
        <v>45717</v>
      </c>
      <c r="S287" s="17">
        <v>0.01</v>
      </c>
      <c r="T287" s="113">
        <f>IF($H287="GIROSSOL II",AP287/INDEX('Resumo Operacional'!$A$1:$P$1103,17,MATCH('Detalhe Por UC'!$R287,'Resumo Operacional'!$A$1:$P$1,0)),
IF($H287="GIROSSOL II e III",AP287/INDEX('Resumo Operacional'!$A$1:$P$1103,17,MATCH('Detalhe Por UC'!$R287,'Resumo Operacional'!$A$1:$P$1,0)),
""))</f>
        <v>9.9676052828307996E-3</v>
      </c>
      <c r="U287" s="113" t="str">
        <f>IF($H287="GIROSSOL III",AP287/INDEX('Resumo Operacional'!$A$1:$P$1103,53,MATCH('Detalhe Por UC'!$R287,'Resumo Operacional'!$A$1:$P$1,0)),
IF($H287="GIROSSOL II e III",AP287/INDEX('Resumo Operacional'!$A$1:$P$1103,53,MATCH('Detalhe Por UC'!$R287,'Resumo Operacional'!$A$1:$P$1,0)),
""))</f>
        <v/>
      </c>
      <c r="V287" s="18"/>
      <c r="W287" s="18"/>
      <c r="X287" s="18">
        <v>1.1162552594670407</v>
      </c>
      <c r="Y287" s="18"/>
      <c r="Z287" s="18">
        <v>1.11625</v>
      </c>
      <c r="AA287" s="18"/>
      <c r="AB287" s="18">
        <v>713</v>
      </c>
      <c r="AC287" s="18">
        <v>0</v>
      </c>
      <c r="AD287" s="18">
        <v>120</v>
      </c>
      <c r="AE287" s="35"/>
      <c r="AF287" s="18">
        <v>0</v>
      </c>
      <c r="AG287" s="18"/>
      <c r="AH287" s="18">
        <v>11.459999999999999</v>
      </c>
      <c r="AI287" s="18"/>
      <c r="AJ287" s="18"/>
      <c r="AN287" s="71">
        <f t="shared" si="158"/>
        <v>0</v>
      </c>
      <c r="AO287" s="71">
        <f t="shared" si="159"/>
        <v>0</v>
      </c>
      <c r="AP287" s="71">
        <f t="shared" si="160"/>
        <v>120</v>
      </c>
      <c r="AQ287" s="72">
        <f>IF(OR($H287="GIROSSOL II",$H287="GIROSSOL II e III"),INDEX('Resumo Operacional'!$A$1:$P$1103,MATCH("Energia Injetada prevista total Fatura da Usina (TUSD)",'Resumo Operacional'!$B$1:$B$1103,0),MATCH('Detalhe Por UC'!$R287,'Resumo Operacional'!$A$1:$P$1,0))*$S287,INDEX('Resumo Operacional'!$A$1:$P$1103,53,MATCH('Detalhe Por UC'!$R287,'Resumo Operacional'!$A$1:$P$1,0))*$S287)</f>
        <v>120.39</v>
      </c>
      <c r="AR287" s="71">
        <f t="shared" si="161"/>
        <v>-0.39000000000000057</v>
      </c>
      <c r="AS287" s="73">
        <f t="shared" si="162"/>
        <v>673.40000000000009</v>
      </c>
      <c r="AT287" s="74">
        <f t="shared" si="163"/>
        <v>673.40000000000009</v>
      </c>
      <c r="AU287" s="74">
        <f t="shared" si="164"/>
        <v>1.1162447405329592</v>
      </c>
      <c r="AV287" s="74">
        <f t="shared" si="165"/>
        <v>100.46249999999999</v>
      </c>
      <c r="AW287" s="74">
        <f t="shared" si="166"/>
        <v>0</v>
      </c>
      <c r="AX287" s="74">
        <f t="shared" si="167"/>
        <v>133.94999999999999</v>
      </c>
      <c r="AY287" s="74">
        <f t="shared" si="168"/>
        <v>100.46</v>
      </c>
      <c r="AZ287" s="49">
        <v>100.46</v>
      </c>
      <c r="BA287" s="49">
        <v>100.46</v>
      </c>
      <c r="BB287" s="49">
        <v>100.46</v>
      </c>
      <c r="BC287" s="73" t="str">
        <f t="shared" si="169"/>
        <v/>
      </c>
      <c r="BD287" s="73">
        <f t="shared" si="170"/>
        <v>807.35000000000014</v>
      </c>
      <c r="BE287" s="73">
        <f t="shared" si="171"/>
        <v>773.86250000000007</v>
      </c>
      <c r="BF287" s="77">
        <f t="shared" si="172"/>
        <v>33.49</v>
      </c>
      <c r="BG287" s="77">
        <f t="shared" si="173"/>
        <v>10.047000000000001</v>
      </c>
      <c r="BH287" s="77">
        <f t="shared" si="174"/>
        <v>133.94999999999999</v>
      </c>
      <c r="BI287" s="78">
        <f t="shared" si="175"/>
        <v>0.25</v>
      </c>
      <c r="BJ287" s="79">
        <f t="shared" si="176"/>
        <v>4.1481389731838729E-2</v>
      </c>
      <c r="BK287" s="80">
        <f t="shared" si="177"/>
        <v>773.86000000000013</v>
      </c>
      <c r="BL287" s="80">
        <f t="shared" si="178"/>
        <v>33.490000000000009</v>
      </c>
      <c r="BM287" s="79">
        <f t="shared" si="179"/>
        <v>4.1481389731838736E-2</v>
      </c>
      <c r="BN287" s="81">
        <f t="shared" si="180"/>
        <v>0.83716666666666661</v>
      </c>
      <c r="BO287" s="82">
        <f t="shared" si="181"/>
        <v>100.46</v>
      </c>
      <c r="BP287" s="81">
        <f t="shared" si="182"/>
        <v>0.83716666666666661</v>
      </c>
      <c r="BQ287" s="81">
        <f t="shared" si="183"/>
        <v>0.83717192613370739</v>
      </c>
      <c r="BR287" s="81">
        <f t="shared" si="184"/>
        <v>1.1162552594670407</v>
      </c>
      <c r="BS287" s="82">
        <f t="shared" si="185"/>
        <v>120</v>
      </c>
      <c r="BT287" s="82">
        <f t="shared" si="186"/>
        <v>133.95063113604488</v>
      </c>
      <c r="BU287" s="82">
        <f t="shared" si="187"/>
        <v>133.94999999999999</v>
      </c>
      <c r="BW287" s="82">
        <f>IFERROR(INDEX('Infos Clientes'!$T:$T,MATCH('Detalhe Por UC'!$C287,'Infos Clientes'!B:B,0)),"")</f>
        <v>286.5</v>
      </c>
      <c r="BX287" s="83">
        <f t="shared" si="188"/>
        <v>0</v>
      </c>
      <c r="BY287" s="84">
        <f t="shared" si="189"/>
        <v>0.25001748566594212</v>
      </c>
      <c r="BZ287" s="85">
        <f>IF(_xlfn.MINIFS('Detalhe Por UC'!R:R,'Detalhe Por UC'!C:C,C287,'Detalhe Por UC'!AD:AD,"&gt;"&amp;0)=0,"",_xlfn.MINIFS('Detalhe Por UC'!R:R,'Detalhe Por UC'!C:C,C287,'Detalhe Por UC'!AD:AD,"&gt;"&amp;0))</f>
        <v>45658</v>
      </c>
      <c r="CA287" s="114">
        <f ca="1">IF(OR(S287&gt;0,AD287&gt;0),IFERROR(
SUMIFS(INDIRECT("'Infos Clientes'!$W"&amp;INDEX('Infos Clientes'!$C:$C,MATCH(C287,'Infos Clientes'!$H:$H,0))&amp;":$CZ"&amp;INDEX('Infos Clientes'!$C:$C,MATCH(C287,'Infos Clientes'!$H:$H,0))),'Infos Clientes'!$W$2:$CZ$2,"&gt;"&amp;$R287-365,'Infos Clientes'!$W$2:$CZ$2,"&lt;="&amp;$R287)/
COUNTIFS(INDIRECT("'Infos Clientes'!$W"&amp;INDEX('Infos Clientes'!$C:$C,MATCH(C287,'Infos Clientes'!$H:$H,0))&amp;":$CZ"&amp;INDEX('Infos Clientes'!$C:$C,MATCH(C287,'Infos Clientes'!$H:$H,0))),"&gt;="&amp;0,'Infos Clientes'!$W$2:$CZ$2,"&gt;"&amp;$R287-365,'Infos Clientes'!$W$2:$CZ$2,"&lt;="&amp;$R287),""),"")</f>
        <v>374.83333333333331</v>
      </c>
      <c r="CB287" s="87">
        <f>VLOOKUP(C287,'Infos Clientes'!B:L,11,0)</f>
        <v>0</v>
      </c>
      <c r="CC287" s="88" t="str">
        <f t="shared" si="190"/>
        <v>A Unidade Consumidora 10/2794432-1 economizou R$33,49 na fatura referente à mar/2025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287" s="40" t="s">
        <v>50</v>
      </c>
      <c r="CF287" s="115">
        <f t="shared" si="191"/>
        <v>-673.40000000000009</v>
      </c>
    </row>
    <row r="288" spans="1:84" ht="16.2" hidden="1" customHeight="1" x14ac:dyDescent="0.3">
      <c r="A288" s="105" t="str">
        <f>INDEX('Infos Clientes'!$D:$D,MATCH('Detalhe Por UC'!C288,'Infos Clientes'!B:B,0))</f>
        <v>IGREJA DO EVANGELHO QUADRANGULAR</v>
      </c>
      <c r="B288" s="106" t="str">
        <f>INDEX('Infos Clientes'!$F:$F,MATCH('Detalhe Por UC'!C288,'Infos Clientes'!B:B,0))</f>
        <v>62.955.505/0577-89</v>
      </c>
      <c r="C288" s="137" t="s">
        <v>94</v>
      </c>
      <c r="D288" t="s">
        <v>351</v>
      </c>
      <c r="E288" s="1" t="s">
        <v>352</v>
      </c>
      <c r="F288" s="56" t="str">
        <f>INDEX('Infos Clientes'!$I:$I,MATCH('Detalhe Por UC'!C288,'Infos Clientes'!B:B,0))</f>
        <v>BT</v>
      </c>
      <c r="G288" s="56" t="str">
        <f>INDEX('Infos Clientes'!$J:$J,MATCH('Detalhe Por UC'!C288,'Infos Clientes'!B:B,0))</f>
        <v>bifasico</v>
      </c>
      <c r="H288" s="108" t="s">
        <v>138</v>
      </c>
      <c r="I288" s="58">
        <f>IFERROR(VLOOKUP(C288,'Infos Clientes'!B:E,4,),"")</f>
        <v>319</v>
      </c>
      <c r="J288" s="109">
        <v>0.25</v>
      </c>
      <c r="K288" s="59">
        <f>INDEX('Infos Clientes'!$M:$M,MATCH('Detalhe Por UC'!C288,'Infos Clientes'!B:B,0))</f>
        <v>0.25</v>
      </c>
      <c r="L288" s="125">
        <v>0</v>
      </c>
      <c r="M288" s="56">
        <f>INDEX('Infos Clientes'!$N:$N,MATCH('Detalhe Por UC'!C288,'Infos Clientes'!B:B,0))</f>
        <v>0</v>
      </c>
      <c r="N288" s="56">
        <f t="shared" si="155"/>
        <v>0</v>
      </c>
      <c r="O288" s="56">
        <f t="shared" si="156"/>
        <v>10</v>
      </c>
      <c r="P288" s="56">
        <f t="shared" si="157"/>
        <v>0</v>
      </c>
      <c r="Q288" s="61">
        <f>IFERROR(IFERROR(INDEX('Infos Clientes'!$A$2:$V$9884,MATCH($C288,'Infos Clientes'!$B$2:$B$9884,0),MATCH(Q$8,'Infos Clientes'!$A$2:$V$2,0)),"")
+IF(OR(INDEX('Infos Clientes'!$A$2:$V$9884,MATCH($C288,'Infos Clientes'!$B$2:$B$9884,0),MATCH("Tempo de Fidelidade (meses)",'Infos Clientes'!$A$2:$V$2,0))=0,R288&gt;=MAX(R:R)),0,
ROUND((MAX(R:R)-R288)/(365/12),0)),"")</f>
        <v>0</v>
      </c>
      <c r="R288" s="111">
        <v>45717</v>
      </c>
      <c r="S288" s="17">
        <v>0.02</v>
      </c>
      <c r="T288" s="113" t="str">
        <f>IF($H288="GIROSSOL II",AP288/INDEX('Resumo Operacional'!$A$1:$P$1103,17,MATCH('Detalhe Por UC'!$R288,'Resumo Operacional'!$A$1:$P$1,0)),
IF($H288="GIROSSOL II e III",AP288/INDEX('Resumo Operacional'!$A$1:$P$1103,17,MATCH('Detalhe Por UC'!$R288,'Resumo Operacional'!$A$1:$P$1,0)),
""))</f>
        <v/>
      </c>
      <c r="U288" s="113">
        <f>IF($H288="GIROSSOL III",AP288/INDEX('Resumo Operacional'!$A$1:$P$1103,53,MATCH('Detalhe Por UC'!$R288,'Resumo Operacional'!$A$1:$P$1,0)),
IF($H288="GIROSSOL II e III",AP288/INDEX('Resumo Operacional'!$A$1:$P$1103,53,MATCH('Detalhe Por UC'!$R288,'Resumo Operacional'!$A$1:$P$1,0)),
""))</f>
        <v>2.3997342854770405E-2</v>
      </c>
      <c r="V288" s="18"/>
      <c r="W288" s="18"/>
      <c r="X288" s="18">
        <v>1.1162564102564101</v>
      </c>
      <c r="Y288" s="18"/>
      <c r="Z288" s="18">
        <v>1.0017535310734464</v>
      </c>
      <c r="AA288" s="18"/>
      <c r="AB288" s="18">
        <v>390</v>
      </c>
      <c r="AC288" s="18"/>
      <c r="AD288" s="18">
        <v>295</v>
      </c>
      <c r="AE288" s="35"/>
      <c r="AF288" s="18">
        <v>0</v>
      </c>
      <c r="AG288" s="18"/>
      <c r="AH288" s="18">
        <v>58.59</v>
      </c>
      <c r="AI288" s="18"/>
      <c r="AJ288" s="18"/>
      <c r="AN288" s="71">
        <f t="shared" si="158"/>
        <v>-6</v>
      </c>
      <c r="AO288" s="71">
        <f t="shared" si="159"/>
        <v>0</v>
      </c>
      <c r="AP288" s="71">
        <f t="shared" si="160"/>
        <v>289</v>
      </c>
      <c r="AQ288" s="72">
        <f>IF(OR($H288="GIROSSOL II",$H288="GIROSSOL II e III"),INDEX('Resumo Operacional'!$A$1:$P$1103,MATCH("Energia Injetada prevista total Fatura da Usina (TUSD)",'Resumo Operacional'!$B$1:$B$1103,0),MATCH('Detalhe Por UC'!$R288,'Resumo Operacional'!$A$1:$P$1,0))*$S288,INDEX('Resumo Operacional'!$A$1:$P$1103,53,MATCH('Detalhe Por UC'!$R288,'Resumo Operacional'!$A$1:$P$1,0))*$S288)</f>
        <v>240.86</v>
      </c>
      <c r="AR288" s="71">
        <f t="shared" si="161"/>
        <v>48.139999999999986</v>
      </c>
      <c r="AS288" s="73">
        <f t="shared" si="162"/>
        <v>198.4127083333332</v>
      </c>
      <c r="AT288" s="74">
        <f t="shared" si="163"/>
        <v>198.4127083333332</v>
      </c>
      <c r="AU288" s="74">
        <f t="shared" si="164"/>
        <v>0.8872506518904828</v>
      </c>
      <c r="AV288" s="74">
        <f t="shared" si="165"/>
        <v>221.63796875000003</v>
      </c>
      <c r="AW288" s="74">
        <f t="shared" si="166"/>
        <v>235.97</v>
      </c>
      <c r="AX288" s="74">
        <f t="shared" si="167"/>
        <v>531.48729166666669</v>
      </c>
      <c r="AY288" s="74">
        <f t="shared" si="168"/>
        <v>221.64</v>
      </c>
      <c r="AZ288" s="49">
        <v>221.64</v>
      </c>
      <c r="BA288" s="49">
        <v>215.51</v>
      </c>
      <c r="BB288" s="49">
        <v>531.49</v>
      </c>
      <c r="BC288" s="73">
        <f t="shared" si="169"/>
        <v>315.98</v>
      </c>
      <c r="BD288" s="73">
        <f t="shared" si="170"/>
        <v>493.92999999999995</v>
      </c>
      <c r="BE288" s="73">
        <f t="shared" si="171"/>
        <v>420.0506770833332</v>
      </c>
      <c r="BF288" s="77">
        <f t="shared" si="172"/>
        <v>73.88</v>
      </c>
      <c r="BG288" s="77">
        <f t="shared" si="173"/>
        <v>22.163999999999998</v>
      </c>
      <c r="BH288" s="77">
        <f t="shared" si="174"/>
        <v>295.51729166666672</v>
      </c>
      <c r="BI288" s="78">
        <f t="shared" si="175"/>
        <v>0.25</v>
      </c>
      <c r="BJ288" s="79">
        <f t="shared" si="176"/>
        <v>0.14957585082906485</v>
      </c>
      <c r="BK288" s="80">
        <f t="shared" si="177"/>
        <v>420.05270833333316</v>
      </c>
      <c r="BL288" s="80">
        <f t="shared" si="178"/>
        <v>73.877291666666792</v>
      </c>
      <c r="BM288" s="79">
        <f t="shared" si="179"/>
        <v>0.14957036759594841</v>
      </c>
      <c r="BN288" s="81">
        <f t="shared" si="180"/>
        <v>0.75132203389830499</v>
      </c>
      <c r="BO288" s="82">
        <f t="shared" si="181"/>
        <v>221.63999999999996</v>
      </c>
      <c r="BP288" s="81">
        <f t="shared" si="182"/>
        <v>0.75132203389830499</v>
      </c>
      <c r="BQ288" s="81">
        <f t="shared" si="183"/>
        <v>0.86582491308126863</v>
      </c>
      <c r="BR288" s="81">
        <f t="shared" si="184"/>
        <v>1.1162564102564101</v>
      </c>
      <c r="BS288" s="82">
        <f t="shared" si="185"/>
        <v>295</v>
      </c>
      <c r="BT288" s="82">
        <f t="shared" si="186"/>
        <v>329.29564102564098</v>
      </c>
      <c r="BU288" s="82">
        <f t="shared" si="187"/>
        <v>295.51729166666672</v>
      </c>
      <c r="BW288" s="82">
        <f>IFERROR(INDEX('Infos Clientes'!$T:$T,MATCH('Detalhe Por UC'!$C288,'Infos Clientes'!B:B,0)),"")</f>
        <v>55.25</v>
      </c>
      <c r="BX288" s="83">
        <f t="shared" si="188"/>
        <v>0</v>
      </c>
      <c r="BY288" s="84">
        <f t="shared" si="189"/>
        <v>0.22434943698788345</v>
      </c>
      <c r="BZ288" s="85">
        <f>IF(_xlfn.MINIFS('Detalhe Por UC'!R:R,'Detalhe Por UC'!C:C,C288,'Detalhe Por UC'!AD:AD,"&gt;"&amp;0)=0,"",_xlfn.MINIFS('Detalhe Por UC'!R:R,'Detalhe Por UC'!C:C,C288,'Detalhe Por UC'!AD:AD,"&gt;"&amp;0))</f>
        <v>45689</v>
      </c>
      <c r="CA288" s="114">
        <f ca="1">IF(OR(S288&gt;0,AD288&gt;0),IFERROR(
SUMIFS(INDIRECT("'Infos Clientes'!$W"&amp;INDEX('Infos Clientes'!$C:$C,MATCH(C288,'Infos Clientes'!$H:$H,0))&amp;":$CZ"&amp;INDEX('Infos Clientes'!$C:$C,MATCH(C288,'Infos Clientes'!$H:$H,0))),'Infos Clientes'!$W$2:$CZ$2,"&gt;"&amp;$R288-365,'Infos Clientes'!$W$2:$CZ$2,"&lt;="&amp;$R288)/
COUNTIFS(INDIRECT("'Infos Clientes'!$W"&amp;INDEX('Infos Clientes'!$C:$C,MATCH(C288,'Infos Clientes'!$H:$H,0))&amp;":$CZ"&amp;INDEX('Infos Clientes'!$C:$C,MATCH(C288,'Infos Clientes'!$H:$H,0))),"&gt;="&amp;0,'Infos Clientes'!$W$2:$CZ$2,"&gt;"&amp;$R288-365,'Infos Clientes'!$W$2:$CZ$2,"&lt;="&amp;$R288),""),"")</f>
        <v>114.66666666666667</v>
      </c>
      <c r="CB288" s="87">
        <f>VLOOKUP(C288,'Infos Clientes'!B:L,11,0)</f>
        <v>0</v>
      </c>
      <c r="CC288" s="88" t="str">
        <f t="shared" si="190"/>
        <v>A Unidade Consumidora 10/3005226-0 economizou R$73,88 na fatura referente à mar/2025  consumindo 295 kWh em créditos de energia renovável conforme fatura de energia. A economia foi de 25% em relação ao que seria pago para a Energisa considerando os créditos consumidos. Atenção: Mantenha as contas da Energisa em dia para evitar cortes.</v>
      </c>
      <c r="CD288" s="40" t="s">
        <v>96</v>
      </c>
      <c r="CF288" s="115">
        <f t="shared" si="191"/>
        <v>-198.4127083333332</v>
      </c>
    </row>
    <row r="289" spans="1:85" ht="16.2" hidden="1" customHeight="1" x14ac:dyDescent="0.3">
      <c r="A289" s="105" t="str">
        <f>INDEX('Infos Clientes'!$D:$D,MATCH('Detalhe Por UC'!C289,'Infos Clientes'!B:B,0))</f>
        <v>IGREJA DO EVANGELHO QUADRANGULAR</v>
      </c>
      <c r="B289" s="106" t="str">
        <f>INDEX('Infos Clientes'!$F:$F,MATCH('Detalhe Por UC'!C289,'Infos Clientes'!B:B,0))</f>
        <v>62.955.505/0356-29</v>
      </c>
      <c r="C289" s="107" t="s">
        <v>247</v>
      </c>
      <c r="D289" t="s">
        <v>351</v>
      </c>
      <c r="E289" s="1" t="s">
        <v>352</v>
      </c>
      <c r="F289" s="56" t="str">
        <f>INDEX('Infos Clientes'!$I:$I,MATCH('Detalhe Por UC'!C289,'Infos Clientes'!B:B,0))</f>
        <v>BT</v>
      </c>
      <c r="G289" s="56" t="str">
        <f>INDEX('Infos Clientes'!$J:$J,MATCH('Detalhe Por UC'!C289,'Infos Clientes'!B:B,0))</f>
        <v>trifasico</v>
      </c>
      <c r="H289" s="108" t="s">
        <v>138</v>
      </c>
      <c r="I289" s="58">
        <f>IFERROR(VLOOKUP(C289,'Infos Clientes'!B:E,4,),"")</f>
        <v>359</v>
      </c>
      <c r="J289" s="109">
        <v>0.25</v>
      </c>
      <c r="K289" s="59">
        <f>INDEX('Infos Clientes'!$M:$M,MATCH('Detalhe Por UC'!C289,'Infos Clientes'!B:B,0))</f>
        <v>0.25</v>
      </c>
      <c r="L289" s="125"/>
      <c r="M289" s="56">
        <f>INDEX('Infos Clientes'!$N:$N,MATCH('Detalhe Por UC'!C289,'Infos Clientes'!B:B,0))</f>
        <v>0</v>
      </c>
      <c r="N289" s="56">
        <f t="shared" si="155"/>
        <v>0</v>
      </c>
      <c r="O289" s="56">
        <f t="shared" si="156"/>
        <v>4</v>
      </c>
      <c r="P289" s="56">
        <f t="shared" si="157"/>
        <v>0</v>
      </c>
      <c r="Q289" s="61">
        <f>IFERROR(IFERROR(INDEX('Infos Clientes'!$A$2:$V$9884,MATCH($C289,'Infos Clientes'!$B$2:$B$9884,0),MATCH(Q$8,'Infos Clientes'!$A$2:$V$2,0)),"")
+IF(OR(INDEX('Infos Clientes'!$A$2:$V$9884,MATCH($C289,'Infos Clientes'!$B$2:$B$9884,0),MATCH("Tempo de Fidelidade (meses)",'Infos Clientes'!$A$2:$V$2,0))=0,R289&gt;=MAX(R:R)),0,
ROUND((MAX(R:R)-R289)/(365/12),0)),"")</f>
        <v>0</v>
      </c>
      <c r="R289" s="111">
        <v>45717</v>
      </c>
      <c r="S289" s="63">
        <v>0</v>
      </c>
      <c r="T289" s="113" t="str">
        <f>IF($H289="GIROSSOL II",AP289/INDEX('Resumo Operacional'!$A$1:$P$1103,17,MATCH('Detalhe Por UC'!$R289,'Resumo Operacional'!$A$1:$P$1,0)),
IF($H289="GIROSSOL II e III",AP289/INDEX('Resumo Operacional'!$A$1:$P$1103,17,MATCH('Detalhe Por UC'!$R289,'Resumo Operacional'!$A$1:$P$1,0)),
""))</f>
        <v/>
      </c>
      <c r="U289" s="113">
        <f>IF($H289="GIROSSOL III",AP289/INDEX('Resumo Operacional'!$A$1:$P$1103,53,MATCH('Detalhe Por UC'!$R289,'Resumo Operacional'!$A$1:$P$1,0)),
IF($H289="GIROSSOL II e III",AP289/INDEX('Resumo Operacional'!$A$1:$P$1103,53,MATCH('Detalhe Por UC'!$R289,'Resumo Operacional'!$A$1:$P$1,0)),
""))</f>
        <v>0.10902599020177696</v>
      </c>
      <c r="V289" s="18"/>
      <c r="W289" s="18"/>
      <c r="X289" s="18">
        <v>1.1162604722010663</v>
      </c>
      <c r="Y289" s="18"/>
      <c r="Z289" s="66">
        <v>0.97405940594059404</v>
      </c>
      <c r="AA289" s="18"/>
      <c r="AB289" s="68">
        <v>1313</v>
      </c>
      <c r="AC289" s="18"/>
      <c r="AD289" s="69">
        <v>1313</v>
      </c>
      <c r="AE289" s="35"/>
      <c r="AF289" s="60">
        <v>0</v>
      </c>
      <c r="AG289" s="69">
        <v>0</v>
      </c>
      <c r="AH289" s="16">
        <v>179.70999999999995</v>
      </c>
      <c r="AI289" s="16">
        <v>0</v>
      </c>
      <c r="AJ289" s="16">
        <v>0</v>
      </c>
      <c r="AN289" s="71">
        <f t="shared" si="158"/>
        <v>0</v>
      </c>
      <c r="AO289" s="71">
        <f t="shared" si="159"/>
        <v>0</v>
      </c>
      <c r="AP289" s="71">
        <f t="shared" si="160"/>
        <v>1313</v>
      </c>
      <c r="AQ289" s="72">
        <f>IF(OR($H289="GIROSSOL II",$H289="GIROSSOL II e III"),INDEX('Resumo Operacional'!$A$1:$P$1103,MATCH("Energia Injetada prevista total Fatura da Usina (TUSD)",'Resumo Operacional'!$B$1:$B$1103,0),MATCH('Detalhe Por UC'!$R289,'Resumo Operacional'!$A$1:$P$1,0))*$S289,INDEX('Resumo Operacional'!$A$1:$P$1103,53,MATCH('Detalhe Por UC'!$R289,'Resumo Operacional'!$A$1:$P$1,0))*$S289)</f>
        <v>0</v>
      </c>
      <c r="AR289" s="71">
        <f t="shared" si="161"/>
        <v>1313</v>
      </c>
      <c r="AS289" s="73">
        <f t="shared" si="162"/>
        <v>366.41999999999996</v>
      </c>
      <c r="AT289" s="74">
        <f t="shared" si="163"/>
        <v>366.41999999999996</v>
      </c>
      <c r="AU289" s="74">
        <f t="shared" si="164"/>
        <v>0.83185833968012191</v>
      </c>
      <c r="AV289" s="74">
        <f t="shared" si="165"/>
        <v>959.20499999999993</v>
      </c>
      <c r="AW289" s="74">
        <f t="shared" si="166"/>
        <v>0</v>
      </c>
      <c r="AX289" s="74">
        <f t="shared" si="167"/>
        <v>1278.94</v>
      </c>
      <c r="AY289" s="74">
        <f t="shared" si="168"/>
        <v>959.21</v>
      </c>
      <c r="AZ289" s="49">
        <v>959.21</v>
      </c>
      <c r="BC289" s="73" t="str">
        <f t="shared" si="169"/>
        <v/>
      </c>
      <c r="BD289" s="73">
        <f t="shared" si="170"/>
        <v>1645.3600000000001</v>
      </c>
      <c r="BE289" s="73">
        <f t="shared" si="171"/>
        <v>1325.625</v>
      </c>
      <c r="BF289" s="77">
        <f t="shared" si="172"/>
        <v>319.74</v>
      </c>
      <c r="BG289" s="77">
        <f t="shared" si="173"/>
        <v>95.921999999999997</v>
      </c>
      <c r="BH289" s="77">
        <f t="shared" si="174"/>
        <v>1278.94</v>
      </c>
      <c r="BI289" s="78">
        <f t="shared" si="175"/>
        <v>0.25</v>
      </c>
      <c r="BJ289" s="79">
        <f t="shared" si="176"/>
        <v>0.19432829289638739</v>
      </c>
      <c r="BK289" s="80">
        <f t="shared" si="177"/>
        <v>1325.63</v>
      </c>
      <c r="BL289" s="80">
        <f t="shared" si="178"/>
        <v>319.73</v>
      </c>
      <c r="BM289" s="79">
        <f t="shared" si="179"/>
        <v>0.19432221519910536</v>
      </c>
      <c r="BN289" s="81">
        <f t="shared" si="180"/>
        <v>0.73054836252856059</v>
      </c>
      <c r="BO289" s="82">
        <f t="shared" si="181"/>
        <v>959.21</v>
      </c>
      <c r="BP289" s="81">
        <f t="shared" si="182"/>
        <v>0.73054836252856059</v>
      </c>
      <c r="BQ289" s="81">
        <f t="shared" si="183"/>
        <v>0.87274942878903283</v>
      </c>
      <c r="BR289" s="81">
        <f t="shared" si="184"/>
        <v>1.1162604722010663</v>
      </c>
      <c r="BS289" s="82">
        <f t="shared" si="185"/>
        <v>1313</v>
      </c>
      <c r="BT289" s="82">
        <f t="shared" si="186"/>
        <v>1465.65</v>
      </c>
      <c r="BU289" s="82">
        <f t="shared" si="187"/>
        <v>1278.94</v>
      </c>
      <c r="BW289" s="82">
        <f>IFERROR(INDEX('Infos Clientes'!$T:$T,MATCH('Detalhe Por UC'!$C289,'Infos Clientes'!B:B,0)),"")</f>
        <v>883.5454545454545</v>
      </c>
      <c r="BX289" s="83">
        <f t="shared" si="188"/>
        <v>0</v>
      </c>
      <c r="BY289" s="84">
        <f t="shared" si="189"/>
        <v>0.21814894415447064</v>
      </c>
      <c r="BZ289" s="85">
        <f>IF(_xlfn.MINIFS('Detalhe Por UC'!R:R,'Detalhe Por UC'!C:C,C289,'Detalhe Por UC'!AD:AD,"&gt;"&amp;0)=0,"",_xlfn.MINIFS('Detalhe Por UC'!R:R,'Detalhe Por UC'!C:C,C289,'Detalhe Por UC'!AD:AD,"&gt;"&amp;0))</f>
        <v>45658</v>
      </c>
      <c r="CA289" s="114">
        <f ca="1">IF(OR(S289&gt;0,AD289&gt;0),IFERROR(
SUMIFS(INDIRECT("'Infos Clientes'!$W"&amp;INDEX('Infos Clientes'!$C:$C,MATCH(C289,'Infos Clientes'!$H:$H,0))&amp;":$CZ"&amp;INDEX('Infos Clientes'!$C:$C,MATCH(C289,'Infos Clientes'!$H:$H,0))),'Infos Clientes'!$W$2:$CZ$2,"&gt;"&amp;$R289-365,'Infos Clientes'!$W$2:$CZ$2,"&lt;="&amp;$R289)/
COUNTIFS(INDIRECT("'Infos Clientes'!$W"&amp;INDEX('Infos Clientes'!$C:$C,MATCH(C289,'Infos Clientes'!$H:$H,0))&amp;":$CZ"&amp;INDEX('Infos Clientes'!$C:$C,MATCH(C289,'Infos Clientes'!$H:$H,0))),"&gt;="&amp;0,'Infos Clientes'!$W$2:$CZ$2,"&gt;"&amp;$R289-365,'Infos Clientes'!$W$2:$CZ$2,"&lt;="&amp;$R289),""),"")</f>
        <v>770.33333333333337</v>
      </c>
      <c r="CB289" s="87">
        <f>VLOOKUP(C289,'Infos Clientes'!B:L,11,0)</f>
        <v>0</v>
      </c>
      <c r="CC289" s="88" t="str">
        <f t="shared" si="190"/>
        <v>A Unidade Consumidora 10/3170252-5 economizou R$319,74 na fatura referente à mar/2025  consumindo 1313 kWh em créditos de energia renovável conforme fatura de energia. A economia foi de 25% em relação ao que seria pago para a Energisa considerando os créditos consumidos. Atenção: Mantenha as contas da Energisa em dia para evitar cortes.</v>
      </c>
      <c r="CD289" s="40"/>
      <c r="CF289" s="115">
        <f t="shared" si="191"/>
        <v>-366.41999999999996</v>
      </c>
    </row>
    <row r="290" spans="1:85" ht="16.2" hidden="1" customHeight="1" x14ac:dyDescent="0.3">
      <c r="A290" s="105" t="str">
        <f>INDEX('Infos Clientes'!$D:$D,MATCH('Detalhe Por UC'!C290,'Infos Clientes'!B:B,0))</f>
        <v>IGREJA DO EVANGELHO QUADRANGULAR</v>
      </c>
      <c r="B290" s="106" t="str">
        <f>INDEX('Infos Clientes'!$F:$F,MATCH('Detalhe Por UC'!C290,'Infos Clientes'!B:B,0))</f>
        <v>62.955.505/0151-99</v>
      </c>
      <c r="C290" s="118" t="s">
        <v>168</v>
      </c>
      <c r="D290" t="s">
        <v>351</v>
      </c>
      <c r="E290" s="1" t="s">
        <v>352</v>
      </c>
      <c r="F290" s="56" t="str">
        <f>INDEX('Infos Clientes'!$I:$I,MATCH('Detalhe Por UC'!C290,'Infos Clientes'!B:B,0))</f>
        <v>BT</v>
      </c>
      <c r="G290" s="56" t="str">
        <f>INDEX('Infos Clientes'!$J:$J,MATCH('Detalhe Por UC'!C290,'Infos Clientes'!B:B,0))</f>
        <v>trifasico</v>
      </c>
      <c r="H290" s="108" t="s">
        <v>24</v>
      </c>
      <c r="I290" s="58">
        <f>IFERROR(VLOOKUP(C290,'Infos Clientes'!B:E,4,),"")</f>
        <v>306</v>
      </c>
      <c r="J290" s="109">
        <v>0.25</v>
      </c>
      <c r="K290" s="59">
        <f>INDEX('Infos Clientes'!$M:$M,MATCH('Detalhe Por UC'!C290,'Infos Clientes'!B:B,0))</f>
        <v>0.25</v>
      </c>
      <c r="L290" s="125"/>
      <c r="M290" s="56">
        <f>INDEX('Infos Clientes'!$N:$N,MATCH('Detalhe Por UC'!C290,'Infos Clientes'!B:B,0))</f>
        <v>0</v>
      </c>
      <c r="N290" s="56">
        <f t="shared" si="155"/>
        <v>0</v>
      </c>
      <c r="O290" s="56">
        <f t="shared" si="156"/>
        <v>7</v>
      </c>
      <c r="P290" s="56">
        <f t="shared" si="157"/>
        <v>0</v>
      </c>
      <c r="Q290" s="61">
        <f>IFERROR(IFERROR(INDEX('Infos Clientes'!$A$2:$V$9884,MATCH($C290,'Infos Clientes'!$B$2:$B$9884,0),MATCH(Q$8,'Infos Clientes'!$A$2:$V$2,0)),"")
+IF(OR(INDEX('Infos Clientes'!$A$2:$V$9884,MATCH($C290,'Infos Clientes'!$B$2:$B$9884,0),MATCH("Tempo de Fidelidade (meses)",'Infos Clientes'!$A$2:$V$2,0))=0,R290&gt;=MAX(R:R)),0,
ROUND((MAX(R:R)-R290)/(365/12),0)),"")</f>
        <v>0</v>
      </c>
      <c r="R290" s="111">
        <v>45717</v>
      </c>
      <c r="S290" s="63">
        <v>0</v>
      </c>
      <c r="T290" s="113">
        <f>IF($H290="GIROSSOL II",AP290/INDEX('Resumo Operacional'!$A$1:$P$1103,17,MATCH('Detalhe Por UC'!$R290,'Resumo Operacional'!$A$1:$P$1,0)),
IF($H290="GIROSSOL II e III",AP290/INDEX('Resumo Operacional'!$A$1:$P$1103,17,MATCH('Detalhe Por UC'!$R290,'Resumo Operacional'!$A$1:$P$1,0)),
""))</f>
        <v>0</v>
      </c>
      <c r="U290" s="113" t="str">
        <f>IF($H290="GIROSSOL III",AP290/INDEX('Resumo Operacional'!$A$1:$P$1103,53,MATCH('Detalhe Por UC'!$R290,'Resumo Operacional'!$A$1:$P$1,0)),
IF($H290="GIROSSOL II e III",AP290/INDEX('Resumo Operacional'!$A$1:$P$1103,53,MATCH('Detalhe Por UC'!$R290,'Resumo Operacional'!$A$1:$P$1,0)),
""))</f>
        <v/>
      </c>
      <c r="V290" s="18"/>
      <c r="W290" s="18"/>
      <c r="X290" s="18">
        <v>1.1162649294245384</v>
      </c>
      <c r="Y290" s="18"/>
      <c r="Z290" s="66">
        <v>1.03316427783903</v>
      </c>
      <c r="AA290" s="18"/>
      <c r="AB290" s="68">
        <v>921</v>
      </c>
      <c r="AC290" s="18"/>
      <c r="AD290" s="69">
        <v>377</v>
      </c>
      <c r="AE290" s="35"/>
      <c r="AF290" s="69">
        <v>1367</v>
      </c>
      <c r="AG290" s="69">
        <v>0</v>
      </c>
      <c r="AH290" s="16">
        <v>192.08999999999997</v>
      </c>
      <c r="AI290" s="16">
        <v>0</v>
      </c>
      <c r="AJ290" s="16">
        <v>0</v>
      </c>
      <c r="AN290" s="71">
        <f t="shared" si="158"/>
        <v>-377</v>
      </c>
      <c r="AO290" s="71">
        <f t="shared" si="159"/>
        <v>0</v>
      </c>
      <c r="AP290" s="71">
        <f t="shared" si="160"/>
        <v>0</v>
      </c>
      <c r="AQ290" s="72">
        <f>IF(OR($H290="GIROSSOL II",$H290="GIROSSOL II e III"),INDEX('Resumo Operacional'!$A$1:$P$1103,MATCH("Energia Injetada prevista total Fatura da Usina (TUSD)",'Resumo Operacional'!$B$1:$B$1103,0),MATCH('Detalhe Por UC'!$R290,'Resumo Operacional'!$A$1:$P$1,0))*$S290,INDEX('Resumo Operacional'!$A$1:$P$1103,53,MATCH('Detalhe Por UC'!$R290,'Resumo Operacional'!$A$1:$P$1,0))*$S290)</f>
        <v>0</v>
      </c>
      <c r="AR290" s="71">
        <f t="shared" si="161"/>
        <v>0</v>
      </c>
      <c r="AS290" s="73">
        <f t="shared" si="162"/>
        <v>830.66706725468566</v>
      </c>
      <c r="AT290" s="74">
        <f t="shared" si="163"/>
        <v>830.66706725468566</v>
      </c>
      <c r="AU290" s="74">
        <f t="shared" si="164"/>
        <v>0.95006362625352159</v>
      </c>
      <c r="AV290" s="74">
        <f t="shared" si="165"/>
        <v>292.12719955898569</v>
      </c>
      <c r="AW290" s="74">
        <f t="shared" si="166"/>
        <v>0</v>
      </c>
      <c r="AX290" s="74">
        <f t="shared" si="167"/>
        <v>389.5029327453143</v>
      </c>
      <c r="AY290" s="74">
        <f t="shared" si="168"/>
        <v>292.13</v>
      </c>
      <c r="AZ290" s="49">
        <v>292.13</v>
      </c>
      <c r="BA290" s="49">
        <v>292.13</v>
      </c>
      <c r="BC290" s="73" t="str">
        <f t="shared" si="169"/>
        <v/>
      </c>
      <c r="BD290" s="73">
        <f t="shared" si="170"/>
        <v>1220.1699999999998</v>
      </c>
      <c r="BE290" s="73">
        <f t="shared" si="171"/>
        <v>1122.7942668136714</v>
      </c>
      <c r="BF290" s="77">
        <f t="shared" si="172"/>
        <v>97.38</v>
      </c>
      <c r="BG290" s="77">
        <f t="shared" si="173"/>
        <v>29.213999999999999</v>
      </c>
      <c r="BH290" s="77">
        <f t="shared" si="174"/>
        <v>389.5029327453143</v>
      </c>
      <c r="BI290" s="78">
        <f t="shared" si="175"/>
        <v>0.25</v>
      </c>
      <c r="BJ290" s="79">
        <f t="shared" si="176"/>
        <v>7.9808551267446348E-2</v>
      </c>
      <c r="BK290" s="80">
        <f t="shared" si="177"/>
        <v>1122.7970672546858</v>
      </c>
      <c r="BL290" s="80">
        <f t="shared" si="178"/>
        <v>97.372932745314074</v>
      </c>
      <c r="BM290" s="79">
        <f t="shared" si="179"/>
        <v>7.9802759242821972E-2</v>
      </c>
      <c r="BN290" s="81">
        <f t="shared" si="180"/>
        <v>0.77488063660477458</v>
      </c>
      <c r="BO290" s="82">
        <f t="shared" si="181"/>
        <v>292.13</v>
      </c>
      <c r="BP290" s="81">
        <f t="shared" si="182"/>
        <v>0.77488063660477458</v>
      </c>
      <c r="BQ290" s="81">
        <f t="shared" si="183"/>
        <v>0.85798128819028296</v>
      </c>
      <c r="BR290" s="81">
        <f t="shared" si="184"/>
        <v>1.1162649294245384</v>
      </c>
      <c r="BS290" s="82">
        <f t="shared" si="185"/>
        <v>377</v>
      </c>
      <c r="BT290" s="82">
        <f t="shared" si="186"/>
        <v>420.83187839305094</v>
      </c>
      <c r="BU290" s="82">
        <f t="shared" si="187"/>
        <v>389.5029327453143</v>
      </c>
      <c r="BW290" s="82">
        <f>IFERROR(INDEX('Infos Clientes'!$T:$T,MATCH('Detalhe Por UC'!$C290,'Infos Clientes'!B:B,0)),"")</f>
        <v>718.4545454545455</v>
      </c>
      <c r="BX290" s="83">
        <f t="shared" si="188"/>
        <v>0</v>
      </c>
      <c r="BY290" s="84">
        <f t="shared" si="189"/>
        <v>0.23138202627883944</v>
      </c>
      <c r="BZ290" s="85">
        <f>IF(_xlfn.MINIFS('Detalhe Por UC'!R:R,'Detalhe Por UC'!C:C,C290,'Detalhe Por UC'!AD:AD,"&gt;"&amp;0)=0,"",_xlfn.MINIFS('Detalhe Por UC'!R:R,'Detalhe Por UC'!C:C,C290,'Detalhe Por UC'!AD:AD,"&gt;"&amp;0))</f>
        <v>45658</v>
      </c>
      <c r="CA290" s="114">
        <f ca="1">IF(OR(S290&gt;0,AD290&gt;0),IFERROR(
SUMIFS(INDIRECT("'Infos Clientes'!$W"&amp;INDEX('Infos Clientes'!$C:$C,MATCH(C290,'Infos Clientes'!$H:$H,0))&amp;":$CZ"&amp;INDEX('Infos Clientes'!$C:$C,MATCH(C290,'Infos Clientes'!$H:$H,0))),'Infos Clientes'!$W$2:$CZ$2,"&gt;"&amp;$R290-365,'Infos Clientes'!$W$2:$CZ$2,"&lt;="&amp;$R290)/
COUNTIFS(INDIRECT("'Infos Clientes'!$W"&amp;INDEX('Infos Clientes'!$C:$C,MATCH(C290,'Infos Clientes'!$H:$H,0))&amp;":$CZ"&amp;INDEX('Infos Clientes'!$C:$C,MATCH(C290,'Infos Clientes'!$H:$H,0))),"&gt;="&amp;0,'Infos Clientes'!$W$2:$CZ$2,"&gt;"&amp;$R290-365,'Infos Clientes'!$W$2:$CZ$2,"&lt;="&amp;$R290),""),"")</f>
        <v>615.25</v>
      </c>
      <c r="CB290" s="87">
        <f>VLOOKUP(C290,'Infos Clientes'!B:L,11,0)</f>
        <v>0</v>
      </c>
      <c r="CC290" s="88" t="str">
        <f t="shared" si="190"/>
        <v>A Unidade Consumidora 10/2247256-7 economizou R$97,38 na fatura referente à mar/2025  consumindo 377 kWh em créditos de energia renovável conforme fatura de energia. A economia foi de 25% em relação ao que seria pago para a Energisa considerando os créditos consumidos. Atenção: Mantenha as contas da Energisa em dia para evitar cortes.</v>
      </c>
      <c r="CD290" s="40" t="s">
        <v>50</v>
      </c>
      <c r="CF290" s="115">
        <f t="shared" si="191"/>
        <v>-830.66706725468566</v>
      </c>
    </row>
    <row r="291" spans="1:85" ht="16.2" hidden="1" customHeight="1" x14ac:dyDescent="0.3">
      <c r="A291" s="105" t="str">
        <f>INDEX('Infos Clientes'!$D:$D,MATCH('Detalhe Por UC'!C291,'Infos Clientes'!B:B,0))</f>
        <v>IGREJA DO EVANGELHO QUADRANGULAR</v>
      </c>
      <c r="B291" s="106" t="str">
        <f>INDEX('Infos Clientes'!$F:$F,MATCH('Detalhe Por UC'!C291,'Infos Clientes'!B:B,0))</f>
        <v>62.955.505/0577-89</v>
      </c>
      <c r="C291" s="31" t="s">
        <v>237</v>
      </c>
      <c r="D291" t="s">
        <v>351</v>
      </c>
      <c r="E291" s="1" t="s">
        <v>352</v>
      </c>
      <c r="F291" s="56" t="str">
        <f>INDEX('Infos Clientes'!$I:$I,MATCH('Detalhe Por UC'!C291,'Infos Clientes'!B:B,0))</f>
        <v>BT</v>
      </c>
      <c r="G291" s="56" t="str">
        <f>INDEX('Infos Clientes'!$J:$J,MATCH('Detalhe Por UC'!C291,'Infos Clientes'!B:B,0))</f>
        <v>trifasico</v>
      </c>
      <c r="H291" s="108" t="s">
        <v>138</v>
      </c>
      <c r="I291" s="58">
        <f>IFERROR(VLOOKUP(C291,'Infos Clientes'!B:E,4,),"")</f>
        <v>319</v>
      </c>
      <c r="J291" s="109">
        <v>0.25</v>
      </c>
      <c r="K291" s="59">
        <f>INDEX('Infos Clientes'!$M:$M,MATCH('Detalhe Por UC'!C291,'Infos Clientes'!B:B,0))</f>
        <v>0.25</v>
      </c>
      <c r="L291" s="125"/>
      <c r="M291" s="56">
        <f>INDEX('Infos Clientes'!$N:$N,MATCH('Detalhe Por UC'!C291,'Infos Clientes'!B:B,0))</f>
        <v>0</v>
      </c>
      <c r="N291" s="56">
        <f t="shared" si="155"/>
        <v>0</v>
      </c>
      <c r="O291" s="56">
        <f t="shared" si="156"/>
        <v>4</v>
      </c>
      <c r="P291" s="56">
        <f t="shared" si="157"/>
        <v>0</v>
      </c>
      <c r="Q291" s="61">
        <f>IFERROR(IFERROR(INDEX('Infos Clientes'!$A$2:$V$9884,MATCH($C291,'Infos Clientes'!$B$2:$B$9884,0),MATCH(Q$8,'Infos Clientes'!$A$2:$V$2,0)),"")
+IF(OR(INDEX('Infos Clientes'!$A$2:$V$9884,MATCH($C291,'Infos Clientes'!$B$2:$B$9884,0),MATCH("Tempo de Fidelidade (meses)",'Infos Clientes'!$A$2:$V$2,0))=0,R291&gt;=MAX(R:R)),0,
ROUND((MAX(R:R)-R291)/(365/12),0)),"")</f>
        <v>0</v>
      </c>
      <c r="R291" s="111">
        <v>45717</v>
      </c>
      <c r="S291" s="63">
        <v>0.05</v>
      </c>
      <c r="T291" s="113" t="str">
        <f>IF($H291="GIROSSOL II",AP291/INDEX('Resumo Operacional'!$A$1:$P$1103,17,MATCH('Detalhe Por UC'!$R291,'Resumo Operacional'!$A$1:$P$1,0)),
IF($H291="GIROSSOL II e III",AP291/INDEX('Resumo Operacional'!$A$1:$P$1103,17,MATCH('Detalhe Por UC'!$R291,'Resumo Operacional'!$A$1:$P$1,0)),
""))</f>
        <v/>
      </c>
      <c r="U291" s="113">
        <f>IF($H291="GIROSSOL III",AP291/INDEX('Resumo Operacional'!$A$1:$P$1103,53,MATCH('Detalhe Por UC'!$R291,'Resumo Operacional'!$A$1:$P$1,0)),
IF($H291="GIROSSOL II e III",AP291/INDEX('Resumo Operacional'!$A$1:$P$1103,53,MATCH('Detalhe Por UC'!$R291,'Resumo Operacional'!$A$1:$P$1,0)),
""))</f>
        <v>4.9987544631736276E-2</v>
      </c>
      <c r="V291" s="18"/>
      <c r="W291" s="18"/>
      <c r="X291" s="18">
        <v>1.1162575452716297</v>
      </c>
      <c r="Y291" s="18"/>
      <c r="Z291" s="66">
        <v>0.97406976744186058</v>
      </c>
      <c r="AA291" s="18"/>
      <c r="AB291" s="68">
        <v>994</v>
      </c>
      <c r="AC291" s="18"/>
      <c r="AD291" s="69">
        <v>602</v>
      </c>
      <c r="AE291" s="35"/>
      <c r="AF291" s="69">
        <v>0</v>
      </c>
      <c r="AG291" s="69">
        <v>0</v>
      </c>
      <c r="AH291" s="16">
        <v>0</v>
      </c>
      <c r="AI291" s="16">
        <v>0</v>
      </c>
      <c r="AJ291" s="16">
        <v>0</v>
      </c>
      <c r="AN291" s="71">
        <f t="shared" si="158"/>
        <v>0</v>
      </c>
      <c r="AO291" s="71">
        <f t="shared" si="159"/>
        <v>0</v>
      </c>
      <c r="AP291" s="71">
        <f t="shared" si="160"/>
        <v>602</v>
      </c>
      <c r="AQ291" s="72">
        <f>IF(OR($H291="GIROSSOL II",$H291="GIROSSOL II e III"),INDEX('Resumo Operacional'!$A$1:$P$1103,MATCH("Energia Injetada prevista total Fatura da Usina (TUSD)",'Resumo Operacional'!$B$1:$B$1103,0),MATCH('Detalhe Por UC'!$R291,'Resumo Operacional'!$A$1:$P$1,0))*$S291,INDEX('Resumo Operacional'!$A$1:$P$1103,53,MATCH('Detalhe Por UC'!$R291,'Resumo Operacional'!$A$1:$P$1,0))*$S291)</f>
        <v>602.15</v>
      </c>
      <c r="AR291" s="71">
        <f t="shared" si="161"/>
        <v>-0.14999999999997726</v>
      </c>
      <c r="AS291" s="73">
        <f t="shared" si="162"/>
        <v>523.16999999999985</v>
      </c>
      <c r="AT291" s="74">
        <f t="shared" si="163"/>
        <v>523.16999999999985</v>
      </c>
      <c r="AU291" s="74">
        <f t="shared" si="164"/>
        <v>0.83188198961209148</v>
      </c>
      <c r="AV291" s="74">
        <f t="shared" si="165"/>
        <v>439.79250000000008</v>
      </c>
      <c r="AW291" s="74">
        <f t="shared" si="166"/>
        <v>-1.1000000000000001E-5</v>
      </c>
      <c r="AX291" s="74">
        <f t="shared" si="167"/>
        <v>586.38998900000013</v>
      </c>
      <c r="AY291" s="74">
        <f t="shared" si="168"/>
        <v>439.79</v>
      </c>
      <c r="AZ291" s="49">
        <v>439.79</v>
      </c>
      <c r="BA291" s="49">
        <v>439.79</v>
      </c>
      <c r="BC291" s="73" t="str">
        <f t="shared" si="169"/>
        <v/>
      </c>
      <c r="BD291" s="73">
        <f t="shared" si="170"/>
        <v>1109.56</v>
      </c>
      <c r="BE291" s="73">
        <f t="shared" si="171"/>
        <v>962.96249999999986</v>
      </c>
      <c r="BF291" s="77">
        <f t="shared" si="172"/>
        <v>146.6</v>
      </c>
      <c r="BG291" s="77">
        <f t="shared" si="173"/>
        <v>43.98</v>
      </c>
      <c r="BH291" s="77">
        <f t="shared" si="174"/>
        <v>586.3900000000001</v>
      </c>
      <c r="BI291" s="78">
        <f t="shared" si="175"/>
        <v>0.25</v>
      </c>
      <c r="BJ291" s="79">
        <f t="shared" si="176"/>
        <v>0.13212444572623383</v>
      </c>
      <c r="BK291" s="80">
        <f t="shared" si="177"/>
        <v>962.95999999999981</v>
      </c>
      <c r="BL291" s="80">
        <f t="shared" si="178"/>
        <v>146.60000000000014</v>
      </c>
      <c r="BM291" s="79">
        <f t="shared" si="179"/>
        <v>0.13212444572623394</v>
      </c>
      <c r="BN291" s="81">
        <f t="shared" si="180"/>
        <v>0.73054817275747508</v>
      </c>
      <c r="BO291" s="82">
        <f t="shared" si="181"/>
        <v>439.79</v>
      </c>
      <c r="BP291" s="81">
        <f t="shared" si="182"/>
        <v>0.73054817275747508</v>
      </c>
      <c r="BQ291" s="81">
        <f t="shared" si="183"/>
        <v>0.87273595058724418</v>
      </c>
      <c r="BR291" s="81">
        <f t="shared" si="184"/>
        <v>1.1162575452716297</v>
      </c>
      <c r="BS291" s="82">
        <f t="shared" si="185"/>
        <v>602</v>
      </c>
      <c r="BT291" s="82">
        <f t="shared" si="186"/>
        <v>671.98704225352105</v>
      </c>
      <c r="BU291" s="82">
        <f t="shared" si="187"/>
        <v>586.3900000000001</v>
      </c>
      <c r="BW291" s="82">
        <f>IFERROR(INDEX('Infos Clientes'!$T:$T,MATCH('Detalhe Por UC'!$C291,'Infos Clientes'!B:B,0)),"")</f>
        <v>790</v>
      </c>
      <c r="BX291" s="83">
        <f t="shared" si="188"/>
        <v>0</v>
      </c>
      <c r="BY291" s="84">
        <f t="shared" si="189"/>
        <v>0.21815896852471178</v>
      </c>
      <c r="BZ291" s="85">
        <f>IF(_xlfn.MINIFS('Detalhe Por UC'!R:R,'Detalhe Por UC'!C:C,C291,'Detalhe Por UC'!AD:AD,"&gt;"&amp;0)=0,"",_xlfn.MINIFS('Detalhe Por UC'!R:R,'Detalhe Por UC'!C:C,C291,'Detalhe Por UC'!AD:AD,"&gt;"&amp;0))</f>
        <v>45717</v>
      </c>
      <c r="CA291" s="114">
        <f ca="1">IF(OR(S291&gt;0,AD291&gt;0),IFERROR(
SUMIFS(INDIRECT("'Infos Clientes'!$W"&amp;INDEX('Infos Clientes'!$C:$C,MATCH(C291,'Infos Clientes'!$H:$H,0))&amp;":$CZ"&amp;INDEX('Infos Clientes'!$C:$C,MATCH(C291,'Infos Clientes'!$H:$H,0))),'Infos Clientes'!$W$2:$CZ$2,"&gt;"&amp;$R291-365,'Infos Clientes'!$W$2:$CZ$2,"&lt;="&amp;$R291)/
COUNTIFS(INDIRECT("'Infos Clientes'!$W"&amp;INDEX('Infos Clientes'!$C:$C,MATCH(C291,'Infos Clientes'!$H:$H,0))&amp;":$CZ"&amp;INDEX('Infos Clientes'!$C:$C,MATCH(C291,'Infos Clientes'!$H:$H,0))),"&gt;="&amp;0,'Infos Clientes'!$W$2:$CZ$2,"&gt;"&amp;$R291-365,'Infos Clientes'!$W$2:$CZ$2,"&lt;="&amp;$R291),""),"")</f>
        <v>194.5</v>
      </c>
      <c r="CB291" s="87">
        <f>VLOOKUP(C291,'Infos Clientes'!B:L,11,0)</f>
        <v>0</v>
      </c>
      <c r="CC291" s="88" t="str">
        <f t="shared" si="190"/>
        <v>A Unidade Consumidora 10/925970-6 economizou R$146,6 na fatura referente à mar/2025  consumindo 602 kWh em créditos de energia renovável conforme fatura de energia. A economia foi de 25% em relação ao que seria pago para a Energisa considerando os créditos consumidos. Atenção: Mantenha as contas da Energisa em dia para evitar cortes.</v>
      </c>
      <c r="CD291" s="40" t="s">
        <v>96</v>
      </c>
      <c r="CF291" s="115">
        <f t="shared" si="191"/>
        <v>-523.16999999999985</v>
      </c>
      <c r="CG291" t="s">
        <v>355</v>
      </c>
    </row>
    <row r="292" spans="1:85" ht="16.2" hidden="1" customHeight="1" x14ac:dyDescent="0.3">
      <c r="A292" s="105" t="str">
        <f>INDEX('Infos Clientes'!$D:$D,MATCH('Detalhe Por UC'!C292,'Infos Clientes'!B:B,0))</f>
        <v>IGREJA DO EVANGELHO QUADRANGULAR</v>
      </c>
      <c r="B292" s="106" t="str">
        <f>INDEX('Infos Clientes'!$F:$F,MATCH('Detalhe Por UC'!C292,'Infos Clientes'!B:B,0))</f>
        <v>62.955.505/3932-07</v>
      </c>
      <c r="C292" s="107" t="s">
        <v>136</v>
      </c>
      <c r="D292" t="s">
        <v>351</v>
      </c>
      <c r="E292" s="1" t="s">
        <v>352</v>
      </c>
      <c r="F292" s="56" t="str">
        <f>INDEX('Infos Clientes'!$I:$I,MATCH('Detalhe Por UC'!C292,'Infos Clientes'!B:B,0))</f>
        <v>BT</v>
      </c>
      <c r="G292" s="56">
        <f>INDEX('Infos Clientes'!$J:$J,MATCH('Detalhe Por UC'!C292,'Infos Clientes'!B:B,0))</f>
        <v>0</v>
      </c>
      <c r="H292" s="108" t="s">
        <v>138</v>
      </c>
      <c r="I292" s="58">
        <f>IFERROR(VLOOKUP(C292,'Infos Clientes'!B:E,4,),"")</f>
        <v>302</v>
      </c>
      <c r="J292" s="109">
        <v>0.25</v>
      </c>
      <c r="K292" s="59">
        <f>INDEX('Infos Clientes'!$M:$M,MATCH('Detalhe Por UC'!C292,'Infos Clientes'!B:B,0))</f>
        <v>0.25</v>
      </c>
      <c r="L292" s="125"/>
      <c r="M292" s="56">
        <f>INDEX('Infos Clientes'!$N:$N,MATCH('Detalhe Por UC'!C292,'Infos Clientes'!B:B,0))</f>
        <v>0</v>
      </c>
      <c r="N292" s="56">
        <f t="shared" si="155"/>
        <v>0</v>
      </c>
      <c r="O292" s="56">
        <f t="shared" si="156"/>
        <v>0</v>
      </c>
      <c r="P292" s="56">
        <f t="shared" si="157"/>
        <v>0</v>
      </c>
      <c r="Q292" s="61">
        <f>IFERROR(IFERROR(INDEX('Infos Clientes'!$A$2:$V$9884,MATCH($C292,'Infos Clientes'!$B$2:$B$9884,0),MATCH(Q$8,'Infos Clientes'!$A$2:$V$2,0)),"")
+IF(OR(INDEX('Infos Clientes'!$A$2:$V$9884,MATCH($C292,'Infos Clientes'!$B$2:$B$9884,0),MATCH("Tempo de Fidelidade (meses)",'Infos Clientes'!$A$2:$V$2,0))=0,R292&gt;=MAX(R:R)),0,
ROUND((MAX(R:R)-R292)/(365/12),0)),"")</f>
        <v>0</v>
      </c>
      <c r="R292" s="111">
        <v>45717</v>
      </c>
      <c r="S292" s="63">
        <v>0</v>
      </c>
      <c r="T292" s="113" t="str">
        <f>IF($H292="GIROSSOL II",AP292/INDEX('Resumo Operacional'!$A$1:$P$1103,17,MATCH('Detalhe Por UC'!$R292,'Resumo Operacional'!$A$1:$P$1,0)),
IF($H292="GIROSSOL II e III",AP292/INDEX('Resumo Operacional'!$A$1:$P$1103,17,MATCH('Detalhe Por UC'!$R292,'Resumo Operacional'!$A$1:$P$1,0)),
""))</f>
        <v/>
      </c>
      <c r="U292" s="113">
        <f>IF($H292="GIROSSOL III",AP292/INDEX('Resumo Operacional'!$A$1:$P$1103,53,MATCH('Detalhe Por UC'!$R292,'Resumo Operacional'!$A$1:$P$1,0)),
IF($H292="GIROSSOL II e III",AP292/INDEX('Resumo Operacional'!$A$1:$P$1103,53,MATCH('Detalhe Por UC'!$R292,'Resumo Operacional'!$A$1:$P$1,0)),
""))</f>
        <v>0</v>
      </c>
      <c r="V292" s="18"/>
      <c r="W292" s="18"/>
      <c r="X292" s="18">
        <v>0</v>
      </c>
      <c r="Y292" s="18"/>
      <c r="Z292" s="66">
        <v>0</v>
      </c>
      <c r="AA292" s="18"/>
      <c r="AB292" s="68">
        <v>0</v>
      </c>
      <c r="AC292" s="18"/>
      <c r="AD292" s="69">
        <v>0</v>
      </c>
      <c r="AE292" s="35"/>
      <c r="AF292" s="69">
        <v>0</v>
      </c>
      <c r="AG292" s="69">
        <v>0</v>
      </c>
      <c r="AH292" s="16">
        <v>0</v>
      </c>
      <c r="AI292" s="16">
        <v>0</v>
      </c>
      <c r="AJ292" s="16">
        <v>0</v>
      </c>
      <c r="AN292" s="71">
        <f t="shared" si="158"/>
        <v>0</v>
      </c>
      <c r="AO292" s="71">
        <f t="shared" si="159"/>
        <v>0</v>
      </c>
      <c r="AP292" s="71">
        <f t="shared" si="160"/>
        <v>0</v>
      </c>
      <c r="AQ292" s="72">
        <f>IF(OR($H292="GIROSSOL II",$H292="GIROSSOL II e III"),INDEX('Resumo Operacional'!$A$1:$P$1103,MATCH("Energia Injetada prevista total Fatura da Usina (TUSD)",'Resumo Operacional'!$B$1:$B$1103,0),MATCH('Detalhe Por UC'!$R292,'Resumo Operacional'!$A$1:$P$1,0))*$S292,INDEX('Resumo Operacional'!$A$1:$P$1103,53,MATCH('Detalhe Por UC'!$R292,'Resumo Operacional'!$A$1:$P$1,0))*$S292)</f>
        <v>0</v>
      </c>
      <c r="AR292" s="71">
        <f t="shared" si="161"/>
        <v>0</v>
      </c>
      <c r="AS292" s="73">
        <f t="shared" si="162"/>
        <v>0</v>
      </c>
      <c r="AT292" s="74">
        <f t="shared" si="163"/>
        <v>0</v>
      </c>
      <c r="AU292" s="74" t="str">
        <f t="shared" si="164"/>
        <v/>
      </c>
      <c r="AV292" s="74">
        <f t="shared" si="165"/>
        <v>0</v>
      </c>
      <c r="AW292" s="74">
        <f t="shared" si="166"/>
        <v>0</v>
      </c>
      <c r="AX292" s="74">
        <f t="shared" si="167"/>
        <v>0</v>
      </c>
      <c r="AY292" s="74" t="str">
        <f t="shared" si="168"/>
        <v/>
      </c>
      <c r="AZ292" s="49" t="s">
        <v>354</v>
      </c>
      <c r="BA292" s="49">
        <v>0</v>
      </c>
      <c r="BC292" s="73" t="str">
        <f t="shared" si="169"/>
        <v/>
      </c>
      <c r="BD292" s="73">
        <f t="shared" si="170"/>
        <v>0</v>
      </c>
      <c r="BE292" s="73">
        <f t="shared" si="171"/>
        <v>0</v>
      </c>
      <c r="BF292" s="77">
        <f t="shared" si="172"/>
        <v>0</v>
      </c>
      <c r="BG292" s="77">
        <f t="shared" si="173"/>
        <v>0</v>
      </c>
      <c r="BH292" s="77">
        <f t="shared" si="174"/>
        <v>0</v>
      </c>
      <c r="BI292" s="78" t="str">
        <f t="shared" si="175"/>
        <v/>
      </c>
      <c r="BJ292" s="79" t="str">
        <f t="shared" si="176"/>
        <v/>
      </c>
      <c r="BK292" s="80" t="str">
        <f t="shared" si="177"/>
        <v/>
      </c>
      <c r="BL292" s="80" t="str">
        <f t="shared" si="178"/>
        <v/>
      </c>
      <c r="BM292" s="79" t="str">
        <f t="shared" si="179"/>
        <v/>
      </c>
      <c r="BN292" s="81" t="str">
        <f t="shared" si="180"/>
        <v/>
      </c>
      <c r="BO292" s="82" t="str">
        <f t="shared" si="181"/>
        <v/>
      </c>
      <c r="BP292" s="81" t="str">
        <f t="shared" si="182"/>
        <v/>
      </c>
      <c r="BQ292" s="81" t="str">
        <f t="shared" si="183"/>
        <v/>
      </c>
      <c r="BR292" s="81" t="str">
        <f t="shared" si="184"/>
        <v/>
      </c>
      <c r="BS292" s="82">
        <f t="shared" si="185"/>
        <v>0</v>
      </c>
      <c r="BT292" s="82" t="str">
        <f t="shared" si="186"/>
        <v/>
      </c>
      <c r="BU292" s="82">
        <f t="shared" si="187"/>
        <v>0</v>
      </c>
      <c r="BW292" s="82">
        <f>IFERROR(INDEX('Infos Clientes'!$T:$T,MATCH('Detalhe Por UC'!$C292,'Infos Clientes'!B:B,0)),"")</f>
        <v>0</v>
      </c>
      <c r="BX292" s="83">
        <f t="shared" si="188"/>
        <v>0</v>
      </c>
      <c r="BY292" s="84" t="str">
        <f t="shared" si="189"/>
        <v/>
      </c>
      <c r="BZ292" s="85" t="str">
        <f>IF(_xlfn.MINIFS('Detalhe Por UC'!R:R,'Detalhe Por UC'!C:C,C292,'Detalhe Por UC'!AD:AD,"&gt;"&amp;0)=0,"",_xlfn.MINIFS('Detalhe Por UC'!R:R,'Detalhe Por UC'!C:C,C292,'Detalhe Por UC'!AD:AD,"&gt;"&amp;0))</f>
        <v/>
      </c>
      <c r="CA292" s="114" t="str">
        <f ca="1">IF(OR(S292&gt;0,AD292&gt;0),IFERROR(
SUMIFS(INDIRECT("'Infos Clientes'!$W"&amp;INDEX('Infos Clientes'!$C:$C,MATCH(C292,'Infos Clientes'!$H:$H,0))&amp;":$CZ"&amp;INDEX('Infos Clientes'!$C:$C,MATCH(C292,'Infos Clientes'!$H:$H,0))),'Infos Clientes'!$W$2:$CZ$2,"&gt;"&amp;$R292-365,'Infos Clientes'!$W$2:$CZ$2,"&lt;="&amp;$R292)/
COUNTIFS(INDIRECT("'Infos Clientes'!$W"&amp;INDEX('Infos Clientes'!$C:$C,MATCH(C292,'Infos Clientes'!$H:$H,0))&amp;":$CZ"&amp;INDEX('Infos Clientes'!$C:$C,MATCH(C292,'Infos Clientes'!$H:$H,0))),"&gt;="&amp;0,'Infos Clientes'!$W$2:$CZ$2,"&gt;"&amp;$R292-365,'Infos Clientes'!$W$2:$CZ$2,"&lt;="&amp;$R292),""),"")</f>
        <v/>
      </c>
      <c r="CB292" s="87">
        <f>VLOOKUP(C292,'Infos Clientes'!B:L,11,0)</f>
        <v>0</v>
      </c>
      <c r="CC292" s="88" t="str">
        <f t="shared" si="190"/>
        <v>A Unidade Consumidora 10/10731-8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2" s="40" t="s">
        <v>137</v>
      </c>
      <c r="CF292" s="115">
        <f t="shared" si="191"/>
        <v>0</v>
      </c>
    </row>
    <row r="293" spans="1:85" ht="16.2" hidden="1" customHeight="1" x14ac:dyDescent="0.3">
      <c r="A293" s="105" t="str">
        <f>INDEX('Infos Clientes'!$D:$D,MATCH('Detalhe Por UC'!C293,'Infos Clientes'!B:B,0))</f>
        <v>IGREJA DO EVANGELHO QUADRANGULAR</v>
      </c>
      <c r="B293" s="106" t="str">
        <f>INDEX('Infos Clientes'!$F:$F,MATCH('Detalhe Por UC'!C293,'Infos Clientes'!B:B,0))</f>
        <v>62.955.505/0585-99</v>
      </c>
      <c r="C293" s="31" t="s">
        <v>225</v>
      </c>
      <c r="D293" t="s">
        <v>351</v>
      </c>
      <c r="E293" s="1" t="s">
        <v>352</v>
      </c>
      <c r="F293" s="56" t="str">
        <f>INDEX('Infos Clientes'!$I:$I,MATCH('Detalhe Por UC'!C293,'Infos Clientes'!B:B,0))</f>
        <v>BT</v>
      </c>
      <c r="G293" s="56" t="str">
        <f>INDEX('Infos Clientes'!$J:$J,MATCH('Detalhe Por UC'!C293,'Infos Clientes'!B:B,0))</f>
        <v>trifasico</v>
      </c>
      <c r="H293" s="108" t="s">
        <v>138</v>
      </c>
      <c r="I293" s="58">
        <f>IFERROR(VLOOKUP(C293,'Infos Clientes'!B:E,4,),"")</f>
        <v>302</v>
      </c>
      <c r="J293" s="109">
        <v>0.25</v>
      </c>
      <c r="K293" s="59">
        <f>INDEX('Infos Clientes'!$M:$M,MATCH('Detalhe Por UC'!C293,'Infos Clientes'!B:B,0))</f>
        <v>0.25</v>
      </c>
      <c r="L293" s="125"/>
      <c r="M293" s="56">
        <f>INDEX('Infos Clientes'!$N:$N,MATCH('Detalhe Por UC'!C293,'Infos Clientes'!B:B,0))</f>
        <v>0</v>
      </c>
      <c r="N293" s="56">
        <f t="shared" si="155"/>
        <v>0</v>
      </c>
      <c r="O293" s="56">
        <f t="shared" si="156"/>
        <v>9</v>
      </c>
      <c r="P293" s="56">
        <f t="shared" si="157"/>
        <v>0</v>
      </c>
      <c r="Q293" s="61">
        <f>IFERROR(IFERROR(INDEX('Infos Clientes'!$A$2:$V$9884,MATCH($C293,'Infos Clientes'!$B$2:$B$9884,0),MATCH(Q$8,'Infos Clientes'!$A$2:$V$2,0)),"")
+IF(OR(INDEX('Infos Clientes'!$A$2:$V$9884,MATCH($C293,'Infos Clientes'!$B$2:$B$9884,0),MATCH("Tempo de Fidelidade (meses)",'Infos Clientes'!$A$2:$V$2,0))=0,R293&gt;=MAX(R:R)),0,
ROUND((MAX(R:R)-R293)/(365/12),0)),"")</f>
        <v>0</v>
      </c>
      <c r="R293" s="111">
        <v>45717</v>
      </c>
      <c r="S293" s="63">
        <v>0.02</v>
      </c>
      <c r="T293" s="113" t="str">
        <f>IF($H293="GIROSSOL II",AP293/INDEX('Resumo Operacional'!$A$1:$P$1103,17,MATCH('Detalhe Por UC'!$R293,'Resumo Operacional'!$A$1:$P$1,0)),
IF($H293="GIROSSOL II e III",AP293/INDEX('Resumo Operacional'!$A$1:$P$1103,17,MATCH('Detalhe Por UC'!$R293,'Resumo Operacional'!$A$1:$P$1,0)),
""))</f>
        <v/>
      </c>
      <c r="U293" s="113">
        <f>IF($H293="GIROSSOL III",AP293/INDEX('Resumo Operacional'!$A$1:$P$1103,53,MATCH('Detalhe Por UC'!$R293,'Resumo Operacional'!$A$1:$P$1,0)),
IF($H293="GIROSSOL II e III",AP293/INDEX('Resumo Operacional'!$A$1:$P$1103,53,MATCH('Detalhe Por UC'!$R293,'Resumo Operacional'!$A$1:$P$1,0)),
""))</f>
        <v>0</v>
      </c>
      <c r="V293" s="18"/>
      <c r="W293" s="18"/>
      <c r="X293" s="18">
        <v>1.1162558502340094</v>
      </c>
      <c r="Y293" s="18"/>
      <c r="Z293" s="66">
        <v>0</v>
      </c>
      <c r="AA293" s="18"/>
      <c r="AB293" s="68">
        <v>641</v>
      </c>
      <c r="AC293" s="18"/>
      <c r="AD293" s="69">
        <v>0</v>
      </c>
      <c r="AE293" s="35"/>
      <c r="AF293" s="69">
        <v>0</v>
      </c>
      <c r="AG293" s="69">
        <v>0</v>
      </c>
      <c r="AH293" s="16">
        <v>99.72999999999999</v>
      </c>
      <c r="AI293" s="16">
        <v>0</v>
      </c>
      <c r="AJ293" s="16">
        <v>0</v>
      </c>
      <c r="AN293" s="71">
        <f t="shared" si="158"/>
        <v>0</v>
      </c>
      <c r="AO293" s="71">
        <f t="shared" si="159"/>
        <v>0</v>
      </c>
      <c r="AP293" s="71">
        <f t="shared" si="160"/>
        <v>0</v>
      </c>
      <c r="AQ293" s="72">
        <f>IF(OR($H293="GIROSSOL II",$H293="GIROSSOL II e III"),INDEX('Resumo Operacional'!$A$1:$P$1103,MATCH("Energia Injetada prevista total Fatura da Usina (TUSD)",'Resumo Operacional'!$B$1:$B$1103,0),MATCH('Detalhe Por UC'!$R293,'Resumo Operacional'!$A$1:$P$1,0))*$S293,INDEX('Resumo Operacional'!$A$1:$P$1103,53,MATCH('Detalhe Por UC'!$R293,'Resumo Operacional'!$A$1:$P$1,0))*$S293)</f>
        <v>240.86</v>
      </c>
      <c r="AR293" s="71">
        <f t="shared" si="161"/>
        <v>-240.86</v>
      </c>
      <c r="AS293" s="73">
        <f t="shared" si="162"/>
        <v>815.25</v>
      </c>
      <c r="AT293" s="74">
        <f t="shared" si="163"/>
        <v>815.25</v>
      </c>
      <c r="AU293" s="74" t="str">
        <f t="shared" si="164"/>
        <v/>
      </c>
      <c r="AV293" s="74">
        <f t="shared" si="165"/>
        <v>0</v>
      </c>
      <c r="AW293" s="74">
        <f t="shared" si="166"/>
        <v>0</v>
      </c>
      <c r="AX293" s="74">
        <f t="shared" si="167"/>
        <v>0</v>
      </c>
      <c r="AY293" s="74" t="str">
        <f t="shared" si="168"/>
        <v/>
      </c>
      <c r="AZ293" s="49" t="s">
        <v>354</v>
      </c>
      <c r="BA293" s="49">
        <v>0</v>
      </c>
      <c r="BC293" s="73" t="str">
        <f t="shared" si="169"/>
        <v/>
      </c>
      <c r="BD293" s="73">
        <f t="shared" si="170"/>
        <v>815.25</v>
      </c>
      <c r="BE293" s="73">
        <f t="shared" si="171"/>
        <v>815.25</v>
      </c>
      <c r="BF293" s="77">
        <f t="shared" si="172"/>
        <v>0</v>
      </c>
      <c r="BG293" s="77">
        <f t="shared" si="173"/>
        <v>0</v>
      </c>
      <c r="BH293" s="77">
        <f t="shared" si="174"/>
        <v>0</v>
      </c>
      <c r="BI293" s="78" t="str">
        <f t="shared" si="175"/>
        <v/>
      </c>
      <c r="BJ293" s="79">
        <f t="shared" si="176"/>
        <v>0</v>
      </c>
      <c r="BK293" s="80" t="str">
        <f t="shared" si="177"/>
        <v/>
      </c>
      <c r="BL293" s="80" t="str">
        <f t="shared" si="178"/>
        <v/>
      </c>
      <c r="BM293" s="79" t="str">
        <f t="shared" si="179"/>
        <v/>
      </c>
      <c r="BN293" s="81" t="str">
        <f t="shared" si="180"/>
        <v/>
      </c>
      <c r="BO293" s="82" t="str">
        <f t="shared" si="181"/>
        <v/>
      </c>
      <c r="BP293" s="81" t="str">
        <f t="shared" si="182"/>
        <v/>
      </c>
      <c r="BQ293" s="81" t="str">
        <f t="shared" si="183"/>
        <v/>
      </c>
      <c r="BR293" s="81" t="str">
        <f t="shared" si="184"/>
        <v/>
      </c>
      <c r="BS293" s="82">
        <f t="shared" si="185"/>
        <v>0</v>
      </c>
      <c r="BT293" s="82" t="str">
        <f t="shared" si="186"/>
        <v/>
      </c>
      <c r="BU293" s="82">
        <f t="shared" si="187"/>
        <v>0</v>
      </c>
      <c r="BW293" s="82">
        <f>IFERROR(INDEX('Infos Clientes'!$T:$T,MATCH('Detalhe Por UC'!$C293,'Infos Clientes'!B:B,0)),"")</f>
        <v>352.63636363636363</v>
      </c>
      <c r="BX293" s="83">
        <f t="shared" si="188"/>
        <v>0</v>
      </c>
      <c r="BY293" s="84" t="str">
        <f t="shared" si="189"/>
        <v/>
      </c>
      <c r="BZ293" s="85">
        <f>IF(_xlfn.MINIFS('Detalhe Por UC'!R:R,'Detalhe Por UC'!C:C,C293,'Detalhe Por UC'!AD:AD,"&gt;"&amp;0)=0,"",_xlfn.MINIFS('Detalhe Por UC'!R:R,'Detalhe Por UC'!C:C,C293,'Detalhe Por UC'!AD:AD,"&gt;"&amp;0))</f>
        <v>45658</v>
      </c>
      <c r="CA293" s="114">
        <f ca="1">IF(OR(S293&gt;0,AD293&gt;0),IFERROR(
SUMIFS(INDIRECT("'Infos Clientes'!$W"&amp;INDEX('Infos Clientes'!$C:$C,MATCH(C293,'Infos Clientes'!$H:$H,0))&amp;":$CZ"&amp;INDEX('Infos Clientes'!$C:$C,MATCH(C293,'Infos Clientes'!$H:$H,0))),'Infos Clientes'!$W$2:$CZ$2,"&gt;"&amp;$R293-365,'Infos Clientes'!$W$2:$CZ$2,"&lt;="&amp;$R293)/
COUNTIFS(INDIRECT("'Infos Clientes'!$W"&amp;INDEX('Infos Clientes'!$C:$C,MATCH(C293,'Infos Clientes'!$H:$H,0))&amp;":$CZ"&amp;INDEX('Infos Clientes'!$C:$C,MATCH(C293,'Infos Clientes'!$H:$H,0))),"&gt;="&amp;0,'Infos Clientes'!$W$2:$CZ$2,"&gt;"&amp;$R293-365,'Infos Clientes'!$W$2:$CZ$2,"&lt;="&amp;$R293),""),"")</f>
        <v>345.33333333333331</v>
      </c>
      <c r="CB293" s="87">
        <f>VLOOKUP(C293,'Infos Clientes'!B:L,11,0)</f>
        <v>0</v>
      </c>
      <c r="CC293" s="88" t="str">
        <f t="shared" si="190"/>
        <v>A Unidade Consumidora 10/76927-3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3" s="40" t="s">
        <v>227</v>
      </c>
      <c r="CF293" s="115">
        <f t="shared" si="191"/>
        <v>-815.25</v>
      </c>
    </row>
    <row r="294" spans="1:85" ht="16.2" hidden="1" customHeight="1" x14ac:dyDescent="0.3">
      <c r="A294" s="105" t="str">
        <f>INDEX('Infos Clientes'!$D:$D,MATCH('Detalhe Por UC'!C294,'Infos Clientes'!B:B,0))</f>
        <v>IGREJA DO EVANGELHO QUADRANGULAR</v>
      </c>
      <c r="B294" s="106" t="str">
        <f>INDEX('Infos Clientes'!$F:$F,MATCH('Detalhe Por UC'!C294,'Infos Clientes'!B:B,0))</f>
        <v>62.955.505/1138-75</v>
      </c>
      <c r="C294" s="31" t="s">
        <v>157</v>
      </c>
      <c r="D294" t="s">
        <v>351</v>
      </c>
      <c r="E294" s="1" t="s">
        <v>352</v>
      </c>
      <c r="F294" s="56" t="str">
        <f>INDEX('Infos Clientes'!$I:$I,MATCH('Detalhe Por UC'!C294,'Infos Clientes'!B:B,0))</f>
        <v>BT</v>
      </c>
      <c r="G294" s="56" t="str">
        <f>INDEX('Infos Clientes'!$J:$J,MATCH('Detalhe Por UC'!C294,'Infos Clientes'!B:B,0))</f>
        <v>bifasico</v>
      </c>
      <c r="H294" s="108" t="s">
        <v>138</v>
      </c>
      <c r="I294" s="58">
        <f>IFERROR(VLOOKUP(C294,'Infos Clientes'!B:E,4,),"")</f>
        <v>358</v>
      </c>
      <c r="J294" s="109">
        <v>0.25</v>
      </c>
      <c r="K294" s="59">
        <f>INDEX('Infos Clientes'!$M:$M,MATCH('Detalhe Por UC'!C294,'Infos Clientes'!B:B,0))</f>
        <v>0.25</v>
      </c>
      <c r="L294" s="125"/>
      <c r="M294" s="56">
        <f>INDEX('Infos Clientes'!$N:$N,MATCH('Detalhe Por UC'!C294,'Infos Clientes'!B:B,0))</f>
        <v>0</v>
      </c>
      <c r="N294" s="56">
        <f t="shared" si="155"/>
        <v>0</v>
      </c>
      <c r="O294" s="56">
        <f t="shared" si="156"/>
        <v>9</v>
      </c>
      <c r="P294" s="56">
        <f t="shared" si="157"/>
        <v>0</v>
      </c>
      <c r="Q294" s="61">
        <f>IFERROR(IFERROR(INDEX('Infos Clientes'!$A$2:$V$9884,MATCH($C294,'Infos Clientes'!$B$2:$B$9884,0),MATCH(Q$8,'Infos Clientes'!$A$2:$V$2,0)),"")
+IF(OR(INDEX('Infos Clientes'!$A$2:$V$9884,MATCH($C294,'Infos Clientes'!$B$2:$B$9884,0),MATCH("Tempo de Fidelidade (meses)",'Infos Clientes'!$A$2:$V$2,0))=0,R294&gt;=MAX(R:R)),0,
ROUND((MAX(R:R)-R294)/(365/12),0)),"")</f>
        <v>0</v>
      </c>
      <c r="R294" s="111">
        <v>45717</v>
      </c>
      <c r="S294" s="63">
        <v>0.03</v>
      </c>
      <c r="T294" s="113" t="str">
        <f>IF($H294="GIROSSOL II",AP294/INDEX('Resumo Operacional'!$A$1:$P$1103,17,MATCH('Detalhe Por UC'!$R294,'Resumo Operacional'!$A$1:$P$1,0)),
IF($H294="GIROSSOL II e III",AP294/INDEX('Resumo Operacional'!$A$1:$P$1103,17,MATCH('Detalhe Por UC'!$R294,'Resumo Operacional'!$A$1:$P$1,0)),
""))</f>
        <v/>
      </c>
      <c r="U294" s="113">
        <f>IF($H294="GIROSSOL III",AP294/INDEX('Resumo Operacional'!$A$1:$P$1103,53,MATCH('Detalhe Por UC'!$R294,'Resumo Operacional'!$A$1:$P$1,0)),
IF($H294="GIROSSOL II e III",AP294/INDEX('Resumo Operacional'!$A$1:$P$1103,53,MATCH('Detalhe Por UC'!$R294,'Resumo Operacional'!$A$1:$P$1,0)),
""))</f>
        <v>0</v>
      </c>
      <c r="V294" s="18"/>
      <c r="W294" s="18"/>
      <c r="X294" s="18">
        <v>1.1162555066079294</v>
      </c>
      <c r="Y294" s="18"/>
      <c r="Z294" s="66">
        <v>0</v>
      </c>
      <c r="AA294" s="18"/>
      <c r="AB294" s="68">
        <v>681</v>
      </c>
      <c r="AC294" s="18"/>
      <c r="AD294" s="69">
        <v>0</v>
      </c>
      <c r="AE294" s="35"/>
      <c r="AF294" s="69">
        <v>0</v>
      </c>
      <c r="AG294" s="69">
        <v>0</v>
      </c>
      <c r="AH294" s="16">
        <v>119.64999999999999</v>
      </c>
      <c r="AI294" s="16">
        <v>0</v>
      </c>
      <c r="AJ294" s="16">
        <v>0</v>
      </c>
      <c r="AN294" s="71">
        <f t="shared" si="158"/>
        <v>0</v>
      </c>
      <c r="AO294" s="71">
        <f t="shared" si="159"/>
        <v>0</v>
      </c>
      <c r="AP294" s="71">
        <f t="shared" si="160"/>
        <v>0</v>
      </c>
      <c r="AQ294" s="72">
        <f>IF(OR($H294="GIROSSOL II",$H294="GIROSSOL II e III"),INDEX('Resumo Operacional'!$A$1:$P$1103,MATCH("Energia Injetada prevista total Fatura da Usina (TUSD)",'Resumo Operacional'!$B$1:$B$1103,0),MATCH('Detalhe Por UC'!$R294,'Resumo Operacional'!$A$1:$P$1,0))*$S294,INDEX('Resumo Operacional'!$A$1:$P$1103,53,MATCH('Detalhe Por UC'!$R294,'Resumo Operacional'!$A$1:$P$1,0))*$S294)</f>
        <v>361.28999999999996</v>
      </c>
      <c r="AR294" s="71">
        <f t="shared" si="161"/>
        <v>-361.28999999999996</v>
      </c>
      <c r="AS294" s="73">
        <f t="shared" si="162"/>
        <v>879.81999999999994</v>
      </c>
      <c r="AT294" s="74">
        <f t="shared" si="163"/>
        <v>879.81999999999994</v>
      </c>
      <c r="AU294" s="74" t="str">
        <f t="shared" si="164"/>
        <v/>
      </c>
      <c r="AV294" s="74">
        <f t="shared" si="165"/>
        <v>0</v>
      </c>
      <c r="AW294" s="74">
        <f t="shared" si="166"/>
        <v>0</v>
      </c>
      <c r="AX294" s="74">
        <f t="shared" si="167"/>
        <v>0</v>
      </c>
      <c r="AY294" s="74" t="str">
        <f t="shared" si="168"/>
        <v/>
      </c>
      <c r="AZ294" s="49" t="s">
        <v>354</v>
      </c>
      <c r="BA294" s="49">
        <v>0</v>
      </c>
      <c r="BC294" s="73" t="str">
        <f t="shared" si="169"/>
        <v/>
      </c>
      <c r="BD294" s="73">
        <f t="shared" si="170"/>
        <v>879.81999999999994</v>
      </c>
      <c r="BE294" s="73">
        <f t="shared" si="171"/>
        <v>879.81999999999994</v>
      </c>
      <c r="BF294" s="77">
        <f t="shared" si="172"/>
        <v>0</v>
      </c>
      <c r="BG294" s="77">
        <f t="shared" si="173"/>
        <v>0</v>
      </c>
      <c r="BH294" s="77">
        <f t="shared" si="174"/>
        <v>0</v>
      </c>
      <c r="BI294" s="78" t="str">
        <f t="shared" si="175"/>
        <v/>
      </c>
      <c r="BJ294" s="79">
        <f t="shared" si="176"/>
        <v>0</v>
      </c>
      <c r="BK294" s="80" t="str">
        <f t="shared" si="177"/>
        <v/>
      </c>
      <c r="BL294" s="80" t="str">
        <f t="shared" si="178"/>
        <v/>
      </c>
      <c r="BM294" s="79" t="str">
        <f t="shared" si="179"/>
        <v/>
      </c>
      <c r="BN294" s="81" t="str">
        <f t="shared" si="180"/>
        <v/>
      </c>
      <c r="BO294" s="82" t="str">
        <f t="shared" si="181"/>
        <v/>
      </c>
      <c r="BP294" s="81" t="str">
        <f t="shared" si="182"/>
        <v/>
      </c>
      <c r="BQ294" s="81" t="str">
        <f t="shared" si="183"/>
        <v/>
      </c>
      <c r="BR294" s="81" t="str">
        <f t="shared" si="184"/>
        <v/>
      </c>
      <c r="BS294" s="82">
        <f t="shared" si="185"/>
        <v>0</v>
      </c>
      <c r="BT294" s="82" t="str">
        <f t="shared" si="186"/>
        <v/>
      </c>
      <c r="BU294" s="82">
        <f t="shared" si="187"/>
        <v>0</v>
      </c>
      <c r="BW294" s="82">
        <f>IFERROR(INDEX('Infos Clientes'!$T:$T,MATCH('Detalhe Por UC'!$C294,'Infos Clientes'!B:B,0)),"")</f>
        <v>449.81818181818181</v>
      </c>
      <c r="BX294" s="83">
        <f t="shared" si="188"/>
        <v>0</v>
      </c>
      <c r="BY294" s="84" t="str">
        <f t="shared" si="189"/>
        <v/>
      </c>
      <c r="BZ294" s="85">
        <f>IF(_xlfn.MINIFS('Detalhe Por UC'!R:R,'Detalhe Por UC'!C:C,C294,'Detalhe Por UC'!AD:AD,"&gt;"&amp;0)=0,"",_xlfn.MINIFS('Detalhe Por UC'!R:R,'Detalhe Por UC'!C:C,C294,'Detalhe Por UC'!AD:AD,"&gt;"&amp;0))</f>
        <v>45658</v>
      </c>
      <c r="CA294" s="114">
        <f ca="1">IF(OR(S294&gt;0,AD294&gt;0),IFERROR(
SUMIFS(INDIRECT("'Infos Clientes'!$W"&amp;INDEX('Infos Clientes'!$C:$C,MATCH(C294,'Infos Clientes'!$H:$H,0))&amp;":$CZ"&amp;INDEX('Infos Clientes'!$C:$C,MATCH(C294,'Infos Clientes'!$H:$H,0))),'Infos Clientes'!$W$2:$CZ$2,"&gt;"&amp;$R294-365,'Infos Clientes'!$W$2:$CZ$2,"&lt;="&amp;$R294)/
COUNTIFS(INDIRECT("'Infos Clientes'!$W"&amp;INDEX('Infos Clientes'!$C:$C,MATCH(C294,'Infos Clientes'!$H:$H,0))&amp;":$CZ"&amp;INDEX('Infos Clientes'!$C:$C,MATCH(C294,'Infos Clientes'!$H:$H,0))),"&gt;="&amp;0,'Infos Clientes'!$W$2:$CZ$2,"&gt;"&amp;$R294-365,'Infos Clientes'!$W$2:$CZ$2,"&lt;="&amp;$R294),""),"")</f>
        <v>442.58333333333331</v>
      </c>
      <c r="CB294" s="87">
        <f>VLOOKUP(C294,'Infos Clientes'!B:L,11,0)</f>
        <v>0</v>
      </c>
      <c r="CC294" s="88" t="str">
        <f t="shared" si="190"/>
        <v>A Unidade Consumidora 10/142353-2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4" s="40" t="s">
        <v>159</v>
      </c>
      <c r="CF294" s="115">
        <f t="shared" si="191"/>
        <v>-879.81999999999994</v>
      </c>
    </row>
    <row r="295" spans="1:85" ht="16.2" hidden="1" customHeight="1" x14ac:dyDescent="0.3">
      <c r="A295" s="105" t="str">
        <f>INDEX('Infos Clientes'!$D:$D,MATCH('Detalhe Por UC'!C295,'Infos Clientes'!B:B,0))</f>
        <v>IGREJA DO EVANGELHO QUADRANGULAR</v>
      </c>
      <c r="B295" s="106" t="str">
        <f>INDEX('Infos Clientes'!$F:$F,MATCH('Detalhe Por UC'!C295,'Infos Clientes'!B:B,0))</f>
        <v>62.955.505/3574-05</v>
      </c>
      <c r="C295" s="31" t="s">
        <v>203</v>
      </c>
      <c r="D295" t="s">
        <v>351</v>
      </c>
      <c r="E295" s="1" t="s">
        <v>352</v>
      </c>
      <c r="F295" s="56" t="str">
        <f>INDEX('Infos Clientes'!$I:$I,MATCH('Detalhe Por UC'!C295,'Infos Clientes'!B:B,0))</f>
        <v>BT</v>
      </c>
      <c r="G295" s="56" t="str">
        <f>INDEX('Infos Clientes'!$J:$J,MATCH('Detalhe Por UC'!C295,'Infos Clientes'!B:B,0))</f>
        <v>trifasico</v>
      </c>
      <c r="H295" s="108" t="s">
        <v>138</v>
      </c>
      <c r="I295" s="58">
        <f>IFERROR(VLOOKUP(C295,'Infos Clientes'!B:E,4,),"")</f>
        <v>306</v>
      </c>
      <c r="J295" s="109">
        <v>0.25</v>
      </c>
      <c r="K295" s="59">
        <f>INDEX('Infos Clientes'!$M:$M,MATCH('Detalhe Por UC'!C295,'Infos Clientes'!B:B,0))</f>
        <v>0.25</v>
      </c>
      <c r="L295" s="125"/>
      <c r="M295" s="56">
        <f>INDEX('Infos Clientes'!$N:$N,MATCH('Detalhe Por UC'!C295,'Infos Clientes'!B:B,0))</f>
        <v>0</v>
      </c>
      <c r="N295" s="56">
        <f t="shared" si="155"/>
        <v>0</v>
      </c>
      <c r="O295" s="56">
        <f t="shared" si="156"/>
        <v>10</v>
      </c>
      <c r="P295" s="56">
        <f t="shared" si="157"/>
        <v>0</v>
      </c>
      <c r="Q295" s="61">
        <f>IFERROR(IFERROR(INDEX('Infos Clientes'!$A$2:$V$9884,MATCH($C295,'Infos Clientes'!$B$2:$B$9884,0),MATCH(Q$8,'Infos Clientes'!$A$2:$V$2,0)),"")
+IF(OR(INDEX('Infos Clientes'!$A$2:$V$9884,MATCH($C295,'Infos Clientes'!$B$2:$B$9884,0),MATCH("Tempo de Fidelidade (meses)",'Infos Clientes'!$A$2:$V$2,0))=0,R295&gt;=MAX(R:R)),0,
ROUND((MAX(R:R)-R295)/(365/12),0)),"")</f>
        <v>0</v>
      </c>
      <c r="R295" s="111">
        <v>45717</v>
      </c>
      <c r="S295" s="63">
        <v>0.02</v>
      </c>
      <c r="T295" s="113" t="str">
        <f>IF($H295="GIROSSOL II",AP295/INDEX('Resumo Operacional'!$A$1:$P$1103,17,MATCH('Detalhe Por UC'!$R295,'Resumo Operacional'!$A$1:$P$1,0)),
IF($H295="GIROSSOL II e III",AP295/INDEX('Resumo Operacional'!$A$1:$P$1103,17,MATCH('Detalhe Por UC'!$R295,'Resumo Operacional'!$A$1:$P$1,0)),
""))</f>
        <v/>
      </c>
      <c r="U295" s="113">
        <f>IF($H295="GIROSSOL III",AP295/INDEX('Resumo Operacional'!$A$1:$P$1103,53,MATCH('Detalhe Por UC'!$R295,'Resumo Operacional'!$A$1:$P$1,0)),
IF($H295="GIROSSOL II e III",AP295/INDEX('Resumo Operacional'!$A$1:$P$1103,53,MATCH('Detalhe Por UC'!$R295,'Resumo Operacional'!$A$1:$P$1,0)),
""))</f>
        <v>0</v>
      </c>
      <c r="V295" s="18"/>
      <c r="W295" s="18"/>
      <c r="X295" s="18">
        <v>1.1162469733656175</v>
      </c>
      <c r="Y295" s="18"/>
      <c r="Z295" s="66">
        <v>0</v>
      </c>
      <c r="AA295" s="18"/>
      <c r="AB295" s="68">
        <v>413</v>
      </c>
      <c r="AC295" s="18"/>
      <c r="AD295" s="69">
        <v>0</v>
      </c>
      <c r="AE295" s="35"/>
      <c r="AF295" s="69">
        <v>0</v>
      </c>
      <c r="AG295" s="69">
        <v>0</v>
      </c>
      <c r="AH295" s="16">
        <v>0</v>
      </c>
      <c r="AI295" s="16">
        <v>0</v>
      </c>
      <c r="AJ295" s="16">
        <v>0</v>
      </c>
      <c r="AN295" s="71">
        <f t="shared" si="158"/>
        <v>0</v>
      </c>
      <c r="AO295" s="71">
        <f t="shared" si="159"/>
        <v>0</v>
      </c>
      <c r="AP295" s="71">
        <f t="shared" si="160"/>
        <v>0</v>
      </c>
      <c r="AQ295" s="72">
        <f>IF(OR($H295="GIROSSOL II",$H295="GIROSSOL II e III"),INDEX('Resumo Operacional'!$A$1:$P$1103,MATCH("Energia Injetada prevista total Fatura da Usina (TUSD)",'Resumo Operacional'!$B$1:$B$1103,0),MATCH('Detalhe Por UC'!$R295,'Resumo Operacional'!$A$1:$P$1,0))*$S295,INDEX('Resumo Operacional'!$A$1:$P$1103,53,MATCH('Detalhe Por UC'!$R295,'Resumo Operacional'!$A$1:$P$1,0))*$S295)</f>
        <v>240.86</v>
      </c>
      <c r="AR295" s="71">
        <f t="shared" si="161"/>
        <v>-240.86</v>
      </c>
      <c r="AS295" s="73">
        <f t="shared" si="162"/>
        <v>461.01000000000005</v>
      </c>
      <c r="AT295" s="74">
        <f t="shared" si="163"/>
        <v>461.01000000000005</v>
      </c>
      <c r="AU295" s="74" t="str">
        <f t="shared" si="164"/>
        <v/>
      </c>
      <c r="AV295" s="74">
        <f t="shared" si="165"/>
        <v>0</v>
      </c>
      <c r="AW295" s="74">
        <f t="shared" si="166"/>
        <v>0</v>
      </c>
      <c r="AX295" s="74">
        <f t="shared" si="167"/>
        <v>0</v>
      </c>
      <c r="AY295" s="74" t="str">
        <f t="shared" si="168"/>
        <v/>
      </c>
      <c r="AZ295" s="49">
        <v>151.96</v>
      </c>
      <c r="BC295" s="73" t="str">
        <f t="shared" si="169"/>
        <v/>
      </c>
      <c r="BD295" s="73">
        <f t="shared" si="170"/>
        <v>461.01000000000005</v>
      </c>
      <c r="BE295" s="73">
        <f t="shared" si="171"/>
        <v>461.01000000000005</v>
      </c>
      <c r="BF295" s="77">
        <f t="shared" si="172"/>
        <v>0</v>
      </c>
      <c r="BG295" s="77">
        <f t="shared" si="173"/>
        <v>0</v>
      </c>
      <c r="BH295" s="77">
        <f t="shared" si="174"/>
        <v>0</v>
      </c>
      <c r="BI295" s="78" t="str">
        <f t="shared" si="175"/>
        <v/>
      </c>
      <c r="BJ295" s="79">
        <f t="shared" si="176"/>
        <v>0</v>
      </c>
      <c r="BK295" s="80" t="str">
        <f t="shared" si="177"/>
        <v/>
      </c>
      <c r="BL295" s="80" t="str">
        <f t="shared" si="178"/>
        <v/>
      </c>
      <c r="BM295" s="79" t="str">
        <f t="shared" si="179"/>
        <v/>
      </c>
      <c r="BN295" s="81" t="str">
        <f t="shared" si="180"/>
        <v/>
      </c>
      <c r="BO295" s="82" t="str">
        <f t="shared" si="181"/>
        <v/>
      </c>
      <c r="BP295" s="81" t="str">
        <f t="shared" si="182"/>
        <v/>
      </c>
      <c r="BQ295" s="81" t="str">
        <f t="shared" si="183"/>
        <v/>
      </c>
      <c r="BR295" s="81" t="str">
        <f t="shared" si="184"/>
        <v/>
      </c>
      <c r="BS295" s="82">
        <f t="shared" si="185"/>
        <v>0</v>
      </c>
      <c r="BT295" s="82" t="str">
        <f t="shared" si="186"/>
        <v/>
      </c>
      <c r="BU295" s="82">
        <f t="shared" si="187"/>
        <v>0</v>
      </c>
      <c r="BW295" s="82">
        <f>IFERROR(INDEX('Infos Clientes'!$T:$T,MATCH('Detalhe Por UC'!$C295,'Infos Clientes'!B:B,0)),"")</f>
        <v>378.09090909090907</v>
      </c>
      <c r="BX295" s="83">
        <f t="shared" si="188"/>
        <v>0</v>
      </c>
      <c r="BY295" s="84" t="str">
        <f t="shared" si="189"/>
        <v/>
      </c>
      <c r="BZ295" s="85">
        <f>IF(_xlfn.MINIFS('Detalhe Por UC'!R:R,'Detalhe Por UC'!C:C,C295,'Detalhe Por UC'!AD:AD,"&gt;"&amp;0)=0,"",_xlfn.MINIFS('Detalhe Por UC'!R:R,'Detalhe Por UC'!C:C,C295,'Detalhe Por UC'!AD:AD,"&gt;"&amp;0))</f>
        <v>45658</v>
      </c>
      <c r="CA295" s="114">
        <f ca="1">IF(OR(S295&gt;0,AD295&gt;0),IFERROR(
SUMIFS(INDIRECT("'Infos Clientes'!$W"&amp;INDEX('Infos Clientes'!$C:$C,MATCH(C295,'Infos Clientes'!$H:$H,0))&amp;":$CZ"&amp;INDEX('Infos Clientes'!$C:$C,MATCH(C295,'Infos Clientes'!$H:$H,0))),'Infos Clientes'!$W$2:$CZ$2,"&gt;"&amp;$R295-365,'Infos Clientes'!$W$2:$CZ$2,"&lt;="&amp;$R295)/
COUNTIFS(INDIRECT("'Infos Clientes'!$W"&amp;INDEX('Infos Clientes'!$C:$C,MATCH(C295,'Infos Clientes'!$H:$H,0))&amp;":$CZ"&amp;INDEX('Infos Clientes'!$C:$C,MATCH(C295,'Infos Clientes'!$H:$H,0))),"&gt;="&amp;0,'Infos Clientes'!$W$2:$CZ$2,"&gt;"&amp;$R295-365,'Infos Clientes'!$W$2:$CZ$2,"&lt;="&amp;$R295),""),"")</f>
        <v>338.83333333333331</v>
      </c>
      <c r="CB295" s="87">
        <f>VLOOKUP(C295,'Infos Clientes'!B:L,11,0)</f>
        <v>0</v>
      </c>
      <c r="CC295" s="88" t="str">
        <f t="shared" si="190"/>
        <v>A Unidade Consumidora 10/435964-2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5" s="40" t="s">
        <v>143</v>
      </c>
      <c r="CF295" s="115">
        <f t="shared" si="191"/>
        <v>-461.01000000000005</v>
      </c>
    </row>
    <row r="296" spans="1:85" ht="16.2" hidden="1" customHeight="1" x14ac:dyDescent="0.3">
      <c r="A296" s="105" t="str">
        <f>INDEX('Infos Clientes'!$D:$D,MATCH('Detalhe Por UC'!C296,'Infos Clientes'!B:B,0))</f>
        <v>IGREJA DO EVANGELHO QUADRANGULAR</v>
      </c>
      <c r="B296" s="106" t="str">
        <f>INDEX('Infos Clientes'!$F:$F,MATCH('Detalhe Por UC'!C296,'Infos Clientes'!B:B,0))</f>
        <v>62.955.505/0169-18</v>
      </c>
      <c r="C296" s="31" t="s">
        <v>139</v>
      </c>
      <c r="D296" t="s">
        <v>351</v>
      </c>
      <c r="E296" s="1" t="s">
        <v>352</v>
      </c>
      <c r="F296" s="56" t="str">
        <f>INDEX('Infos Clientes'!$I:$I,MATCH('Detalhe Por UC'!C296,'Infos Clientes'!B:B,0))</f>
        <v>BT</v>
      </c>
      <c r="G296" s="56" t="str">
        <f>INDEX('Infos Clientes'!$J:$J,MATCH('Detalhe Por UC'!C296,'Infos Clientes'!B:B,0))</f>
        <v>bifasico</v>
      </c>
      <c r="H296" s="108" t="s">
        <v>138</v>
      </c>
      <c r="I296" s="58">
        <f>IFERROR(VLOOKUP(C296,'Infos Clientes'!B:E,4,),"")</f>
        <v>351</v>
      </c>
      <c r="J296" s="109">
        <v>0.25</v>
      </c>
      <c r="K296" s="59">
        <f>INDEX('Infos Clientes'!$M:$M,MATCH('Detalhe Por UC'!C296,'Infos Clientes'!B:B,0))</f>
        <v>0.25</v>
      </c>
      <c r="L296" s="125"/>
      <c r="M296" s="56">
        <f>INDEX('Infos Clientes'!$N:$N,MATCH('Detalhe Por UC'!C296,'Infos Clientes'!B:B,0))</f>
        <v>0</v>
      </c>
      <c r="N296" s="56">
        <f t="shared" si="155"/>
        <v>0</v>
      </c>
      <c r="O296" s="56">
        <f t="shared" si="156"/>
        <v>9</v>
      </c>
      <c r="P296" s="56">
        <f t="shared" si="157"/>
        <v>0</v>
      </c>
      <c r="Q296" s="61">
        <f>IFERROR(IFERROR(INDEX('Infos Clientes'!$A$2:$V$9884,MATCH($C296,'Infos Clientes'!$B$2:$B$9884,0),MATCH(Q$8,'Infos Clientes'!$A$2:$V$2,0)),"")
+IF(OR(INDEX('Infos Clientes'!$A$2:$V$9884,MATCH($C296,'Infos Clientes'!$B$2:$B$9884,0),MATCH("Tempo de Fidelidade (meses)",'Infos Clientes'!$A$2:$V$2,0))=0,R296&gt;=MAX(R:R)),0,
ROUND((MAX(R:R)-R296)/(365/12),0)),"")</f>
        <v>0</v>
      </c>
      <c r="R296" s="111">
        <v>45717</v>
      </c>
      <c r="S296" s="63">
        <v>0.03</v>
      </c>
      <c r="T296" s="113" t="str">
        <f>IF($H296="GIROSSOL II",AP296/INDEX('Resumo Operacional'!$A$1:$P$1103,17,MATCH('Detalhe Por UC'!$R296,'Resumo Operacional'!$A$1:$P$1,0)),
IF($H296="GIROSSOL II e III",AP296/INDEX('Resumo Operacional'!$A$1:$P$1103,17,MATCH('Detalhe Por UC'!$R296,'Resumo Operacional'!$A$1:$P$1,0)),
""))</f>
        <v/>
      </c>
      <c r="U296" s="113">
        <f>IF($H296="GIROSSOL III",AP296/INDEX('Resumo Operacional'!$A$1:$P$1103,53,MATCH('Detalhe Por UC'!$R296,'Resumo Operacional'!$A$1:$P$1,0)),
IF($H296="GIROSSOL II e III",AP296/INDEX('Resumo Operacional'!$A$1:$P$1103,53,MATCH('Detalhe Por UC'!$R296,'Resumo Operacional'!$A$1:$P$1,0)),
""))</f>
        <v>0</v>
      </c>
      <c r="V296" s="18"/>
      <c r="W296" s="18"/>
      <c r="X296" s="18">
        <v>1.1162519201228878</v>
      </c>
      <c r="Y296" s="18"/>
      <c r="Z296" s="66">
        <v>0</v>
      </c>
      <c r="AA296" s="18"/>
      <c r="AB296" s="68">
        <v>651</v>
      </c>
      <c r="AC296" s="18"/>
      <c r="AD296" s="69">
        <v>0</v>
      </c>
      <c r="AE296" s="35"/>
      <c r="AF296" s="69">
        <v>0</v>
      </c>
      <c r="AG296" s="69">
        <v>0</v>
      </c>
      <c r="AH296" s="16">
        <v>79.55</v>
      </c>
      <c r="AI296" s="16">
        <v>0</v>
      </c>
      <c r="AJ296" s="16">
        <v>0</v>
      </c>
      <c r="AN296" s="71">
        <f t="shared" si="158"/>
        <v>0</v>
      </c>
      <c r="AO296" s="71">
        <f t="shared" si="159"/>
        <v>0</v>
      </c>
      <c r="AP296" s="71">
        <f t="shared" si="160"/>
        <v>0</v>
      </c>
      <c r="AQ296" s="72">
        <f>IF(OR($H296="GIROSSOL II",$H296="GIROSSOL II e III"),INDEX('Resumo Operacional'!$A$1:$P$1103,MATCH("Energia Injetada prevista total Fatura da Usina (TUSD)",'Resumo Operacional'!$B$1:$B$1103,0),MATCH('Detalhe Por UC'!$R296,'Resumo Operacional'!$A$1:$P$1,0))*$S296,INDEX('Resumo Operacional'!$A$1:$P$1103,53,MATCH('Detalhe Por UC'!$R296,'Resumo Operacional'!$A$1:$P$1,0))*$S296)</f>
        <v>361.28999999999996</v>
      </c>
      <c r="AR296" s="71">
        <f t="shared" si="161"/>
        <v>-361.28999999999996</v>
      </c>
      <c r="AS296" s="73">
        <f t="shared" si="162"/>
        <v>806.2299999999999</v>
      </c>
      <c r="AT296" s="74">
        <f t="shared" si="163"/>
        <v>806.2299999999999</v>
      </c>
      <c r="AU296" s="74" t="str">
        <f t="shared" si="164"/>
        <v/>
      </c>
      <c r="AV296" s="74">
        <f t="shared" si="165"/>
        <v>0</v>
      </c>
      <c r="AW296" s="74">
        <f t="shared" si="166"/>
        <v>0</v>
      </c>
      <c r="AX296" s="74">
        <f t="shared" si="167"/>
        <v>0</v>
      </c>
      <c r="AY296" s="74" t="str">
        <f t="shared" si="168"/>
        <v/>
      </c>
      <c r="AZ296" s="49" t="s">
        <v>354</v>
      </c>
      <c r="BA296" s="49">
        <v>0</v>
      </c>
      <c r="BC296" s="73" t="str">
        <f t="shared" si="169"/>
        <v/>
      </c>
      <c r="BD296" s="73">
        <f t="shared" si="170"/>
        <v>806.2299999999999</v>
      </c>
      <c r="BE296" s="73">
        <f t="shared" si="171"/>
        <v>806.2299999999999</v>
      </c>
      <c r="BF296" s="77">
        <f t="shared" si="172"/>
        <v>0</v>
      </c>
      <c r="BG296" s="77">
        <f t="shared" si="173"/>
        <v>0</v>
      </c>
      <c r="BH296" s="77">
        <f t="shared" si="174"/>
        <v>0</v>
      </c>
      <c r="BI296" s="78" t="str">
        <f t="shared" si="175"/>
        <v/>
      </c>
      <c r="BJ296" s="79">
        <f t="shared" si="176"/>
        <v>0</v>
      </c>
      <c r="BK296" s="80" t="str">
        <f t="shared" si="177"/>
        <v/>
      </c>
      <c r="BL296" s="80" t="str">
        <f t="shared" si="178"/>
        <v/>
      </c>
      <c r="BM296" s="79" t="str">
        <f t="shared" si="179"/>
        <v/>
      </c>
      <c r="BN296" s="81" t="str">
        <f t="shared" si="180"/>
        <v/>
      </c>
      <c r="BO296" s="82" t="str">
        <f t="shared" si="181"/>
        <v/>
      </c>
      <c r="BP296" s="81" t="str">
        <f t="shared" si="182"/>
        <v/>
      </c>
      <c r="BQ296" s="81" t="str">
        <f t="shared" si="183"/>
        <v/>
      </c>
      <c r="BR296" s="81" t="str">
        <f t="shared" si="184"/>
        <v/>
      </c>
      <c r="BS296" s="82">
        <f t="shared" si="185"/>
        <v>0</v>
      </c>
      <c r="BT296" s="82" t="str">
        <f t="shared" si="186"/>
        <v/>
      </c>
      <c r="BU296" s="82">
        <f t="shared" si="187"/>
        <v>0</v>
      </c>
      <c r="BW296" s="82">
        <f>IFERROR(INDEX('Infos Clientes'!$T:$T,MATCH('Detalhe Por UC'!$C296,'Infos Clientes'!B:B,0)),"")</f>
        <v>547.4545454545455</v>
      </c>
      <c r="BX296" s="83">
        <f t="shared" si="188"/>
        <v>0</v>
      </c>
      <c r="BY296" s="84" t="str">
        <f t="shared" si="189"/>
        <v/>
      </c>
      <c r="BZ296" s="85">
        <f>IF(_xlfn.MINIFS('Detalhe Por UC'!R:R,'Detalhe Por UC'!C:C,C296,'Detalhe Por UC'!AD:AD,"&gt;"&amp;0)=0,"",_xlfn.MINIFS('Detalhe Por UC'!R:R,'Detalhe Por UC'!C:C,C296,'Detalhe Por UC'!AD:AD,"&gt;"&amp;0))</f>
        <v>45658</v>
      </c>
      <c r="CA296" s="114">
        <f ca="1">IF(OR(S296&gt;0,AD296&gt;0),IFERROR(
SUMIFS(INDIRECT("'Infos Clientes'!$W"&amp;INDEX('Infos Clientes'!$C:$C,MATCH(C296,'Infos Clientes'!$H:$H,0))&amp;":$CZ"&amp;INDEX('Infos Clientes'!$C:$C,MATCH(C296,'Infos Clientes'!$H:$H,0))),'Infos Clientes'!$W$2:$CZ$2,"&gt;"&amp;$R296-365,'Infos Clientes'!$W$2:$CZ$2,"&lt;="&amp;$R296)/
COUNTIFS(INDIRECT("'Infos Clientes'!$W"&amp;INDEX('Infos Clientes'!$C:$C,MATCH(C296,'Infos Clientes'!$H:$H,0))&amp;":$CZ"&amp;INDEX('Infos Clientes'!$C:$C,MATCH(C296,'Infos Clientes'!$H:$H,0))),"&gt;="&amp;0,'Infos Clientes'!$W$2:$CZ$2,"&gt;"&amp;$R296-365,'Infos Clientes'!$W$2:$CZ$2,"&lt;="&amp;$R296),""),"")</f>
        <v>518.33333333333337</v>
      </c>
      <c r="CB296" s="87">
        <f>VLOOKUP(C296,'Infos Clientes'!B:L,11,0)</f>
        <v>0</v>
      </c>
      <c r="CC296" s="88" t="str">
        <f t="shared" si="190"/>
        <v>A Unidade Consumidora 10/1081489-5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6" s="40" t="s">
        <v>141</v>
      </c>
      <c r="CF296" s="115">
        <f t="shared" si="191"/>
        <v>-806.2299999999999</v>
      </c>
    </row>
    <row r="297" spans="1:85" ht="16.2" hidden="1" customHeight="1" x14ac:dyDescent="0.3">
      <c r="A297" s="105" t="str">
        <f>INDEX('Infos Clientes'!$D:$D,MATCH('Detalhe Por UC'!C297,'Infos Clientes'!B:B,0))</f>
        <v>IGREJA DO EVANGELHO QUADRANGULAR</v>
      </c>
      <c r="B297" s="106" t="str">
        <f>INDEX('Infos Clientes'!$F:$F,MATCH('Detalhe Por UC'!C297,'Infos Clientes'!B:B,0))</f>
        <v>62.955.505/3124-87</v>
      </c>
      <c r="C297" s="31" t="s">
        <v>160</v>
      </c>
      <c r="D297" t="s">
        <v>351</v>
      </c>
      <c r="E297" s="1" t="s">
        <v>352</v>
      </c>
      <c r="F297" s="56" t="str">
        <f>INDEX('Infos Clientes'!$I:$I,MATCH('Detalhe Por UC'!C297,'Infos Clientes'!B:B,0))</f>
        <v>BT</v>
      </c>
      <c r="G297" s="56" t="str">
        <f>INDEX('Infos Clientes'!$J:$J,MATCH('Detalhe Por UC'!C297,'Infos Clientes'!B:B,0))</f>
        <v>trifasico</v>
      </c>
      <c r="H297" s="108" t="s">
        <v>138</v>
      </c>
      <c r="I297" s="58">
        <f>IFERROR(VLOOKUP(C297,'Infos Clientes'!B:E,4,),"")</f>
        <v>357</v>
      </c>
      <c r="J297" s="109">
        <v>0.25</v>
      </c>
      <c r="K297" s="59">
        <f>INDEX('Infos Clientes'!$M:$M,MATCH('Detalhe Por UC'!C297,'Infos Clientes'!B:B,0))</f>
        <v>0.25</v>
      </c>
      <c r="L297" s="125"/>
      <c r="M297" s="56">
        <f>INDEX('Infos Clientes'!$N:$N,MATCH('Detalhe Por UC'!C297,'Infos Clientes'!B:B,0))</f>
        <v>0</v>
      </c>
      <c r="N297" s="56">
        <f t="shared" si="155"/>
        <v>0</v>
      </c>
      <c r="O297" s="56">
        <f t="shared" si="156"/>
        <v>9</v>
      </c>
      <c r="P297" s="56">
        <f t="shared" si="157"/>
        <v>0</v>
      </c>
      <c r="Q297" s="61">
        <f>IFERROR(IFERROR(INDEX('Infos Clientes'!$A$2:$V$9884,MATCH($C297,'Infos Clientes'!$B$2:$B$9884,0),MATCH(Q$8,'Infos Clientes'!$A$2:$V$2,0)),"")
+IF(OR(INDEX('Infos Clientes'!$A$2:$V$9884,MATCH($C297,'Infos Clientes'!$B$2:$B$9884,0),MATCH("Tempo de Fidelidade (meses)",'Infos Clientes'!$A$2:$V$2,0))=0,R297&gt;=MAX(R:R)),0,
ROUND((MAX(R:R)-R297)/(365/12),0)),"")</f>
        <v>0</v>
      </c>
      <c r="R297" s="111">
        <v>45717</v>
      </c>
      <c r="S297" s="63">
        <v>0.03</v>
      </c>
      <c r="T297" s="113" t="str">
        <f>IF($H297="GIROSSOL II",AP297/INDEX('Resumo Operacional'!$A$1:$P$1103,17,MATCH('Detalhe Por UC'!$R297,'Resumo Operacional'!$A$1:$P$1,0)),
IF($H297="GIROSSOL II e III",AP297/INDEX('Resumo Operacional'!$A$1:$P$1103,17,MATCH('Detalhe Por UC'!$R297,'Resumo Operacional'!$A$1:$P$1,0)),
""))</f>
        <v/>
      </c>
      <c r="U297" s="113">
        <f>IF($H297="GIROSSOL III",AP297/INDEX('Resumo Operacional'!$A$1:$P$1103,53,MATCH('Detalhe Por UC'!$R297,'Resumo Operacional'!$A$1:$P$1,0)),
IF($H297="GIROSSOL II e III",AP297/INDEX('Resumo Operacional'!$A$1:$P$1103,53,MATCH('Detalhe Por UC'!$R297,'Resumo Operacional'!$A$1:$P$1,0)),
""))</f>
        <v>0</v>
      </c>
      <c r="V297" s="18"/>
      <c r="W297" s="18"/>
      <c r="X297" s="18">
        <v>1.1162606232294618</v>
      </c>
      <c r="Y297" s="18"/>
      <c r="Z297" s="66">
        <v>0</v>
      </c>
      <c r="AA297" s="18"/>
      <c r="AB297" s="68">
        <v>706</v>
      </c>
      <c r="AC297" s="18"/>
      <c r="AD297" s="69">
        <v>0</v>
      </c>
      <c r="AE297" s="35"/>
      <c r="AF297" s="69">
        <v>0</v>
      </c>
      <c r="AG297" s="69">
        <v>0</v>
      </c>
      <c r="AH297" s="16">
        <v>0</v>
      </c>
      <c r="AI297" s="16">
        <v>0</v>
      </c>
      <c r="AJ297" s="16">
        <v>0</v>
      </c>
      <c r="AN297" s="71">
        <f t="shared" si="158"/>
        <v>0</v>
      </c>
      <c r="AO297" s="71">
        <f t="shared" si="159"/>
        <v>0</v>
      </c>
      <c r="AP297" s="71">
        <f t="shared" si="160"/>
        <v>0</v>
      </c>
      <c r="AQ297" s="72">
        <f>IF(OR($H297="GIROSSOL II",$H297="GIROSSOL II e III"),INDEX('Resumo Operacional'!$A$1:$P$1103,MATCH("Energia Injetada prevista total Fatura da Usina (TUSD)",'Resumo Operacional'!$B$1:$B$1103,0),MATCH('Detalhe Por UC'!$R297,'Resumo Operacional'!$A$1:$P$1,0))*$S297,INDEX('Resumo Operacional'!$A$1:$P$1103,53,MATCH('Detalhe Por UC'!$R297,'Resumo Operacional'!$A$1:$P$1,0))*$S297)</f>
        <v>361.28999999999996</v>
      </c>
      <c r="AR297" s="71">
        <f t="shared" si="161"/>
        <v>-361.28999999999996</v>
      </c>
      <c r="AS297" s="73">
        <f t="shared" si="162"/>
        <v>788.08</v>
      </c>
      <c r="AT297" s="74">
        <f t="shared" si="163"/>
        <v>788.08</v>
      </c>
      <c r="AU297" s="74" t="str">
        <f t="shared" si="164"/>
        <v/>
      </c>
      <c r="AV297" s="74">
        <f t="shared" si="165"/>
        <v>0</v>
      </c>
      <c r="AW297" s="74">
        <f t="shared" si="166"/>
        <v>0</v>
      </c>
      <c r="AX297" s="74">
        <f t="shared" si="167"/>
        <v>0</v>
      </c>
      <c r="AY297" s="74" t="str">
        <f t="shared" si="168"/>
        <v/>
      </c>
      <c r="AZ297" s="49" t="s">
        <v>354</v>
      </c>
      <c r="BA297" s="49">
        <v>0</v>
      </c>
      <c r="BC297" s="73" t="str">
        <f t="shared" si="169"/>
        <v/>
      </c>
      <c r="BD297" s="73">
        <f t="shared" si="170"/>
        <v>788.08</v>
      </c>
      <c r="BE297" s="73">
        <f t="shared" si="171"/>
        <v>788.08</v>
      </c>
      <c r="BF297" s="77">
        <f t="shared" si="172"/>
        <v>0</v>
      </c>
      <c r="BG297" s="77">
        <f t="shared" si="173"/>
        <v>0</v>
      </c>
      <c r="BH297" s="77">
        <f t="shared" si="174"/>
        <v>0</v>
      </c>
      <c r="BI297" s="78" t="str">
        <f t="shared" si="175"/>
        <v/>
      </c>
      <c r="BJ297" s="79">
        <f t="shared" si="176"/>
        <v>0</v>
      </c>
      <c r="BK297" s="80" t="str">
        <f t="shared" si="177"/>
        <v/>
      </c>
      <c r="BL297" s="80" t="str">
        <f t="shared" si="178"/>
        <v/>
      </c>
      <c r="BM297" s="79" t="str">
        <f t="shared" si="179"/>
        <v/>
      </c>
      <c r="BN297" s="81" t="str">
        <f t="shared" si="180"/>
        <v/>
      </c>
      <c r="BO297" s="82" t="str">
        <f t="shared" si="181"/>
        <v/>
      </c>
      <c r="BP297" s="81" t="str">
        <f t="shared" si="182"/>
        <v/>
      </c>
      <c r="BQ297" s="81" t="str">
        <f t="shared" si="183"/>
        <v/>
      </c>
      <c r="BR297" s="81" t="str">
        <f t="shared" si="184"/>
        <v/>
      </c>
      <c r="BS297" s="82">
        <f t="shared" si="185"/>
        <v>0</v>
      </c>
      <c r="BT297" s="82" t="str">
        <f t="shared" si="186"/>
        <v/>
      </c>
      <c r="BU297" s="82">
        <f t="shared" si="187"/>
        <v>0</v>
      </c>
      <c r="BW297" s="82">
        <f>IFERROR(INDEX('Infos Clientes'!$T:$T,MATCH('Detalhe Por UC'!$C297,'Infos Clientes'!B:B,0)),"")</f>
        <v>495.18181818181819</v>
      </c>
      <c r="BX297" s="83">
        <f t="shared" si="188"/>
        <v>0</v>
      </c>
      <c r="BY297" s="84" t="str">
        <f t="shared" si="189"/>
        <v/>
      </c>
      <c r="BZ297" s="85">
        <f>IF(_xlfn.MINIFS('Detalhe Por UC'!R:R,'Detalhe Por UC'!C:C,C297,'Detalhe Por UC'!AD:AD,"&gt;"&amp;0)=0,"",_xlfn.MINIFS('Detalhe Por UC'!R:R,'Detalhe Por UC'!C:C,C297,'Detalhe Por UC'!AD:AD,"&gt;"&amp;0))</f>
        <v>45658</v>
      </c>
      <c r="CA297" s="114">
        <f ca="1">IF(OR(S297&gt;0,AD297&gt;0),IFERROR(
SUMIFS(INDIRECT("'Infos Clientes'!$W"&amp;INDEX('Infos Clientes'!$C:$C,MATCH(C297,'Infos Clientes'!$H:$H,0))&amp;":$CZ"&amp;INDEX('Infos Clientes'!$C:$C,MATCH(C297,'Infos Clientes'!$H:$H,0))),'Infos Clientes'!$W$2:$CZ$2,"&gt;"&amp;$R297-365,'Infos Clientes'!$W$2:$CZ$2,"&lt;="&amp;$R297)/
COUNTIFS(INDIRECT("'Infos Clientes'!$W"&amp;INDEX('Infos Clientes'!$C:$C,MATCH(C297,'Infos Clientes'!$H:$H,0))&amp;":$CZ"&amp;INDEX('Infos Clientes'!$C:$C,MATCH(C297,'Infos Clientes'!$H:$H,0))),"&gt;="&amp;0,'Infos Clientes'!$W$2:$CZ$2,"&gt;"&amp;$R297-365,'Infos Clientes'!$W$2:$CZ$2,"&lt;="&amp;$R297),""),"")</f>
        <v>474.91666666666669</v>
      </c>
      <c r="CB297" s="87">
        <f>VLOOKUP(C297,'Infos Clientes'!B:L,11,0)</f>
        <v>0</v>
      </c>
      <c r="CC297" s="88" t="str">
        <f t="shared" si="190"/>
        <v>A Unidade Consumidora 10/15297-5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7" s="40" t="s">
        <v>162</v>
      </c>
      <c r="CF297" s="115">
        <f t="shared" si="191"/>
        <v>-788.08</v>
      </c>
    </row>
    <row r="298" spans="1:85" ht="16.2" hidden="1" customHeight="1" x14ac:dyDescent="0.3">
      <c r="A298" s="105" t="str">
        <f>INDEX('Infos Clientes'!$D:$D,MATCH('Detalhe Por UC'!C298,'Infos Clientes'!B:B,0))</f>
        <v>IGREJA DO EVANGELHO QUADRANGULAR</v>
      </c>
      <c r="B298" s="106" t="str">
        <f>INDEX('Infos Clientes'!$F:$F,MATCH('Detalhe Por UC'!C298,'Infos Clientes'!B:B,0))</f>
        <v>62.955.505/1224-32</v>
      </c>
      <c r="C298" s="31" t="s">
        <v>234</v>
      </c>
      <c r="D298" t="s">
        <v>351</v>
      </c>
      <c r="E298" s="1" t="s">
        <v>352</v>
      </c>
      <c r="F298" s="56" t="str">
        <f>INDEX('Infos Clientes'!$I:$I,MATCH('Detalhe Por UC'!C298,'Infos Clientes'!B:B,0))</f>
        <v>BT</v>
      </c>
      <c r="G298" s="56" t="str">
        <f>INDEX('Infos Clientes'!$J:$J,MATCH('Detalhe Por UC'!C298,'Infos Clientes'!B:B,0))</f>
        <v>trifasico</v>
      </c>
      <c r="H298" s="108" t="s">
        <v>138</v>
      </c>
      <c r="I298" s="58">
        <f>IFERROR(VLOOKUP(C298,'Infos Clientes'!B:E,4,),"")</f>
        <v>302</v>
      </c>
      <c r="J298" s="109">
        <v>0.25</v>
      </c>
      <c r="K298" s="59">
        <f>INDEX('Infos Clientes'!$M:$M,MATCH('Detalhe Por UC'!C298,'Infos Clientes'!B:B,0))</f>
        <v>0.25</v>
      </c>
      <c r="L298" s="125"/>
      <c r="M298" s="56">
        <f>INDEX('Infos Clientes'!$N:$N,MATCH('Detalhe Por UC'!C298,'Infos Clientes'!B:B,0))</f>
        <v>0</v>
      </c>
      <c r="N298" s="56">
        <f t="shared" si="155"/>
        <v>0</v>
      </c>
      <c r="O298" s="56">
        <f t="shared" si="156"/>
        <v>7</v>
      </c>
      <c r="P298" s="56">
        <f t="shared" si="157"/>
        <v>0</v>
      </c>
      <c r="Q298" s="61">
        <f>IFERROR(IFERROR(INDEX('Infos Clientes'!$A$2:$V$9884,MATCH($C298,'Infos Clientes'!$B$2:$B$9884,0),MATCH(Q$8,'Infos Clientes'!$A$2:$V$2,0)),"")
+IF(OR(INDEX('Infos Clientes'!$A$2:$V$9884,MATCH($C298,'Infos Clientes'!$B$2:$B$9884,0),MATCH("Tempo de Fidelidade (meses)",'Infos Clientes'!$A$2:$V$2,0))=0,R298&gt;=MAX(R:R)),0,
ROUND((MAX(R:R)-R298)/(365/12),0)),"")</f>
        <v>0</v>
      </c>
      <c r="R298" s="111">
        <v>45717</v>
      </c>
      <c r="S298" s="63">
        <v>0.02</v>
      </c>
      <c r="T298" s="113" t="str">
        <f>IF($H298="GIROSSOL II",AP298/INDEX('Resumo Operacional'!$A$1:$P$1103,17,MATCH('Detalhe Por UC'!$R298,'Resumo Operacional'!$A$1:$P$1,0)),
IF($H298="GIROSSOL II e III",AP298/INDEX('Resumo Operacional'!$A$1:$P$1103,17,MATCH('Detalhe Por UC'!$R298,'Resumo Operacional'!$A$1:$P$1,0)),
""))</f>
        <v/>
      </c>
      <c r="U298" s="113">
        <f>IF($H298="GIROSSOL III",AP298/INDEX('Resumo Operacional'!$A$1:$P$1103,53,MATCH('Detalhe Por UC'!$R298,'Resumo Operacional'!$A$1:$P$1,0)),
IF($H298="GIROSSOL II e III",AP298/INDEX('Resumo Operacional'!$A$1:$P$1103,53,MATCH('Detalhe Por UC'!$R298,'Resumo Operacional'!$A$1:$P$1,0)),
""))</f>
        <v>0</v>
      </c>
      <c r="V298" s="18"/>
      <c r="W298" s="18"/>
      <c r="X298" s="18">
        <v>1.1162622036262204</v>
      </c>
      <c r="Y298" s="18"/>
      <c r="Z298" s="66">
        <v>0</v>
      </c>
      <c r="AA298" s="18"/>
      <c r="AB298" s="68">
        <v>717</v>
      </c>
      <c r="AC298" s="18"/>
      <c r="AD298" s="69">
        <v>0</v>
      </c>
      <c r="AE298" s="35"/>
      <c r="AF298" s="69">
        <v>0</v>
      </c>
      <c r="AG298" s="69">
        <v>0</v>
      </c>
      <c r="AH298" s="16">
        <v>150.16</v>
      </c>
      <c r="AI298" s="16">
        <v>0</v>
      </c>
      <c r="AJ298" s="16">
        <v>0</v>
      </c>
      <c r="AN298" s="71">
        <f t="shared" si="158"/>
        <v>0</v>
      </c>
      <c r="AO298" s="71">
        <f t="shared" si="159"/>
        <v>0</v>
      </c>
      <c r="AP298" s="71">
        <f t="shared" si="160"/>
        <v>0</v>
      </c>
      <c r="AQ298" s="72">
        <f>IF(OR($H298="GIROSSOL II",$H298="GIROSSOL II e III"),INDEX('Resumo Operacional'!$A$1:$P$1103,MATCH("Energia Injetada prevista total Fatura da Usina (TUSD)",'Resumo Operacional'!$B$1:$B$1103,0),MATCH('Detalhe Por UC'!$R298,'Resumo Operacional'!$A$1:$P$1,0))*$S298,INDEX('Resumo Operacional'!$A$1:$P$1103,53,MATCH('Detalhe Por UC'!$R298,'Resumo Operacional'!$A$1:$P$1,0))*$S298)</f>
        <v>240.86</v>
      </c>
      <c r="AR298" s="71">
        <f t="shared" si="161"/>
        <v>-240.86</v>
      </c>
      <c r="AS298" s="73">
        <f t="shared" si="162"/>
        <v>950.52</v>
      </c>
      <c r="AT298" s="74">
        <f t="shared" si="163"/>
        <v>950.52</v>
      </c>
      <c r="AU298" s="74" t="str">
        <f t="shared" si="164"/>
        <v/>
      </c>
      <c r="AV298" s="74">
        <f t="shared" si="165"/>
        <v>0</v>
      </c>
      <c r="AW298" s="74">
        <f t="shared" si="166"/>
        <v>0</v>
      </c>
      <c r="AX298" s="74">
        <f t="shared" si="167"/>
        <v>0</v>
      </c>
      <c r="AY298" s="74" t="str">
        <f t="shared" si="168"/>
        <v/>
      </c>
      <c r="AZ298" s="49" t="s">
        <v>354</v>
      </c>
      <c r="BA298" s="49">
        <v>0</v>
      </c>
      <c r="BC298" s="73" t="str">
        <f t="shared" si="169"/>
        <v/>
      </c>
      <c r="BD298" s="73">
        <f t="shared" si="170"/>
        <v>950.52</v>
      </c>
      <c r="BE298" s="73">
        <f t="shared" si="171"/>
        <v>950.52</v>
      </c>
      <c r="BF298" s="77">
        <f t="shared" si="172"/>
        <v>0</v>
      </c>
      <c r="BG298" s="77">
        <f t="shared" si="173"/>
        <v>0</v>
      </c>
      <c r="BH298" s="77">
        <f t="shared" si="174"/>
        <v>0</v>
      </c>
      <c r="BI298" s="78" t="str">
        <f t="shared" si="175"/>
        <v/>
      </c>
      <c r="BJ298" s="79">
        <f t="shared" si="176"/>
        <v>0</v>
      </c>
      <c r="BK298" s="80" t="str">
        <f t="shared" si="177"/>
        <v/>
      </c>
      <c r="BL298" s="80" t="str">
        <f t="shared" si="178"/>
        <v/>
      </c>
      <c r="BM298" s="79" t="str">
        <f t="shared" si="179"/>
        <v/>
      </c>
      <c r="BN298" s="81" t="str">
        <f t="shared" si="180"/>
        <v/>
      </c>
      <c r="BO298" s="82" t="str">
        <f t="shared" si="181"/>
        <v/>
      </c>
      <c r="BP298" s="81" t="str">
        <f t="shared" si="182"/>
        <v/>
      </c>
      <c r="BQ298" s="81" t="str">
        <f t="shared" si="183"/>
        <v/>
      </c>
      <c r="BR298" s="81" t="str">
        <f t="shared" si="184"/>
        <v/>
      </c>
      <c r="BS298" s="82">
        <f t="shared" si="185"/>
        <v>0</v>
      </c>
      <c r="BT298" s="82" t="str">
        <f t="shared" si="186"/>
        <v/>
      </c>
      <c r="BU298" s="82">
        <f t="shared" si="187"/>
        <v>0</v>
      </c>
      <c r="BW298" s="82">
        <f>IFERROR(INDEX('Infos Clientes'!$T:$T,MATCH('Detalhe Por UC'!$C298,'Infos Clientes'!B:B,0)),"")</f>
        <v>426.36363636363637</v>
      </c>
      <c r="BX298" s="83">
        <f t="shared" si="188"/>
        <v>0</v>
      </c>
      <c r="BY298" s="84" t="str">
        <f t="shared" si="189"/>
        <v/>
      </c>
      <c r="BZ298" s="85">
        <f>IF(_xlfn.MINIFS('Detalhe Por UC'!R:R,'Detalhe Por UC'!C:C,C298,'Detalhe Por UC'!AD:AD,"&gt;"&amp;0)=0,"",_xlfn.MINIFS('Detalhe Por UC'!R:R,'Detalhe Por UC'!C:C,C298,'Detalhe Por UC'!AD:AD,"&gt;"&amp;0))</f>
        <v>45658</v>
      </c>
      <c r="CA298" s="114">
        <f ca="1">IF(OR(S298&gt;0,AD298&gt;0),IFERROR(
SUMIFS(INDIRECT("'Infos Clientes'!$W"&amp;INDEX('Infos Clientes'!$C:$C,MATCH(C298,'Infos Clientes'!$H:$H,0))&amp;":$CZ"&amp;INDEX('Infos Clientes'!$C:$C,MATCH(C298,'Infos Clientes'!$H:$H,0))),'Infos Clientes'!$W$2:$CZ$2,"&gt;"&amp;$R298-365,'Infos Clientes'!$W$2:$CZ$2,"&lt;="&amp;$R298)/
COUNTIFS(INDIRECT("'Infos Clientes'!$W"&amp;INDEX('Infos Clientes'!$C:$C,MATCH(C298,'Infos Clientes'!$H:$H,0))&amp;":$CZ"&amp;INDEX('Infos Clientes'!$C:$C,MATCH(C298,'Infos Clientes'!$H:$H,0))),"&gt;="&amp;0,'Infos Clientes'!$W$2:$CZ$2,"&gt;"&amp;$R298-365,'Infos Clientes'!$W$2:$CZ$2,"&lt;="&amp;$R298),""),"")</f>
        <v>402</v>
      </c>
      <c r="CB298" s="87">
        <f>VLOOKUP(C298,'Infos Clientes'!B:L,11,0)</f>
        <v>0</v>
      </c>
      <c r="CC298" s="88" t="str">
        <f t="shared" si="190"/>
        <v>A Unidade Consumidora 10/8777-5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8" s="40" t="s">
        <v>236</v>
      </c>
      <c r="CF298" s="115">
        <f t="shared" si="191"/>
        <v>-950.52</v>
      </c>
    </row>
    <row r="299" spans="1:85" ht="16.2" hidden="1" customHeight="1" x14ac:dyDescent="0.3">
      <c r="A299" s="105" t="str">
        <f>INDEX('Infos Clientes'!$D:$D,MATCH('Detalhe Por UC'!C299,'Infos Clientes'!B:B,0))</f>
        <v>IGREJA DO EVANGELHO QUADRANGULAR</v>
      </c>
      <c r="B299" s="106" t="str">
        <f>INDEX('Infos Clientes'!$F:$F,MATCH('Detalhe Por UC'!C299,'Infos Clientes'!B:B,0))</f>
        <v>62.955.505/0160-80</v>
      </c>
      <c r="C299" s="31" t="s">
        <v>207</v>
      </c>
      <c r="D299" t="s">
        <v>351</v>
      </c>
      <c r="E299" s="1" t="s">
        <v>352</v>
      </c>
      <c r="F299" s="56" t="str">
        <f>INDEX('Infos Clientes'!$I:$I,MATCH('Detalhe Por UC'!C299,'Infos Clientes'!B:B,0))</f>
        <v>BT</v>
      </c>
      <c r="G299" s="56" t="str">
        <f>INDEX('Infos Clientes'!$J:$J,MATCH('Detalhe Por UC'!C299,'Infos Clientes'!B:B,0))</f>
        <v>trifasico</v>
      </c>
      <c r="H299" s="108" t="s">
        <v>138</v>
      </c>
      <c r="I299" s="58">
        <f>IFERROR(VLOOKUP(C299,'Infos Clientes'!B:E,4,),"")</f>
        <v>357</v>
      </c>
      <c r="J299" s="109">
        <v>0.25</v>
      </c>
      <c r="K299" s="59">
        <f>INDEX('Infos Clientes'!$M:$M,MATCH('Detalhe Por UC'!C299,'Infos Clientes'!B:B,0))</f>
        <v>0.25</v>
      </c>
      <c r="L299" s="125"/>
      <c r="M299" s="56">
        <f>INDEX('Infos Clientes'!$N:$N,MATCH('Detalhe Por UC'!C299,'Infos Clientes'!B:B,0))</f>
        <v>0</v>
      </c>
      <c r="N299" s="56">
        <f t="shared" si="155"/>
        <v>0</v>
      </c>
      <c r="O299" s="56">
        <f t="shared" si="156"/>
        <v>9</v>
      </c>
      <c r="P299" s="56">
        <f t="shared" si="157"/>
        <v>0</v>
      </c>
      <c r="Q299" s="61">
        <f>IFERROR(IFERROR(INDEX('Infos Clientes'!$A$2:$V$9884,MATCH($C299,'Infos Clientes'!$B$2:$B$9884,0),MATCH(Q$8,'Infos Clientes'!$A$2:$V$2,0)),"")
+IF(OR(INDEX('Infos Clientes'!$A$2:$V$9884,MATCH($C299,'Infos Clientes'!$B$2:$B$9884,0),MATCH("Tempo de Fidelidade (meses)",'Infos Clientes'!$A$2:$V$2,0))=0,R299&gt;=MAX(R:R)),0,
ROUND((MAX(R:R)-R299)/(365/12),0)),"")</f>
        <v>0</v>
      </c>
      <c r="R299" s="111">
        <v>45717</v>
      </c>
      <c r="S299" s="63">
        <v>0.03</v>
      </c>
      <c r="T299" s="113" t="str">
        <f>IF($H299="GIROSSOL II",AP299/INDEX('Resumo Operacional'!$A$1:$P$1103,17,MATCH('Detalhe Por UC'!$R299,'Resumo Operacional'!$A$1:$P$1,0)),
IF($H299="GIROSSOL II e III",AP299/INDEX('Resumo Operacional'!$A$1:$P$1103,17,MATCH('Detalhe Por UC'!$R299,'Resumo Operacional'!$A$1:$P$1,0)),
""))</f>
        <v/>
      </c>
      <c r="U299" s="113">
        <f>IF($H299="GIROSSOL III",AP299/INDEX('Resumo Operacional'!$A$1:$P$1103,53,MATCH('Detalhe Por UC'!$R299,'Resumo Operacional'!$A$1:$P$1,0)),
IF($H299="GIROSSOL II e III",AP299/INDEX('Resumo Operacional'!$A$1:$P$1103,53,MATCH('Detalhe Por UC'!$R299,'Resumo Operacional'!$A$1:$P$1,0)),
""))</f>
        <v>0</v>
      </c>
      <c r="V299" s="18"/>
      <c r="W299" s="18"/>
      <c r="X299" s="18">
        <v>1.1162541254125413</v>
      </c>
      <c r="Y299" s="18"/>
      <c r="Z299" s="66">
        <v>0</v>
      </c>
      <c r="AA299" s="18"/>
      <c r="AB299" s="68">
        <v>606</v>
      </c>
      <c r="AC299" s="18"/>
      <c r="AD299" s="69">
        <v>0</v>
      </c>
      <c r="AE299" s="35"/>
      <c r="AF299" s="69">
        <v>0</v>
      </c>
      <c r="AG299" s="69">
        <v>0</v>
      </c>
      <c r="AH299" s="16">
        <v>98.06</v>
      </c>
      <c r="AI299" s="16">
        <v>0</v>
      </c>
      <c r="AJ299" s="16">
        <v>0</v>
      </c>
      <c r="AN299" s="71">
        <f t="shared" si="158"/>
        <v>0</v>
      </c>
      <c r="AO299" s="71">
        <f t="shared" si="159"/>
        <v>0</v>
      </c>
      <c r="AP299" s="71">
        <f t="shared" si="160"/>
        <v>0</v>
      </c>
      <c r="AQ299" s="72">
        <f>IF(OR($H299="GIROSSOL II",$H299="GIROSSOL II e III"),INDEX('Resumo Operacional'!$A$1:$P$1103,MATCH("Energia Injetada prevista total Fatura da Usina (TUSD)",'Resumo Operacional'!$B$1:$B$1103,0),MATCH('Detalhe Por UC'!$R299,'Resumo Operacional'!$A$1:$P$1,0))*$S299,INDEX('Resumo Operacional'!$A$1:$P$1103,53,MATCH('Detalhe Por UC'!$R299,'Resumo Operacional'!$A$1:$P$1,0))*$S299)</f>
        <v>361.28999999999996</v>
      </c>
      <c r="AR299" s="71">
        <f t="shared" si="161"/>
        <v>-361.28999999999996</v>
      </c>
      <c r="AS299" s="73">
        <f t="shared" si="162"/>
        <v>774.51</v>
      </c>
      <c r="AT299" s="74">
        <f t="shared" si="163"/>
        <v>774.51</v>
      </c>
      <c r="AU299" s="74" t="str">
        <f t="shared" si="164"/>
        <v/>
      </c>
      <c r="AV299" s="74">
        <f t="shared" si="165"/>
        <v>0</v>
      </c>
      <c r="AW299" s="74">
        <f t="shared" si="166"/>
        <v>0</v>
      </c>
      <c r="AX299" s="74">
        <f t="shared" si="167"/>
        <v>0</v>
      </c>
      <c r="AY299" s="74" t="str">
        <f t="shared" si="168"/>
        <v/>
      </c>
      <c r="AZ299" s="49" t="s">
        <v>354</v>
      </c>
      <c r="BA299" s="49">
        <v>0</v>
      </c>
      <c r="BC299" s="73" t="str">
        <f t="shared" si="169"/>
        <v/>
      </c>
      <c r="BD299" s="73">
        <f t="shared" si="170"/>
        <v>774.51</v>
      </c>
      <c r="BE299" s="73">
        <f t="shared" si="171"/>
        <v>774.51</v>
      </c>
      <c r="BF299" s="77">
        <f t="shared" si="172"/>
        <v>0</v>
      </c>
      <c r="BG299" s="77">
        <f t="shared" si="173"/>
        <v>0</v>
      </c>
      <c r="BH299" s="77">
        <f t="shared" si="174"/>
        <v>0</v>
      </c>
      <c r="BI299" s="78" t="str">
        <f t="shared" si="175"/>
        <v/>
      </c>
      <c r="BJ299" s="79">
        <f t="shared" si="176"/>
        <v>0</v>
      </c>
      <c r="BK299" s="80" t="str">
        <f t="shared" si="177"/>
        <v/>
      </c>
      <c r="BL299" s="80" t="str">
        <f t="shared" si="178"/>
        <v/>
      </c>
      <c r="BM299" s="79" t="str">
        <f t="shared" si="179"/>
        <v/>
      </c>
      <c r="BN299" s="81" t="str">
        <f t="shared" si="180"/>
        <v/>
      </c>
      <c r="BO299" s="82" t="str">
        <f t="shared" si="181"/>
        <v/>
      </c>
      <c r="BP299" s="81" t="str">
        <f t="shared" si="182"/>
        <v/>
      </c>
      <c r="BQ299" s="81" t="str">
        <f t="shared" si="183"/>
        <v/>
      </c>
      <c r="BR299" s="81" t="str">
        <f t="shared" si="184"/>
        <v/>
      </c>
      <c r="BS299" s="82">
        <f t="shared" si="185"/>
        <v>0</v>
      </c>
      <c r="BT299" s="82" t="str">
        <f t="shared" si="186"/>
        <v/>
      </c>
      <c r="BU299" s="82">
        <f t="shared" si="187"/>
        <v>0</v>
      </c>
      <c r="BW299" s="82">
        <f>IFERROR(INDEX('Infos Clientes'!$T:$T,MATCH('Detalhe Por UC'!$C299,'Infos Clientes'!B:B,0)),"")</f>
        <v>510.45454545454544</v>
      </c>
      <c r="BX299" s="83">
        <f t="shared" si="188"/>
        <v>0</v>
      </c>
      <c r="BY299" s="84" t="str">
        <f t="shared" si="189"/>
        <v/>
      </c>
      <c r="BZ299" s="85">
        <f>IF(_xlfn.MINIFS('Detalhe Por UC'!R:R,'Detalhe Por UC'!C:C,C299,'Detalhe Por UC'!AD:AD,"&gt;"&amp;0)=0,"",_xlfn.MINIFS('Detalhe Por UC'!R:R,'Detalhe Por UC'!C:C,C299,'Detalhe Por UC'!AD:AD,"&gt;"&amp;0))</f>
        <v>45658</v>
      </c>
      <c r="CA299" s="114">
        <f ca="1">IF(OR(S299&gt;0,AD299&gt;0),IFERROR(
SUMIFS(INDIRECT("'Infos Clientes'!$W"&amp;INDEX('Infos Clientes'!$C:$C,MATCH(C299,'Infos Clientes'!$H:$H,0))&amp;":$CZ"&amp;INDEX('Infos Clientes'!$C:$C,MATCH(C299,'Infos Clientes'!$H:$H,0))),'Infos Clientes'!$W$2:$CZ$2,"&gt;"&amp;$R299-365,'Infos Clientes'!$W$2:$CZ$2,"&lt;="&amp;$R299)/
COUNTIFS(INDIRECT("'Infos Clientes'!$W"&amp;INDEX('Infos Clientes'!$C:$C,MATCH(C299,'Infos Clientes'!$H:$H,0))&amp;":$CZ"&amp;INDEX('Infos Clientes'!$C:$C,MATCH(C299,'Infos Clientes'!$H:$H,0))),"&gt;="&amp;0,'Infos Clientes'!$W$2:$CZ$2,"&gt;"&amp;$R299-365,'Infos Clientes'!$W$2:$CZ$2,"&lt;="&amp;$R299),""),"")</f>
        <v>462.41666666666669</v>
      </c>
      <c r="CB299" s="87">
        <f>VLOOKUP(C299,'Infos Clientes'!B:L,11,0)</f>
        <v>0</v>
      </c>
      <c r="CC299" s="88" t="str">
        <f t="shared" si="190"/>
        <v>A Unidade Consumidora 10/489076-0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299" s="40" t="s">
        <v>208</v>
      </c>
      <c r="CF299" s="115">
        <f t="shared" si="191"/>
        <v>-774.51</v>
      </c>
    </row>
    <row r="300" spans="1:85" ht="16.2" hidden="1" customHeight="1" x14ac:dyDescent="0.3">
      <c r="A300" s="105" t="str">
        <f>INDEX('Infos Clientes'!$D:$D,MATCH('Detalhe Por UC'!C300,'Infos Clientes'!B:B,0))</f>
        <v>IGREJA DO EVANGELHO QUADRANGULAR</v>
      </c>
      <c r="B300" s="106" t="str">
        <f>INDEX('Infos Clientes'!$F:$F,MATCH('Detalhe Por UC'!C300,'Infos Clientes'!B:B,0))</f>
        <v>62.955.505/3544-81</v>
      </c>
      <c r="C300" s="31" t="s">
        <v>209</v>
      </c>
      <c r="D300" t="s">
        <v>351</v>
      </c>
      <c r="E300" s="1" t="s">
        <v>352</v>
      </c>
      <c r="F300" s="56" t="str">
        <f>INDEX('Infos Clientes'!$I:$I,MATCH('Detalhe Por UC'!C300,'Infos Clientes'!B:B,0))</f>
        <v>BT</v>
      </c>
      <c r="G300" s="56" t="str">
        <f>INDEX('Infos Clientes'!$J:$J,MATCH('Detalhe Por UC'!C300,'Infos Clientes'!B:B,0))</f>
        <v>trifasico</v>
      </c>
      <c r="H300" s="108" t="s">
        <v>138</v>
      </c>
      <c r="I300" s="58">
        <f>IFERROR(VLOOKUP(C300,'Infos Clientes'!B:E,4,),"")</f>
        <v>371</v>
      </c>
      <c r="J300" s="109">
        <v>0.25</v>
      </c>
      <c r="K300" s="59">
        <f>INDEX('Infos Clientes'!$M:$M,MATCH('Detalhe Por UC'!C300,'Infos Clientes'!B:B,0))</f>
        <v>0.25</v>
      </c>
      <c r="L300" s="125"/>
      <c r="M300" s="56">
        <f>INDEX('Infos Clientes'!$N:$N,MATCH('Detalhe Por UC'!C300,'Infos Clientes'!B:B,0))</f>
        <v>0</v>
      </c>
      <c r="N300" s="56">
        <f t="shared" si="155"/>
        <v>0</v>
      </c>
      <c r="O300" s="56">
        <f t="shared" si="156"/>
        <v>8</v>
      </c>
      <c r="P300" s="56">
        <f t="shared" si="157"/>
        <v>0</v>
      </c>
      <c r="Q300" s="61">
        <f>IFERROR(IFERROR(INDEX('Infos Clientes'!$A$2:$V$9884,MATCH($C300,'Infos Clientes'!$B$2:$B$9884,0),MATCH(Q$8,'Infos Clientes'!$A$2:$V$2,0)),"")
+IF(OR(INDEX('Infos Clientes'!$A$2:$V$9884,MATCH($C300,'Infos Clientes'!$B$2:$B$9884,0),MATCH("Tempo de Fidelidade (meses)",'Infos Clientes'!$A$2:$V$2,0))=0,R300&gt;=MAX(R:R)),0,
ROUND((MAX(R:R)-R300)/(365/12),0)),"")</f>
        <v>0</v>
      </c>
      <c r="R300" s="111">
        <v>45717</v>
      </c>
      <c r="S300" s="63">
        <v>0.02</v>
      </c>
      <c r="T300" s="113" t="str">
        <f>IF($H300="GIROSSOL II",AP300/INDEX('Resumo Operacional'!$A$1:$P$1103,17,MATCH('Detalhe Por UC'!$R300,'Resumo Operacional'!$A$1:$P$1,0)),
IF($H300="GIROSSOL II e III",AP300/INDEX('Resumo Operacional'!$A$1:$P$1103,17,MATCH('Detalhe Por UC'!$R300,'Resumo Operacional'!$A$1:$P$1,0)),
""))</f>
        <v/>
      </c>
      <c r="U300" s="113">
        <f>IF($H300="GIROSSOL III",AP300/INDEX('Resumo Operacional'!$A$1:$P$1103,53,MATCH('Detalhe Por UC'!$R300,'Resumo Operacional'!$A$1:$P$1,0)),
IF($H300="GIROSSOL II e III",AP300/INDEX('Resumo Operacional'!$A$1:$P$1103,53,MATCH('Detalhe Por UC'!$R300,'Resumo Operacional'!$A$1:$P$1,0)),
""))</f>
        <v>0</v>
      </c>
      <c r="V300" s="18"/>
      <c r="W300" s="18"/>
      <c r="X300" s="18">
        <v>1.1162610229276895</v>
      </c>
      <c r="Y300" s="18"/>
      <c r="Z300" s="66">
        <v>0</v>
      </c>
      <c r="AA300" s="18"/>
      <c r="AB300" s="68">
        <v>567</v>
      </c>
      <c r="AC300" s="18"/>
      <c r="AD300" s="69">
        <v>0</v>
      </c>
      <c r="AE300" s="35"/>
      <c r="AF300" s="69">
        <v>0</v>
      </c>
      <c r="AG300" s="69">
        <v>0</v>
      </c>
      <c r="AH300" s="16">
        <v>49.03</v>
      </c>
      <c r="AI300" s="16">
        <v>0</v>
      </c>
      <c r="AJ300" s="16">
        <v>0</v>
      </c>
      <c r="AN300" s="71">
        <f t="shared" si="158"/>
        <v>0</v>
      </c>
      <c r="AO300" s="71">
        <f t="shared" si="159"/>
        <v>0</v>
      </c>
      <c r="AP300" s="71">
        <f t="shared" si="160"/>
        <v>0</v>
      </c>
      <c r="AQ300" s="72">
        <f>IF(OR($H300="GIROSSOL II",$H300="GIROSSOL II e III"),INDEX('Resumo Operacional'!$A$1:$P$1103,MATCH("Energia Injetada prevista total Fatura da Usina (TUSD)",'Resumo Operacional'!$B$1:$B$1103,0),MATCH('Detalhe Por UC'!$R300,'Resumo Operacional'!$A$1:$P$1,0))*$S300,INDEX('Resumo Operacional'!$A$1:$P$1103,53,MATCH('Detalhe Por UC'!$R300,'Resumo Operacional'!$A$1:$P$1,0))*$S300)</f>
        <v>240.86</v>
      </c>
      <c r="AR300" s="71">
        <f t="shared" si="161"/>
        <v>-240.86</v>
      </c>
      <c r="AS300" s="73">
        <f t="shared" si="162"/>
        <v>681.94999999999993</v>
      </c>
      <c r="AT300" s="74">
        <f t="shared" si="163"/>
        <v>681.94999999999993</v>
      </c>
      <c r="AU300" s="74" t="str">
        <f t="shared" si="164"/>
        <v/>
      </c>
      <c r="AV300" s="74">
        <f t="shared" si="165"/>
        <v>0</v>
      </c>
      <c r="AW300" s="74">
        <f t="shared" si="166"/>
        <v>0</v>
      </c>
      <c r="AX300" s="74">
        <f t="shared" si="167"/>
        <v>0</v>
      </c>
      <c r="AY300" s="74" t="str">
        <f t="shared" si="168"/>
        <v/>
      </c>
      <c r="AZ300" s="49" t="s">
        <v>354</v>
      </c>
      <c r="BA300" s="49">
        <v>0</v>
      </c>
      <c r="BC300" s="73" t="str">
        <f t="shared" si="169"/>
        <v/>
      </c>
      <c r="BD300" s="73">
        <f t="shared" si="170"/>
        <v>681.94999999999993</v>
      </c>
      <c r="BE300" s="73">
        <f t="shared" si="171"/>
        <v>681.94999999999993</v>
      </c>
      <c r="BF300" s="77">
        <f t="shared" si="172"/>
        <v>0</v>
      </c>
      <c r="BG300" s="77">
        <f t="shared" si="173"/>
        <v>0</v>
      </c>
      <c r="BH300" s="77">
        <f t="shared" si="174"/>
        <v>0</v>
      </c>
      <c r="BI300" s="78" t="str">
        <f t="shared" si="175"/>
        <v/>
      </c>
      <c r="BJ300" s="79">
        <f t="shared" si="176"/>
        <v>0</v>
      </c>
      <c r="BK300" s="80" t="str">
        <f t="shared" si="177"/>
        <v/>
      </c>
      <c r="BL300" s="80" t="str">
        <f t="shared" si="178"/>
        <v/>
      </c>
      <c r="BM300" s="79" t="str">
        <f t="shared" si="179"/>
        <v/>
      </c>
      <c r="BN300" s="81" t="str">
        <f t="shared" si="180"/>
        <v/>
      </c>
      <c r="BO300" s="82" t="str">
        <f t="shared" si="181"/>
        <v/>
      </c>
      <c r="BP300" s="81" t="str">
        <f t="shared" si="182"/>
        <v/>
      </c>
      <c r="BQ300" s="81" t="str">
        <f t="shared" si="183"/>
        <v/>
      </c>
      <c r="BR300" s="81" t="str">
        <f t="shared" si="184"/>
        <v/>
      </c>
      <c r="BS300" s="82">
        <f t="shared" si="185"/>
        <v>0</v>
      </c>
      <c r="BT300" s="82" t="str">
        <f t="shared" si="186"/>
        <v/>
      </c>
      <c r="BU300" s="82">
        <f t="shared" si="187"/>
        <v>0</v>
      </c>
      <c r="BW300" s="82">
        <f>IFERROR(INDEX('Infos Clientes'!$T:$T,MATCH('Detalhe Por UC'!$C300,'Infos Clientes'!B:B,0)),"")</f>
        <v>433.54545454545456</v>
      </c>
      <c r="BX300" s="83">
        <f t="shared" si="188"/>
        <v>0</v>
      </c>
      <c r="BY300" s="84" t="str">
        <f t="shared" si="189"/>
        <v/>
      </c>
      <c r="BZ300" s="85">
        <f>IF(_xlfn.MINIFS('Detalhe Por UC'!R:R,'Detalhe Por UC'!C:C,C300,'Detalhe Por UC'!AD:AD,"&gt;"&amp;0)=0,"",_xlfn.MINIFS('Detalhe Por UC'!R:R,'Detalhe Por UC'!C:C,C300,'Detalhe Por UC'!AD:AD,"&gt;"&amp;0))</f>
        <v>45658</v>
      </c>
      <c r="CA300" s="114">
        <f ca="1">IF(OR(S300&gt;0,AD300&gt;0),IFERROR(
SUMIFS(INDIRECT("'Infos Clientes'!$W"&amp;INDEX('Infos Clientes'!$C:$C,MATCH(C300,'Infos Clientes'!$H:$H,0))&amp;":$CZ"&amp;INDEX('Infos Clientes'!$C:$C,MATCH(C300,'Infos Clientes'!$H:$H,0))),'Infos Clientes'!$W$2:$CZ$2,"&gt;"&amp;$R300-365,'Infos Clientes'!$W$2:$CZ$2,"&lt;="&amp;$R300)/
COUNTIFS(INDIRECT("'Infos Clientes'!$W"&amp;INDEX('Infos Clientes'!$C:$C,MATCH(C300,'Infos Clientes'!$H:$H,0))&amp;":$CZ"&amp;INDEX('Infos Clientes'!$C:$C,MATCH(C300,'Infos Clientes'!$H:$H,0))),"&gt;="&amp;0,'Infos Clientes'!$W$2:$CZ$2,"&gt;"&amp;$R300-365,'Infos Clientes'!$W$2:$CZ$2,"&lt;="&amp;$R300),""),"")</f>
        <v>394.08333333333331</v>
      </c>
      <c r="CB300" s="87">
        <f>VLOOKUP(C300,'Infos Clientes'!B:L,11,0)</f>
        <v>0</v>
      </c>
      <c r="CC300" s="88" t="str">
        <f t="shared" si="190"/>
        <v>A Unidade Consumidora 10/504844-2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0" s="40" t="s">
        <v>211</v>
      </c>
      <c r="CF300" s="115">
        <f t="shared" si="191"/>
        <v>-681.94999999999993</v>
      </c>
    </row>
    <row r="301" spans="1:85" ht="16.2" hidden="1" customHeight="1" x14ac:dyDescent="0.3">
      <c r="A301" s="105" t="str">
        <f>INDEX('Infos Clientes'!$D:$D,MATCH('Detalhe Por UC'!C301,'Infos Clientes'!B:B,0))</f>
        <v>IGREJA DO EVANGELHO QUADRANGULAR</v>
      </c>
      <c r="B301" s="106" t="str">
        <f>INDEX('Infos Clientes'!$F:$F,MATCH('Detalhe Por UC'!C301,'Infos Clientes'!B:B,0))</f>
        <v>62.955.505/8432-53</v>
      </c>
      <c r="C301" s="31" t="s">
        <v>178</v>
      </c>
      <c r="D301" t="s">
        <v>351</v>
      </c>
      <c r="E301" s="1" t="s">
        <v>352</v>
      </c>
      <c r="F301" s="56" t="str">
        <f>INDEX('Infos Clientes'!$I:$I,MATCH('Detalhe Por UC'!C301,'Infos Clientes'!B:B,0))</f>
        <v>BT</v>
      </c>
      <c r="G301" s="56" t="str">
        <f>INDEX('Infos Clientes'!$J:$J,MATCH('Detalhe Por UC'!C301,'Infos Clientes'!B:B,0))</f>
        <v>trifasico</v>
      </c>
      <c r="H301" s="108" t="s">
        <v>24</v>
      </c>
      <c r="I301" s="58">
        <f>IFERROR(VLOOKUP(C301,'Infos Clientes'!B:E,4,),"")</f>
        <v>349</v>
      </c>
      <c r="J301" s="109">
        <v>0.25</v>
      </c>
      <c r="K301" s="59">
        <f>INDEX('Infos Clientes'!$M:$M,MATCH('Detalhe Por UC'!C301,'Infos Clientes'!B:B,0))</f>
        <v>0.25</v>
      </c>
      <c r="L301" s="125"/>
      <c r="M301" s="56">
        <f>INDEX('Infos Clientes'!$N:$N,MATCH('Detalhe Por UC'!C301,'Infos Clientes'!B:B,0))</f>
        <v>0</v>
      </c>
      <c r="N301" s="56">
        <f t="shared" si="155"/>
        <v>0</v>
      </c>
      <c r="O301" s="56">
        <f t="shared" si="156"/>
        <v>9</v>
      </c>
      <c r="P301" s="56">
        <f t="shared" si="157"/>
        <v>0</v>
      </c>
      <c r="Q301" s="61">
        <f>IFERROR(IFERROR(INDEX('Infos Clientes'!$A$2:$V$9884,MATCH($C301,'Infos Clientes'!$B$2:$B$9884,0),MATCH(Q$8,'Infos Clientes'!$A$2:$V$2,0)),"")
+IF(OR(INDEX('Infos Clientes'!$A$2:$V$9884,MATCH($C301,'Infos Clientes'!$B$2:$B$9884,0),MATCH("Tempo de Fidelidade (meses)",'Infos Clientes'!$A$2:$V$2,0))=0,R301&gt;=MAX(R:R)),0,
ROUND((MAX(R:R)-R301)/(365/12),0)),"")</f>
        <v>0</v>
      </c>
      <c r="R301" s="111">
        <v>45717</v>
      </c>
      <c r="S301" s="63">
        <v>0.02</v>
      </c>
      <c r="T301" s="113">
        <f>IF($H301="GIROSSOL II",AP301/INDEX('Resumo Operacional'!$A$1:$P$1103,17,MATCH('Detalhe Por UC'!$R301,'Resumo Operacional'!$A$1:$P$1,0)),
IF($H301="GIROSSOL II e III",AP301/INDEX('Resumo Operacional'!$A$1:$P$1103,17,MATCH('Detalhe Por UC'!$R301,'Resumo Operacional'!$A$1:$P$1,0)),
""))</f>
        <v>1.9935210565661599E-2</v>
      </c>
      <c r="U301" s="113" t="str">
        <f>IF($H301="GIROSSOL III",AP301/INDEX('Resumo Operacional'!$A$1:$P$1103,53,MATCH('Detalhe Por UC'!$R301,'Resumo Operacional'!$A$1:$P$1,0)),
IF($H301="GIROSSOL II e III",AP301/INDEX('Resumo Operacional'!$A$1:$P$1103,53,MATCH('Detalhe Por UC'!$R301,'Resumo Operacional'!$A$1:$P$1,0)),
""))</f>
        <v/>
      </c>
      <c r="V301" s="18"/>
      <c r="W301" s="18"/>
      <c r="X301" s="18">
        <v>1.1162611275964391</v>
      </c>
      <c r="Y301" s="18"/>
      <c r="Z301" s="66">
        <v>1.11625</v>
      </c>
      <c r="AA301" s="18"/>
      <c r="AB301" s="68">
        <v>337</v>
      </c>
      <c r="AC301" s="18"/>
      <c r="AD301" s="69">
        <v>240</v>
      </c>
      <c r="AE301" s="35"/>
      <c r="AF301" s="69">
        <v>0</v>
      </c>
      <c r="AG301" s="69">
        <v>0</v>
      </c>
      <c r="AH301" s="16">
        <v>102.21000000000001</v>
      </c>
      <c r="AI301" s="16">
        <v>0</v>
      </c>
      <c r="AJ301" s="16">
        <v>0</v>
      </c>
      <c r="AN301" s="71">
        <f t="shared" si="158"/>
        <v>0</v>
      </c>
      <c r="AO301" s="71">
        <f t="shared" si="159"/>
        <v>0</v>
      </c>
      <c r="AP301" s="71">
        <f t="shared" si="160"/>
        <v>240</v>
      </c>
      <c r="AQ301" s="72">
        <f>IF(OR($H301="GIROSSOL II",$H301="GIROSSOL II e III"),INDEX('Resumo Operacional'!$A$1:$P$1103,MATCH("Energia Injetada prevista total Fatura da Usina (TUSD)",'Resumo Operacional'!$B$1:$B$1103,0),MATCH('Detalhe Por UC'!$R301,'Resumo Operacional'!$A$1:$P$1,0))*$S301,INDEX('Resumo Operacional'!$A$1:$P$1103,53,MATCH('Detalhe Por UC'!$R301,'Resumo Operacional'!$A$1:$P$1,0))*$S301)</f>
        <v>240.78</v>
      </c>
      <c r="AR301" s="71">
        <f t="shared" si="161"/>
        <v>-0.78000000000000114</v>
      </c>
      <c r="AS301" s="73">
        <f t="shared" si="162"/>
        <v>210.49000000000004</v>
      </c>
      <c r="AT301" s="74">
        <f t="shared" si="163"/>
        <v>210.49000000000004</v>
      </c>
      <c r="AU301" s="74">
        <f t="shared" si="164"/>
        <v>1.1162388724035608</v>
      </c>
      <c r="AV301" s="74">
        <f t="shared" si="165"/>
        <v>200.92499999999998</v>
      </c>
      <c r="AW301" s="74">
        <f t="shared" si="166"/>
        <v>0</v>
      </c>
      <c r="AX301" s="74">
        <f t="shared" si="167"/>
        <v>267.89999999999998</v>
      </c>
      <c r="AY301" s="74">
        <f t="shared" si="168"/>
        <v>200.93</v>
      </c>
      <c r="AZ301" s="49">
        <v>200.93</v>
      </c>
      <c r="BA301" s="49">
        <v>200.93</v>
      </c>
      <c r="BB301" s="49">
        <v>200.93</v>
      </c>
      <c r="BC301" s="73" t="str">
        <f t="shared" si="169"/>
        <v/>
      </c>
      <c r="BD301" s="73">
        <f t="shared" si="170"/>
        <v>478.39</v>
      </c>
      <c r="BE301" s="73">
        <f t="shared" si="171"/>
        <v>411.41500000000002</v>
      </c>
      <c r="BF301" s="77">
        <f t="shared" si="172"/>
        <v>66.98</v>
      </c>
      <c r="BG301" s="77">
        <f t="shared" si="173"/>
        <v>20.094000000000001</v>
      </c>
      <c r="BH301" s="77">
        <f t="shared" si="174"/>
        <v>267.90000000000003</v>
      </c>
      <c r="BI301" s="78">
        <f t="shared" si="175"/>
        <v>0.25</v>
      </c>
      <c r="BJ301" s="79">
        <f t="shared" si="176"/>
        <v>0.14001128786136835</v>
      </c>
      <c r="BK301" s="80">
        <f t="shared" si="177"/>
        <v>411.42000000000007</v>
      </c>
      <c r="BL301" s="80">
        <f t="shared" si="178"/>
        <v>66.969999999999914</v>
      </c>
      <c r="BM301" s="79">
        <f t="shared" si="179"/>
        <v>0.13999038441438977</v>
      </c>
      <c r="BN301" s="81">
        <f t="shared" si="180"/>
        <v>0.83720833333333333</v>
      </c>
      <c r="BO301" s="82">
        <f t="shared" si="181"/>
        <v>200.93</v>
      </c>
      <c r="BP301" s="81">
        <f t="shared" si="182"/>
        <v>0.83720833333333333</v>
      </c>
      <c r="BQ301" s="81">
        <f t="shared" si="183"/>
        <v>0.83721946092977251</v>
      </c>
      <c r="BR301" s="81">
        <f t="shared" si="184"/>
        <v>1.1162611275964391</v>
      </c>
      <c r="BS301" s="82">
        <f t="shared" si="185"/>
        <v>240</v>
      </c>
      <c r="BT301" s="82">
        <f t="shared" si="186"/>
        <v>267.90267062314541</v>
      </c>
      <c r="BU301" s="82">
        <f t="shared" si="187"/>
        <v>267.89999999999998</v>
      </c>
      <c r="BW301" s="82">
        <f>IFERROR(INDEX('Infos Clientes'!$T:$T,MATCH('Detalhe Por UC'!$C301,'Infos Clientes'!B:B,0)),"")</f>
        <v>290.18181818181819</v>
      </c>
      <c r="BX301" s="83">
        <f t="shared" si="188"/>
        <v>0</v>
      </c>
      <c r="BY301" s="84">
        <f t="shared" si="189"/>
        <v>0.24997884434756409</v>
      </c>
      <c r="BZ301" s="85">
        <f>IF(_xlfn.MINIFS('Detalhe Por UC'!R:R,'Detalhe Por UC'!C:C,C301,'Detalhe Por UC'!AD:AD,"&gt;"&amp;0)=0,"",_xlfn.MINIFS('Detalhe Por UC'!R:R,'Detalhe Por UC'!C:C,C301,'Detalhe Por UC'!AD:AD,"&gt;"&amp;0))</f>
        <v>45658</v>
      </c>
      <c r="CA301" s="114">
        <f ca="1">IF(OR(S301&gt;0,AD301&gt;0),IFERROR(
SUMIFS(INDIRECT("'Infos Clientes'!$W"&amp;INDEX('Infos Clientes'!$C:$C,MATCH(C301,'Infos Clientes'!$H:$H,0))&amp;":$CZ"&amp;INDEX('Infos Clientes'!$C:$C,MATCH(C301,'Infos Clientes'!$H:$H,0))),'Infos Clientes'!$W$2:$CZ$2,"&gt;"&amp;$R301-365,'Infos Clientes'!$W$2:$CZ$2,"&lt;="&amp;$R301)/
COUNTIFS(INDIRECT("'Infos Clientes'!$W"&amp;INDEX('Infos Clientes'!$C:$C,MATCH(C301,'Infos Clientes'!$H:$H,0))&amp;":$CZ"&amp;INDEX('Infos Clientes'!$C:$C,MATCH(C301,'Infos Clientes'!$H:$H,0))),"&gt;="&amp;0,'Infos Clientes'!$W$2:$CZ$2,"&gt;"&amp;$R301-365,'Infos Clientes'!$W$2:$CZ$2,"&lt;="&amp;$R301),""),"")</f>
        <v>230.25</v>
      </c>
      <c r="CB301" s="87">
        <f>VLOOKUP(C301,'Infos Clientes'!B:L,11,0)</f>
        <v>0</v>
      </c>
      <c r="CC301" s="88" t="str">
        <f t="shared" si="190"/>
        <v>A Unidade Consumidora 10/280638-8 economizou R$66,98 na fatura referente à mar/2025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01" s="40" t="s">
        <v>66</v>
      </c>
      <c r="CF301" s="115">
        <f t="shared" si="191"/>
        <v>-210.49000000000004</v>
      </c>
    </row>
    <row r="302" spans="1:85" ht="16.2" hidden="1" customHeight="1" x14ac:dyDescent="0.3">
      <c r="A302" s="105" t="str">
        <f>INDEX('Infos Clientes'!$D:$D,MATCH('Detalhe Por UC'!C302,'Infos Clientes'!B:B,0))</f>
        <v>IGREJA DO EVANGELHO QUADRANGULAR</v>
      </c>
      <c r="B302" s="106" t="str">
        <f>INDEX('Infos Clientes'!$F:$F,MATCH('Detalhe Por UC'!C302,'Infos Clientes'!B:B,0))</f>
        <v>62.955.505/1822-57</v>
      </c>
      <c r="C302" s="31" t="s">
        <v>222</v>
      </c>
      <c r="D302" t="s">
        <v>351</v>
      </c>
      <c r="E302" s="1" t="s">
        <v>352</v>
      </c>
      <c r="F302" s="56" t="str">
        <f>INDEX('Infos Clientes'!$I:$I,MATCH('Detalhe Por UC'!C302,'Infos Clientes'!B:B,0))</f>
        <v>BT</v>
      </c>
      <c r="G302" s="56" t="str">
        <f>INDEX('Infos Clientes'!$J:$J,MATCH('Detalhe Por UC'!C302,'Infos Clientes'!B:B,0))</f>
        <v>trifasico</v>
      </c>
      <c r="H302" s="108" t="s">
        <v>138</v>
      </c>
      <c r="I302" s="58">
        <f>IFERROR(VLOOKUP(C302,'Infos Clientes'!B:E,4,),"")</f>
        <v>319</v>
      </c>
      <c r="J302" s="109">
        <v>0.25</v>
      </c>
      <c r="K302" s="59">
        <f>INDEX('Infos Clientes'!$M:$M,MATCH('Detalhe Por UC'!C302,'Infos Clientes'!B:B,0))</f>
        <v>0.25</v>
      </c>
      <c r="L302" s="125"/>
      <c r="M302" s="56">
        <f>INDEX('Infos Clientes'!$N:$N,MATCH('Detalhe Por UC'!C302,'Infos Clientes'!B:B,0))</f>
        <v>0</v>
      </c>
      <c r="N302" s="56">
        <f t="shared" si="155"/>
        <v>0</v>
      </c>
      <c r="O302" s="56">
        <f t="shared" si="156"/>
        <v>8</v>
      </c>
      <c r="P302" s="56">
        <f t="shared" si="157"/>
        <v>0</v>
      </c>
      <c r="Q302" s="61">
        <f>IFERROR(IFERROR(INDEX('Infos Clientes'!$A$2:$V$9884,MATCH($C302,'Infos Clientes'!$B$2:$B$9884,0),MATCH(Q$8,'Infos Clientes'!$A$2:$V$2,0)),"")
+IF(OR(INDEX('Infos Clientes'!$A$2:$V$9884,MATCH($C302,'Infos Clientes'!$B$2:$B$9884,0),MATCH("Tempo de Fidelidade (meses)",'Infos Clientes'!$A$2:$V$2,0))=0,R302&gt;=MAX(R:R)),0,
ROUND((MAX(R:R)-R302)/(365/12),0)),"")</f>
        <v>0</v>
      </c>
      <c r="R302" s="111">
        <v>45717</v>
      </c>
      <c r="S302" s="63">
        <v>0.02</v>
      </c>
      <c r="T302" s="113" t="str">
        <f>IF($H302="GIROSSOL II",AP302/INDEX('Resumo Operacional'!$A$1:$P$1103,17,MATCH('Detalhe Por UC'!$R302,'Resumo Operacional'!$A$1:$P$1,0)),
IF($H302="GIROSSOL II e III",AP302/INDEX('Resumo Operacional'!$A$1:$P$1103,17,MATCH('Detalhe Por UC'!$R302,'Resumo Operacional'!$A$1:$P$1,0)),
""))</f>
        <v/>
      </c>
      <c r="U302" s="113">
        <f>IF($H302="GIROSSOL III",AP302/INDEX('Resumo Operacional'!$A$1:$P$1103,53,MATCH('Detalhe Por UC'!$R302,'Resumo Operacional'!$A$1:$P$1,0)),
IF($H302="GIROSSOL II e III",AP302/INDEX('Resumo Operacional'!$A$1:$P$1103,53,MATCH('Detalhe Por UC'!$R302,'Resumo Operacional'!$A$1:$P$1,0)),
""))</f>
        <v>0</v>
      </c>
      <c r="V302" s="18"/>
      <c r="W302" s="18"/>
      <c r="X302" s="18">
        <v>1.1162473794549268</v>
      </c>
      <c r="Y302" s="18"/>
      <c r="Z302" s="66">
        <v>0</v>
      </c>
      <c r="AA302" s="18"/>
      <c r="AB302" s="68">
        <v>477</v>
      </c>
      <c r="AC302" s="18"/>
      <c r="AD302" s="69">
        <v>0</v>
      </c>
      <c r="AE302" s="35"/>
      <c r="AF302" s="69">
        <v>0</v>
      </c>
      <c r="AG302" s="69">
        <v>0</v>
      </c>
      <c r="AH302" s="16">
        <v>80.23</v>
      </c>
      <c r="AI302" s="16">
        <v>0</v>
      </c>
      <c r="AJ302" s="16">
        <v>0</v>
      </c>
      <c r="AN302" s="71">
        <f t="shared" si="158"/>
        <v>0</v>
      </c>
      <c r="AO302" s="71">
        <f t="shared" si="159"/>
        <v>0</v>
      </c>
      <c r="AP302" s="71">
        <f t="shared" si="160"/>
        <v>0</v>
      </c>
      <c r="AQ302" s="72">
        <f>IF(OR($H302="GIROSSOL II",$H302="GIROSSOL II e III"),INDEX('Resumo Operacional'!$A$1:$P$1103,MATCH("Energia Injetada prevista total Fatura da Usina (TUSD)",'Resumo Operacional'!$B$1:$B$1103,0),MATCH('Detalhe Por UC'!$R302,'Resumo Operacional'!$A$1:$P$1,0))*$S302,INDEX('Resumo Operacional'!$A$1:$P$1103,53,MATCH('Detalhe Por UC'!$R302,'Resumo Operacional'!$A$1:$P$1,0))*$S302)</f>
        <v>240.86</v>
      </c>
      <c r="AR302" s="71">
        <f t="shared" si="161"/>
        <v>-240.86</v>
      </c>
      <c r="AS302" s="73">
        <f t="shared" si="162"/>
        <v>612.68000000000006</v>
      </c>
      <c r="AT302" s="74">
        <f t="shared" si="163"/>
        <v>612.68000000000006</v>
      </c>
      <c r="AU302" s="74" t="str">
        <f t="shared" si="164"/>
        <v/>
      </c>
      <c r="AV302" s="74">
        <f t="shared" si="165"/>
        <v>0</v>
      </c>
      <c r="AW302" s="74">
        <f t="shared" si="166"/>
        <v>0</v>
      </c>
      <c r="AX302" s="74">
        <f t="shared" si="167"/>
        <v>0</v>
      </c>
      <c r="AY302" s="74" t="str">
        <f t="shared" si="168"/>
        <v/>
      </c>
      <c r="AZ302" s="49" t="s">
        <v>354</v>
      </c>
      <c r="BA302" s="49">
        <v>0</v>
      </c>
      <c r="BC302" s="73" t="str">
        <f t="shared" si="169"/>
        <v/>
      </c>
      <c r="BD302" s="73">
        <f t="shared" si="170"/>
        <v>612.68000000000006</v>
      </c>
      <c r="BE302" s="73">
        <f t="shared" si="171"/>
        <v>612.68000000000006</v>
      </c>
      <c r="BF302" s="77">
        <f t="shared" si="172"/>
        <v>0</v>
      </c>
      <c r="BG302" s="77">
        <f t="shared" si="173"/>
        <v>0</v>
      </c>
      <c r="BH302" s="77">
        <f t="shared" si="174"/>
        <v>0</v>
      </c>
      <c r="BI302" s="78" t="str">
        <f t="shared" si="175"/>
        <v/>
      </c>
      <c r="BJ302" s="79">
        <f t="shared" si="176"/>
        <v>0</v>
      </c>
      <c r="BK302" s="80" t="str">
        <f t="shared" si="177"/>
        <v/>
      </c>
      <c r="BL302" s="80" t="str">
        <f t="shared" si="178"/>
        <v/>
      </c>
      <c r="BM302" s="79" t="str">
        <f t="shared" si="179"/>
        <v/>
      </c>
      <c r="BN302" s="81" t="str">
        <f t="shared" si="180"/>
        <v/>
      </c>
      <c r="BO302" s="82" t="str">
        <f t="shared" si="181"/>
        <v/>
      </c>
      <c r="BP302" s="81" t="str">
        <f t="shared" si="182"/>
        <v/>
      </c>
      <c r="BQ302" s="81" t="str">
        <f t="shared" si="183"/>
        <v/>
      </c>
      <c r="BR302" s="81" t="str">
        <f t="shared" si="184"/>
        <v/>
      </c>
      <c r="BS302" s="82">
        <f t="shared" si="185"/>
        <v>0</v>
      </c>
      <c r="BT302" s="82" t="str">
        <f t="shared" si="186"/>
        <v/>
      </c>
      <c r="BU302" s="82">
        <f t="shared" si="187"/>
        <v>0</v>
      </c>
      <c r="BW302" s="82">
        <f>IFERROR(INDEX('Infos Clientes'!$T:$T,MATCH('Detalhe Por UC'!$C302,'Infos Clientes'!B:B,0)),"")</f>
        <v>392</v>
      </c>
      <c r="BX302" s="83">
        <f t="shared" si="188"/>
        <v>0</v>
      </c>
      <c r="BY302" s="84" t="str">
        <f t="shared" si="189"/>
        <v/>
      </c>
      <c r="BZ302" s="85">
        <f>IF(_xlfn.MINIFS('Detalhe Por UC'!R:R,'Detalhe Por UC'!C:C,C302,'Detalhe Por UC'!AD:AD,"&gt;"&amp;0)=0,"",_xlfn.MINIFS('Detalhe Por UC'!R:R,'Detalhe Por UC'!C:C,C302,'Detalhe Por UC'!AD:AD,"&gt;"&amp;0))</f>
        <v>45748</v>
      </c>
      <c r="CA302" s="114">
        <f ca="1">IF(OR(S302&gt;0,AD302&gt;0),IFERROR(
SUMIFS(INDIRECT("'Infos Clientes'!$W"&amp;INDEX('Infos Clientes'!$C:$C,MATCH(C302,'Infos Clientes'!$H:$H,0))&amp;":$CZ"&amp;INDEX('Infos Clientes'!$C:$C,MATCH(C302,'Infos Clientes'!$H:$H,0))),'Infos Clientes'!$W$2:$CZ$2,"&gt;"&amp;$R302-365,'Infos Clientes'!$W$2:$CZ$2,"&lt;="&amp;$R302)/
COUNTIFS(INDIRECT("'Infos Clientes'!$W"&amp;INDEX('Infos Clientes'!$C:$C,MATCH(C302,'Infos Clientes'!$H:$H,0))&amp;":$CZ"&amp;INDEX('Infos Clientes'!$C:$C,MATCH(C302,'Infos Clientes'!$H:$H,0))),"&gt;="&amp;0,'Infos Clientes'!$W$2:$CZ$2,"&gt;"&amp;$R302-365,'Infos Clientes'!$W$2:$CZ$2,"&lt;="&amp;$R302),""),"")</f>
        <v>105.08333333333333</v>
      </c>
      <c r="CB302" s="87">
        <f>VLOOKUP(C302,'Infos Clientes'!B:L,11,0)</f>
        <v>0</v>
      </c>
      <c r="CC302" s="88" t="str">
        <f t="shared" si="190"/>
        <v>A Unidade Consumidora 10/69319-2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2" s="40"/>
      <c r="CF302" s="115">
        <f t="shared" si="191"/>
        <v>-612.68000000000006</v>
      </c>
    </row>
    <row r="303" spans="1:85" ht="16.2" hidden="1" customHeight="1" x14ac:dyDescent="0.3">
      <c r="A303" s="105" t="str">
        <f>INDEX('Infos Clientes'!$D:$D,MATCH('Detalhe Por UC'!C303,'Infos Clientes'!B:B,0))</f>
        <v>IGREJA DO EVANGELHO QUADRANGULAR</v>
      </c>
      <c r="B303" s="106" t="str">
        <f>INDEX('Infos Clientes'!$F:$F,MATCH('Detalhe Por UC'!C303,'Infos Clientes'!B:B,0))</f>
        <v>62.955.505/1822-57</v>
      </c>
      <c r="C303" s="31" t="s">
        <v>206</v>
      </c>
      <c r="D303" t="s">
        <v>351</v>
      </c>
      <c r="E303" s="1" t="s">
        <v>352</v>
      </c>
      <c r="F303" s="56" t="str">
        <f>INDEX('Infos Clientes'!$I:$I,MATCH('Detalhe Por UC'!C303,'Infos Clientes'!B:B,0))</f>
        <v>BT</v>
      </c>
      <c r="G303" s="56" t="str">
        <f>INDEX('Infos Clientes'!$J:$J,MATCH('Detalhe Por UC'!C303,'Infos Clientes'!B:B,0))</f>
        <v>trifasico</v>
      </c>
      <c r="H303" s="108" t="s">
        <v>138</v>
      </c>
      <c r="I303" s="58">
        <f>IFERROR(VLOOKUP(C303,'Infos Clientes'!B:E,4,),"")</f>
        <v>319</v>
      </c>
      <c r="J303" s="109">
        <v>0.25</v>
      </c>
      <c r="K303" s="59">
        <f>INDEX('Infos Clientes'!$M:$M,MATCH('Detalhe Por UC'!C303,'Infos Clientes'!B:B,0))</f>
        <v>0.25</v>
      </c>
      <c r="L303" s="125"/>
      <c r="M303" s="56">
        <f>INDEX('Infos Clientes'!$N:$N,MATCH('Detalhe Por UC'!C303,'Infos Clientes'!B:B,0))</f>
        <v>0</v>
      </c>
      <c r="N303" s="56">
        <f t="shared" si="155"/>
        <v>0</v>
      </c>
      <c r="O303" s="56">
        <f t="shared" si="156"/>
        <v>9</v>
      </c>
      <c r="P303" s="56">
        <f t="shared" si="157"/>
        <v>0</v>
      </c>
      <c r="Q303" s="61">
        <f>IFERROR(IFERROR(INDEX('Infos Clientes'!$A$2:$V$9884,MATCH($C303,'Infos Clientes'!$B$2:$B$9884,0),MATCH(Q$8,'Infos Clientes'!$A$2:$V$2,0)),"")
+IF(OR(INDEX('Infos Clientes'!$A$2:$V$9884,MATCH($C303,'Infos Clientes'!$B$2:$B$9884,0),MATCH("Tempo de Fidelidade (meses)",'Infos Clientes'!$A$2:$V$2,0))=0,R303&gt;=MAX(R:R)),0,
ROUND((MAX(R:R)-R303)/(365/12),0)),"")</f>
        <v>0</v>
      </c>
      <c r="R303" s="111">
        <v>45717</v>
      </c>
      <c r="S303" s="63">
        <v>0.02</v>
      </c>
      <c r="T303" s="113" t="str">
        <f>IF($H303="GIROSSOL II",AP303/INDEX('Resumo Operacional'!$A$1:$P$1103,17,MATCH('Detalhe Por UC'!$R303,'Resumo Operacional'!$A$1:$P$1,0)),
IF($H303="GIROSSOL II e III",AP303/INDEX('Resumo Operacional'!$A$1:$P$1103,17,MATCH('Detalhe Por UC'!$R303,'Resumo Operacional'!$A$1:$P$1,0)),
""))</f>
        <v/>
      </c>
      <c r="U303" s="113">
        <f>IF($H303="GIROSSOL III",AP303/INDEX('Resumo Operacional'!$A$1:$P$1103,53,MATCH('Detalhe Por UC'!$R303,'Resumo Operacional'!$A$1:$P$1,0)),
IF($H303="GIROSSOL II e III",AP303/INDEX('Resumo Operacional'!$A$1:$P$1103,53,MATCH('Detalhe Por UC'!$R303,'Resumo Operacional'!$A$1:$P$1,0)),
""))</f>
        <v>0</v>
      </c>
      <c r="V303" s="18"/>
      <c r="W303" s="18"/>
      <c r="X303" s="18">
        <v>1.11625</v>
      </c>
      <c r="Y303" s="18"/>
      <c r="Z303" s="66">
        <v>0</v>
      </c>
      <c r="AA303" s="18"/>
      <c r="AB303" s="68">
        <v>488</v>
      </c>
      <c r="AC303" s="18"/>
      <c r="AD303" s="69">
        <v>0</v>
      </c>
      <c r="AE303" s="35"/>
      <c r="AF303" s="69">
        <v>0</v>
      </c>
      <c r="AG303" s="69">
        <v>0</v>
      </c>
      <c r="AH303" s="16">
        <v>89.960000000000008</v>
      </c>
      <c r="AI303" s="16">
        <v>0</v>
      </c>
      <c r="AJ303" s="16">
        <v>0</v>
      </c>
      <c r="AN303" s="71">
        <f t="shared" si="158"/>
        <v>0</v>
      </c>
      <c r="AO303" s="71">
        <f t="shared" si="159"/>
        <v>0</v>
      </c>
      <c r="AP303" s="71">
        <f t="shared" si="160"/>
        <v>0</v>
      </c>
      <c r="AQ303" s="72">
        <f>IF(OR($H303="GIROSSOL II",$H303="GIROSSOL II e III"),INDEX('Resumo Operacional'!$A$1:$P$1103,MATCH("Energia Injetada prevista total Fatura da Usina (TUSD)",'Resumo Operacional'!$B$1:$B$1103,0),MATCH('Detalhe Por UC'!$R303,'Resumo Operacional'!$A$1:$P$1,0))*$S303,INDEX('Resumo Operacional'!$A$1:$P$1103,53,MATCH('Detalhe Por UC'!$R303,'Resumo Operacional'!$A$1:$P$1,0))*$S303)</f>
        <v>240.86</v>
      </c>
      <c r="AR303" s="71">
        <f t="shared" si="161"/>
        <v>-240.86</v>
      </c>
      <c r="AS303" s="73">
        <f t="shared" si="162"/>
        <v>634.69000000000005</v>
      </c>
      <c r="AT303" s="74">
        <f t="shared" si="163"/>
        <v>634.69000000000005</v>
      </c>
      <c r="AU303" s="74" t="str">
        <f t="shared" si="164"/>
        <v/>
      </c>
      <c r="AV303" s="74">
        <f t="shared" si="165"/>
        <v>0</v>
      </c>
      <c r="AW303" s="74">
        <f t="shared" si="166"/>
        <v>0</v>
      </c>
      <c r="AX303" s="74">
        <f t="shared" si="167"/>
        <v>0</v>
      </c>
      <c r="AY303" s="74" t="str">
        <f t="shared" si="168"/>
        <v/>
      </c>
      <c r="AZ303" s="49" t="s">
        <v>354</v>
      </c>
      <c r="BA303" s="49">
        <v>0</v>
      </c>
      <c r="BC303" s="73" t="str">
        <f t="shared" si="169"/>
        <v/>
      </c>
      <c r="BD303" s="73">
        <f t="shared" si="170"/>
        <v>634.69000000000005</v>
      </c>
      <c r="BE303" s="73">
        <f t="shared" si="171"/>
        <v>634.69000000000005</v>
      </c>
      <c r="BF303" s="77">
        <f t="shared" si="172"/>
        <v>0</v>
      </c>
      <c r="BG303" s="77">
        <f t="shared" si="173"/>
        <v>0</v>
      </c>
      <c r="BH303" s="77">
        <f t="shared" si="174"/>
        <v>0</v>
      </c>
      <c r="BI303" s="78" t="str">
        <f t="shared" si="175"/>
        <v/>
      </c>
      <c r="BJ303" s="79">
        <f t="shared" si="176"/>
        <v>0</v>
      </c>
      <c r="BK303" s="80" t="str">
        <f t="shared" si="177"/>
        <v/>
      </c>
      <c r="BL303" s="80" t="str">
        <f t="shared" si="178"/>
        <v/>
      </c>
      <c r="BM303" s="79" t="str">
        <f t="shared" si="179"/>
        <v/>
      </c>
      <c r="BN303" s="81" t="str">
        <f t="shared" si="180"/>
        <v/>
      </c>
      <c r="BO303" s="82" t="str">
        <f t="shared" si="181"/>
        <v/>
      </c>
      <c r="BP303" s="81" t="str">
        <f t="shared" si="182"/>
        <v/>
      </c>
      <c r="BQ303" s="81" t="str">
        <f t="shared" si="183"/>
        <v/>
      </c>
      <c r="BR303" s="81" t="str">
        <f t="shared" si="184"/>
        <v/>
      </c>
      <c r="BS303" s="82">
        <f t="shared" si="185"/>
        <v>0</v>
      </c>
      <c r="BT303" s="82" t="str">
        <f t="shared" si="186"/>
        <v/>
      </c>
      <c r="BU303" s="82">
        <f t="shared" si="187"/>
        <v>0</v>
      </c>
      <c r="BW303" s="82">
        <f>IFERROR(INDEX('Infos Clientes'!$T:$T,MATCH('Detalhe Por UC'!$C303,'Infos Clientes'!B:B,0)),"")</f>
        <v>361.81818181818181</v>
      </c>
      <c r="BX303" s="83">
        <f t="shared" si="188"/>
        <v>0</v>
      </c>
      <c r="BY303" s="84" t="str">
        <f t="shared" si="189"/>
        <v/>
      </c>
      <c r="BZ303" s="85">
        <f>IF(_xlfn.MINIFS('Detalhe Por UC'!R:R,'Detalhe Por UC'!C:C,C303,'Detalhe Por UC'!AD:AD,"&gt;"&amp;0)=0,"",_xlfn.MINIFS('Detalhe Por UC'!R:R,'Detalhe Por UC'!C:C,C303,'Detalhe Por UC'!AD:AD,"&gt;"&amp;0))</f>
        <v>45658</v>
      </c>
      <c r="CA303" s="114">
        <f ca="1">IF(OR(S303&gt;0,AD303&gt;0),IFERROR(
SUMIFS(INDIRECT("'Infos Clientes'!$W"&amp;INDEX('Infos Clientes'!$C:$C,MATCH(C303,'Infos Clientes'!$H:$H,0))&amp;":$CZ"&amp;INDEX('Infos Clientes'!$C:$C,MATCH(C303,'Infos Clientes'!$H:$H,0))),'Infos Clientes'!$W$2:$CZ$2,"&gt;"&amp;$R303-365,'Infos Clientes'!$W$2:$CZ$2,"&lt;="&amp;$R303)/
COUNTIFS(INDIRECT("'Infos Clientes'!$W"&amp;INDEX('Infos Clientes'!$C:$C,MATCH(C303,'Infos Clientes'!$H:$H,0))&amp;":$CZ"&amp;INDEX('Infos Clientes'!$C:$C,MATCH(C303,'Infos Clientes'!$H:$H,0))),"&gt;="&amp;0,'Infos Clientes'!$W$2:$CZ$2,"&gt;"&amp;$R303-365,'Infos Clientes'!$W$2:$CZ$2,"&lt;="&amp;$R303),""),"")</f>
        <v>344.33333333333331</v>
      </c>
      <c r="CB303" s="87">
        <f>VLOOKUP(C303,'Infos Clientes'!B:L,11,0)</f>
        <v>0</v>
      </c>
      <c r="CC303" s="88" t="str">
        <f t="shared" si="190"/>
        <v>A Unidade Consumidora 10/480529-7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3" s="40"/>
      <c r="CF303" s="115">
        <f t="shared" si="191"/>
        <v>-634.69000000000005</v>
      </c>
    </row>
    <row r="304" spans="1:85" ht="16.2" hidden="1" customHeight="1" x14ac:dyDescent="0.3">
      <c r="A304" s="105" t="str">
        <f>INDEX('Infos Clientes'!$D:$D,MATCH('Detalhe Por UC'!C304,'Infos Clientes'!B:B,0))</f>
        <v>IGREJA DO EVANGELHO QUADRANGULAR</v>
      </c>
      <c r="B304" s="106" t="str">
        <f>INDEX('Infos Clientes'!$F:$F,MATCH('Detalhe Por UC'!C304,'Infos Clientes'!B:B,0))</f>
        <v>62.955.505/1822-57</v>
      </c>
      <c r="C304" s="31" t="s">
        <v>192</v>
      </c>
      <c r="D304" t="s">
        <v>351</v>
      </c>
      <c r="E304" s="1" t="s">
        <v>352</v>
      </c>
      <c r="F304" s="56" t="str">
        <f>INDEX('Infos Clientes'!$I:$I,MATCH('Detalhe Por UC'!C304,'Infos Clientes'!B:B,0))</f>
        <v>BT</v>
      </c>
      <c r="G304" s="56" t="str">
        <f>INDEX('Infos Clientes'!$J:$J,MATCH('Detalhe Por UC'!C304,'Infos Clientes'!B:B,0))</f>
        <v>trifasico</v>
      </c>
      <c r="H304" s="108" t="s">
        <v>138</v>
      </c>
      <c r="I304" s="58">
        <f>IFERROR(VLOOKUP(C304,'Infos Clientes'!B:E,4,),"")</f>
        <v>319</v>
      </c>
      <c r="J304" s="109">
        <v>0.25</v>
      </c>
      <c r="K304" s="59">
        <f>INDEX('Infos Clientes'!$M:$M,MATCH('Detalhe Por UC'!C304,'Infos Clientes'!B:B,0))</f>
        <v>0.25</v>
      </c>
      <c r="L304" s="125"/>
      <c r="M304" s="56">
        <f>INDEX('Infos Clientes'!$N:$N,MATCH('Detalhe Por UC'!C304,'Infos Clientes'!B:B,0))</f>
        <v>0</v>
      </c>
      <c r="N304" s="56">
        <f t="shared" si="155"/>
        <v>0</v>
      </c>
      <c r="O304" s="56">
        <f t="shared" si="156"/>
        <v>9</v>
      </c>
      <c r="P304" s="56">
        <f t="shared" si="157"/>
        <v>0</v>
      </c>
      <c r="Q304" s="61">
        <f>IFERROR(IFERROR(INDEX('Infos Clientes'!$A$2:$V$9884,MATCH($C304,'Infos Clientes'!$B$2:$B$9884,0),MATCH(Q$8,'Infos Clientes'!$A$2:$V$2,0)),"")
+IF(OR(INDEX('Infos Clientes'!$A$2:$V$9884,MATCH($C304,'Infos Clientes'!$B$2:$B$9884,0),MATCH("Tempo de Fidelidade (meses)",'Infos Clientes'!$A$2:$V$2,0))=0,R304&gt;=MAX(R:R)),0,
ROUND((MAX(R:R)-R304)/(365/12),0)),"")</f>
        <v>0</v>
      </c>
      <c r="R304" s="111">
        <v>45717</v>
      </c>
      <c r="S304" s="63">
        <v>0.03</v>
      </c>
      <c r="T304" s="113" t="str">
        <f>IF($H304="GIROSSOL II",AP304/INDEX('Resumo Operacional'!$A$1:$P$1103,17,MATCH('Detalhe Por UC'!$R304,'Resumo Operacional'!$A$1:$P$1,0)),
IF($H304="GIROSSOL II e III",AP304/INDEX('Resumo Operacional'!$A$1:$P$1103,17,MATCH('Detalhe Por UC'!$R304,'Resumo Operacional'!$A$1:$P$1,0)),
""))</f>
        <v/>
      </c>
      <c r="U304" s="113">
        <f>IF($H304="GIROSSOL III",AP304/INDEX('Resumo Operacional'!$A$1:$P$1103,53,MATCH('Detalhe Por UC'!$R304,'Resumo Operacional'!$A$1:$P$1,0)),
IF($H304="GIROSSOL II e III",AP304/INDEX('Resumo Operacional'!$A$1:$P$1103,53,MATCH('Detalhe Por UC'!$R304,'Resumo Operacional'!$A$1:$P$1,0)),
""))</f>
        <v>0</v>
      </c>
      <c r="V304" s="18"/>
      <c r="W304" s="18"/>
      <c r="X304" s="18">
        <v>1.1162542372881357</v>
      </c>
      <c r="Y304" s="18"/>
      <c r="Z304" s="66">
        <v>0</v>
      </c>
      <c r="AA304" s="18"/>
      <c r="AB304" s="68">
        <v>590</v>
      </c>
      <c r="AC304" s="18"/>
      <c r="AD304" s="69">
        <v>0</v>
      </c>
      <c r="AE304" s="35"/>
      <c r="AF304" s="69">
        <v>0</v>
      </c>
      <c r="AG304" s="69">
        <v>0</v>
      </c>
      <c r="AH304" s="16">
        <v>76.06</v>
      </c>
      <c r="AI304" s="16">
        <v>0</v>
      </c>
      <c r="AJ304" s="16">
        <v>0</v>
      </c>
      <c r="AN304" s="71">
        <f t="shared" si="158"/>
        <v>0</v>
      </c>
      <c r="AO304" s="71">
        <f t="shared" si="159"/>
        <v>0</v>
      </c>
      <c r="AP304" s="71">
        <f t="shared" si="160"/>
        <v>0</v>
      </c>
      <c r="AQ304" s="72">
        <f>IF(OR($H304="GIROSSOL II",$H304="GIROSSOL II e III"),INDEX('Resumo Operacional'!$A$1:$P$1103,MATCH("Energia Injetada prevista total Fatura da Usina (TUSD)",'Resumo Operacional'!$B$1:$B$1103,0),MATCH('Detalhe Por UC'!$R304,'Resumo Operacional'!$A$1:$P$1,0))*$S304,INDEX('Resumo Operacional'!$A$1:$P$1103,53,MATCH('Detalhe Por UC'!$R304,'Resumo Operacional'!$A$1:$P$1,0))*$S304)</f>
        <v>361.28999999999996</v>
      </c>
      <c r="AR304" s="71">
        <f t="shared" si="161"/>
        <v>-361.28999999999996</v>
      </c>
      <c r="AS304" s="73">
        <f t="shared" si="162"/>
        <v>734.65000000000009</v>
      </c>
      <c r="AT304" s="74">
        <f t="shared" si="163"/>
        <v>734.65000000000009</v>
      </c>
      <c r="AU304" s="74" t="str">
        <f t="shared" si="164"/>
        <v/>
      </c>
      <c r="AV304" s="74">
        <f t="shared" si="165"/>
        <v>0</v>
      </c>
      <c r="AW304" s="74">
        <f t="shared" si="166"/>
        <v>0</v>
      </c>
      <c r="AX304" s="74">
        <f t="shared" si="167"/>
        <v>0</v>
      </c>
      <c r="AY304" s="74" t="str">
        <f t="shared" si="168"/>
        <v/>
      </c>
      <c r="AZ304" s="49" t="s">
        <v>354</v>
      </c>
      <c r="BA304" s="49">
        <v>0</v>
      </c>
      <c r="BC304" s="73" t="str">
        <f t="shared" si="169"/>
        <v/>
      </c>
      <c r="BD304" s="73">
        <f t="shared" si="170"/>
        <v>734.65000000000009</v>
      </c>
      <c r="BE304" s="73">
        <f t="shared" si="171"/>
        <v>734.65000000000009</v>
      </c>
      <c r="BF304" s="77">
        <f t="shared" si="172"/>
        <v>0</v>
      </c>
      <c r="BG304" s="77">
        <f t="shared" si="173"/>
        <v>0</v>
      </c>
      <c r="BH304" s="77">
        <f t="shared" si="174"/>
        <v>0</v>
      </c>
      <c r="BI304" s="78" t="str">
        <f t="shared" si="175"/>
        <v/>
      </c>
      <c r="BJ304" s="79">
        <f t="shared" si="176"/>
        <v>0</v>
      </c>
      <c r="BK304" s="80" t="str">
        <f t="shared" si="177"/>
        <v/>
      </c>
      <c r="BL304" s="80" t="str">
        <f t="shared" si="178"/>
        <v/>
      </c>
      <c r="BM304" s="79" t="str">
        <f t="shared" si="179"/>
        <v/>
      </c>
      <c r="BN304" s="81" t="str">
        <f t="shared" si="180"/>
        <v/>
      </c>
      <c r="BO304" s="82" t="str">
        <f t="shared" si="181"/>
        <v/>
      </c>
      <c r="BP304" s="81" t="str">
        <f t="shared" si="182"/>
        <v/>
      </c>
      <c r="BQ304" s="81" t="str">
        <f t="shared" si="183"/>
        <v/>
      </c>
      <c r="BR304" s="81" t="str">
        <f t="shared" si="184"/>
        <v/>
      </c>
      <c r="BS304" s="82">
        <f t="shared" si="185"/>
        <v>0</v>
      </c>
      <c r="BT304" s="82" t="str">
        <f t="shared" si="186"/>
        <v/>
      </c>
      <c r="BU304" s="82">
        <f t="shared" si="187"/>
        <v>0</v>
      </c>
      <c r="BW304" s="82">
        <f>IFERROR(INDEX('Infos Clientes'!$T:$T,MATCH('Detalhe Por UC'!$C304,'Infos Clientes'!B:B,0)),"")</f>
        <v>502.09090909090907</v>
      </c>
      <c r="BX304" s="83">
        <f t="shared" si="188"/>
        <v>0</v>
      </c>
      <c r="BY304" s="84" t="str">
        <f t="shared" si="189"/>
        <v/>
      </c>
      <c r="BZ304" s="85">
        <f>IF(_xlfn.MINIFS('Detalhe Por UC'!R:R,'Detalhe Por UC'!C:C,C304,'Detalhe Por UC'!AD:AD,"&gt;"&amp;0)=0,"",_xlfn.MINIFS('Detalhe Por UC'!R:R,'Detalhe Por UC'!C:C,C304,'Detalhe Por UC'!AD:AD,"&gt;"&amp;0))</f>
        <v>45658</v>
      </c>
      <c r="CA304" s="114">
        <f ca="1">IF(OR(S304&gt;0,AD304&gt;0),IFERROR(
SUMIFS(INDIRECT("'Infos Clientes'!$W"&amp;INDEX('Infos Clientes'!$C:$C,MATCH(C304,'Infos Clientes'!$H:$H,0))&amp;":$CZ"&amp;INDEX('Infos Clientes'!$C:$C,MATCH(C304,'Infos Clientes'!$H:$H,0))),'Infos Clientes'!$W$2:$CZ$2,"&gt;"&amp;$R304-365,'Infos Clientes'!$W$2:$CZ$2,"&lt;="&amp;$R304)/
COUNTIFS(INDIRECT("'Infos Clientes'!$W"&amp;INDEX('Infos Clientes'!$C:$C,MATCH(C304,'Infos Clientes'!$H:$H,0))&amp;":$CZ"&amp;INDEX('Infos Clientes'!$C:$C,MATCH(C304,'Infos Clientes'!$H:$H,0))),"&gt;="&amp;0,'Infos Clientes'!$W$2:$CZ$2,"&gt;"&amp;$R304-365,'Infos Clientes'!$W$2:$CZ$2,"&lt;="&amp;$R304),""),"")</f>
        <v>440.41666666666669</v>
      </c>
      <c r="CB304" s="87">
        <f>VLOOKUP(C304,'Infos Clientes'!B:L,11,0)</f>
        <v>0</v>
      </c>
      <c r="CC304" s="88" t="str">
        <f t="shared" si="190"/>
        <v>A Unidade Consumidora 10/3139326-7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4" s="40" t="s">
        <v>143</v>
      </c>
      <c r="CF304" s="115">
        <f t="shared" si="191"/>
        <v>-734.65000000000009</v>
      </c>
    </row>
    <row r="305" spans="1:84" ht="16.2" hidden="1" customHeight="1" x14ac:dyDescent="0.3">
      <c r="A305" s="105" t="str">
        <f>INDEX('Infos Clientes'!$D:$D,MATCH('Detalhe Por UC'!C305,'Infos Clientes'!B:B,0))</f>
        <v>IGREJA DO EVANGELHO QUADRANGULAR</v>
      </c>
      <c r="B305" s="106" t="str">
        <f>INDEX('Infos Clientes'!$F:$F,MATCH('Detalhe Por UC'!C305,'Infos Clientes'!B:B,0))</f>
        <v>62.955.505/2132-33</v>
      </c>
      <c r="C305" s="31" t="s">
        <v>197</v>
      </c>
      <c r="D305" t="s">
        <v>351</v>
      </c>
      <c r="E305" s="1" t="s">
        <v>352</v>
      </c>
      <c r="F305" s="56" t="str">
        <f>INDEX('Infos Clientes'!$I:$I,MATCH('Detalhe Por UC'!C305,'Infos Clientes'!B:B,0))</f>
        <v>BT</v>
      </c>
      <c r="G305" s="56" t="str">
        <f>INDEX('Infos Clientes'!$J:$J,MATCH('Detalhe Por UC'!C305,'Infos Clientes'!B:B,0))</f>
        <v>trifasico</v>
      </c>
      <c r="H305" s="108" t="s">
        <v>138</v>
      </c>
      <c r="I305" s="58">
        <f>IFERROR(VLOOKUP(C305,'Infos Clientes'!B:E,4,),"")</f>
        <v>306</v>
      </c>
      <c r="J305" s="109">
        <v>0.25</v>
      </c>
      <c r="K305" s="59">
        <f>INDEX('Infos Clientes'!$M:$M,MATCH('Detalhe Por UC'!C305,'Infos Clientes'!B:B,0))</f>
        <v>0.25</v>
      </c>
      <c r="L305" s="125"/>
      <c r="M305" s="56">
        <f>INDEX('Infos Clientes'!$N:$N,MATCH('Detalhe Por UC'!C305,'Infos Clientes'!B:B,0))</f>
        <v>0</v>
      </c>
      <c r="N305" s="56">
        <f t="shared" si="155"/>
        <v>0</v>
      </c>
      <c r="O305" s="56">
        <f t="shared" si="156"/>
        <v>9</v>
      </c>
      <c r="P305" s="56">
        <f t="shared" si="157"/>
        <v>0</v>
      </c>
      <c r="Q305" s="61">
        <f>IFERROR(IFERROR(INDEX('Infos Clientes'!$A$2:$V$9884,MATCH($C305,'Infos Clientes'!$B$2:$B$9884,0),MATCH(Q$8,'Infos Clientes'!$A$2:$V$2,0)),"")
+IF(OR(INDEX('Infos Clientes'!$A$2:$V$9884,MATCH($C305,'Infos Clientes'!$B$2:$B$9884,0),MATCH("Tempo de Fidelidade (meses)",'Infos Clientes'!$A$2:$V$2,0))=0,R305&gt;=MAX(R:R)),0,
ROUND((MAX(R:R)-R305)/(365/12),0)),"")</f>
        <v>0</v>
      </c>
      <c r="R305" s="111">
        <v>45717</v>
      </c>
      <c r="S305" s="63">
        <v>0.04</v>
      </c>
      <c r="T305" s="113" t="str">
        <f>IF($H305="GIROSSOL II",AP305/INDEX('Resumo Operacional'!$A$1:$P$1103,17,MATCH('Detalhe Por UC'!$R305,'Resumo Operacional'!$A$1:$P$1,0)),
IF($H305="GIROSSOL II e III",AP305/INDEX('Resumo Operacional'!$A$1:$P$1103,17,MATCH('Detalhe Por UC'!$R305,'Resumo Operacional'!$A$1:$P$1,0)),
""))</f>
        <v/>
      </c>
      <c r="U305" s="113">
        <f>IF($H305="GIROSSOL III",AP305/INDEX('Resumo Operacional'!$A$1:$P$1103,53,MATCH('Detalhe Por UC'!$R305,'Resumo Operacional'!$A$1:$P$1,0)),
IF($H305="GIROSSOL II e III",AP305/INDEX('Resumo Operacional'!$A$1:$P$1103,53,MATCH('Detalhe Por UC'!$R305,'Resumo Operacional'!$A$1:$P$1,0)),
""))</f>
        <v>0</v>
      </c>
      <c r="V305" s="18"/>
      <c r="W305" s="18"/>
      <c r="X305" s="18">
        <v>1.1162615587846763</v>
      </c>
      <c r="Y305" s="18"/>
      <c r="Z305" s="66">
        <v>0</v>
      </c>
      <c r="AA305" s="18"/>
      <c r="AB305" s="68">
        <v>757</v>
      </c>
      <c r="AC305" s="18"/>
      <c r="AD305" s="69">
        <v>0</v>
      </c>
      <c r="AE305" s="35"/>
      <c r="AF305" s="69">
        <v>0</v>
      </c>
      <c r="AG305" s="69">
        <v>0</v>
      </c>
      <c r="AH305" s="16">
        <v>8.4599999999999991</v>
      </c>
      <c r="AI305" s="16">
        <v>0</v>
      </c>
      <c r="AJ305" s="16">
        <v>0</v>
      </c>
      <c r="AN305" s="71">
        <f t="shared" si="158"/>
        <v>0</v>
      </c>
      <c r="AO305" s="71">
        <f t="shared" si="159"/>
        <v>0</v>
      </c>
      <c r="AP305" s="71">
        <f t="shared" si="160"/>
        <v>0</v>
      </c>
      <c r="AQ305" s="72">
        <f>IF(OR($H305="GIROSSOL II",$H305="GIROSSOL II e III"),INDEX('Resumo Operacional'!$A$1:$P$1103,MATCH("Energia Injetada prevista total Fatura da Usina (TUSD)",'Resumo Operacional'!$B$1:$B$1103,0),MATCH('Detalhe Por UC'!$R305,'Resumo Operacional'!$A$1:$P$1,0))*$S305,INDEX('Resumo Operacional'!$A$1:$P$1103,53,MATCH('Detalhe Por UC'!$R305,'Resumo Operacional'!$A$1:$P$1,0))*$S305)</f>
        <v>481.72</v>
      </c>
      <c r="AR305" s="71">
        <f t="shared" si="161"/>
        <v>-481.72</v>
      </c>
      <c r="AS305" s="73">
        <f t="shared" si="162"/>
        <v>853.46999999999991</v>
      </c>
      <c r="AT305" s="74">
        <f t="shared" si="163"/>
        <v>853.46999999999991</v>
      </c>
      <c r="AU305" s="74" t="str">
        <f t="shared" si="164"/>
        <v/>
      </c>
      <c r="AV305" s="74">
        <f t="shared" si="165"/>
        <v>0</v>
      </c>
      <c r="AW305" s="74">
        <f t="shared" si="166"/>
        <v>0</v>
      </c>
      <c r="AX305" s="74">
        <f t="shared" si="167"/>
        <v>0</v>
      </c>
      <c r="AY305" s="74" t="str">
        <f t="shared" si="168"/>
        <v/>
      </c>
      <c r="AZ305" s="49" t="s">
        <v>354</v>
      </c>
      <c r="BA305" s="49">
        <v>0</v>
      </c>
      <c r="BC305" s="73" t="str">
        <f t="shared" si="169"/>
        <v/>
      </c>
      <c r="BD305" s="73">
        <f t="shared" si="170"/>
        <v>853.46999999999991</v>
      </c>
      <c r="BE305" s="73">
        <f t="shared" si="171"/>
        <v>853.46999999999991</v>
      </c>
      <c r="BF305" s="77">
        <f t="shared" si="172"/>
        <v>0</v>
      </c>
      <c r="BG305" s="77">
        <f t="shared" si="173"/>
        <v>0</v>
      </c>
      <c r="BH305" s="77">
        <f t="shared" si="174"/>
        <v>0</v>
      </c>
      <c r="BI305" s="78" t="str">
        <f t="shared" si="175"/>
        <v/>
      </c>
      <c r="BJ305" s="79">
        <f t="shared" si="176"/>
        <v>0</v>
      </c>
      <c r="BK305" s="80" t="str">
        <f t="shared" si="177"/>
        <v/>
      </c>
      <c r="BL305" s="80" t="str">
        <f t="shared" si="178"/>
        <v/>
      </c>
      <c r="BM305" s="79" t="str">
        <f t="shared" si="179"/>
        <v/>
      </c>
      <c r="BN305" s="81" t="str">
        <f t="shared" si="180"/>
        <v/>
      </c>
      <c r="BO305" s="82" t="str">
        <f t="shared" si="181"/>
        <v/>
      </c>
      <c r="BP305" s="81" t="str">
        <f t="shared" si="182"/>
        <v/>
      </c>
      <c r="BQ305" s="81" t="str">
        <f t="shared" si="183"/>
        <v/>
      </c>
      <c r="BR305" s="81" t="str">
        <f t="shared" si="184"/>
        <v/>
      </c>
      <c r="BS305" s="82">
        <f t="shared" si="185"/>
        <v>0</v>
      </c>
      <c r="BT305" s="82" t="str">
        <f t="shared" si="186"/>
        <v/>
      </c>
      <c r="BU305" s="82">
        <f t="shared" si="187"/>
        <v>0</v>
      </c>
      <c r="BW305" s="82">
        <f>IFERROR(INDEX('Infos Clientes'!$T:$T,MATCH('Detalhe Por UC'!$C305,'Infos Clientes'!B:B,0)),"")</f>
        <v>659.09090909090912</v>
      </c>
      <c r="BX305" s="83">
        <f t="shared" si="188"/>
        <v>0</v>
      </c>
      <c r="BY305" s="84" t="str">
        <f t="shared" si="189"/>
        <v/>
      </c>
      <c r="BZ305" s="85">
        <f>IF(_xlfn.MINIFS('Detalhe Por UC'!R:R,'Detalhe Por UC'!C:C,C305,'Detalhe Por UC'!AD:AD,"&gt;"&amp;0)=0,"",_xlfn.MINIFS('Detalhe Por UC'!R:R,'Detalhe Por UC'!C:C,C305,'Detalhe Por UC'!AD:AD,"&gt;"&amp;0))</f>
        <v>45658</v>
      </c>
      <c r="CA305" s="114">
        <f ca="1">IF(OR(S305&gt;0,AD305&gt;0),IFERROR(
SUMIFS(INDIRECT("'Infos Clientes'!$W"&amp;INDEX('Infos Clientes'!$C:$C,MATCH(C305,'Infos Clientes'!$H:$H,0))&amp;":$CZ"&amp;INDEX('Infos Clientes'!$C:$C,MATCH(C305,'Infos Clientes'!$H:$H,0))),'Infos Clientes'!$W$2:$CZ$2,"&gt;"&amp;$R305-365,'Infos Clientes'!$W$2:$CZ$2,"&lt;="&amp;$R305)/
COUNTIFS(INDIRECT("'Infos Clientes'!$W"&amp;INDEX('Infos Clientes'!$C:$C,MATCH(C305,'Infos Clientes'!$H:$H,0))&amp;":$CZ"&amp;INDEX('Infos Clientes'!$C:$C,MATCH(C305,'Infos Clientes'!$H:$H,0))),"&gt;="&amp;0,'Infos Clientes'!$W$2:$CZ$2,"&gt;"&amp;$R305-365,'Infos Clientes'!$W$2:$CZ$2,"&lt;="&amp;$R305),""),"")</f>
        <v>578</v>
      </c>
      <c r="CB305" s="87">
        <f>VLOOKUP(C305,'Infos Clientes'!B:L,11,0)</f>
        <v>0</v>
      </c>
      <c r="CC305" s="88" t="str">
        <f t="shared" si="190"/>
        <v>A Unidade Consumidora 10/399338-3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5" s="40" t="s">
        <v>143</v>
      </c>
      <c r="CF305" s="115">
        <f t="shared" si="191"/>
        <v>-853.46999999999991</v>
      </c>
    </row>
    <row r="306" spans="1:84" ht="16.2" hidden="1" customHeight="1" x14ac:dyDescent="0.3">
      <c r="A306" s="105" t="str">
        <f>INDEX('Infos Clientes'!$D:$D,MATCH('Detalhe Por UC'!C306,'Infos Clientes'!B:B,0))</f>
        <v>IGREJA DO EVANGELHO QUADRANGULAR</v>
      </c>
      <c r="B306" s="106" t="str">
        <f>INDEX('Infos Clientes'!$F:$F,MATCH('Detalhe Por UC'!C306,'Infos Clientes'!B:B,0))</f>
        <v>62.955.505/0154-31</v>
      </c>
      <c r="C306" s="31" t="s">
        <v>218</v>
      </c>
      <c r="D306" t="s">
        <v>351</v>
      </c>
      <c r="E306" s="1" t="s">
        <v>352</v>
      </c>
      <c r="F306" s="56" t="str">
        <f>INDEX('Infos Clientes'!$I:$I,MATCH('Detalhe Por UC'!C306,'Infos Clientes'!B:B,0))</f>
        <v>BT</v>
      </c>
      <c r="G306" s="56" t="str">
        <f>INDEX('Infos Clientes'!$J:$J,MATCH('Detalhe Por UC'!C306,'Infos Clientes'!B:B,0))</f>
        <v>bifasico</v>
      </c>
      <c r="H306" s="108" t="s">
        <v>24</v>
      </c>
      <c r="I306" s="58">
        <f>IFERROR(VLOOKUP(C306,'Infos Clientes'!B:E,4,),"")</f>
        <v>319</v>
      </c>
      <c r="J306" s="109">
        <v>0.25</v>
      </c>
      <c r="K306" s="59">
        <f>INDEX('Infos Clientes'!$M:$M,MATCH('Detalhe Por UC'!C306,'Infos Clientes'!B:B,0))</f>
        <v>0.25</v>
      </c>
      <c r="L306" s="125"/>
      <c r="M306" s="56">
        <f>INDEX('Infos Clientes'!$N:$N,MATCH('Detalhe Por UC'!C306,'Infos Clientes'!B:B,0))</f>
        <v>0</v>
      </c>
      <c r="N306" s="56">
        <f t="shared" si="155"/>
        <v>0</v>
      </c>
      <c r="O306" s="56">
        <f t="shared" si="156"/>
        <v>9</v>
      </c>
      <c r="P306" s="56">
        <f t="shared" si="157"/>
        <v>0</v>
      </c>
      <c r="Q306" s="61">
        <f>IFERROR(IFERROR(INDEX('Infos Clientes'!$A$2:$V$9884,MATCH($C306,'Infos Clientes'!$B$2:$B$9884,0),MATCH(Q$8,'Infos Clientes'!$A$2:$V$2,0)),"")
+IF(OR(INDEX('Infos Clientes'!$A$2:$V$9884,MATCH($C306,'Infos Clientes'!$B$2:$B$9884,0),MATCH("Tempo de Fidelidade (meses)",'Infos Clientes'!$A$2:$V$2,0))=0,R306&gt;=MAX(R:R)),0,
ROUND((MAX(R:R)-R306)/(365/12),0)),"")</f>
        <v>0</v>
      </c>
      <c r="R306" s="111">
        <v>45717</v>
      </c>
      <c r="S306" s="63">
        <v>0.05</v>
      </c>
      <c r="T306" s="113">
        <f>IF($H306="GIROSSOL II",AP306/INDEX('Resumo Operacional'!$A$1:$P$1103,17,MATCH('Detalhe Por UC'!$R306,'Resumo Operacional'!$A$1:$P$1,0)),
IF($H306="GIROSSOL II e III",AP306/INDEX('Resumo Operacional'!$A$1:$P$1103,17,MATCH('Detalhe Por UC'!$R306,'Resumo Operacional'!$A$1:$P$1,0)),
""))</f>
        <v>5.0004153168867846E-2</v>
      </c>
      <c r="U306" s="113" t="str">
        <f>IF($H306="GIROSSOL III",AP306/INDEX('Resumo Operacional'!$A$1:$P$1103,53,MATCH('Detalhe Por UC'!$R306,'Resumo Operacional'!$A$1:$P$1,0)),
IF($H306="GIROSSOL II e III",AP306/INDEX('Resumo Operacional'!$A$1:$P$1103,53,MATCH('Detalhe Por UC'!$R306,'Resumo Operacional'!$A$1:$P$1,0)),
""))</f>
        <v/>
      </c>
      <c r="V306" s="18"/>
      <c r="W306" s="18"/>
      <c r="X306" s="18">
        <v>1.1162588235294117</v>
      </c>
      <c r="Y306" s="18"/>
      <c r="Z306" s="66">
        <v>1.1162624584717609</v>
      </c>
      <c r="AA306" s="18"/>
      <c r="AB306" s="68">
        <v>850</v>
      </c>
      <c r="AC306" s="18"/>
      <c r="AD306" s="69">
        <v>602</v>
      </c>
      <c r="AE306" s="35"/>
      <c r="AF306" s="69">
        <v>0</v>
      </c>
      <c r="AG306" s="69">
        <v>0</v>
      </c>
      <c r="AH306" s="16">
        <v>189.75</v>
      </c>
      <c r="AI306" s="16">
        <v>0</v>
      </c>
      <c r="AJ306" s="16">
        <v>0</v>
      </c>
      <c r="AN306" s="71">
        <f t="shared" si="158"/>
        <v>0</v>
      </c>
      <c r="AO306" s="71">
        <f t="shared" si="159"/>
        <v>0</v>
      </c>
      <c r="AP306" s="71">
        <f t="shared" si="160"/>
        <v>602</v>
      </c>
      <c r="AQ306" s="72">
        <f>IF(OR($H306="GIROSSOL II",$H306="GIROSSOL II e III"),INDEX('Resumo Operacional'!$A$1:$P$1103,MATCH("Energia Injetada prevista total Fatura da Usina (TUSD)",'Resumo Operacional'!$B$1:$B$1103,0),MATCH('Detalhe Por UC'!$R306,'Resumo Operacional'!$A$1:$P$1,0))*$S306,INDEX('Resumo Operacional'!$A$1:$P$1103,53,MATCH('Detalhe Por UC'!$R306,'Resumo Operacional'!$A$1:$P$1,0))*$S306)</f>
        <v>601.95000000000005</v>
      </c>
      <c r="AR306" s="71">
        <f t="shared" si="161"/>
        <v>4.9999999999954525E-2</v>
      </c>
      <c r="AS306" s="73">
        <f t="shared" si="162"/>
        <v>466.57999999999993</v>
      </c>
      <c r="AT306" s="74">
        <f t="shared" si="163"/>
        <v>466.57999999999993</v>
      </c>
      <c r="AU306" s="74">
        <f t="shared" si="164"/>
        <v>1.11626609341411</v>
      </c>
      <c r="AV306" s="74">
        <f t="shared" si="165"/>
        <v>503.99250000000001</v>
      </c>
      <c r="AW306" s="74">
        <f t="shared" si="166"/>
        <v>0</v>
      </c>
      <c r="AX306" s="74">
        <f t="shared" si="167"/>
        <v>671.99</v>
      </c>
      <c r="AY306" s="74">
        <f t="shared" si="168"/>
        <v>503.99</v>
      </c>
      <c r="AZ306" s="49">
        <v>503.99</v>
      </c>
      <c r="BA306" s="49">
        <v>503.99</v>
      </c>
      <c r="BB306" s="49">
        <v>503.99</v>
      </c>
      <c r="BC306" s="73" t="str">
        <f t="shared" si="169"/>
        <v/>
      </c>
      <c r="BD306" s="73">
        <f t="shared" si="170"/>
        <v>1138.57</v>
      </c>
      <c r="BE306" s="73">
        <f t="shared" si="171"/>
        <v>970.57249999999999</v>
      </c>
      <c r="BF306" s="77">
        <f t="shared" si="172"/>
        <v>168</v>
      </c>
      <c r="BG306" s="77">
        <f t="shared" si="173"/>
        <v>50.4</v>
      </c>
      <c r="BH306" s="77">
        <f t="shared" si="174"/>
        <v>671.99</v>
      </c>
      <c r="BI306" s="78">
        <f t="shared" si="175"/>
        <v>0.25</v>
      </c>
      <c r="BJ306" s="79">
        <f t="shared" si="176"/>
        <v>0.14755351010478057</v>
      </c>
      <c r="BK306" s="80">
        <f t="shared" si="177"/>
        <v>970.56999999999994</v>
      </c>
      <c r="BL306" s="80">
        <f t="shared" si="178"/>
        <v>168</v>
      </c>
      <c r="BM306" s="79">
        <f t="shared" si="179"/>
        <v>0.14755351010478057</v>
      </c>
      <c r="BN306" s="81">
        <f t="shared" si="180"/>
        <v>0.83719269102990035</v>
      </c>
      <c r="BO306" s="82">
        <f t="shared" si="181"/>
        <v>503.99</v>
      </c>
      <c r="BP306" s="81">
        <f t="shared" si="182"/>
        <v>0.83719269102990035</v>
      </c>
      <c r="BQ306" s="81">
        <f t="shared" si="183"/>
        <v>0.83718905608755123</v>
      </c>
      <c r="BR306" s="81">
        <f t="shared" si="184"/>
        <v>1.1162588235294117</v>
      </c>
      <c r="BS306" s="82">
        <f t="shared" si="185"/>
        <v>602</v>
      </c>
      <c r="BT306" s="82">
        <f t="shared" si="186"/>
        <v>671.98781176470584</v>
      </c>
      <c r="BU306" s="82">
        <f t="shared" si="187"/>
        <v>671.99</v>
      </c>
      <c r="BW306" s="82">
        <f>IFERROR(INDEX('Infos Clientes'!$T:$T,MATCH('Detalhe Por UC'!$C306,'Infos Clientes'!B:B,0)),"")</f>
        <v>806.81818181818187</v>
      </c>
      <c r="BX306" s="83">
        <f t="shared" si="188"/>
        <v>0</v>
      </c>
      <c r="BY306" s="84">
        <f t="shared" si="189"/>
        <v>0.25000453439596704</v>
      </c>
      <c r="BZ306" s="85">
        <f>IF(_xlfn.MINIFS('Detalhe Por UC'!R:R,'Detalhe Por UC'!C:C,C306,'Detalhe Por UC'!AD:AD,"&gt;"&amp;0)=0,"",_xlfn.MINIFS('Detalhe Por UC'!R:R,'Detalhe Por UC'!C:C,C306,'Detalhe Por UC'!AD:AD,"&gt;"&amp;0))</f>
        <v>45658</v>
      </c>
      <c r="CA306" s="114">
        <f ca="1">IF(OR(S306&gt;0,AD306&gt;0),IFERROR(
SUMIFS(INDIRECT("'Infos Clientes'!$W"&amp;INDEX('Infos Clientes'!$C:$C,MATCH(C306,'Infos Clientes'!$H:$H,0))&amp;":$CZ"&amp;INDEX('Infos Clientes'!$C:$C,MATCH(C306,'Infos Clientes'!$H:$H,0))),'Infos Clientes'!$W$2:$CZ$2,"&gt;"&amp;$R306-365,'Infos Clientes'!$W$2:$CZ$2,"&lt;="&amp;$R306)/
COUNTIFS(INDIRECT("'Infos Clientes'!$W"&amp;INDEX('Infos Clientes'!$C:$C,MATCH(C306,'Infos Clientes'!$H:$H,0))&amp;":$CZ"&amp;INDEX('Infos Clientes'!$C:$C,MATCH(C306,'Infos Clientes'!$H:$H,0))),"&gt;="&amp;0,'Infos Clientes'!$W$2:$CZ$2,"&gt;"&amp;$R306-365,'Infos Clientes'!$W$2:$CZ$2,"&lt;="&amp;$R306),""),"")</f>
        <v>744.16666666666663</v>
      </c>
      <c r="CB306" s="87">
        <f>VLOOKUP(C306,'Infos Clientes'!B:L,11,0)</f>
        <v>0</v>
      </c>
      <c r="CC306" s="88" t="str">
        <f t="shared" si="190"/>
        <v>A Unidade Consumidora 10/61344-8 economizou R$168 na fatura referente à mar/2025  consumindo 602 kWh em créditos de energia renovável conforme fatura de energia. A economia foi de 25% em relação ao que seria pago para a Energisa considerando os créditos consumidos. Atenção: Mantenha as contas da Energisa em dia para evitar cortes.</v>
      </c>
      <c r="CD306" s="40"/>
      <c r="CF306" s="115">
        <f t="shared" si="191"/>
        <v>-466.57999999999993</v>
      </c>
    </row>
    <row r="307" spans="1:84" ht="16.2" hidden="1" customHeight="1" x14ac:dyDescent="0.3">
      <c r="A307" s="105" t="str">
        <f>INDEX('Infos Clientes'!$D:$D,MATCH('Detalhe Por UC'!C307,'Infos Clientes'!B:B,0))</f>
        <v>IGREJA DO EVANGELHO QUADRANGULAR</v>
      </c>
      <c r="B307" s="106" t="str">
        <f>INDEX('Infos Clientes'!$F:$F,MATCH('Detalhe Por UC'!C307,'Infos Clientes'!B:B,0))</f>
        <v>62.955.505/2740-20</v>
      </c>
      <c r="C307" s="31" t="s">
        <v>175</v>
      </c>
      <c r="D307" t="s">
        <v>351</v>
      </c>
      <c r="E307" s="1" t="s">
        <v>352</v>
      </c>
      <c r="F307" s="56" t="str">
        <f>INDEX('Infos Clientes'!$I:$I,MATCH('Detalhe Por UC'!C307,'Infos Clientes'!B:B,0))</f>
        <v>BT</v>
      </c>
      <c r="G307" s="56" t="str">
        <f>INDEX('Infos Clientes'!$J:$J,MATCH('Detalhe Por UC'!C307,'Infos Clientes'!B:B,0))</f>
        <v>trifasico</v>
      </c>
      <c r="H307" s="108" t="s">
        <v>138</v>
      </c>
      <c r="I307" s="58">
        <f>IFERROR(VLOOKUP(C307,'Infos Clientes'!B:E,4,),"")</f>
        <v>371</v>
      </c>
      <c r="J307" s="109">
        <v>0.25</v>
      </c>
      <c r="K307" s="59">
        <f>INDEX('Infos Clientes'!$M:$M,MATCH('Detalhe Por UC'!C307,'Infos Clientes'!B:B,0))</f>
        <v>0.25</v>
      </c>
      <c r="L307" s="125"/>
      <c r="M307" s="56">
        <f>INDEX('Infos Clientes'!$N:$N,MATCH('Detalhe Por UC'!C307,'Infos Clientes'!B:B,0))</f>
        <v>0</v>
      </c>
      <c r="N307" s="56">
        <f t="shared" si="155"/>
        <v>0</v>
      </c>
      <c r="O307" s="56">
        <f t="shared" si="156"/>
        <v>8</v>
      </c>
      <c r="P307" s="56">
        <f t="shared" si="157"/>
        <v>0</v>
      </c>
      <c r="Q307" s="61">
        <f>IFERROR(IFERROR(INDEX('Infos Clientes'!$A$2:$V$9884,MATCH($C307,'Infos Clientes'!$B$2:$B$9884,0),MATCH(Q$8,'Infos Clientes'!$A$2:$V$2,0)),"")
+IF(OR(INDEX('Infos Clientes'!$A$2:$V$9884,MATCH($C307,'Infos Clientes'!$B$2:$B$9884,0),MATCH("Tempo de Fidelidade (meses)",'Infos Clientes'!$A$2:$V$2,0))=0,R307&gt;=MAX(R:R)),0,
ROUND((MAX(R:R)-R307)/(365/12),0)),"")</f>
        <v>0</v>
      </c>
      <c r="R307" s="111">
        <v>45717</v>
      </c>
      <c r="S307" s="63">
        <v>0.01</v>
      </c>
      <c r="T307" s="113" t="str">
        <f>IF($H307="GIROSSOL II",AP307/INDEX('Resumo Operacional'!$A$1:$P$1103,17,MATCH('Detalhe Por UC'!$R307,'Resumo Operacional'!$A$1:$P$1,0)),
IF($H307="GIROSSOL II e III",AP307/INDEX('Resumo Operacional'!$A$1:$P$1103,17,MATCH('Detalhe Por UC'!$R307,'Resumo Operacional'!$A$1:$P$1,0)),
""))</f>
        <v/>
      </c>
      <c r="U307" s="113">
        <f>IF($H307="GIROSSOL III",AP307/INDEX('Resumo Operacional'!$A$1:$P$1103,53,MATCH('Detalhe Por UC'!$R307,'Resumo Operacional'!$A$1:$P$1,0)),
IF($H307="GIROSSOL II e III",AP307/INDEX('Resumo Operacional'!$A$1:$P$1103,53,MATCH('Detalhe Por UC'!$R307,'Resumo Operacional'!$A$1:$P$1,0)),
""))</f>
        <v>0</v>
      </c>
      <c r="V307" s="18"/>
      <c r="W307" s="18"/>
      <c r="X307" s="18">
        <v>1.1162527716186252</v>
      </c>
      <c r="Y307" s="18"/>
      <c r="Z307" s="66">
        <v>0</v>
      </c>
      <c r="AA307" s="18"/>
      <c r="AB307" s="68">
        <v>451</v>
      </c>
      <c r="AC307" s="18"/>
      <c r="AD307" s="69">
        <v>0</v>
      </c>
      <c r="AE307" s="35"/>
      <c r="AF307" s="69">
        <v>0</v>
      </c>
      <c r="AG307" s="69">
        <v>0</v>
      </c>
      <c r="AH307" s="16">
        <v>55.16</v>
      </c>
      <c r="AI307" s="16">
        <v>0</v>
      </c>
      <c r="AJ307" s="16">
        <v>0</v>
      </c>
      <c r="AN307" s="71">
        <f t="shared" si="158"/>
        <v>0</v>
      </c>
      <c r="AO307" s="71">
        <f t="shared" si="159"/>
        <v>0</v>
      </c>
      <c r="AP307" s="71">
        <f t="shared" si="160"/>
        <v>0</v>
      </c>
      <c r="AQ307" s="72">
        <f>IF(OR($H307="GIROSSOL II",$H307="GIROSSOL II e III"),INDEX('Resumo Operacional'!$A$1:$P$1103,MATCH("Energia Injetada prevista total Fatura da Usina (TUSD)",'Resumo Operacional'!$B$1:$B$1103,0),MATCH('Detalhe Por UC'!$R307,'Resumo Operacional'!$A$1:$P$1,0))*$S307,INDEX('Resumo Operacional'!$A$1:$P$1103,53,MATCH('Detalhe Por UC'!$R307,'Resumo Operacional'!$A$1:$P$1,0))*$S307)</f>
        <v>120.43</v>
      </c>
      <c r="AR307" s="71">
        <f t="shared" si="161"/>
        <v>-120.43</v>
      </c>
      <c r="AS307" s="73">
        <f t="shared" si="162"/>
        <v>558.59</v>
      </c>
      <c r="AT307" s="74">
        <f t="shared" si="163"/>
        <v>558.59</v>
      </c>
      <c r="AU307" s="74" t="str">
        <f t="shared" si="164"/>
        <v/>
      </c>
      <c r="AV307" s="74">
        <f t="shared" si="165"/>
        <v>0</v>
      </c>
      <c r="AW307" s="74">
        <f t="shared" si="166"/>
        <v>0</v>
      </c>
      <c r="AX307" s="74">
        <f t="shared" si="167"/>
        <v>0</v>
      </c>
      <c r="AY307" s="74" t="str">
        <f t="shared" si="168"/>
        <v/>
      </c>
      <c r="AZ307" s="49" t="s">
        <v>354</v>
      </c>
      <c r="BA307" s="49">
        <v>0</v>
      </c>
      <c r="BC307" s="73" t="str">
        <f t="shared" si="169"/>
        <v/>
      </c>
      <c r="BD307" s="73">
        <f t="shared" si="170"/>
        <v>558.59</v>
      </c>
      <c r="BE307" s="73">
        <f t="shared" si="171"/>
        <v>558.59</v>
      </c>
      <c r="BF307" s="77">
        <f t="shared" si="172"/>
        <v>0</v>
      </c>
      <c r="BG307" s="77">
        <f t="shared" si="173"/>
        <v>0</v>
      </c>
      <c r="BH307" s="77">
        <f t="shared" si="174"/>
        <v>0</v>
      </c>
      <c r="BI307" s="78" t="str">
        <f t="shared" si="175"/>
        <v/>
      </c>
      <c r="BJ307" s="79">
        <f t="shared" si="176"/>
        <v>0</v>
      </c>
      <c r="BK307" s="80" t="str">
        <f t="shared" si="177"/>
        <v/>
      </c>
      <c r="BL307" s="80" t="str">
        <f t="shared" si="178"/>
        <v/>
      </c>
      <c r="BM307" s="79" t="str">
        <f t="shared" si="179"/>
        <v/>
      </c>
      <c r="BN307" s="81" t="str">
        <f t="shared" si="180"/>
        <v/>
      </c>
      <c r="BO307" s="82" t="str">
        <f t="shared" si="181"/>
        <v/>
      </c>
      <c r="BP307" s="81" t="str">
        <f t="shared" si="182"/>
        <v/>
      </c>
      <c r="BQ307" s="81" t="str">
        <f t="shared" si="183"/>
        <v/>
      </c>
      <c r="BR307" s="81" t="str">
        <f t="shared" si="184"/>
        <v/>
      </c>
      <c r="BS307" s="82">
        <f t="shared" si="185"/>
        <v>0</v>
      </c>
      <c r="BT307" s="82" t="str">
        <f t="shared" si="186"/>
        <v/>
      </c>
      <c r="BU307" s="82">
        <f t="shared" si="187"/>
        <v>0</v>
      </c>
      <c r="BW307" s="82">
        <f>IFERROR(INDEX('Infos Clientes'!$T:$T,MATCH('Detalhe Por UC'!$C307,'Infos Clientes'!B:B,0)),"")</f>
        <v>384.90909090909093</v>
      </c>
      <c r="BX307" s="83">
        <f t="shared" si="188"/>
        <v>0</v>
      </c>
      <c r="BY307" s="84" t="str">
        <f t="shared" si="189"/>
        <v/>
      </c>
      <c r="BZ307" s="85">
        <f>IF(_xlfn.MINIFS('Detalhe Por UC'!R:R,'Detalhe Por UC'!C:C,C307,'Detalhe Por UC'!AD:AD,"&gt;"&amp;0)=0,"",_xlfn.MINIFS('Detalhe Por UC'!R:R,'Detalhe Por UC'!C:C,C307,'Detalhe Por UC'!AD:AD,"&gt;"&amp;0))</f>
        <v>45658</v>
      </c>
      <c r="CA307" s="114">
        <f ca="1">IF(OR(S307&gt;0,AD307&gt;0),IFERROR(
SUMIFS(INDIRECT("'Infos Clientes'!$W"&amp;INDEX('Infos Clientes'!$C:$C,MATCH(C307,'Infos Clientes'!$H:$H,0))&amp;":$CZ"&amp;INDEX('Infos Clientes'!$C:$C,MATCH(C307,'Infos Clientes'!$H:$H,0))),'Infos Clientes'!$W$2:$CZ$2,"&gt;"&amp;$R307-365,'Infos Clientes'!$W$2:$CZ$2,"&lt;="&amp;$R307)/
COUNTIFS(INDIRECT("'Infos Clientes'!$W"&amp;INDEX('Infos Clientes'!$C:$C,MATCH(C307,'Infos Clientes'!$H:$H,0))&amp;":$CZ"&amp;INDEX('Infos Clientes'!$C:$C,MATCH(C307,'Infos Clientes'!$H:$H,0))),"&gt;="&amp;0,'Infos Clientes'!$W$2:$CZ$2,"&gt;"&amp;$R307-365,'Infos Clientes'!$W$2:$CZ$2,"&lt;="&amp;$R307),""),"")</f>
        <v>326.25</v>
      </c>
      <c r="CB307" s="87">
        <f>VLOOKUP(C307,'Infos Clientes'!B:L,11,0)</f>
        <v>0</v>
      </c>
      <c r="CC307" s="88" t="str">
        <f t="shared" si="190"/>
        <v>A Unidade Consumidora 10/252817-2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7" s="40" t="s">
        <v>177</v>
      </c>
      <c r="CF307" s="115">
        <f t="shared" si="191"/>
        <v>-558.59</v>
      </c>
    </row>
    <row r="308" spans="1:84" ht="16.2" hidden="1" customHeight="1" x14ac:dyDescent="0.3">
      <c r="A308" s="105" t="str">
        <f>INDEX('Infos Clientes'!$D:$D,MATCH('Detalhe Por UC'!C308,'Infos Clientes'!B:B,0))</f>
        <v>IGREJA DO EVANGELHO QUADRANGULAR</v>
      </c>
      <c r="B308" s="106" t="str">
        <f>INDEX('Infos Clientes'!$F:$F,MATCH('Detalhe Por UC'!C308,'Infos Clientes'!B:B,0))</f>
        <v>62.955.505/1344-49</v>
      </c>
      <c r="C308" s="31" t="s">
        <v>166</v>
      </c>
      <c r="D308" t="s">
        <v>351</v>
      </c>
      <c r="E308" s="1" t="s">
        <v>352</v>
      </c>
      <c r="F308" s="56" t="str">
        <f>INDEX('Infos Clientes'!$I:$I,MATCH('Detalhe Por UC'!C308,'Infos Clientes'!B:B,0))</f>
        <v>BT</v>
      </c>
      <c r="G308" s="56" t="str">
        <f>INDEX('Infos Clientes'!$J:$J,MATCH('Detalhe Por UC'!C308,'Infos Clientes'!B:B,0))</f>
        <v>bifasico</v>
      </c>
      <c r="H308" s="108" t="s">
        <v>138</v>
      </c>
      <c r="I308" s="58">
        <f>IFERROR(VLOOKUP(C308,'Infos Clientes'!B:E,4,),"")</f>
        <v>362</v>
      </c>
      <c r="J308" s="109">
        <v>0.25</v>
      </c>
      <c r="K308" s="59">
        <f>INDEX('Infos Clientes'!$M:$M,MATCH('Detalhe Por UC'!C308,'Infos Clientes'!B:B,0))</f>
        <v>0.25</v>
      </c>
      <c r="L308" s="125"/>
      <c r="M308" s="56">
        <f>INDEX('Infos Clientes'!$N:$N,MATCH('Detalhe Por UC'!C308,'Infos Clientes'!B:B,0))</f>
        <v>0</v>
      </c>
      <c r="N308" s="56">
        <f t="shared" si="155"/>
        <v>0</v>
      </c>
      <c r="O308" s="56">
        <f t="shared" si="156"/>
        <v>11</v>
      </c>
      <c r="P308" s="56">
        <f t="shared" si="157"/>
        <v>0</v>
      </c>
      <c r="Q308" s="61">
        <f>IFERROR(IFERROR(INDEX('Infos Clientes'!$A$2:$V$9884,MATCH($C308,'Infos Clientes'!$B$2:$B$9884,0),MATCH(Q$8,'Infos Clientes'!$A$2:$V$2,0)),"")
+IF(OR(INDEX('Infos Clientes'!$A$2:$V$9884,MATCH($C308,'Infos Clientes'!$B$2:$B$9884,0),MATCH("Tempo de Fidelidade (meses)",'Infos Clientes'!$A$2:$V$2,0))=0,R308&gt;=MAX(R:R)),0,
ROUND((MAX(R:R)-R308)/(365/12),0)),"")</f>
        <v>0</v>
      </c>
      <c r="R308" s="111">
        <v>45717</v>
      </c>
      <c r="S308" s="63">
        <v>0.01</v>
      </c>
      <c r="T308" s="113" t="str">
        <f>IF($H308="GIROSSOL II",AP308/INDEX('Resumo Operacional'!$A$1:$P$1103,17,MATCH('Detalhe Por UC'!$R308,'Resumo Operacional'!$A$1:$P$1,0)),
IF($H308="GIROSSOL II e III",AP308/INDEX('Resumo Operacional'!$A$1:$P$1103,17,MATCH('Detalhe Por UC'!$R308,'Resumo Operacional'!$A$1:$P$1,0)),
""))</f>
        <v/>
      </c>
      <c r="U308" s="113">
        <f>IF($H308="GIROSSOL III",AP308/INDEX('Resumo Operacional'!$A$1:$P$1103,53,MATCH('Detalhe Por UC'!$R308,'Resumo Operacional'!$A$1:$P$1,0)),
IF($H308="GIROSSOL II e III",AP308/INDEX('Resumo Operacional'!$A$1:$P$1103,53,MATCH('Detalhe Por UC'!$R308,'Resumo Operacional'!$A$1:$P$1,0)),
""))</f>
        <v>2.0343768164078718E-2</v>
      </c>
      <c r="V308" s="18"/>
      <c r="W308" s="18"/>
      <c r="X308" s="18">
        <v>1.1161428571428571</v>
      </c>
      <c r="Y308" s="18"/>
      <c r="Z308" s="66">
        <v>0.97391304347826102</v>
      </c>
      <c r="AA308" s="18"/>
      <c r="AB308" s="68">
        <v>70</v>
      </c>
      <c r="AC308" s="18"/>
      <c r="AD308" s="69">
        <v>23</v>
      </c>
      <c r="AE308" s="35"/>
      <c r="AF308" s="69">
        <v>222</v>
      </c>
      <c r="AG308" s="69">
        <v>0</v>
      </c>
      <c r="AH308" s="16">
        <v>13.379999999999999</v>
      </c>
      <c r="AI308" s="16">
        <v>0</v>
      </c>
      <c r="AJ308" s="16">
        <v>0</v>
      </c>
      <c r="AN308" s="71">
        <f t="shared" si="158"/>
        <v>222</v>
      </c>
      <c r="AO308" s="71">
        <f t="shared" si="159"/>
        <v>0</v>
      </c>
      <c r="AP308" s="71">
        <f t="shared" si="160"/>
        <v>245</v>
      </c>
      <c r="AQ308" s="72">
        <f>IF(OR($H308="GIROSSOL II",$H308="GIROSSOL II e III"),INDEX('Resumo Operacional'!$A$1:$P$1103,MATCH("Energia Injetada prevista total Fatura da Usina (TUSD)",'Resumo Operacional'!$B$1:$B$1103,0),MATCH('Detalhe Por UC'!$R308,'Resumo Operacional'!$A$1:$P$1,0))*$S308,INDEX('Resumo Operacional'!$A$1:$P$1103,53,MATCH('Detalhe Por UC'!$R308,'Resumo Operacional'!$A$1:$P$1,0))*$S308)</f>
        <v>120.43</v>
      </c>
      <c r="AR308" s="71">
        <f t="shared" si="161"/>
        <v>124.57</v>
      </c>
      <c r="AS308" s="73">
        <f t="shared" si="162"/>
        <v>69.109999999999985</v>
      </c>
      <c r="AT308" s="74">
        <f t="shared" si="163"/>
        <v>69.109999999999985</v>
      </c>
      <c r="AU308" s="74">
        <f t="shared" si="164"/>
        <v>0.83168322981366483</v>
      </c>
      <c r="AV308" s="74">
        <f t="shared" si="165"/>
        <v>16.800000000000004</v>
      </c>
      <c r="AW308" s="74">
        <f t="shared" si="166"/>
        <v>-37.009999999999991</v>
      </c>
      <c r="AX308" s="74">
        <f t="shared" si="167"/>
        <v>-14.609999999999989</v>
      </c>
      <c r="AY308" s="74">
        <f t="shared" si="168"/>
        <v>-20.21</v>
      </c>
      <c r="AZ308" s="136">
        <v>16.8</v>
      </c>
      <c r="BA308" s="136">
        <v>39.200000000000003</v>
      </c>
      <c r="BB308" s="136">
        <v>39.200000000000003</v>
      </c>
      <c r="BC308" s="73" t="str">
        <f t="shared" si="169"/>
        <v/>
      </c>
      <c r="BD308" s="73">
        <f t="shared" si="170"/>
        <v>91.509999999999991</v>
      </c>
      <c r="BE308" s="73">
        <f t="shared" si="171"/>
        <v>85.91</v>
      </c>
      <c r="BF308" s="77">
        <f t="shared" si="172"/>
        <v>5.6</v>
      </c>
      <c r="BG308" s="77">
        <f t="shared" si="173"/>
        <v>1.68</v>
      </c>
      <c r="BH308" s="77">
        <f t="shared" si="174"/>
        <v>22.400000000000002</v>
      </c>
      <c r="BI308" s="78">
        <f t="shared" si="175"/>
        <v>-0.38</v>
      </c>
      <c r="BJ308" s="79">
        <f t="shared" si="176"/>
        <v>6.1195497759807677E-2</v>
      </c>
      <c r="BK308" s="80">
        <f t="shared" si="177"/>
        <v>48.899999999999984</v>
      </c>
      <c r="BL308" s="80">
        <f t="shared" si="178"/>
        <v>42.610000000000007</v>
      </c>
      <c r="BM308" s="79">
        <f t="shared" si="179"/>
        <v>0.46563217134739382</v>
      </c>
      <c r="BN308" s="81">
        <f t="shared" si="180"/>
        <v>-0.8786956521739131</v>
      </c>
      <c r="BO308" s="82">
        <f t="shared" si="181"/>
        <v>-20.21</v>
      </c>
      <c r="BP308" s="81">
        <f t="shared" si="182"/>
        <v>-0.8786956521739131</v>
      </c>
      <c r="BQ308" s="81">
        <f t="shared" si="183"/>
        <v>-0.73646583850931702</v>
      </c>
      <c r="BR308" s="81">
        <f t="shared" si="184"/>
        <v>1.1161428571428571</v>
      </c>
      <c r="BS308" s="82">
        <f t="shared" si="185"/>
        <v>23</v>
      </c>
      <c r="BT308" s="82">
        <f t="shared" si="186"/>
        <v>25.671285714285712</v>
      </c>
      <c r="BU308" s="82">
        <f t="shared" si="187"/>
        <v>22.400000000000002</v>
      </c>
      <c r="BW308" s="82">
        <f>IFERROR(INDEX('Infos Clientes'!$T:$T,MATCH('Detalhe Por UC'!$C308,'Infos Clientes'!B:B,0)),"")</f>
        <v>140.81818181818181</v>
      </c>
      <c r="BX308" s="83">
        <f t="shared" si="188"/>
        <v>0</v>
      </c>
      <c r="BY308" s="84">
        <f t="shared" si="189"/>
        <v>1.6598311621099731</v>
      </c>
      <c r="BZ308" s="85">
        <f>IF(_xlfn.MINIFS('Detalhe Por UC'!R:R,'Detalhe Por UC'!C:C,C308,'Detalhe Por UC'!AD:AD,"&gt;"&amp;0)=0,"",_xlfn.MINIFS('Detalhe Por UC'!R:R,'Detalhe Por UC'!C:C,C308,'Detalhe Por UC'!AD:AD,"&gt;"&amp;0))</f>
        <v>45658</v>
      </c>
      <c r="CA308" s="114">
        <f ca="1">IF(OR(S308&gt;0,AD308&gt;0),IFERROR(
SUMIFS(INDIRECT("'Infos Clientes'!$W"&amp;INDEX('Infos Clientes'!$C:$C,MATCH(C308,'Infos Clientes'!$H:$H,0))&amp;":$CZ"&amp;INDEX('Infos Clientes'!$C:$C,MATCH(C308,'Infos Clientes'!$H:$H,0))),'Infos Clientes'!$W$2:$CZ$2,"&gt;"&amp;$R308-365,'Infos Clientes'!$W$2:$CZ$2,"&lt;="&amp;$R308)/
COUNTIFS(INDIRECT("'Infos Clientes'!$W"&amp;INDEX('Infos Clientes'!$C:$C,MATCH(C308,'Infos Clientes'!$H:$H,0))&amp;":$CZ"&amp;INDEX('Infos Clientes'!$C:$C,MATCH(C308,'Infos Clientes'!$H:$H,0))),"&gt;="&amp;0,'Infos Clientes'!$W$2:$CZ$2,"&gt;"&amp;$R308-365,'Infos Clientes'!$W$2:$CZ$2,"&lt;="&amp;$R308),""),"")</f>
        <v>75.083333333333329</v>
      </c>
      <c r="CB308" s="87">
        <f>VLOOKUP(C308,'Infos Clientes'!B:L,11,0)</f>
        <v>0</v>
      </c>
      <c r="CC308" s="88" t="str">
        <f t="shared" si="190"/>
        <v>A Unidade Consumidora 10/175073-6 economizou R$5,6 na fatura referente à mar/2025  consumindo 23 kWh em créditos de energia renovável conforme fatura de energia. A economia foi de 25% em relação ao que seria pago para a Energisa considerando os créditos consumidos. Atenção: Mantenha as contas da Energisa em dia para evitar cortes.</v>
      </c>
      <c r="CD308" s="40" t="s">
        <v>83</v>
      </c>
      <c r="CF308" s="115">
        <f t="shared" si="191"/>
        <v>-69.109999999999985</v>
      </c>
    </row>
    <row r="309" spans="1:84" ht="16.2" hidden="1" customHeight="1" x14ac:dyDescent="0.3">
      <c r="A309" s="105" t="str">
        <f>INDEX('Infos Clientes'!$D:$D,MATCH('Detalhe Por UC'!C309,'Infos Clientes'!B:B,0))</f>
        <v>IGREJA DO EVANGELHO QUADRANGULAR</v>
      </c>
      <c r="B309" s="106" t="str">
        <f>INDEX('Infos Clientes'!$F:$F,MATCH('Detalhe Por UC'!C309,'Infos Clientes'!B:B,0))</f>
        <v>62.955.505/0159-46</v>
      </c>
      <c r="C309" s="31" t="s">
        <v>231</v>
      </c>
      <c r="D309" t="s">
        <v>351</v>
      </c>
      <c r="E309" s="1" t="s">
        <v>352</v>
      </c>
      <c r="F309" s="56" t="str">
        <f>INDEX('Infos Clientes'!$I:$I,MATCH('Detalhe Por UC'!C309,'Infos Clientes'!B:B,0))</f>
        <v>BT</v>
      </c>
      <c r="G309" s="56" t="str">
        <f>INDEX('Infos Clientes'!$J:$J,MATCH('Detalhe Por UC'!C309,'Infos Clientes'!B:B,0))</f>
        <v>trifasico</v>
      </c>
      <c r="H309" s="108" t="s">
        <v>138</v>
      </c>
      <c r="I309" s="58">
        <f>IFERROR(VLOOKUP(C309,'Infos Clientes'!B:E,4,),"")</f>
        <v>302</v>
      </c>
      <c r="J309" s="109">
        <v>0.25</v>
      </c>
      <c r="K309" s="59">
        <f>INDEX('Infos Clientes'!$M:$M,MATCH('Detalhe Por UC'!C309,'Infos Clientes'!B:B,0))</f>
        <v>0.25</v>
      </c>
      <c r="L309" s="125"/>
      <c r="M309" s="56">
        <f>INDEX('Infos Clientes'!$N:$N,MATCH('Detalhe Por UC'!C309,'Infos Clientes'!B:B,0))</f>
        <v>0</v>
      </c>
      <c r="N309" s="56">
        <f t="shared" si="155"/>
        <v>0</v>
      </c>
      <c r="O309" s="56">
        <f t="shared" si="156"/>
        <v>9</v>
      </c>
      <c r="P309" s="56">
        <f t="shared" si="157"/>
        <v>0</v>
      </c>
      <c r="Q309" s="61">
        <f>IFERROR(IFERROR(INDEX('Infos Clientes'!$A$2:$V$9884,MATCH($C309,'Infos Clientes'!$B$2:$B$9884,0),MATCH(Q$8,'Infos Clientes'!$A$2:$V$2,0)),"")
+IF(OR(INDEX('Infos Clientes'!$A$2:$V$9884,MATCH($C309,'Infos Clientes'!$B$2:$B$9884,0),MATCH("Tempo de Fidelidade (meses)",'Infos Clientes'!$A$2:$V$2,0))=0,R309&gt;=MAX(R:R)),0,
ROUND((MAX(R:R)-R309)/(365/12),0)),"")</f>
        <v>0</v>
      </c>
      <c r="R309" s="111">
        <v>45717</v>
      </c>
      <c r="S309" s="63">
        <v>0.03</v>
      </c>
      <c r="T309" s="113" t="str">
        <f>IF($H309="GIROSSOL II",AP309/INDEX('Resumo Operacional'!$A$1:$P$1103,17,MATCH('Detalhe Por UC'!$R309,'Resumo Operacional'!$A$1:$P$1,0)),
IF($H309="GIROSSOL II e III",AP309/INDEX('Resumo Operacional'!$A$1:$P$1103,17,MATCH('Detalhe Por UC'!$R309,'Resumo Operacional'!$A$1:$P$1,0)),
""))</f>
        <v/>
      </c>
      <c r="U309" s="113">
        <f>IF($H309="GIROSSOL III",AP309/INDEX('Resumo Operacional'!$A$1:$P$1103,53,MATCH('Detalhe Por UC'!$R309,'Resumo Operacional'!$A$1:$P$1,0)),
IF($H309="GIROSSOL II e III",AP309/INDEX('Resumo Operacional'!$A$1:$P$1103,53,MATCH('Detalhe Por UC'!$R309,'Resumo Operacional'!$A$1:$P$1,0)),
""))</f>
        <v>0</v>
      </c>
      <c r="V309" s="18"/>
      <c r="W309" s="18"/>
      <c r="X309" s="18">
        <v>1.116252319109462</v>
      </c>
      <c r="Y309" s="18"/>
      <c r="Z309" s="66">
        <v>0</v>
      </c>
      <c r="AA309" s="18"/>
      <c r="AB309" s="68">
        <v>539</v>
      </c>
      <c r="AC309" s="18"/>
      <c r="AD309" s="69">
        <v>0</v>
      </c>
      <c r="AE309" s="35"/>
      <c r="AF309" s="69">
        <v>0</v>
      </c>
      <c r="AG309" s="69">
        <v>0</v>
      </c>
      <c r="AH309" s="16">
        <v>52.09</v>
      </c>
      <c r="AI309" s="16">
        <v>0</v>
      </c>
      <c r="AJ309" s="16">
        <v>0</v>
      </c>
      <c r="AN309" s="71">
        <f t="shared" si="158"/>
        <v>0</v>
      </c>
      <c r="AO309" s="71">
        <f t="shared" si="159"/>
        <v>0</v>
      </c>
      <c r="AP309" s="71">
        <f t="shared" si="160"/>
        <v>0</v>
      </c>
      <c r="AQ309" s="72">
        <f>IF(OR($H309="GIROSSOL II",$H309="GIROSSOL II e III"),INDEX('Resumo Operacional'!$A$1:$P$1103,MATCH("Energia Injetada prevista total Fatura da Usina (TUSD)",'Resumo Operacional'!$B$1:$B$1103,0),MATCH('Detalhe Por UC'!$R309,'Resumo Operacional'!$A$1:$P$1,0))*$S309,INDEX('Resumo Operacional'!$A$1:$P$1103,53,MATCH('Detalhe Por UC'!$R309,'Resumo Operacional'!$A$1:$P$1,0))*$S309)</f>
        <v>361.28999999999996</v>
      </c>
      <c r="AR309" s="71">
        <f t="shared" si="161"/>
        <v>-361.28999999999996</v>
      </c>
      <c r="AS309" s="73">
        <f t="shared" si="162"/>
        <v>653.75</v>
      </c>
      <c r="AT309" s="74">
        <f t="shared" si="163"/>
        <v>653.75</v>
      </c>
      <c r="AU309" s="74" t="str">
        <f t="shared" si="164"/>
        <v/>
      </c>
      <c r="AV309" s="74">
        <f t="shared" si="165"/>
        <v>0</v>
      </c>
      <c r="AW309" s="74">
        <f t="shared" si="166"/>
        <v>0</v>
      </c>
      <c r="AX309" s="74">
        <f t="shared" si="167"/>
        <v>0</v>
      </c>
      <c r="AY309" s="74" t="str">
        <f t="shared" si="168"/>
        <v/>
      </c>
      <c r="AZ309" s="49" t="s">
        <v>354</v>
      </c>
      <c r="BA309" s="49">
        <v>0</v>
      </c>
      <c r="BC309" s="73" t="str">
        <f t="shared" si="169"/>
        <v/>
      </c>
      <c r="BD309" s="73">
        <f t="shared" si="170"/>
        <v>653.75</v>
      </c>
      <c r="BE309" s="73">
        <f t="shared" si="171"/>
        <v>653.75</v>
      </c>
      <c r="BF309" s="77">
        <f t="shared" si="172"/>
        <v>0</v>
      </c>
      <c r="BG309" s="77">
        <f t="shared" si="173"/>
        <v>0</v>
      </c>
      <c r="BH309" s="77">
        <f t="shared" si="174"/>
        <v>0</v>
      </c>
      <c r="BI309" s="78" t="str">
        <f t="shared" si="175"/>
        <v/>
      </c>
      <c r="BJ309" s="79">
        <f t="shared" si="176"/>
        <v>0</v>
      </c>
      <c r="BK309" s="80" t="str">
        <f t="shared" si="177"/>
        <v/>
      </c>
      <c r="BL309" s="80" t="str">
        <f t="shared" si="178"/>
        <v/>
      </c>
      <c r="BM309" s="79" t="str">
        <f t="shared" si="179"/>
        <v/>
      </c>
      <c r="BN309" s="81" t="str">
        <f t="shared" si="180"/>
        <v/>
      </c>
      <c r="BO309" s="82" t="str">
        <f t="shared" si="181"/>
        <v/>
      </c>
      <c r="BP309" s="81" t="str">
        <f t="shared" si="182"/>
        <v/>
      </c>
      <c r="BQ309" s="81" t="str">
        <f t="shared" si="183"/>
        <v/>
      </c>
      <c r="BR309" s="81" t="str">
        <f t="shared" si="184"/>
        <v/>
      </c>
      <c r="BS309" s="82">
        <f t="shared" si="185"/>
        <v>0</v>
      </c>
      <c r="BT309" s="82" t="str">
        <f t="shared" si="186"/>
        <v/>
      </c>
      <c r="BU309" s="82">
        <f t="shared" si="187"/>
        <v>0</v>
      </c>
      <c r="BW309" s="82">
        <f>IFERROR(INDEX('Infos Clientes'!$T:$T,MATCH('Detalhe Por UC'!$C309,'Infos Clientes'!B:B,0)),"")</f>
        <v>461.45454545454544</v>
      </c>
      <c r="BX309" s="83">
        <f t="shared" si="188"/>
        <v>0</v>
      </c>
      <c r="BY309" s="84" t="str">
        <f t="shared" si="189"/>
        <v/>
      </c>
      <c r="BZ309" s="85">
        <f>IF(_xlfn.MINIFS('Detalhe Por UC'!R:R,'Detalhe Por UC'!C:C,C309,'Detalhe Por UC'!AD:AD,"&gt;"&amp;0)=0,"",_xlfn.MINIFS('Detalhe Por UC'!R:R,'Detalhe Por UC'!C:C,C309,'Detalhe Por UC'!AD:AD,"&gt;"&amp;0))</f>
        <v>45658</v>
      </c>
      <c r="CA309" s="114">
        <f ca="1">IF(OR(S309&gt;0,AD309&gt;0),IFERROR(
SUMIFS(INDIRECT("'Infos Clientes'!$W"&amp;INDEX('Infos Clientes'!$C:$C,MATCH(C309,'Infos Clientes'!$H:$H,0))&amp;":$CZ"&amp;INDEX('Infos Clientes'!$C:$C,MATCH(C309,'Infos Clientes'!$H:$H,0))),'Infos Clientes'!$W$2:$CZ$2,"&gt;"&amp;$R309-365,'Infos Clientes'!$W$2:$CZ$2,"&lt;="&amp;$R309)/
COUNTIFS(INDIRECT("'Infos Clientes'!$W"&amp;INDEX('Infos Clientes'!$C:$C,MATCH(C309,'Infos Clientes'!$H:$H,0))&amp;":$CZ"&amp;INDEX('Infos Clientes'!$C:$C,MATCH(C309,'Infos Clientes'!$H:$H,0))),"&gt;="&amp;0,'Infos Clientes'!$W$2:$CZ$2,"&gt;"&amp;$R309-365,'Infos Clientes'!$W$2:$CZ$2,"&lt;="&amp;$R309),""),"")</f>
        <v>415.58333333333331</v>
      </c>
      <c r="CB309" s="87">
        <f>VLOOKUP(C309,'Infos Clientes'!B:L,11,0)</f>
        <v>0</v>
      </c>
      <c r="CC309" s="88" t="str">
        <f t="shared" si="190"/>
        <v>A Unidade Consumidora 10/81222-2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09" s="40" t="s">
        <v>233</v>
      </c>
      <c r="CF309" s="115">
        <f t="shared" si="191"/>
        <v>-653.75</v>
      </c>
    </row>
    <row r="310" spans="1:84" ht="16.2" hidden="1" customHeight="1" x14ac:dyDescent="0.3">
      <c r="A310" s="105" t="str">
        <f>INDEX('Infos Clientes'!$D:$D,MATCH('Detalhe Por UC'!C310,'Infos Clientes'!B:B,0))</f>
        <v>IGREJA DO EVANGELHO QUADRANGULAR</v>
      </c>
      <c r="B310" s="106" t="str">
        <f>INDEX('Infos Clientes'!$F:$F,MATCH('Detalhe Por UC'!C310,'Infos Clientes'!B:B,0))</f>
        <v>62.955.505/0161-60</v>
      </c>
      <c r="C310" s="31" t="s">
        <v>163</v>
      </c>
      <c r="D310" t="s">
        <v>351</v>
      </c>
      <c r="E310" s="1" t="s">
        <v>352</v>
      </c>
      <c r="F310" s="56" t="str">
        <f>INDEX('Infos Clientes'!$I:$I,MATCH('Detalhe Por UC'!C310,'Infos Clientes'!B:B,0))</f>
        <v>BT</v>
      </c>
      <c r="G310" s="56" t="str">
        <f>INDEX('Infos Clientes'!$J:$J,MATCH('Detalhe Por UC'!C310,'Infos Clientes'!B:B,0))</f>
        <v>trifasico</v>
      </c>
      <c r="H310" s="108" t="s">
        <v>138</v>
      </c>
      <c r="I310" s="58">
        <f>IFERROR(VLOOKUP(C310,'Infos Clientes'!B:E,4,),"")</f>
        <v>302</v>
      </c>
      <c r="J310" s="109">
        <v>0.25</v>
      </c>
      <c r="K310" s="59">
        <f>INDEX('Infos Clientes'!$M:$M,MATCH('Detalhe Por UC'!C310,'Infos Clientes'!B:B,0))</f>
        <v>0.25</v>
      </c>
      <c r="L310" s="125"/>
      <c r="M310" s="56">
        <f>INDEX('Infos Clientes'!$N:$N,MATCH('Detalhe Por UC'!C310,'Infos Clientes'!B:B,0))</f>
        <v>0</v>
      </c>
      <c r="N310" s="56">
        <f t="shared" si="155"/>
        <v>0</v>
      </c>
      <c r="O310" s="56">
        <f t="shared" si="156"/>
        <v>9</v>
      </c>
      <c r="P310" s="56">
        <f t="shared" si="157"/>
        <v>0</v>
      </c>
      <c r="Q310" s="61">
        <f>IFERROR(IFERROR(INDEX('Infos Clientes'!$A$2:$V$9884,MATCH($C310,'Infos Clientes'!$B$2:$B$9884,0),MATCH(Q$8,'Infos Clientes'!$A$2:$V$2,0)),"")
+IF(OR(INDEX('Infos Clientes'!$A$2:$V$9884,MATCH($C310,'Infos Clientes'!$B$2:$B$9884,0),MATCH("Tempo de Fidelidade (meses)",'Infos Clientes'!$A$2:$V$2,0))=0,R310&gt;=MAX(R:R)),0,
ROUND((MAX(R:R)-R310)/(365/12),0)),"")</f>
        <v>0</v>
      </c>
      <c r="R310" s="111">
        <v>45717</v>
      </c>
      <c r="S310" s="63">
        <v>0.02</v>
      </c>
      <c r="T310" s="113" t="str">
        <f>IF($H310="GIROSSOL II",AP310/INDEX('Resumo Operacional'!$A$1:$P$1103,17,MATCH('Detalhe Por UC'!$R310,'Resumo Operacional'!$A$1:$P$1,0)),
IF($H310="GIROSSOL II e III",AP310/INDEX('Resumo Operacional'!$A$1:$P$1103,17,MATCH('Detalhe Por UC'!$R310,'Resumo Operacional'!$A$1:$P$1,0)),
""))</f>
        <v/>
      </c>
      <c r="U310" s="113">
        <f>IF($H310="GIROSSOL III",AP310/INDEX('Resumo Operacional'!$A$1:$P$1103,53,MATCH('Detalhe Por UC'!$R310,'Resumo Operacional'!$A$1:$P$1,0)),
IF($H310="GIROSSOL II e III",AP310/INDEX('Resumo Operacional'!$A$1:$P$1103,53,MATCH('Detalhe Por UC'!$R310,'Resumo Operacional'!$A$1:$P$1,0)),
""))</f>
        <v>0</v>
      </c>
      <c r="V310" s="18"/>
      <c r="W310" s="18"/>
      <c r="X310" s="18">
        <v>1.1162599469496022</v>
      </c>
      <c r="Y310" s="18"/>
      <c r="Z310" s="66">
        <v>0</v>
      </c>
      <c r="AA310" s="18"/>
      <c r="AB310" s="68">
        <v>754</v>
      </c>
      <c r="AC310" s="18"/>
      <c r="AD310" s="69">
        <v>0</v>
      </c>
      <c r="AE310" s="35"/>
      <c r="AF310" s="69">
        <v>0</v>
      </c>
      <c r="AG310" s="69">
        <v>0</v>
      </c>
      <c r="AH310" s="16">
        <v>123.37</v>
      </c>
      <c r="AI310" s="16">
        <v>0</v>
      </c>
      <c r="AJ310" s="16">
        <v>0</v>
      </c>
      <c r="AN310" s="71">
        <f t="shared" si="158"/>
        <v>0</v>
      </c>
      <c r="AO310" s="71">
        <f t="shared" si="159"/>
        <v>0</v>
      </c>
      <c r="AP310" s="71">
        <f t="shared" si="160"/>
        <v>0</v>
      </c>
      <c r="AQ310" s="72">
        <f>IF(OR($H310="GIROSSOL II",$H310="GIROSSOL II e III"),INDEX('Resumo Operacional'!$A$1:$P$1103,MATCH("Energia Injetada prevista total Fatura da Usina (TUSD)",'Resumo Operacional'!$B$1:$B$1103,0),MATCH('Detalhe Por UC'!$R310,'Resumo Operacional'!$A$1:$P$1,0))*$S310,INDEX('Resumo Operacional'!$A$1:$P$1103,53,MATCH('Detalhe Por UC'!$R310,'Resumo Operacional'!$A$1:$P$1,0))*$S310)</f>
        <v>240.86</v>
      </c>
      <c r="AR310" s="71">
        <f t="shared" si="161"/>
        <v>-240.86</v>
      </c>
      <c r="AS310" s="73">
        <f t="shared" si="162"/>
        <v>965.03000000000009</v>
      </c>
      <c r="AT310" s="74">
        <f t="shared" si="163"/>
        <v>965.03000000000009</v>
      </c>
      <c r="AU310" s="74" t="str">
        <f t="shared" si="164"/>
        <v/>
      </c>
      <c r="AV310" s="74">
        <f t="shared" si="165"/>
        <v>0</v>
      </c>
      <c r="AW310" s="74">
        <f t="shared" si="166"/>
        <v>0</v>
      </c>
      <c r="AX310" s="74">
        <f t="shared" si="167"/>
        <v>0</v>
      </c>
      <c r="AY310" s="74" t="str">
        <f t="shared" si="168"/>
        <v/>
      </c>
      <c r="AZ310" s="49" t="s">
        <v>354</v>
      </c>
      <c r="BA310" s="49">
        <v>0</v>
      </c>
      <c r="BC310" s="73" t="str">
        <f t="shared" si="169"/>
        <v/>
      </c>
      <c r="BD310" s="73">
        <f t="shared" si="170"/>
        <v>965.03000000000009</v>
      </c>
      <c r="BE310" s="73">
        <f t="shared" si="171"/>
        <v>965.03000000000009</v>
      </c>
      <c r="BF310" s="77">
        <f t="shared" si="172"/>
        <v>0</v>
      </c>
      <c r="BG310" s="77">
        <f t="shared" si="173"/>
        <v>0</v>
      </c>
      <c r="BH310" s="77">
        <f t="shared" si="174"/>
        <v>0</v>
      </c>
      <c r="BI310" s="78" t="str">
        <f t="shared" si="175"/>
        <v/>
      </c>
      <c r="BJ310" s="79">
        <f t="shared" si="176"/>
        <v>0</v>
      </c>
      <c r="BK310" s="80" t="str">
        <f t="shared" si="177"/>
        <v/>
      </c>
      <c r="BL310" s="80" t="str">
        <f t="shared" si="178"/>
        <v/>
      </c>
      <c r="BM310" s="79" t="str">
        <f t="shared" si="179"/>
        <v/>
      </c>
      <c r="BN310" s="81" t="str">
        <f t="shared" si="180"/>
        <v/>
      </c>
      <c r="BO310" s="82" t="str">
        <f t="shared" si="181"/>
        <v/>
      </c>
      <c r="BP310" s="81" t="str">
        <f t="shared" si="182"/>
        <v/>
      </c>
      <c r="BQ310" s="81" t="str">
        <f t="shared" si="183"/>
        <v/>
      </c>
      <c r="BR310" s="81" t="str">
        <f t="shared" si="184"/>
        <v/>
      </c>
      <c r="BS310" s="82">
        <f t="shared" si="185"/>
        <v>0</v>
      </c>
      <c r="BT310" s="82" t="str">
        <f t="shared" si="186"/>
        <v/>
      </c>
      <c r="BU310" s="82">
        <f t="shared" si="187"/>
        <v>0</v>
      </c>
      <c r="BW310" s="82">
        <f>IFERROR(INDEX('Infos Clientes'!$T:$T,MATCH('Detalhe Por UC'!$C310,'Infos Clientes'!B:B,0)),"")</f>
        <v>393</v>
      </c>
      <c r="BX310" s="83">
        <f t="shared" si="188"/>
        <v>0</v>
      </c>
      <c r="BY310" s="84" t="str">
        <f t="shared" si="189"/>
        <v/>
      </c>
      <c r="BZ310" s="85">
        <f>IF(_xlfn.MINIFS('Detalhe Por UC'!R:R,'Detalhe Por UC'!C:C,C310,'Detalhe Por UC'!AD:AD,"&gt;"&amp;0)=0,"",_xlfn.MINIFS('Detalhe Por UC'!R:R,'Detalhe Por UC'!C:C,C310,'Detalhe Por UC'!AD:AD,"&gt;"&amp;0))</f>
        <v>45658</v>
      </c>
      <c r="CA310" s="114">
        <f ca="1">IF(OR(S310&gt;0,AD310&gt;0),IFERROR(
SUMIFS(INDIRECT("'Infos Clientes'!$W"&amp;INDEX('Infos Clientes'!$C:$C,MATCH(C310,'Infos Clientes'!$H:$H,0))&amp;":$CZ"&amp;INDEX('Infos Clientes'!$C:$C,MATCH(C310,'Infos Clientes'!$H:$H,0))),'Infos Clientes'!$W$2:$CZ$2,"&gt;"&amp;$R310-365,'Infos Clientes'!$W$2:$CZ$2,"&lt;="&amp;$R310)/
COUNTIFS(INDIRECT("'Infos Clientes'!$W"&amp;INDEX('Infos Clientes'!$C:$C,MATCH(C310,'Infos Clientes'!$H:$H,0))&amp;":$CZ"&amp;INDEX('Infos Clientes'!$C:$C,MATCH(C310,'Infos Clientes'!$H:$H,0))),"&gt;="&amp;0,'Infos Clientes'!$W$2:$CZ$2,"&gt;"&amp;$R310-365,'Infos Clientes'!$W$2:$CZ$2,"&lt;="&amp;$R310),""),"")</f>
        <v>223.58333333333334</v>
      </c>
      <c r="CB310" s="87">
        <f>VLOOKUP(C310,'Infos Clientes'!B:L,11,0)</f>
        <v>0</v>
      </c>
      <c r="CC310" s="88" t="str">
        <f t="shared" si="190"/>
        <v>A Unidade Consumidora 10/1674177-9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10" s="40" t="s">
        <v>165</v>
      </c>
      <c r="CF310" s="115">
        <f t="shared" si="191"/>
        <v>-965.03000000000009</v>
      </c>
    </row>
    <row r="311" spans="1:84" ht="16.2" hidden="1" customHeight="1" x14ac:dyDescent="0.3">
      <c r="A311" s="105" t="str">
        <f>INDEX('Infos Clientes'!$D:$D,MATCH('Detalhe Por UC'!C311,'Infos Clientes'!B:B,0))</f>
        <v>IGREJA DO EVANGELHO QUADRANGULAR</v>
      </c>
      <c r="B311" s="106" t="str">
        <f>INDEX('Infos Clientes'!$F:$F,MATCH('Detalhe Por UC'!C311,'Infos Clientes'!B:B,0))</f>
        <v>62.955.505/1364-92</v>
      </c>
      <c r="C311" s="31" t="s">
        <v>223</v>
      </c>
      <c r="D311" t="s">
        <v>351</v>
      </c>
      <c r="E311" s="1" t="s">
        <v>352</v>
      </c>
      <c r="F311" s="56" t="str">
        <f>INDEX('Infos Clientes'!$I:$I,MATCH('Detalhe Por UC'!C311,'Infos Clientes'!B:B,0))</f>
        <v>BT</v>
      </c>
      <c r="G311" s="56" t="str">
        <f>INDEX('Infos Clientes'!$J:$J,MATCH('Detalhe Por UC'!C311,'Infos Clientes'!B:B,0))</f>
        <v>trifasico</v>
      </c>
      <c r="H311" s="108" t="s">
        <v>138</v>
      </c>
      <c r="I311" s="58">
        <f>IFERROR(VLOOKUP(C311,'Infos Clientes'!B:E,4,),"")</f>
        <v>319</v>
      </c>
      <c r="J311" s="109">
        <v>0.25</v>
      </c>
      <c r="K311" s="59">
        <f>INDEX('Infos Clientes'!$M:$M,MATCH('Detalhe Por UC'!C311,'Infos Clientes'!B:B,0))</f>
        <v>0.25</v>
      </c>
      <c r="L311" s="125"/>
      <c r="M311" s="56">
        <f>INDEX('Infos Clientes'!$N:$N,MATCH('Detalhe Por UC'!C311,'Infos Clientes'!B:B,0))</f>
        <v>0</v>
      </c>
      <c r="N311" s="56">
        <f t="shared" si="155"/>
        <v>0</v>
      </c>
      <c r="O311" s="56">
        <f t="shared" si="156"/>
        <v>9</v>
      </c>
      <c r="P311" s="56">
        <f t="shared" si="157"/>
        <v>0</v>
      </c>
      <c r="Q311" s="61">
        <f>IFERROR(IFERROR(INDEX('Infos Clientes'!$A$2:$V$9884,MATCH($C311,'Infos Clientes'!$B$2:$B$9884,0),MATCH(Q$8,'Infos Clientes'!$A$2:$V$2,0)),"")
+IF(OR(INDEX('Infos Clientes'!$A$2:$V$9884,MATCH($C311,'Infos Clientes'!$B$2:$B$9884,0),MATCH("Tempo de Fidelidade (meses)",'Infos Clientes'!$A$2:$V$2,0))=0,R311&gt;=MAX(R:R)),0,
ROUND((MAX(R:R)-R311)/(365/12),0)),"")</f>
        <v>0</v>
      </c>
      <c r="R311" s="111">
        <v>45717</v>
      </c>
      <c r="S311" s="63">
        <v>0.03</v>
      </c>
      <c r="T311" s="113" t="str">
        <f>IF($H311="GIROSSOL II",AP311/INDEX('Resumo Operacional'!$A$1:$P$1103,17,MATCH('Detalhe Por UC'!$R311,'Resumo Operacional'!$A$1:$P$1,0)),
IF($H311="GIROSSOL II e III",AP311/INDEX('Resumo Operacional'!$A$1:$P$1103,17,MATCH('Detalhe Por UC'!$R311,'Resumo Operacional'!$A$1:$P$1,0)),
""))</f>
        <v/>
      </c>
      <c r="U311" s="113">
        <f>IF($H311="GIROSSOL III",AP311/INDEX('Resumo Operacional'!$A$1:$P$1103,53,MATCH('Detalhe Por UC'!$R311,'Resumo Operacional'!$A$1:$P$1,0)),
IF($H311="GIROSSOL II e III",AP311/INDEX('Resumo Operacional'!$A$1:$P$1103,53,MATCH('Detalhe Por UC'!$R311,'Resumo Operacional'!$A$1:$P$1,0)),
""))</f>
        <v>0</v>
      </c>
      <c r="V311" s="18"/>
      <c r="W311" s="18"/>
      <c r="X311" s="18">
        <v>1.1162436548223351</v>
      </c>
      <c r="Y311" s="18"/>
      <c r="Z311" s="66">
        <v>0</v>
      </c>
      <c r="AA311" s="18"/>
      <c r="AB311" s="68">
        <v>394</v>
      </c>
      <c r="AC311" s="18"/>
      <c r="AD311" s="69">
        <v>0</v>
      </c>
      <c r="AE311" s="35"/>
      <c r="AF311" s="69">
        <v>0</v>
      </c>
      <c r="AG311" s="69">
        <v>0</v>
      </c>
      <c r="AH311" s="16">
        <v>65.88</v>
      </c>
      <c r="AI311" s="16">
        <v>0</v>
      </c>
      <c r="AJ311" s="16">
        <v>0</v>
      </c>
      <c r="AN311" s="71">
        <f t="shared" si="158"/>
        <v>0</v>
      </c>
      <c r="AO311" s="71">
        <f t="shared" si="159"/>
        <v>0</v>
      </c>
      <c r="AP311" s="71">
        <f t="shared" si="160"/>
        <v>0</v>
      </c>
      <c r="AQ311" s="72">
        <f>IF(OR($H311="GIROSSOL II",$H311="GIROSSOL II e III"),INDEX('Resumo Operacional'!$A$1:$P$1103,MATCH("Energia Injetada prevista total Fatura da Usina (TUSD)",'Resumo Operacional'!$B$1:$B$1103,0),MATCH('Detalhe Por UC'!$R311,'Resumo Operacional'!$A$1:$P$1,0))*$S311,INDEX('Resumo Operacional'!$A$1:$P$1103,53,MATCH('Detalhe Por UC'!$R311,'Resumo Operacional'!$A$1:$P$1,0))*$S311)</f>
        <v>361.28999999999996</v>
      </c>
      <c r="AR311" s="71">
        <f t="shared" si="161"/>
        <v>-361.28999999999996</v>
      </c>
      <c r="AS311" s="73">
        <f t="shared" si="162"/>
        <v>505.68</v>
      </c>
      <c r="AT311" s="74">
        <f t="shared" si="163"/>
        <v>505.68</v>
      </c>
      <c r="AU311" s="74" t="str">
        <f t="shared" si="164"/>
        <v/>
      </c>
      <c r="AV311" s="74">
        <f t="shared" si="165"/>
        <v>0</v>
      </c>
      <c r="AW311" s="74">
        <f t="shared" si="166"/>
        <v>0</v>
      </c>
      <c r="AX311" s="74">
        <f t="shared" si="167"/>
        <v>0</v>
      </c>
      <c r="AY311" s="74" t="str">
        <f t="shared" si="168"/>
        <v/>
      </c>
      <c r="AZ311" s="49" t="s">
        <v>354</v>
      </c>
      <c r="BA311" s="49">
        <v>0</v>
      </c>
      <c r="BC311" s="73" t="str">
        <f t="shared" si="169"/>
        <v/>
      </c>
      <c r="BD311" s="73">
        <f t="shared" si="170"/>
        <v>505.68</v>
      </c>
      <c r="BE311" s="73">
        <f t="shared" si="171"/>
        <v>505.68</v>
      </c>
      <c r="BF311" s="77">
        <f t="shared" si="172"/>
        <v>0</v>
      </c>
      <c r="BG311" s="77">
        <f t="shared" si="173"/>
        <v>0</v>
      </c>
      <c r="BH311" s="77">
        <f t="shared" si="174"/>
        <v>0</v>
      </c>
      <c r="BI311" s="78" t="str">
        <f t="shared" si="175"/>
        <v/>
      </c>
      <c r="BJ311" s="79">
        <f t="shared" si="176"/>
        <v>0</v>
      </c>
      <c r="BK311" s="80" t="str">
        <f t="shared" si="177"/>
        <v/>
      </c>
      <c r="BL311" s="80" t="str">
        <f t="shared" si="178"/>
        <v/>
      </c>
      <c r="BM311" s="79" t="str">
        <f t="shared" si="179"/>
        <v/>
      </c>
      <c r="BN311" s="81" t="str">
        <f t="shared" si="180"/>
        <v/>
      </c>
      <c r="BO311" s="82" t="str">
        <f t="shared" si="181"/>
        <v/>
      </c>
      <c r="BP311" s="81" t="str">
        <f t="shared" si="182"/>
        <v/>
      </c>
      <c r="BQ311" s="81" t="str">
        <f t="shared" si="183"/>
        <v/>
      </c>
      <c r="BR311" s="81" t="str">
        <f t="shared" si="184"/>
        <v/>
      </c>
      <c r="BS311" s="82">
        <f t="shared" si="185"/>
        <v>0</v>
      </c>
      <c r="BT311" s="82" t="str">
        <f t="shared" si="186"/>
        <v/>
      </c>
      <c r="BU311" s="82">
        <f t="shared" si="187"/>
        <v>0</v>
      </c>
      <c r="BW311" s="82">
        <f>IFERROR(INDEX('Infos Clientes'!$T:$T,MATCH('Detalhe Por UC'!$C311,'Infos Clientes'!B:B,0)),"")</f>
        <v>315</v>
      </c>
      <c r="BX311" s="83">
        <f t="shared" si="188"/>
        <v>0</v>
      </c>
      <c r="BY311" s="84" t="str">
        <f t="shared" si="189"/>
        <v/>
      </c>
      <c r="BZ311" s="85">
        <f>IF(_xlfn.MINIFS('Detalhe Por UC'!R:R,'Detalhe Por UC'!C:C,C311,'Detalhe Por UC'!AD:AD,"&gt;"&amp;0)=0,"",_xlfn.MINIFS('Detalhe Por UC'!R:R,'Detalhe Por UC'!C:C,C311,'Detalhe Por UC'!AD:AD,"&gt;"&amp;0))</f>
        <v>45658</v>
      </c>
      <c r="CA311" s="114">
        <f ca="1">IF(OR(S311&gt;0,AD311&gt;0),IFERROR(
SUMIFS(INDIRECT("'Infos Clientes'!$W"&amp;INDEX('Infos Clientes'!$C:$C,MATCH(C311,'Infos Clientes'!$H:$H,0))&amp;":$CZ"&amp;INDEX('Infos Clientes'!$C:$C,MATCH(C311,'Infos Clientes'!$H:$H,0))),'Infos Clientes'!$W$2:$CZ$2,"&gt;"&amp;$R311-365,'Infos Clientes'!$W$2:$CZ$2,"&lt;="&amp;$R311)/
COUNTIFS(INDIRECT("'Infos Clientes'!$W"&amp;INDEX('Infos Clientes'!$C:$C,MATCH(C311,'Infos Clientes'!$H:$H,0))&amp;":$CZ"&amp;INDEX('Infos Clientes'!$C:$C,MATCH(C311,'Infos Clientes'!$H:$H,0))),"&gt;="&amp;0,'Infos Clientes'!$W$2:$CZ$2,"&gt;"&amp;$R311-365,'Infos Clientes'!$W$2:$CZ$2,"&lt;="&amp;$R311),""),"")</f>
        <v>290.41666666666669</v>
      </c>
      <c r="CB311" s="87">
        <f>VLOOKUP(C311,'Infos Clientes'!B:L,11,0)</f>
        <v>0</v>
      </c>
      <c r="CC311" s="88" t="str">
        <f t="shared" si="190"/>
        <v>A Unidade Consumidora 10/72605-9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11" s="40" t="s">
        <v>143</v>
      </c>
      <c r="CF311" s="115">
        <f t="shared" si="191"/>
        <v>-505.68</v>
      </c>
    </row>
    <row r="312" spans="1:84" ht="16.2" hidden="1" customHeight="1" x14ac:dyDescent="0.3">
      <c r="A312" s="105" t="str">
        <f>INDEX('Infos Clientes'!$D:$D,MATCH('Detalhe Por UC'!C312,'Infos Clientes'!B:B,0))</f>
        <v>IGREJA DO EVANGELHO QUADRANGULAR</v>
      </c>
      <c r="B312" s="106" t="str">
        <f>INDEX('Infos Clientes'!$F:$F,MATCH('Detalhe Por UC'!C312,'Infos Clientes'!B:B,0))</f>
        <v>62.955.505/1775-04</v>
      </c>
      <c r="C312" s="31" t="s">
        <v>199</v>
      </c>
      <c r="D312" t="s">
        <v>351</v>
      </c>
      <c r="E312" s="1" t="s">
        <v>352</v>
      </c>
      <c r="F312" s="56" t="str">
        <f>INDEX('Infos Clientes'!$I:$I,MATCH('Detalhe Por UC'!C312,'Infos Clientes'!B:B,0))</f>
        <v>BT</v>
      </c>
      <c r="G312" s="56" t="str">
        <f>INDEX('Infos Clientes'!$J:$J,MATCH('Detalhe Por UC'!C312,'Infos Clientes'!B:B,0))</f>
        <v>bifasico</v>
      </c>
      <c r="H312" s="108" t="s">
        <v>138</v>
      </c>
      <c r="I312" s="58">
        <f>IFERROR(VLOOKUP(C312,'Infos Clientes'!B:E,4,),"")</f>
        <v>319</v>
      </c>
      <c r="J312" s="109">
        <v>0.25</v>
      </c>
      <c r="K312" s="59">
        <f>INDEX('Infos Clientes'!$M:$M,MATCH('Detalhe Por UC'!C312,'Infos Clientes'!B:B,0))</f>
        <v>0.25</v>
      </c>
      <c r="L312" s="125"/>
      <c r="M312" s="56">
        <f>INDEX('Infos Clientes'!$N:$N,MATCH('Detalhe Por UC'!C312,'Infos Clientes'!B:B,0))</f>
        <v>0</v>
      </c>
      <c r="N312" s="56">
        <f t="shared" si="155"/>
        <v>0</v>
      </c>
      <c r="O312" s="56">
        <f t="shared" si="156"/>
        <v>5</v>
      </c>
      <c r="P312" s="56">
        <f t="shared" si="157"/>
        <v>0</v>
      </c>
      <c r="Q312" s="61">
        <f>IFERROR(IFERROR(INDEX('Infos Clientes'!$A$2:$V$9884,MATCH($C312,'Infos Clientes'!$B$2:$B$9884,0),MATCH(Q$8,'Infos Clientes'!$A$2:$V$2,0)),"")
+IF(OR(INDEX('Infos Clientes'!$A$2:$V$9884,MATCH($C312,'Infos Clientes'!$B$2:$B$9884,0),MATCH("Tempo de Fidelidade (meses)",'Infos Clientes'!$A$2:$V$2,0))=0,R312&gt;=MAX(R:R)),0,
ROUND((MAX(R:R)-R312)/(365/12),0)),"")</f>
        <v>0</v>
      </c>
      <c r="R312" s="111">
        <v>45717</v>
      </c>
      <c r="S312" s="63">
        <v>0.02</v>
      </c>
      <c r="T312" s="113" t="str">
        <f>IF($H312="GIROSSOL II",AP312/INDEX('Resumo Operacional'!$A$1:$P$1103,17,MATCH('Detalhe Por UC'!$R312,'Resumo Operacional'!$A$1:$P$1,0)),
IF($H312="GIROSSOL II e III",AP312/INDEX('Resumo Operacional'!$A$1:$P$1103,17,MATCH('Detalhe Por UC'!$R312,'Resumo Operacional'!$A$1:$P$1,0)),
""))</f>
        <v/>
      </c>
      <c r="U312" s="113">
        <f>IF($H312="GIROSSOL III",AP312/INDEX('Resumo Operacional'!$A$1:$P$1103,53,MATCH('Detalhe Por UC'!$R312,'Resumo Operacional'!$A$1:$P$1,0)),
IF($H312="GIROSSOL II e III",AP312/INDEX('Resumo Operacional'!$A$1:$P$1103,53,MATCH('Detalhe Por UC'!$R312,'Resumo Operacional'!$A$1:$P$1,0)),
""))</f>
        <v>0</v>
      </c>
      <c r="V312" s="18"/>
      <c r="W312" s="18"/>
      <c r="X312" s="18">
        <v>1.1162540716612377</v>
      </c>
      <c r="Y312" s="18"/>
      <c r="Z312" s="66">
        <v>0</v>
      </c>
      <c r="AA312" s="18"/>
      <c r="AB312" s="68">
        <v>307</v>
      </c>
      <c r="AC312" s="18"/>
      <c r="AD312" s="69">
        <v>0</v>
      </c>
      <c r="AE312" s="35"/>
      <c r="AF312" s="69">
        <v>0</v>
      </c>
      <c r="AG312" s="69">
        <v>0</v>
      </c>
      <c r="AH312" s="16">
        <v>68.56</v>
      </c>
      <c r="AI312" s="16">
        <v>0</v>
      </c>
      <c r="AJ312" s="16">
        <v>0</v>
      </c>
      <c r="AN312" s="71">
        <f t="shared" si="158"/>
        <v>0</v>
      </c>
      <c r="AO312" s="71">
        <f t="shared" si="159"/>
        <v>0</v>
      </c>
      <c r="AP312" s="71">
        <f t="shared" si="160"/>
        <v>0</v>
      </c>
      <c r="AQ312" s="72">
        <f>IF(OR($H312="GIROSSOL II",$H312="GIROSSOL II e III"),INDEX('Resumo Operacional'!$A$1:$P$1103,MATCH("Energia Injetada prevista total Fatura da Usina (TUSD)",'Resumo Operacional'!$B$1:$B$1103,0),MATCH('Detalhe Por UC'!$R312,'Resumo Operacional'!$A$1:$P$1,0))*$S312,INDEX('Resumo Operacional'!$A$1:$P$1103,53,MATCH('Detalhe Por UC'!$R312,'Resumo Operacional'!$A$1:$P$1,0))*$S312)</f>
        <v>240.86</v>
      </c>
      <c r="AR312" s="71">
        <f t="shared" si="161"/>
        <v>-240.86</v>
      </c>
      <c r="AS312" s="73">
        <f t="shared" si="162"/>
        <v>411.25</v>
      </c>
      <c r="AT312" s="74">
        <f t="shared" si="163"/>
        <v>411.25</v>
      </c>
      <c r="AU312" s="74" t="str">
        <f t="shared" si="164"/>
        <v/>
      </c>
      <c r="AV312" s="74">
        <f t="shared" si="165"/>
        <v>0</v>
      </c>
      <c r="AW312" s="74">
        <f t="shared" si="166"/>
        <v>0</v>
      </c>
      <c r="AX312" s="74">
        <f t="shared" si="167"/>
        <v>0</v>
      </c>
      <c r="AY312" s="74" t="str">
        <f t="shared" si="168"/>
        <v/>
      </c>
      <c r="AZ312" s="49" t="s">
        <v>354</v>
      </c>
      <c r="BA312" s="49">
        <v>0</v>
      </c>
      <c r="BC312" s="73" t="str">
        <f t="shared" si="169"/>
        <v/>
      </c>
      <c r="BD312" s="73">
        <f t="shared" si="170"/>
        <v>411.25</v>
      </c>
      <c r="BE312" s="73">
        <f t="shared" si="171"/>
        <v>411.25</v>
      </c>
      <c r="BF312" s="77">
        <f t="shared" si="172"/>
        <v>0</v>
      </c>
      <c r="BG312" s="77">
        <f t="shared" si="173"/>
        <v>0</v>
      </c>
      <c r="BH312" s="77">
        <f t="shared" si="174"/>
        <v>0</v>
      </c>
      <c r="BI312" s="78" t="str">
        <f t="shared" si="175"/>
        <v/>
      </c>
      <c r="BJ312" s="79">
        <f t="shared" si="176"/>
        <v>0</v>
      </c>
      <c r="BK312" s="80" t="str">
        <f t="shared" si="177"/>
        <v/>
      </c>
      <c r="BL312" s="80" t="str">
        <f t="shared" si="178"/>
        <v/>
      </c>
      <c r="BM312" s="79" t="str">
        <f t="shared" si="179"/>
        <v/>
      </c>
      <c r="BN312" s="81" t="str">
        <f t="shared" si="180"/>
        <v/>
      </c>
      <c r="BO312" s="82" t="str">
        <f t="shared" si="181"/>
        <v/>
      </c>
      <c r="BP312" s="81" t="str">
        <f t="shared" si="182"/>
        <v/>
      </c>
      <c r="BQ312" s="81" t="str">
        <f t="shared" si="183"/>
        <v/>
      </c>
      <c r="BR312" s="81" t="str">
        <f t="shared" si="184"/>
        <v/>
      </c>
      <c r="BS312" s="82">
        <f t="shared" si="185"/>
        <v>0</v>
      </c>
      <c r="BT312" s="82" t="str">
        <f t="shared" si="186"/>
        <v/>
      </c>
      <c r="BU312" s="82">
        <f t="shared" si="187"/>
        <v>0</v>
      </c>
      <c r="BW312" s="82">
        <f>IFERROR(INDEX('Infos Clientes'!$T:$T,MATCH('Detalhe Por UC'!$C312,'Infos Clientes'!B:B,0)),"")</f>
        <v>336.36363636363637</v>
      </c>
      <c r="BX312" s="83">
        <f t="shared" si="188"/>
        <v>0</v>
      </c>
      <c r="BY312" s="84" t="str">
        <f t="shared" si="189"/>
        <v/>
      </c>
      <c r="BZ312" s="85">
        <f>IF(_xlfn.MINIFS('Detalhe Por UC'!R:R,'Detalhe Por UC'!C:C,C312,'Detalhe Por UC'!AD:AD,"&gt;"&amp;0)=0,"",_xlfn.MINIFS('Detalhe Por UC'!R:R,'Detalhe Por UC'!C:C,C312,'Detalhe Por UC'!AD:AD,"&gt;"&amp;0))</f>
        <v>45658</v>
      </c>
      <c r="CA312" s="114">
        <f ca="1">IF(OR(S312&gt;0,AD312&gt;0),IFERROR(
SUMIFS(INDIRECT("'Infos Clientes'!$W"&amp;INDEX('Infos Clientes'!$C:$C,MATCH(C312,'Infos Clientes'!$H:$H,0))&amp;":$CZ"&amp;INDEX('Infos Clientes'!$C:$C,MATCH(C312,'Infos Clientes'!$H:$H,0))),'Infos Clientes'!$W$2:$CZ$2,"&gt;"&amp;$R312-365,'Infos Clientes'!$W$2:$CZ$2,"&lt;="&amp;$R312)/
COUNTIFS(INDIRECT("'Infos Clientes'!$W"&amp;INDEX('Infos Clientes'!$C:$C,MATCH(C312,'Infos Clientes'!$H:$H,0))&amp;":$CZ"&amp;INDEX('Infos Clientes'!$C:$C,MATCH(C312,'Infos Clientes'!$H:$H,0))),"&gt;="&amp;0,'Infos Clientes'!$W$2:$CZ$2,"&gt;"&amp;$R312-365,'Infos Clientes'!$W$2:$CZ$2,"&lt;="&amp;$R312),""),"")</f>
        <v>300.66666666666669</v>
      </c>
      <c r="CB312" s="87">
        <f>VLOOKUP(C312,'Infos Clientes'!B:L,11,0)</f>
        <v>0</v>
      </c>
      <c r="CC312" s="88" t="str">
        <f t="shared" si="190"/>
        <v>A Unidade Consumidora 10/40190-1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12" s="40" t="s">
        <v>143</v>
      </c>
      <c r="CF312" s="115">
        <f t="shared" si="191"/>
        <v>-411.25</v>
      </c>
    </row>
    <row r="313" spans="1:84" ht="16.2" hidden="1" customHeight="1" x14ac:dyDescent="0.3">
      <c r="A313" s="105" t="str">
        <f>INDEX('Infos Clientes'!$D:$D,MATCH('Detalhe Por UC'!C313,'Infos Clientes'!B:B,0))</f>
        <v>IGREJA DO EVANGELHO QUADRANGULAR</v>
      </c>
      <c r="B313" s="106" t="str">
        <f>INDEX('Infos Clientes'!$F:$F,MATCH('Detalhe Por UC'!C313,'Infos Clientes'!B:B,0))</f>
        <v>62.955.505/3793-95</v>
      </c>
      <c r="C313" s="31" t="s">
        <v>146</v>
      </c>
      <c r="D313" t="s">
        <v>351</v>
      </c>
      <c r="E313" s="1" t="s">
        <v>352</v>
      </c>
      <c r="F313" s="56" t="str">
        <f>INDEX('Infos Clientes'!$I:$I,MATCH('Detalhe Por UC'!C313,'Infos Clientes'!B:B,0))</f>
        <v>BT</v>
      </c>
      <c r="G313" s="56" t="str">
        <f>INDEX('Infos Clientes'!$J:$J,MATCH('Detalhe Por UC'!C313,'Infos Clientes'!B:B,0))</f>
        <v>trifasico</v>
      </c>
      <c r="H313" s="108" t="s">
        <v>138</v>
      </c>
      <c r="I313" s="58">
        <f>IFERROR(VLOOKUP(C313,'Infos Clientes'!B:E,4,),"")</f>
        <v>306</v>
      </c>
      <c r="J313" s="109">
        <v>0.25</v>
      </c>
      <c r="K313" s="59">
        <f>INDEX('Infos Clientes'!$M:$M,MATCH('Detalhe Por UC'!C313,'Infos Clientes'!B:B,0))</f>
        <v>0.25</v>
      </c>
      <c r="L313" s="125"/>
      <c r="M313" s="56">
        <f>INDEX('Infos Clientes'!$N:$N,MATCH('Detalhe Por UC'!C313,'Infos Clientes'!B:B,0))</f>
        <v>0</v>
      </c>
      <c r="N313" s="56">
        <f t="shared" si="155"/>
        <v>0</v>
      </c>
      <c r="O313" s="56">
        <f t="shared" si="156"/>
        <v>10</v>
      </c>
      <c r="P313" s="56">
        <f t="shared" si="157"/>
        <v>0</v>
      </c>
      <c r="Q313" s="61">
        <f>IFERROR(IFERROR(INDEX('Infos Clientes'!$A$2:$V$9884,MATCH($C313,'Infos Clientes'!$B$2:$B$9884,0),MATCH(Q$8,'Infos Clientes'!$A$2:$V$2,0)),"")
+IF(OR(INDEX('Infos Clientes'!$A$2:$V$9884,MATCH($C313,'Infos Clientes'!$B$2:$B$9884,0),MATCH("Tempo de Fidelidade (meses)",'Infos Clientes'!$A$2:$V$2,0))=0,R313&gt;=MAX(R:R)),0,
ROUND((MAX(R:R)-R313)/(365/12),0)),"")</f>
        <v>0</v>
      </c>
      <c r="R313" s="111">
        <v>45717</v>
      </c>
      <c r="S313" s="63">
        <v>0.03</v>
      </c>
      <c r="T313" s="113" t="str">
        <f>IF($H313="GIROSSOL II",AP313/INDEX('Resumo Operacional'!$A$1:$P$1103,17,MATCH('Detalhe Por UC'!$R313,'Resumo Operacional'!$A$1:$P$1,0)),
IF($H313="GIROSSOL II e III",AP313/INDEX('Resumo Operacional'!$A$1:$P$1103,17,MATCH('Detalhe Por UC'!$R313,'Resumo Operacional'!$A$1:$P$1,0)),
""))</f>
        <v/>
      </c>
      <c r="U313" s="113">
        <f>IF($H313="GIROSSOL III",AP313/INDEX('Resumo Operacional'!$A$1:$P$1103,53,MATCH('Detalhe Por UC'!$R313,'Resumo Operacional'!$A$1:$P$1,0)),
IF($H313="GIROSSOL II e III",AP313/INDEX('Resumo Operacional'!$A$1:$P$1103,53,MATCH('Detalhe Por UC'!$R313,'Resumo Operacional'!$A$1:$P$1,0)),
""))</f>
        <v>2.9975919621356806E-2</v>
      </c>
      <c r="V313" s="18"/>
      <c r="W313" s="18"/>
      <c r="X313" s="18">
        <v>1.1162608695652174</v>
      </c>
      <c r="Y313" s="18"/>
      <c r="Z313" s="66">
        <v>0.97407202216066491</v>
      </c>
      <c r="AA313" s="18"/>
      <c r="AB313" s="68">
        <v>460</v>
      </c>
      <c r="AC313" s="18"/>
      <c r="AD313" s="69">
        <v>361</v>
      </c>
      <c r="AE313" s="35"/>
      <c r="AF313" s="69">
        <v>0</v>
      </c>
      <c r="AG313" s="69">
        <v>0</v>
      </c>
      <c r="AH313" s="16">
        <v>0</v>
      </c>
      <c r="AI313" s="16">
        <v>0</v>
      </c>
      <c r="AJ313" s="16">
        <v>0</v>
      </c>
      <c r="AN313" s="71">
        <f t="shared" si="158"/>
        <v>0</v>
      </c>
      <c r="AO313" s="71">
        <f t="shared" si="159"/>
        <v>0</v>
      </c>
      <c r="AP313" s="71">
        <f t="shared" si="160"/>
        <v>361</v>
      </c>
      <c r="AQ313" s="72">
        <f>IF(OR($H313="GIROSSOL II",$H313="GIROSSOL II e III"),INDEX('Resumo Operacional'!$A$1:$P$1103,MATCH("Energia Injetada prevista total Fatura da Usina (TUSD)",'Resumo Operacional'!$B$1:$B$1103,0),MATCH('Detalhe Por UC'!$R313,'Resumo Operacional'!$A$1:$P$1,0))*$S313,INDEX('Resumo Operacional'!$A$1:$P$1103,53,MATCH('Detalhe Por UC'!$R313,'Resumo Operacional'!$A$1:$P$1,0))*$S313)</f>
        <v>361.28999999999996</v>
      </c>
      <c r="AR313" s="71">
        <f t="shared" si="161"/>
        <v>-0.28999999999996362</v>
      </c>
      <c r="AS313" s="73">
        <f t="shared" si="162"/>
        <v>161.83999999999997</v>
      </c>
      <c r="AT313" s="74">
        <f t="shared" si="163"/>
        <v>161.83999999999997</v>
      </c>
      <c r="AU313" s="74">
        <f t="shared" si="164"/>
        <v>0.8318831747561124</v>
      </c>
      <c r="AV313" s="74">
        <f t="shared" si="165"/>
        <v>263.73</v>
      </c>
      <c r="AW313" s="74">
        <f t="shared" si="166"/>
        <v>0</v>
      </c>
      <c r="AX313" s="74">
        <f t="shared" si="167"/>
        <v>351.64000000000004</v>
      </c>
      <c r="AY313" s="74">
        <f t="shared" si="168"/>
        <v>263.73</v>
      </c>
      <c r="AZ313" s="49">
        <v>263.73</v>
      </c>
      <c r="BA313" s="49">
        <v>263.73</v>
      </c>
      <c r="BB313" s="49">
        <v>263.73</v>
      </c>
      <c r="BC313" s="73" t="str">
        <f t="shared" si="169"/>
        <v/>
      </c>
      <c r="BD313" s="73">
        <f t="shared" si="170"/>
        <v>513.48</v>
      </c>
      <c r="BE313" s="73">
        <f t="shared" si="171"/>
        <v>425.57</v>
      </c>
      <c r="BF313" s="77">
        <f t="shared" si="172"/>
        <v>87.91</v>
      </c>
      <c r="BG313" s="77">
        <f t="shared" si="173"/>
        <v>26.372999999999998</v>
      </c>
      <c r="BH313" s="77">
        <f t="shared" si="174"/>
        <v>351.64000000000004</v>
      </c>
      <c r="BI313" s="78">
        <f t="shared" si="175"/>
        <v>0.25</v>
      </c>
      <c r="BJ313" s="79">
        <f t="shared" si="176"/>
        <v>0.17120433123003817</v>
      </c>
      <c r="BK313" s="80">
        <f t="shared" si="177"/>
        <v>425.57</v>
      </c>
      <c r="BL313" s="80">
        <f t="shared" si="178"/>
        <v>87.910000000000025</v>
      </c>
      <c r="BM313" s="79">
        <f t="shared" si="179"/>
        <v>0.17120433123003823</v>
      </c>
      <c r="BN313" s="81">
        <f t="shared" si="180"/>
        <v>0.73055401662049868</v>
      </c>
      <c r="BO313" s="82">
        <f t="shared" si="181"/>
        <v>263.73</v>
      </c>
      <c r="BP313" s="81">
        <f t="shared" si="182"/>
        <v>0.73055401662049868</v>
      </c>
      <c r="BQ313" s="81">
        <f t="shared" si="183"/>
        <v>0.87274286402505119</v>
      </c>
      <c r="BR313" s="81">
        <f t="shared" si="184"/>
        <v>1.1162608695652174</v>
      </c>
      <c r="BS313" s="82">
        <f t="shared" si="185"/>
        <v>361</v>
      </c>
      <c r="BT313" s="82">
        <f t="shared" si="186"/>
        <v>402.97017391304348</v>
      </c>
      <c r="BU313" s="82">
        <f t="shared" si="187"/>
        <v>351.64000000000004</v>
      </c>
      <c r="BW313" s="82">
        <f>IFERROR(INDEX('Infos Clientes'!$T:$T,MATCH('Detalhe Por UC'!$C313,'Infos Clientes'!B:B,0)),"")</f>
        <v>398.18181818181819</v>
      </c>
      <c r="BX313" s="83">
        <f t="shared" si="188"/>
        <v>0</v>
      </c>
      <c r="BY313" s="84">
        <f t="shared" si="189"/>
        <v>0.21815510350641984</v>
      </c>
      <c r="BZ313" s="85">
        <f>IF(_xlfn.MINIFS('Detalhe Por UC'!R:R,'Detalhe Por UC'!C:C,C313,'Detalhe Por UC'!AD:AD,"&gt;"&amp;0)=0,"",_xlfn.MINIFS('Detalhe Por UC'!R:R,'Detalhe Por UC'!C:C,C313,'Detalhe Por UC'!AD:AD,"&gt;"&amp;0))</f>
        <v>45658</v>
      </c>
      <c r="CA313" s="114">
        <f ca="1">IF(OR(S313&gt;0,AD313&gt;0),IFERROR(
SUMIFS(INDIRECT("'Infos Clientes'!$W"&amp;INDEX('Infos Clientes'!$C:$C,MATCH(C313,'Infos Clientes'!$H:$H,0))&amp;":$CZ"&amp;INDEX('Infos Clientes'!$C:$C,MATCH(C313,'Infos Clientes'!$H:$H,0))),'Infos Clientes'!$W$2:$CZ$2,"&gt;"&amp;$R313-365,'Infos Clientes'!$W$2:$CZ$2,"&lt;="&amp;$R313)/
COUNTIFS(INDIRECT("'Infos Clientes'!$W"&amp;INDEX('Infos Clientes'!$C:$C,MATCH(C313,'Infos Clientes'!$H:$H,0))&amp;":$CZ"&amp;INDEX('Infos Clientes'!$C:$C,MATCH(C313,'Infos Clientes'!$H:$H,0))),"&gt;="&amp;0,'Infos Clientes'!$W$2:$CZ$2,"&gt;"&amp;$R313-365,'Infos Clientes'!$W$2:$CZ$2,"&lt;="&amp;$R313),""),"")</f>
        <v>358.33333333333331</v>
      </c>
      <c r="CB313" s="87">
        <f>VLOOKUP(C313,'Infos Clientes'!B:L,11,0)</f>
        <v>0</v>
      </c>
      <c r="CC313" s="88" t="str">
        <f t="shared" si="190"/>
        <v>A Unidade Consumidora 10/1266128-6 economizou R$87,91 na fatura referente à mar/2025  consumindo 361 kWh em créditos de energia renovável conforme fatura de energia. A economia foi de 25% em relação ao que seria pago para a Energisa considerando os créditos consumidos. Atenção: Mantenha as contas da Energisa em dia para evitar cortes.</v>
      </c>
      <c r="CD313" s="40" t="s">
        <v>143</v>
      </c>
      <c r="CF313" s="115">
        <f t="shared" si="191"/>
        <v>-161.83999999999997</v>
      </c>
    </row>
    <row r="314" spans="1:84" ht="16.2" hidden="1" customHeight="1" x14ac:dyDescent="0.3">
      <c r="A314" s="105" t="str">
        <f>INDEX('Infos Clientes'!$D:$D,MATCH('Detalhe Por UC'!C314,'Infos Clientes'!B:B,0))</f>
        <v>IGREJA DO EVANGELHO QUADRANGULAR</v>
      </c>
      <c r="B314" s="106" t="str">
        <f>INDEX('Infos Clientes'!$F:$F,MATCH('Detalhe Por UC'!C314,'Infos Clientes'!B:B,0))</f>
        <v>62.955.505/8979-30</v>
      </c>
      <c r="C314" s="31" t="s">
        <v>238</v>
      </c>
      <c r="D314" t="s">
        <v>351</v>
      </c>
      <c r="E314" s="1" t="s">
        <v>352</v>
      </c>
      <c r="F314" s="56" t="str">
        <f>INDEX('Infos Clientes'!$I:$I,MATCH('Detalhe Por UC'!C314,'Infos Clientes'!B:B,0))</f>
        <v>BT</v>
      </c>
      <c r="G314" s="56" t="str">
        <f>INDEX('Infos Clientes'!$J:$J,MATCH('Detalhe Por UC'!C314,'Infos Clientes'!B:B,0))</f>
        <v>bifasico</v>
      </c>
      <c r="H314" s="108" t="s">
        <v>138</v>
      </c>
      <c r="I314" s="58">
        <f>IFERROR(VLOOKUP(C314,'Infos Clientes'!B:E,4,),"")</f>
        <v>360</v>
      </c>
      <c r="J314" s="109">
        <v>0.25</v>
      </c>
      <c r="K314" s="59">
        <f>INDEX('Infos Clientes'!$M:$M,MATCH('Detalhe Por UC'!C314,'Infos Clientes'!B:B,0))</f>
        <v>0.25</v>
      </c>
      <c r="L314" s="125"/>
      <c r="M314" s="56">
        <f>INDEX('Infos Clientes'!$N:$N,MATCH('Detalhe Por UC'!C314,'Infos Clientes'!B:B,0))</f>
        <v>0</v>
      </c>
      <c r="N314" s="56">
        <f t="shared" si="155"/>
        <v>0</v>
      </c>
      <c r="O314" s="56">
        <f t="shared" si="156"/>
        <v>10</v>
      </c>
      <c r="P314" s="56">
        <f t="shared" si="157"/>
        <v>0</v>
      </c>
      <c r="Q314" s="61">
        <f>IFERROR(IFERROR(INDEX('Infos Clientes'!$A$2:$V$9884,MATCH($C314,'Infos Clientes'!$B$2:$B$9884,0),MATCH(Q$8,'Infos Clientes'!$A$2:$V$2,0)),"")
+IF(OR(INDEX('Infos Clientes'!$A$2:$V$9884,MATCH($C314,'Infos Clientes'!$B$2:$B$9884,0),MATCH("Tempo de Fidelidade (meses)",'Infos Clientes'!$A$2:$V$2,0))=0,R314&gt;=MAX(R:R)),0,
ROUND((MAX(R:R)-R314)/(365/12),0)),"")</f>
        <v>0</v>
      </c>
      <c r="R314" s="111">
        <v>45717</v>
      </c>
      <c r="S314" s="63">
        <v>7.0000000000000001E-3</v>
      </c>
      <c r="T314" s="113" t="str">
        <f>IF($H314="GIROSSOL II",AP314/INDEX('Resumo Operacional'!$A$1:$P$1103,17,MATCH('Detalhe Por UC'!$R314,'Resumo Operacional'!$A$1:$P$1,0)),
IF($H314="GIROSSOL II e III",AP314/INDEX('Resumo Operacional'!$A$1:$P$1103,17,MATCH('Detalhe Por UC'!$R314,'Resumo Operacional'!$A$1:$P$1,0)),
""))</f>
        <v/>
      </c>
      <c r="U314" s="113">
        <f>IF($H314="GIROSSOL III",AP314/INDEX('Resumo Operacional'!$A$1:$P$1103,53,MATCH('Detalhe Por UC'!$R314,'Resumo Operacional'!$A$1:$P$1,0)),
IF($H314="GIROSSOL II e III",AP314/INDEX('Resumo Operacional'!$A$1:$P$1103,53,MATCH('Detalhe Por UC'!$R314,'Resumo Operacional'!$A$1:$P$1,0)),
""))</f>
        <v>8.3866146309059201E-3</v>
      </c>
      <c r="V314" s="18"/>
      <c r="W314" s="18"/>
      <c r="X314" s="18">
        <v>1.1162399999999999</v>
      </c>
      <c r="Y314" s="18"/>
      <c r="Z314" s="66">
        <v>0.97404494382022466</v>
      </c>
      <c r="AA314" s="18"/>
      <c r="AB314" s="68">
        <v>125</v>
      </c>
      <c r="AC314" s="18"/>
      <c r="AD314" s="69">
        <v>89</v>
      </c>
      <c r="AE314" s="35"/>
      <c r="AF314" s="69">
        <v>12</v>
      </c>
      <c r="AG314" s="69">
        <v>0</v>
      </c>
      <c r="AH314" s="16">
        <v>8.56</v>
      </c>
      <c r="AI314" s="16">
        <v>0</v>
      </c>
      <c r="AJ314" s="16">
        <v>0</v>
      </c>
      <c r="AN314" s="71">
        <f t="shared" si="158"/>
        <v>12</v>
      </c>
      <c r="AO314" s="71">
        <f t="shared" si="159"/>
        <v>0</v>
      </c>
      <c r="AP314" s="71">
        <f t="shared" si="160"/>
        <v>101</v>
      </c>
      <c r="AQ314" s="72">
        <f>IF(OR($H314="GIROSSOL II",$H314="GIROSSOL II e III"),INDEX('Resumo Operacional'!$A$1:$P$1103,MATCH("Energia Injetada prevista total Fatura da Usina (TUSD)",'Resumo Operacional'!$B$1:$B$1103,0),MATCH('Detalhe Por UC'!$R314,'Resumo Operacional'!$A$1:$P$1,0))*$S314,INDEX('Resumo Operacional'!$A$1:$P$1103,53,MATCH('Detalhe Por UC'!$R314,'Resumo Operacional'!$A$1:$P$1,0))*$S314)</f>
        <v>84.301000000000002</v>
      </c>
      <c r="AR314" s="71">
        <f t="shared" si="161"/>
        <v>16.698999999999998</v>
      </c>
      <c r="AS314" s="73">
        <f t="shared" si="162"/>
        <v>61.400000000000006</v>
      </c>
      <c r="AT314" s="74">
        <f t="shared" si="163"/>
        <v>61.400000000000006</v>
      </c>
      <c r="AU314" s="74">
        <f t="shared" si="164"/>
        <v>0.83184988764044943</v>
      </c>
      <c r="AV314" s="74">
        <f t="shared" si="165"/>
        <v>65.017499999999998</v>
      </c>
      <c r="AW314" s="74">
        <f t="shared" si="166"/>
        <v>0</v>
      </c>
      <c r="AX314" s="74">
        <f t="shared" si="167"/>
        <v>86.69</v>
      </c>
      <c r="AY314" s="74">
        <f t="shared" si="168"/>
        <v>65.02</v>
      </c>
      <c r="AZ314" s="49">
        <v>65.02</v>
      </c>
      <c r="BA314" s="49">
        <v>65.02</v>
      </c>
      <c r="BB314" s="49">
        <v>65.02</v>
      </c>
      <c r="BC314" s="73" t="str">
        <f t="shared" si="169"/>
        <v/>
      </c>
      <c r="BD314" s="73">
        <f t="shared" si="170"/>
        <v>148.09</v>
      </c>
      <c r="BE314" s="73">
        <f t="shared" si="171"/>
        <v>126.4175</v>
      </c>
      <c r="BF314" s="77">
        <f t="shared" si="172"/>
        <v>21.67</v>
      </c>
      <c r="BG314" s="77">
        <f t="shared" si="173"/>
        <v>6.5010000000000003</v>
      </c>
      <c r="BH314" s="77">
        <f t="shared" si="174"/>
        <v>86.689999999999984</v>
      </c>
      <c r="BI314" s="78">
        <f t="shared" si="175"/>
        <v>0.25</v>
      </c>
      <c r="BJ314" s="79">
        <f t="shared" si="176"/>
        <v>0.14632993449929099</v>
      </c>
      <c r="BK314" s="80">
        <f t="shared" si="177"/>
        <v>126.42</v>
      </c>
      <c r="BL314" s="80">
        <f t="shared" si="178"/>
        <v>21.67</v>
      </c>
      <c r="BM314" s="79">
        <f t="shared" si="179"/>
        <v>0.14632993449929099</v>
      </c>
      <c r="BN314" s="81">
        <f t="shared" si="180"/>
        <v>0.73056179775280894</v>
      </c>
      <c r="BO314" s="82">
        <f t="shared" si="181"/>
        <v>65.02</v>
      </c>
      <c r="BP314" s="81">
        <f t="shared" si="182"/>
        <v>0.73056179775280894</v>
      </c>
      <c r="BQ314" s="81">
        <f t="shared" si="183"/>
        <v>0.87275685393258418</v>
      </c>
      <c r="BR314" s="81">
        <f t="shared" si="184"/>
        <v>1.1162399999999999</v>
      </c>
      <c r="BS314" s="82">
        <f t="shared" si="185"/>
        <v>89</v>
      </c>
      <c r="BT314" s="82">
        <f t="shared" si="186"/>
        <v>99.345359999999985</v>
      </c>
      <c r="BU314" s="82">
        <f t="shared" si="187"/>
        <v>86.69</v>
      </c>
      <c r="BW314" s="82">
        <f>IFERROR(INDEX('Infos Clientes'!$T:$T,MATCH('Detalhe Por UC'!$C314,'Infos Clientes'!B:B,0)),"")</f>
        <v>162.36363636363637</v>
      </c>
      <c r="BX314" s="83">
        <f t="shared" si="188"/>
        <v>0</v>
      </c>
      <c r="BY314" s="84">
        <f t="shared" si="189"/>
        <v>0.21812795283040901</v>
      </c>
      <c r="BZ314" s="85">
        <f>IF(_xlfn.MINIFS('Detalhe Por UC'!R:R,'Detalhe Por UC'!C:C,C314,'Detalhe Por UC'!AD:AD,"&gt;"&amp;0)=0,"",_xlfn.MINIFS('Detalhe Por UC'!R:R,'Detalhe Por UC'!C:C,C314,'Detalhe Por UC'!AD:AD,"&gt;"&amp;0))</f>
        <v>45658</v>
      </c>
      <c r="CA314" s="114">
        <f ca="1">IF(OR(S314&gt;0,AD314&gt;0),IFERROR(
SUMIFS(INDIRECT("'Infos Clientes'!$W"&amp;INDEX('Infos Clientes'!$C:$C,MATCH(C314,'Infos Clientes'!$H:$H,0))&amp;":$CZ"&amp;INDEX('Infos Clientes'!$C:$C,MATCH(C314,'Infos Clientes'!$H:$H,0))),'Infos Clientes'!$W$2:$CZ$2,"&gt;"&amp;$R314-365,'Infos Clientes'!$W$2:$CZ$2,"&lt;="&amp;$R314)/
COUNTIFS(INDIRECT("'Infos Clientes'!$W"&amp;INDEX('Infos Clientes'!$C:$C,MATCH(C314,'Infos Clientes'!$H:$H,0))&amp;":$CZ"&amp;INDEX('Infos Clientes'!$C:$C,MATCH(C314,'Infos Clientes'!$H:$H,0))),"&gt;="&amp;0,'Infos Clientes'!$W$2:$CZ$2,"&gt;"&amp;$R314-365,'Infos Clientes'!$W$2:$CZ$2,"&lt;="&amp;$R314),""),"")</f>
        <v>130.41666666666666</v>
      </c>
      <c r="CB314" s="87">
        <f>VLOOKUP(C314,'Infos Clientes'!B:L,11,0)</f>
        <v>0</v>
      </c>
      <c r="CC314" s="88" t="str">
        <f t="shared" si="190"/>
        <v>A Unidade Consumidora 10/952579-1 economizou R$21,67 na fatura referente à mar/2025  consumindo 89 kWh em créditos de energia renovável conforme fatura de energia. A economia foi de 25% em relação ao que seria pago para a Energisa considerando os créditos consumidos. Atenção: Mantenha as contas da Energisa em dia para evitar cortes.</v>
      </c>
      <c r="CD314" s="40" t="s">
        <v>149</v>
      </c>
      <c r="CF314" s="115">
        <f t="shared" si="191"/>
        <v>-61.400000000000006</v>
      </c>
    </row>
    <row r="315" spans="1:84" ht="16.2" hidden="1" customHeight="1" x14ac:dyDescent="0.3">
      <c r="A315" s="105" t="str">
        <f>INDEX('Infos Clientes'!$D:$D,MATCH('Detalhe Por UC'!C315,'Infos Clientes'!B:B,0))</f>
        <v>IGREJA DO EVANGELHO QUADRANGULAR</v>
      </c>
      <c r="B315" s="106" t="str">
        <f>INDEX('Infos Clientes'!$F:$F,MATCH('Detalhe Por UC'!C315,'Infos Clientes'!B:B,0))</f>
        <v>62.955.505/8873-82</v>
      </c>
      <c r="C315" s="31" t="s">
        <v>212</v>
      </c>
      <c r="D315" t="s">
        <v>351</v>
      </c>
      <c r="E315" s="1" t="s">
        <v>352</v>
      </c>
      <c r="F315" s="56" t="str">
        <f>INDEX('Infos Clientes'!$I:$I,MATCH('Detalhe Por UC'!C315,'Infos Clientes'!B:B,0))</f>
        <v>BT</v>
      </c>
      <c r="G315" s="56" t="str">
        <f>INDEX('Infos Clientes'!$J:$J,MATCH('Detalhe Por UC'!C315,'Infos Clientes'!B:B,0))</f>
        <v>trifasico</v>
      </c>
      <c r="H315" s="108" t="s">
        <v>138</v>
      </c>
      <c r="I315" s="58">
        <f>IFERROR(VLOOKUP(C315,'Infos Clientes'!B:E,4,),"")</f>
        <v>351</v>
      </c>
      <c r="J315" s="109">
        <v>0.25</v>
      </c>
      <c r="K315" s="59">
        <f>INDEX('Infos Clientes'!$M:$M,MATCH('Detalhe Por UC'!C315,'Infos Clientes'!B:B,0))</f>
        <v>0.25</v>
      </c>
      <c r="L315" s="125"/>
      <c r="M315" s="56">
        <f>INDEX('Infos Clientes'!$N:$N,MATCH('Detalhe Por UC'!C315,'Infos Clientes'!B:B,0))</f>
        <v>0</v>
      </c>
      <c r="N315" s="56">
        <f t="shared" si="155"/>
        <v>0</v>
      </c>
      <c r="O315" s="56">
        <f t="shared" si="156"/>
        <v>3</v>
      </c>
      <c r="P315" s="56">
        <f t="shared" si="157"/>
        <v>0</v>
      </c>
      <c r="Q315" s="61">
        <f>IFERROR(IFERROR(INDEX('Infos Clientes'!$A$2:$V$9884,MATCH($C315,'Infos Clientes'!$B$2:$B$9884,0),MATCH(Q$8,'Infos Clientes'!$A$2:$V$2,0)),"")
+IF(OR(INDEX('Infos Clientes'!$A$2:$V$9884,MATCH($C315,'Infos Clientes'!$B$2:$B$9884,0),MATCH("Tempo de Fidelidade (meses)",'Infos Clientes'!$A$2:$V$2,0))=0,R315&gt;=MAX(R:R)),0,
ROUND((MAX(R:R)-R315)/(365/12),0)),"")</f>
        <v>0</v>
      </c>
      <c r="R315" s="111">
        <v>45717</v>
      </c>
      <c r="S315" s="63">
        <v>3.0000000000000001E-3</v>
      </c>
      <c r="T315" s="113" t="str">
        <f>IF($H315="GIROSSOL II",AP315/INDEX('Resumo Operacional'!$A$1:$P$1103,17,MATCH('Detalhe Por UC'!$R315,'Resumo Operacional'!$A$1:$P$1,0)),
IF($H315="GIROSSOL II e III",AP315/INDEX('Resumo Operacional'!$A$1:$P$1103,17,MATCH('Detalhe Por UC'!$R315,'Resumo Operacional'!$A$1:$P$1,0)),
""))</f>
        <v/>
      </c>
      <c r="U315" s="113">
        <f>IF($H315="GIROSSOL III",AP315/INDEX('Resumo Operacional'!$A$1:$P$1103,53,MATCH('Detalhe Por UC'!$R315,'Resumo Operacional'!$A$1:$P$1,0)),
IF($H315="GIROSSOL II e III",AP315/INDEX('Resumo Operacional'!$A$1:$P$1103,53,MATCH('Detalhe Por UC'!$R315,'Resumo Operacional'!$A$1:$P$1,0)),
""))</f>
        <v>3.0308062775056051E-2</v>
      </c>
      <c r="V315" s="18"/>
      <c r="W315" s="18"/>
      <c r="X315" s="18">
        <v>1.11625</v>
      </c>
      <c r="Y315" s="18"/>
      <c r="Z315" s="66">
        <v>0.97391304347826102</v>
      </c>
      <c r="AA315" s="18"/>
      <c r="AB315" s="68">
        <v>120</v>
      </c>
      <c r="AC315" s="18"/>
      <c r="AD315" s="69">
        <v>23</v>
      </c>
      <c r="AE315" s="35"/>
      <c r="AF315" s="69">
        <v>342</v>
      </c>
      <c r="AG315" s="69">
        <v>0</v>
      </c>
      <c r="AH315" s="16">
        <v>2.1500000000000035</v>
      </c>
      <c r="AI315" s="16">
        <v>0</v>
      </c>
      <c r="AJ315" s="16">
        <v>0</v>
      </c>
      <c r="AN315" s="71">
        <f t="shared" si="158"/>
        <v>342</v>
      </c>
      <c r="AO315" s="71">
        <f t="shared" si="159"/>
        <v>0</v>
      </c>
      <c r="AP315" s="71">
        <f t="shared" si="160"/>
        <v>365</v>
      </c>
      <c r="AQ315" s="72">
        <f>IF(OR($H315="GIROSSOL II",$H315="GIROSSOL II e III"),INDEX('Resumo Operacional'!$A$1:$P$1103,MATCH("Energia Injetada prevista total Fatura da Usina (TUSD)",'Resumo Operacional'!$B$1:$B$1103,0),MATCH('Detalhe Por UC'!$R315,'Resumo Operacional'!$A$1:$P$1,0))*$S315,INDEX('Resumo Operacional'!$A$1:$P$1103,53,MATCH('Detalhe Por UC'!$R315,'Resumo Operacional'!$A$1:$P$1,0))*$S315)</f>
        <v>36.128999999999998</v>
      </c>
      <c r="AR315" s="71">
        <f t="shared" si="161"/>
        <v>328.87099999999998</v>
      </c>
      <c r="AS315" s="73">
        <f t="shared" si="162"/>
        <v>113.69999999999999</v>
      </c>
      <c r="AT315" s="74">
        <f t="shared" si="163"/>
        <v>113.69999999999999</v>
      </c>
      <c r="AU315" s="74">
        <f t="shared" si="164"/>
        <v>0.83157608695652196</v>
      </c>
      <c r="AV315" s="74">
        <f t="shared" si="165"/>
        <v>16.800000000000004</v>
      </c>
      <c r="AW315" s="74">
        <f t="shared" si="166"/>
        <v>33.6</v>
      </c>
      <c r="AX315" s="74">
        <f t="shared" si="167"/>
        <v>56</v>
      </c>
      <c r="AY315" s="74">
        <f t="shared" si="168"/>
        <v>16.8</v>
      </c>
      <c r="AZ315" s="49">
        <v>16.8</v>
      </c>
      <c r="BA315" s="49">
        <v>16.8</v>
      </c>
      <c r="BB315" s="49">
        <v>16.8</v>
      </c>
      <c r="BC315" s="73" t="str">
        <f t="shared" si="169"/>
        <v/>
      </c>
      <c r="BD315" s="73">
        <f t="shared" si="170"/>
        <v>136.1</v>
      </c>
      <c r="BE315" s="73">
        <f t="shared" si="171"/>
        <v>130.5</v>
      </c>
      <c r="BF315" s="77">
        <f t="shared" si="172"/>
        <v>5.6</v>
      </c>
      <c r="BG315" s="77">
        <f t="shared" si="173"/>
        <v>1.68</v>
      </c>
      <c r="BH315" s="77">
        <f t="shared" si="174"/>
        <v>22.400000000000002</v>
      </c>
      <c r="BI315" s="78">
        <f t="shared" si="175"/>
        <v>0.25</v>
      </c>
      <c r="BJ315" s="79">
        <f t="shared" si="176"/>
        <v>4.1146216017634095E-2</v>
      </c>
      <c r="BK315" s="80">
        <f t="shared" si="177"/>
        <v>130.5</v>
      </c>
      <c r="BL315" s="80">
        <f t="shared" si="178"/>
        <v>5.5999999999999943</v>
      </c>
      <c r="BM315" s="79">
        <f t="shared" si="179"/>
        <v>4.1146216017634053E-2</v>
      </c>
      <c r="BN315" s="81">
        <f t="shared" si="180"/>
        <v>0.73043478260869565</v>
      </c>
      <c r="BO315" s="82">
        <f t="shared" si="181"/>
        <v>16.8</v>
      </c>
      <c r="BP315" s="81">
        <f t="shared" si="182"/>
        <v>0.73043478260869565</v>
      </c>
      <c r="BQ315" s="81">
        <f t="shared" si="183"/>
        <v>0.8727717391304346</v>
      </c>
      <c r="BR315" s="81">
        <f t="shared" si="184"/>
        <v>1.11625</v>
      </c>
      <c r="BS315" s="82">
        <f t="shared" si="185"/>
        <v>23</v>
      </c>
      <c r="BT315" s="82">
        <f t="shared" si="186"/>
        <v>25.673749999999998</v>
      </c>
      <c r="BU315" s="82">
        <f t="shared" si="187"/>
        <v>22.400000000000002</v>
      </c>
      <c r="BW315" s="82">
        <f>IFERROR(INDEX('Infos Clientes'!$T:$T,MATCH('Detalhe Por UC'!$C315,'Infos Clientes'!B:B,0)),"")</f>
        <v>93.7</v>
      </c>
      <c r="BX315" s="83">
        <f t="shared" si="188"/>
        <v>0</v>
      </c>
      <c r="BY315" s="84">
        <f t="shared" si="189"/>
        <v>0.21812162227956586</v>
      </c>
      <c r="BZ315" s="85">
        <f>IF(_xlfn.MINIFS('Detalhe Por UC'!R:R,'Detalhe Por UC'!C:C,C315,'Detalhe Por UC'!AD:AD,"&gt;"&amp;0)=0,"",_xlfn.MINIFS('Detalhe Por UC'!R:R,'Detalhe Por UC'!C:C,C315,'Detalhe Por UC'!AD:AD,"&gt;"&amp;0))</f>
        <v>45689</v>
      </c>
      <c r="CA315" s="114">
        <f ca="1">IF(OR(S315&gt;0,AD315&gt;0),IFERROR(
SUMIFS(INDIRECT("'Infos Clientes'!$W"&amp;INDEX('Infos Clientes'!$C:$C,MATCH(C315,'Infos Clientes'!$H:$H,0))&amp;":$CZ"&amp;INDEX('Infos Clientes'!$C:$C,MATCH(C315,'Infos Clientes'!$H:$H,0))),'Infos Clientes'!$W$2:$CZ$2,"&gt;"&amp;$R315-365,'Infos Clientes'!$W$2:$CZ$2,"&lt;="&amp;$R315)/
COUNTIFS(INDIRECT("'Infos Clientes'!$W"&amp;INDEX('Infos Clientes'!$C:$C,MATCH(C315,'Infos Clientes'!$H:$H,0))&amp;":$CZ"&amp;INDEX('Infos Clientes'!$C:$C,MATCH(C315,'Infos Clientes'!$H:$H,0))),"&gt;="&amp;0,'Infos Clientes'!$W$2:$CZ$2,"&gt;"&amp;$R315-365,'Infos Clientes'!$W$2:$CZ$2,"&lt;="&amp;$R315),""),"")</f>
        <v>440.5</v>
      </c>
      <c r="CB315" s="87">
        <f>VLOOKUP(C315,'Infos Clientes'!B:L,11,0)</f>
        <v>0</v>
      </c>
      <c r="CC315" s="88" t="str">
        <f t="shared" si="190"/>
        <v>A Unidade Consumidora 10/505854-0 economizou R$5,6 na fatura referente à mar/2025  consumindo 23 kWh em créditos de energia renovável conforme fatura de energia. A economia foi de 25% em relação ao que seria pago para a Energisa considerando os créditos consumidos. Atenção: Mantenha as contas da Energisa em dia para evitar cortes.</v>
      </c>
      <c r="CD315" s="40"/>
      <c r="CF315" s="115">
        <f t="shared" si="191"/>
        <v>-113.69999999999999</v>
      </c>
    </row>
    <row r="316" spans="1:84" ht="16.2" hidden="1" customHeight="1" x14ac:dyDescent="0.3">
      <c r="A316" s="105" t="str">
        <f>INDEX('Infos Clientes'!$D:$D,MATCH('Detalhe Por UC'!C316,'Infos Clientes'!B:B,0))</f>
        <v>IGREJA DO EVANGELHO QUADRANGULAR</v>
      </c>
      <c r="B316" s="106" t="str">
        <f>INDEX('Infos Clientes'!$F:$F,MATCH('Detalhe Por UC'!C316,'Infos Clientes'!B:B,0))</f>
        <v>62.955.505/3311-98</v>
      </c>
      <c r="C316" s="31" t="s">
        <v>147</v>
      </c>
      <c r="D316" t="s">
        <v>351</v>
      </c>
      <c r="E316" s="1" t="s">
        <v>352</v>
      </c>
      <c r="F316" s="56" t="str">
        <f>INDEX('Infos Clientes'!$I:$I,MATCH('Detalhe Por UC'!C316,'Infos Clientes'!B:B,0))</f>
        <v>BT</v>
      </c>
      <c r="G316" s="56" t="str">
        <f>INDEX('Infos Clientes'!$J:$J,MATCH('Detalhe Por UC'!C316,'Infos Clientes'!B:B,0))</f>
        <v>trifasico</v>
      </c>
      <c r="H316" s="108" t="s">
        <v>138</v>
      </c>
      <c r="I316" s="58">
        <f>IFERROR(VLOOKUP(C316,'Infos Clientes'!B:E,4,),"")</f>
        <v>360</v>
      </c>
      <c r="J316" s="109">
        <v>0.25</v>
      </c>
      <c r="K316" s="59">
        <f>INDEX('Infos Clientes'!$M:$M,MATCH('Detalhe Por UC'!C316,'Infos Clientes'!B:B,0))</f>
        <v>0.25</v>
      </c>
      <c r="L316" s="125"/>
      <c r="M316" s="56">
        <f>INDEX('Infos Clientes'!$N:$N,MATCH('Detalhe Por UC'!C316,'Infos Clientes'!B:B,0))</f>
        <v>0</v>
      </c>
      <c r="N316" s="56">
        <f t="shared" si="155"/>
        <v>0</v>
      </c>
      <c r="O316" s="56">
        <f t="shared" si="156"/>
        <v>9</v>
      </c>
      <c r="P316" s="56">
        <f t="shared" si="157"/>
        <v>0</v>
      </c>
      <c r="Q316" s="61">
        <f>IFERROR(IFERROR(INDEX('Infos Clientes'!$A$2:$V$9884,MATCH($C316,'Infos Clientes'!$B$2:$B$9884,0),MATCH(Q$8,'Infos Clientes'!$A$2:$V$2,0)),"")
+IF(OR(INDEX('Infos Clientes'!$A$2:$V$9884,MATCH($C316,'Infos Clientes'!$B$2:$B$9884,0),MATCH("Tempo de Fidelidade (meses)",'Infos Clientes'!$A$2:$V$2,0))=0,R316&gt;=MAX(R:R)),0,
ROUND((MAX(R:R)-R316)/(365/12),0)),"")</f>
        <v>0</v>
      </c>
      <c r="R316" s="111">
        <v>45717</v>
      </c>
      <c r="S316" s="63">
        <v>0.04</v>
      </c>
      <c r="T316" s="113" t="str">
        <f>IF($H316="GIROSSOL II",AP316/INDEX('Resumo Operacional'!$A$1:$P$1103,17,MATCH('Detalhe Por UC'!$R316,'Resumo Operacional'!$A$1:$P$1,0)),
IF($H316="GIROSSOL II e III",AP316/INDEX('Resumo Operacional'!$A$1:$P$1103,17,MATCH('Detalhe Por UC'!$R316,'Resumo Operacional'!$A$1:$P$1,0)),
""))</f>
        <v/>
      </c>
      <c r="U316" s="113">
        <f>IF($H316="GIROSSOL III",AP316/INDEX('Resumo Operacional'!$A$1:$P$1103,53,MATCH('Detalhe Por UC'!$R316,'Resumo Operacional'!$A$1:$P$1,0)),
IF($H316="GIROSSOL II e III",AP316/INDEX('Resumo Operacional'!$A$1:$P$1103,53,MATCH('Detalhe Por UC'!$R316,'Resumo Operacional'!$A$1:$P$1,0)),
""))</f>
        <v>0</v>
      </c>
      <c r="V316" s="18"/>
      <c r="W316" s="18"/>
      <c r="X316" s="18">
        <v>1.1162569832402234</v>
      </c>
      <c r="Y316" s="18"/>
      <c r="Z316" s="66">
        <v>0</v>
      </c>
      <c r="AA316" s="18"/>
      <c r="AB316" s="68">
        <v>537</v>
      </c>
      <c r="AC316" s="18"/>
      <c r="AD316" s="69">
        <v>0</v>
      </c>
      <c r="AE316" s="35"/>
      <c r="AF316" s="69">
        <v>0</v>
      </c>
      <c r="AG316" s="69">
        <v>0</v>
      </c>
      <c r="AH316" s="16">
        <v>113.97</v>
      </c>
      <c r="AI316" s="16">
        <v>0</v>
      </c>
      <c r="AJ316" s="16">
        <v>0</v>
      </c>
      <c r="AN316" s="71">
        <f t="shared" si="158"/>
        <v>0</v>
      </c>
      <c r="AO316" s="71">
        <f t="shared" si="159"/>
        <v>0</v>
      </c>
      <c r="AP316" s="71">
        <f t="shared" si="160"/>
        <v>0</v>
      </c>
      <c r="AQ316" s="72">
        <f>IF(OR($H316="GIROSSOL II",$H316="GIROSSOL II e III"),INDEX('Resumo Operacional'!$A$1:$P$1103,MATCH("Energia Injetada prevista total Fatura da Usina (TUSD)",'Resumo Operacional'!$B$1:$B$1103,0),MATCH('Detalhe Por UC'!$R316,'Resumo Operacional'!$A$1:$P$1,0))*$S316,INDEX('Resumo Operacional'!$A$1:$P$1103,53,MATCH('Detalhe Por UC'!$R316,'Resumo Operacional'!$A$1:$P$1,0))*$S316)</f>
        <v>481.72</v>
      </c>
      <c r="AR316" s="71">
        <f t="shared" si="161"/>
        <v>-481.72</v>
      </c>
      <c r="AS316" s="73">
        <f t="shared" si="162"/>
        <v>713.4</v>
      </c>
      <c r="AT316" s="74">
        <f t="shared" si="163"/>
        <v>713.4</v>
      </c>
      <c r="AU316" s="74" t="str">
        <f t="shared" si="164"/>
        <v/>
      </c>
      <c r="AV316" s="74">
        <f t="shared" si="165"/>
        <v>0</v>
      </c>
      <c r="AW316" s="74">
        <f t="shared" si="166"/>
        <v>0</v>
      </c>
      <c r="AX316" s="74">
        <f t="shared" si="167"/>
        <v>0</v>
      </c>
      <c r="AY316" s="74" t="str">
        <f t="shared" si="168"/>
        <v/>
      </c>
      <c r="AZ316" s="49" t="s">
        <v>354</v>
      </c>
      <c r="BA316" s="49">
        <v>0</v>
      </c>
      <c r="BC316" s="73" t="str">
        <f t="shared" si="169"/>
        <v/>
      </c>
      <c r="BD316" s="73">
        <f t="shared" si="170"/>
        <v>713.4</v>
      </c>
      <c r="BE316" s="73">
        <f t="shared" si="171"/>
        <v>713.4</v>
      </c>
      <c r="BF316" s="77">
        <f t="shared" si="172"/>
        <v>0</v>
      </c>
      <c r="BG316" s="77">
        <f t="shared" si="173"/>
        <v>0</v>
      </c>
      <c r="BH316" s="77">
        <f t="shared" si="174"/>
        <v>0</v>
      </c>
      <c r="BI316" s="78" t="str">
        <f t="shared" si="175"/>
        <v/>
      </c>
      <c r="BJ316" s="79">
        <f t="shared" si="176"/>
        <v>0</v>
      </c>
      <c r="BK316" s="80" t="str">
        <f t="shared" si="177"/>
        <v/>
      </c>
      <c r="BL316" s="80" t="str">
        <f t="shared" si="178"/>
        <v/>
      </c>
      <c r="BM316" s="79" t="str">
        <f t="shared" si="179"/>
        <v/>
      </c>
      <c r="BN316" s="81" t="str">
        <f t="shared" si="180"/>
        <v/>
      </c>
      <c r="BO316" s="82" t="str">
        <f t="shared" si="181"/>
        <v/>
      </c>
      <c r="BP316" s="81" t="str">
        <f t="shared" si="182"/>
        <v/>
      </c>
      <c r="BQ316" s="81" t="str">
        <f t="shared" si="183"/>
        <v/>
      </c>
      <c r="BR316" s="81" t="str">
        <f t="shared" si="184"/>
        <v/>
      </c>
      <c r="BS316" s="82">
        <f t="shared" si="185"/>
        <v>0</v>
      </c>
      <c r="BT316" s="82" t="str">
        <f t="shared" si="186"/>
        <v/>
      </c>
      <c r="BU316" s="82">
        <f t="shared" si="187"/>
        <v>0</v>
      </c>
      <c r="BW316" s="82">
        <f>IFERROR(INDEX('Infos Clientes'!$T:$T,MATCH('Detalhe Por UC'!$C316,'Infos Clientes'!B:B,0)),"")</f>
        <v>471.63636363636363</v>
      </c>
      <c r="BX316" s="83">
        <f t="shared" si="188"/>
        <v>0</v>
      </c>
      <c r="BY316" s="84" t="str">
        <f t="shared" si="189"/>
        <v/>
      </c>
      <c r="BZ316" s="85">
        <f>IF(_xlfn.MINIFS('Detalhe Por UC'!R:R,'Detalhe Por UC'!C:C,C316,'Detalhe Por UC'!AD:AD,"&gt;"&amp;0)=0,"",_xlfn.MINIFS('Detalhe Por UC'!R:R,'Detalhe Por UC'!C:C,C316,'Detalhe Por UC'!AD:AD,"&gt;"&amp;0))</f>
        <v>45658</v>
      </c>
      <c r="CA316" s="114">
        <f ca="1">IF(OR(S316&gt;0,AD316&gt;0),IFERROR(
SUMIFS(INDIRECT("'Infos Clientes'!$W"&amp;INDEX('Infos Clientes'!$C:$C,MATCH(C316,'Infos Clientes'!$H:$H,0))&amp;":$CZ"&amp;INDEX('Infos Clientes'!$C:$C,MATCH(C316,'Infos Clientes'!$H:$H,0))),'Infos Clientes'!$W$2:$CZ$2,"&gt;"&amp;$R316-365,'Infos Clientes'!$W$2:$CZ$2,"&lt;="&amp;$R316)/
COUNTIFS(INDIRECT("'Infos Clientes'!$W"&amp;INDEX('Infos Clientes'!$C:$C,MATCH(C316,'Infos Clientes'!$H:$H,0))&amp;":$CZ"&amp;INDEX('Infos Clientes'!$C:$C,MATCH(C316,'Infos Clientes'!$H:$H,0))),"&gt;="&amp;0,'Infos Clientes'!$W$2:$CZ$2,"&gt;"&amp;$R316-365,'Infos Clientes'!$W$2:$CZ$2,"&lt;="&amp;$R316),""),"")</f>
        <v>440.5</v>
      </c>
      <c r="CB316" s="87">
        <f>VLOOKUP(C316,'Infos Clientes'!B:L,11,0)</f>
        <v>0</v>
      </c>
      <c r="CC316" s="88" t="str">
        <f t="shared" si="190"/>
        <v>A Unidade Consumidora 10/127464-6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16" s="40" t="s">
        <v>149</v>
      </c>
      <c r="CF316" s="115">
        <f t="shared" si="191"/>
        <v>-713.4</v>
      </c>
    </row>
    <row r="317" spans="1:84" ht="16.2" hidden="1" customHeight="1" x14ac:dyDescent="0.3">
      <c r="A317" s="105" t="str">
        <f>INDEX('Infos Clientes'!$D:$D,MATCH('Detalhe Por UC'!C317,'Infos Clientes'!B:B,0))</f>
        <v>IGREJA DO EVANGELHO QUADRANGULAR</v>
      </c>
      <c r="B317" s="106" t="str">
        <f>INDEX('Infos Clientes'!$F:$F,MATCH('Detalhe Por UC'!C317,'Infos Clientes'!B:B,0))</f>
        <v>62.955.505/1570-66</v>
      </c>
      <c r="C317" s="31" t="s">
        <v>172</v>
      </c>
      <c r="D317" t="s">
        <v>351</v>
      </c>
      <c r="E317" s="1" t="s">
        <v>352</v>
      </c>
      <c r="F317" s="56" t="str">
        <f>INDEX('Infos Clientes'!$I:$I,MATCH('Detalhe Por UC'!C317,'Infos Clientes'!B:B,0))</f>
        <v>BT</v>
      </c>
      <c r="G317" s="56" t="str">
        <f>INDEX('Infos Clientes'!$J:$J,MATCH('Detalhe Por UC'!C317,'Infos Clientes'!B:B,0))</f>
        <v>trifasico</v>
      </c>
      <c r="H317" s="108" t="s">
        <v>138</v>
      </c>
      <c r="I317" s="58">
        <f>IFERROR(VLOOKUP(C317,'Infos Clientes'!B:E,4,),"")</f>
        <v>357</v>
      </c>
      <c r="J317" s="109">
        <v>0.25</v>
      </c>
      <c r="K317" s="59">
        <f>INDEX('Infos Clientes'!$M:$M,MATCH('Detalhe Por UC'!C317,'Infos Clientes'!B:B,0))</f>
        <v>0.25</v>
      </c>
      <c r="L317" s="125"/>
      <c r="M317" s="56">
        <f>INDEX('Infos Clientes'!$N:$N,MATCH('Detalhe Por UC'!C317,'Infos Clientes'!B:B,0))</f>
        <v>0</v>
      </c>
      <c r="N317" s="56">
        <f t="shared" si="155"/>
        <v>0</v>
      </c>
      <c r="O317" s="56">
        <f t="shared" si="156"/>
        <v>9</v>
      </c>
      <c r="P317" s="56">
        <f t="shared" si="157"/>
        <v>0</v>
      </c>
      <c r="Q317" s="61">
        <f>IFERROR(IFERROR(INDEX('Infos Clientes'!$A$2:$V$9884,MATCH($C317,'Infos Clientes'!$B$2:$B$9884,0),MATCH(Q$8,'Infos Clientes'!$A$2:$V$2,0)),"")
+IF(OR(INDEX('Infos Clientes'!$A$2:$V$9884,MATCH($C317,'Infos Clientes'!$B$2:$B$9884,0),MATCH("Tempo de Fidelidade (meses)",'Infos Clientes'!$A$2:$V$2,0))=0,R317&gt;=MAX(R:R)),0,
ROUND((MAX(R:R)-R317)/(365/12),0)),"")</f>
        <v>0</v>
      </c>
      <c r="R317" s="111">
        <v>45717</v>
      </c>
      <c r="S317" s="63">
        <v>0.02</v>
      </c>
      <c r="T317" s="113" t="str">
        <f>IF($H317="GIROSSOL II",AP317/INDEX('Resumo Operacional'!$A$1:$P$1103,17,MATCH('Detalhe Por UC'!$R317,'Resumo Operacional'!$A$1:$P$1,0)),
IF($H317="GIROSSOL II e III",AP317/INDEX('Resumo Operacional'!$A$1:$P$1103,17,MATCH('Detalhe Por UC'!$R317,'Resumo Operacional'!$A$1:$P$1,0)),
""))</f>
        <v/>
      </c>
      <c r="U317" s="113">
        <f>IF($H317="GIROSSOL III",AP317/INDEX('Resumo Operacional'!$A$1:$P$1103,53,MATCH('Detalhe Por UC'!$R317,'Resumo Operacional'!$A$1:$P$1,0)),
IF($H317="GIROSSOL II e III",AP317/INDEX('Resumo Operacional'!$A$1:$P$1103,53,MATCH('Detalhe Por UC'!$R317,'Resumo Operacional'!$A$1:$P$1,0)),
""))</f>
        <v>0</v>
      </c>
      <c r="V317" s="18"/>
      <c r="W317" s="18"/>
      <c r="X317" s="18">
        <v>1.1162385321100916</v>
      </c>
      <c r="Y317" s="18"/>
      <c r="Z317" s="66">
        <v>0</v>
      </c>
      <c r="AA317" s="18"/>
      <c r="AB317" s="68">
        <v>327</v>
      </c>
      <c r="AC317" s="18"/>
      <c r="AD317" s="69">
        <v>0</v>
      </c>
      <c r="AE317" s="35"/>
      <c r="AF317" s="69">
        <v>0</v>
      </c>
      <c r="AG317" s="69">
        <v>0</v>
      </c>
      <c r="AH317" s="16">
        <v>0</v>
      </c>
      <c r="AI317" s="16">
        <v>0</v>
      </c>
      <c r="AJ317" s="16">
        <v>0</v>
      </c>
      <c r="AN317" s="71">
        <f t="shared" si="158"/>
        <v>0</v>
      </c>
      <c r="AO317" s="71">
        <f t="shared" si="159"/>
        <v>0</v>
      </c>
      <c r="AP317" s="71">
        <f t="shared" si="160"/>
        <v>0</v>
      </c>
      <c r="AQ317" s="72">
        <f>IF(OR($H317="GIROSSOL II",$H317="GIROSSOL II e III"),INDEX('Resumo Operacional'!$A$1:$P$1103,MATCH("Energia Injetada prevista total Fatura da Usina (TUSD)",'Resumo Operacional'!$B$1:$B$1103,0),MATCH('Detalhe Por UC'!$R317,'Resumo Operacional'!$A$1:$P$1,0))*$S317,INDEX('Resumo Operacional'!$A$1:$P$1103,53,MATCH('Detalhe Por UC'!$R317,'Resumo Operacional'!$A$1:$P$1,0))*$S317)</f>
        <v>240.86</v>
      </c>
      <c r="AR317" s="71">
        <f t="shared" si="161"/>
        <v>-240.86</v>
      </c>
      <c r="AS317" s="73">
        <f t="shared" si="162"/>
        <v>365.00999999999993</v>
      </c>
      <c r="AT317" s="74">
        <f t="shared" si="163"/>
        <v>365.00999999999993</v>
      </c>
      <c r="AU317" s="74" t="str">
        <f t="shared" si="164"/>
        <v/>
      </c>
      <c r="AV317" s="74">
        <f t="shared" si="165"/>
        <v>0</v>
      </c>
      <c r="AW317" s="74">
        <f t="shared" si="166"/>
        <v>0</v>
      </c>
      <c r="AX317" s="74">
        <f t="shared" si="167"/>
        <v>0</v>
      </c>
      <c r="AY317" s="74" t="str">
        <f t="shared" si="168"/>
        <v/>
      </c>
      <c r="AZ317" s="49" t="s">
        <v>354</v>
      </c>
      <c r="BA317" s="49">
        <v>0</v>
      </c>
      <c r="BC317" s="73" t="str">
        <f t="shared" si="169"/>
        <v/>
      </c>
      <c r="BD317" s="73">
        <f t="shared" si="170"/>
        <v>365.00999999999993</v>
      </c>
      <c r="BE317" s="73">
        <f t="shared" si="171"/>
        <v>365.00999999999993</v>
      </c>
      <c r="BF317" s="77">
        <f t="shared" si="172"/>
        <v>0</v>
      </c>
      <c r="BG317" s="77">
        <f t="shared" si="173"/>
        <v>0</v>
      </c>
      <c r="BH317" s="77">
        <f t="shared" si="174"/>
        <v>0</v>
      </c>
      <c r="BI317" s="78" t="str">
        <f t="shared" si="175"/>
        <v/>
      </c>
      <c r="BJ317" s="79">
        <f t="shared" si="176"/>
        <v>0</v>
      </c>
      <c r="BK317" s="80" t="str">
        <f t="shared" si="177"/>
        <v/>
      </c>
      <c r="BL317" s="80" t="str">
        <f t="shared" si="178"/>
        <v/>
      </c>
      <c r="BM317" s="79" t="str">
        <f t="shared" si="179"/>
        <v/>
      </c>
      <c r="BN317" s="81" t="str">
        <f t="shared" si="180"/>
        <v/>
      </c>
      <c r="BO317" s="82" t="str">
        <f t="shared" si="181"/>
        <v/>
      </c>
      <c r="BP317" s="81" t="str">
        <f t="shared" si="182"/>
        <v/>
      </c>
      <c r="BQ317" s="81" t="str">
        <f t="shared" si="183"/>
        <v/>
      </c>
      <c r="BR317" s="81" t="str">
        <f t="shared" si="184"/>
        <v/>
      </c>
      <c r="BS317" s="82">
        <f t="shared" si="185"/>
        <v>0</v>
      </c>
      <c r="BT317" s="82" t="str">
        <f t="shared" si="186"/>
        <v/>
      </c>
      <c r="BU317" s="82">
        <f t="shared" si="187"/>
        <v>0</v>
      </c>
      <c r="BW317" s="82">
        <f>IFERROR(INDEX('Infos Clientes'!$T:$T,MATCH('Detalhe Por UC'!$C317,'Infos Clientes'!B:B,0)),"")</f>
        <v>324.72727272727275</v>
      </c>
      <c r="BX317" s="83">
        <f t="shared" si="188"/>
        <v>0</v>
      </c>
      <c r="BY317" s="84" t="str">
        <f t="shared" si="189"/>
        <v/>
      </c>
      <c r="BZ317" s="85">
        <f>IF(_xlfn.MINIFS('Detalhe Por UC'!R:R,'Detalhe Por UC'!C:C,C317,'Detalhe Por UC'!AD:AD,"&gt;"&amp;0)=0,"",_xlfn.MINIFS('Detalhe Por UC'!R:R,'Detalhe Por UC'!C:C,C317,'Detalhe Por UC'!AD:AD,"&gt;"&amp;0))</f>
        <v>45658</v>
      </c>
      <c r="CA317" s="114">
        <f ca="1">IF(OR(S317&gt;0,AD317&gt;0),IFERROR(
SUMIFS(INDIRECT("'Infos Clientes'!$W"&amp;INDEX('Infos Clientes'!$C:$C,MATCH(C317,'Infos Clientes'!$H:$H,0))&amp;":$CZ"&amp;INDEX('Infos Clientes'!$C:$C,MATCH(C317,'Infos Clientes'!$H:$H,0))),'Infos Clientes'!$W$2:$CZ$2,"&gt;"&amp;$R317-365,'Infos Clientes'!$W$2:$CZ$2,"&lt;="&amp;$R317)/
COUNTIFS(INDIRECT("'Infos Clientes'!$W"&amp;INDEX('Infos Clientes'!$C:$C,MATCH(C317,'Infos Clientes'!$H:$H,0))&amp;":$CZ"&amp;INDEX('Infos Clientes'!$C:$C,MATCH(C317,'Infos Clientes'!$H:$H,0))),"&gt;="&amp;0,'Infos Clientes'!$W$2:$CZ$2,"&gt;"&amp;$R317-365,'Infos Clientes'!$W$2:$CZ$2,"&lt;="&amp;$R317),""),"")</f>
        <v>281.75</v>
      </c>
      <c r="CB317" s="87">
        <f>VLOOKUP(C317,'Infos Clientes'!B:L,11,0)</f>
        <v>0</v>
      </c>
      <c r="CC317" s="88" t="str">
        <f t="shared" si="190"/>
        <v>A Unidade Consumidora 10/24514-2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17" s="40" t="s">
        <v>174</v>
      </c>
      <c r="CF317" s="115">
        <f t="shared" si="191"/>
        <v>-365.00999999999993</v>
      </c>
    </row>
    <row r="318" spans="1:84" ht="16.2" hidden="1" customHeight="1" x14ac:dyDescent="0.3">
      <c r="A318" s="105" t="str">
        <f>INDEX('Infos Clientes'!$D:$D,MATCH('Detalhe Por UC'!C318,'Infos Clientes'!B:B,0))</f>
        <v>IGREJA DO EVANGELHO QUADRANGULAR</v>
      </c>
      <c r="B318" s="106" t="str">
        <f>INDEX('Infos Clientes'!$F:$F,MATCH('Detalhe Por UC'!C318,'Infos Clientes'!B:B,0))</f>
        <v>62.955.505/2876-01</v>
      </c>
      <c r="C318" s="31" t="s">
        <v>180</v>
      </c>
      <c r="D318" t="s">
        <v>351</v>
      </c>
      <c r="E318" s="1" t="s">
        <v>352</v>
      </c>
      <c r="F318" s="56" t="str">
        <f>INDEX('Infos Clientes'!$I:$I,MATCH('Detalhe Por UC'!C318,'Infos Clientes'!B:B,0))</f>
        <v>BT</v>
      </c>
      <c r="G318" s="56" t="str">
        <f>INDEX('Infos Clientes'!$J:$J,MATCH('Detalhe Por UC'!C318,'Infos Clientes'!B:B,0))</f>
        <v>trifasico</v>
      </c>
      <c r="H318" s="108" t="s">
        <v>138</v>
      </c>
      <c r="I318" s="58">
        <f>IFERROR(VLOOKUP(C318,'Infos Clientes'!B:E,4,),"")</f>
        <v>994</v>
      </c>
      <c r="J318" s="109">
        <v>0.25</v>
      </c>
      <c r="K318" s="59">
        <f>INDEX('Infos Clientes'!$M:$M,MATCH('Detalhe Por UC'!C318,'Infos Clientes'!B:B,0))</f>
        <v>0.25</v>
      </c>
      <c r="L318" s="125"/>
      <c r="M318" s="56">
        <f>INDEX('Infos Clientes'!$N:$N,MATCH('Detalhe Por UC'!C318,'Infos Clientes'!B:B,0))</f>
        <v>0</v>
      </c>
      <c r="N318" s="56">
        <f t="shared" si="155"/>
        <v>0</v>
      </c>
      <c r="O318" s="56">
        <f t="shared" si="156"/>
        <v>11</v>
      </c>
      <c r="P318" s="56">
        <f t="shared" si="157"/>
        <v>0</v>
      </c>
      <c r="Q318" s="61">
        <f>IFERROR(IFERROR(INDEX('Infos Clientes'!$A$2:$V$9884,MATCH($C318,'Infos Clientes'!$B$2:$B$9884,0),MATCH(Q$8,'Infos Clientes'!$A$2:$V$2,0)),"")
+IF(OR(INDEX('Infos Clientes'!$A$2:$V$9884,MATCH($C318,'Infos Clientes'!$B$2:$B$9884,0),MATCH("Tempo de Fidelidade (meses)",'Infos Clientes'!$A$2:$V$2,0))=0,R318&gt;=MAX(R:R)),0,
ROUND((MAX(R:R)-R318)/(365/12),0)),"")</f>
        <v>0</v>
      </c>
      <c r="R318" s="111">
        <v>45717</v>
      </c>
      <c r="S318" s="63">
        <v>0.01</v>
      </c>
      <c r="T318" s="113" t="str">
        <f>IF($H318="GIROSSOL II",AP318/INDEX('Resumo Operacional'!$A$1:$P$1103,17,MATCH('Detalhe Por UC'!$R318,'Resumo Operacional'!$A$1:$P$1,0)),
IF($H318="GIROSSOL II e III",AP318/INDEX('Resumo Operacional'!$A$1:$P$1103,17,MATCH('Detalhe Por UC'!$R318,'Resumo Operacional'!$A$1:$P$1,0)),
""))</f>
        <v/>
      </c>
      <c r="U318" s="113">
        <f>IF($H318="GIROSSOL III",AP318/INDEX('Resumo Operacional'!$A$1:$P$1103,53,MATCH('Detalhe Por UC'!$R318,'Resumo Operacional'!$A$1:$P$1,0)),
IF($H318="GIROSSOL II e III",AP318/INDEX('Resumo Operacional'!$A$1:$P$1103,53,MATCH('Detalhe Por UC'!$R318,'Resumo Operacional'!$A$1:$P$1,0)),
""))</f>
        <v>4.4008967865149882E-3</v>
      </c>
      <c r="V318" s="18"/>
      <c r="W318" s="18"/>
      <c r="X318" s="18">
        <v>1.1162295081967213</v>
      </c>
      <c r="Y318" s="18"/>
      <c r="Z318" s="66">
        <v>0.97415094339622632</v>
      </c>
      <c r="AA318" s="18"/>
      <c r="AB318" s="68">
        <v>183</v>
      </c>
      <c r="AC318" s="18"/>
      <c r="AD318" s="69">
        <v>53</v>
      </c>
      <c r="AE318" s="35"/>
      <c r="AF318" s="69">
        <v>0</v>
      </c>
      <c r="AG318" s="69">
        <v>0</v>
      </c>
      <c r="AH318" s="16">
        <v>33.64</v>
      </c>
      <c r="AI318" s="16">
        <v>0</v>
      </c>
      <c r="AJ318" s="16">
        <v>0</v>
      </c>
      <c r="AN318" s="71">
        <f t="shared" si="158"/>
        <v>0</v>
      </c>
      <c r="AO318" s="71">
        <f t="shared" si="159"/>
        <v>0</v>
      </c>
      <c r="AP318" s="71">
        <f t="shared" si="160"/>
        <v>53</v>
      </c>
      <c r="AQ318" s="72">
        <f>IF(OR($H318="GIROSSOL II",$H318="GIROSSOL II e III"),INDEX('Resumo Operacional'!$A$1:$P$1103,MATCH("Energia Injetada prevista total Fatura da Usina (TUSD)",'Resumo Operacional'!$B$1:$B$1103,0),MATCH('Detalhe Por UC'!$R318,'Resumo Operacional'!$A$1:$P$1,0))*$S318,INDEX('Resumo Operacional'!$A$1:$P$1103,53,MATCH('Detalhe Por UC'!$R318,'Resumo Operacional'!$A$1:$P$1,0))*$S318)</f>
        <v>120.43</v>
      </c>
      <c r="AR318" s="71">
        <f t="shared" si="161"/>
        <v>-67.430000000000007</v>
      </c>
      <c r="AS318" s="73">
        <f t="shared" si="162"/>
        <v>186.27999999999997</v>
      </c>
      <c r="AT318" s="74">
        <f t="shared" si="163"/>
        <v>186.27999999999997</v>
      </c>
      <c r="AU318" s="74">
        <f t="shared" si="164"/>
        <v>0.83207237859573135</v>
      </c>
      <c r="AV318" s="74">
        <f t="shared" si="165"/>
        <v>38.722499999999997</v>
      </c>
      <c r="AW318" s="74">
        <f t="shared" si="166"/>
        <v>70.13</v>
      </c>
      <c r="AX318" s="74">
        <f t="shared" si="167"/>
        <v>121.75999999999999</v>
      </c>
      <c r="AY318" s="74">
        <f t="shared" si="168"/>
        <v>38.72</v>
      </c>
      <c r="AZ318" s="49">
        <v>38.72</v>
      </c>
      <c r="BA318" s="49">
        <v>38.72</v>
      </c>
      <c r="BB318" s="49">
        <v>38.72</v>
      </c>
      <c r="BC318" s="73" t="str">
        <f t="shared" si="169"/>
        <v/>
      </c>
      <c r="BD318" s="73">
        <f t="shared" si="170"/>
        <v>237.90999999999997</v>
      </c>
      <c r="BE318" s="73">
        <f t="shared" si="171"/>
        <v>225.00249999999997</v>
      </c>
      <c r="BF318" s="77">
        <f t="shared" si="172"/>
        <v>12.91</v>
      </c>
      <c r="BG318" s="77">
        <f t="shared" si="173"/>
        <v>3.8729999999999998</v>
      </c>
      <c r="BH318" s="77">
        <f t="shared" si="174"/>
        <v>51.629999999999995</v>
      </c>
      <c r="BI318" s="78">
        <f t="shared" si="175"/>
        <v>0.25</v>
      </c>
      <c r="BJ318" s="79">
        <f t="shared" si="176"/>
        <v>5.4264217561262672E-2</v>
      </c>
      <c r="BK318" s="80">
        <f t="shared" si="177"/>
        <v>224.99999999999997</v>
      </c>
      <c r="BL318" s="80">
        <f t="shared" si="178"/>
        <v>12.909999999999997</v>
      </c>
      <c r="BM318" s="79">
        <f t="shared" si="179"/>
        <v>5.4264217561262658E-2</v>
      </c>
      <c r="BN318" s="81">
        <f t="shared" si="180"/>
        <v>0.73056603773584905</v>
      </c>
      <c r="BO318" s="82">
        <f t="shared" si="181"/>
        <v>38.72</v>
      </c>
      <c r="BP318" s="81">
        <f t="shared" si="182"/>
        <v>0.73056603773584905</v>
      </c>
      <c r="BQ318" s="81">
        <f t="shared" si="183"/>
        <v>0.87264460253634402</v>
      </c>
      <c r="BR318" s="81">
        <f t="shared" si="184"/>
        <v>1.1162295081967213</v>
      </c>
      <c r="BS318" s="82">
        <f t="shared" si="185"/>
        <v>53</v>
      </c>
      <c r="BT318" s="82">
        <f t="shared" si="186"/>
        <v>59.16016393442623</v>
      </c>
      <c r="BU318" s="82">
        <f t="shared" si="187"/>
        <v>51.629999999999995</v>
      </c>
      <c r="BW318" s="82">
        <f>IFERROR(INDEX('Infos Clientes'!$T:$T,MATCH('Detalhe Por UC'!$C318,'Infos Clientes'!B:B,0)),"")</f>
        <v>143.63636363636363</v>
      </c>
      <c r="BX318" s="83">
        <f t="shared" si="188"/>
        <v>0</v>
      </c>
      <c r="BY318" s="84">
        <f t="shared" si="189"/>
        <v>0.21822116676873277</v>
      </c>
      <c r="BZ318" s="85">
        <f>IF(_xlfn.MINIFS('Detalhe Por UC'!R:R,'Detalhe Por UC'!C:C,C318,'Detalhe Por UC'!AD:AD,"&gt;"&amp;0)=0,"",_xlfn.MINIFS('Detalhe Por UC'!R:R,'Detalhe Por UC'!C:C,C318,'Detalhe Por UC'!AD:AD,"&gt;"&amp;0))</f>
        <v>45658</v>
      </c>
      <c r="CA318" s="114">
        <f ca="1">IF(OR(S318&gt;0,AD318&gt;0),IFERROR(
SUMIFS(INDIRECT("'Infos Clientes'!$W"&amp;INDEX('Infos Clientes'!$C:$C,MATCH(C318,'Infos Clientes'!$H:$H,0))&amp;":$CZ"&amp;INDEX('Infos Clientes'!$C:$C,MATCH(C318,'Infos Clientes'!$H:$H,0))),'Infos Clientes'!$W$2:$CZ$2,"&gt;"&amp;$R318-365,'Infos Clientes'!$W$2:$CZ$2,"&lt;="&amp;$R318)/
COUNTIFS(INDIRECT("'Infos Clientes'!$W"&amp;INDEX('Infos Clientes'!$C:$C,MATCH(C318,'Infos Clientes'!$H:$H,0))&amp;":$CZ"&amp;INDEX('Infos Clientes'!$C:$C,MATCH(C318,'Infos Clientes'!$H:$H,0))),"&gt;="&amp;0,'Infos Clientes'!$W$2:$CZ$2,"&gt;"&amp;$R318-365,'Infos Clientes'!$W$2:$CZ$2,"&lt;="&amp;$R318),""),"")</f>
        <v>135.91666666666666</v>
      </c>
      <c r="CB318" s="87">
        <f>VLOOKUP(C318,'Infos Clientes'!B:L,11,0)</f>
        <v>0</v>
      </c>
      <c r="CC318" s="88" t="str">
        <f t="shared" si="190"/>
        <v>A Unidade Consumidora 10/283183-2 economizou R$12,91 na fatura referente à mar/2025  consumindo 53 kWh em créditos de energia renovável conforme fatura de energia. A economia foi de 25% em relação ao que seria pago para a Energisa considerando os créditos consumidos. Atenção: Mantenha as contas da Energisa em dia para evitar cortes.</v>
      </c>
      <c r="CD318" s="40" t="s">
        <v>182</v>
      </c>
      <c r="CF318" s="115">
        <f t="shared" si="191"/>
        <v>-186.27999999999997</v>
      </c>
    </row>
    <row r="319" spans="1:84" ht="16.2" hidden="1" customHeight="1" x14ac:dyDescent="0.3">
      <c r="A319" s="105" t="str">
        <f>INDEX('Infos Clientes'!$D:$D,MATCH('Detalhe Por UC'!C319,'Infos Clientes'!B:B,0))</f>
        <v>IGREJA DO EVANGELHO QUADRANGULAR</v>
      </c>
      <c r="B319" s="106" t="str">
        <f>INDEX('Infos Clientes'!$F:$F,MATCH('Detalhe Por UC'!C319,'Infos Clientes'!B:B,0))</f>
        <v>62.955.505/1975-21</v>
      </c>
      <c r="C319" s="31" t="s">
        <v>154</v>
      </c>
      <c r="D319" t="s">
        <v>351</v>
      </c>
      <c r="E319" s="1" t="s">
        <v>352</v>
      </c>
      <c r="F319" s="56" t="str">
        <f>INDEX('Infos Clientes'!$I:$I,MATCH('Detalhe Por UC'!C319,'Infos Clientes'!B:B,0))</f>
        <v>BT</v>
      </c>
      <c r="G319" s="56" t="str">
        <f>INDEX('Infos Clientes'!$J:$J,MATCH('Detalhe Por UC'!C319,'Infos Clientes'!B:B,0))</f>
        <v>bifasico</v>
      </c>
      <c r="H319" s="108" t="s">
        <v>138</v>
      </c>
      <c r="I319" s="58">
        <f>IFERROR(VLOOKUP(C319,'Infos Clientes'!B:E,4,),"")</f>
        <v>357</v>
      </c>
      <c r="J319" s="109">
        <v>0.25</v>
      </c>
      <c r="K319" s="59">
        <f>INDEX('Infos Clientes'!$M:$M,MATCH('Detalhe Por UC'!C319,'Infos Clientes'!B:B,0))</f>
        <v>0.25</v>
      </c>
      <c r="L319" s="125"/>
      <c r="M319" s="56">
        <f>INDEX('Infos Clientes'!$N:$N,MATCH('Detalhe Por UC'!C319,'Infos Clientes'!B:B,0))</f>
        <v>0</v>
      </c>
      <c r="N319" s="56">
        <f t="shared" si="155"/>
        <v>0</v>
      </c>
      <c r="O319" s="56">
        <f t="shared" si="156"/>
        <v>9</v>
      </c>
      <c r="P319" s="56">
        <f t="shared" si="157"/>
        <v>0</v>
      </c>
      <c r="Q319" s="61">
        <f>IFERROR(IFERROR(INDEX('Infos Clientes'!$A$2:$V$9884,MATCH($C319,'Infos Clientes'!$B$2:$B$9884,0),MATCH(Q$8,'Infos Clientes'!$A$2:$V$2,0)),"")
+IF(OR(INDEX('Infos Clientes'!$A$2:$V$9884,MATCH($C319,'Infos Clientes'!$B$2:$B$9884,0),MATCH("Tempo de Fidelidade (meses)",'Infos Clientes'!$A$2:$V$2,0))=0,R319&gt;=MAX(R:R)),0,
ROUND((MAX(R:R)-R319)/(365/12),0)),"")</f>
        <v>0</v>
      </c>
      <c r="R319" s="111">
        <v>45717</v>
      </c>
      <c r="S319" s="63">
        <v>0.02</v>
      </c>
      <c r="T319" s="113" t="str">
        <f>IF($H319="GIROSSOL II",AP319/INDEX('Resumo Operacional'!$A$1:$P$1103,17,MATCH('Detalhe Por UC'!$R319,'Resumo Operacional'!$A$1:$P$1,0)),
IF($H319="GIROSSOL II e III",AP319/INDEX('Resumo Operacional'!$A$1:$P$1103,17,MATCH('Detalhe Por UC'!$R319,'Resumo Operacional'!$A$1:$P$1,0)),
""))</f>
        <v/>
      </c>
      <c r="U319" s="113">
        <f>IF($H319="GIROSSOL III",AP319/INDEX('Resumo Operacional'!$A$1:$P$1103,53,MATCH('Detalhe Por UC'!$R319,'Resumo Operacional'!$A$1:$P$1,0)),
IF($H319="GIROSSOL II e III",AP319/INDEX('Resumo Operacional'!$A$1:$P$1103,53,MATCH('Detalhe Por UC'!$R319,'Resumo Operacional'!$A$1:$P$1,0)),
""))</f>
        <v>0</v>
      </c>
      <c r="V319" s="18"/>
      <c r="W319" s="18"/>
      <c r="X319" s="18">
        <v>1.1162439024390245</v>
      </c>
      <c r="Y319" s="18"/>
      <c r="Z319" s="66">
        <v>0</v>
      </c>
      <c r="AA319" s="18"/>
      <c r="AB319" s="68">
        <v>410</v>
      </c>
      <c r="AC319" s="18"/>
      <c r="AD319" s="69">
        <v>0</v>
      </c>
      <c r="AE319" s="35"/>
      <c r="AF319" s="69">
        <v>0</v>
      </c>
      <c r="AG319" s="69">
        <v>0</v>
      </c>
      <c r="AH319" s="16">
        <v>0</v>
      </c>
      <c r="AI319" s="16">
        <v>0</v>
      </c>
      <c r="AJ319" s="16">
        <v>0</v>
      </c>
      <c r="AN319" s="71">
        <f t="shared" si="158"/>
        <v>0</v>
      </c>
      <c r="AO319" s="71">
        <f t="shared" si="159"/>
        <v>0</v>
      </c>
      <c r="AP319" s="71">
        <f t="shared" si="160"/>
        <v>0</v>
      </c>
      <c r="AQ319" s="72">
        <f>IF(OR($H319="GIROSSOL II",$H319="GIROSSOL II e III"),INDEX('Resumo Operacional'!$A$1:$P$1103,MATCH("Energia Injetada prevista total Fatura da Usina (TUSD)",'Resumo Operacional'!$B$1:$B$1103,0),MATCH('Detalhe Por UC'!$R319,'Resumo Operacional'!$A$1:$P$1,0))*$S319,INDEX('Resumo Operacional'!$A$1:$P$1103,53,MATCH('Detalhe Por UC'!$R319,'Resumo Operacional'!$A$1:$P$1,0))*$S319)</f>
        <v>240.86</v>
      </c>
      <c r="AR319" s="71">
        <f t="shared" si="161"/>
        <v>-240.86</v>
      </c>
      <c r="AS319" s="73">
        <f t="shared" si="162"/>
        <v>457.66</v>
      </c>
      <c r="AT319" s="74">
        <f t="shared" si="163"/>
        <v>457.66</v>
      </c>
      <c r="AU319" s="74" t="str">
        <f t="shared" si="164"/>
        <v/>
      </c>
      <c r="AV319" s="74">
        <f t="shared" si="165"/>
        <v>0</v>
      </c>
      <c r="AW319" s="74">
        <f t="shared" si="166"/>
        <v>0</v>
      </c>
      <c r="AX319" s="74">
        <f t="shared" si="167"/>
        <v>0</v>
      </c>
      <c r="AY319" s="74" t="str">
        <f t="shared" si="168"/>
        <v/>
      </c>
      <c r="AZ319" s="49" t="s">
        <v>354</v>
      </c>
      <c r="BA319" s="49">
        <v>0</v>
      </c>
      <c r="BC319" s="73" t="str">
        <f t="shared" si="169"/>
        <v/>
      </c>
      <c r="BD319" s="73">
        <f t="shared" si="170"/>
        <v>457.66</v>
      </c>
      <c r="BE319" s="73">
        <f t="shared" si="171"/>
        <v>457.66</v>
      </c>
      <c r="BF319" s="77">
        <f t="shared" si="172"/>
        <v>0</v>
      </c>
      <c r="BG319" s="77">
        <f t="shared" si="173"/>
        <v>0</v>
      </c>
      <c r="BH319" s="77">
        <f t="shared" si="174"/>
        <v>0</v>
      </c>
      <c r="BI319" s="78" t="str">
        <f t="shared" si="175"/>
        <v/>
      </c>
      <c r="BJ319" s="79">
        <f t="shared" si="176"/>
        <v>0</v>
      </c>
      <c r="BK319" s="80" t="str">
        <f t="shared" si="177"/>
        <v/>
      </c>
      <c r="BL319" s="80" t="str">
        <f t="shared" si="178"/>
        <v/>
      </c>
      <c r="BM319" s="79" t="str">
        <f t="shared" si="179"/>
        <v/>
      </c>
      <c r="BN319" s="81" t="str">
        <f t="shared" si="180"/>
        <v/>
      </c>
      <c r="BO319" s="82" t="str">
        <f t="shared" si="181"/>
        <v/>
      </c>
      <c r="BP319" s="81" t="str">
        <f t="shared" si="182"/>
        <v/>
      </c>
      <c r="BQ319" s="81" t="str">
        <f t="shared" si="183"/>
        <v/>
      </c>
      <c r="BR319" s="81" t="str">
        <f t="shared" si="184"/>
        <v/>
      </c>
      <c r="BS319" s="82">
        <f t="shared" si="185"/>
        <v>0</v>
      </c>
      <c r="BT319" s="82" t="str">
        <f t="shared" si="186"/>
        <v/>
      </c>
      <c r="BU319" s="82">
        <f t="shared" si="187"/>
        <v>0</v>
      </c>
      <c r="BW319" s="82">
        <f>IFERROR(INDEX('Infos Clientes'!$T:$T,MATCH('Detalhe Por UC'!$C319,'Infos Clientes'!B:B,0)),"")</f>
        <v>278.36363636363637</v>
      </c>
      <c r="BX319" s="83">
        <f t="shared" si="188"/>
        <v>0</v>
      </c>
      <c r="BY319" s="84" t="str">
        <f t="shared" si="189"/>
        <v/>
      </c>
      <c r="BZ319" s="85">
        <f>IF(_xlfn.MINIFS('Detalhe Por UC'!R:R,'Detalhe Por UC'!C:C,C319,'Detalhe Por UC'!AD:AD,"&gt;"&amp;0)=0,"",_xlfn.MINIFS('Detalhe Por UC'!R:R,'Detalhe Por UC'!C:C,C319,'Detalhe Por UC'!AD:AD,"&gt;"&amp;0))</f>
        <v>45658</v>
      </c>
      <c r="CA319" s="114">
        <f ca="1">IF(OR(S319&gt;0,AD319&gt;0),IFERROR(
SUMIFS(INDIRECT("'Infos Clientes'!$W"&amp;INDEX('Infos Clientes'!$C:$C,MATCH(C319,'Infos Clientes'!$H:$H,0))&amp;":$CZ"&amp;INDEX('Infos Clientes'!$C:$C,MATCH(C319,'Infos Clientes'!$H:$H,0))),'Infos Clientes'!$W$2:$CZ$2,"&gt;"&amp;$R319-365,'Infos Clientes'!$W$2:$CZ$2,"&lt;="&amp;$R319)/
COUNTIFS(INDIRECT("'Infos Clientes'!$W"&amp;INDEX('Infos Clientes'!$C:$C,MATCH(C319,'Infos Clientes'!$H:$H,0))&amp;":$CZ"&amp;INDEX('Infos Clientes'!$C:$C,MATCH(C319,'Infos Clientes'!$H:$H,0))),"&gt;="&amp;0,'Infos Clientes'!$W$2:$CZ$2,"&gt;"&amp;$R319-365,'Infos Clientes'!$W$2:$CZ$2,"&lt;="&amp;$R319),""),"")</f>
        <v>263.41666666666669</v>
      </c>
      <c r="CB319" s="87">
        <f>VLOOKUP(C319,'Infos Clientes'!B:L,11,0)</f>
        <v>0</v>
      </c>
      <c r="CC319" s="88" t="str">
        <f t="shared" si="190"/>
        <v>A Unidade Consumidora 10/13786-9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19" s="40" t="s">
        <v>156</v>
      </c>
      <c r="CF319" s="115">
        <f t="shared" si="191"/>
        <v>-457.66</v>
      </c>
    </row>
    <row r="320" spans="1:84" ht="16.2" hidden="1" customHeight="1" x14ac:dyDescent="0.3">
      <c r="A320" s="105" t="str">
        <f>INDEX('Infos Clientes'!$D:$D,MATCH('Detalhe Por UC'!C320,'Infos Clientes'!B:B,0))</f>
        <v>IGREJA DO EVANGELHO QUADRANGULAR</v>
      </c>
      <c r="B320" s="106" t="str">
        <f>INDEX('Infos Clientes'!$F:$F,MATCH('Detalhe Por UC'!C320,'Infos Clientes'!B:B,0))</f>
        <v>62.955.505/1355-00</v>
      </c>
      <c r="C320" s="31" t="s">
        <v>219</v>
      </c>
      <c r="D320" t="s">
        <v>351</v>
      </c>
      <c r="E320" s="1" t="s">
        <v>352</v>
      </c>
      <c r="F320" s="56" t="str">
        <f>INDEX('Infos Clientes'!$I:$I,MATCH('Detalhe Por UC'!C320,'Infos Clientes'!B:B,0))</f>
        <v>BT</v>
      </c>
      <c r="G320" s="56" t="str">
        <f>INDEX('Infos Clientes'!$J:$J,MATCH('Detalhe Por UC'!C320,'Infos Clientes'!B:B,0))</f>
        <v>trifasico</v>
      </c>
      <c r="H320" s="108" t="s">
        <v>138</v>
      </c>
      <c r="I320" s="58">
        <f>IFERROR(VLOOKUP(C320,'Infos Clientes'!B:E,4,),"")</f>
        <v>319</v>
      </c>
      <c r="J320" s="109">
        <v>0.25</v>
      </c>
      <c r="K320" s="59">
        <f>INDEX('Infos Clientes'!$M:$M,MATCH('Detalhe Por UC'!C320,'Infos Clientes'!B:B,0))</f>
        <v>0.25</v>
      </c>
      <c r="L320" s="125"/>
      <c r="M320" s="56">
        <f>INDEX('Infos Clientes'!$N:$N,MATCH('Detalhe Por UC'!C320,'Infos Clientes'!B:B,0))</f>
        <v>0</v>
      </c>
      <c r="N320" s="56">
        <f t="shared" si="155"/>
        <v>0</v>
      </c>
      <c r="O320" s="56">
        <f t="shared" si="156"/>
        <v>9</v>
      </c>
      <c r="P320" s="56">
        <f t="shared" si="157"/>
        <v>0</v>
      </c>
      <c r="Q320" s="61">
        <f>IFERROR(IFERROR(INDEX('Infos Clientes'!$A$2:$V$9884,MATCH($C320,'Infos Clientes'!$B$2:$B$9884,0),MATCH(Q$8,'Infos Clientes'!$A$2:$V$2,0)),"")
+IF(OR(INDEX('Infos Clientes'!$A$2:$V$9884,MATCH($C320,'Infos Clientes'!$B$2:$B$9884,0),MATCH("Tempo de Fidelidade (meses)",'Infos Clientes'!$A$2:$V$2,0))=0,R320&gt;=MAX(R:R)),0,
ROUND((MAX(R:R)-R320)/(365/12),0)),"")</f>
        <v>0</v>
      </c>
      <c r="R320" s="111">
        <v>45717</v>
      </c>
      <c r="S320" s="63">
        <v>0.02</v>
      </c>
      <c r="T320" s="113" t="str">
        <f>IF($H320="GIROSSOL II",AP320/INDEX('Resumo Operacional'!$A$1:$P$1103,17,MATCH('Detalhe Por UC'!$R320,'Resumo Operacional'!$A$1:$P$1,0)),
IF($H320="GIROSSOL II e III",AP320/INDEX('Resumo Operacional'!$A$1:$P$1103,17,MATCH('Detalhe Por UC'!$R320,'Resumo Operacional'!$A$1:$P$1,0)),
""))</f>
        <v/>
      </c>
      <c r="U320" s="113">
        <f>IF($H320="GIROSSOL III",AP320/INDEX('Resumo Operacional'!$A$1:$P$1103,53,MATCH('Detalhe Por UC'!$R320,'Resumo Operacional'!$A$1:$P$1,0)),
IF($H320="GIROSSOL II e III",AP320/INDEX('Resumo Operacional'!$A$1:$P$1103,53,MATCH('Detalhe Por UC'!$R320,'Resumo Operacional'!$A$1:$P$1,0)),
""))</f>
        <v>0</v>
      </c>
      <c r="V320" s="18"/>
      <c r="W320" s="18"/>
      <c r="X320" s="18">
        <v>1.1162527233115469</v>
      </c>
      <c r="Y320" s="18"/>
      <c r="Z320" s="66">
        <v>0</v>
      </c>
      <c r="AA320" s="18"/>
      <c r="AB320" s="68">
        <v>459</v>
      </c>
      <c r="AC320" s="18"/>
      <c r="AD320" s="69">
        <v>0</v>
      </c>
      <c r="AE320" s="35"/>
      <c r="AF320" s="69">
        <v>0</v>
      </c>
      <c r="AG320" s="69">
        <v>0</v>
      </c>
      <c r="AH320" s="16">
        <v>70.97</v>
      </c>
      <c r="AI320" s="16">
        <v>0</v>
      </c>
      <c r="AJ320" s="16">
        <v>0</v>
      </c>
      <c r="AN320" s="71">
        <f t="shared" si="158"/>
        <v>0</v>
      </c>
      <c r="AO320" s="71">
        <f t="shared" si="159"/>
        <v>0</v>
      </c>
      <c r="AP320" s="71">
        <f t="shared" si="160"/>
        <v>0</v>
      </c>
      <c r="AQ320" s="72">
        <f>IF(OR($H320="GIROSSOL II",$H320="GIROSSOL II e III"),INDEX('Resumo Operacional'!$A$1:$P$1103,MATCH("Energia Injetada prevista total Fatura da Usina (TUSD)",'Resumo Operacional'!$B$1:$B$1103,0),MATCH('Detalhe Por UC'!$R320,'Resumo Operacional'!$A$1:$P$1,0))*$S320,INDEX('Resumo Operacional'!$A$1:$P$1103,53,MATCH('Detalhe Por UC'!$R320,'Resumo Operacional'!$A$1:$P$1,0))*$S320)</f>
        <v>240.86</v>
      </c>
      <c r="AR320" s="71">
        <f t="shared" si="161"/>
        <v>-240.86</v>
      </c>
      <c r="AS320" s="73">
        <f t="shared" si="162"/>
        <v>583.33000000000004</v>
      </c>
      <c r="AT320" s="74">
        <f t="shared" si="163"/>
        <v>583.33000000000004</v>
      </c>
      <c r="AU320" s="74" t="str">
        <f t="shared" si="164"/>
        <v/>
      </c>
      <c r="AV320" s="74">
        <f t="shared" si="165"/>
        <v>0</v>
      </c>
      <c r="AW320" s="74">
        <f t="shared" si="166"/>
        <v>0</v>
      </c>
      <c r="AX320" s="74">
        <f t="shared" si="167"/>
        <v>0</v>
      </c>
      <c r="AY320" s="74" t="str">
        <f t="shared" si="168"/>
        <v/>
      </c>
      <c r="AZ320" s="49" t="s">
        <v>354</v>
      </c>
      <c r="BA320" s="49">
        <v>0</v>
      </c>
      <c r="BC320" s="73" t="str">
        <f t="shared" si="169"/>
        <v/>
      </c>
      <c r="BD320" s="73">
        <f t="shared" si="170"/>
        <v>583.33000000000004</v>
      </c>
      <c r="BE320" s="73">
        <f t="shared" si="171"/>
        <v>583.33000000000004</v>
      </c>
      <c r="BF320" s="77">
        <f t="shared" si="172"/>
        <v>0</v>
      </c>
      <c r="BG320" s="77">
        <f t="shared" si="173"/>
        <v>0</v>
      </c>
      <c r="BH320" s="77">
        <f t="shared" si="174"/>
        <v>0</v>
      </c>
      <c r="BI320" s="78" t="str">
        <f t="shared" si="175"/>
        <v/>
      </c>
      <c r="BJ320" s="79">
        <f t="shared" si="176"/>
        <v>0</v>
      </c>
      <c r="BK320" s="80" t="str">
        <f t="shared" si="177"/>
        <v/>
      </c>
      <c r="BL320" s="80" t="str">
        <f t="shared" si="178"/>
        <v/>
      </c>
      <c r="BM320" s="79" t="str">
        <f t="shared" si="179"/>
        <v/>
      </c>
      <c r="BN320" s="81" t="str">
        <f t="shared" si="180"/>
        <v/>
      </c>
      <c r="BO320" s="82" t="str">
        <f t="shared" si="181"/>
        <v/>
      </c>
      <c r="BP320" s="81" t="str">
        <f t="shared" si="182"/>
        <v/>
      </c>
      <c r="BQ320" s="81" t="str">
        <f t="shared" si="183"/>
        <v/>
      </c>
      <c r="BR320" s="81" t="str">
        <f t="shared" si="184"/>
        <v/>
      </c>
      <c r="BS320" s="82">
        <f t="shared" si="185"/>
        <v>0</v>
      </c>
      <c r="BT320" s="82" t="str">
        <f t="shared" si="186"/>
        <v/>
      </c>
      <c r="BU320" s="82">
        <f t="shared" si="187"/>
        <v>0</v>
      </c>
      <c r="BW320" s="82">
        <f>IFERROR(INDEX('Infos Clientes'!$T:$T,MATCH('Detalhe Por UC'!$C320,'Infos Clientes'!B:B,0)),"")</f>
        <v>385.63636363636363</v>
      </c>
      <c r="BX320" s="83">
        <f t="shared" si="188"/>
        <v>0</v>
      </c>
      <c r="BY320" s="84" t="str">
        <f t="shared" si="189"/>
        <v/>
      </c>
      <c r="BZ320" s="85">
        <f>IF(_xlfn.MINIFS('Detalhe Por UC'!R:R,'Detalhe Por UC'!C:C,C320,'Detalhe Por UC'!AD:AD,"&gt;"&amp;0)=0,"",_xlfn.MINIFS('Detalhe Por UC'!R:R,'Detalhe Por UC'!C:C,C320,'Detalhe Por UC'!AD:AD,"&gt;"&amp;0))</f>
        <v>45658</v>
      </c>
      <c r="CA320" s="114">
        <f ca="1">IF(OR(S320&gt;0,AD320&gt;0),IFERROR(
SUMIFS(INDIRECT("'Infos Clientes'!$W"&amp;INDEX('Infos Clientes'!$C:$C,MATCH(C320,'Infos Clientes'!$H:$H,0))&amp;":$CZ"&amp;INDEX('Infos Clientes'!$C:$C,MATCH(C320,'Infos Clientes'!$H:$H,0))),'Infos Clientes'!$W$2:$CZ$2,"&gt;"&amp;$R320-365,'Infos Clientes'!$W$2:$CZ$2,"&lt;="&amp;$R320)/
COUNTIFS(INDIRECT("'Infos Clientes'!$W"&amp;INDEX('Infos Clientes'!$C:$C,MATCH(C320,'Infos Clientes'!$H:$H,0))&amp;":$CZ"&amp;INDEX('Infos Clientes'!$C:$C,MATCH(C320,'Infos Clientes'!$H:$H,0))),"&gt;="&amp;0,'Infos Clientes'!$W$2:$CZ$2,"&gt;"&amp;$R320-365,'Infos Clientes'!$W$2:$CZ$2,"&lt;="&amp;$R320),""),"")</f>
        <v>353.66666666666669</v>
      </c>
      <c r="CB320" s="87">
        <f>VLOOKUP(C320,'Infos Clientes'!B:L,11,0)</f>
        <v>0</v>
      </c>
      <c r="CC320" s="88" t="str">
        <f t="shared" si="190"/>
        <v>A Unidade Consumidora 10/63920-3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0" s="40" t="s">
        <v>221</v>
      </c>
      <c r="CF320" s="115">
        <f t="shared" si="191"/>
        <v>-583.33000000000004</v>
      </c>
    </row>
    <row r="321" spans="1:84" ht="16.2" hidden="1" customHeight="1" x14ac:dyDescent="0.3">
      <c r="A321" s="105" t="str">
        <f>INDEX('Infos Clientes'!$D:$D,MATCH('Detalhe Por UC'!C321,'Infos Clientes'!B:B,0))</f>
        <v>IGREJA DO EVANGELHO QUADRANGULAR</v>
      </c>
      <c r="B321" s="106" t="str">
        <f>INDEX('Infos Clientes'!$F:$F,MATCH('Detalhe Por UC'!C321,'Infos Clientes'!B:B,0))</f>
        <v>62.955.505/3757-21</v>
      </c>
      <c r="C321" s="31" t="s">
        <v>187</v>
      </c>
      <c r="D321" t="s">
        <v>351</v>
      </c>
      <c r="E321" s="1" t="s">
        <v>352</v>
      </c>
      <c r="F321" s="56" t="str">
        <f>INDEX('Infos Clientes'!$I:$I,MATCH('Detalhe Por UC'!C321,'Infos Clientes'!B:B,0))</f>
        <v>BT</v>
      </c>
      <c r="G321" s="56" t="str">
        <f>INDEX('Infos Clientes'!$J:$J,MATCH('Detalhe Por UC'!C321,'Infos Clientes'!B:B,0))</f>
        <v>trifasico</v>
      </c>
      <c r="H321" s="108" t="s">
        <v>138</v>
      </c>
      <c r="I321" s="58">
        <f>IFERROR(VLOOKUP(C321,'Infos Clientes'!B:E,4,),"")</f>
        <v>362</v>
      </c>
      <c r="J321" s="109">
        <v>0.25</v>
      </c>
      <c r="K321" s="59">
        <f>INDEX('Infos Clientes'!$M:$M,MATCH('Detalhe Por UC'!C321,'Infos Clientes'!B:B,0))</f>
        <v>0.25</v>
      </c>
      <c r="L321" s="125"/>
      <c r="M321" s="56">
        <f>INDEX('Infos Clientes'!$N:$N,MATCH('Detalhe Por UC'!C321,'Infos Clientes'!B:B,0))</f>
        <v>0</v>
      </c>
      <c r="N321" s="56">
        <f t="shared" si="155"/>
        <v>0</v>
      </c>
      <c r="O321" s="56">
        <f t="shared" si="156"/>
        <v>9</v>
      </c>
      <c r="P321" s="56">
        <f t="shared" si="157"/>
        <v>0</v>
      </c>
      <c r="Q321" s="61">
        <f>IFERROR(IFERROR(INDEX('Infos Clientes'!$A$2:$V$9884,MATCH($C321,'Infos Clientes'!$B$2:$B$9884,0),MATCH(Q$8,'Infos Clientes'!$A$2:$V$2,0)),"")
+IF(OR(INDEX('Infos Clientes'!$A$2:$V$9884,MATCH($C321,'Infos Clientes'!$B$2:$B$9884,0),MATCH("Tempo de Fidelidade (meses)",'Infos Clientes'!$A$2:$V$2,0))=0,R321&gt;=MAX(R:R)),0,
ROUND((MAX(R:R)-R321)/(365/12),0)),"")</f>
        <v>0</v>
      </c>
      <c r="R321" s="111">
        <v>45717</v>
      </c>
      <c r="S321" s="63">
        <v>0.02</v>
      </c>
      <c r="T321" s="113" t="str">
        <f>IF($H321="GIROSSOL II",AP321/INDEX('Resumo Operacional'!$A$1:$P$1103,17,MATCH('Detalhe Por UC'!$R321,'Resumo Operacional'!$A$1:$P$1,0)),
IF($H321="GIROSSOL II e III",AP321/INDEX('Resumo Operacional'!$A$1:$P$1103,17,MATCH('Detalhe Por UC'!$R321,'Resumo Operacional'!$A$1:$P$1,0)),
""))</f>
        <v/>
      </c>
      <c r="U321" s="113">
        <f>IF($H321="GIROSSOL III",AP321/INDEX('Resumo Operacional'!$A$1:$P$1103,53,MATCH('Detalhe Por UC'!$R321,'Resumo Operacional'!$A$1:$P$1,0)),
IF($H321="GIROSSOL II e III",AP321/INDEX('Resumo Operacional'!$A$1:$P$1103,53,MATCH('Detalhe Por UC'!$R321,'Resumo Operacional'!$A$1:$P$1,0)),
""))</f>
        <v>1.9928589221954663E-2</v>
      </c>
      <c r="V321" s="18"/>
      <c r="W321" s="18"/>
      <c r="X321" s="18">
        <v>1.11625</v>
      </c>
      <c r="Y321" s="18"/>
      <c r="Z321" s="66">
        <v>0.9740833333333333</v>
      </c>
      <c r="AA321" s="18"/>
      <c r="AB321" s="68">
        <v>400</v>
      </c>
      <c r="AC321" s="18"/>
      <c r="AD321" s="69">
        <v>240</v>
      </c>
      <c r="AE321" s="35"/>
      <c r="AF321" s="69">
        <v>0</v>
      </c>
      <c r="AG321" s="69">
        <v>0</v>
      </c>
      <c r="AH321" s="16">
        <v>59.310000000000009</v>
      </c>
      <c r="AI321" s="16">
        <v>0</v>
      </c>
      <c r="AJ321" s="16">
        <v>0</v>
      </c>
      <c r="AN321" s="71">
        <f t="shared" si="158"/>
        <v>0</v>
      </c>
      <c r="AO321" s="71">
        <f t="shared" si="159"/>
        <v>0</v>
      </c>
      <c r="AP321" s="71">
        <f t="shared" si="160"/>
        <v>240</v>
      </c>
      <c r="AQ321" s="72">
        <f>IF(OR($H321="GIROSSOL II",$H321="GIROSSOL II e III"),INDEX('Resumo Operacional'!$A$1:$P$1103,MATCH("Energia Injetada prevista total Fatura da Usina (TUSD)",'Resumo Operacional'!$B$1:$B$1103,0),MATCH('Detalhe Por UC'!$R321,'Resumo Operacional'!$A$1:$P$1,0))*$S321,INDEX('Resumo Operacional'!$A$1:$P$1103,53,MATCH('Detalhe Por UC'!$R321,'Resumo Operacional'!$A$1:$P$1,0))*$S321)</f>
        <v>240.86</v>
      </c>
      <c r="AR321" s="71">
        <f t="shared" si="161"/>
        <v>-0.86000000000001364</v>
      </c>
      <c r="AS321" s="73">
        <f t="shared" si="162"/>
        <v>272.03000000000003</v>
      </c>
      <c r="AT321" s="74">
        <f t="shared" si="163"/>
        <v>272.03000000000003</v>
      </c>
      <c r="AU321" s="74">
        <f t="shared" si="164"/>
        <v>0.83191666666666664</v>
      </c>
      <c r="AV321" s="74">
        <f t="shared" si="165"/>
        <v>175.33500000000001</v>
      </c>
      <c r="AW321" s="74">
        <f t="shared" si="166"/>
        <v>0</v>
      </c>
      <c r="AX321" s="74">
        <f t="shared" si="167"/>
        <v>233.78</v>
      </c>
      <c r="AY321" s="74">
        <f t="shared" si="168"/>
        <v>175.34</v>
      </c>
      <c r="AZ321" s="49">
        <v>175.34</v>
      </c>
      <c r="BA321" s="49">
        <v>175.34</v>
      </c>
      <c r="BB321" s="49">
        <v>175.34</v>
      </c>
      <c r="BC321" s="73" t="str">
        <f t="shared" si="169"/>
        <v/>
      </c>
      <c r="BD321" s="73">
        <f t="shared" si="170"/>
        <v>505.81</v>
      </c>
      <c r="BE321" s="73">
        <f t="shared" si="171"/>
        <v>447.36500000000001</v>
      </c>
      <c r="BF321" s="77">
        <f t="shared" si="172"/>
        <v>58.45</v>
      </c>
      <c r="BG321" s="77">
        <f t="shared" si="173"/>
        <v>17.535</v>
      </c>
      <c r="BH321" s="77">
        <f t="shared" si="174"/>
        <v>233.77999999999997</v>
      </c>
      <c r="BI321" s="78">
        <f t="shared" si="175"/>
        <v>0.25</v>
      </c>
      <c r="BJ321" s="79">
        <f t="shared" si="176"/>
        <v>0.11555722504497737</v>
      </c>
      <c r="BK321" s="80">
        <f t="shared" si="177"/>
        <v>447.37</v>
      </c>
      <c r="BL321" s="80">
        <f t="shared" si="178"/>
        <v>58.44</v>
      </c>
      <c r="BM321" s="79">
        <f t="shared" si="179"/>
        <v>0.11553745477550859</v>
      </c>
      <c r="BN321" s="81">
        <f t="shared" si="180"/>
        <v>0.73058333333333336</v>
      </c>
      <c r="BO321" s="82">
        <f t="shared" si="181"/>
        <v>175.34</v>
      </c>
      <c r="BP321" s="81">
        <f t="shared" si="182"/>
        <v>0.73058333333333336</v>
      </c>
      <c r="BQ321" s="81">
        <f t="shared" si="183"/>
        <v>0.87275000000000003</v>
      </c>
      <c r="BR321" s="81">
        <f t="shared" si="184"/>
        <v>1.11625</v>
      </c>
      <c r="BS321" s="82">
        <f t="shared" si="185"/>
        <v>240</v>
      </c>
      <c r="BT321" s="82">
        <f t="shared" si="186"/>
        <v>267.89999999999998</v>
      </c>
      <c r="BU321" s="82">
        <f t="shared" si="187"/>
        <v>233.78</v>
      </c>
      <c r="BW321" s="82">
        <f>IFERROR(INDEX('Infos Clientes'!$T:$T,MATCH('Detalhe Por UC'!$C321,'Infos Clientes'!B:B,0)),"")</f>
        <v>365.90909090909093</v>
      </c>
      <c r="BX321" s="83">
        <f t="shared" si="188"/>
        <v>0</v>
      </c>
      <c r="BY321" s="84">
        <f t="shared" si="189"/>
        <v>0.21814109742441204</v>
      </c>
      <c r="BZ321" s="85">
        <f>IF(_xlfn.MINIFS('Detalhe Por UC'!R:R,'Detalhe Por UC'!C:C,C321,'Detalhe Por UC'!AD:AD,"&gt;"&amp;0)=0,"",_xlfn.MINIFS('Detalhe Por UC'!R:R,'Detalhe Por UC'!C:C,C321,'Detalhe Por UC'!AD:AD,"&gt;"&amp;0))</f>
        <v>45658</v>
      </c>
      <c r="CA321" s="114">
        <f ca="1">IF(OR(S321&gt;0,AD321&gt;0),IFERROR(
SUMIFS(INDIRECT("'Infos Clientes'!$W"&amp;INDEX('Infos Clientes'!$C:$C,MATCH(C321,'Infos Clientes'!$H:$H,0))&amp;":$CZ"&amp;INDEX('Infos Clientes'!$C:$C,MATCH(C321,'Infos Clientes'!$H:$H,0))),'Infos Clientes'!$W$2:$CZ$2,"&gt;"&amp;$R321-365,'Infos Clientes'!$W$2:$CZ$2,"&lt;="&amp;$R321)/
COUNTIFS(INDIRECT("'Infos Clientes'!$W"&amp;INDEX('Infos Clientes'!$C:$C,MATCH(C321,'Infos Clientes'!$H:$H,0))&amp;":$CZ"&amp;INDEX('Infos Clientes'!$C:$C,MATCH(C321,'Infos Clientes'!$H:$H,0))),"&gt;="&amp;0,'Infos Clientes'!$W$2:$CZ$2,"&gt;"&amp;$R321-365,'Infos Clientes'!$W$2:$CZ$2,"&lt;="&amp;$R321),""),"")</f>
        <v>336.75</v>
      </c>
      <c r="CB321" s="87">
        <f>VLOOKUP(C321,'Infos Clientes'!B:L,11,0)</f>
        <v>0</v>
      </c>
      <c r="CC321" s="88" t="str">
        <f t="shared" si="190"/>
        <v>A Unidade Consumidora 10/3123706-8 economizou R$58,45 na fatura referente à mar/2025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21" s="40" t="s">
        <v>83</v>
      </c>
      <c r="CF321" s="115">
        <f t="shared" si="191"/>
        <v>-272.03000000000003</v>
      </c>
    </row>
    <row r="322" spans="1:84" ht="16.2" hidden="1" customHeight="1" x14ac:dyDescent="0.3">
      <c r="A322" s="105" t="str">
        <f>INDEX('Infos Clientes'!$D:$D,MATCH('Detalhe Por UC'!C322,'Infos Clientes'!B:B,0))</f>
        <v>IGREJA DO EVANGELHO QUADRANGULAR</v>
      </c>
      <c r="B322" s="106" t="str">
        <f>INDEX('Infos Clientes'!$F:$F,MATCH('Detalhe Por UC'!C322,'Infos Clientes'!B:B,0))</f>
        <v>62.955.505/4051-40</v>
      </c>
      <c r="C322" s="31" t="s">
        <v>152</v>
      </c>
      <c r="D322" t="s">
        <v>351</v>
      </c>
      <c r="E322" s="1" t="s">
        <v>352</v>
      </c>
      <c r="F322" s="56" t="str">
        <f>INDEX('Infos Clientes'!$I:$I,MATCH('Detalhe Por UC'!C322,'Infos Clientes'!B:B,0))</f>
        <v>BT</v>
      </c>
      <c r="G322" s="56" t="str">
        <f>INDEX('Infos Clientes'!$J:$J,MATCH('Detalhe Por UC'!C322,'Infos Clientes'!B:B,0))</f>
        <v>bifasico</v>
      </c>
      <c r="H322" s="108" t="s">
        <v>138</v>
      </c>
      <c r="I322" s="58">
        <f>IFERROR(VLOOKUP(C322,'Infos Clientes'!B:E,4,),"")</f>
        <v>351</v>
      </c>
      <c r="J322" s="109">
        <v>0.25</v>
      </c>
      <c r="K322" s="59">
        <f>INDEX('Infos Clientes'!$M:$M,MATCH('Detalhe Por UC'!C322,'Infos Clientes'!B:B,0))</f>
        <v>0.25</v>
      </c>
      <c r="L322" s="125"/>
      <c r="M322" s="56">
        <f>INDEX('Infos Clientes'!$N:$N,MATCH('Detalhe Por UC'!C322,'Infos Clientes'!B:B,0))</f>
        <v>0</v>
      </c>
      <c r="N322" s="56">
        <f t="shared" si="155"/>
        <v>0</v>
      </c>
      <c r="O322" s="56">
        <f t="shared" si="156"/>
        <v>9</v>
      </c>
      <c r="P322" s="56">
        <f t="shared" si="157"/>
        <v>0</v>
      </c>
      <c r="Q322" s="61">
        <f>IFERROR(IFERROR(INDEX('Infos Clientes'!$A$2:$V$9884,MATCH($C322,'Infos Clientes'!$B$2:$B$9884,0),MATCH(Q$8,'Infos Clientes'!$A$2:$V$2,0)),"")
+IF(OR(INDEX('Infos Clientes'!$A$2:$V$9884,MATCH($C322,'Infos Clientes'!$B$2:$B$9884,0),MATCH("Tempo de Fidelidade (meses)",'Infos Clientes'!$A$2:$V$2,0))=0,R322&gt;=MAX(R:R)),0,
ROUND((MAX(R:R)-R322)/(365/12),0)),"")</f>
        <v>0</v>
      </c>
      <c r="R322" s="111">
        <v>45717</v>
      </c>
      <c r="S322" s="63">
        <v>0.02</v>
      </c>
      <c r="T322" s="113" t="str">
        <f>IF($H322="GIROSSOL II",AP322/INDEX('Resumo Operacional'!$A$1:$P$1103,17,MATCH('Detalhe Por UC'!$R322,'Resumo Operacional'!$A$1:$P$1,0)),
IF($H322="GIROSSOL II e III",AP322/INDEX('Resumo Operacional'!$A$1:$P$1103,17,MATCH('Detalhe Por UC'!$R322,'Resumo Operacional'!$A$1:$P$1,0)),
""))</f>
        <v/>
      </c>
      <c r="U322" s="113">
        <f>IF($H322="GIROSSOL III",AP322/INDEX('Resumo Operacional'!$A$1:$P$1103,53,MATCH('Detalhe Por UC'!$R322,'Resumo Operacional'!$A$1:$P$1,0)),
IF($H322="GIROSSOL II e III",AP322/INDEX('Resumo Operacional'!$A$1:$P$1103,53,MATCH('Detalhe Por UC'!$R322,'Resumo Operacional'!$A$1:$P$1,0)),
""))</f>
        <v>1.9928589221954663E-2</v>
      </c>
      <c r="V322" s="18"/>
      <c r="W322" s="18"/>
      <c r="X322" s="18">
        <v>1.1162539682539683</v>
      </c>
      <c r="Y322" s="18"/>
      <c r="Z322" s="66">
        <v>0.9740833333333333</v>
      </c>
      <c r="AA322" s="18"/>
      <c r="AB322" s="68">
        <v>315</v>
      </c>
      <c r="AC322" s="18"/>
      <c r="AD322" s="69">
        <v>240</v>
      </c>
      <c r="AE322" s="35"/>
      <c r="AF322" s="69">
        <v>0</v>
      </c>
      <c r="AG322" s="69">
        <v>0</v>
      </c>
      <c r="AH322" s="16">
        <v>41.24</v>
      </c>
      <c r="AI322" s="16">
        <v>0</v>
      </c>
      <c r="AJ322" s="16">
        <v>0</v>
      </c>
      <c r="AN322" s="71">
        <f t="shared" si="158"/>
        <v>0</v>
      </c>
      <c r="AO322" s="71">
        <f t="shared" si="159"/>
        <v>0</v>
      </c>
      <c r="AP322" s="71">
        <f t="shared" si="160"/>
        <v>240</v>
      </c>
      <c r="AQ322" s="72">
        <f>IF(OR($H322="GIROSSOL II",$H322="GIROSSOL II e III"),INDEX('Resumo Operacional'!$A$1:$P$1103,MATCH("Energia Injetada prevista total Fatura da Usina (TUSD)",'Resumo Operacional'!$B$1:$B$1103,0),MATCH('Detalhe Por UC'!$R322,'Resumo Operacional'!$A$1:$P$1,0))*$S322,INDEX('Resumo Operacional'!$A$1:$P$1103,53,MATCH('Detalhe Por UC'!$R322,'Resumo Operacional'!$A$1:$P$1,0))*$S322)</f>
        <v>240.86</v>
      </c>
      <c r="AR322" s="71">
        <f t="shared" si="161"/>
        <v>-0.86000000000001364</v>
      </c>
      <c r="AS322" s="73">
        <f t="shared" si="162"/>
        <v>159.08000000000001</v>
      </c>
      <c r="AT322" s="74">
        <f t="shared" si="163"/>
        <v>159.08000000000001</v>
      </c>
      <c r="AU322" s="74">
        <f t="shared" si="164"/>
        <v>0.83191269841269833</v>
      </c>
      <c r="AV322" s="74">
        <f t="shared" si="165"/>
        <v>175.33500000000001</v>
      </c>
      <c r="AW322" s="74">
        <f t="shared" si="166"/>
        <v>0</v>
      </c>
      <c r="AX322" s="74">
        <f t="shared" si="167"/>
        <v>233.78</v>
      </c>
      <c r="AY322" s="74">
        <f t="shared" si="168"/>
        <v>175.34</v>
      </c>
      <c r="AZ322" s="49">
        <v>175.34</v>
      </c>
      <c r="BA322" s="49">
        <v>175.34</v>
      </c>
      <c r="BB322" s="49">
        <v>175.34</v>
      </c>
      <c r="BC322" s="73" t="str">
        <f t="shared" si="169"/>
        <v/>
      </c>
      <c r="BD322" s="73">
        <f t="shared" si="170"/>
        <v>392.86</v>
      </c>
      <c r="BE322" s="73">
        <f t="shared" si="171"/>
        <v>334.41500000000002</v>
      </c>
      <c r="BF322" s="77">
        <f t="shared" si="172"/>
        <v>58.45</v>
      </c>
      <c r="BG322" s="77">
        <f t="shared" si="173"/>
        <v>17.535</v>
      </c>
      <c r="BH322" s="77">
        <f t="shared" si="174"/>
        <v>233.78</v>
      </c>
      <c r="BI322" s="78">
        <f t="shared" si="175"/>
        <v>0.25</v>
      </c>
      <c r="BJ322" s="79">
        <f t="shared" si="176"/>
        <v>0.14878073614010079</v>
      </c>
      <c r="BK322" s="80">
        <f t="shared" si="177"/>
        <v>334.42</v>
      </c>
      <c r="BL322" s="80">
        <f t="shared" si="178"/>
        <v>58.44</v>
      </c>
      <c r="BM322" s="79">
        <f t="shared" si="179"/>
        <v>0.14875528177976885</v>
      </c>
      <c r="BN322" s="81">
        <f t="shared" si="180"/>
        <v>0.73058333333333336</v>
      </c>
      <c r="BO322" s="82">
        <f t="shared" si="181"/>
        <v>175.34</v>
      </c>
      <c r="BP322" s="81">
        <f t="shared" si="182"/>
        <v>0.73058333333333336</v>
      </c>
      <c r="BQ322" s="81">
        <f t="shared" si="183"/>
        <v>0.87275396825396834</v>
      </c>
      <c r="BR322" s="81">
        <f t="shared" si="184"/>
        <v>1.1162539682539683</v>
      </c>
      <c r="BS322" s="82">
        <f t="shared" si="185"/>
        <v>240</v>
      </c>
      <c r="BT322" s="82">
        <f t="shared" si="186"/>
        <v>267.90095238095239</v>
      </c>
      <c r="BU322" s="82">
        <f t="shared" si="187"/>
        <v>233.78</v>
      </c>
      <c r="BW322" s="82">
        <f>IFERROR(INDEX('Infos Clientes'!$T:$T,MATCH('Detalhe Por UC'!$C322,'Infos Clientes'!B:B,0)),"")</f>
        <v>246.72727272727272</v>
      </c>
      <c r="BX322" s="83">
        <f t="shared" si="188"/>
        <v>0</v>
      </c>
      <c r="BY322" s="84">
        <f t="shared" si="189"/>
        <v>0.21814032193845623</v>
      </c>
      <c r="BZ322" s="85">
        <f>IF(_xlfn.MINIFS('Detalhe Por UC'!R:R,'Detalhe Por UC'!C:C,C322,'Detalhe Por UC'!AD:AD,"&gt;"&amp;0)=0,"",_xlfn.MINIFS('Detalhe Por UC'!R:R,'Detalhe Por UC'!C:C,C322,'Detalhe Por UC'!AD:AD,"&gt;"&amp;0))</f>
        <v>45658</v>
      </c>
      <c r="CA322" s="114">
        <f ca="1">IF(OR(S322&gt;0,AD322&gt;0),IFERROR(
SUMIFS(INDIRECT("'Infos Clientes'!$W"&amp;INDEX('Infos Clientes'!$C:$C,MATCH(C322,'Infos Clientes'!$H:$H,0))&amp;":$CZ"&amp;INDEX('Infos Clientes'!$C:$C,MATCH(C322,'Infos Clientes'!$H:$H,0))),'Infos Clientes'!$W$2:$CZ$2,"&gt;"&amp;$R322-365,'Infos Clientes'!$W$2:$CZ$2,"&lt;="&amp;$R322)/
COUNTIFS(INDIRECT("'Infos Clientes'!$W"&amp;INDEX('Infos Clientes'!$C:$C,MATCH(C322,'Infos Clientes'!$H:$H,0))&amp;":$CZ"&amp;INDEX('Infos Clientes'!$C:$C,MATCH(C322,'Infos Clientes'!$H:$H,0))),"&gt;="&amp;0,'Infos Clientes'!$W$2:$CZ$2,"&gt;"&amp;$R322-365,'Infos Clientes'!$W$2:$CZ$2,"&lt;="&amp;$R322),""),"")</f>
        <v>240</v>
      </c>
      <c r="CB322" s="87">
        <f>VLOOKUP(C322,'Infos Clientes'!B:L,11,0)</f>
        <v>0</v>
      </c>
      <c r="CC322" s="88" t="str">
        <f t="shared" si="190"/>
        <v>A Unidade Consumidora 10/129490-9 economizou R$58,45 na fatura referente à mar/2025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22" s="40" t="s">
        <v>141</v>
      </c>
      <c r="CF322" s="115">
        <f t="shared" si="191"/>
        <v>-159.08000000000001</v>
      </c>
    </row>
    <row r="323" spans="1:84" ht="16.2" hidden="1" customHeight="1" x14ac:dyDescent="0.3">
      <c r="A323" s="105" t="str">
        <f>INDEX('Infos Clientes'!$D:$D,MATCH('Detalhe Por UC'!C323,'Infos Clientes'!B:B,0))</f>
        <v>IGREJA DO EVANGELHO QUADRANGULAR</v>
      </c>
      <c r="B323" s="106" t="str">
        <f>INDEX('Infos Clientes'!$F:$F,MATCH('Detalhe Por UC'!C323,'Infos Clientes'!B:B,0))</f>
        <v>62.955.505/0172-13</v>
      </c>
      <c r="C323" s="107" t="s">
        <v>246</v>
      </c>
      <c r="D323" t="s">
        <v>351</v>
      </c>
      <c r="E323" s="1" t="s">
        <v>352</v>
      </c>
      <c r="F323" s="56" t="str">
        <f>INDEX('Infos Clientes'!$I:$I,MATCH('Detalhe Por UC'!C323,'Infos Clientes'!B:B,0))</f>
        <v>BT</v>
      </c>
      <c r="G323" s="56">
        <f>INDEX('Infos Clientes'!$J:$J,MATCH('Detalhe Por UC'!C323,'Infos Clientes'!B:B,0))</f>
        <v>0</v>
      </c>
      <c r="H323" s="108" t="s">
        <v>138</v>
      </c>
      <c r="I323" s="58">
        <f>IFERROR(VLOOKUP(C323,'Infos Clientes'!B:E,4,),"")</f>
        <v>0</v>
      </c>
      <c r="J323" s="109">
        <v>0.25</v>
      </c>
      <c r="K323" s="59">
        <f>INDEX('Infos Clientes'!$M:$M,MATCH('Detalhe Por UC'!C323,'Infos Clientes'!B:B,0))</f>
        <v>0.25</v>
      </c>
      <c r="L323" s="125"/>
      <c r="M323" s="56">
        <f>INDEX('Infos Clientes'!$N:$N,MATCH('Detalhe Por UC'!C323,'Infos Clientes'!B:B,0))</f>
        <v>0</v>
      </c>
      <c r="N323" s="56">
        <f t="shared" si="155"/>
        <v>0</v>
      </c>
      <c r="O323" s="56">
        <f t="shared" si="156"/>
        <v>0</v>
      </c>
      <c r="P323" s="56">
        <f t="shared" si="157"/>
        <v>0</v>
      </c>
      <c r="Q323" s="61">
        <f>IFERROR(IFERROR(INDEX('Infos Clientes'!$A$2:$V$9884,MATCH($C323,'Infos Clientes'!$B$2:$B$9884,0),MATCH(Q$8,'Infos Clientes'!$A$2:$V$2,0)),"")
+IF(OR(INDEX('Infos Clientes'!$A$2:$V$9884,MATCH($C323,'Infos Clientes'!$B$2:$B$9884,0),MATCH("Tempo de Fidelidade (meses)",'Infos Clientes'!$A$2:$V$2,0))=0,R323&gt;=MAX(R:R)),0,
ROUND((MAX(R:R)-R323)/(365/12),0)),"")</f>
        <v>0</v>
      </c>
      <c r="R323" s="111">
        <v>45717</v>
      </c>
      <c r="S323" s="63">
        <v>0</v>
      </c>
      <c r="T323" s="113" t="str">
        <f>IF($H323="GIROSSOL II",AP323/INDEX('Resumo Operacional'!$A$1:$P$1103,17,MATCH('Detalhe Por UC'!$R323,'Resumo Operacional'!$A$1:$P$1,0)),
IF($H323="GIROSSOL II e III",AP323/INDEX('Resumo Operacional'!$A$1:$P$1103,17,MATCH('Detalhe Por UC'!$R323,'Resumo Operacional'!$A$1:$P$1,0)),
""))</f>
        <v/>
      </c>
      <c r="U323" s="113">
        <f>IF($H323="GIROSSOL III",AP323/INDEX('Resumo Operacional'!$A$1:$P$1103,53,MATCH('Detalhe Por UC'!$R323,'Resumo Operacional'!$A$1:$P$1,0)),
IF($H323="GIROSSOL II e III",AP323/INDEX('Resumo Operacional'!$A$1:$P$1103,53,MATCH('Detalhe Por UC'!$R323,'Resumo Operacional'!$A$1:$P$1,0)),
""))</f>
        <v>0</v>
      </c>
      <c r="V323" s="18"/>
      <c r="W323" s="18"/>
      <c r="X323" s="18">
        <v>0</v>
      </c>
      <c r="Y323" s="18"/>
      <c r="Z323" s="66">
        <v>0</v>
      </c>
      <c r="AA323" s="18"/>
      <c r="AB323" s="68">
        <v>0</v>
      </c>
      <c r="AC323" s="18"/>
      <c r="AD323" s="69">
        <v>0</v>
      </c>
      <c r="AE323" s="35"/>
      <c r="AF323" s="69">
        <v>0</v>
      </c>
      <c r="AG323" s="69">
        <v>0</v>
      </c>
      <c r="AH323" s="16">
        <v>0</v>
      </c>
      <c r="AI323" s="16">
        <v>0</v>
      </c>
      <c r="AJ323" s="16">
        <v>0</v>
      </c>
      <c r="AN323" s="71">
        <f t="shared" si="158"/>
        <v>0</v>
      </c>
      <c r="AO323" s="71">
        <f t="shared" si="159"/>
        <v>0</v>
      </c>
      <c r="AP323" s="71">
        <f t="shared" si="160"/>
        <v>0</v>
      </c>
      <c r="AQ323" s="72">
        <f>IF(OR($H323="GIROSSOL II",$H323="GIROSSOL II e III"),INDEX('Resumo Operacional'!$A$1:$P$1103,MATCH("Energia Injetada prevista total Fatura da Usina (TUSD)",'Resumo Operacional'!$B$1:$B$1103,0),MATCH('Detalhe Por UC'!$R323,'Resumo Operacional'!$A$1:$P$1,0))*$S323,INDEX('Resumo Operacional'!$A$1:$P$1103,53,MATCH('Detalhe Por UC'!$R323,'Resumo Operacional'!$A$1:$P$1,0))*$S323)</f>
        <v>0</v>
      </c>
      <c r="AR323" s="71">
        <f t="shared" si="161"/>
        <v>0</v>
      </c>
      <c r="AS323" s="73">
        <f t="shared" si="162"/>
        <v>0</v>
      </c>
      <c r="AT323" s="74">
        <f t="shared" si="163"/>
        <v>0</v>
      </c>
      <c r="AU323" s="74" t="str">
        <f t="shared" si="164"/>
        <v/>
      </c>
      <c r="AV323" s="74">
        <f t="shared" si="165"/>
        <v>0</v>
      </c>
      <c r="AW323" s="74">
        <f t="shared" si="166"/>
        <v>0</v>
      </c>
      <c r="AX323" s="74">
        <f t="shared" si="167"/>
        <v>0</v>
      </c>
      <c r="AY323" s="74" t="str">
        <f t="shared" si="168"/>
        <v/>
      </c>
      <c r="AZ323" s="49" t="s">
        <v>354</v>
      </c>
      <c r="BA323" s="49">
        <v>0</v>
      </c>
      <c r="BC323" s="73" t="str">
        <f t="shared" si="169"/>
        <v/>
      </c>
      <c r="BD323" s="73">
        <f t="shared" si="170"/>
        <v>0</v>
      </c>
      <c r="BE323" s="73">
        <f t="shared" si="171"/>
        <v>0</v>
      </c>
      <c r="BF323" s="77">
        <f t="shared" si="172"/>
        <v>0</v>
      </c>
      <c r="BG323" s="77">
        <f t="shared" si="173"/>
        <v>0</v>
      </c>
      <c r="BH323" s="77">
        <f t="shared" si="174"/>
        <v>0</v>
      </c>
      <c r="BI323" s="78" t="str">
        <f t="shared" si="175"/>
        <v/>
      </c>
      <c r="BJ323" s="79" t="str">
        <f t="shared" si="176"/>
        <v/>
      </c>
      <c r="BK323" s="80" t="str">
        <f t="shared" si="177"/>
        <v/>
      </c>
      <c r="BL323" s="80" t="str">
        <f t="shared" si="178"/>
        <v/>
      </c>
      <c r="BM323" s="79" t="str">
        <f t="shared" si="179"/>
        <v/>
      </c>
      <c r="BN323" s="81" t="str">
        <f t="shared" si="180"/>
        <v/>
      </c>
      <c r="BO323" s="82" t="str">
        <f t="shared" si="181"/>
        <v/>
      </c>
      <c r="BP323" s="81" t="str">
        <f t="shared" si="182"/>
        <v/>
      </c>
      <c r="BQ323" s="81" t="str">
        <f t="shared" si="183"/>
        <v/>
      </c>
      <c r="BR323" s="81" t="str">
        <f t="shared" si="184"/>
        <v/>
      </c>
      <c r="BS323" s="82">
        <f t="shared" si="185"/>
        <v>0</v>
      </c>
      <c r="BT323" s="82" t="str">
        <f t="shared" si="186"/>
        <v/>
      </c>
      <c r="BU323" s="82">
        <f t="shared" si="187"/>
        <v>0</v>
      </c>
      <c r="BW323" s="82">
        <f>IFERROR(INDEX('Infos Clientes'!$T:$T,MATCH('Detalhe Por UC'!$C323,'Infos Clientes'!B:B,0)),"")</f>
        <v>0</v>
      </c>
      <c r="BX323" s="83">
        <f t="shared" si="188"/>
        <v>0</v>
      </c>
      <c r="BY323" s="84" t="str">
        <f t="shared" si="189"/>
        <v/>
      </c>
      <c r="BZ323" s="85" t="str">
        <f>IF(_xlfn.MINIFS('Detalhe Por UC'!R:R,'Detalhe Por UC'!C:C,C323,'Detalhe Por UC'!AD:AD,"&gt;"&amp;0)=0,"",_xlfn.MINIFS('Detalhe Por UC'!R:R,'Detalhe Por UC'!C:C,C323,'Detalhe Por UC'!AD:AD,"&gt;"&amp;0))</f>
        <v/>
      </c>
      <c r="CA323" s="114" t="str">
        <f ca="1">IF(OR(S323&gt;0,AD323&gt;0),IFERROR(
SUMIFS(INDIRECT("'Infos Clientes'!$W"&amp;INDEX('Infos Clientes'!$C:$C,MATCH(C323,'Infos Clientes'!$H:$H,0))&amp;":$CZ"&amp;INDEX('Infos Clientes'!$C:$C,MATCH(C323,'Infos Clientes'!$H:$H,0))),'Infos Clientes'!$W$2:$CZ$2,"&gt;"&amp;$R323-365,'Infos Clientes'!$W$2:$CZ$2,"&lt;="&amp;$R323)/
COUNTIFS(INDIRECT("'Infos Clientes'!$W"&amp;INDEX('Infos Clientes'!$C:$C,MATCH(C323,'Infos Clientes'!$H:$H,0))&amp;":$CZ"&amp;INDEX('Infos Clientes'!$C:$C,MATCH(C323,'Infos Clientes'!$H:$H,0))),"&gt;="&amp;0,'Infos Clientes'!$W$2:$CZ$2,"&gt;"&amp;$R323-365,'Infos Clientes'!$W$2:$CZ$2,"&lt;="&amp;$R323),""),"")</f>
        <v/>
      </c>
      <c r="CB323" s="87">
        <f>VLOOKUP(C323,'Infos Clientes'!B:L,11,0)</f>
        <v>0</v>
      </c>
      <c r="CC323" s="88" t="str">
        <f t="shared" si="190"/>
        <v>A Unidade Consumidora 10/2338577-6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3" s="40"/>
      <c r="CF323" s="115">
        <f t="shared" si="191"/>
        <v>0</v>
      </c>
    </row>
    <row r="324" spans="1:84" ht="16.2" hidden="1" customHeight="1" x14ac:dyDescent="0.3">
      <c r="A324" s="105" t="str">
        <f>INDEX('Infos Clientes'!$D:$D,MATCH('Detalhe Por UC'!C324,'Infos Clientes'!B:B,0))</f>
        <v>IGREJA DO EVANGELHO QUADRANGULAR</v>
      </c>
      <c r="B324" s="106" t="str">
        <f>INDEX('Infos Clientes'!$F:$F,MATCH('Detalhe Por UC'!C324,'Infos Clientes'!B:B,0))</f>
        <v>62.955.505/2690-26</v>
      </c>
      <c r="C324" s="31" t="s">
        <v>201</v>
      </c>
      <c r="D324" t="s">
        <v>351</v>
      </c>
      <c r="E324" s="1" t="s">
        <v>352</v>
      </c>
      <c r="F324" s="56" t="str">
        <f>INDEX('Infos Clientes'!$I:$I,MATCH('Detalhe Por UC'!C324,'Infos Clientes'!B:B,0))</f>
        <v>BT</v>
      </c>
      <c r="G324" s="56" t="str">
        <f>INDEX('Infos Clientes'!$J:$J,MATCH('Detalhe Por UC'!C324,'Infos Clientes'!B:B,0))</f>
        <v>bifasico</v>
      </c>
      <c r="H324" s="108" t="s">
        <v>138</v>
      </c>
      <c r="I324" s="58">
        <f>IFERROR(VLOOKUP(C324,'Infos Clientes'!B:E,4,),"")</f>
        <v>319</v>
      </c>
      <c r="J324" s="109">
        <v>0.25</v>
      </c>
      <c r="K324" s="59">
        <f>INDEX('Infos Clientes'!$M:$M,MATCH('Detalhe Por UC'!C324,'Infos Clientes'!B:B,0))</f>
        <v>0.25</v>
      </c>
      <c r="L324" s="125"/>
      <c r="M324" s="56">
        <f>INDEX('Infos Clientes'!$N:$N,MATCH('Detalhe Por UC'!C324,'Infos Clientes'!B:B,0))</f>
        <v>0</v>
      </c>
      <c r="N324" s="56">
        <f t="shared" si="155"/>
        <v>0</v>
      </c>
      <c r="O324" s="56">
        <f t="shared" si="156"/>
        <v>8</v>
      </c>
      <c r="P324" s="56">
        <f t="shared" si="157"/>
        <v>0</v>
      </c>
      <c r="Q324" s="61">
        <f>IFERROR(IFERROR(INDEX('Infos Clientes'!$A$2:$V$9884,MATCH($C324,'Infos Clientes'!$B$2:$B$9884,0),MATCH(Q$8,'Infos Clientes'!$A$2:$V$2,0)),"")
+IF(OR(INDEX('Infos Clientes'!$A$2:$V$9884,MATCH($C324,'Infos Clientes'!$B$2:$B$9884,0),MATCH("Tempo de Fidelidade (meses)",'Infos Clientes'!$A$2:$V$2,0))=0,R324&gt;=MAX(R:R)),0,
ROUND((MAX(R:R)-R324)/(365/12),0)),"")</f>
        <v>0</v>
      </c>
      <c r="R324" s="111">
        <v>45717</v>
      </c>
      <c r="S324" s="63">
        <v>0.02</v>
      </c>
      <c r="T324" s="113" t="str">
        <f>IF($H324="GIROSSOL II",AP324/INDEX('Resumo Operacional'!$A$1:$P$1103,17,MATCH('Detalhe Por UC'!$R324,'Resumo Operacional'!$A$1:$P$1,0)),
IF($H324="GIROSSOL II e III",AP324/INDEX('Resumo Operacional'!$A$1:$P$1103,17,MATCH('Detalhe Por UC'!$R324,'Resumo Operacional'!$A$1:$P$1,0)),
""))</f>
        <v/>
      </c>
      <c r="U324" s="113">
        <f>IF($H324="GIROSSOL III",AP324/INDEX('Resumo Operacional'!$A$1:$P$1103,53,MATCH('Detalhe Por UC'!$R324,'Resumo Operacional'!$A$1:$P$1,0)),
IF($H324="GIROSSOL II e III",AP324/INDEX('Resumo Operacional'!$A$1:$P$1103,53,MATCH('Detalhe Por UC'!$R324,'Resumo Operacional'!$A$1:$P$1,0)),
""))</f>
        <v>0</v>
      </c>
      <c r="V324" s="18"/>
      <c r="W324" s="18"/>
      <c r="X324" s="18">
        <v>1.1162426035502959</v>
      </c>
      <c r="Y324" s="18"/>
      <c r="Z324" s="66">
        <v>0</v>
      </c>
      <c r="AA324" s="18"/>
      <c r="AB324" s="68">
        <v>338</v>
      </c>
      <c r="AC324" s="18"/>
      <c r="AD324" s="69">
        <v>0</v>
      </c>
      <c r="AE324" s="35"/>
      <c r="AF324" s="69">
        <v>0</v>
      </c>
      <c r="AG324" s="69">
        <v>0</v>
      </c>
      <c r="AH324" s="16">
        <v>85.399999999999991</v>
      </c>
      <c r="AI324" s="16">
        <v>0</v>
      </c>
      <c r="AJ324" s="16">
        <v>0</v>
      </c>
      <c r="AN324" s="71">
        <f t="shared" si="158"/>
        <v>0</v>
      </c>
      <c r="AO324" s="71">
        <f t="shared" si="159"/>
        <v>0</v>
      </c>
      <c r="AP324" s="71">
        <f t="shared" si="160"/>
        <v>0</v>
      </c>
      <c r="AQ324" s="72">
        <f>IF(OR($H324="GIROSSOL II",$H324="GIROSSOL II e III"),INDEX('Resumo Operacional'!$A$1:$P$1103,MATCH("Energia Injetada prevista total Fatura da Usina (TUSD)",'Resumo Operacional'!$B$1:$B$1103,0),MATCH('Detalhe Por UC'!$R324,'Resumo Operacional'!$A$1:$P$1,0))*$S324,INDEX('Resumo Operacional'!$A$1:$P$1103,53,MATCH('Detalhe Por UC'!$R324,'Resumo Operacional'!$A$1:$P$1,0))*$S324)</f>
        <v>240.86</v>
      </c>
      <c r="AR324" s="71">
        <f t="shared" si="161"/>
        <v>-240.86</v>
      </c>
      <c r="AS324" s="73">
        <f t="shared" si="162"/>
        <v>462.69</v>
      </c>
      <c r="AT324" s="74">
        <f t="shared" si="163"/>
        <v>462.69</v>
      </c>
      <c r="AU324" s="74" t="str">
        <f t="shared" si="164"/>
        <v/>
      </c>
      <c r="AV324" s="74">
        <f t="shared" si="165"/>
        <v>0</v>
      </c>
      <c r="AW324" s="74">
        <f t="shared" si="166"/>
        <v>0</v>
      </c>
      <c r="AX324" s="74">
        <f t="shared" si="167"/>
        <v>0</v>
      </c>
      <c r="AY324" s="74" t="str">
        <f t="shared" si="168"/>
        <v/>
      </c>
      <c r="AZ324" s="49" t="s">
        <v>354</v>
      </c>
      <c r="BA324" s="49">
        <v>0</v>
      </c>
      <c r="BC324" s="73" t="str">
        <f t="shared" si="169"/>
        <v/>
      </c>
      <c r="BD324" s="73">
        <f t="shared" si="170"/>
        <v>462.69</v>
      </c>
      <c r="BE324" s="73">
        <f t="shared" si="171"/>
        <v>462.69</v>
      </c>
      <c r="BF324" s="77">
        <f t="shared" si="172"/>
        <v>0</v>
      </c>
      <c r="BG324" s="77">
        <f t="shared" si="173"/>
        <v>0</v>
      </c>
      <c r="BH324" s="77">
        <f t="shared" si="174"/>
        <v>0</v>
      </c>
      <c r="BI324" s="78" t="str">
        <f t="shared" si="175"/>
        <v/>
      </c>
      <c r="BJ324" s="79">
        <f t="shared" si="176"/>
        <v>0</v>
      </c>
      <c r="BK324" s="80" t="str">
        <f t="shared" si="177"/>
        <v/>
      </c>
      <c r="BL324" s="80" t="str">
        <f t="shared" si="178"/>
        <v/>
      </c>
      <c r="BM324" s="79" t="str">
        <f t="shared" si="179"/>
        <v/>
      </c>
      <c r="BN324" s="81" t="str">
        <f t="shared" si="180"/>
        <v/>
      </c>
      <c r="BO324" s="82" t="str">
        <f t="shared" si="181"/>
        <v/>
      </c>
      <c r="BP324" s="81" t="str">
        <f t="shared" si="182"/>
        <v/>
      </c>
      <c r="BQ324" s="81" t="str">
        <f t="shared" si="183"/>
        <v/>
      </c>
      <c r="BR324" s="81" t="str">
        <f t="shared" si="184"/>
        <v/>
      </c>
      <c r="BS324" s="82">
        <f t="shared" si="185"/>
        <v>0</v>
      </c>
      <c r="BT324" s="82" t="str">
        <f t="shared" si="186"/>
        <v/>
      </c>
      <c r="BU324" s="82">
        <f t="shared" si="187"/>
        <v>0</v>
      </c>
      <c r="BW324" s="82">
        <f>IFERROR(INDEX('Infos Clientes'!$T:$T,MATCH('Detalhe Por UC'!$C324,'Infos Clientes'!B:B,0)),"")</f>
        <v>293</v>
      </c>
      <c r="BX324" s="83">
        <f t="shared" si="188"/>
        <v>0</v>
      </c>
      <c r="BY324" s="84" t="str">
        <f t="shared" si="189"/>
        <v/>
      </c>
      <c r="BZ324" s="85">
        <f>IF(_xlfn.MINIFS('Detalhe Por UC'!R:R,'Detalhe Por UC'!C:C,C324,'Detalhe Por UC'!AD:AD,"&gt;"&amp;0)=0,"",_xlfn.MINIFS('Detalhe Por UC'!R:R,'Detalhe Por UC'!C:C,C324,'Detalhe Por UC'!AD:AD,"&gt;"&amp;0))</f>
        <v>45658</v>
      </c>
      <c r="CA324" s="114">
        <f ca="1">IF(OR(S324&gt;0,AD324&gt;0),IFERROR(
SUMIFS(INDIRECT("'Infos Clientes'!$W"&amp;INDEX('Infos Clientes'!$C:$C,MATCH(C324,'Infos Clientes'!$H:$H,0))&amp;":$CZ"&amp;INDEX('Infos Clientes'!$C:$C,MATCH(C324,'Infos Clientes'!$H:$H,0))),'Infos Clientes'!$W$2:$CZ$2,"&gt;"&amp;$R324-365,'Infos Clientes'!$W$2:$CZ$2,"&lt;="&amp;$R324)/
COUNTIFS(INDIRECT("'Infos Clientes'!$W"&amp;INDEX('Infos Clientes'!$C:$C,MATCH(C324,'Infos Clientes'!$H:$H,0))&amp;":$CZ"&amp;INDEX('Infos Clientes'!$C:$C,MATCH(C324,'Infos Clientes'!$H:$H,0))),"&gt;="&amp;0,'Infos Clientes'!$W$2:$CZ$2,"&gt;"&amp;$R324-365,'Infos Clientes'!$W$2:$CZ$2,"&lt;="&amp;$R324),""),"")</f>
        <v>269.33333333333331</v>
      </c>
      <c r="CB324" s="87">
        <f>VLOOKUP(C324,'Infos Clientes'!B:L,11,0)</f>
        <v>0</v>
      </c>
      <c r="CC324" s="88" t="str">
        <f t="shared" si="190"/>
        <v>A Unidade Consumidora 10/41548-9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4" s="40" t="s">
        <v>143</v>
      </c>
      <c r="CF324" s="115">
        <f t="shared" si="191"/>
        <v>-462.69</v>
      </c>
    </row>
    <row r="325" spans="1:84" ht="16.2" hidden="1" customHeight="1" x14ac:dyDescent="0.3">
      <c r="A325" s="105" t="str">
        <f>INDEX('Infos Clientes'!$D:$D,MATCH('Detalhe Por UC'!C325,'Infos Clientes'!B:B,0))</f>
        <v>IGREJA DO EVANGELHO QUADRANGULAR</v>
      </c>
      <c r="B325" s="106" t="str">
        <f>INDEX('Infos Clientes'!$F:$F,MATCH('Detalhe Por UC'!C325,'Infos Clientes'!B:B,0))</f>
        <v>62.955.505/1822-57</v>
      </c>
      <c r="C325" s="31" t="s">
        <v>216</v>
      </c>
      <c r="D325" t="s">
        <v>351</v>
      </c>
      <c r="E325" s="1" t="s">
        <v>352</v>
      </c>
      <c r="F325" s="56" t="str">
        <f>INDEX('Infos Clientes'!$I:$I,MATCH('Detalhe Por UC'!C325,'Infos Clientes'!B:B,0))</f>
        <v>BT</v>
      </c>
      <c r="G325" s="56" t="str">
        <f>INDEX('Infos Clientes'!$J:$J,MATCH('Detalhe Por UC'!C325,'Infos Clientes'!B:B,0))</f>
        <v>trifasico</v>
      </c>
      <c r="H325" s="108" t="s">
        <v>138</v>
      </c>
      <c r="I325" s="58">
        <f>IFERROR(VLOOKUP(C325,'Infos Clientes'!B:E,4,),"")</f>
        <v>319</v>
      </c>
      <c r="J325" s="109">
        <v>0.25</v>
      </c>
      <c r="K325" s="59">
        <f>INDEX('Infos Clientes'!$M:$M,MATCH('Detalhe Por UC'!C325,'Infos Clientes'!B:B,0))</f>
        <v>0.25</v>
      </c>
      <c r="L325" s="125"/>
      <c r="M325" s="56">
        <f>INDEX('Infos Clientes'!$N:$N,MATCH('Detalhe Por UC'!C325,'Infos Clientes'!B:B,0))</f>
        <v>0</v>
      </c>
      <c r="N325" s="56">
        <f t="shared" si="155"/>
        <v>0</v>
      </c>
      <c r="O325" s="56">
        <f t="shared" si="156"/>
        <v>9</v>
      </c>
      <c r="P325" s="56">
        <f t="shared" si="157"/>
        <v>0</v>
      </c>
      <c r="Q325" s="61">
        <f>IFERROR(IFERROR(INDEX('Infos Clientes'!$A$2:$V$9884,MATCH($C325,'Infos Clientes'!$B$2:$B$9884,0),MATCH(Q$8,'Infos Clientes'!$A$2:$V$2,0)),"")
+IF(OR(INDEX('Infos Clientes'!$A$2:$V$9884,MATCH($C325,'Infos Clientes'!$B$2:$B$9884,0),MATCH("Tempo de Fidelidade (meses)",'Infos Clientes'!$A$2:$V$2,0))=0,R325&gt;=MAX(R:R)),0,
ROUND((MAX(R:R)-R325)/(365/12),0)),"")</f>
        <v>0</v>
      </c>
      <c r="R325" s="111">
        <v>45717</v>
      </c>
      <c r="S325" s="63">
        <v>0.01</v>
      </c>
      <c r="T325" s="113" t="str">
        <f>IF($H325="GIROSSOL II",AP325/INDEX('Resumo Operacional'!$A$1:$P$1103,17,MATCH('Detalhe Por UC'!$R325,'Resumo Operacional'!$A$1:$P$1,0)),
IF($H325="GIROSSOL II e III",AP325/INDEX('Resumo Operacional'!$A$1:$P$1103,17,MATCH('Detalhe Por UC'!$R325,'Resumo Operacional'!$A$1:$P$1,0)),
""))</f>
        <v/>
      </c>
      <c r="U325" s="113">
        <f>IF($H325="GIROSSOL III",AP325/INDEX('Resumo Operacional'!$A$1:$P$1103,53,MATCH('Detalhe Por UC'!$R325,'Resumo Operacional'!$A$1:$P$1,0)),
IF($H325="GIROSSOL II e III",AP325/INDEX('Resumo Operacional'!$A$1:$P$1103,53,MATCH('Detalhe Por UC'!$R325,'Resumo Operacional'!$A$1:$P$1,0)),
""))</f>
        <v>0</v>
      </c>
      <c r="V325" s="18"/>
      <c r="W325" s="18"/>
      <c r="X325" s="18">
        <v>1.1162586605080831</v>
      </c>
      <c r="Y325" s="18"/>
      <c r="Z325" s="66">
        <v>0</v>
      </c>
      <c r="AA325" s="18"/>
      <c r="AB325" s="68">
        <v>433</v>
      </c>
      <c r="AC325" s="18"/>
      <c r="AD325" s="69">
        <v>0</v>
      </c>
      <c r="AE325" s="35"/>
      <c r="AF325" s="69">
        <v>0</v>
      </c>
      <c r="AG325" s="69">
        <v>0</v>
      </c>
      <c r="AH325" s="16">
        <v>84.93</v>
      </c>
      <c r="AI325" s="16">
        <v>0</v>
      </c>
      <c r="AJ325" s="16">
        <v>0</v>
      </c>
      <c r="AN325" s="71">
        <f t="shared" si="158"/>
        <v>0</v>
      </c>
      <c r="AO325" s="71">
        <f t="shared" si="159"/>
        <v>0</v>
      </c>
      <c r="AP325" s="71">
        <f t="shared" si="160"/>
        <v>0</v>
      </c>
      <c r="AQ325" s="72">
        <f>IF(OR($H325="GIROSSOL II",$H325="GIROSSOL II e III"),INDEX('Resumo Operacional'!$A$1:$P$1103,MATCH("Energia Injetada prevista total Fatura da Usina (TUSD)",'Resumo Operacional'!$B$1:$B$1103,0),MATCH('Detalhe Por UC'!$R325,'Resumo Operacional'!$A$1:$P$1,0))*$S325,INDEX('Resumo Operacional'!$A$1:$P$1103,53,MATCH('Detalhe Por UC'!$R325,'Resumo Operacional'!$A$1:$P$1,0))*$S325)</f>
        <v>120.43</v>
      </c>
      <c r="AR325" s="71">
        <f t="shared" si="161"/>
        <v>-120.43</v>
      </c>
      <c r="AS325" s="73">
        <f t="shared" si="162"/>
        <v>568.27</v>
      </c>
      <c r="AT325" s="74">
        <f t="shared" si="163"/>
        <v>568.27</v>
      </c>
      <c r="AU325" s="74" t="str">
        <f t="shared" si="164"/>
        <v/>
      </c>
      <c r="AV325" s="74">
        <f t="shared" si="165"/>
        <v>0</v>
      </c>
      <c r="AW325" s="74">
        <f t="shared" si="166"/>
        <v>0</v>
      </c>
      <c r="AX325" s="74">
        <f t="shared" si="167"/>
        <v>0</v>
      </c>
      <c r="AY325" s="74" t="str">
        <f t="shared" si="168"/>
        <v/>
      </c>
      <c r="AZ325" s="49" t="s">
        <v>354</v>
      </c>
      <c r="BA325" s="49">
        <v>0</v>
      </c>
      <c r="BC325" s="73" t="str">
        <f t="shared" si="169"/>
        <v/>
      </c>
      <c r="BD325" s="73">
        <f t="shared" si="170"/>
        <v>568.27</v>
      </c>
      <c r="BE325" s="73">
        <f t="shared" si="171"/>
        <v>568.27</v>
      </c>
      <c r="BF325" s="77">
        <f t="shared" si="172"/>
        <v>0</v>
      </c>
      <c r="BG325" s="77">
        <f t="shared" si="173"/>
        <v>0</v>
      </c>
      <c r="BH325" s="77">
        <f t="shared" si="174"/>
        <v>0</v>
      </c>
      <c r="BI325" s="78" t="str">
        <f t="shared" si="175"/>
        <v/>
      </c>
      <c r="BJ325" s="79">
        <f t="shared" si="176"/>
        <v>0</v>
      </c>
      <c r="BK325" s="80" t="str">
        <f t="shared" si="177"/>
        <v/>
      </c>
      <c r="BL325" s="80" t="str">
        <f t="shared" si="178"/>
        <v/>
      </c>
      <c r="BM325" s="79" t="str">
        <f t="shared" si="179"/>
        <v/>
      </c>
      <c r="BN325" s="81" t="str">
        <f t="shared" si="180"/>
        <v/>
      </c>
      <c r="BO325" s="82" t="str">
        <f t="shared" si="181"/>
        <v/>
      </c>
      <c r="BP325" s="81" t="str">
        <f t="shared" si="182"/>
        <v/>
      </c>
      <c r="BQ325" s="81" t="str">
        <f t="shared" si="183"/>
        <v/>
      </c>
      <c r="BR325" s="81" t="str">
        <f t="shared" si="184"/>
        <v/>
      </c>
      <c r="BS325" s="82">
        <f t="shared" si="185"/>
        <v>0</v>
      </c>
      <c r="BT325" s="82" t="str">
        <f t="shared" si="186"/>
        <v/>
      </c>
      <c r="BU325" s="82">
        <f t="shared" si="187"/>
        <v>0</v>
      </c>
      <c r="BW325" s="82">
        <f>IFERROR(INDEX('Infos Clientes'!$T:$T,MATCH('Detalhe Por UC'!$C325,'Infos Clientes'!B:B,0)),"")</f>
        <v>264</v>
      </c>
      <c r="BX325" s="83">
        <f t="shared" si="188"/>
        <v>0</v>
      </c>
      <c r="BY325" s="84" t="str">
        <f t="shared" si="189"/>
        <v/>
      </c>
      <c r="BZ325" s="85">
        <f>IF(_xlfn.MINIFS('Detalhe Por UC'!R:R,'Detalhe Por UC'!C:C,C325,'Detalhe Por UC'!AD:AD,"&gt;"&amp;0)=0,"",_xlfn.MINIFS('Detalhe Por UC'!R:R,'Detalhe Por UC'!C:C,C325,'Detalhe Por UC'!AD:AD,"&gt;"&amp;0))</f>
        <v>45658</v>
      </c>
      <c r="CA325" s="114">
        <f ca="1">IF(OR(S325&gt;0,AD325&gt;0),IFERROR(
SUMIFS(INDIRECT("'Infos Clientes'!$W"&amp;INDEX('Infos Clientes'!$C:$C,MATCH(C325,'Infos Clientes'!$H:$H,0))&amp;":$CZ"&amp;INDEX('Infos Clientes'!$C:$C,MATCH(C325,'Infos Clientes'!$H:$H,0))),'Infos Clientes'!$W$2:$CZ$2,"&gt;"&amp;$R325-365,'Infos Clientes'!$W$2:$CZ$2,"&lt;="&amp;$R325)/
COUNTIFS(INDIRECT("'Infos Clientes'!$W"&amp;INDEX('Infos Clientes'!$C:$C,MATCH(C325,'Infos Clientes'!$H:$H,0))&amp;":$CZ"&amp;INDEX('Infos Clientes'!$C:$C,MATCH(C325,'Infos Clientes'!$H:$H,0))),"&gt;="&amp;0,'Infos Clientes'!$W$2:$CZ$2,"&gt;"&amp;$R325-365,'Infos Clientes'!$W$2:$CZ$2,"&lt;="&amp;$R325),""),"")</f>
        <v>253.16666666666666</v>
      </c>
      <c r="CB325" s="87">
        <f>VLOOKUP(C325,'Infos Clientes'!B:L,11,0)</f>
        <v>0</v>
      </c>
      <c r="CC325" s="88" t="str">
        <f t="shared" si="190"/>
        <v>A Unidade Consumidora 10/52987-5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5" s="40"/>
      <c r="CF325" s="115">
        <f t="shared" si="191"/>
        <v>-568.27</v>
      </c>
    </row>
    <row r="326" spans="1:84" ht="16.2" hidden="1" customHeight="1" x14ac:dyDescent="0.3">
      <c r="A326" s="105" t="str">
        <f>INDEX('Infos Clientes'!$D:$D,MATCH('Detalhe Por UC'!C326,'Infos Clientes'!B:B,0))</f>
        <v>IGREJA DO EVANGELHO QUADRANGULAR</v>
      </c>
      <c r="B326" s="106" t="str">
        <f>INDEX('Infos Clientes'!$F:$F,MATCH('Detalhe Por UC'!C326,'Infos Clientes'!B:B,0))</f>
        <v>62.955.505/2391-19</v>
      </c>
      <c r="C326" s="31" t="s">
        <v>193</v>
      </c>
      <c r="D326" t="s">
        <v>351</v>
      </c>
      <c r="E326" s="1" t="s">
        <v>352</v>
      </c>
      <c r="F326" s="56" t="str">
        <f>INDEX('Infos Clientes'!$I:$I,MATCH('Detalhe Por UC'!C326,'Infos Clientes'!B:B,0))</f>
        <v>BT</v>
      </c>
      <c r="G326" s="56" t="str">
        <f>INDEX('Infos Clientes'!$J:$J,MATCH('Detalhe Por UC'!C326,'Infos Clientes'!B:B,0))</f>
        <v>bifasico</v>
      </c>
      <c r="H326" s="108" t="s">
        <v>138</v>
      </c>
      <c r="I326" s="58">
        <f>IFERROR(VLOOKUP(C326,'Infos Clientes'!B:E,4,),"")</f>
        <v>306</v>
      </c>
      <c r="J326" s="109">
        <v>0.25</v>
      </c>
      <c r="K326" s="59">
        <f>INDEX('Infos Clientes'!$M:$M,MATCH('Detalhe Por UC'!C326,'Infos Clientes'!B:B,0))</f>
        <v>0.25</v>
      </c>
      <c r="L326" s="125"/>
      <c r="M326" s="56">
        <f>INDEX('Infos Clientes'!$N:$N,MATCH('Detalhe Por UC'!C326,'Infos Clientes'!B:B,0))</f>
        <v>0</v>
      </c>
      <c r="N326" s="56">
        <f t="shared" si="155"/>
        <v>0</v>
      </c>
      <c r="O326" s="56">
        <f t="shared" si="156"/>
        <v>9</v>
      </c>
      <c r="P326" s="56">
        <f t="shared" si="157"/>
        <v>0</v>
      </c>
      <c r="Q326" s="61">
        <f>IFERROR(IFERROR(INDEX('Infos Clientes'!$A$2:$V$9884,MATCH($C326,'Infos Clientes'!$B$2:$B$9884,0),MATCH(Q$8,'Infos Clientes'!$A$2:$V$2,0)),"")
+IF(OR(INDEX('Infos Clientes'!$A$2:$V$9884,MATCH($C326,'Infos Clientes'!$B$2:$B$9884,0),MATCH("Tempo de Fidelidade (meses)",'Infos Clientes'!$A$2:$V$2,0))=0,R326&gt;=MAX(R:R)),0,
ROUND((MAX(R:R)-R326)/(365/12),0)),"")</f>
        <v>0</v>
      </c>
      <c r="R326" s="111">
        <v>45717</v>
      </c>
      <c r="S326" s="63">
        <v>0.02</v>
      </c>
      <c r="T326" s="113" t="str">
        <f>IF($H326="GIROSSOL II",AP326/INDEX('Resumo Operacional'!$A$1:$P$1103,17,MATCH('Detalhe Por UC'!$R326,'Resumo Operacional'!$A$1:$P$1,0)),
IF($H326="GIROSSOL II e III",AP326/INDEX('Resumo Operacional'!$A$1:$P$1103,17,MATCH('Detalhe Por UC'!$R326,'Resumo Operacional'!$A$1:$P$1,0)),
""))</f>
        <v/>
      </c>
      <c r="U326" s="113">
        <f>IF($H326="GIROSSOL III",AP326/INDEX('Resumo Operacional'!$A$1:$P$1103,53,MATCH('Detalhe Por UC'!$R326,'Resumo Operacional'!$A$1:$P$1,0)),
IF($H326="GIROSSOL II e III",AP326/INDEX('Resumo Operacional'!$A$1:$P$1103,53,MATCH('Detalhe Por UC'!$R326,'Resumo Operacional'!$A$1:$P$1,0)),
""))</f>
        <v>0</v>
      </c>
      <c r="V326" s="18"/>
      <c r="W326" s="18"/>
      <c r="X326" s="18">
        <v>1.1162395543175487</v>
      </c>
      <c r="Y326" s="18"/>
      <c r="Z326" s="66">
        <v>0</v>
      </c>
      <c r="AA326" s="18"/>
      <c r="AB326" s="68">
        <v>359</v>
      </c>
      <c r="AC326" s="18"/>
      <c r="AD326" s="69">
        <v>0</v>
      </c>
      <c r="AE326" s="35"/>
      <c r="AF326" s="69">
        <v>0</v>
      </c>
      <c r="AG326" s="69">
        <v>0</v>
      </c>
      <c r="AH326" s="16">
        <v>-19.5</v>
      </c>
      <c r="AI326" s="16">
        <v>0</v>
      </c>
      <c r="AJ326" s="16">
        <v>0</v>
      </c>
      <c r="AN326" s="71">
        <f t="shared" si="158"/>
        <v>0</v>
      </c>
      <c r="AO326" s="71">
        <f t="shared" si="159"/>
        <v>0</v>
      </c>
      <c r="AP326" s="71">
        <f t="shared" si="160"/>
        <v>0</v>
      </c>
      <c r="AQ326" s="72">
        <f>IF(OR($H326="GIROSSOL II",$H326="GIROSSOL II e III"),INDEX('Resumo Operacional'!$A$1:$P$1103,MATCH("Energia Injetada prevista total Fatura da Usina (TUSD)",'Resumo Operacional'!$B$1:$B$1103,0),MATCH('Detalhe Por UC'!$R326,'Resumo Operacional'!$A$1:$P$1,0))*$S326,INDEX('Resumo Operacional'!$A$1:$P$1103,53,MATCH('Detalhe Por UC'!$R326,'Resumo Operacional'!$A$1:$P$1,0))*$S326)</f>
        <v>240.86</v>
      </c>
      <c r="AR326" s="71">
        <f t="shared" si="161"/>
        <v>-240.86</v>
      </c>
      <c r="AS326" s="73">
        <f t="shared" si="162"/>
        <v>381.23</v>
      </c>
      <c r="AT326" s="74">
        <f t="shared" si="163"/>
        <v>381.23</v>
      </c>
      <c r="AU326" s="74" t="str">
        <f t="shared" si="164"/>
        <v/>
      </c>
      <c r="AV326" s="74">
        <f t="shared" si="165"/>
        <v>0</v>
      </c>
      <c r="AW326" s="74">
        <f t="shared" si="166"/>
        <v>0</v>
      </c>
      <c r="AX326" s="74">
        <f t="shared" si="167"/>
        <v>0</v>
      </c>
      <c r="AY326" s="74" t="str">
        <f t="shared" si="168"/>
        <v/>
      </c>
      <c r="AZ326" s="49" t="s">
        <v>354</v>
      </c>
      <c r="BA326" s="49">
        <v>0</v>
      </c>
      <c r="BC326" s="73" t="str">
        <f t="shared" si="169"/>
        <v/>
      </c>
      <c r="BD326" s="73">
        <f t="shared" si="170"/>
        <v>381.23</v>
      </c>
      <c r="BE326" s="73">
        <f t="shared" si="171"/>
        <v>381.23</v>
      </c>
      <c r="BF326" s="77">
        <f t="shared" si="172"/>
        <v>0</v>
      </c>
      <c r="BG326" s="77">
        <f t="shared" si="173"/>
        <v>0</v>
      </c>
      <c r="BH326" s="77">
        <f t="shared" si="174"/>
        <v>0</v>
      </c>
      <c r="BI326" s="78" t="str">
        <f t="shared" si="175"/>
        <v/>
      </c>
      <c r="BJ326" s="79">
        <f t="shared" si="176"/>
        <v>0</v>
      </c>
      <c r="BK326" s="80" t="str">
        <f t="shared" si="177"/>
        <v/>
      </c>
      <c r="BL326" s="80" t="str">
        <f t="shared" si="178"/>
        <v/>
      </c>
      <c r="BM326" s="79" t="str">
        <f t="shared" si="179"/>
        <v/>
      </c>
      <c r="BN326" s="81" t="str">
        <f t="shared" si="180"/>
        <v/>
      </c>
      <c r="BO326" s="82" t="str">
        <f t="shared" si="181"/>
        <v/>
      </c>
      <c r="BP326" s="81" t="str">
        <f t="shared" si="182"/>
        <v/>
      </c>
      <c r="BQ326" s="81" t="str">
        <f t="shared" si="183"/>
        <v/>
      </c>
      <c r="BR326" s="81" t="str">
        <f t="shared" si="184"/>
        <v/>
      </c>
      <c r="BS326" s="82">
        <f t="shared" si="185"/>
        <v>0</v>
      </c>
      <c r="BT326" s="82" t="str">
        <f t="shared" si="186"/>
        <v/>
      </c>
      <c r="BU326" s="82">
        <f t="shared" si="187"/>
        <v>0</v>
      </c>
      <c r="BW326" s="82">
        <f>IFERROR(INDEX('Infos Clientes'!$T:$T,MATCH('Detalhe Por UC'!$C326,'Infos Clientes'!B:B,0)),"")</f>
        <v>330.27272727272725</v>
      </c>
      <c r="BX326" s="83">
        <f t="shared" si="188"/>
        <v>0</v>
      </c>
      <c r="BY326" s="84" t="str">
        <f t="shared" si="189"/>
        <v/>
      </c>
      <c r="BZ326" s="85">
        <f>IF(_xlfn.MINIFS('Detalhe Por UC'!R:R,'Detalhe Por UC'!C:C,C326,'Detalhe Por UC'!AD:AD,"&gt;"&amp;0)=0,"",_xlfn.MINIFS('Detalhe Por UC'!R:R,'Detalhe Por UC'!C:C,C326,'Detalhe Por UC'!AD:AD,"&gt;"&amp;0))</f>
        <v>45658</v>
      </c>
      <c r="CA326" s="114">
        <f ca="1">IF(OR(S326&gt;0,AD326&gt;0),IFERROR(
SUMIFS(INDIRECT("'Infos Clientes'!$W"&amp;INDEX('Infos Clientes'!$C:$C,MATCH(C326,'Infos Clientes'!$H:$H,0))&amp;":$CZ"&amp;INDEX('Infos Clientes'!$C:$C,MATCH(C326,'Infos Clientes'!$H:$H,0))),'Infos Clientes'!$W$2:$CZ$2,"&gt;"&amp;$R326-365,'Infos Clientes'!$W$2:$CZ$2,"&lt;="&amp;$R326)/
COUNTIFS(INDIRECT("'Infos Clientes'!$W"&amp;INDEX('Infos Clientes'!$C:$C,MATCH(C326,'Infos Clientes'!$H:$H,0))&amp;":$CZ"&amp;INDEX('Infos Clientes'!$C:$C,MATCH(C326,'Infos Clientes'!$H:$H,0))),"&gt;="&amp;0,'Infos Clientes'!$W$2:$CZ$2,"&gt;"&amp;$R326-365,'Infos Clientes'!$W$2:$CZ$2,"&lt;="&amp;$R326),""),"")</f>
        <v>297.08333333333331</v>
      </c>
      <c r="CB326" s="87">
        <f>VLOOKUP(C326,'Infos Clientes'!B:L,11,0)</f>
        <v>0</v>
      </c>
      <c r="CC326" s="88" t="str">
        <f t="shared" si="190"/>
        <v>A Unidade Consumidora 10/341308-5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6" s="40" t="s">
        <v>143</v>
      </c>
      <c r="CF326" s="115">
        <f t="shared" si="191"/>
        <v>-381.23</v>
      </c>
    </row>
    <row r="327" spans="1:84" ht="16.2" hidden="1" customHeight="1" x14ac:dyDescent="0.3">
      <c r="A327" s="105" t="str">
        <f>INDEX('Infos Clientes'!$D:$D,MATCH('Detalhe Por UC'!C327,'Infos Clientes'!B:B,0))</f>
        <v>IGREJA DO EVANGELHO QUADRANGULAR</v>
      </c>
      <c r="B327" s="106" t="str">
        <f>INDEX('Infos Clientes'!$F:$F,MATCH('Detalhe Por UC'!C327,'Infos Clientes'!B:B,0))</f>
        <v>62.955.505/1893-40</v>
      </c>
      <c r="C327" s="139" t="s">
        <v>214</v>
      </c>
      <c r="D327" t="s">
        <v>351</v>
      </c>
      <c r="E327" s="1" t="s">
        <v>352</v>
      </c>
      <c r="F327" s="56" t="str">
        <f>INDEX('Infos Clientes'!$I:$I,MATCH('Detalhe Por UC'!C327,'Infos Clientes'!B:B,0))</f>
        <v>BT</v>
      </c>
      <c r="G327" s="56" t="str">
        <f>INDEX('Infos Clientes'!$J:$J,MATCH('Detalhe Por UC'!C327,'Infos Clientes'!B:B,0))</f>
        <v>trifasico</v>
      </c>
      <c r="H327" s="108" t="s">
        <v>138</v>
      </c>
      <c r="I327" s="58">
        <f>IFERROR(VLOOKUP(C327,'Infos Clientes'!B:E,4,),"")</f>
        <v>349</v>
      </c>
      <c r="J327" s="109">
        <v>0.25</v>
      </c>
      <c r="K327" s="59">
        <f>INDEX('Infos Clientes'!$M:$M,MATCH('Detalhe Por UC'!C327,'Infos Clientes'!B:B,0))</f>
        <v>0.25</v>
      </c>
      <c r="L327" s="125"/>
      <c r="M327" s="56">
        <f>INDEX('Infos Clientes'!$N:$N,MATCH('Detalhe Por UC'!C327,'Infos Clientes'!B:B,0))</f>
        <v>0</v>
      </c>
      <c r="N327" s="56">
        <f t="shared" si="155"/>
        <v>0</v>
      </c>
      <c r="O327" s="56">
        <f t="shared" si="156"/>
        <v>1</v>
      </c>
      <c r="P327" s="56">
        <f t="shared" si="157"/>
        <v>0</v>
      </c>
      <c r="Q327" s="61">
        <f>IFERROR(IFERROR(INDEX('Infos Clientes'!$A$2:$V$9884,MATCH($C327,'Infos Clientes'!$B$2:$B$9884,0),MATCH(Q$8,'Infos Clientes'!$A$2:$V$2,0)),"")
+IF(OR(INDEX('Infos Clientes'!$A$2:$V$9884,MATCH($C327,'Infos Clientes'!$B$2:$B$9884,0),MATCH("Tempo de Fidelidade (meses)",'Infos Clientes'!$A$2:$V$2,0))=0,R327&gt;=MAX(R:R)),0,
ROUND((MAX(R:R)-R327)/(365/12),0)),"")</f>
        <v>0</v>
      </c>
      <c r="R327" s="111">
        <v>45717</v>
      </c>
      <c r="S327" s="63">
        <v>0.01</v>
      </c>
      <c r="T327" s="113" t="str">
        <f>IF($H327="GIROSSOL II",AP327/INDEX('Resumo Operacional'!$A$1:$P$1103,17,MATCH('Detalhe Por UC'!$R327,'Resumo Operacional'!$A$1:$P$1,0)),
IF($H327="GIROSSOL II e III",AP327/INDEX('Resumo Operacional'!$A$1:$P$1103,17,MATCH('Detalhe Por UC'!$R327,'Resumo Operacional'!$A$1:$P$1,0)),
""))</f>
        <v/>
      </c>
      <c r="U327" s="113">
        <f>IF($H327="GIROSSOL III",AP327/INDEX('Resumo Operacional'!$A$1:$P$1103,53,MATCH('Detalhe Por UC'!$R327,'Resumo Operacional'!$A$1:$P$1,0)),
IF($H327="GIROSSOL II e III",AP327/INDEX('Resumo Operacional'!$A$1:$P$1103,53,MATCH('Detalhe Por UC'!$R327,'Resumo Operacional'!$A$1:$P$1,0)),
""))</f>
        <v>0</v>
      </c>
      <c r="V327" s="18"/>
      <c r="W327" s="18"/>
      <c r="X327" s="18">
        <v>0</v>
      </c>
      <c r="Y327" s="18"/>
      <c r="Z327" s="66">
        <v>0</v>
      </c>
      <c r="AA327" s="18"/>
      <c r="AB327" s="68">
        <v>0</v>
      </c>
      <c r="AC327" s="18"/>
      <c r="AD327" s="69">
        <v>0</v>
      </c>
      <c r="AE327" s="35"/>
      <c r="AF327" s="69">
        <v>0</v>
      </c>
      <c r="AG327" s="69">
        <v>0</v>
      </c>
      <c r="AH327" s="16">
        <v>0</v>
      </c>
      <c r="AI327" s="16">
        <v>0</v>
      </c>
      <c r="AJ327" s="16">
        <v>0</v>
      </c>
      <c r="AN327" s="71">
        <f t="shared" si="158"/>
        <v>0</v>
      </c>
      <c r="AO327" s="71">
        <f t="shared" si="159"/>
        <v>0</v>
      </c>
      <c r="AP327" s="71">
        <f t="shared" si="160"/>
        <v>0</v>
      </c>
      <c r="AQ327" s="72">
        <f>IF(OR($H327="GIROSSOL II",$H327="GIROSSOL II e III"),INDEX('Resumo Operacional'!$A$1:$P$1103,MATCH("Energia Injetada prevista total Fatura da Usina (TUSD)",'Resumo Operacional'!$B$1:$B$1103,0),MATCH('Detalhe Por UC'!$R327,'Resumo Operacional'!$A$1:$P$1,0))*$S327,INDEX('Resumo Operacional'!$A$1:$P$1103,53,MATCH('Detalhe Por UC'!$R327,'Resumo Operacional'!$A$1:$P$1,0))*$S327)</f>
        <v>120.43</v>
      </c>
      <c r="AR327" s="71">
        <f t="shared" si="161"/>
        <v>-120.43</v>
      </c>
      <c r="AS327" s="73">
        <f t="shared" si="162"/>
        <v>0</v>
      </c>
      <c r="AT327" s="74">
        <f t="shared" si="163"/>
        <v>0</v>
      </c>
      <c r="AU327" s="74" t="str">
        <f t="shared" si="164"/>
        <v/>
      </c>
      <c r="AV327" s="74">
        <f t="shared" si="165"/>
        <v>0</v>
      </c>
      <c r="AW327" s="74">
        <f t="shared" si="166"/>
        <v>0</v>
      </c>
      <c r="AX327" s="74">
        <f t="shared" si="167"/>
        <v>0</v>
      </c>
      <c r="AY327" s="74" t="str">
        <f t="shared" si="168"/>
        <v/>
      </c>
      <c r="AZ327" s="49" t="s">
        <v>354</v>
      </c>
      <c r="BA327" s="49">
        <v>0</v>
      </c>
      <c r="BC327" s="73" t="str">
        <f t="shared" si="169"/>
        <v/>
      </c>
      <c r="BD327" s="73">
        <f t="shared" si="170"/>
        <v>0</v>
      </c>
      <c r="BE327" s="73">
        <f t="shared" si="171"/>
        <v>0</v>
      </c>
      <c r="BF327" s="77">
        <f t="shared" si="172"/>
        <v>0</v>
      </c>
      <c r="BG327" s="77">
        <f t="shared" si="173"/>
        <v>0</v>
      </c>
      <c r="BH327" s="77">
        <f t="shared" si="174"/>
        <v>0</v>
      </c>
      <c r="BI327" s="78" t="str">
        <f t="shared" si="175"/>
        <v/>
      </c>
      <c r="BJ327" s="79" t="str">
        <f t="shared" si="176"/>
        <v/>
      </c>
      <c r="BK327" s="80" t="str">
        <f t="shared" si="177"/>
        <v/>
      </c>
      <c r="BL327" s="80" t="str">
        <f t="shared" si="178"/>
        <v/>
      </c>
      <c r="BM327" s="79" t="str">
        <f t="shared" si="179"/>
        <v/>
      </c>
      <c r="BN327" s="81" t="str">
        <f t="shared" si="180"/>
        <v/>
      </c>
      <c r="BO327" s="82" t="str">
        <f t="shared" si="181"/>
        <v/>
      </c>
      <c r="BP327" s="81" t="str">
        <f t="shared" si="182"/>
        <v/>
      </c>
      <c r="BQ327" s="81" t="str">
        <f t="shared" si="183"/>
        <v/>
      </c>
      <c r="BR327" s="81" t="str">
        <f t="shared" si="184"/>
        <v/>
      </c>
      <c r="BS327" s="82">
        <f t="shared" si="185"/>
        <v>0</v>
      </c>
      <c r="BT327" s="82" t="str">
        <f t="shared" si="186"/>
        <v/>
      </c>
      <c r="BU327" s="82">
        <f t="shared" si="187"/>
        <v>0</v>
      </c>
      <c r="BW327" s="82">
        <f>IFERROR(INDEX('Infos Clientes'!$T:$T,MATCH('Detalhe Por UC'!$C327,'Infos Clientes'!B:B,0)),"")</f>
        <v>254.09090909090909</v>
      </c>
      <c r="BX327" s="83">
        <f t="shared" si="188"/>
        <v>0</v>
      </c>
      <c r="BY327" s="84" t="str">
        <f t="shared" si="189"/>
        <v/>
      </c>
      <c r="BZ327" s="85">
        <f>IF(_xlfn.MINIFS('Detalhe Por UC'!R:R,'Detalhe Por UC'!C:C,C327,'Detalhe Por UC'!AD:AD,"&gt;"&amp;0)=0,"",_xlfn.MINIFS('Detalhe Por UC'!R:R,'Detalhe Por UC'!C:C,C327,'Detalhe Por UC'!AD:AD,"&gt;"&amp;0))</f>
        <v>45658</v>
      </c>
      <c r="CA327" s="114">
        <f ca="1">IF(OR(S327&gt;0,AD327&gt;0),IFERROR(
SUMIFS(INDIRECT("'Infos Clientes'!$W"&amp;INDEX('Infos Clientes'!$C:$C,MATCH(C327,'Infos Clientes'!$H:$H,0))&amp;":$CZ"&amp;INDEX('Infos Clientes'!$C:$C,MATCH(C327,'Infos Clientes'!$H:$H,0))),'Infos Clientes'!$W$2:$CZ$2,"&gt;"&amp;$R327-365,'Infos Clientes'!$W$2:$CZ$2,"&lt;="&amp;$R327)/
COUNTIFS(INDIRECT("'Infos Clientes'!$W"&amp;INDEX('Infos Clientes'!$C:$C,MATCH(C327,'Infos Clientes'!$H:$H,0))&amp;":$CZ"&amp;INDEX('Infos Clientes'!$C:$C,MATCH(C327,'Infos Clientes'!$H:$H,0))),"&gt;="&amp;0,'Infos Clientes'!$W$2:$CZ$2,"&gt;"&amp;$R327-365,'Infos Clientes'!$W$2:$CZ$2,"&lt;="&amp;$R327),""),"")</f>
        <v>222.63636363636363</v>
      </c>
      <c r="CB327" s="87">
        <f>VLOOKUP(C327,'Infos Clientes'!B:L,11,0)</f>
        <v>0</v>
      </c>
      <c r="CC327" s="88" t="str">
        <f t="shared" si="190"/>
        <v>A Unidade Consumidora 10/512142-1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7" s="40" t="s">
        <v>66</v>
      </c>
      <c r="CF327" s="115">
        <f t="shared" si="191"/>
        <v>0</v>
      </c>
    </row>
    <row r="328" spans="1:84" ht="16.2" hidden="1" customHeight="1" x14ac:dyDescent="0.3">
      <c r="A328" s="105" t="str">
        <f>INDEX('Infos Clientes'!$D:$D,MATCH('Detalhe Por UC'!C328,'Infos Clientes'!B:B,0))</f>
        <v>IGREJA DO EVANGELHO QUADRANGULAR</v>
      </c>
      <c r="B328" s="106" t="str">
        <f>INDEX('Infos Clientes'!$F:$F,MATCH('Detalhe Por UC'!C328,'Infos Clientes'!B:B,0))</f>
        <v>62.955.505/3358-51</v>
      </c>
      <c r="C328" s="31" t="s">
        <v>150</v>
      </c>
      <c r="D328" t="s">
        <v>351</v>
      </c>
      <c r="E328" s="1" t="s">
        <v>352</v>
      </c>
      <c r="F328" s="56" t="str">
        <f>INDEX('Infos Clientes'!$I:$I,MATCH('Detalhe Por UC'!C328,'Infos Clientes'!B:B,0))</f>
        <v>BT</v>
      </c>
      <c r="G328" s="56" t="str">
        <f>INDEX('Infos Clientes'!$J:$J,MATCH('Detalhe Por UC'!C328,'Infos Clientes'!B:B,0))</f>
        <v>trifasico</v>
      </c>
      <c r="H328" s="108" t="s">
        <v>138</v>
      </c>
      <c r="I328" s="58">
        <f>IFERROR(VLOOKUP(C328,'Infos Clientes'!B:E,4,),"")</f>
        <v>306</v>
      </c>
      <c r="J328" s="109">
        <v>0.25</v>
      </c>
      <c r="K328" s="59">
        <f>INDEX('Infos Clientes'!$M:$M,MATCH('Detalhe Por UC'!C328,'Infos Clientes'!B:B,0))</f>
        <v>0.25</v>
      </c>
      <c r="L328" s="125"/>
      <c r="M328" s="56">
        <f>INDEX('Infos Clientes'!$N:$N,MATCH('Detalhe Por UC'!C328,'Infos Clientes'!B:B,0))</f>
        <v>0</v>
      </c>
      <c r="N328" s="56">
        <f t="shared" si="155"/>
        <v>0</v>
      </c>
      <c r="O328" s="56">
        <f t="shared" si="156"/>
        <v>10</v>
      </c>
      <c r="P328" s="56">
        <f t="shared" si="157"/>
        <v>0</v>
      </c>
      <c r="Q328" s="61">
        <f>IFERROR(IFERROR(INDEX('Infos Clientes'!$A$2:$V$9884,MATCH($C328,'Infos Clientes'!$B$2:$B$9884,0),MATCH(Q$8,'Infos Clientes'!$A$2:$V$2,0)),"")
+IF(OR(INDEX('Infos Clientes'!$A$2:$V$9884,MATCH($C328,'Infos Clientes'!$B$2:$B$9884,0),MATCH("Tempo de Fidelidade (meses)",'Infos Clientes'!$A$2:$V$2,0))=0,R328&gt;=MAX(R:R)),0,
ROUND((MAX(R:R)-R328)/(365/12),0)),"")</f>
        <v>0</v>
      </c>
      <c r="R328" s="111">
        <v>45717</v>
      </c>
      <c r="S328" s="63">
        <v>0.01</v>
      </c>
      <c r="T328" s="113" t="str">
        <f>IF($H328="GIROSSOL II",AP328/INDEX('Resumo Operacional'!$A$1:$P$1103,17,MATCH('Detalhe Por UC'!$R328,'Resumo Operacional'!$A$1:$P$1,0)),
IF($H328="GIROSSOL II e III",AP328/INDEX('Resumo Operacional'!$A$1:$P$1103,17,MATCH('Detalhe Por UC'!$R328,'Resumo Operacional'!$A$1:$P$1,0)),
""))</f>
        <v/>
      </c>
      <c r="U328" s="113">
        <f>IF($H328="GIROSSOL III",AP328/INDEX('Resumo Operacional'!$A$1:$P$1103,53,MATCH('Detalhe Por UC'!$R328,'Resumo Operacional'!$A$1:$P$1,0)),
IF($H328="GIROSSOL II e III",AP328/INDEX('Resumo Operacional'!$A$1:$P$1103,53,MATCH('Detalhe Por UC'!$R328,'Resumo Operacional'!$A$1:$P$1,0)),
""))</f>
        <v>0</v>
      </c>
      <c r="V328" s="18"/>
      <c r="W328" s="18"/>
      <c r="X328" s="18">
        <v>1.11625</v>
      </c>
      <c r="Y328" s="18"/>
      <c r="Z328" s="66">
        <v>0</v>
      </c>
      <c r="AA328" s="18"/>
      <c r="AB328" s="68">
        <v>248</v>
      </c>
      <c r="AC328" s="18"/>
      <c r="AD328" s="69">
        <v>0</v>
      </c>
      <c r="AE328" s="35"/>
      <c r="AF328" s="69">
        <v>0</v>
      </c>
      <c r="AG328" s="69">
        <v>0</v>
      </c>
      <c r="AH328" s="16">
        <v>0</v>
      </c>
      <c r="AI328" s="16">
        <v>0</v>
      </c>
      <c r="AJ328" s="16">
        <v>0</v>
      </c>
      <c r="AN328" s="71">
        <f t="shared" si="158"/>
        <v>0</v>
      </c>
      <c r="AO328" s="71">
        <f t="shared" si="159"/>
        <v>0</v>
      </c>
      <c r="AP328" s="71">
        <f t="shared" si="160"/>
        <v>0</v>
      </c>
      <c r="AQ328" s="72">
        <f>IF(OR($H328="GIROSSOL II",$H328="GIROSSOL II e III"),INDEX('Resumo Operacional'!$A$1:$P$1103,MATCH("Energia Injetada prevista total Fatura da Usina (TUSD)",'Resumo Operacional'!$B$1:$B$1103,0),MATCH('Detalhe Por UC'!$R328,'Resumo Operacional'!$A$1:$P$1,0))*$S328,INDEX('Resumo Operacional'!$A$1:$P$1103,53,MATCH('Detalhe Por UC'!$R328,'Resumo Operacional'!$A$1:$P$1,0))*$S328)</f>
        <v>120.43</v>
      </c>
      <c r="AR328" s="71">
        <f t="shared" si="161"/>
        <v>-120.43</v>
      </c>
      <c r="AS328" s="73">
        <f t="shared" si="162"/>
        <v>276.83</v>
      </c>
      <c r="AT328" s="74">
        <f t="shared" si="163"/>
        <v>276.83</v>
      </c>
      <c r="AU328" s="74" t="str">
        <f t="shared" si="164"/>
        <v/>
      </c>
      <c r="AV328" s="74">
        <f t="shared" si="165"/>
        <v>0</v>
      </c>
      <c r="AW328" s="74">
        <f t="shared" si="166"/>
        <v>0</v>
      </c>
      <c r="AX328" s="74">
        <f t="shared" si="167"/>
        <v>0</v>
      </c>
      <c r="AY328" s="74" t="str">
        <f t="shared" si="168"/>
        <v/>
      </c>
      <c r="AZ328" s="49">
        <v>22.65</v>
      </c>
      <c r="BC328" s="73" t="str">
        <f t="shared" si="169"/>
        <v/>
      </c>
      <c r="BD328" s="73">
        <f t="shared" si="170"/>
        <v>276.83</v>
      </c>
      <c r="BE328" s="73">
        <f t="shared" si="171"/>
        <v>276.83</v>
      </c>
      <c r="BF328" s="77">
        <f t="shared" si="172"/>
        <v>0</v>
      </c>
      <c r="BG328" s="77">
        <f t="shared" si="173"/>
        <v>0</v>
      </c>
      <c r="BH328" s="77">
        <f t="shared" si="174"/>
        <v>0</v>
      </c>
      <c r="BI328" s="78" t="str">
        <f t="shared" si="175"/>
        <v/>
      </c>
      <c r="BJ328" s="79">
        <f t="shared" si="176"/>
        <v>0</v>
      </c>
      <c r="BK328" s="80" t="str">
        <f t="shared" si="177"/>
        <v/>
      </c>
      <c r="BL328" s="80" t="str">
        <f t="shared" si="178"/>
        <v/>
      </c>
      <c r="BM328" s="79" t="str">
        <f t="shared" si="179"/>
        <v/>
      </c>
      <c r="BN328" s="81" t="str">
        <f t="shared" si="180"/>
        <v/>
      </c>
      <c r="BO328" s="82" t="str">
        <f t="shared" si="181"/>
        <v/>
      </c>
      <c r="BP328" s="81" t="str">
        <f t="shared" si="182"/>
        <v/>
      </c>
      <c r="BQ328" s="81" t="str">
        <f t="shared" si="183"/>
        <v/>
      </c>
      <c r="BR328" s="81" t="str">
        <f t="shared" si="184"/>
        <v/>
      </c>
      <c r="BS328" s="82">
        <f t="shared" si="185"/>
        <v>0</v>
      </c>
      <c r="BT328" s="82" t="str">
        <f t="shared" si="186"/>
        <v/>
      </c>
      <c r="BU328" s="82">
        <f t="shared" si="187"/>
        <v>0</v>
      </c>
      <c r="BW328" s="82">
        <f>IFERROR(INDEX('Infos Clientes'!$T:$T,MATCH('Detalhe Por UC'!$C328,'Infos Clientes'!B:B,0)),"")</f>
        <v>209.54545454545453</v>
      </c>
      <c r="BX328" s="83">
        <f t="shared" si="188"/>
        <v>0</v>
      </c>
      <c r="BY328" s="84" t="str">
        <f t="shared" si="189"/>
        <v/>
      </c>
      <c r="BZ328" s="85">
        <f>IF(_xlfn.MINIFS('Detalhe Por UC'!R:R,'Detalhe Por UC'!C:C,C328,'Detalhe Por UC'!AD:AD,"&gt;"&amp;0)=0,"",_xlfn.MINIFS('Detalhe Por UC'!R:R,'Detalhe Por UC'!C:C,C328,'Detalhe Por UC'!AD:AD,"&gt;"&amp;0))</f>
        <v>45658</v>
      </c>
      <c r="CA328" s="114">
        <f ca="1">IF(OR(S328&gt;0,AD328&gt;0),IFERROR(
SUMIFS(INDIRECT("'Infos Clientes'!$W"&amp;INDEX('Infos Clientes'!$C:$C,MATCH(C328,'Infos Clientes'!$H:$H,0))&amp;":$CZ"&amp;INDEX('Infos Clientes'!$C:$C,MATCH(C328,'Infos Clientes'!$H:$H,0))),'Infos Clientes'!$W$2:$CZ$2,"&gt;"&amp;$R328-365,'Infos Clientes'!$W$2:$CZ$2,"&lt;="&amp;$R328)/
COUNTIFS(INDIRECT("'Infos Clientes'!$W"&amp;INDEX('Infos Clientes'!$C:$C,MATCH(C328,'Infos Clientes'!$H:$H,0))&amp;":$CZ"&amp;INDEX('Infos Clientes'!$C:$C,MATCH(C328,'Infos Clientes'!$H:$H,0))),"&gt;="&amp;0,'Infos Clientes'!$W$2:$CZ$2,"&gt;"&amp;$R328-365,'Infos Clientes'!$W$2:$CZ$2,"&lt;="&amp;$R328),""),"")</f>
        <v>194.5</v>
      </c>
      <c r="CB328" s="87">
        <f>VLOOKUP(C328,'Infos Clientes'!B:L,11,0)</f>
        <v>0</v>
      </c>
      <c r="CC328" s="88" t="str">
        <f t="shared" si="190"/>
        <v>A Unidade Consumidora 10/1288241-1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8" s="40" t="s">
        <v>143</v>
      </c>
      <c r="CF328" s="115">
        <f t="shared" si="191"/>
        <v>-276.83</v>
      </c>
    </row>
    <row r="329" spans="1:84" ht="16.2" hidden="1" customHeight="1" x14ac:dyDescent="0.3">
      <c r="A329" s="105" t="str">
        <f>INDEX('Infos Clientes'!$D:$D,MATCH('Detalhe Por UC'!C329,'Infos Clientes'!B:B,0))</f>
        <v>IGREJA DO EVANGELHO QUADRANGULAR</v>
      </c>
      <c r="B329" s="106" t="str">
        <f>INDEX('Infos Clientes'!$F:$F,MATCH('Detalhe Por UC'!C329,'Infos Clientes'!B:B,0))</f>
        <v>62.955.505/0165-94</v>
      </c>
      <c r="C329" s="31" t="s">
        <v>169</v>
      </c>
      <c r="D329" t="s">
        <v>351</v>
      </c>
      <c r="E329" s="1" t="s">
        <v>352</v>
      </c>
      <c r="F329" s="56" t="str">
        <f>INDEX('Infos Clientes'!$I:$I,MATCH('Detalhe Por UC'!C329,'Infos Clientes'!B:B,0))</f>
        <v>BT</v>
      </c>
      <c r="G329" s="56" t="str">
        <f>INDEX('Infos Clientes'!$J:$J,MATCH('Detalhe Por UC'!C329,'Infos Clientes'!B:B,0))</f>
        <v>bifasico</v>
      </c>
      <c r="H329" s="108" t="s">
        <v>138</v>
      </c>
      <c r="I329" s="58">
        <f>IFERROR(VLOOKUP(C329,'Infos Clientes'!B:E,4,),"")</f>
        <v>302</v>
      </c>
      <c r="J329" s="109">
        <v>0.25</v>
      </c>
      <c r="K329" s="59">
        <f>INDEX('Infos Clientes'!$M:$M,MATCH('Detalhe Por UC'!C329,'Infos Clientes'!B:B,0))</f>
        <v>0.25</v>
      </c>
      <c r="L329" s="125"/>
      <c r="M329" s="56">
        <f>INDEX('Infos Clientes'!$N:$N,MATCH('Detalhe Por UC'!C329,'Infos Clientes'!B:B,0))</f>
        <v>0</v>
      </c>
      <c r="N329" s="56">
        <f t="shared" ref="N329:N392" si="192">COUNTIFS(C:C,C329,J:J,L329)</f>
        <v>0</v>
      </c>
      <c r="O329" s="56">
        <f t="shared" ref="O329:O392" si="193">COUNTIFS(C:C,C329,AD:AD,"&gt;0")</f>
        <v>9</v>
      </c>
      <c r="P329" s="56">
        <f t="shared" ref="P329:P393" si="194">M329-N329</f>
        <v>0</v>
      </c>
      <c r="Q329" s="61">
        <f>IFERROR(IFERROR(INDEX('Infos Clientes'!$A$2:$V$9884,MATCH($C329,'Infos Clientes'!$B$2:$B$9884,0),MATCH(Q$8,'Infos Clientes'!$A$2:$V$2,0)),"")
+IF(OR(INDEX('Infos Clientes'!$A$2:$V$9884,MATCH($C329,'Infos Clientes'!$B$2:$B$9884,0),MATCH("Tempo de Fidelidade (meses)",'Infos Clientes'!$A$2:$V$2,0))=0,R329&gt;=MAX(R:R)),0,
ROUND((MAX(R:R)-R329)/(365/12),0)),"")</f>
        <v>0</v>
      </c>
      <c r="R329" s="111">
        <v>45717</v>
      </c>
      <c r="S329" s="63">
        <v>0.02</v>
      </c>
      <c r="T329" s="113" t="str">
        <f>IF($H329="GIROSSOL II",AP329/INDEX('Resumo Operacional'!$A$1:$P$1103,17,MATCH('Detalhe Por UC'!$R329,'Resumo Operacional'!$A$1:$P$1,0)),
IF($H329="GIROSSOL II e III",AP329/INDEX('Resumo Operacional'!$A$1:$P$1103,17,MATCH('Detalhe Por UC'!$R329,'Resumo Operacional'!$A$1:$P$1,0)),
""))</f>
        <v/>
      </c>
      <c r="U329" s="113">
        <f>IF($H329="GIROSSOL III",AP329/INDEX('Resumo Operacional'!$A$1:$P$1103,53,MATCH('Detalhe Por UC'!$R329,'Resumo Operacional'!$A$1:$P$1,0)),
IF($H329="GIROSSOL II e III",AP329/INDEX('Resumo Operacional'!$A$1:$P$1103,53,MATCH('Detalhe Por UC'!$R329,'Resumo Operacional'!$A$1:$P$1,0)),
""))</f>
        <v>0</v>
      </c>
      <c r="V329" s="18"/>
      <c r="W329" s="18"/>
      <c r="X329" s="18">
        <v>1.11625</v>
      </c>
      <c r="Y329" s="18"/>
      <c r="Z329" s="66">
        <v>0</v>
      </c>
      <c r="AA329" s="18"/>
      <c r="AB329" s="68">
        <v>320</v>
      </c>
      <c r="AC329" s="18"/>
      <c r="AD329" s="69">
        <v>0</v>
      </c>
      <c r="AE329" s="35"/>
      <c r="AF329" s="69">
        <v>0</v>
      </c>
      <c r="AG329" s="69">
        <v>0</v>
      </c>
      <c r="AH329" s="16">
        <v>68.309999999999988</v>
      </c>
      <c r="AI329" s="16">
        <v>0</v>
      </c>
      <c r="AJ329" s="16">
        <v>0</v>
      </c>
      <c r="AN329" s="71">
        <f t="shared" ref="AN329:AN392" si="195">IF(X329="","",AF329-SUMIFS(AF:AF,$C:$C,$C329,$R:$R,EDATE($R329,-1)))</f>
        <v>0</v>
      </c>
      <c r="AO329" s="71">
        <f t="shared" ref="AO329:AO392" si="196">IF(X329="","",AG329-SUMIFS(AG:AG,$H:$H,$H329,$C:$C,$C329,$R:$R,EDATE($R329,-1)))</f>
        <v>0</v>
      </c>
      <c r="AP329" s="71">
        <f t="shared" ref="AP329:AP392" si="197">IFERROR(IF(D329="CRÉD. CONSUMIDO",SUM(AD329,AE329,AN329,AO329),IF(D329="GERADO",AQ329)),"")</f>
        <v>0</v>
      </c>
      <c r="AQ329" s="72">
        <f>IF(OR($H329="GIROSSOL II",$H329="GIROSSOL II e III"),INDEX('Resumo Operacional'!$A$1:$P$1103,MATCH("Energia Injetada prevista total Fatura da Usina (TUSD)",'Resumo Operacional'!$B$1:$B$1103,0),MATCH('Detalhe Por UC'!$R329,'Resumo Operacional'!$A$1:$P$1,0))*$S329,INDEX('Resumo Operacional'!$A$1:$P$1103,53,MATCH('Detalhe Por UC'!$R329,'Resumo Operacional'!$A$1:$P$1,0))*$S329)</f>
        <v>240.86</v>
      </c>
      <c r="AR329" s="71">
        <f t="shared" ref="AR329:AR392" si="198">IF(X329="","",AP329-AQ329)</f>
        <v>-240.86</v>
      </c>
      <c r="AS329" s="73">
        <f t="shared" ref="AS329:AS392" si="199">IFERROR((X329*AB329-Z329*AD329+Y329*AC329-AA329*AE329)+AH329+
IF(F329&lt;&gt;"BT",0,
IF(AND(G329="trifasico",AD329=0,AB329&lt;100),X329*(100-(AB329-AD329)),
IF(AND(G329="bifasico",AD329=0,AB329&lt;50),X329*(50-(AB329-AD329)),
IF(AND(G329="monofasico",AD329=0,AB329&lt;30),X329*(30-(AB329-AD329)),0)))),"")</f>
        <v>425.51</v>
      </c>
      <c r="AT329" s="74">
        <f t="shared" ref="AT329:AT392" si="200">IFERROR(AS329+AI329+AJ329,"")</f>
        <v>425.51</v>
      </c>
      <c r="AU329" s="74" t="str">
        <f t="shared" ref="AU329:AU392" si="201">IFERROR((Z329*AD329+AA329*AE329)/(AD329+AE329)-((X329-Z329)*AD329+(Y329-AA329)*AE329)/(AD329+AE329),"")</f>
        <v/>
      </c>
      <c r="AV329" s="74">
        <f t="shared" ref="AV329:AV392" si="202">IFERROR(IF(AND(E329="FINAL-Ñ.COMP",D329="CRÉD. CONSUMIDO"),(X329*(1-J329)-(X329-Z329))*AD329+(Y329*(1-J329)-(Y329-AA329))*AE329,
IF(AND(E329="T.COMP",D329="CRÉD. CONSUMIDO"),Z329*(1-J329)*AD329+AA329*(1-J329)*AE329,
IF(AND(E329="T.S.IMP",D329="CRÉD. CONSUMIDO"),V329*(1-J329)*AD329+W329*(1-J329)*AE329,
IF(AND(E329="T.S.IMP",D329="GERADO"),V329*(1-J329)*AQ329+W329*(1-J329)*AQ329,
IF(AND(E329="T.COMP",D329="GERADO"),AU329*(1-J329)*AQ329,
IF(AND(E329="FINAL-Ñ.COMP",D329="GERADO"),(AU329*(1-J329)-(X329-Z329))*AQ329,"ERRO")))))),"")</f>
        <v>0</v>
      </c>
      <c r="AW329" s="74">
        <f t="shared" ref="AW329:AW392" si="203">IF(45658=R329,0,IF(
SUMIFS($BA:$BA,$C:$C,$C329,$R:$R,EDATE($R329,-1))
&gt;=0,
SUMIFS(AY:AY,$C:$C,$C329,$R:$R,EDATE($R329,-1))-SUMIFS(BA:BA,$C:$C,$C329,$R:$R,EDATE($R329,-1)),0))</f>
        <v>0</v>
      </c>
      <c r="AX329" s="74">
        <f t="shared" ref="AX329:AX392" si="204">IFERROR(IF(AND(E329="FINAL-Ñ.COMP",D329="CRÉD. CONSUMIDO"),(X329-(X329-Z329))*AD329+(Y329-(Y329-AA329))*AE329,
IF(AND(E329="T.COMP",D329="CRÉD. CONSUMIDO"),Z329*AD329+AA329*AE329,
IF(AND(E329="T.S.IMP",D329="CRÉD. CONSUMIDO"),V329*AD329+W329*AE329,
IF(AND(E329="T.S.IMP",D329="GERADO"),V329*AQ329+W329*AQ329,
IF(AND(E329="T.COMP",D329="GERADO"),AU329*AQ329,
IF(AND(E329="FINAL-Ñ.COMP",D329="GERADO"),(AU329-(X329-Z329))*AQ329,"ERRO"))))))+AW329,"")</f>
        <v>0</v>
      </c>
      <c r="AY329" s="74" t="str">
        <f t="shared" ref="AY329:AY392" si="205">IF(AV329=0,IF(AW329=0,"",AW329),IFERROR(ROUND(IF(SUMIFS($BA:$BA,$C:$C,$C329,$R:$R,EDATE($R329,-1))&gt;0,AV329+AW329,AV329),2),""))</f>
        <v/>
      </c>
      <c r="AZ329" s="49" t="s">
        <v>354</v>
      </c>
      <c r="BA329" s="49">
        <v>0</v>
      </c>
      <c r="BC329" s="73" t="str">
        <f t="shared" ref="BC329:BC392" si="206">IF(BB329&gt;BA329,BB329-BA329,"")</f>
        <v/>
      </c>
      <c r="BD329" s="73">
        <f t="shared" ref="BD329:BD392" si="207">IF(AB329&gt;0,X329*AB329+Y329*AC329+AH329,AH329+
IF(AND(G329="trifasico",AB329-AD329=0),X329*(100-(AB329-AD329)),
IF(AND(G329="bifasico",AB329-AD329=0),X329*(50-(AB329-AD329)),
IF(AND(G329="monofasico",AB329-AD329=0),X329*(30-(AB329-AD329)),0))))</f>
        <v>425.51</v>
      </c>
      <c r="BE329" s="73">
        <f t="shared" ref="BE329:BE392" si="208">IFERROR(AS329+AV329,"")</f>
        <v>425.51</v>
      </c>
      <c r="BF329" s="77">
        <f t="shared" ref="BF329:BF392" si="209">ROUND(BD329-BE329,2)</f>
        <v>0</v>
      </c>
      <c r="BG329" s="77">
        <f t="shared" ref="BG329:BG392" si="210">BF329*0.3</f>
        <v>0</v>
      </c>
      <c r="BH329" s="77">
        <f t="shared" ref="BH329:BH392" si="211">(X329*AD329)-((X329-Z329)*AD329)</f>
        <v>0</v>
      </c>
      <c r="BI329" s="78" t="str">
        <f t="shared" ref="BI329:BI392" si="212">IFERROR(ROUND(IFERROR(IF(BF329=0,"",BF329/(AY329+Z329*J329*AD329+AA329*J329*AE329)),0),2),"")</f>
        <v/>
      </c>
      <c r="BJ329" s="79">
        <f t="shared" ref="BJ329:BJ392" si="213">IFERROR(BF329/BD329,"")</f>
        <v>0</v>
      </c>
      <c r="BK329" s="80" t="str">
        <f t="shared" ref="BK329:BK392" si="214">IFERROR(AS329+AY329,"")</f>
        <v/>
      </c>
      <c r="BL329" s="80" t="str">
        <f t="shared" ref="BL329:BL392" si="215">IFERROR(BD329-BK329,"")</f>
        <v/>
      </c>
      <c r="BM329" s="79" t="str">
        <f t="shared" ref="BM329:BM392" si="216">IFERROR(IF(BL329=0,"",BL329/BD329),"")</f>
        <v/>
      </c>
      <c r="BN329" s="81" t="str">
        <f t="shared" ref="BN329:BN392" si="217">IFERROR(IF(AD329="","",AY329/(AD329+AE329)),"")</f>
        <v/>
      </c>
      <c r="BO329" s="82" t="str">
        <f t="shared" ref="BO329:BO392" si="218">IF(OR(BN329="",BN329=0),"",BN329*(AD329+AE329))</f>
        <v/>
      </c>
      <c r="BP329" s="81" t="str">
        <f t="shared" ref="BP329:BP392" si="219">IFERROR(IF(AD329="","",AY329/AD329),"")</f>
        <v/>
      </c>
      <c r="BQ329" s="81" t="str">
        <f t="shared" ref="BQ329:BQ392" si="220">IFERROR(BP329+(X329-Z329),"")</f>
        <v/>
      </c>
      <c r="BR329" s="81" t="str">
        <f t="shared" ref="BR329:BR392" si="221">IFERROR(IF(AD329="","",(X329*AD329+Y329*AE329)/(AD329+AE329)),"")</f>
        <v/>
      </c>
      <c r="BS329" s="82">
        <f t="shared" ref="BS329:BS392" si="222">IFERROR(IF(D329="gerado",AQ329,AD329),"")</f>
        <v>0</v>
      </c>
      <c r="BT329" s="82" t="str">
        <f t="shared" ref="BT329:BT392" si="223">IF(OR(BR329="",BR329=0),"",BR329*(AD329+AE329))</f>
        <v/>
      </c>
      <c r="BU329" s="82">
        <f t="shared" ref="BU329:BU392" si="224">IFERROR(BS329*Z329,"")</f>
        <v>0</v>
      </c>
      <c r="BW329" s="82">
        <f>IFERROR(INDEX('Infos Clientes'!$T:$T,MATCH('Detalhe Por UC'!$C329,'Infos Clientes'!B:B,0)),"")</f>
        <v>287.36363636363637</v>
      </c>
      <c r="BX329" s="83">
        <f t="shared" ref="BX329:BX392" si="225">IFERROR(BW329*Q329,"")</f>
        <v>0</v>
      </c>
      <c r="BY329" s="84" t="str">
        <f t="shared" ref="BY329:BY392" si="226">IFERROR((X329-BQ329)/X329,"")</f>
        <v/>
      </c>
      <c r="BZ329" s="85">
        <f>IF(_xlfn.MINIFS('Detalhe Por UC'!R:R,'Detalhe Por UC'!C:C,C329,'Detalhe Por UC'!AD:AD,"&gt;"&amp;0)=0,"",_xlfn.MINIFS('Detalhe Por UC'!R:R,'Detalhe Por UC'!C:C,C329,'Detalhe Por UC'!AD:AD,"&gt;"&amp;0))</f>
        <v>45658</v>
      </c>
      <c r="CA329" s="114">
        <f ca="1">IF(OR(S329&gt;0,AD329&gt;0),IFERROR(
SUMIFS(INDIRECT("'Infos Clientes'!$W"&amp;INDEX('Infos Clientes'!$C:$C,MATCH(C329,'Infos Clientes'!$H:$H,0))&amp;":$CZ"&amp;INDEX('Infos Clientes'!$C:$C,MATCH(C329,'Infos Clientes'!$H:$H,0))),'Infos Clientes'!$W$2:$CZ$2,"&gt;"&amp;$R329-365,'Infos Clientes'!$W$2:$CZ$2,"&lt;="&amp;$R329)/
COUNTIFS(INDIRECT("'Infos Clientes'!$W"&amp;INDEX('Infos Clientes'!$C:$C,MATCH(C329,'Infos Clientes'!$H:$H,0))&amp;":$CZ"&amp;INDEX('Infos Clientes'!$C:$C,MATCH(C329,'Infos Clientes'!$H:$H,0))),"&gt;="&amp;0,'Infos Clientes'!$W$2:$CZ$2,"&gt;"&amp;$R329-365,'Infos Clientes'!$W$2:$CZ$2,"&lt;="&amp;$R329),""),"")</f>
        <v>268.16666666666669</v>
      </c>
      <c r="CB329" s="87">
        <f>VLOOKUP(C329,'Infos Clientes'!B:L,11,0)</f>
        <v>0</v>
      </c>
      <c r="CC329" s="88" t="str">
        <f t="shared" ref="CC329:CC392" si="227">"A Unidade Consumidora "&amp;C329&amp;" economizou R$"&amp;BF329&amp;" na fatura referente à "&amp;TEXT(R329,"mmm/aaaa")&amp;"  consumindo "&amp;AD329&amp;" kWh em créditos de energia renovável conforme fatura de energia. A economia foi de "&amp;$J329*100&amp;"% em relação ao que seria pago para a Energisa considerando os créditos consumidos. Atenção: Mantenha as contas da Energisa em dia para evitar cortes."</f>
        <v>A Unidade Consumidora 10/239312-2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29" s="40" t="s">
        <v>171</v>
      </c>
      <c r="CF329" s="115">
        <f t="shared" ref="CF329:CF392" si="228">CE329-AT329</f>
        <v>-425.51</v>
      </c>
    </row>
    <row r="330" spans="1:84" ht="16.2" hidden="1" customHeight="1" x14ac:dyDescent="0.3">
      <c r="A330" s="105" t="str">
        <f>INDEX('Infos Clientes'!$D:$D,MATCH('Detalhe Por UC'!C330,'Infos Clientes'!B:B,0))</f>
        <v>IGREJA DO EVANGELHO QUADRANGULAR</v>
      </c>
      <c r="B330" s="106" t="str">
        <f>INDEX('Infos Clientes'!$F:$F,MATCH('Detalhe Por UC'!C330,'Infos Clientes'!B:B,0))</f>
        <v>62.955.505/3124-87</v>
      </c>
      <c r="C330" s="31" t="s">
        <v>185</v>
      </c>
      <c r="D330" t="s">
        <v>351</v>
      </c>
      <c r="E330" s="1" t="s">
        <v>352</v>
      </c>
      <c r="F330" s="56" t="str">
        <f>INDEX('Infos Clientes'!$I:$I,MATCH('Detalhe Por UC'!C330,'Infos Clientes'!B:B,0))</f>
        <v>BT</v>
      </c>
      <c r="G330" s="56" t="str">
        <f>INDEX('Infos Clientes'!$J:$J,MATCH('Detalhe Por UC'!C330,'Infos Clientes'!B:B,0))</f>
        <v>trifasico</v>
      </c>
      <c r="H330" s="108" t="s">
        <v>138</v>
      </c>
      <c r="I330" s="58">
        <f>IFERROR(VLOOKUP(C330,'Infos Clientes'!B:E,4,),"")</f>
        <v>357</v>
      </c>
      <c r="J330" s="109">
        <v>0.25</v>
      </c>
      <c r="K330" s="59">
        <f>INDEX('Infos Clientes'!$M:$M,MATCH('Detalhe Por UC'!C330,'Infos Clientes'!B:B,0))</f>
        <v>0.25</v>
      </c>
      <c r="L330" s="125"/>
      <c r="M330" s="56">
        <f>INDEX('Infos Clientes'!$N:$N,MATCH('Detalhe Por UC'!C330,'Infos Clientes'!B:B,0))</f>
        <v>0</v>
      </c>
      <c r="N330" s="56">
        <f t="shared" si="192"/>
        <v>0</v>
      </c>
      <c r="O330" s="56">
        <f t="shared" si="193"/>
        <v>3</v>
      </c>
      <c r="P330" s="56">
        <f t="shared" si="194"/>
        <v>0</v>
      </c>
      <c r="Q330" s="61">
        <f>IFERROR(IFERROR(INDEX('Infos Clientes'!$A$2:$V$9884,MATCH($C330,'Infos Clientes'!$B$2:$B$9884,0),MATCH(Q$8,'Infos Clientes'!$A$2:$V$2,0)),"")
+IF(OR(INDEX('Infos Clientes'!$A$2:$V$9884,MATCH($C330,'Infos Clientes'!$B$2:$B$9884,0),MATCH("Tempo de Fidelidade (meses)",'Infos Clientes'!$A$2:$V$2,0))=0,R330&gt;=MAX(R:R)),0,
ROUND((MAX(R:R)-R330)/(365/12),0)),"")</f>
        <v>0</v>
      </c>
      <c r="R330" s="111">
        <v>45717</v>
      </c>
      <c r="S330" s="63">
        <v>0.01</v>
      </c>
      <c r="T330" s="113" t="str">
        <f>IF($H330="GIROSSOL II",AP330/INDEX('Resumo Operacional'!$A$1:$P$1103,17,MATCH('Detalhe Por UC'!$R330,'Resumo Operacional'!$A$1:$P$1,0)),
IF($H330="GIROSSOL II e III",AP330/INDEX('Resumo Operacional'!$A$1:$P$1103,17,MATCH('Detalhe Por UC'!$R330,'Resumo Operacional'!$A$1:$P$1,0)),
""))</f>
        <v/>
      </c>
      <c r="U330" s="113">
        <f>IF($H330="GIROSSOL III",AP330/INDEX('Resumo Operacional'!$A$1:$P$1103,53,MATCH('Detalhe Por UC'!$R330,'Resumo Operacional'!$A$1:$P$1,0)),
IF($H330="GIROSSOL II e III",AP330/INDEX('Resumo Operacional'!$A$1:$P$1103,53,MATCH('Detalhe Por UC'!$R330,'Resumo Operacional'!$A$1:$P$1,0)),
""))</f>
        <v>2.0177696587229097E-2</v>
      </c>
      <c r="V330" s="18"/>
      <c r="W330" s="18"/>
      <c r="X330" s="18">
        <v>1.11625</v>
      </c>
      <c r="Y330" s="18"/>
      <c r="Z330" s="66">
        <v>0.97408450704225347</v>
      </c>
      <c r="AA330" s="18"/>
      <c r="AB330" s="68">
        <v>160</v>
      </c>
      <c r="AC330" s="18"/>
      <c r="AD330" s="69">
        <v>71</v>
      </c>
      <c r="AE330" s="35"/>
      <c r="AF330" s="69">
        <v>172</v>
      </c>
      <c r="AG330" s="69">
        <v>0</v>
      </c>
      <c r="AH330" s="16">
        <v>49.03</v>
      </c>
      <c r="AI330" s="16">
        <v>0</v>
      </c>
      <c r="AJ330" s="16">
        <v>0</v>
      </c>
      <c r="AN330" s="71">
        <f t="shared" si="195"/>
        <v>172</v>
      </c>
      <c r="AO330" s="71">
        <f t="shared" si="196"/>
        <v>0</v>
      </c>
      <c r="AP330" s="71">
        <f t="shared" si="197"/>
        <v>243</v>
      </c>
      <c r="AQ330" s="72">
        <f>IF(OR($H330="GIROSSOL II",$H330="GIROSSOL II e III"),INDEX('Resumo Operacional'!$A$1:$P$1103,MATCH("Energia Injetada prevista total Fatura da Usina (TUSD)",'Resumo Operacional'!$B$1:$B$1103,0),MATCH('Detalhe Por UC'!$R330,'Resumo Operacional'!$A$1:$P$1,0))*$S330,INDEX('Resumo Operacional'!$A$1:$P$1103,53,MATCH('Detalhe Por UC'!$R330,'Resumo Operacional'!$A$1:$P$1,0))*$S330)</f>
        <v>120.43</v>
      </c>
      <c r="AR330" s="71">
        <f t="shared" si="198"/>
        <v>122.57</v>
      </c>
      <c r="AS330" s="73">
        <f t="shared" si="199"/>
        <v>158.47</v>
      </c>
      <c r="AT330" s="74">
        <f t="shared" si="200"/>
        <v>158.47</v>
      </c>
      <c r="AU330" s="74">
        <f t="shared" si="201"/>
        <v>0.83191901408450697</v>
      </c>
      <c r="AV330" s="74">
        <f t="shared" si="202"/>
        <v>51.87</v>
      </c>
      <c r="AW330" s="74">
        <f t="shared" si="203"/>
        <v>0</v>
      </c>
      <c r="AX330" s="74">
        <f t="shared" si="204"/>
        <v>69.16</v>
      </c>
      <c r="AY330" s="74">
        <f t="shared" si="205"/>
        <v>51.87</v>
      </c>
      <c r="AZ330" s="49">
        <v>51.87</v>
      </c>
      <c r="BA330" s="49">
        <v>51.87</v>
      </c>
      <c r="BB330" s="49">
        <v>51.87</v>
      </c>
      <c r="BC330" s="73" t="str">
        <f t="shared" si="206"/>
        <v/>
      </c>
      <c r="BD330" s="73">
        <f t="shared" si="207"/>
        <v>227.63</v>
      </c>
      <c r="BE330" s="73">
        <f t="shared" si="208"/>
        <v>210.34</v>
      </c>
      <c r="BF330" s="77">
        <f t="shared" si="209"/>
        <v>17.29</v>
      </c>
      <c r="BG330" s="77">
        <f t="shared" si="210"/>
        <v>5.1869999999999994</v>
      </c>
      <c r="BH330" s="77">
        <f t="shared" si="211"/>
        <v>69.16</v>
      </c>
      <c r="BI330" s="78">
        <f t="shared" si="212"/>
        <v>0.25</v>
      </c>
      <c r="BJ330" s="79">
        <f t="shared" si="213"/>
        <v>7.5956596230725301E-2</v>
      </c>
      <c r="BK330" s="80">
        <f t="shared" si="214"/>
        <v>210.34</v>
      </c>
      <c r="BL330" s="80">
        <f t="shared" si="215"/>
        <v>17.289999999999992</v>
      </c>
      <c r="BM330" s="79">
        <f t="shared" si="216"/>
        <v>7.595659623072526E-2</v>
      </c>
      <c r="BN330" s="81">
        <f t="shared" si="217"/>
        <v>0.7305633802816901</v>
      </c>
      <c r="BO330" s="82">
        <f t="shared" si="218"/>
        <v>51.87</v>
      </c>
      <c r="BP330" s="81">
        <f t="shared" si="219"/>
        <v>0.7305633802816901</v>
      </c>
      <c r="BQ330" s="81">
        <f t="shared" si="220"/>
        <v>0.8727288732394366</v>
      </c>
      <c r="BR330" s="81">
        <f t="shared" si="221"/>
        <v>1.11625</v>
      </c>
      <c r="BS330" s="82">
        <f t="shared" si="222"/>
        <v>71</v>
      </c>
      <c r="BT330" s="82">
        <f t="shared" si="223"/>
        <v>79.253749999999997</v>
      </c>
      <c r="BU330" s="82">
        <f t="shared" si="224"/>
        <v>69.16</v>
      </c>
      <c r="BW330" s="82">
        <f>IFERROR(INDEX('Infos Clientes'!$T:$T,MATCH('Detalhe Por UC'!$C330,'Infos Clientes'!B:B,0)),"")</f>
        <v>178.4</v>
      </c>
      <c r="BX330" s="83">
        <f t="shared" si="225"/>
        <v>0</v>
      </c>
      <c r="BY330" s="84">
        <f t="shared" si="226"/>
        <v>0.21816002397362899</v>
      </c>
      <c r="BZ330" s="85">
        <f>IF(_xlfn.MINIFS('Detalhe Por UC'!R:R,'Detalhe Por UC'!C:C,C330,'Detalhe Por UC'!AD:AD,"&gt;"&amp;0)=0,"",_xlfn.MINIFS('Detalhe Por UC'!R:R,'Detalhe Por UC'!C:C,C330,'Detalhe Por UC'!AD:AD,"&gt;"&amp;0))</f>
        <v>45689</v>
      </c>
      <c r="CA330" s="114">
        <f ca="1">IF(OR(S330&gt;0,AD330&gt;0),IFERROR(
SUMIFS(INDIRECT("'Infos Clientes'!$W"&amp;INDEX('Infos Clientes'!$C:$C,MATCH(C330,'Infos Clientes'!$H:$H,0))&amp;":$CZ"&amp;INDEX('Infos Clientes'!$C:$C,MATCH(C330,'Infos Clientes'!$H:$H,0))),'Infos Clientes'!$W$2:$CZ$2,"&gt;"&amp;$R330-365,'Infos Clientes'!$W$2:$CZ$2,"&lt;="&amp;$R330)/
COUNTIFS(INDIRECT("'Infos Clientes'!$W"&amp;INDEX('Infos Clientes'!$C:$C,MATCH(C330,'Infos Clientes'!$H:$H,0))&amp;":$CZ"&amp;INDEX('Infos Clientes'!$C:$C,MATCH(C330,'Infos Clientes'!$H:$H,0))),"&gt;="&amp;0,'Infos Clientes'!$W$2:$CZ$2,"&gt;"&amp;$R330-365,'Infos Clientes'!$W$2:$CZ$2,"&lt;="&amp;$R330),""),"")</f>
        <v>161.90909090909091</v>
      </c>
      <c r="CB330" s="87">
        <f>VLOOKUP(C330,'Infos Clientes'!B:L,11,0)</f>
        <v>0</v>
      </c>
      <c r="CC330" s="88" t="str">
        <f t="shared" si="227"/>
        <v>A Unidade Consumidora 10/3054052-0 economizou R$17,29 na fatura referente à mar/2025  consumindo 71 kWh em créditos de energia renovável conforme fatura de energia. A economia foi de 25% em relação ao que seria pago para a Energisa considerando os créditos consumidos. Atenção: Mantenha as contas da Energisa em dia para evitar cortes.</v>
      </c>
      <c r="CD330" s="40" t="s">
        <v>186</v>
      </c>
      <c r="CF330" s="115">
        <f t="shared" si="228"/>
        <v>-158.47</v>
      </c>
    </row>
    <row r="331" spans="1:84" ht="16.2" hidden="1" customHeight="1" x14ac:dyDescent="0.3">
      <c r="A331" s="105" t="str">
        <f>INDEX('Infos Clientes'!$D:$D,MATCH('Detalhe Por UC'!C331,'Infos Clientes'!B:B,0))</f>
        <v>IGREJA DO EVANGELHO QUADRANGULAR</v>
      </c>
      <c r="B331" s="106" t="str">
        <f>INDEX('Infos Clientes'!$F:$F,MATCH('Detalhe Por UC'!C331,'Infos Clientes'!B:B,0))</f>
        <v>62.955.505/0001-67</v>
      </c>
      <c r="C331" s="31" t="s">
        <v>142</v>
      </c>
      <c r="D331" t="s">
        <v>351</v>
      </c>
      <c r="E331" s="1" t="s">
        <v>352</v>
      </c>
      <c r="F331" s="56" t="str">
        <f>INDEX('Infos Clientes'!$I:$I,MATCH('Detalhe Por UC'!C331,'Infos Clientes'!B:B,0))</f>
        <v>BT</v>
      </c>
      <c r="G331" s="56" t="str">
        <f>INDEX('Infos Clientes'!$J:$J,MATCH('Detalhe Por UC'!C331,'Infos Clientes'!B:B,0))</f>
        <v>bifasico</v>
      </c>
      <c r="H331" s="108" t="s">
        <v>138</v>
      </c>
      <c r="I331" s="58">
        <f>IFERROR(VLOOKUP(C331,'Infos Clientes'!B:E,4,),"")</f>
        <v>319</v>
      </c>
      <c r="J331" s="109">
        <v>0.25</v>
      </c>
      <c r="K331" s="59">
        <f>INDEX('Infos Clientes'!$M:$M,MATCH('Detalhe Por UC'!C331,'Infos Clientes'!B:B,0))</f>
        <v>0.25</v>
      </c>
      <c r="L331" s="125"/>
      <c r="M331" s="56">
        <f>INDEX('Infos Clientes'!$N:$N,MATCH('Detalhe Por UC'!C331,'Infos Clientes'!B:B,0))</f>
        <v>0</v>
      </c>
      <c r="N331" s="56">
        <f t="shared" si="192"/>
        <v>0</v>
      </c>
      <c r="O331" s="56">
        <f t="shared" si="193"/>
        <v>9</v>
      </c>
      <c r="P331" s="56">
        <f t="shared" si="194"/>
        <v>0</v>
      </c>
      <c r="Q331" s="61">
        <f>IFERROR(IFERROR(INDEX('Infos Clientes'!$A$2:$V$9884,MATCH($C331,'Infos Clientes'!$B$2:$B$9884,0),MATCH(Q$8,'Infos Clientes'!$A$2:$V$2,0)),"")
+IF(OR(INDEX('Infos Clientes'!$A$2:$V$9884,MATCH($C331,'Infos Clientes'!$B$2:$B$9884,0),MATCH("Tempo de Fidelidade (meses)",'Infos Clientes'!$A$2:$V$2,0))=0,R331&gt;=MAX(R:R)),0,
ROUND((MAX(R:R)-R331)/(365/12),0)),"")</f>
        <v>0</v>
      </c>
      <c r="R331" s="111">
        <v>45717</v>
      </c>
      <c r="S331" s="63">
        <v>0.02</v>
      </c>
      <c r="T331" s="113" t="str">
        <f>IF($H331="GIROSSOL II",AP331/INDEX('Resumo Operacional'!$A$1:$P$1103,17,MATCH('Detalhe Por UC'!$R331,'Resumo Operacional'!$A$1:$P$1,0)),
IF($H331="GIROSSOL II e III",AP331/INDEX('Resumo Operacional'!$A$1:$P$1103,17,MATCH('Detalhe Por UC'!$R331,'Resumo Operacional'!$A$1:$P$1,0)),
""))</f>
        <v/>
      </c>
      <c r="U331" s="113">
        <f>IF($H331="GIROSSOL III",AP331/INDEX('Resumo Operacional'!$A$1:$P$1103,53,MATCH('Detalhe Por UC'!$R331,'Resumo Operacional'!$A$1:$P$1,0)),
IF($H331="GIROSSOL II e III",AP331/INDEX('Resumo Operacional'!$A$1:$P$1103,53,MATCH('Detalhe Por UC'!$R331,'Resumo Operacional'!$A$1:$P$1,0)),
""))</f>
        <v>0</v>
      </c>
      <c r="V331" s="18"/>
      <c r="W331" s="18"/>
      <c r="X331" s="18">
        <v>1.11625</v>
      </c>
      <c r="Y331" s="18"/>
      <c r="Z331" s="66">
        <v>0</v>
      </c>
      <c r="AA331" s="18"/>
      <c r="AB331" s="68">
        <v>320</v>
      </c>
      <c r="AC331" s="18"/>
      <c r="AD331" s="69">
        <v>0</v>
      </c>
      <c r="AE331" s="35"/>
      <c r="AF331" s="69">
        <v>0</v>
      </c>
      <c r="AG331" s="69">
        <v>0</v>
      </c>
      <c r="AH331" s="16">
        <v>11.63</v>
      </c>
      <c r="AI331" s="16">
        <v>0</v>
      </c>
      <c r="AJ331" s="16">
        <v>0</v>
      </c>
      <c r="AN331" s="71">
        <f t="shared" si="195"/>
        <v>0</v>
      </c>
      <c r="AO331" s="71">
        <f t="shared" si="196"/>
        <v>0</v>
      </c>
      <c r="AP331" s="71">
        <f t="shared" si="197"/>
        <v>0</v>
      </c>
      <c r="AQ331" s="72">
        <f>IF(OR($H331="GIROSSOL II",$H331="GIROSSOL II e III"),INDEX('Resumo Operacional'!$A$1:$P$1103,MATCH("Energia Injetada prevista total Fatura da Usina (TUSD)",'Resumo Operacional'!$B$1:$B$1103,0),MATCH('Detalhe Por UC'!$R331,'Resumo Operacional'!$A$1:$P$1,0))*$S331,INDEX('Resumo Operacional'!$A$1:$P$1103,53,MATCH('Detalhe Por UC'!$R331,'Resumo Operacional'!$A$1:$P$1,0))*$S331)</f>
        <v>240.86</v>
      </c>
      <c r="AR331" s="71">
        <f t="shared" si="198"/>
        <v>-240.86</v>
      </c>
      <c r="AS331" s="73">
        <f t="shared" si="199"/>
        <v>368.83</v>
      </c>
      <c r="AT331" s="74">
        <f t="shared" si="200"/>
        <v>368.83</v>
      </c>
      <c r="AU331" s="74" t="str">
        <f t="shared" si="201"/>
        <v/>
      </c>
      <c r="AV331" s="74">
        <f t="shared" si="202"/>
        <v>0</v>
      </c>
      <c r="AW331" s="74">
        <f t="shared" si="203"/>
        <v>0</v>
      </c>
      <c r="AX331" s="74">
        <f t="shared" si="204"/>
        <v>0</v>
      </c>
      <c r="AY331" s="74" t="str">
        <f t="shared" si="205"/>
        <v/>
      </c>
      <c r="AZ331" s="49" t="s">
        <v>354</v>
      </c>
      <c r="BA331" s="49">
        <v>0</v>
      </c>
      <c r="BC331" s="73" t="str">
        <f t="shared" si="206"/>
        <v/>
      </c>
      <c r="BD331" s="73">
        <f t="shared" si="207"/>
        <v>368.83</v>
      </c>
      <c r="BE331" s="73">
        <f t="shared" si="208"/>
        <v>368.83</v>
      </c>
      <c r="BF331" s="77">
        <f t="shared" si="209"/>
        <v>0</v>
      </c>
      <c r="BG331" s="77">
        <f t="shared" si="210"/>
        <v>0</v>
      </c>
      <c r="BH331" s="77">
        <f t="shared" si="211"/>
        <v>0</v>
      </c>
      <c r="BI331" s="78" t="str">
        <f t="shared" si="212"/>
        <v/>
      </c>
      <c r="BJ331" s="79">
        <f t="shared" si="213"/>
        <v>0</v>
      </c>
      <c r="BK331" s="80" t="str">
        <f t="shared" si="214"/>
        <v/>
      </c>
      <c r="BL331" s="80" t="str">
        <f t="shared" si="215"/>
        <v/>
      </c>
      <c r="BM331" s="79" t="str">
        <f t="shared" si="216"/>
        <v/>
      </c>
      <c r="BN331" s="81" t="str">
        <f t="shared" si="217"/>
        <v/>
      </c>
      <c r="BO331" s="82" t="str">
        <f t="shared" si="218"/>
        <v/>
      </c>
      <c r="BP331" s="81" t="str">
        <f t="shared" si="219"/>
        <v/>
      </c>
      <c r="BQ331" s="81" t="str">
        <f t="shared" si="220"/>
        <v/>
      </c>
      <c r="BR331" s="81" t="str">
        <f t="shared" si="221"/>
        <v/>
      </c>
      <c r="BS331" s="82">
        <f t="shared" si="222"/>
        <v>0</v>
      </c>
      <c r="BT331" s="82" t="str">
        <f t="shared" si="223"/>
        <v/>
      </c>
      <c r="BU331" s="82">
        <f t="shared" si="224"/>
        <v>0</v>
      </c>
      <c r="BW331" s="82">
        <f>IFERROR(INDEX('Infos Clientes'!$T:$T,MATCH('Detalhe Por UC'!$C331,'Infos Clientes'!B:B,0)),"")</f>
        <v>244.81818181818181</v>
      </c>
      <c r="BX331" s="83">
        <f t="shared" si="225"/>
        <v>0</v>
      </c>
      <c r="BY331" s="84" t="str">
        <f t="shared" si="226"/>
        <v/>
      </c>
      <c r="BZ331" s="85">
        <f>IF(_xlfn.MINIFS('Detalhe Por UC'!R:R,'Detalhe Por UC'!C:C,C331,'Detalhe Por UC'!AD:AD,"&gt;"&amp;0)=0,"",_xlfn.MINIFS('Detalhe Por UC'!R:R,'Detalhe Por UC'!C:C,C331,'Detalhe Por UC'!AD:AD,"&gt;"&amp;0))</f>
        <v>45658</v>
      </c>
      <c r="CA331" s="114">
        <f ca="1">IF(OR(S331&gt;0,AD331&gt;0),IFERROR(
SUMIFS(INDIRECT("'Infos Clientes'!$W"&amp;INDEX('Infos Clientes'!$C:$C,MATCH(C331,'Infos Clientes'!$H:$H,0))&amp;":$CZ"&amp;INDEX('Infos Clientes'!$C:$C,MATCH(C331,'Infos Clientes'!$H:$H,0))),'Infos Clientes'!$W$2:$CZ$2,"&gt;"&amp;$R331-365,'Infos Clientes'!$W$2:$CZ$2,"&lt;="&amp;$R331)/
COUNTIFS(INDIRECT("'Infos Clientes'!$W"&amp;INDEX('Infos Clientes'!$C:$C,MATCH(C331,'Infos Clientes'!$H:$H,0))&amp;":$CZ"&amp;INDEX('Infos Clientes'!$C:$C,MATCH(C331,'Infos Clientes'!$H:$H,0))),"&gt;="&amp;0,'Infos Clientes'!$W$2:$CZ$2,"&gt;"&amp;$R331-365,'Infos Clientes'!$W$2:$CZ$2,"&lt;="&amp;$R331),""),"")</f>
        <v>250.66666666666666</v>
      </c>
      <c r="CB331" s="87">
        <f>VLOOKUP(C331,'Infos Clientes'!B:L,11,0)</f>
        <v>0</v>
      </c>
      <c r="CC331" s="88" t="str">
        <f t="shared" si="227"/>
        <v>A Unidade Consumidora 10/109074-5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1" s="40" t="s">
        <v>143</v>
      </c>
      <c r="CF331" s="115">
        <f t="shared" si="228"/>
        <v>-368.83</v>
      </c>
    </row>
    <row r="332" spans="1:84" ht="16.2" hidden="1" customHeight="1" x14ac:dyDescent="0.3">
      <c r="A332" s="105" t="str">
        <f>INDEX('Infos Clientes'!$D:$D,MATCH('Detalhe Por UC'!C332,'Infos Clientes'!B:B,0))</f>
        <v>IGREJA DO EVANGELHO QUADRANGULAR</v>
      </c>
      <c r="B332" s="106" t="str">
        <f>INDEX('Infos Clientes'!$F:$F,MATCH('Detalhe Por UC'!C332,'Infos Clientes'!B:B,0))</f>
        <v>62.955.505/0408-94</v>
      </c>
      <c r="C332" s="31" t="s">
        <v>144</v>
      </c>
      <c r="D332" t="s">
        <v>351</v>
      </c>
      <c r="E332" s="1" t="s">
        <v>352</v>
      </c>
      <c r="F332" s="56" t="str">
        <f>INDEX('Infos Clientes'!$I:$I,MATCH('Detalhe Por UC'!C332,'Infos Clientes'!B:B,0))</f>
        <v>BT</v>
      </c>
      <c r="G332" s="56" t="str">
        <f>INDEX('Infos Clientes'!$J:$J,MATCH('Detalhe Por UC'!C332,'Infos Clientes'!B:B,0))</f>
        <v>bifasico</v>
      </c>
      <c r="H332" s="108" t="s">
        <v>138</v>
      </c>
      <c r="I332" s="58">
        <f>IFERROR(VLOOKUP(C332,'Infos Clientes'!B:E,4,),"")</f>
        <v>371</v>
      </c>
      <c r="J332" s="109">
        <v>0.25</v>
      </c>
      <c r="K332" s="59">
        <f>INDEX('Infos Clientes'!$M:$M,MATCH('Detalhe Por UC'!C332,'Infos Clientes'!B:B,0))</f>
        <v>0.25</v>
      </c>
      <c r="L332" s="125"/>
      <c r="M332" s="56">
        <f>INDEX('Infos Clientes'!$N:$N,MATCH('Detalhe Por UC'!C332,'Infos Clientes'!B:B,0))</f>
        <v>0</v>
      </c>
      <c r="N332" s="56">
        <f t="shared" si="192"/>
        <v>0</v>
      </c>
      <c r="O332" s="56">
        <f t="shared" si="193"/>
        <v>9</v>
      </c>
      <c r="P332" s="56">
        <f t="shared" si="194"/>
        <v>0</v>
      </c>
      <c r="Q332" s="61">
        <f>IFERROR(IFERROR(INDEX('Infos Clientes'!$A$2:$V$9884,MATCH($C332,'Infos Clientes'!$B$2:$B$9884,0),MATCH(Q$8,'Infos Clientes'!$A$2:$V$2,0)),"")
+IF(OR(INDEX('Infos Clientes'!$A$2:$V$9884,MATCH($C332,'Infos Clientes'!$B$2:$B$9884,0),MATCH("Tempo de Fidelidade (meses)",'Infos Clientes'!$A$2:$V$2,0))=0,R332&gt;=MAX(R:R)),0,
ROUND((MAX(R:R)-R332)/(365/12),0)),"")</f>
        <v>0</v>
      </c>
      <c r="R332" s="111">
        <v>45717</v>
      </c>
      <c r="S332" s="63">
        <v>0.01</v>
      </c>
      <c r="T332" s="113" t="str">
        <f>IF($H332="GIROSSOL II",AP332/INDEX('Resumo Operacional'!$A$1:$P$1103,17,MATCH('Detalhe Por UC'!$R332,'Resumo Operacional'!$A$1:$P$1,0)),
IF($H332="GIROSSOL II e III",AP332/INDEX('Resumo Operacional'!$A$1:$P$1103,17,MATCH('Detalhe Por UC'!$R332,'Resumo Operacional'!$A$1:$P$1,0)),
""))</f>
        <v/>
      </c>
      <c r="U332" s="113">
        <f>IF($H332="GIROSSOL III",AP332/INDEX('Resumo Operacional'!$A$1:$P$1103,53,MATCH('Detalhe Por UC'!$R332,'Resumo Operacional'!$A$1:$P$1,0)),
IF($H332="GIROSSOL II e III",AP332/INDEX('Resumo Operacional'!$A$1:$P$1103,53,MATCH('Detalhe Por UC'!$R332,'Resumo Operacional'!$A$1:$P$1,0)),
""))</f>
        <v>9.9642946109773315E-3</v>
      </c>
      <c r="V332" s="18"/>
      <c r="W332" s="18"/>
      <c r="X332" s="18">
        <v>1.1162537764350453</v>
      </c>
      <c r="Y332" s="18"/>
      <c r="Z332" s="66">
        <v>0.9740833333333333</v>
      </c>
      <c r="AA332" s="18"/>
      <c r="AB332" s="68">
        <v>331</v>
      </c>
      <c r="AC332" s="18"/>
      <c r="AD332" s="69">
        <v>120</v>
      </c>
      <c r="AE332" s="35"/>
      <c r="AF332" s="69">
        <v>0</v>
      </c>
      <c r="AG332" s="69">
        <v>0</v>
      </c>
      <c r="AH332" s="16">
        <v>23.59</v>
      </c>
      <c r="AI332" s="16">
        <v>0</v>
      </c>
      <c r="AJ332" s="16">
        <v>0</v>
      </c>
      <c r="AN332" s="71">
        <f t="shared" si="195"/>
        <v>0</v>
      </c>
      <c r="AO332" s="71">
        <f t="shared" si="196"/>
        <v>0</v>
      </c>
      <c r="AP332" s="71">
        <f t="shared" si="197"/>
        <v>120</v>
      </c>
      <c r="AQ332" s="72">
        <f>IF(OR($H332="GIROSSOL II",$H332="GIROSSOL II e III"),INDEX('Resumo Operacional'!$A$1:$P$1103,MATCH("Energia Injetada prevista total Fatura da Usina (TUSD)",'Resumo Operacional'!$B$1:$B$1103,0),MATCH('Detalhe Por UC'!$R332,'Resumo Operacional'!$A$1:$P$1,0))*$S332,INDEX('Resumo Operacional'!$A$1:$P$1103,53,MATCH('Detalhe Por UC'!$R332,'Resumo Operacional'!$A$1:$P$1,0))*$S332)</f>
        <v>120.43</v>
      </c>
      <c r="AR332" s="71">
        <f t="shared" si="198"/>
        <v>-0.43000000000000682</v>
      </c>
      <c r="AS332" s="73">
        <f t="shared" si="199"/>
        <v>276.18</v>
      </c>
      <c r="AT332" s="74">
        <f t="shared" si="200"/>
        <v>276.18</v>
      </c>
      <c r="AU332" s="74">
        <f t="shared" si="201"/>
        <v>0.83191289023162129</v>
      </c>
      <c r="AV332" s="74">
        <f t="shared" si="202"/>
        <v>87.667500000000004</v>
      </c>
      <c r="AW332" s="74">
        <f t="shared" si="203"/>
        <v>0</v>
      </c>
      <c r="AX332" s="74">
        <f t="shared" si="204"/>
        <v>116.89</v>
      </c>
      <c r="AY332" s="74">
        <f t="shared" si="205"/>
        <v>87.67</v>
      </c>
      <c r="AZ332" s="49">
        <v>87.67</v>
      </c>
      <c r="BA332" s="49">
        <v>87.67</v>
      </c>
      <c r="BB332" s="49">
        <v>87.67</v>
      </c>
      <c r="BC332" s="73" t="str">
        <f t="shared" si="206"/>
        <v/>
      </c>
      <c r="BD332" s="73">
        <f t="shared" si="207"/>
        <v>393.07</v>
      </c>
      <c r="BE332" s="73">
        <f t="shared" si="208"/>
        <v>363.84750000000003</v>
      </c>
      <c r="BF332" s="77">
        <f t="shared" si="209"/>
        <v>29.22</v>
      </c>
      <c r="BG332" s="77">
        <f t="shared" si="210"/>
        <v>8.766</v>
      </c>
      <c r="BH332" s="77">
        <f t="shared" si="211"/>
        <v>116.89</v>
      </c>
      <c r="BI332" s="78">
        <f t="shared" si="212"/>
        <v>0.25</v>
      </c>
      <c r="BJ332" s="79">
        <f t="shared" si="213"/>
        <v>7.4337904190093368E-2</v>
      </c>
      <c r="BK332" s="80">
        <f t="shared" si="214"/>
        <v>363.85</v>
      </c>
      <c r="BL332" s="80">
        <f t="shared" si="215"/>
        <v>29.21999999999997</v>
      </c>
      <c r="BM332" s="79">
        <f t="shared" si="216"/>
        <v>7.4337904190093299E-2</v>
      </c>
      <c r="BN332" s="81">
        <f t="shared" si="217"/>
        <v>0.73058333333333336</v>
      </c>
      <c r="BO332" s="82">
        <f t="shared" si="218"/>
        <v>87.67</v>
      </c>
      <c r="BP332" s="81">
        <f t="shared" si="219"/>
        <v>0.73058333333333336</v>
      </c>
      <c r="BQ332" s="81">
        <f t="shared" si="220"/>
        <v>0.87275377643504537</v>
      </c>
      <c r="BR332" s="81">
        <f t="shared" si="221"/>
        <v>1.1162537764350453</v>
      </c>
      <c r="BS332" s="82">
        <f t="shared" si="222"/>
        <v>120</v>
      </c>
      <c r="BT332" s="82">
        <f t="shared" si="223"/>
        <v>133.95045317220544</v>
      </c>
      <c r="BU332" s="82">
        <f t="shared" si="224"/>
        <v>116.89</v>
      </c>
      <c r="BW332" s="82">
        <f>IFERROR(INDEX('Infos Clientes'!$T:$T,MATCH('Detalhe Por UC'!$C332,'Infos Clientes'!B:B,0)),"")</f>
        <v>238.54545454545453</v>
      </c>
      <c r="BX332" s="83">
        <f t="shared" si="225"/>
        <v>0</v>
      </c>
      <c r="BY332" s="84">
        <f t="shared" si="226"/>
        <v>0.21814035942405538</v>
      </c>
      <c r="BZ332" s="85">
        <f>IF(_xlfn.MINIFS('Detalhe Por UC'!R:R,'Detalhe Por UC'!C:C,C332,'Detalhe Por UC'!AD:AD,"&gt;"&amp;0)=0,"",_xlfn.MINIFS('Detalhe Por UC'!R:R,'Detalhe Por UC'!C:C,C332,'Detalhe Por UC'!AD:AD,"&gt;"&amp;0))</f>
        <v>45658</v>
      </c>
      <c r="CA332" s="114">
        <f ca="1">IF(OR(S332&gt;0,AD332&gt;0),IFERROR(
SUMIFS(INDIRECT("'Infos Clientes'!$W"&amp;INDEX('Infos Clientes'!$C:$C,MATCH(C332,'Infos Clientes'!$H:$H,0))&amp;":$CZ"&amp;INDEX('Infos Clientes'!$C:$C,MATCH(C332,'Infos Clientes'!$H:$H,0))),'Infos Clientes'!$W$2:$CZ$2,"&gt;"&amp;$R332-365,'Infos Clientes'!$W$2:$CZ$2,"&lt;="&amp;$R332)/
COUNTIFS(INDIRECT("'Infos Clientes'!$W"&amp;INDEX('Infos Clientes'!$C:$C,MATCH(C332,'Infos Clientes'!$H:$H,0))&amp;":$CZ"&amp;INDEX('Infos Clientes'!$C:$C,MATCH(C332,'Infos Clientes'!$H:$H,0))),"&gt;="&amp;0,'Infos Clientes'!$W$2:$CZ$2,"&gt;"&amp;$R332-365,'Infos Clientes'!$W$2:$CZ$2,"&lt;="&amp;$R332),""),"")</f>
        <v>223.58333333333334</v>
      </c>
      <c r="CB332" s="87">
        <f>VLOOKUP(C332,'Infos Clientes'!B:L,11,0)</f>
        <v>0</v>
      </c>
      <c r="CC332" s="88" t="str">
        <f t="shared" si="227"/>
        <v>A Unidade Consumidora 10/1130988-7 economizou R$29,22 na fatura referente à mar/2025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332" s="40" t="s">
        <v>145</v>
      </c>
      <c r="CF332" s="115">
        <f t="shared" si="228"/>
        <v>-276.18</v>
      </c>
    </row>
    <row r="333" spans="1:84" ht="16.2" hidden="1" customHeight="1" x14ac:dyDescent="0.3">
      <c r="A333" s="105" t="str">
        <f>INDEX('Infos Clientes'!$D:$D,MATCH('Detalhe Por UC'!C333,'Infos Clientes'!B:B,0))</f>
        <v>IGREJA DO EVANGELHO QUADRANGULAR</v>
      </c>
      <c r="B333" s="106" t="str">
        <f>INDEX('Infos Clientes'!$F:$F,MATCH('Detalhe Por UC'!C333,'Infos Clientes'!B:B,0))</f>
        <v>62.955.505/0168-37</v>
      </c>
      <c r="C333" s="54" t="s">
        <v>228</v>
      </c>
      <c r="D333" t="s">
        <v>351</v>
      </c>
      <c r="E333" s="1" t="s">
        <v>352</v>
      </c>
      <c r="F333" s="56" t="str">
        <f>INDEX('Infos Clientes'!$I:$I,MATCH('Detalhe Por UC'!C333,'Infos Clientes'!B:B,0))</f>
        <v>BT</v>
      </c>
      <c r="G333" s="56" t="str">
        <f>INDEX('Infos Clientes'!$J:$J,MATCH('Detalhe Por UC'!C333,'Infos Clientes'!B:B,0))</f>
        <v>trifasico</v>
      </c>
      <c r="H333" s="108" t="s">
        <v>138</v>
      </c>
      <c r="I333" s="58">
        <f>IFERROR(VLOOKUP(C333,'Infos Clientes'!B:E,4,),"")</f>
        <v>302</v>
      </c>
      <c r="J333" s="109">
        <v>0.25</v>
      </c>
      <c r="K333" s="59">
        <f>INDEX('Infos Clientes'!$M:$M,MATCH('Detalhe Por UC'!C333,'Infos Clientes'!B:B,0))</f>
        <v>0.25</v>
      </c>
      <c r="L333" s="125"/>
      <c r="M333" s="56">
        <f>INDEX('Infos Clientes'!$N:$N,MATCH('Detalhe Por UC'!C333,'Infos Clientes'!B:B,0))</f>
        <v>0</v>
      </c>
      <c r="N333" s="56">
        <f t="shared" si="192"/>
        <v>0</v>
      </c>
      <c r="O333" s="56">
        <f t="shared" si="193"/>
        <v>9</v>
      </c>
      <c r="P333" s="56">
        <f t="shared" si="194"/>
        <v>0</v>
      </c>
      <c r="Q333" s="61">
        <f>IFERROR(IFERROR(INDEX('Infos Clientes'!$A$2:$V$9884,MATCH($C333,'Infos Clientes'!$B$2:$B$9884,0),MATCH(Q$8,'Infos Clientes'!$A$2:$V$2,0)),"")
+IF(OR(INDEX('Infos Clientes'!$A$2:$V$9884,MATCH($C333,'Infos Clientes'!$B$2:$B$9884,0),MATCH("Tempo de Fidelidade (meses)",'Infos Clientes'!$A$2:$V$2,0))=0,R333&gt;=MAX(R:R)),0,
ROUND((MAX(R:R)-R333)/(365/12),0)),"")</f>
        <v>0</v>
      </c>
      <c r="R333" s="111">
        <v>45717</v>
      </c>
      <c r="S333" s="63">
        <v>0.02</v>
      </c>
      <c r="T333" s="113" t="str">
        <f>IF($H333="GIROSSOL II",AP333/INDEX('Resumo Operacional'!$A$1:$P$1103,17,MATCH('Detalhe Por UC'!$R333,'Resumo Operacional'!$A$1:$P$1,0)),
IF($H333="GIROSSOL II e III",AP333/INDEX('Resumo Operacional'!$A$1:$P$1103,17,MATCH('Detalhe Por UC'!$R333,'Resumo Operacional'!$A$1:$P$1,0)),
""))</f>
        <v/>
      </c>
      <c r="U333" s="113">
        <f>IF($H333="GIROSSOL III",AP333/INDEX('Resumo Operacional'!$A$1:$P$1103,53,MATCH('Detalhe Por UC'!$R333,'Resumo Operacional'!$A$1:$P$1,0)),
IF($H333="GIROSSOL II e III",AP333/INDEX('Resumo Operacional'!$A$1:$P$1103,53,MATCH('Detalhe Por UC'!$R333,'Resumo Operacional'!$A$1:$P$1,0)),
""))</f>
        <v>0</v>
      </c>
      <c r="V333" s="18"/>
      <c r="W333" s="18"/>
      <c r="X333" s="18">
        <v>1.1162435233160621</v>
      </c>
      <c r="Y333" s="18"/>
      <c r="Z333" s="66">
        <v>0</v>
      </c>
      <c r="AA333" s="18"/>
      <c r="AB333" s="68">
        <v>386</v>
      </c>
      <c r="AC333" s="18"/>
      <c r="AD333" s="69">
        <v>0</v>
      </c>
      <c r="AE333" s="35"/>
      <c r="AF333" s="69">
        <v>0</v>
      </c>
      <c r="AG333" s="69">
        <v>0</v>
      </c>
      <c r="AH333" s="16">
        <v>65.28</v>
      </c>
      <c r="AI333" s="16">
        <v>0</v>
      </c>
      <c r="AJ333" s="16">
        <v>0</v>
      </c>
      <c r="AN333" s="71">
        <f t="shared" si="195"/>
        <v>0</v>
      </c>
      <c r="AO333" s="71">
        <f t="shared" si="196"/>
        <v>0</v>
      </c>
      <c r="AP333" s="71">
        <f t="shared" si="197"/>
        <v>0</v>
      </c>
      <c r="AQ333" s="72">
        <f>IF(OR($H333="GIROSSOL II",$H333="GIROSSOL II e III"),INDEX('Resumo Operacional'!$A$1:$P$1103,MATCH("Energia Injetada prevista total Fatura da Usina (TUSD)",'Resumo Operacional'!$B$1:$B$1103,0),MATCH('Detalhe Por UC'!$R333,'Resumo Operacional'!$A$1:$P$1,0))*$S333,INDEX('Resumo Operacional'!$A$1:$P$1103,53,MATCH('Detalhe Por UC'!$R333,'Resumo Operacional'!$A$1:$P$1,0))*$S333)</f>
        <v>240.86</v>
      </c>
      <c r="AR333" s="71">
        <f t="shared" si="198"/>
        <v>-240.86</v>
      </c>
      <c r="AS333" s="73">
        <f t="shared" si="199"/>
        <v>496.15</v>
      </c>
      <c r="AT333" s="74">
        <f t="shared" si="200"/>
        <v>496.15</v>
      </c>
      <c r="AU333" s="74" t="str">
        <f t="shared" si="201"/>
        <v/>
      </c>
      <c r="AV333" s="74">
        <f t="shared" si="202"/>
        <v>0</v>
      </c>
      <c r="AW333" s="74">
        <f t="shared" si="203"/>
        <v>0</v>
      </c>
      <c r="AX333" s="74">
        <f t="shared" si="204"/>
        <v>0</v>
      </c>
      <c r="AY333" s="74" t="str">
        <f t="shared" si="205"/>
        <v/>
      </c>
      <c r="AZ333" s="49" t="s">
        <v>354</v>
      </c>
      <c r="BA333" s="49">
        <v>0</v>
      </c>
      <c r="BC333" s="73" t="str">
        <f t="shared" si="206"/>
        <v/>
      </c>
      <c r="BD333" s="73">
        <f t="shared" si="207"/>
        <v>496.15</v>
      </c>
      <c r="BE333" s="73">
        <f t="shared" si="208"/>
        <v>496.15</v>
      </c>
      <c r="BF333" s="77">
        <f t="shared" si="209"/>
        <v>0</v>
      </c>
      <c r="BG333" s="77">
        <f t="shared" si="210"/>
        <v>0</v>
      </c>
      <c r="BH333" s="77">
        <f t="shared" si="211"/>
        <v>0</v>
      </c>
      <c r="BI333" s="78" t="str">
        <f t="shared" si="212"/>
        <v/>
      </c>
      <c r="BJ333" s="79">
        <f t="shared" si="213"/>
        <v>0</v>
      </c>
      <c r="BK333" s="80" t="str">
        <f t="shared" si="214"/>
        <v/>
      </c>
      <c r="BL333" s="80" t="str">
        <f t="shared" si="215"/>
        <v/>
      </c>
      <c r="BM333" s="79" t="str">
        <f t="shared" si="216"/>
        <v/>
      </c>
      <c r="BN333" s="81" t="str">
        <f t="shared" si="217"/>
        <v/>
      </c>
      <c r="BO333" s="82" t="str">
        <f t="shared" si="218"/>
        <v/>
      </c>
      <c r="BP333" s="81" t="str">
        <f t="shared" si="219"/>
        <v/>
      </c>
      <c r="BQ333" s="81" t="str">
        <f t="shared" si="220"/>
        <v/>
      </c>
      <c r="BR333" s="81" t="str">
        <f t="shared" si="221"/>
        <v/>
      </c>
      <c r="BS333" s="82">
        <f t="shared" si="222"/>
        <v>0</v>
      </c>
      <c r="BT333" s="82" t="str">
        <f t="shared" si="223"/>
        <v/>
      </c>
      <c r="BU333" s="82">
        <f t="shared" si="224"/>
        <v>0</v>
      </c>
      <c r="BW333" s="82">
        <f>IFERROR(INDEX('Infos Clientes'!$T:$T,MATCH('Detalhe Por UC'!$C333,'Infos Clientes'!B:B,0)),"")</f>
        <v>286.18181818181819</v>
      </c>
      <c r="BX333" s="83">
        <f t="shared" si="225"/>
        <v>0</v>
      </c>
      <c r="BY333" s="84" t="str">
        <f t="shared" si="226"/>
        <v/>
      </c>
      <c r="BZ333" s="85">
        <f>IF(_xlfn.MINIFS('Detalhe Por UC'!R:R,'Detalhe Por UC'!C:C,C333,'Detalhe Por UC'!AD:AD,"&gt;"&amp;0)=0,"",_xlfn.MINIFS('Detalhe Por UC'!R:R,'Detalhe Por UC'!C:C,C333,'Detalhe Por UC'!AD:AD,"&gt;"&amp;0))</f>
        <v>45658</v>
      </c>
      <c r="CA333" s="114">
        <f ca="1">IF(OR(S333&gt;0,AD333&gt;0),IFERROR(
SUMIFS(INDIRECT("'Infos Clientes'!$W"&amp;INDEX('Infos Clientes'!$C:$C,MATCH(C333,'Infos Clientes'!$H:$H,0))&amp;":$CZ"&amp;INDEX('Infos Clientes'!$C:$C,MATCH(C333,'Infos Clientes'!$H:$H,0))),'Infos Clientes'!$W$2:$CZ$2,"&gt;"&amp;$R333-365,'Infos Clientes'!$W$2:$CZ$2,"&lt;="&amp;$R333)/
COUNTIFS(INDIRECT("'Infos Clientes'!$W"&amp;INDEX('Infos Clientes'!$C:$C,MATCH(C333,'Infos Clientes'!$H:$H,0))&amp;":$CZ"&amp;INDEX('Infos Clientes'!$C:$C,MATCH(C333,'Infos Clientes'!$H:$H,0))),"&gt;="&amp;0,'Infos Clientes'!$W$2:$CZ$2,"&gt;"&amp;$R333-365,'Infos Clientes'!$W$2:$CZ$2,"&lt;="&amp;$R333),""),"")</f>
        <v>275</v>
      </c>
      <c r="CB333" s="87">
        <f>VLOOKUP(C333,'Infos Clientes'!B:L,11,0)</f>
        <v>0</v>
      </c>
      <c r="CC333" s="88" t="str">
        <f t="shared" si="227"/>
        <v>A Unidade Consumidora 10/78338-1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3" s="40" t="s">
        <v>230</v>
      </c>
      <c r="CF333" s="115">
        <f t="shared" si="228"/>
        <v>-496.15</v>
      </c>
    </row>
    <row r="334" spans="1:84" ht="16.2" hidden="1" customHeight="1" x14ac:dyDescent="0.3">
      <c r="A334" s="105" t="str">
        <f>INDEX('Infos Clientes'!$D:$D,MATCH('Detalhe Por UC'!C334,'Infos Clientes'!B:B,0))</f>
        <v>IGREJA DO EVANGELHO QUADRANGULAR</v>
      </c>
      <c r="B334" s="106" t="str">
        <f>INDEX('Infos Clientes'!$F:$F,MATCH('Detalhe Por UC'!C334,'Infos Clientes'!B:B,0))</f>
        <v>62.955.505/3671-17</v>
      </c>
      <c r="C334" s="31" t="s">
        <v>217</v>
      </c>
      <c r="D334" t="s">
        <v>351</v>
      </c>
      <c r="E334" s="1" t="s">
        <v>352</v>
      </c>
      <c r="F334" s="56" t="str">
        <f>INDEX('Infos Clientes'!$I:$I,MATCH('Detalhe Por UC'!C334,'Infos Clientes'!B:B,0))</f>
        <v>BT</v>
      </c>
      <c r="G334" s="56" t="str">
        <f>INDEX('Infos Clientes'!$J:$J,MATCH('Detalhe Por UC'!C334,'Infos Clientes'!B:B,0))</f>
        <v>bifasico</v>
      </c>
      <c r="H334" s="108" t="s">
        <v>138</v>
      </c>
      <c r="I334" s="58">
        <f>IFERROR(VLOOKUP(C334,'Infos Clientes'!B:E,4,),"")</f>
        <v>362</v>
      </c>
      <c r="J334" s="109">
        <v>0.25</v>
      </c>
      <c r="K334" s="59">
        <f>INDEX('Infos Clientes'!$M:$M,MATCH('Detalhe Por UC'!C334,'Infos Clientes'!B:B,0))</f>
        <v>0.25</v>
      </c>
      <c r="L334" s="125"/>
      <c r="M334" s="56">
        <f>INDEX('Infos Clientes'!$N:$N,MATCH('Detalhe Por UC'!C334,'Infos Clientes'!B:B,0))</f>
        <v>0</v>
      </c>
      <c r="N334" s="56">
        <f t="shared" si="192"/>
        <v>0</v>
      </c>
      <c r="O334" s="56">
        <f t="shared" si="193"/>
        <v>8</v>
      </c>
      <c r="P334" s="56">
        <f t="shared" si="194"/>
        <v>0</v>
      </c>
      <c r="Q334" s="61">
        <f>IFERROR(IFERROR(INDEX('Infos Clientes'!$A$2:$V$9884,MATCH($C334,'Infos Clientes'!$B$2:$B$9884,0),MATCH(Q$8,'Infos Clientes'!$A$2:$V$2,0)),"")
+IF(OR(INDEX('Infos Clientes'!$A$2:$V$9884,MATCH($C334,'Infos Clientes'!$B$2:$B$9884,0),MATCH("Tempo de Fidelidade (meses)",'Infos Clientes'!$A$2:$V$2,0))=0,R334&gt;=MAX(R:R)),0,
ROUND((MAX(R:R)-R334)/(365/12),0)),"")</f>
        <v>0</v>
      </c>
      <c r="R334" s="111">
        <v>45717</v>
      </c>
      <c r="S334" s="63">
        <v>0.01</v>
      </c>
      <c r="T334" s="113" t="str">
        <f>IF($H334="GIROSSOL II",AP334/INDEX('Resumo Operacional'!$A$1:$P$1103,17,MATCH('Detalhe Por UC'!$R334,'Resumo Operacional'!$A$1:$P$1,0)),
IF($H334="GIROSSOL II e III",AP334/INDEX('Resumo Operacional'!$A$1:$P$1103,17,MATCH('Detalhe Por UC'!$R334,'Resumo Operacional'!$A$1:$P$1,0)),
""))</f>
        <v/>
      </c>
      <c r="U334" s="113">
        <f>IF($H334="GIROSSOL III",AP334/INDEX('Resumo Operacional'!$A$1:$P$1103,53,MATCH('Detalhe Por UC'!$R334,'Resumo Operacional'!$A$1:$P$1,0)),
IF($H334="GIROSSOL II e III",AP334/INDEX('Resumo Operacional'!$A$1:$P$1103,53,MATCH('Detalhe Por UC'!$R334,'Resumo Operacional'!$A$1:$P$1,0)),
""))</f>
        <v>0</v>
      </c>
      <c r="V334" s="18"/>
      <c r="W334" s="18"/>
      <c r="X334" s="18">
        <v>1.1162337662337662</v>
      </c>
      <c r="Y334" s="18"/>
      <c r="Z334" s="66">
        <v>0</v>
      </c>
      <c r="AA334" s="18"/>
      <c r="AB334" s="68">
        <v>231</v>
      </c>
      <c r="AC334" s="18"/>
      <c r="AD334" s="69">
        <v>0</v>
      </c>
      <c r="AE334" s="35"/>
      <c r="AF334" s="69">
        <v>0</v>
      </c>
      <c r="AG334" s="69">
        <v>0</v>
      </c>
      <c r="AH334" s="16">
        <v>47.050000000000004</v>
      </c>
      <c r="AI334" s="16">
        <v>0</v>
      </c>
      <c r="AJ334" s="16">
        <v>0</v>
      </c>
      <c r="AN334" s="71">
        <f t="shared" si="195"/>
        <v>0</v>
      </c>
      <c r="AO334" s="71">
        <f t="shared" si="196"/>
        <v>0</v>
      </c>
      <c r="AP334" s="71">
        <f t="shared" si="197"/>
        <v>0</v>
      </c>
      <c r="AQ334" s="72">
        <f>IF(OR($H334="GIROSSOL II",$H334="GIROSSOL II e III"),INDEX('Resumo Operacional'!$A$1:$P$1103,MATCH("Energia Injetada prevista total Fatura da Usina (TUSD)",'Resumo Operacional'!$B$1:$B$1103,0),MATCH('Detalhe Por UC'!$R334,'Resumo Operacional'!$A$1:$P$1,0))*$S334,INDEX('Resumo Operacional'!$A$1:$P$1103,53,MATCH('Detalhe Por UC'!$R334,'Resumo Operacional'!$A$1:$P$1,0))*$S334)</f>
        <v>120.43</v>
      </c>
      <c r="AR334" s="71">
        <f t="shared" si="198"/>
        <v>-120.43</v>
      </c>
      <c r="AS334" s="73">
        <f t="shared" si="199"/>
        <v>304.90000000000003</v>
      </c>
      <c r="AT334" s="74">
        <f t="shared" si="200"/>
        <v>304.90000000000003</v>
      </c>
      <c r="AU334" s="74" t="str">
        <f t="shared" si="201"/>
        <v/>
      </c>
      <c r="AV334" s="74">
        <f t="shared" si="202"/>
        <v>0</v>
      </c>
      <c r="AW334" s="74">
        <f t="shared" si="203"/>
        <v>0</v>
      </c>
      <c r="AX334" s="74">
        <f t="shared" si="204"/>
        <v>0</v>
      </c>
      <c r="AY334" s="74" t="str">
        <f t="shared" si="205"/>
        <v/>
      </c>
      <c r="AZ334" s="49">
        <v>46.03</v>
      </c>
      <c r="BC334" s="73" t="str">
        <f t="shared" si="206"/>
        <v/>
      </c>
      <c r="BD334" s="73">
        <f t="shared" si="207"/>
        <v>304.90000000000003</v>
      </c>
      <c r="BE334" s="73">
        <f t="shared" si="208"/>
        <v>304.90000000000003</v>
      </c>
      <c r="BF334" s="77">
        <f t="shared" si="209"/>
        <v>0</v>
      </c>
      <c r="BG334" s="77">
        <f t="shared" si="210"/>
        <v>0</v>
      </c>
      <c r="BH334" s="77">
        <f t="shared" si="211"/>
        <v>0</v>
      </c>
      <c r="BI334" s="78" t="str">
        <f t="shared" si="212"/>
        <v/>
      </c>
      <c r="BJ334" s="79">
        <f t="shared" si="213"/>
        <v>0</v>
      </c>
      <c r="BK334" s="80" t="str">
        <f t="shared" si="214"/>
        <v/>
      </c>
      <c r="BL334" s="80" t="str">
        <f t="shared" si="215"/>
        <v/>
      </c>
      <c r="BM334" s="79" t="str">
        <f t="shared" si="216"/>
        <v/>
      </c>
      <c r="BN334" s="81" t="str">
        <f t="shared" si="217"/>
        <v/>
      </c>
      <c r="BO334" s="82" t="str">
        <f t="shared" si="218"/>
        <v/>
      </c>
      <c r="BP334" s="81" t="str">
        <f t="shared" si="219"/>
        <v/>
      </c>
      <c r="BQ334" s="81" t="str">
        <f t="shared" si="220"/>
        <v/>
      </c>
      <c r="BR334" s="81" t="str">
        <f t="shared" si="221"/>
        <v/>
      </c>
      <c r="BS334" s="82">
        <f t="shared" si="222"/>
        <v>0</v>
      </c>
      <c r="BT334" s="82" t="str">
        <f t="shared" si="223"/>
        <v/>
      </c>
      <c r="BU334" s="82">
        <f t="shared" si="224"/>
        <v>0</v>
      </c>
      <c r="BW334" s="82">
        <f>IFERROR(INDEX('Infos Clientes'!$T:$T,MATCH('Detalhe Por UC'!$C334,'Infos Clientes'!B:B,0)),"")</f>
        <v>122.45454545454545</v>
      </c>
      <c r="BX334" s="83">
        <f t="shared" si="225"/>
        <v>0</v>
      </c>
      <c r="BY334" s="84" t="str">
        <f t="shared" si="226"/>
        <v/>
      </c>
      <c r="BZ334" s="85">
        <f>IF(_xlfn.MINIFS('Detalhe Por UC'!R:R,'Detalhe Por UC'!C:C,C334,'Detalhe Por UC'!AD:AD,"&gt;"&amp;0)=0,"",_xlfn.MINIFS('Detalhe Por UC'!R:R,'Detalhe Por UC'!C:C,C334,'Detalhe Por UC'!AD:AD,"&gt;"&amp;0))</f>
        <v>45658</v>
      </c>
      <c r="CA334" s="114">
        <f ca="1">IF(OR(S334&gt;0,AD334&gt;0),IFERROR(
SUMIFS(INDIRECT("'Infos Clientes'!$W"&amp;INDEX('Infos Clientes'!$C:$C,MATCH(C334,'Infos Clientes'!$H:$H,0))&amp;":$CZ"&amp;INDEX('Infos Clientes'!$C:$C,MATCH(C334,'Infos Clientes'!$H:$H,0))),'Infos Clientes'!$W$2:$CZ$2,"&gt;"&amp;$R334-365,'Infos Clientes'!$W$2:$CZ$2,"&lt;="&amp;$R334)/
COUNTIFS(INDIRECT("'Infos Clientes'!$W"&amp;INDEX('Infos Clientes'!$C:$C,MATCH(C334,'Infos Clientes'!$H:$H,0))&amp;":$CZ"&amp;INDEX('Infos Clientes'!$C:$C,MATCH(C334,'Infos Clientes'!$H:$H,0))),"&gt;="&amp;0,'Infos Clientes'!$W$2:$CZ$2,"&gt;"&amp;$R334-365,'Infos Clientes'!$W$2:$CZ$2,"&lt;="&amp;$R334),""),"")</f>
        <v>126.08333333333333</v>
      </c>
      <c r="CB334" s="87">
        <f>VLOOKUP(C334,'Infos Clientes'!B:L,11,0)</f>
        <v>0</v>
      </c>
      <c r="CC334" s="88" t="str">
        <f t="shared" si="227"/>
        <v>A Unidade Consumidora 10/530195-7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4" s="40" t="s">
        <v>83</v>
      </c>
      <c r="CF334" s="115">
        <f t="shared" si="228"/>
        <v>-304.90000000000003</v>
      </c>
    </row>
    <row r="335" spans="1:84" ht="16.2" hidden="1" customHeight="1" x14ac:dyDescent="0.3">
      <c r="A335" s="105" t="str">
        <f>INDEX('Infos Clientes'!$D:$D,MATCH('Detalhe Por UC'!C335,'Infos Clientes'!B:B,0))</f>
        <v>IGREJA DO EVANGELHO QUADRANGULAR</v>
      </c>
      <c r="B335" s="106" t="str">
        <f>INDEX('Infos Clientes'!$F:$F,MATCH('Detalhe Por UC'!C335,'Infos Clientes'!B:B,0))</f>
        <v>62.955.505/0154-31</v>
      </c>
      <c r="C335" s="31" t="s">
        <v>183</v>
      </c>
      <c r="D335" t="s">
        <v>351</v>
      </c>
      <c r="E335" s="1" t="s">
        <v>352</v>
      </c>
      <c r="F335" s="56" t="str">
        <f>INDEX('Infos Clientes'!$I:$I,MATCH('Detalhe Por UC'!C335,'Infos Clientes'!B:B,0))</f>
        <v>BT</v>
      </c>
      <c r="G335" s="56" t="str">
        <f>INDEX('Infos Clientes'!$J:$J,MATCH('Detalhe Por UC'!C335,'Infos Clientes'!B:B,0))</f>
        <v>bifasico</v>
      </c>
      <c r="H335" s="108" t="s">
        <v>24</v>
      </c>
      <c r="I335" s="58">
        <f>IFERROR(VLOOKUP(C335,'Infos Clientes'!B:E,4,),"")</f>
        <v>319</v>
      </c>
      <c r="J335" s="109">
        <v>0.25</v>
      </c>
      <c r="K335" s="59">
        <f>INDEX('Infos Clientes'!$M:$M,MATCH('Detalhe Por UC'!C335,'Infos Clientes'!B:B,0))</f>
        <v>0.25</v>
      </c>
      <c r="L335" s="125"/>
      <c r="M335" s="56">
        <f>INDEX('Infos Clientes'!$N:$N,MATCH('Detalhe Por UC'!C335,'Infos Clientes'!B:B,0))</f>
        <v>0</v>
      </c>
      <c r="N335" s="56">
        <f t="shared" si="192"/>
        <v>0</v>
      </c>
      <c r="O335" s="56">
        <f t="shared" si="193"/>
        <v>9</v>
      </c>
      <c r="P335" s="56">
        <f t="shared" si="194"/>
        <v>0</v>
      </c>
      <c r="Q335" s="61">
        <f>IFERROR(IFERROR(INDEX('Infos Clientes'!$A$2:$V$9884,MATCH($C335,'Infos Clientes'!$B$2:$B$9884,0),MATCH(Q$8,'Infos Clientes'!$A$2:$V$2,0)),"")
+IF(OR(INDEX('Infos Clientes'!$A$2:$V$9884,MATCH($C335,'Infos Clientes'!$B$2:$B$9884,0),MATCH("Tempo de Fidelidade (meses)",'Infos Clientes'!$A$2:$V$2,0))=0,R335&gt;=MAX(R:R)),0,
ROUND((MAX(R:R)-R335)/(365/12),0)),"")</f>
        <v>0</v>
      </c>
      <c r="R335" s="111">
        <v>45717</v>
      </c>
      <c r="S335" s="63">
        <v>0.02</v>
      </c>
      <c r="T335" s="113">
        <f>IF($H335="GIROSSOL II",AP335/INDEX('Resumo Operacional'!$A$1:$P$1103,17,MATCH('Detalhe Por UC'!$R335,'Resumo Operacional'!$A$1:$P$1,0)),
IF($H335="GIROSSOL II e III",AP335/INDEX('Resumo Operacional'!$A$1:$P$1103,17,MATCH('Detalhe Por UC'!$R335,'Resumo Operacional'!$A$1:$P$1,0)),
""))</f>
        <v>1.9935210565661599E-2</v>
      </c>
      <c r="U335" s="113" t="str">
        <f>IF($H335="GIROSSOL III",AP335/INDEX('Resumo Operacional'!$A$1:$P$1103,53,MATCH('Detalhe Por UC'!$R335,'Resumo Operacional'!$A$1:$P$1,0)),
IF($H335="GIROSSOL II e III",AP335/INDEX('Resumo Operacional'!$A$1:$P$1103,53,MATCH('Detalhe Por UC'!$R335,'Resumo Operacional'!$A$1:$P$1,0)),
""))</f>
        <v/>
      </c>
      <c r="V335" s="18"/>
      <c r="W335" s="18"/>
      <c r="X335" s="18">
        <v>1.1162566844919786</v>
      </c>
      <c r="Y335" s="18"/>
      <c r="Z335" s="66">
        <v>1.11625</v>
      </c>
      <c r="AA335" s="18"/>
      <c r="AB335" s="68">
        <v>374</v>
      </c>
      <c r="AC335" s="18"/>
      <c r="AD335" s="69">
        <v>240</v>
      </c>
      <c r="AE335" s="35"/>
      <c r="AF335" s="69">
        <v>0</v>
      </c>
      <c r="AG335" s="69">
        <v>0</v>
      </c>
      <c r="AH335" s="16">
        <v>103.27999999999999</v>
      </c>
      <c r="AI335" s="16">
        <v>0</v>
      </c>
      <c r="AJ335" s="16">
        <v>0</v>
      </c>
      <c r="AN335" s="71">
        <f t="shared" si="195"/>
        <v>0</v>
      </c>
      <c r="AO335" s="71">
        <f t="shared" si="196"/>
        <v>0</v>
      </c>
      <c r="AP335" s="71">
        <f t="shared" si="197"/>
        <v>240</v>
      </c>
      <c r="AQ335" s="72">
        <f>IF(OR($H335="GIROSSOL II",$H335="GIROSSOL II e III"),INDEX('Resumo Operacional'!$A$1:$P$1103,MATCH("Energia Injetada prevista total Fatura da Usina (TUSD)",'Resumo Operacional'!$B$1:$B$1103,0),MATCH('Detalhe Por UC'!$R335,'Resumo Operacional'!$A$1:$P$1,0))*$S335,INDEX('Resumo Operacional'!$A$1:$P$1103,53,MATCH('Detalhe Por UC'!$R335,'Resumo Operacional'!$A$1:$P$1,0))*$S335)</f>
        <v>240.78</v>
      </c>
      <c r="AR335" s="71">
        <f t="shared" si="198"/>
        <v>-0.78000000000000114</v>
      </c>
      <c r="AS335" s="73">
        <f t="shared" si="199"/>
        <v>252.85999999999996</v>
      </c>
      <c r="AT335" s="74">
        <f t="shared" si="200"/>
        <v>252.85999999999996</v>
      </c>
      <c r="AU335" s="74">
        <f t="shared" si="201"/>
        <v>1.1162433155080214</v>
      </c>
      <c r="AV335" s="74">
        <f t="shared" si="202"/>
        <v>200.92499999999998</v>
      </c>
      <c r="AW335" s="74">
        <f t="shared" si="203"/>
        <v>0</v>
      </c>
      <c r="AX335" s="74">
        <f t="shared" si="204"/>
        <v>267.89999999999998</v>
      </c>
      <c r="AY335" s="74">
        <f t="shared" si="205"/>
        <v>200.93</v>
      </c>
      <c r="AZ335" s="49">
        <v>200.93</v>
      </c>
      <c r="BA335" s="49">
        <v>200.93</v>
      </c>
      <c r="BB335" s="49">
        <v>200.93</v>
      </c>
      <c r="BC335" s="73" t="str">
        <f t="shared" si="206"/>
        <v/>
      </c>
      <c r="BD335" s="73">
        <f t="shared" si="207"/>
        <v>520.76</v>
      </c>
      <c r="BE335" s="73">
        <f t="shared" si="208"/>
        <v>453.78499999999997</v>
      </c>
      <c r="BF335" s="77">
        <f t="shared" si="209"/>
        <v>66.98</v>
      </c>
      <c r="BG335" s="77">
        <f t="shared" si="210"/>
        <v>20.094000000000001</v>
      </c>
      <c r="BH335" s="77">
        <f t="shared" si="211"/>
        <v>267.89999999999998</v>
      </c>
      <c r="BI335" s="78">
        <f t="shared" si="212"/>
        <v>0.25</v>
      </c>
      <c r="BJ335" s="79">
        <f t="shared" si="213"/>
        <v>0.12861970965511946</v>
      </c>
      <c r="BK335" s="80">
        <f t="shared" si="214"/>
        <v>453.78999999999996</v>
      </c>
      <c r="BL335" s="80">
        <f t="shared" si="215"/>
        <v>66.970000000000027</v>
      </c>
      <c r="BM335" s="79">
        <f t="shared" si="216"/>
        <v>0.12860050695137881</v>
      </c>
      <c r="BN335" s="81">
        <f t="shared" si="217"/>
        <v>0.83720833333333333</v>
      </c>
      <c r="BO335" s="82">
        <f t="shared" si="218"/>
        <v>200.93</v>
      </c>
      <c r="BP335" s="81">
        <f t="shared" si="219"/>
        <v>0.83720833333333333</v>
      </c>
      <c r="BQ335" s="81">
        <f t="shared" si="220"/>
        <v>0.83721501782531194</v>
      </c>
      <c r="BR335" s="81">
        <f t="shared" si="221"/>
        <v>1.1162566844919786</v>
      </c>
      <c r="BS335" s="82">
        <f t="shared" si="222"/>
        <v>240</v>
      </c>
      <c r="BT335" s="82">
        <f t="shared" si="223"/>
        <v>267.90160427807484</v>
      </c>
      <c r="BU335" s="82">
        <f t="shared" si="224"/>
        <v>267.89999999999998</v>
      </c>
      <c r="BW335" s="82">
        <f>IFERROR(INDEX('Infos Clientes'!$T:$T,MATCH('Detalhe Por UC'!$C335,'Infos Clientes'!B:B,0)),"")</f>
        <v>250.27272727272728</v>
      </c>
      <c r="BX335" s="83">
        <f t="shared" si="225"/>
        <v>0</v>
      </c>
      <c r="BY335" s="84">
        <f t="shared" si="226"/>
        <v>0.24997983935358178</v>
      </c>
      <c r="BZ335" s="85">
        <f>IF(_xlfn.MINIFS('Detalhe Por UC'!R:R,'Detalhe Por UC'!C:C,C335,'Detalhe Por UC'!AD:AD,"&gt;"&amp;0)=0,"",_xlfn.MINIFS('Detalhe Por UC'!R:R,'Detalhe Por UC'!C:C,C335,'Detalhe Por UC'!AD:AD,"&gt;"&amp;0))</f>
        <v>45658</v>
      </c>
      <c r="CA335" s="114">
        <f ca="1">IF(OR(S335&gt;0,AD335&gt;0),IFERROR(
SUMIFS(INDIRECT("'Infos Clientes'!$W"&amp;INDEX('Infos Clientes'!$C:$C,MATCH(C335,'Infos Clientes'!$H:$H,0))&amp;":$CZ"&amp;INDEX('Infos Clientes'!$C:$C,MATCH(C335,'Infos Clientes'!$H:$H,0))),'Infos Clientes'!$W$2:$CZ$2,"&gt;"&amp;$R335-365,'Infos Clientes'!$W$2:$CZ$2,"&lt;="&amp;$R335)/
COUNTIFS(INDIRECT("'Infos Clientes'!$W"&amp;INDEX('Infos Clientes'!$C:$C,MATCH(C335,'Infos Clientes'!$H:$H,0))&amp;":$CZ"&amp;INDEX('Infos Clientes'!$C:$C,MATCH(C335,'Infos Clientes'!$H:$H,0))),"&gt;="&amp;0,'Infos Clientes'!$W$2:$CZ$2,"&gt;"&amp;$R335-365,'Infos Clientes'!$W$2:$CZ$2,"&lt;="&amp;$R335),""),"")</f>
        <v>242.75</v>
      </c>
      <c r="CB335" s="87">
        <f>VLOOKUP(C335,'Infos Clientes'!B:L,11,0)</f>
        <v>0</v>
      </c>
      <c r="CC335" s="88" t="str">
        <f t="shared" si="227"/>
        <v>A Unidade Consumidora 10/3040565-8 economizou R$66,98 na fatura referente à mar/2025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35" s="40" t="s">
        <v>27</v>
      </c>
      <c r="CF335" s="115">
        <f t="shared" si="228"/>
        <v>-252.85999999999996</v>
      </c>
    </row>
    <row r="336" spans="1:84" ht="16.2" hidden="1" customHeight="1" x14ac:dyDescent="0.3">
      <c r="A336" s="105" t="str">
        <f>INDEX('Infos Clientes'!$D:$D,MATCH('Detalhe Por UC'!C336,'Infos Clientes'!B:B,0))</f>
        <v>IGREJA DO EVANGELHO QUADRANGULAR</v>
      </c>
      <c r="B336" s="106" t="str">
        <f>INDEX('Infos Clientes'!$F:$F,MATCH('Detalhe Por UC'!C336,'Infos Clientes'!B:B,0))</f>
        <v>62.955.505/2488-86</v>
      </c>
      <c r="C336" s="31" t="s">
        <v>195</v>
      </c>
      <c r="D336" t="s">
        <v>351</v>
      </c>
      <c r="E336" s="1" t="s">
        <v>352</v>
      </c>
      <c r="F336" s="56" t="str">
        <f>INDEX('Infos Clientes'!$I:$I,MATCH('Detalhe Por UC'!C336,'Infos Clientes'!B:B,0))</f>
        <v>BT</v>
      </c>
      <c r="G336" s="56" t="str">
        <f>INDEX('Infos Clientes'!$J:$J,MATCH('Detalhe Por UC'!C336,'Infos Clientes'!B:B,0))</f>
        <v>trifasico</v>
      </c>
      <c r="H336" s="108" t="s">
        <v>138</v>
      </c>
      <c r="I336" s="58">
        <f>IFERROR(VLOOKUP(C336,'Infos Clientes'!B:E,4,),"")</f>
        <v>306</v>
      </c>
      <c r="J336" s="109">
        <v>0.25</v>
      </c>
      <c r="K336" s="59">
        <f>INDEX('Infos Clientes'!$M:$M,MATCH('Detalhe Por UC'!C336,'Infos Clientes'!B:B,0))</f>
        <v>0.25</v>
      </c>
      <c r="L336" s="125"/>
      <c r="M336" s="56">
        <f>INDEX('Infos Clientes'!$N:$N,MATCH('Detalhe Por UC'!C336,'Infos Clientes'!B:B,0))</f>
        <v>0</v>
      </c>
      <c r="N336" s="56">
        <f t="shared" si="192"/>
        <v>0</v>
      </c>
      <c r="O336" s="56">
        <f t="shared" si="193"/>
        <v>9</v>
      </c>
      <c r="P336" s="56">
        <f t="shared" si="194"/>
        <v>0</v>
      </c>
      <c r="Q336" s="61">
        <f>IFERROR(IFERROR(INDEX('Infos Clientes'!$A$2:$V$9884,MATCH($C336,'Infos Clientes'!$B$2:$B$9884,0),MATCH(Q$8,'Infos Clientes'!$A$2:$V$2,0)),"")
+IF(OR(INDEX('Infos Clientes'!$A$2:$V$9884,MATCH($C336,'Infos Clientes'!$B$2:$B$9884,0),MATCH("Tempo de Fidelidade (meses)",'Infos Clientes'!$A$2:$V$2,0))=0,R336&gt;=MAX(R:R)),0,
ROUND((MAX(R:R)-R336)/(365/12),0)),"")</f>
        <v>0</v>
      </c>
      <c r="R336" s="111">
        <v>45717</v>
      </c>
      <c r="S336" s="63">
        <v>0.02</v>
      </c>
      <c r="T336" s="113" t="str">
        <f>IF($H336="GIROSSOL II",AP336/INDEX('Resumo Operacional'!$A$1:$P$1103,17,MATCH('Detalhe Por UC'!$R336,'Resumo Operacional'!$A$1:$P$1,0)),
IF($H336="GIROSSOL II e III",AP336/INDEX('Resumo Operacional'!$A$1:$P$1103,17,MATCH('Detalhe Por UC'!$R336,'Resumo Operacional'!$A$1:$P$1,0)),
""))</f>
        <v/>
      </c>
      <c r="U336" s="113">
        <f>IF($H336="GIROSSOL III",AP336/INDEX('Resumo Operacional'!$A$1:$P$1103,53,MATCH('Detalhe Por UC'!$R336,'Resumo Operacional'!$A$1:$P$1,0)),
IF($H336="GIROSSOL II e III",AP336/INDEX('Resumo Operacional'!$A$1:$P$1103,53,MATCH('Detalhe Por UC'!$R336,'Resumo Operacional'!$A$1:$P$1,0)),
""))</f>
        <v>0</v>
      </c>
      <c r="V336" s="18"/>
      <c r="W336" s="18"/>
      <c r="X336" s="18">
        <v>1.11625250501002</v>
      </c>
      <c r="Y336" s="18"/>
      <c r="Z336" s="66">
        <v>0</v>
      </c>
      <c r="AA336" s="18"/>
      <c r="AB336" s="68">
        <v>499</v>
      </c>
      <c r="AC336" s="18"/>
      <c r="AD336" s="69">
        <v>0</v>
      </c>
      <c r="AE336" s="35"/>
      <c r="AF336" s="69">
        <v>0</v>
      </c>
      <c r="AG336" s="69">
        <v>0</v>
      </c>
      <c r="AH336" s="16">
        <v>19.87</v>
      </c>
      <c r="AI336" s="16">
        <v>0</v>
      </c>
      <c r="AJ336" s="16">
        <v>0</v>
      </c>
      <c r="AN336" s="71">
        <f t="shared" si="195"/>
        <v>0</v>
      </c>
      <c r="AO336" s="71">
        <f t="shared" si="196"/>
        <v>0</v>
      </c>
      <c r="AP336" s="71">
        <f t="shared" si="197"/>
        <v>0</v>
      </c>
      <c r="AQ336" s="72">
        <f>IF(OR($H336="GIROSSOL II",$H336="GIROSSOL II e III"),INDEX('Resumo Operacional'!$A$1:$P$1103,MATCH("Energia Injetada prevista total Fatura da Usina (TUSD)",'Resumo Operacional'!$B$1:$B$1103,0),MATCH('Detalhe Por UC'!$R336,'Resumo Operacional'!$A$1:$P$1,0))*$S336,INDEX('Resumo Operacional'!$A$1:$P$1103,53,MATCH('Detalhe Por UC'!$R336,'Resumo Operacional'!$A$1:$P$1,0))*$S336)</f>
        <v>240.86</v>
      </c>
      <c r="AR336" s="71">
        <f t="shared" si="198"/>
        <v>-240.86</v>
      </c>
      <c r="AS336" s="73">
        <f t="shared" si="199"/>
        <v>576.88</v>
      </c>
      <c r="AT336" s="74">
        <f t="shared" si="200"/>
        <v>576.88</v>
      </c>
      <c r="AU336" s="74" t="str">
        <f t="shared" si="201"/>
        <v/>
      </c>
      <c r="AV336" s="74">
        <f t="shared" si="202"/>
        <v>0</v>
      </c>
      <c r="AW336" s="74">
        <f t="shared" si="203"/>
        <v>0</v>
      </c>
      <c r="AX336" s="74">
        <f t="shared" si="204"/>
        <v>0</v>
      </c>
      <c r="AY336" s="74" t="str">
        <f t="shared" si="205"/>
        <v/>
      </c>
      <c r="AZ336" s="49" t="s">
        <v>354</v>
      </c>
      <c r="BA336" s="49">
        <v>0</v>
      </c>
      <c r="BC336" s="73" t="str">
        <f t="shared" si="206"/>
        <v/>
      </c>
      <c r="BD336" s="73">
        <f t="shared" si="207"/>
        <v>576.88</v>
      </c>
      <c r="BE336" s="73">
        <f t="shared" si="208"/>
        <v>576.88</v>
      </c>
      <c r="BF336" s="77">
        <f t="shared" si="209"/>
        <v>0</v>
      </c>
      <c r="BG336" s="77">
        <f t="shared" si="210"/>
        <v>0</v>
      </c>
      <c r="BH336" s="77">
        <f t="shared" si="211"/>
        <v>0</v>
      </c>
      <c r="BI336" s="78" t="str">
        <f t="shared" si="212"/>
        <v/>
      </c>
      <c r="BJ336" s="79">
        <f t="shared" si="213"/>
        <v>0</v>
      </c>
      <c r="BK336" s="80" t="str">
        <f t="shared" si="214"/>
        <v/>
      </c>
      <c r="BL336" s="80" t="str">
        <f t="shared" si="215"/>
        <v/>
      </c>
      <c r="BM336" s="79" t="str">
        <f t="shared" si="216"/>
        <v/>
      </c>
      <c r="BN336" s="81" t="str">
        <f t="shared" si="217"/>
        <v/>
      </c>
      <c r="BO336" s="82" t="str">
        <f t="shared" si="218"/>
        <v/>
      </c>
      <c r="BP336" s="81" t="str">
        <f t="shared" si="219"/>
        <v/>
      </c>
      <c r="BQ336" s="81" t="str">
        <f t="shared" si="220"/>
        <v/>
      </c>
      <c r="BR336" s="81" t="str">
        <f t="shared" si="221"/>
        <v/>
      </c>
      <c r="BS336" s="82">
        <f t="shared" si="222"/>
        <v>0</v>
      </c>
      <c r="BT336" s="82" t="str">
        <f t="shared" si="223"/>
        <v/>
      </c>
      <c r="BU336" s="82">
        <f t="shared" si="224"/>
        <v>0</v>
      </c>
      <c r="BW336" s="82">
        <f>IFERROR(INDEX('Infos Clientes'!$T:$T,MATCH('Detalhe Por UC'!$C336,'Infos Clientes'!B:B,0)),"")</f>
        <v>249.81818181818181</v>
      </c>
      <c r="BX336" s="83">
        <f t="shared" si="225"/>
        <v>0</v>
      </c>
      <c r="BY336" s="84" t="str">
        <f t="shared" si="226"/>
        <v/>
      </c>
      <c r="BZ336" s="85">
        <f>IF(_xlfn.MINIFS('Detalhe Por UC'!R:R,'Detalhe Por UC'!C:C,C336,'Detalhe Por UC'!AD:AD,"&gt;"&amp;0)=0,"",_xlfn.MINIFS('Detalhe Por UC'!R:R,'Detalhe Por UC'!C:C,C336,'Detalhe Por UC'!AD:AD,"&gt;"&amp;0))</f>
        <v>45658</v>
      </c>
      <c r="CA336" s="114">
        <f ca="1">IF(OR(S336&gt;0,AD336&gt;0),IFERROR(
SUMIFS(INDIRECT("'Infos Clientes'!$W"&amp;INDEX('Infos Clientes'!$C:$C,MATCH(C336,'Infos Clientes'!$H:$H,0))&amp;":$CZ"&amp;INDEX('Infos Clientes'!$C:$C,MATCH(C336,'Infos Clientes'!$H:$H,0))),'Infos Clientes'!$W$2:$CZ$2,"&gt;"&amp;$R336-365,'Infos Clientes'!$W$2:$CZ$2,"&lt;="&amp;$R336)/
COUNTIFS(INDIRECT("'Infos Clientes'!$W"&amp;INDEX('Infos Clientes'!$C:$C,MATCH(C336,'Infos Clientes'!$H:$H,0))&amp;":$CZ"&amp;INDEX('Infos Clientes'!$C:$C,MATCH(C336,'Infos Clientes'!$H:$H,0))),"&gt;="&amp;0,'Infos Clientes'!$W$2:$CZ$2,"&gt;"&amp;$R336-365,'Infos Clientes'!$W$2:$CZ$2,"&lt;="&amp;$R336),""),"")</f>
        <v>267.25</v>
      </c>
      <c r="CB336" s="87">
        <f>VLOOKUP(C336,'Infos Clientes'!B:L,11,0)</f>
        <v>0</v>
      </c>
      <c r="CC336" s="88" t="str">
        <f t="shared" si="227"/>
        <v>A Unidade Consumidora 10/395471-6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6" s="40" t="s">
        <v>143</v>
      </c>
      <c r="CF336" s="115">
        <f t="shared" si="228"/>
        <v>-576.88</v>
      </c>
    </row>
    <row r="337" spans="1:84" ht="16.2" hidden="1" customHeight="1" x14ac:dyDescent="0.3">
      <c r="A337" s="105" t="str">
        <f>INDEX('Infos Clientes'!$D:$D,MATCH('Detalhe Por UC'!C337,'Infos Clientes'!B:B,0))</f>
        <v>IGREJA DO EVANGELHO QUADRANGULAR</v>
      </c>
      <c r="B337" s="106" t="str">
        <f>INDEX('Infos Clientes'!$F:$F,MATCH('Detalhe Por UC'!C337,'Infos Clientes'!B:B,0))</f>
        <v>62.955.505/0155-12</v>
      </c>
      <c r="C337" s="31" t="s">
        <v>189</v>
      </c>
      <c r="D337" t="s">
        <v>351</v>
      </c>
      <c r="E337" s="1" t="s">
        <v>352</v>
      </c>
      <c r="F337" s="56" t="str">
        <f>INDEX('Infos Clientes'!$I:$I,MATCH('Detalhe Por UC'!C337,'Infos Clientes'!B:B,0))</f>
        <v>BT</v>
      </c>
      <c r="G337" s="56" t="str">
        <f>INDEX('Infos Clientes'!$J:$J,MATCH('Detalhe Por UC'!C337,'Infos Clientes'!B:B,0))</f>
        <v>bifasico</v>
      </c>
      <c r="H337" s="108" t="s">
        <v>138</v>
      </c>
      <c r="I337" s="58">
        <f>IFERROR(VLOOKUP(C337,'Infos Clientes'!B:E,4,),"")</f>
        <v>358</v>
      </c>
      <c r="J337" s="109">
        <v>0.25</v>
      </c>
      <c r="K337" s="59">
        <f>INDEX('Infos Clientes'!$M:$M,MATCH('Detalhe Por UC'!C337,'Infos Clientes'!B:B,0))</f>
        <v>0.25</v>
      </c>
      <c r="L337" s="125"/>
      <c r="M337" s="56">
        <f>INDEX('Infos Clientes'!$N:$N,MATCH('Detalhe Por UC'!C337,'Infos Clientes'!B:B,0))</f>
        <v>0</v>
      </c>
      <c r="N337" s="56">
        <f t="shared" si="192"/>
        <v>0</v>
      </c>
      <c r="O337" s="56">
        <f t="shared" si="193"/>
        <v>8</v>
      </c>
      <c r="P337" s="56">
        <f t="shared" si="194"/>
        <v>0</v>
      </c>
      <c r="Q337" s="61">
        <f>IFERROR(IFERROR(INDEX('Infos Clientes'!$A$2:$V$9884,MATCH($C337,'Infos Clientes'!$B$2:$B$9884,0),MATCH(Q$8,'Infos Clientes'!$A$2:$V$2,0)),"")
+IF(OR(INDEX('Infos Clientes'!$A$2:$V$9884,MATCH($C337,'Infos Clientes'!$B$2:$B$9884,0),MATCH("Tempo de Fidelidade (meses)",'Infos Clientes'!$A$2:$V$2,0))=0,R337&gt;=MAX(R:R)),0,
ROUND((MAX(R:R)-R337)/(365/12),0)),"")</f>
        <v>0</v>
      </c>
      <c r="R337" s="111">
        <v>45717</v>
      </c>
      <c r="S337" s="63">
        <v>0.01</v>
      </c>
      <c r="T337" s="113" t="str">
        <f>IF($H337="GIROSSOL II",AP337/INDEX('Resumo Operacional'!$A$1:$P$1103,17,MATCH('Detalhe Por UC'!$R337,'Resumo Operacional'!$A$1:$P$1,0)),
IF($H337="GIROSSOL II e III",AP337/INDEX('Resumo Operacional'!$A$1:$P$1103,17,MATCH('Detalhe Por UC'!$R337,'Resumo Operacional'!$A$1:$P$1,0)),
""))</f>
        <v/>
      </c>
      <c r="U337" s="113">
        <f>IF($H337="GIROSSOL III",AP337/INDEX('Resumo Operacional'!$A$1:$P$1103,53,MATCH('Detalhe Por UC'!$R337,'Resumo Operacional'!$A$1:$P$1,0)),
IF($H337="GIROSSOL II e III",AP337/INDEX('Resumo Operacional'!$A$1:$P$1103,53,MATCH('Detalhe Por UC'!$R337,'Resumo Operacional'!$A$1:$P$1,0)),
""))</f>
        <v>0</v>
      </c>
      <c r="V337" s="18"/>
      <c r="W337" s="18"/>
      <c r="X337" s="18">
        <v>1.11625</v>
      </c>
      <c r="Y337" s="18"/>
      <c r="Z337" s="66">
        <v>0</v>
      </c>
      <c r="AA337" s="18"/>
      <c r="AB337" s="68">
        <v>208</v>
      </c>
      <c r="AC337" s="18"/>
      <c r="AD337" s="69">
        <v>0</v>
      </c>
      <c r="AE337" s="35"/>
      <c r="AF337" s="69">
        <v>0</v>
      </c>
      <c r="AG337" s="69">
        <v>0</v>
      </c>
      <c r="AH337" s="16">
        <v>98.54</v>
      </c>
      <c r="AI337" s="16">
        <v>0</v>
      </c>
      <c r="AJ337" s="16">
        <v>0</v>
      </c>
      <c r="AN337" s="71">
        <f t="shared" si="195"/>
        <v>0</v>
      </c>
      <c r="AO337" s="71">
        <f t="shared" si="196"/>
        <v>0</v>
      </c>
      <c r="AP337" s="71">
        <f t="shared" si="197"/>
        <v>0</v>
      </c>
      <c r="AQ337" s="72">
        <f>IF(OR($H337="GIROSSOL II",$H337="GIROSSOL II e III"),INDEX('Resumo Operacional'!$A$1:$P$1103,MATCH("Energia Injetada prevista total Fatura da Usina (TUSD)",'Resumo Operacional'!$B$1:$B$1103,0),MATCH('Detalhe Por UC'!$R337,'Resumo Operacional'!$A$1:$P$1,0))*$S337,INDEX('Resumo Operacional'!$A$1:$P$1103,53,MATCH('Detalhe Por UC'!$R337,'Resumo Operacional'!$A$1:$P$1,0))*$S337)</f>
        <v>120.43</v>
      </c>
      <c r="AR337" s="71">
        <f t="shared" si="198"/>
        <v>-120.43</v>
      </c>
      <c r="AS337" s="73">
        <f t="shared" si="199"/>
        <v>330.72</v>
      </c>
      <c r="AT337" s="74">
        <f t="shared" si="200"/>
        <v>330.72</v>
      </c>
      <c r="AU337" s="74" t="str">
        <f t="shared" si="201"/>
        <v/>
      </c>
      <c r="AV337" s="74">
        <f t="shared" si="202"/>
        <v>0</v>
      </c>
      <c r="AW337" s="74">
        <f t="shared" si="203"/>
        <v>0</v>
      </c>
      <c r="AX337" s="74">
        <f t="shared" si="204"/>
        <v>0</v>
      </c>
      <c r="AY337" s="74" t="str">
        <f t="shared" si="205"/>
        <v/>
      </c>
      <c r="AZ337" s="49" t="s">
        <v>354</v>
      </c>
      <c r="BA337" s="49">
        <v>0</v>
      </c>
      <c r="BC337" s="73" t="str">
        <f t="shared" si="206"/>
        <v/>
      </c>
      <c r="BD337" s="73">
        <f t="shared" si="207"/>
        <v>330.72</v>
      </c>
      <c r="BE337" s="73">
        <f t="shared" si="208"/>
        <v>330.72</v>
      </c>
      <c r="BF337" s="77">
        <f t="shared" si="209"/>
        <v>0</v>
      </c>
      <c r="BG337" s="77">
        <f t="shared" si="210"/>
        <v>0</v>
      </c>
      <c r="BH337" s="77">
        <f t="shared" si="211"/>
        <v>0</v>
      </c>
      <c r="BI337" s="78" t="str">
        <f t="shared" si="212"/>
        <v/>
      </c>
      <c r="BJ337" s="79">
        <f t="shared" si="213"/>
        <v>0</v>
      </c>
      <c r="BK337" s="80" t="str">
        <f t="shared" si="214"/>
        <v/>
      </c>
      <c r="BL337" s="80" t="str">
        <f t="shared" si="215"/>
        <v/>
      </c>
      <c r="BM337" s="79" t="str">
        <f t="shared" si="216"/>
        <v/>
      </c>
      <c r="BN337" s="81" t="str">
        <f t="shared" si="217"/>
        <v/>
      </c>
      <c r="BO337" s="82" t="str">
        <f t="shared" si="218"/>
        <v/>
      </c>
      <c r="BP337" s="81" t="str">
        <f t="shared" si="219"/>
        <v/>
      </c>
      <c r="BQ337" s="81" t="str">
        <f t="shared" si="220"/>
        <v/>
      </c>
      <c r="BR337" s="81" t="str">
        <f t="shared" si="221"/>
        <v/>
      </c>
      <c r="BS337" s="82">
        <f t="shared" si="222"/>
        <v>0</v>
      </c>
      <c r="BT337" s="82" t="str">
        <f t="shared" si="223"/>
        <v/>
      </c>
      <c r="BU337" s="82">
        <f t="shared" si="224"/>
        <v>0</v>
      </c>
      <c r="BW337" s="82">
        <f>IFERROR(INDEX('Infos Clientes'!$T:$T,MATCH('Detalhe Por UC'!$C337,'Infos Clientes'!B:B,0)),"")</f>
        <v>164.36363636363637</v>
      </c>
      <c r="BX337" s="83">
        <f t="shared" si="225"/>
        <v>0</v>
      </c>
      <c r="BY337" s="84" t="str">
        <f t="shared" si="226"/>
        <v/>
      </c>
      <c r="BZ337" s="85">
        <f>IF(_xlfn.MINIFS('Detalhe Por UC'!R:R,'Detalhe Por UC'!C:C,C337,'Detalhe Por UC'!AD:AD,"&gt;"&amp;0)=0,"",_xlfn.MINIFS('Detalhe Por UC'!R:R,'Detalhe Por UC'!C:C,C337,'Detalhe Por UC'!AD:AD,"&gt;"&amp;0))</f>
        <v>45658</v>
      </c>
      <c r="CA337" s="114">
        <f ca="1">IF(OR(S337&gt;0,AD337&gt;0),IFERROR(
SUMIFS(INDIRECT("'Infos Clientes'!$W"&amp;INDEX('Infos Clientes'!$C:$C,MATCH(C337,'Infos Clientes'!$H:$H,0))&amp;":$CZ"&amp;INDEX('Infos Clientes'!$C:$C,MATCH(C337,'Infos Clientes'!$H:$H,0))),'Infos Clientes'!$W$2:$CZ$2,"&gt;"&amp;$R337-365,'Infos Clientes'!$W$2:$CZ$2,"&lt;="&amp;$R337)/
COUNTIFS(INDIRECT("'Infos Clientes'!$W"&amp;INDEX('Infos Clientes'!$C:$C,MATCH(C337,'Infos Clientes'!$H:$H,0))&amp;":$CZ"&amp;INDEX('Infos Clientes'!$C:$C,MATCH(C337,'Infos Clientes'!$H:$H,0))),"&gt;="&amp;0,'Infos Clientes'!$W$2:$CZ$2,"&gt;"&amp;$R337-365,'Infos Clientes'!$W$2:$CZ$2,"&lt;="&amp;$R337),""),"")</f>
        <v>161.25</v>
      </c>
      <c r="CB337" s="87">
        <f>VLOOKUP(C337,'Infos Clientes'!B:L,11,0)</f>
        <v>0</v>
      </c>
      <c r="CC337" s="88" t="str">
        <f t="shared" si="227"/>
        <v>A Unidade Consumidora 10/3125732-2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7" s="40" t="s">
        <v>159</v>
      </c>
      <c r="CF337" s="115">
        <f t="shared" si="228"/>
        <v>-330.72</v>
      </c>
    </row>
    <row r="338" spans="1:84" ht="16.2" hidden="1" customHeight="1" x14ac:dyDescent="0.3">
      <c r="A338" s="105" t="str">
        <f>INDEX('Infos Clientes'!$D:$D,MATCH('Detalhe Por UC'!C338,'Infos Clientes'!B:B,0))</f>
        <v>IGREJA DO EVANGELHO QUADRANGULAR</v>
      </c>
      <c r="B338" s="106" t="str">
        <f>INDEX('Infos Clientes'!$F:$F,MATCH('Detalhe Por UC'!C338,'Infos Clientes'!B:B,0))</f>
        <v>62.955.505/1355-00</v>
      </c>
      <c r="C338" s="107" t="s">
        <v>245</v>
      </c>
      <c r="D338" t="s">
        <v>351</v>
      </c>
      <c r="E338" s="1" t="s">
        <v>352</v>
      </c>
      <c r="F338" s="56" t="str">
        <f>INDEX('Infos Clientes'!$I:$I,MATCH('Detalhe Por UC'!C338,'Infos Clientes'!B:B,0))</f>
        <v>BT</v>
      </c>
      <c r="G338" s="56">
        <f>INDEX('Infos Clientes'!$J:$J,MATCH('Detalhe Por UC'!C338,'Infos Clientes'!B:B,0))</f>
        <v>0</v>
      </c>
      <c r="H338" s="108" t="s">
        <v>138</v>
      </c>
      <c r="I338" s="58">
        <f>IFERROR(VLOOKUP(C338,'Infos Clientes'!B:E,4,),"")</f>
        <v>0</v>
      </c>
      <c r="J338" s="109">
        <v>0.25</v>
      </c>
      <c r="K338" s="59">
        <f>INDEX('Infos Clientes'!$M:$M,MATCH('Detalhe Por UC'!C338,'Infos Clientes'!B:B,0))</f>
        <v>0.25</v>
      </c>
      <c r="L338" s="125"/>
      <c r="M338" s="56">
        <f>INDEX('Infos Clientes'!$N:$N,MATCH('Detalhe Por UC'!C338,'Infos Clientes'!B:B,0))</f>
        <v>0</v>
      </c>
      <c r="N338" s="56">
        <f t="shared" si="192"/>
        <v>0</v>
      </c>
      <c r="O338" s="56">
        <f t="shared" si="193"/>
        <v>0</v>
      </c>
      <c r="P338" s="56">
        <f t="shared" si="194"/>
        <v>0</v>
      </c>
      <c r="Q338" s="61">
        <f>IFERROR(IFERROR(INDEX('Infos Clientes'!$A$2:$V$9884,MATCH($C338,'Infos Clientes'!$B$2:$B$9884,0),MATCH(Q$8,'Infos Clientes'!$A$2:$V$2,0)),"")
+IF(OR(INDEX('Infos Clientes'!$A$2:$V$9884,MATCH($C338,'Infos Clientes'!$B$2:$B$9884,0),MATCH("Tempo de Fidelidade (meses)",'Infos Clientes'!$A$2:$V$2,0))=0,R338&gt;=MAX(R:R)),0,
ROUND((MAX(R:R)-R338)/(365/12),0)),"")</f>
        <v>0</v>
      </c>
      <c r="R338" s="111">
        <v>45717</v>
      </c>
      <c r="S338" s="63">
        <v>0</v>
      </c>
      <c r="T338" s="113" t="str">
        <f>IF($H338="GIROSSOL II",AP338/INDEX('Resumo Operacional'!$A$1:$P$1103,17,MATCH('Detalhe Por UC'!$R338,'Resumo Operacional'!$A$1:$P$1,0)),
IF($H338="GIROSSOL II e III",AP338/INDEX('Resumo Operacional'!$A$1:$P$1103,17,MATCH('Detalhe Por UC'!$R338,'Resumo Operacional'!$A$1:$P$1,0)),
""))</f>
        <v/>
      </c>
      <c r="U338" s="113">
        <f>IF($H338="GIROSSOL III",AP338/INDEX('Resumo Operacional'!$A$1:$P$1103,53,MATCH('Detalhe Por UC'!$R338,'Resumo Operacional'!$A$1:$P$1,0)),
IF($H338="GIROSSOL II e III",AP338/INDEX('Resumo Operacional'!$A$1:$P$1103,53,MATCH('Detalhe Por UC'!$R338,'Resumo Operacional'!$A$1:$P$1,0)),
""))</f>
        <v>0</v>
      </c>
      <c r="V338" s="18"/>
      <c r="W338" s="18"/>
      <c r="X338" s="18">
        <v>0</v>
      </c>
      <c r="Y338" s="18"/>
      <c r="Z338" s="66">
        <v>0</v>
      </c>
      <c r="AA338" s="18"/>
      <c r="AB338" s="68">
        <v>0</v>
      </c>
      <c r="AC338" s="18"/>
      <c r="AD338" s="69">
        <v>0</v>
      </c>
      <c r="AE338" s="35"/>
      <c r="AF338" s="69">
        <v>0</v>
      </c>
      <c r="AG338" s="69">
        <v>0</v>
      </c>
      <c r="AH338" s="16">
        <v>0</v>
      </c>
      <c r="AI338" s="16">
        <v>0</v>
      </c>
      <c r="AJ338" s="16">
        <v>0</v>
      </c>
      <c r="AN338" s="71">
        <f t="shared" si="195"/>
        <v>0</v>
      </c>
      <c r="AO338" s="71">
        <f t="shared" si="196"/>
        <v>0</v>
      </c>
      <c r="AP338" s="71">
        <f t="shared" si="197"/>
        <v>0</v>
      </c>
      <c r="AQ338" s="72">
        <f>IF(OR($H338="GIROSSOL II",$H338="GIROSSOL II e III"),INDEX('Resumo Operacional'!$A$1:$P$1103,MATCH("Energia Injetada prevista total Fatura da Usina (TUSD)",'Resumo Operacional'!$B$1:$B$1103,0),MATCH('Detalhe Por UC'!$R338,'Resumo Operacional'!$A$1:$P$1,0))*$S338,INDEX('Resumo Operacional'!$A$1:$P$1103,53,MATCH('Detalhe Por UC'!$R338,'Resumo Operacional'!$A$1:$P$1,0))*$S338)</f>
        <v>0</v>
      </c>
      <c r="AR338" s="71">
        <f t="shared" si="198"/>
        <v>0</v>
      </c>
      <c r="AS338" s="73">
        <f t="shared" si="199"/>
        <v>0</v>
      </c>
      <c r="AT338" s="74">
        <f t="shared" si="200"/>
        <v>0</v>
      </c>
      <c r="AU338" s="74" t="str">
        <f t="shared" si="201"/>
        <v/>
      </c>
      <c r="AV338" s="74">
        <f t="shared" si="202"/>
        <v>0</v>
      </c>
      <c r="AW338" s="74">
        <f t="shared" si="203"/>
        <v>0</v>
      </c>
      <c r="AX338" s="74">
        <f t="shared" si="204"/>
        <v>0</v>
      </c>
      <c r="AY338" s="74" t="str">
        <f t="shared" si="205"/>
        <v/>
      </c>
      <c r="AZ338" s="49" t="s">
        <v>354</v>
      </c>
      <c r="BA338" s="49">
        <v>0</v>
      </c>
      <c r="BC338" s="73" t="str">
        <f t="shared" si="206"/>
        <v/>
      </c>
      <c r="BD338" s="73">
        <f t="shared" si="207"/>
        <v>0</v>
      </c>
      <c r="BE338" s="73">
        <f t="shared" si="208"/>
        <v>0</v>
      </c>
      <c r="BF338" s="77">
        <f t="shared" si="209"/>
        <v>0</v>
      </c>
      <c r="BG338" s="77">
        <f t="shared" si="210"/>
        <v>0</v>
      </c>
      <c r="BH338" s="77">
        <f t="shared" si="211"/>
        <v>0</v>
      </c>
      <c r="BI338" s="78" t="str">
        <f t="shared" si="212"/>
        <v/>
      </c>
      <c r="BJ338" s="79" t="str">
        <f t="shared" si="213"/>
        <v/>
      </c>
      <c r="BK338" s="80" t="str">
        <f t="shared" si="214"/>
        <v/>
      </c>
      <c r="BL338" s="80" t="str">
        <f t="shared" si="215"/>
        <v/>
      </c>
      <c r="BM338" s="79" t="str">
        <f t="shared" si="216"/>
        <v/>
      </c>
      <c r="BN338" s="81" t="str">
        <f t="shared" si="217"/>
        <v/>
      </c>
      <c r="BO338" s="82" t="str">
        <f t="shared" si="218"/>
        <v/>
      </c>
      <c r="BP338" s="81" t="str">
        <f t="shared" si="219"/>
        <v/>
      </c>
      <c r="BQ338" s="81" t="str">
        <f t="shared" si="220"/>
        <v/>
      </c>
      <c r="BR338" s="81" t="str">
        <f t="shared" si="221"/>
        <v/>
      </c>
      <c r="BS338" s="82">
        <f t="shared" si="222"/>
        <v>0</v>
      </c>
      <c r="BT338" s="82" t="str">
        <f t="shared" si="223"/>
        <v/>
      </c>
      <c r="BU338" s="82">
        <f t="shared" si="224"/>
        <v>0</v>
      </c>
      <c r="BW338" s="82">
        <f>IFERROR(INDEX('Infos Clientes'!$T:$T,MATCH('Detalhe Por UC'!$C338,'Infos Clientes'!B:B,0)),"")</f>
        <v>0</v>
      </c>
      <c r="BX338" s="83">
        <f t="shared" si="225"/>
        <v>0</v>
      </c>
      <c r="BY338" s="84" t="str">
        <f t="shared" si="226"/>
        <v/>
      </c>
      <c r="BZ338" s="85" t="str">
        <f>IF(_xlfn.MINIFS('Detalhe Por UC'!R:R,'Detalhe Por UC'!C:C,C338,'Detalhe Por UC'!AD:AD,"&gt;"&amp;0)=0,"",_xlfn.MINIFS('Detalhe Por UC'!R:R,'Detalhe Por UC'!C:C,C338,'Detalhe Por UC'!AD:AD,"&gt;"&amp;0))</f>
        <v/>
      </c>
      <c r="CA338" s="114" t="str">
        <f ca="1">IF(OR(S338&gt;0,AD338&gt;0),IFERROR(
SUMIFS(INDIRECT("'Infos Clientes'!$W"&amp;INDEX('Infos Clientes'!$C:$C,MATCH(C338,'Infos Clientes'!$H:$H,0))&amp;":$CZ"&amp;INDEX('Infos Clientes'!$C:$C,MATCH(C338,'Infos Clientes'!$H:$H,0))),'Infos Clientes'!$W$2:$CZ$2,"&gt;"&amp;$R338-365,'Infos Clientes'!$W$2:$CZ$2,"&lt;="&amp;$R338)/
COUNTIFS(INDIRECT("'Infos Clientes'!$W"&amp;INDEX('Infos Clientes'!$C:$C,MATCH(C338,'Infos Clientes'!$H:$H,0))&amp;":$CZ"&amp;INDEX('Infos Clientes'!$C:$C,MATCH(C338,'Infos Clientes'!$H:$H,0))),"&gt;="&amp;0,'Infos Clientes'!$W$2:$CZ$2,"&gt;"&amp;$R338-365,'Infos Clientes'!$W$2:$CZ$2,"&lt;="&amp;$R338),""),"")</f>
        <v/>
      </c>
      <c r="CB338" s="87">
        <f>VLOOKUP(C338,'Infos Clientes'!B:L,11,0)</f>
        <v>0</v>
      </c>
      <c r="CC338" s="88" t="str">
        <f t="shared" si="227"/>
        <v>A Unidade Consumidora 10/2344751-9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8" s="40"/>
      <c r="CF338" s="115">
        <f t="shared" si="228"/>
        <v>0</v>
      </c>
    </row>
    <row r="339" spans="1:84" ht="16.2" hidden="1" customHeight="1" x14ac:dyDescent="0.3">
      <c r="A339" s="105" t="str">
        <f>INDEX('Infos Clientes'!$D:$D,MATCH('Detalhe Por UC'!C339,'Infos Clientes'!B:B,0))</f>
        <v>IGREJA DO EVANGELHO QUADRANGULAR</v>
      </c>
      <c r="B339" s="106" t="str">
        <f>INDEX('Infos Clientes'!$F:$F,MATCH('Detalhe Por UC'!C339,'Infos Clientes'!B:B,0))</f>
        <v>62.955.505/0160-80</v>
      </c>
      <c r="C339" s="31" t="s">
        <v>190</v>
      </c>
      <c r="D339" t="s">
        <v>351</v>
      </c>
      <c r="E339" s="1" t="s">
        <v>352</v>
      </c>
      <c r="F339" s="56" t="str">
        <f>INDEX('Infos Clientes'!$I:$I,MATCH('Detalhe Por UC'!C339,'Infos Clientes'!B:B,0))</f>
        <v>BT</v>
      </c>
      <c r="G339" s="56" t="str">
        <f>INDEX('Infos Clientes'!$J:$J,MATCH('Detalhe Por UC'!C339,'Infos Clientes'!B:B,0))</f>
        <v>bifasico</v>
      </c>
      <c r="H339" s="108" t="s">
        <v>138</v>
      </c>
      <c r="I339" s="58">
        <f>IFERROR(VLOOKUP(C339,'Infos Clientes'!B:E,4,),"")</f>
        <v>357</v>
      </c>
      <c r="J339" s="109">
        <v>0.25</v>
      </c>
      <c r="K339" s="59">
        <f>INDEX('Infos Clientes'!$M:$M,MATCH('Detalhe Por UC'!C339,'Infos Clientes'!B:B,0))</f>
        <v>0.25</v>
      </c>
      <c r="L339" s="125"/>
      <c r="M339" s="56">
        <f>INDEX('Infos Clientes'!$N:$N,MATCH('Detalhe Por UC'!C339,'Infos Clientes'!B:B,0))</f>
        <v>0</v>
      </c>
      <c r="N339" s="56">
        <f t="shared" si="192"/>
        <v>0</v>
      </c>
      <c r="O339" s="56">
        <f t="shared" si="193"/>
        <v>3</v>
      </c>
      <c r="P339" s="56">
        <f t="shared" si="194"/>
        <v>0</v>
      </c>
      <c r="Q339" s="61">
        <f>IFERROR(IFERROR(INDEX('Infos Clientes'!$A$2:$V$9884,MATCH($C339,'Infos Clientes'!$B$2:$B$9884,0),MATCH(Q$8,'Infos Clientes'!$A$2:$V$2,0)),"")
+IF(OR(INDEX('Infos Clientes'!$A$2:$V$9884,MATCH($C339,'Infos Clientes'!$B$2:$B$9884,0),MATCH("Tempo de Fidelidade (meses)",'Infos Clientes'!$A$2:$V$2,0))=0,R339&gt;=MAX(R:R)),0,
ROUND((MAX(R:R)-R339)/(365/12),0)),"")</f>
        <v>0</v>
      </c>
      <c r="R339" s="111">
        <v>45717</v>
      </c>
      <c r="S339" s="63">
        <v>0.01</v>
      </c>
      <c r="T339" s="113" t="str">
        <f>IF($H339="GIROSSOL II",AP339/INDEX('Resumo Operacional'!$A$1:$P$1103,17,MATCH('Detalhe Por UC'!$R339,'Resumo Operacional'!$A$1:$P$1,0)),
IF($H339="GIROSSOL II e III",AP339/INDEX('Resumo Operacional'!$A$1:$P$1103,17,MATCH('Detalhe Por UC'!$R339,'Resumo Operacional'!$A$1:$P$1,0)),
""))</f>
        <v/>
      </c>
      <c r="U339" s="113">
        <f>IF($H339="GIROSSOL III",AP339/INDEX('Resumo Operacional'!$A$1:$P$1103,53,MATCH('Detalhe Por UC'!$R339,'Resumo Operacional'!$A$1:$P$1,0)),
IF($H339="GIROSSOL II e III",AP339/INDEX('Resumo Operacional'!$A$1:$P$1103,53,MATCH('Detalhe Por UC'!$R339,'Resumo Operacional'!$A$1:$P$1,0)),
""))</f>
        <v>0</v>
      </c>
      <c r="V339" s="18"/>
      <c r="W339" s="18"/>
      <c r="X339" s="18">
        <v>1.116235294117647</v>
      </c>
      <c r="Y339" s="18"/>
      <c r="Z339" s="66">
        <v>0</v>
      </c>
      <c r="AA339" s="18"/>
      <c r="AB339" s="68">
        <v>170</v>
      </c>
      <c r="AC339" s="18"/>
      <c r="AD339" s="69">
        <v>0</v>
      </c>
      <c r="AE339" s="35"/>
      <c r="AF339" s="69">
        <v>0</v>
      </c>
      <c r="AG339" s="69">
        <v>0</v>
      </c>
      <c r="AH339" s="16">
        <v>52.9</v>
      </c>
      <c r="AI339" s="16">
        <v>0</v>
      </c>
      <c r="AJ339" s="16">
        <v>0</v>
      </c>
      <c r="AN339" s="71">
        <f t="shared" si="195"/>
        <v>0</v>
      </c>
      <c r="AO339" s="71">
        <f t="shared" si="196"/>
        <v>0</v>
      </c>
      <c r="AP339" s="71">
        <f t="shared" si="197"/>
        <v>0</v>
      </c>
      <c r="AQ339" s="72">
        <f>IF(OR($H339="GIROSSOL II",$H339="GIROSSOL II e III"),INDEX('Resumo Operacional'!$A$1:$P$1103,MATCH("Energia Injetada prevista total Fatura da Usina (TUSD)",'Resumo Operacional'!$B$1:$B$1103,0),MATCH('Detalhe Por UC'!$R339,'Resumo Operacional'!$A$1:$P$1,0))*$S339,INDEX('Resumo Operacional'!$A$1:$P$1103,53,MATCH('Detalhe Por UC'!$R339,'Resumo Operacional'!$A$1:$P$1,0))*$S339)</f>
        <v>120.43</v>
      </c>
      <c r="AR339" s="71">
        <f t="shared" si="198"/>
        <v>-120.43</v>
      </c>
      <c r="AS339" s="73">
        <f t="shared" si="199"/>
        <v>242.66</v>
      </c>
      <c r="AT339" s="74">
        <f t="shared" si="200"/>
        <v>242.66</v>
      </c>
      <c r="AU339" s="74" t="str">
        <f t="shared" si="201"/>
        <v/>
      </c>
      <c r="AV339" s="74">
        <f t="shared" si="202"/>
        <v>0</v>
      </c>
      <c r="AW339" s="74">
        <f t="shared" si="203"/>
        <v>0</v>
      </c>
      <c r="AX339" s="74">
        <f t="shared" si="204"/>
        <v>0</v>
      </c>
      <c r="AY339" s="74" t="str">
        <f t="shared" si="205"/>
        <v/>
      </c>
      <c r="AZ339" s="49">
        <v>32.15</v>
      </c>
      <c r="BC339" s="73" t="str">
        <f t="shared" si="206"/>
        <v/>
      </c>
      <c r="BD339" s="73">
        <f t="shared" si="207"/>
        <v>242.66</v>
      </c>
      <c r="BE339" s="73">
        <f t="shared" si="208"/>
        <v>242.66</v>
      </c>
      <c r="BF339" s="77">
        <f t="shared" si="209"/>
        <v>0</v>
      </c>
      <c r="BG339" s="77">
        <f t="shared" si="210"/>
        <v>0</v>
      </c>
      <c r="BH339" s="77">
        <f t="shared" si="211"/>
        <v>0</v>
      </c>
      <c r="BI339" s="78" t="str">
        <f t="shared" si="212"/>
        <v/>
      </c>
      <c r="BJ339" s="79">
        <f t="shared" si="213"/>
        <v>0</v>
      </c>
      <c r="BK339" s="80" t="str">
        <f t="shared" si="214"/>
        <v/>
      </c>
      <c r="BL339" s="80" t="str">
        <f t="shared" si="215"/>
        <v/>
      </c>
      <c r="BM339" s="79" t="str">
        <f t="shared" si="216"/>
        <v/>
      </c>
      <c r="BN339" s="81" t="str">
        <f t="shared" si="217"/>
        <v/>
      </c>
      <c r="BO339" s="82" t="str">
        <f t="shared" si="218"/>
        <v/>
      </c>
      <c r="BP339" s="81" t="str">
        <f t="shared" si="219"/>
        <v/>
      </c>
      <c r="BQ339" s="81" t="str">
        <f t="shared" si="220"/>
        <v/>
      </c>
      <c r="BR339" s="81" t="str">
        <f t="shared" si="221"/>
        <v/>
      </c>
      <c r="BS339" s="82">
        <f t="shared" si="222"/>
        <v>0</v>
      </c>
      <c r="BT339" s="82" t="str">
        <f t="shared" si="223"/>
        <v/>
      </c>
      <c r="BU339" s="82">
        <f t="shared" si="224"/>
        <v>0</v>
      </c>
      <c r="BW339" s="82">
        <f>IFERROR(INDEX('Infos Clientes'!$T:$T,MATCH('Detalhe Por UC'!$C339,'Infos Clientes'!B:B,0)),"")</f>
        <v>167.54545454545453</v>
      </c>
      <c r="BX339" s="83">
        <f t="shared" si="225"/>
        <v>0</v>
      </c>
      <c r="BY339" s="84" t="str">
        <f t="shared" si="226"/>
        <v/>
      </c>
      <c r="BZ339" s="85">
        <f>IF(_xlfn.MINIFS('Detalhe Por UC'!R:R,'Detalhe Por UC'!C:C,C339,'Detalhe Por UC'!AD:AD,"&gt;"&amp;0)=0,"",_xlfn.MINIFS('Detalhe Por UC'!R:R,'Detalhe Por UC'!C:C,C339,'Detalhe Por UC'!AD:AD,"&gt;"&amp;0))</f>
        <v>45658</v>
      </c>
      <c r="CA339" s="114">
        <f ca="1">IF(OR(S339&gt;0,AD339&gt;0),IFERROR(
SUMIFS(INDIRECT("'Infos Clientes'!$W"&amp;INDEX('Infos Clientes'!$C:$C,MATCH(C339,'Infos Clientes'!$H:$H,0))&amp;":$CZ"&amp;INDEX('Infos Clientes'!$C:$C,MATCH(C339,'Infos Clientes'!$H:$H,0))),'Infos Clientes'!$W$2:$CZ$2,"&gt;"&amp;$R339-365,'Infos Clientes'!$W$2:$CZ$2,"&lt;="&amp;$R339)/
COUNTIFS(INDIRECT("'Infos Clientes'!$W"&amp;INDEX('Infos Clientes'!$C:$C,MATCH(C339,'Infos Clientes'!$H:$H,0))&amp;":$CZ"&amp;INDEX('Infos Clientes'!$C:$C,MATCH(C339,'Infos Clientes'!$H:$H,0))),"&gt;="&amp;0,'Infos Clientes'!$W$2:$CZ$2,"&gt;"&amp;$R339-365,'Infos Clientes'!$W$2:$CZ$2,"&lt;="&amp;$R339),""),"")</f>
        <v>358.33333333333331</v>
      </c>
      <c r="CB339" s="87">
        <f>VLOOKUP(C339,'Infos Clientes'!B:L,11,0)</f>
        <v>0</v>
      </c>
      <c r="CC339" s="88" t="str">
        <f t="shared" si="227"/>
        <v>A Unidade Consumidora 10/31292-6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39" s="40" t="s">
        <v>191</v>
      </c>
      <c r="CF339" s="115">
        <f t="shared" si="228"/>
        <v>-242.66</v>
      </c>
    </row>
    <row r="340" spans="1:84" ht="16.2" hidden="1" customHeight="1" x14ac:dyDescent="0.3">
      <c r="A340" s="105" t="str">
        <f>INDEX('Infos Clientes'!$D:$D,MATCH('Detalhe Por UC'!C340,'Infos Clientes'!B:B,0))</f>
        <v>IGREJA DO EVANGELHO QUADRANGULAR</v>
      </c>
      <c r="B340" s="106" t="str">
        <f>INDEX('Infos Clientes'!$F:$F,MATCH('Detalhe Por UC'!C340,'Infos Clientes'!B:B,0))</f>
        <v>62.955.505/0155-12</v>
      </c>
      <c r="C340" s="31" t="s">
        <v>205</v>
      </c>
      <c r="D340" t="s">
        <v>351</v>
      </c>
      <c r="E340" s="1" t="s">
        <v>352</v>
      </c>
      <c r="F340" s="56" t="str">
        <f>INDEX('Infos Clientes'!$I:$I,MATCH('Detalhe Por UC'!C340,'Infos Clientes'!B:B,0))</f>
        <v>BT</v>
      </c>
      <c r="G340" s="56" t="str">
        <f>INDEX('Infos Clientes'!$J:$J,MATCH('Detalhe Por UC'!C340,'Infos Clientes'!B:B,0))</f>
        <v>bifasico</v>
      </c>
      <c r="H340" s="108" t="s">
        <v>138</v>
      </c>
      <c r="I340" s="58">
        <f>IFERROR(VLOOKUP(C340,'Infos Clientes'!B:E,4,),"")</f>
        <v>358</v>
      </c>
      <c r="J340" s="109">
        <v>0.25</v>
      </c>
      <c r="K340" s="59">
        <f>INDEX('Infos Clientes'!$M:$M,MATCH('Detalhe Por UC'!C340,'Infos Clientes'!B:B,0))</f>
        <v>0.25</v>
      </c>
      <c r="L340" s="125"/>
      <c r="M340" s="56">
        <f>INDEX('Infos Clientes'!$N:$N,MATCH('Detalhe Por UC'!C340,'Infos Clientes'!B:B,0))</f>
        <v>0</v>
      </c>
      <c r="N340" s="56">
        <f t="shared" si="192"/>
        <v>0</v>
      </c>
      <c r="O340" s="56">
        <f t="shared" si="193"/>
        <v>10</v>
      </c>
      <c r="P340" s="56">
        <f t="shared" si="194"/>
        <v>0</v>
      </c>
      <c r="Q340" s="61">
        <f>IFERROR(IFERROR(INDEX('Infos Clientes'!$A$2:$V$9884,MATCH($C340,'Infos Clientes'!$B$2:$B$9884,0),MATCH(Q$8,'Infos Clientes'!$A$2:$V$2,0)),"")
+IF(OR(INDEX('Infos Clientes'!$A$2:$V$9884,MATCH($C340,'Infos Clientes'!$B$2:$B$9884,0),MATCH("Tempo de Fidelidade (meses)",'Infos Clientes'!$A$2:$V$2,0))=0,R340&gt;=MAX(R:R)),0,
ROUND((MAX(R:R)-R340)/(365/12),0)),"")</f>
        <v>0</v>
      </c>
      <c r="R340" s="111">
        <v>45717</v>
      </c>
      <c r="S340" s="63">
        <v>0.01</v>
      </c>
      <c r="T340" s="113" t="str">
        <f>IF($H340="GIROSSOL II",AP340/INDEX('Resumo Operacional'!$A$1:$P$1103,17,MATCH('Detalhe Por UC'!$R340,'Resumo Operacional'!$A$1:$P$1,0)),
IF($H340="GIROSSOL II e III",AP340/INDEX('Resumo Operacional'!$A$1:$P$1103,17,MATCH('Detalhe Por UC'!$R340,'Resumo Operacional'!$A$1:$P$1,0)),
""))</f>
        <v/>
      </c>
      <c r="U340" s="113">
        <f>IF($H340="GIROSSOL III",AP340/INDEX('Resumo Operacional'!$A$1:$P$1103,53,MATCH('Detalhe Por UC'!$R340,'Resumo Operacional'!$A$1:$P$1,0)),
IF($H340="GIROSSOL II e III",AP340/INDEX('Resumo Operacional'!$A$1:$P$1103,53,MATCH('Detalhe Por UC'!$R340,'Resumo Operacional'!$A$1:$P$1,0)),
""))</f>
        <v>0</v>
      </c>
      <c r="V340" s="18"/>
      <c r="W340" s="18"/>
      <c r="X340" s="18">
        <v>1.1162195121951219</v>
      </c>
      <c r="Y340" s="18"/>
      <c r="Z340" s="66">
        <v>0</v>
      </c>
      <c r="AA340" s="18"/>
      <c r="AB340" s="68">
        <v>164</v>
      </c>
      <c r="AC340" s="18"/>
      <c r="AD340" s="69">
        <v>0</v>
      </c>
      <c r="AE340" s="35"/>
      <c r="AF340" s="69">
        <v>0</v>
      </c>
      <c r="AG340" s="69">
        <v>0</v>
      </c>
      <c r="AH340" s="16">
        <v>54.87</v>
      </c>
      <c r="AI340" s="16">
        <v>0</v>
      </c>
      <c r="AJ340" s="16">
        <v>0</v>
      </c>
      <c r="AN340" s="71">
        <f t="shared" si="195"/>
        <v>0</v>
      </c>
      <c r="AO340" s="71">
        <f t="shared" si="196"/>
        <v>0</v>
      </c>
      <c r="AP340" s="71">
        <f t="shared" si="197"/>
        <v>0</v>
      </c>
      <c r="AQ340" s="72">
        <f>IF(OR($H340="GIROSSOL II",$H340="GIROSSOL II e III"),INDEX('Resumo Operacional'!$A$1:$P$1103,MATCH("Energia Injetada prevista total Fatura da Usina (TUSD)",'Resumo Operacional'!$B$1:$B$1103,0),MATCH('Detalhe Por UC'!$R340,'Resumo Operacional'!$A$1:$P$1,0))*$S340,INDEX('Resumo Operacional'!$A$1:$P$1103,53,MATCH('Detalhe Por UC'!$R340,'Resumo Operacional'!$A$1:$P$1,0))*$S340)</f>
        <v>120.43</v>
      </c>
      <c r="AR340" s="71">
        <f t="shared" si="198"/>
        <v>-120.43</v>
      </c>
      <c r="AS340" s="73">
        <f t="shared" si="199"/>
        <v>237.93</v>
      </c>
      <c r="AT340" s="74">
        <f t="shared" si="200"/>
        <v>237.93</v>
      </c>
      <c r="AU340" s="74" t="str">
        <f t="shared" si="201"/>
        <v/>
      </c>
      <c r="AV340" s="74">
        <f t="shared" si="202"/>
        <v>0</v>
      </c>
      <c r="AW340" s="74">
        <f t="shared" si="203"/>
        <v>0</v>
      </c>
      <c r="AX340" s="74">
        <f t="shared" si="204"/>
        <v>0</v>
      </c>
      <c r="AY340" s="74" t="str">
        <f t="shared" si="205"/>
        <v/>
      </c>
      <c r="AZ340" s="49">
        <v>28.49</v>
      </c>
      <c r="BC340" s="73" t="str">
        <f t="shared" si="206"/>
        <v/>
      </c>
      <c r="BD340" s="73">
        <f t="shared" si="207"/>
        <v>237.93</v>
      </c>
      <c r="BE340" s="73">
        <f t="shared" si="208"/>
        <v>237.93</v>
      </c>
      <c r="BF340" s="77">
        <f t="shared" si="209"/>
        <v>0</v>
      </c>
      <c r="BG340" s="77">
        <f t="shared" si="210"/>
        <v>0</v>
      </c>
      <c r="BH340" s="77">
        <f t="shared" si="211"/>
        <v>0</v>
      </c>
      <c r="BI340" s="78" t="str">
        <f t="shared" si="212"/>
        <v/>
      </c>
      <c r="BJ340" s="79">
        <f t="shared" si="213"/>
        <v>0</v>
      </c>
      <c r="BK340" s="80" t="str">
        <f t="shared" si="214"/>
        <v/>
      </c>
      <c r="BL340" s="80" t="str">
        <f t="shared" si="215"/>
        <v/>
      </c>
      <c r="BM340" s="79" t="str">
        <f t="shared" si="216"/>
        <v/>
      </c>
      <c r="BN340" s="81" t="str">
        <f t="shared" si="217"/>
        <v/>
      </c>
      <c r="BO340" s="82" t="str">
        <f t="shared" si="218"/>
        <v/>
      </c>
      <c r="BP340" s="81" t="str">
        <f t="shared" si="219"/>
        <v/>
      </c>
      <c r="BQ340" s="81" t="str">
        <f t="shared" si="220"/>
        <v/>
      </c>
      <c r="BR340" s="81" t="str">
        <f t="shared" si="221"/>
        <v/>
      </c>
      <c r="BS340" s="82">
        <f t="shared" si="222"/>
        <v>0</v>
      </c>
      <c r="BT340" s="82" t="str">
        <f t="shared" si="223"/>
        <v/>
      </c>
      <c r="BU340" s="82">
        <f t="shared" si="224"/>
        <v>0</v>
      </c>
      <c r="BW340" s="82">
        <f>IFERROR(INDEX('Infos Clientes'!$T:$T,MATCH('Detalhe Por UC'!$C340,'Infos Clientes'!B:B,0)),"")</f>
        <v>178</v>
      </c>
      <c r="BX340" s="83">
        <f t="shared" si="225"/>
        <v>0</v>
      </c>
      <c r="BY340" s="84" t="str">
        <f t="shared" si="226"/>
        <v/>
      </c>
      <c r="BZ340" s="85">
        <f>IF(_xlfn.MINIFS('Detalhe Por UC'!R:R,'Detalhe Por UC'!C:C,C340,'Detalhe Por UC'!AD:AD,"&gt;"&amp;0)=0,"",_xlfn.MINIFS('Detalhe Por UC'!R:R,'Detalhe Por UC'!C:C,C340,'Detalhe Por UC'!AD:AD,"&gt;"&amp;0))</f>
        <v>45658</v>
      </c>
      <c r="CA340" s="114">
        <f ca="1">IF(OR(S340&gt;0,AD340&gt;0),IFERROR(
SUMIFS(INDIRECT("'Infos Clientes'!$W"&amp;INDEX('Infos Clientes'!$C:$C,MATCH(C340,'Infos Clientes'!$H:$H,0))&amp;":$CZ"&amp;INDEX('Infos Clientes'!$C:$C,MATCH(C340,'Infos Clientes'!$H:$H,0))),'Infos Clientes'!$W$2:$CZ$2,"&gt;"&amp;$R340-365,'Infos Clientes'!$W$2:$CZ$2,"&lt;="&amp;$R340)/
COUNTIFS(INDIRECT("'Infos Clientes'!$W"&amp;INDEX('Infos Clientes'!$C:$C,MATCH(C340,'Infos Clientes'!$H:$H,0))&amp;":$CZ"&amp;INDEX('Infos Clientes'!$C:$C,MATCH(C340,'Infos Clientes'!$H:$H,0))),"&gt;="&amp;0,'Infos Clientes'!$W$2:$CZ$2,"&gt;"&amp;$R340-365,'Infos Clientes'!$W$2:$CZ$2,"&lt;="&amp;$R340),""),"")</f>
        <v>159.41666666666666</v>
      </c>
      <c r="CB340" s="87">
        <f>VLOOKUP(C340,'Infos Clientes'!B:L,11,0)</f>
        <v>0</v>
      </c>
      <c r="CC340" s="88" t="str">
        <f t="shared" si="227"/>
        <v>A Unidade Consumidora 10/466560-0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40" s="40"/>
      <c r="CF340" s="115">
        <f t="shared" si="228"/>
        <v>-237.93</v>
      </c>
    </row>
    <row r="341" spans="1:84" ht="16.2" hidden="1" customHeight="1" x14ac:dyDescent="0.3">
      <c r="A341" s="105" t="str">
        <f>INDEX('Infos Clientes'!$D:$D,MATCH('Detalhe Por UC'!C341,'Infos Clientes'!B:B,0))</f>
        <v>IGREJA DO EVANGELHO QUADRANGULAR</v>
      </c>
      <c r="B341" s="106" t="str">
        <f>INDEX('Infos Clientes'!$F:$F,MATCH('Detalhe Por UC'!C341,'Infos Clientes'!B:B,0))</f>
        <v>62.955.505/0001-67</v>
      </c>
      <c r="C341" s="31" t="s">
        <v>240</v>
      </c>
      <c r="D341" t="s">
        <v>351</v>
      </c>
      <c r="E341" s="1" t="s">
        <v>352</v>
      </c>
      <c r="F341" s="56" t="str">
        <f>INDEX('Infos Clientes'!$I:$I,MATCH('Detalhe Por UC'!C341,'Infos Clientes'!B:B,0))</f>
        <v>BT</v>
      </c>
      <c r="G341" s="56" t="str">
        <f>INDEX('Infos Clientes'!$J:$J,MATCH('Detalhe Por UC'!C341,'Infos Clientes'!B:B,0))</f>
        <v>trifasico</v>
      </c>
      <c r="H341" s="108" t="s">
        <v>138</v>
      </c>
      <c r="I341" s="58">
        <f>IFERROR(VLOOKUP(C341,'Infos Clientes'!B:E,4,),"")</f>
        <v>360</v>
      </c>
      <c r="J341" s="109">
        <v>0.25</v>
      </c>
      <c r="K341" s="59">
        <f>INDEX('Infos Clientes'!$M:$M,MATCH('Detalhe Por UC'!C341,'Infos Clientes'!B:B,0))</f>
        <v>0.25</v>
      </c>
      <c r="L341" s="125"/>
      <c r="M341" s="56">
        <f>INDEX('Infos Clientes'!$N:$N,MATCH('Detalhe Por UC'!C341,'Infos Clientes'!B:B,0))</f>
        <v>0</v>
      </c>
      <c r="N341" s="56">
        <f t="shared" si="192"/>
        <v>0</v>
      </c>
      <c r="O341" s="56">
        <f t="shared" si="193"/>
        <v>10</v>
      </c>
      <c r="P341" s="56">
        <f t="shared" si="194"/>
        <v>0</v>
      </c>
      <c r="Q341" s="61">
        <f>IFERROR(IFERROR(INDEX('Infos Clientes'!$A$2:$V$9884,MATCH($C341,'Infos Clientes'!$B$2:$B$9884,0),MATCH(Q$8,'Infos Clientes'!$A$2:$V$2,0)),"")
+IF(OR(INDEX('Infos Clientes'!$A$2:$V$9884,MATCH($C341,'Infos Clientes'!$B$2:$B$9884,0),MATCH("Tempo de Fidelidade (meses)",'Infos Clientes'!$A$2:$V$2,0))=0,R341&gt;=MAX(R:R)),0,
ROUND((MAX(R:R)-R341)/(365/12),0)),"")</f>
        <v>0</v>
      </c>
      <c r="R341" s="111">
        <v>45717</v>
      </c>
      <c r="S341" s="63">
        <v>0.02</v>
      </c>
      <c r="T341" s="113" t="str">
        <f>IF($H341="GIROSSOL II",AP341/INDEX('Resumo Operacional'!$A$1:$P$1103,17,MATCH('Detalhe Por UC'!$R341,'Resumo Operacional'!$A$1:$P$1,0)),
IF($H341="GIROSSOL II e III",AP341/INDEX('Resumo Operacional'!$A$1:$P$1103,17,MATCH('Detalhe Por UC'!$R341,'Resumo Operacional'!$A$1:$P$1,0)),
""))</f>
        <v/>
      </c>
      <c r="U341" s="113">
        <f>IF($H341="GIROSSOL III",AP341/INDEX('Resumo Operacional'!$A$1:$P$1103,53,MATCH('Detalhe Por UC'!$R341,'Resumo Operacional'!$A$1:$P$1,0)),
IF($H341="GIROSSOL II e III",AP341/INDEX('Resumo Operacional'!$A$1:$P$1103,53,MATCH('Detalhe Por UC'!$R341,'Resumo Operacional'!$A$1:$P$1,0)),
""))</f>
        <v>5.2727725649755045E-2</v>
      </c>
      <c r="V341" s="18"/>
      <c r="W341" s="18"/>
      <c r="X341" s="18">
        <v>1.1162500000000002</v>
      </c>
      <c r="Y341" s="18"/>
      <c r="Z341" s="66">
        <v>0.97406374501992032</v>
      </c>
      <c r="AA341" s="18"/>
      <c r="AB341" s="68">
        <v>520</v>
      </c>
      <c r="AC341" s="18"/>
      <c r="AD341" s="69">
        <v>502</v>
      </c>
      <c r="AE341" s="35"/>
      <c r="AF341" s="69">
        <v>133</v>
      </c>
      <c r="AG341" s="69">
        <v>0</v>
      </c>
      <c r="AH341" s="16">
        <v>114.92000000000002</v>
      </c>
      <c r="AI341" s="16">
        <v>0</v>
      </c>
      <c r="AJ341" s="16">
        <v>0</v>
      </c>
      <c r="AN341" s="71">
        <f t="shared" si="195"/>
        <v>133</v>
      </c>
      <c r="AO341" s="71">
        <f t="shared" si="196"/>
        <v>0</v>
      </c>
      <c r="AP341" s="71">
        <f t="shared" si="197"/>
        <v>635</v>
      </c>
      <c r="AQ341" s="72">
        <f>IF(OR($H341="GIROSSOL II",$H341="GIROSSOL II e III"),INDEX('Resumo Operacional'!$A$1:$P$1103,MATCH("Energia Injetada prevista total Fatura da Usina (TUSD)",'Resumo Operacional'!$B$1:$B$1103,0),MATCH('Detalhe Por UC'!$R341,'Resumo Operacional'!$A$1:$P$1,0))*$S341,INDEX('Resumo Operacional'!$A$1:$P$1103,53,MATCH('Detalhe Por UC'!$R341,'Resumo Operacional'!$A$1:$P$1,0))*$S341)</f>
        <v>240.86</v>
      </c>
      <c r="AR341" s="71">
        <f t="shared" si="198"/>
        <v>394.14</v>
      </c>
      <c r="AS341" s="73">
        <f t="shared" si="199"/>
        <v>206.39000000000004</v>
      </c>
      <c r="AT341" s="74">
        <f t="shared" si="200"/>
        <v>206.39000000000004</v>
      </c>
      <c r="AU341" s="74">
        <f t="shared" si="201"/>
        <v>0.83187749003984046</v>
      </c>
      <c r="AV341" s="74">
        <f t="shared" si="202"/>
        <v>366.73499999999996</v>
      </c>
      <c r="AW341" s="74">
        <f t="shared" si="203"/>
        <v>0</v>
      </c>
      <c r="AX341" s="74">
        <f t="shared" si="204"/>
        <v>488.98</v>
      </c>
      <c r="AY341" s="74">
        <f t="shared" si="205"/>
        <v>366.74</v>
      </c>
      <c r="AZ341" s="49">
        <v>366.74</v>
      </c>
      <c r="BC341" s="73" t="str">
        <f t="shared" si="206"/>
        <v/>
      </c>
      <c r="BD341" s="73">
        <f t="shared" si="207"/>
        <v>695.37000000000012</v>
      </c>
      <c r="BE341" s="73">
        <f t="shared" si="208"/>
        <v>573.125</v>
      </c>
      <c r="BF341" s="77">
        <f t="shared" si="209"/>
        <v>122.25</v>
      </c>
      <c r="BG341" s="77">
        <f t="shared" si="210"/>
        <v>36.674999999999997</v>
      </c>
      <c r="BH341" s="77">
        <f t="shared" si="211"/>
        <v>488.97999999999996</v>
      </c>
      <c r="BI341" s="78">
        <f t="shared" si="212"/>
        <v>0.25</v>
      </c>
      <c r="BJ341" s="79">
        <f t="shared" si="213"/>
        <v>0.17580568618145731</v>
      </c>
      <c r="BK341" s="80">
        <f t="shared" si="214"/>
        <v>573.13000000000011</v>
      </c>
      <c r="BL341" s="80">
        <f t="shared" si="215"/>
        <v>122.24000000000001</v>
      </c>
      <c r="BM341" s="79">
        <f t="shared" si="216"/>
        <v>0.17579130534823187</v>
      </c>
      <c r="BN341" s="81">
        <f t="shared" si="217"/>
        <v>0.7305577689243028</v>
      </c>
      <c r="BO341" s="82">
        <f t="shared" si="218"/>
        <v>366.74</v>
      </c>
      <c r="BP341" s="81">
        <f t="shared" si="219"/>
        <v>0.7305577689243028</v>
      </c>
      <c r="BQ341" s="81">
        <f t="shared" si="220"/>
        <v>0.87274402390438266</v>
      </c>
      <c r="BR341" s="81">
        <f t="shared" si="221"/>
        <v>1.1162500000000002</v>
      </c>
      <c r="BS341" s="82">
        <f t="shared" si="222"/>
        <v>502</v>
      </c>
      <c r="BT341" s="82">
        <f t="shared" si="223"/>
        <v>560.35750000000007</v>
      </c>
      <c r="BU341" s="82">
        <f t="shared" si="224"/>
        <v>488.98</v>
      </c>
      <c r="BW341" s="82">
        <f>IFERROR(INDEX('Infos Clientes'!$T:$T,MATCH('Detalhe Por UC'!$C341,'Infos Clientes'!B:B,0)),"")</f>
        <v>413.36363636363637</v>
      </c>
      <c r="BX341" s="83">
        <f t="shared" si="225"/>
        <v>0</v>
      </c>
      <c r="BY341" s="84">
        <f t="shared" si="226"/>
        <v>0.21814645114948936</v>
      </c>
      <c r="BZ341" s="85">
        <f>IF(_xlfn.MINIFS('Detalhe Por UC'!R:R,'Detalhe Por UC'!C:C,C341,'Detalhe Por UC'!AD:AD,"&gt;"&amp;0)=0,"",_xlfn.MINIFS('Detalhe Por UC'!R:R,'Detalhe Por UC'!C:C,C341,'Detalhe Por UC'!AD:AD,"&gt;"&amp;0))</f>
        <v>45658</v>
      </c>
      <c r="CA341" s="114">
        <f ca="1">IF(OR(S341&gt;0,AD341&gt;0),IFERROR(
SUMIFS(INDIRECT("'Infos Clientes'!$W"&amp;INDEX('Infos Clientes'!$C:$C,MATCH(C341,'Infos Clientes'!$H:$H,0))&amp;":$CZ"&amp;INDEX('Infos Clientes'!$C:$C,MATCH(C341,'Infos Clientes'!$H:$H,0))),'Infos Clientes'!$W$2:$CZ$2,"&gt;"&amp;$R341-365,'Infos Clientes'!$W$2:$CZ$2,"&lt;="&amp;$R341)/
COUNTIFS(INDIRECT("'Infos Clientes'!$W"&amp;INDEX('Infos Clientes'!$C:$C,MATCH(C341,'Infos Clientes'!$H:$H,0))&amp;":$CZ"&amp;INDEX('Infos Clientes'!$C:$C,MATCH(C341,'Infos Clientes'!$H:$H,0))),"&gt;="&amp;0,'Infos Clientes'!$W$2:$CZ$2,"&gt;"&amp;$R341-365,'Infos Clientes'!$W$2:$CZ$2,"&lt;="&amp;$R341),""),"")</f>
        <v>364.91666666666669</v>
      </c>
      <c r="CB341" s="87">
        <f>VLOOKUP(C341,'Infos Clientes'!B:L,11,0)</f>
        <v>0</v>
      </c>
      <c r="CC341" s="88" t="str">
        <f t="shared" si="227"/>
        <v>A Unidade Consumidora 10/260761-2 economizou R$122,25 na fatura referente à mar/2025  consumindo 502 kWh em créditos de energia renovável conforme fatura de energia. A economia foi de 25% em relação ao que seria pago para a Energisa considerando os créditos consumidos. Atenção: Mantenha as contas da Energisa em dia para evitar cortes.</v>
      </c>
      <c r="CD341" s="40"/>
      <c r="CF341" s="115">
        <f t="shared" si="228"/>
        <v>-206.39000000000004</v>
      </c>
    </row>
    <row r="342" spans="1:84" ht="16.2" hidden="1" customHeight="1" x14ac:dyDescent="0.3">
      <c r="A342" s="105" t="str">
        <f>INDEX('Infos Clientes'!$D:$D,MATCH('Detalhe Por UC'!C342,'Infos Clientes'!B:B,0))</f>
        <v>IGREJA DO EVANGELHO QUADRANGULAR</v>
      </c>
      <c r="B342" s="106" t="str">
        <f>INDEX('Infos Clientes'!$F:$F,MATCH('Detalhe Por UC'!C342,'Infos Clientes'!B:B,0))</f>
        <v>62.955.505/3586-30</v>
      </c>
      <c r="C342" s="31" t="s">
        <v>242</v>
      </c>
      <c r="D342" t="s">
        <v>351</v>
      </c>
      <c r="E342" s="1" t="s">
        <v>352</v>
      </c>
      <c r="F342" s="56" t="str">
        <f>INDEX('Infos Clientes'!$I:$I,MATCH('Detalhe Por UC'!C342,'Infos Clientes'!B:B,0))</f>
        <v>BT</v>
      </c>
      <c r="G342" s="56" t="str">
        <f>INDEX('Infos Clientes'!$J:$J,MATCH('Detalhe Por UC'!C342,'Infos Clientes'!B:B,0))</f>
        <v>trifasico</v>
      </c>
      <c r="H342" s="108" t="s">
        <v>138</v>
      </c>
      <c r="I342" s="58">
        <f>IFERROR(VLOOKUP(C342,'Infos Clientes'!B:E,4,),"")</f>
        <v>371</v>
      </c>
      <c r="J342" s="109">
        <v>0.25</v>
      </c>
      <c r="K342" s="59">
        <f>INDEX('Infos Clientes'!$M:$M,MATCH('Detalhe Por UC'!C342,'Infos Clientes'!B:B,0))</f>
        <v>0.25</v>
      </c>
      <c r="L342" s="125"/>
      <c r="M342" s="56">
        <f>INDEX('Infos Clientes'!$N:$N,MATCH('Detalhe Por UC'!C342,'Infos Clientes'!B:B,0))</f>
        <v>0</v>
      </c>
      <c r="N342" s="56">
        <f t="shared" si="192"/>
        <v>0</v>
      </c>
      <c r="O342" s="56">
        <f t="shared" si="193"/>
        <v>7</v>
      </c>
      <c r="P342" s="56">
        <f t="shared" si="194"/>
        <v>0</v>
      </c>
      <c r="Q342" s="61">
        <f>IFERROR(IFERROR(INDEX('Infos Clientes'!$A$2:$V$9884,MATCH($C342,'Infos Clientes'!$B$2:$B$9884,0),MATCH(Q$8,'Infos Clientes'!$A$2:$V$2,0)),"")
+IF(OR(INDEX('Infos Clientes'!$A$2:$V$9884,MATCH($C342,'Infos Clientes'!$B$2:$B$9884,0),MATCH("Tempo de Fidelidade (meses)",'Infos Clientes'!$A$2:$V$2,0))=0,R342&gt;=MAX(R:R)),0,
ROUND((MAX(R:R)-R342)/(365/12),0)),"")</f>
        <v>0</v>
      </c>
      <c r="R342" s="111">
        <v>45717</v>
      </c>
      <c r="S342" s="63">
        <v>0.01</v>
      </c>
      <c r="T342" s="113" t="str">
        <f>IF($H342="GIROSSOL II",AP342/INDEX('Resumo Operacional'!$A$1:$P$1103,17,MATCH('Detalhe Por UC'!$R342,'Resumo Operacional'!$A$1:$P$1,0)),
IF($H342="GIROSSOL II e III",AP342/INDEX('Resumo Operacional'!$A$1:$P$1103,17,MATCH('Detalhe Por UC'!$R342,'Resumo Operacional'!$A$1:$P$1,0)),
""))</f>
        <v/>
      </c>
      <c r="U342" s="113">
        <f>IF($H342="GIROSSOL III",AP342/INDEX('Resumo Operacional'!$A$1:$P$1103,53,MATCH('Detalhe Por UC'!$R342,'Resumo Operacional'!$A$1:$P$1,0)),
IF($H342="GIROSSOL II e III",AP342/INDEX('Resumo Operacional'!$A$1:$P$1103,53,MATCH('Detalhe Por UC'!$R342,'Resumo Operacional'!$A$1:$P$1,0)),
""))</f>
        <v>0</v>
      </c>
      <c r="V342" s="18"/>
      <c r="W342" s="18"/>
      <c r="X342" s="18">
        <v>1.1162566844919786</v>
      </c>
      <c r="Y342" s="18"/>
      <c r="Z342" s="66">
        <v>0</v>
      </c>
      <c r="AA342" s="18"/>
      <c r="AB342" s="68">
        <v>187</v>
      </c>
      <c r="AC342" s="18"/>
      <c r="AD342" s="69">
        <v>0</v>
      </c>
      <c r="AE342" s="35"/>
      <c r="AF342" s="69">
        <v>0</v>
      </c>
      <c r="AG342" s="69">
        <v>0</v>
      </c>
      <c r="AH342" s="16">
        <v>36.46</v>
      </c>
      <c r="AI342" s="16">
        <v>0</v>
      </c>
      <c r="AJ342" s="16">
        <v>0</v>
      </c>
      <c r="AN342" s="71">
        <f t="shared" si="195"/>
        <v>0</v>
      </c>
      <c r="AO342" s="71">
        <f t="shared" si="196"/>
        <v>0</v>
      </c>
      <c r="AP342" s="71">
        <f t="shared" si="197"/>
        <v>0</v>
      </c>
      <c r="AQ342" s="72">
        <f>IF(OR($H342="GIROSSOL II",$H342="GIROSSOL II e III"),INDEX('Resumo Operacional'!$A$1:$P$1103,MATCH("Energia Injetada prevista total Fatura da Usina (TUSD)",'Resumo Operacional'!$B$1:$B$1103,0),MATCH('Detalhe Por UC'!$R342,'Resumo Operacional'!$A$1:$P$1,0))*$S342,INDEX('Resumo Operacional'!$A$1:$P$1103,53,MATCH('Detalhe Por UC'!$R342,'Resumo Operacional'!$A$1:$P$1,0))*$S342)</f>
        <v>120.43</v>
      </c>
      <c r="AR342" s="71">
        <f t="shared" si="198"/>
        <v>-120.43</v>
      </c>
      <c r="AS342" s="73">
        <f t="shared" si="199"/>
        <v>245.2</v>
      </c>
      <c r="AT342" s="74">
        <f t="shared" si="200"/>
        <v>245.2</v>
      </c>
      <c r="AU342" s="74" t="str">
        <f t="shared" si="201"/>
        <v/>
      </c>
      <c r="AV342" s="74">
        <f t="shared" si="202"/>
        <v>0</v>
      </c>
      <c r="AW342" s="74">
        <f t="shared" si="203"/>
        <v>0</v>
      </c>
      <c r="AX342" s="74">
        <f t="shared" si="204"/>
        <v>0</v>
      </c>
      <c r="AY342" s="74" t="str">
        <f t="shared" si="205"/>
        <v/>
      </c>
      <c r="AZ342" s="49" t="s">
        <v>354</v>
      </c>
      <c r="BA342" s="49">
        <v>0</v>
      </c>
      <c r="BC342" s="73" t="str">
        <f t="shared" si="206"/>
        <v/>
      </c>
      <c r="BD342" s="73">
        <f t="shared" si="207"/>
        <v>245.2</v>
      </c>
      <c r="BE342" s="73">
        <f t="shared" si="208"/>
        <v>245.2</v>
      </c>
      <c r="BF342" s="77">
        <f t="shared" si="209"/>
        <v>0</v>
      </c>
      <c r="BG342" s="77">
        <f t="shared" si="210"/>
        <v>0</v>
      </c>
      <c r="BH342" s="77">
        <f t="shared" si="211"/>
        <v>0</v>
      </c>
      <c r="BI342" s="78" t="str">
        <f t="shared" si="212"/>
        <v/>
      </c>
      <c r="BJ342" s="79">
        <f t="shared" si="213"/>
        <v>0</v>
      </c>
      <c r="BK342" s="80" t="str">
        <f t="shared" si="214"/>
        <v/>
      </c>
      <c r="BL342" s="80" t="str">
        <f t="shared" si="215"/>
        <v/>
      </c>
      <c r="BM342" s="79" t="str">
        <f t="shared" si="216"/>
        <v/>
      </c>
      <c r="BN342" s="81" t="str">
        <f t="shared" si="217"/>
        <v/>
      </c>
      <c r="BO342" s="82" t="str">
        <f t="shared" si="218"/>
        <v/>
      </c>
      <c r="BP342" s="81" t="str">
        <f t="shared" si="219"/>
        <v/>
      </c>
      <c r="BQ342" s="81" t="str">
        <f t="shared" si="220"/>
        <v/>
      </c>
      <c r="BR342" s="81" t="str">
        <f t="shared" si="221"/>
        <v/>
      </c>
      <c r="BS342" s="82">
        <f t="shared" si="222"/>
        <v>0</v>
      </c>
      <c r="BT342" s="82" t="str">
        <f t="shared" si="223"/>
        <v/>
      </c>
      <c r="BU342" s="82">
        <f t="shared" si="224"/>
        <v>0</v>
      </c>
      <c r="BW342" s="82">
        <f>IFERROR(INDEX('Infos Clientes'!$T:$T,MATCH('Detalhe Por UC'!$C342,'Infos Clientes'!B:B,0)),"")</f>
        <v>175.90909090909091</v>
      </c>
      <c r="BX342" s="83">
        <f t="shared" si="225"/>
        <v>0</v>
      </c>
      <c r="BY342" s="84" t="str">
        <f t="shared" si="226"/>
        <v/>
      </c>
      <c r="BZ342" s="85">
        <f>IF(_xlfn.MINIFS('Detalhe Por UC'!R:R,'Detalhe Por UC'!C:C,C342,'Detalhe Por UC'!AD:AD,"&gt;"&amp;0)=0,"",_xlfn.MINIFS('Detalhe Por UC'!R:R,'Detalhe Por UC'!C:C,C342,'Detalhe Por UC'!AD:AD,"&gt;"&amp;0))</f>
        <v>45658</v>
      </c>
      <c r="CA342" s="114">
        <f ca="1">IF(OR(S342&gt;0,AD342&gt;0),IFERROR(
SUMIFS(INDIRECT("'Infos Clientes'!$W"&amp;INDEX('Infos Clientes'!$C:$C,MATCH(C342,'Infos Clientes'!$H:$H,0))&amp;":$CZ"&amp;INDEX('Infos Clientes'!$C:$C,MATCH(C342,'Infos Clientes'!$H:$H,0))),'Infos Clientes'!$W$2:$CZ$2,"&gt;"&amp;$R342-365,'Infos Clientes'!$W$2:$CZ$2,"&lt;="&amp;$R342)/
COUNTIFS(INDIRECT("'Infos Clientes'!$W"&amp;INDEX('Infos Clientes'!$C:$C,MATCH(C342,'Infos Clientes'!$H:$H,0))&amp;":$CZ"&amp;INDEX('Infos Clientes'!$C:$C,MATCH(C342,'Infos Clientes'!$H:$H,0))),"&gt;="&amp;0,'Infos Clientes'!$W$2:$CZ$2,"&gt;"&amp;$R342-365,'Infos Clientes'!$W$2:$CZ$2,"&lt;="&amp;$R342),""),"")</f>
        <v>154.91666666666666</v>
      </c>
      <c r="CB342" s="87">
        <f>VLOOKUP(C342,'Infos Clientes'!B:L,11,0)</f>
        <v>0</v>
      </c>
      <c r="CC342" s="88" t="str">
        <f t="shared" si="227"/>
        <v>A Unidade Consumidora 10/908866-7 economizou R$0 na fatura referente à mar/2025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42" s="40"/>
      <c r="CF342" s="115">
        <f t="shared" si="228"/>
        <v>-245.2</v>
      </c>
    </row>
    <row r="343" spans="1:84" ht="16.2" hidden="1" customHeight="1" x14ac:dyDescent="0.3">
      <c r="A343" s="105" t="str">
        <f>INDEX('Infos Clientes'!$D:$D,MATCH('Detalhe Por UC'!C343,'Infos Clientes'!B:B,0))</f>
        <v>IGREJA DO EVANGELHO QUADRANGULAR</v>
      </c>
      <c r="B343" s="106" t="str">
        <f>INDEX('Infos Clientes'!$F:$F,MATCH('Detalhe Por UC'!C343,'Infos Clientes'!B:B,0))</f>
        <v>62.955.505/0151-99</v>
      </c>
      <c r="C343" s="44" t="s">
        <v>102</v>
      </c>
      <c r="D343" t="s">
        <v>351</v>
      </c>
      <c r="E343" s="1" t="s">
        <v>352</v>
      </c>
      <c r="F343" s="56" t="str">
        <f>INDEX('Infos Clientes'!$I:$I,MATCH('Detalhe Por UC'!C343,'Infos Clientes'!B:B,0))</f>
        <v>BT</v>
      </c>
      <c r="G343" s="56" t="str">
        <f>INDEX('Infos Clientes'!$J:$J,MATCH('Detalhe Por UC'!C343,'Infos Clientes'!B:B,0))</f>
        <v>trifasico</v>
      </c>
      <c r="H343" s="108" t="s">
        <v>24</v>
      </c>
      <c r="I343" s="58">
        <f>IFERROR(VLOOKUP(C343,'Infos Clientes'!B:E,4,),"")</f>
        <v>306</v>
      </c>
      <c r="J343" s="109">
        <v>0.25</v>
      </c>
      <c r="K343" s="59">
        <f>INDEX('Infos Clientes'!$M:$M,MATCH('Detalhe Por UC'!C343,'Infos Clientes'!B:B,0))</f>
        <v>0.25</v>
      </c>
      <c r="L343" s="125">
        <v>0</v>
      </c>
      <c r="M343" s="56">
        <f>INDEX('Infos Clientes'!$N:$N,MATCH('Detalhe Por UC'!C343,'Infos Clientes'!B:B,0))</f>
        <v>0</v>
      </c>
      <c r="N343" s="56">
        <f t="shared" si="192"/>
        <v>0</v>
      </c>
      <c r="O343" s="56">
        <f t="shared" si="193"/>
        <v>12</v>
      </c>
      <c r="P343" s="56">
        <f t="shared" si="194"/>
        <v>0</v>
      </c>
      <c r="Q343" s="61">
        <f>IFERROR(IFERROR(INDEX('Infos Clientes'!$A$2:$V$9884,MATCH($C343,'Infos Clientes'!$B$2:$B$9884,0),MATCH(Q$8,'Infos Clientes'!$A$2:$V$2,0)),"")
+IF(OR(INDEX('Infos Clientes'!$A$2:$V$9884,MATCH($C343,'Infos Clientes'!$B$2:$B$9884,0),MATCH("Tempo de Fidelidade (meses)",'Infos Clientes'!$A$2:$V$2,0))=0,R343&gt;=MAX(R:R)),0,
ROUND((MAX(R:R)-R343)/(365/12),0)),"")</f>
        <v>0</v>
      </c>
      <c r="R343" s="111">
        <v>45748</v>
      </c>
      <c r="S343" s="17">
        <v>0.21</v>
      </c>
      <c r="T343" s="113">
        <f>IF($H343="GIROSSOL II",AP343/INDEX('Resumo Operacional'!$A$1:$P$1103,17,MATCH('Detalhe Por UC'!$R343,'Resumo Operacional'!$A$1:$P$1,0)),
IF($H343="GIROSSOL II e III",AP343/INDEX('Resumo Operacional'!$A$1:$P$1103,17,MATCH('Detalhe Por UC'!$R343,'Resumo Operacional'!$A$1:$P$1,0)),
""))</f>
        <v>0.23148063364160792</v>
      </c>
      <c r="U343" s="113" t="str">
        <f>IF($H343="GIROSSOL III",AP343/INDEX('Resumo Operacional'!$A$1:$P$1103,53,MATCH('Detalhe Por UC'!$R343,'Resumo Operacional'!$A$1:$P$1,0)),
IF($H343="GIROSSOL II e III",AP343/INDEX('Resumo Operacional'!$A$1:$P$1103,53,MATCH('Detalhe Por UC'!$R343,'Resumo Operacional'!$A$1:$P$1,0)),
""))</f>
        <v/>
      </c>
      <c r="V343" s="45"/>
      <c r="W343" s="18"/>
      <c r="X343" s="18">
        <v>1.1162637766348273</v>
      </c>
      <c r="Y343" s="18"/>
      <c r="Z343" s="18">
        <v>1.0382623</v>
      </c>
      <c r="AA343" s="18"/>
      <c r="AB343" s="18">
        <v>2722</v>
      </c>
      <c r="AC343" s="18"/>
      <c r="AD343" s="18">
        <v>2722</v>
      </c>
      <c r="AE343" s="35"/>
      <c r="AF343" s="18">
        <v>6233</v>
      </c>
      <c r="AG343" s="18">
        <v>0</v>
      </c>
      <c r="AH343" s="18">
        <v>4.4199999999999875</v>
      </c>
      <c r="AI343" s="18">
        <v>0</v>
      </c>
      <c r="AJ343" s="18">
        <v>0</v>
      </c>
      <c r="AN343" s="71">
        <f t="shared" si="195"/>
        <v>-194</v>
      </c>
      <c r="AO343" s="71">
        <f t="shared" si="196"/>
        <v>0</v>
      </c>
      <c r="AP343" s="71">
        <f t="shared" si="197"/>
        <v>2528</v>
      </c>
      <c r="AQ343" s="72">
        <f>IF(OR($H343="GIROSSOL II",$H343="GIROSSOL II e III"),INDEX('Resumo Operacional'!$A$1:$P$1103,MATCH("Energia Injetada prevista total Fatura da Usina (TUSD)",'Resumo Operacional'!$B$1:$B$1103,0),MATCH('Detalhe Por UC'!$R343,'Resumo Operacional'!$A$1:$P$1,0))*$S343,INDEX('Resumo Operacional'!$A$1:$P$1103,53,MATCH('Detalhe Por UC'!$R343,'Resumo Operacional'!$A$1:$P$1,0))*$S343)</f>
        <v>2293.41</v>
      </c>
      <c r="AR343" s="71">
        <f t="shared" si="198"/>
        <v>234.59000000000015</v>
      </c>
      <c r="AS343" s="73">
        <f t="shared" si="199"/>
        <v>216.74001940000008</v>
      </c>
      <c r="AT343" s="74">
        <f t="shared" si="200"/>
        <v>216.74001940000008</v>
      </c>
      <c r="AU343" s="74">
        <f t="shared" si="201"/>
        <v>0.9602608233651726</v>
      </c>
      <c r="AV343" s="74">
        <f t="shared" si="202"/>
        <v>2119.6124854499999</v>
      </c>
      <c r="AW343" s="74">
        <f t="shared" si="203"/>
        <v>0</v>
      </c>
      <c r="AX343" s="74">
        <f t="shared" si="204"/>
        <v>2826.1499805999997</v>
      </c>
      <c r="AY343" s="74">
        <f t="shared" si="205"/>
        <v>2119.61</v>
      </c>
      <c r="AZ343" s="117">
        <v>2119.61</v>
      </c>
      <c r="BA343" s="117">
        <v>2119.61</v>
      </c>
      <c r="BC343" s="73" t="str">
        <f t="shared" si="206"/>
        <v/>
      </c>
      <c r="BD343" s="73">
        <f t="shared" si="207"/>
        <v>3042.89</v>
      </c>
      <c r="BE343" s="73">
        <f t="shared" si="208"/>
        <v>2336.3525048500001</v>
      </c>
      <c r="BF343" s="77">
        <f t="shared" si="209"/>
        <v>706.54</v>
      </c>
      <c r="BG343" s="77">
        <f t="shared" si="210"/>
        <v>211.96199999999999</v>
      </c>
      <c r="BH343" s="77">
        <f t="shared" si="211"/>
        <v>2826.1499805999997</v>
      </c>
      <c r="BI343" s="78">
        <f t="shared" si="212"/>
        <v>0.25</v>
      </c>
      <c r="BJ343" s="79">
        <f t="shared" si="213"/>
        <v>0.23219373687514172</v>
      </c>
      <c r="BK343" s="80">
        <f t="shared" si="214"/>
        <v>2336.3500194000003</v>
      </c>
      <c r="BL343" s="80">
        <f t="shared" si="215"/>
        <v>706.53998059999958</v>
      </c>
      <c r="BM343" s="79">
        <f t="shared" si="216"/>
        <v>0.23219373049962358</v>
      </c>
      <c r="BN343" s="81">
        <f t="shared" si="217"/>
        <v>0.77869581190301251</v>
      </c>
      <c r="BO343" s="82">
        <f t="shared" si="218"/>
        <v>2119.61</v>
      </c>
      <c r="BP343" s="81">
        <f t="shared" si="219"/>
        <v>0.77869581190301251</v>
      </c>
      <c r="BQ343" s="81">
        <f t="shared" si="220"/>
        <v>0.85669728853783988</v>
      </c>
      <c r="BR343" s="81">
        <f t="shared" si="221"/>
        <v>1.1162637766348273</v>
      </c>
      <c r="BS343" s="82">
        <f t="shared" si="222"/>
        <v>2722</v>
      </c>
      <c r="BT343" s="82">
        <f t="shared" si="223"/>
        <v>3038.47</v>
      </c>
      <c r="BU343" s="82">
        <f t="shared" si="224"/>
        <v>2826.1499805999997</v>
      </c>
      <c r="BW343" s="82">
        <f>IFERROR(INDEX('Infos Clientes'!$T:$T,MATCH('Detalhe Por UC'!$C343,'Infos Clientes'!B:B,0)),"")</f>
        <v>2675.750833333333</v>
      </c>
      <c r="BX343" s="83">
        <f t="shared" si="225"/>
        <v>0</v>
      </c>
      <c r="BY343" s="84">
        <f t="shared" si="226"/>
        <v>0.23253149795785374</v>
      </c>
      <c r="BZ343" s="85">
        <f>IF(_xlfn.MINIFS('Detalhe Por UC'!R:R,'Detalhe Por UC'!C:C,C343,'Detalhe Por UC'!AD:AD,"&gt;"&amp;0)=0,"",_xlfn.MINIFS('Detalhe Por UC'!R:R,'Detalhe Por UC'!C:C,C343,'Detalhe Por UC'!AD:AD,"&gt;"&amp;0))</f>
        <v>45627</v>
      </c>
      <c r="CA343" s="114">
        <f ca="1">IF(OR(S343&gt;0,AD343&gt;0),IFERROR(
SUMIFS(INDIRECT("'Infos Clientes'!$W"&amp;INDEX('Infos Clientes'!$C:$C,MATCH(C343,'Infos Clientes'!$H:$H,0))&amp;":$CZ"&amp;INDEX('Infos Clientes'!$C:$C,MATCH(C343,'Infos Clientes'!$H:$H,0))),'Infos Clientes'!$W$2:$CZ$2,"&gt;"&amp;$R343-365,'Infos Clientes'!$W$2:$CZ$2,"&lt;="&amp;$R343)/
COUNTIFS(INDIRECT("'Infos Clientes'!$W"&amp;INDEX('Infos Clientes'!$C:$C,MATCH(C343,'Infos Clientes'!$H:$H,0))&amp;":$CZ"&amp;INDEX('Infos Clientes'!$C:$C,MATCH(C343,'Infos Clientes'!$H:$H,0))),"&gt;="&amp;0,'Infos Clientes'!$W$2:$CZ$2,"&gt;"&amp;$R343-365,'Infos Clientes'!$W$2:$CZ$2,"&lt;="&amp;$R343),""),"")</f>
        <v>2659.9058333333332</v>
      </c>
      <c r="CB343" s="87">
        <f>VLOOKUP(C343,'Infos Clientes'!B:L,11,0)</f>
        <v>0</v>
      </c>
      <c r="CC343" s="88" t="str">
        <f t="shared" si="227"/>
        <v>A Unidade Consumidora 10/364440-8 economizou R$706,54 na fatura referente à abr/2025  consumindo 2722 kWh em créditos de energia renovável conforme fatura de energia. A economia foi de 25% em relação ao que seria pago para a Energisa considerando os créditos consumidos. Atenção: Mantenha as contas da Energisa em dia para evitar cortes.</v>
      </c>
      <c r="CD343" s="40" t="s">
        <v>86</v>
      </c>
      <c r="CE343" s="18">
        <v>216.74</v>
      </c>
      <c r="CF343" s="115">
        <f t="shared" si="228"/>
        <v>-1.9400000070390888E-5</v>
      </c>
    </row>
    <row r="344" spans="1:84" ht="16.2" hidden="1" customHeight="1" x14ac:dyDescent="0.3">
      <c r="A344" s="105" t="str">
        <f>INDEX('Infos Clientes'!$D:$D,MATCH('Detalhe Por UC'!C344,'Infos Clientes'!B:B,0))</f>
        <v>IGREJA DO EVANGELHO QUADRANGULAR</v>
      </c>
      <c r="B344" s="106" t="str">
        <f>INDEX('Infos Clientes'!$F:$F,MATCH('Detalhe Por UC'!C344,'Infos Clientes'!B:B,0))</f>
        <v>62.955.505/3932-07</v>
      </c>
      <c r="C344" s="44" t="s">
        <v>119</v>
      </c>
      <c r="D344" t="s">
        <v>351</v>
      </c>
      <c r="E344" s="1" t="s">
        <v>352</v>
      </c>
      <c r="F344" s="56" t="str">
        <f>INDEX('Infos Clientes'!$I:$I,MATCH('Detalhe Por UC'!C344,'Infos Clientes'!B:B,0))</f>
        <v>BT</v>
      </c>
      <c r="G344" s="56" t="str">
        <f>INDEX('Infos Clientes'!$J:$J,MATCH('Detalhe Por UC'!C344,'Infos Clientes'!B:B,0))</f>
        <v>trifasico</v>
      </c>
      <c r="H344" s="108" t="s">
        <v>24</v>
      </c>
      <c r="I344" s="58">
        <f>IFERROR(VLOOKUP(C344,'Infos Clientes'!B:E,4,),"")</f>
        <v>302</v>
      </c>
      <c r="J344" s="109">
        <v>0.25</v>
      </c>
      <c r="K344" s="59">
        <f>INDEX('Infos Clientes'!$M:$M,MATCH('Detalhe Por UC'!C344,'Infos Clientes'!B:B,0))</f>
        <v>0.25</v>
      </c>
      <c r="L344" s="125">
        <v>0</v>
      </c>
      <c r="M344" s="56">
        <f>INDEX('Infos Clientes'!$N:$N,MATCH('Detalhe Por UC'!C344,'Infos Clientes'!B:B,0))</f>
        <v>0</v>
      </c>
      <c r="N344" s="56">
        <f t="shared" si="192"/>
        <v>0</v>
      </c>
      <c r="O344" s="56">
        <f t="shared" si="193"/>
        <v>12</v>
      </c>
      <c r="P344" s="56">
        <f t="shared" si="194"/>
        <v>0</v>
      </c>
      <c r="Q344" s="61">
        <f>IFERROR(IFERROR(INDEX('Infos Clientes'!$A$2:$V$9884,MATCH($C344,'Infos Clientes'!$B$2:$B$9884,0),MATCH(Q$8,'Infos Clientes'!$A$2:$V$2,0)),"")
+IF(OR(INDEX('Infos Clientes'!$A$2:$V$9884,MATCH($C344,'Infos Clientes'!$B$2:$B$9884,0),MATCH("Tempo de Fidelidade (meses)",'Infos Clientes'!$A$2:$V$2,0))=0,R344&gt;=MAX(R:R)),0,
ROUND((MAX(R:R)-R344)/(365/12),0)),"")</f>
        <v>0</v>
      </c>
      <c r="R344" s="111">
        <v>45748</v>
      </c>
      <c r="S344" s="17">
        <v>0.1</v>
      </c>
      <c r="T344" s="113">
        <f>IF($H344="GIROSSOL II",AP344/INDEX('Resumo Operacional'!$A$1:$P$1103,17,MATCH('Detalhe Por UC'!$R344,'Resumo Operacional'!$A$1:$P$1,0)),
IF($H344="GIROSSOL II e III",AP344/INDEX('Resumo Operacional'!$A$1:$P$1103,17,MATCH('Detalhe Por UC'!$R344,'Resumo Operacional'!$A$1:$P$1,0)),
""))</f>
        <v>0.11015474773372402</v>
      </c>
      <c r="U344" s="113" t="str">
        <f>IF($H344="GIROSSOL III",AP344/INDEX('Resumo Operacional'!$A$1:$P$1103,53,MATCH('Detalhe Por UC'!$R344,'Resumo Operacional'!$A$1:$P$1,0)),
IF($H344="GIROSSOL II e III",AP344/INDEX('Resumo Operacional'!$A$1:$P$1103,53,MATCH('Detalhe Por UC'!$R344,'Resumo Operacional'!$A$1:$P$1,0)),
""))</f>
        <v/>
      </c>
      <c r="V344" s="45"/>
      <c r="W344" s="18"/>
      <c r="X344" s="18">
        <v>1.1168905555446764</v>
      </c>
      <c r="Y344" s="18"/>
      <c r="Z344" s="18">
        <v>1.071851126346719</v>
      </c>
      <c r="AA344" s="18"/>
      <c r="AB344" s="18">
        <v>2042.68</v>
      </c>
      <c r="AC344" s="18"/>
      <c r="AD344" s="18">
        <v>2042</v>
      </c>
      <c r="AE344" s="35"/>
      <c r="AF344" s="18">
        <v>366</v>
      </c>
      <c r="AG344" s="18">
        <v>0</v>
      </c>
      <c r="AH344" s="18">
        <v>259.04000000000002</v>
      </c>
      <c r="AI344" s="18">
        <v>0</v>
      </c>
      <c r="AJ344" s="18">
        <v>0</v>
      </c>
      <c r="AN344" s="71">
        <f t="shared" si="195"/>
        <v>-839</v>
      </c>
      <c r="AO344" s="71">
        <f t="shared" si="196"/>
        <v>0</v>
      </c>
      <c r="AP344" s="71">
        <f t="shared" si="197"/>
        <v>1203</v>
      </c>
      <c r="AQ344" s="72">
        <f>IF(OR($H344="GIROSSOL II",$H344="GIROSSOL II e III"),INDEX('Resumo Operacional'!$A$1:$P$1103,MATCH("Energia Injetada prevista total Fatura da Usina (TUSD)",'Resumo Operacional'!$B$1:$B$1103,0),MATCH('Detalhe Por UC'!$R344,'Resumo Operacional'!$A$1:$P$1,0))*$S344,INDEX('Resumo Operacional'!$A$1:$P$1103,53,MATCH('Detalhe Por UC'!$R344,'Resumo Operacional'!$A$1:$P$1,0))*$S344)</f>
        <v>1092.1000000000001</v>
      </c>
      <c r="AR344" s="71">
        <f t="shared" si="198"/>
        <v>110.89999999999986</v>
      </c>
      <c r="AS344" s="73">
        <f t="shared" si="199"/>
        <v>351.76999999999958</v>
      </c>
      <c r="AT344" s="74">
        <f t="shared" si="200"/>
        <v>351.76999999999958</v>
      </c>
      <c r="AU344" s="74">
        <f t="shared" si="201"/>
        <v>1.0268116971487615</v>
      </c>
      <c r="AV344" s="74">
        <f t="shared" si="202"/>
        <v>1641.5400000000002</v>
      </c>
      <c r="AW344" s="74">
        <f t="shared" si="203"/>
        <v>0</v>
      </c>
      <c r="AX344" s="74">
        <f t="shared" si="204"/>
        <v>2188.7200000000003</v>
      </c>
      <c r="AY344" s="74">
        <f t="shared" si="205"/>
        <v>1641.54</v>
      </c>
      <c r="AZ344" s="117">
        <v>1641.54</v>
      </c>
      <c r="BA344" s="117">
        <v>1641.54</v>
      </c>
      <c r="BB344" s="49">
        <v>1641.54</v>
      </c>
      <c r="BC344" s="73" t="str">
        <f t="shared" si="206"/>
        <v/>
      </c>
      <c r="BD344" s="73">
        <f t="shared" si="207"/>
        <v>2540.4899999999998</v>
      </c>
      <c r="BE344" s="73">
        <f t="shared" si="208"/>
        <v>1993.3099999999997</v>
      </c>
      <c r="BF344" s="77">
        <f t="shared" si="209"/>
        <v>547.17999999999995</v>
      </c>
      <c r="BG344" s="77">
        <f t="shared" si="210"/>
        <v>164.15399999999997</v>
      </c>
      <c r="BH344" s="77">
        <f t="shared" si="211"/>
        <v>2188.7200000000003</v>
      </c>
      <c r="BI344" s="78">
        <f t="shared" si="212"/>
        <v>0.25</v>
      </c>
      <c r="BJ344" s="79">
        <f t="shared" si="213"/>
        <v>0.21538364646190303</v>
      </c>
      <c r="BK344" s="80">
        <f t="shared" si="214"/>
        <v>1993.3099999999995</v>
      </c>
      <c r="BL344" s="80">
        <f t="shared" si="215"/>
        <v>547.18000000000029</v>
      </c>
      <c r="BM344" s="79">
        <f t="shared" si="216"/>
        <v>0.21538364646190314</v>
      </c>
      <c r="BN344" s="81">
        <f t="shared" si="217"/>
        <v>0.80388834476003912</v>
      </c>
      <c r="BO344" s="82">
        <f t="shared" si="218"/>
        <v>1641.54</v>
      </c>
      <c r="BP344" s="81">
        <f t="shared" si="219"/>
        <v>0.80388834476003912</v>
      </c>
      <c r="BQ344" s="81">
        <f t="shared" si="220"/>
        <v>0.84892777395799657</v>
      </c>
      <c r="BR344" s="81">
        <f t="shared" si="221"/>
        <v>1.1168905555446764</v>
      </c>
      <c r="BS344" s="82">
        <f t="shared" si="222"/>
        <v>2042</v>
      </c>
      <c r="BT344" s="82">
        <f t="shared" si="223"/>
        <v>2280.6905144222292</v>
      </c>
      <c r="BU344" s="82">
        <f t="shared" si="224"/>
        <v>2188.7200000000003</v>
      </c>
      <c r="BW344" s="82">
        <f>IFERROR(INDEX('Infos Clientes'!$T:$T,MATCH('Detalhe Por UC'!$C344,'Infos Clientes'!B:B,0)),"")</f>
        <v>1810.6008333333332</v>
      </c>
      <c r="BX344" s="83">
        <f t="shared" si="225"/>
        <v>0</v>
      </c>
      <c r="BY344" s="84">
        <f t="shared" si="226"/>
        <v>0.2399185670040892</v>
      </c>
      <c r="BZ344" s="85">
        <f>IF(_xlfn.MINIFS('Detalhe Por UC'!R:R,'Detalhe Por UC'!C:C,C344,'Detalhe Por UC'!AD:AD,"&gt;"&amp;0)=0,"",_xlfn.MINIFS('Detalhe Por UC'!R:R,'Detalhe Por UC'!C:C,C344,'Detalhe Por UC'!AD:AD,"&gt;"&amp;0))</f>
        <v>45627</v>
      </c>
      <c r="CA344" s="114">
        <f ca="1">IF(OR(S344&gt;0,AD344&gt;0),IFERROR(
SUMIFS(INDIRECT("'Infos Clientes'!$W"&amp;INDEX('Infos Clientes'!$C:$C,MATCH(C344,'Infos Clientes'!$H:$H,0))&amp;":$CZ"&amp;INDEX('Infos Clientes'!$C:$C,MATCH(C344,'Infos Clientes'!$H:$H,0))),'Infos Clientes'!$W$2:$CZ$2,"&gt;"&amp;$R344-365,'Infos Clientes'!$W$2:$CZ$2,"&lt;="&amp;$R344)/
COUNTIFS(INDIRECT("'Infos Clientes'!$W"&amp;INDEX('Infos Clientes'!$C:$C,MATCH(C344,'Infos Clientes'!$H:$H,0))&amp;":$CZ"&amp;INDEX('Infos Clientes'!$C:$C,MATCH(C344,'Infos Clientes'!$H:$H,0))),"&gt;="&amp;0,'Infos Clientes'!$W$2:$CZ$2,"&gt;"&amp;$R344-365,'Infos Clientes'!$W$2:$CZ$2,"&lt;="&amp;$R344),""),"")</f>
        <v>1808.9849999999999</v>
      </c>
      <c r="CB344" s="87">
        <f>VLOOKUP(C344,'Infos Clientes'!B:L,11,0)</f>
        <v>0</v>
      </c>
      <c r="CC344" s="88" t="str">
        <f t="shared" si="227"/>
        <v>A Unidade Consumidora 10/5202-7 economizou R$547,18 na fatura referente à abr/2025  consumindo 2042 kWh em créditos de energia renovável conforme fatura de energia. A economia foi de 25% em relação ao que seria pago para a Energisa considerando os créditos consumidos. Atenção: Mantenha as contas da Energisa em dia para evitar cortes.</v>
      </c>
      <c r="CD344" s="40" t="s">
        <v>107</v>
      </c>
      <c r="CE344" s="18">
        <v>351.77</v>
      </c>
      <c r="CF344" s="115">
        <f t="shared" si="228"/>
        <v>0</v>
      </c>
    </row>
    <row r="345" spans="1:84" ht="16.2" hidden="1" customHeight="1" x14ac:dyDescent="0.3">
      <c r="A345" s="105" t="str">
        <f>INDEX('Infos Clientes'!$D:$D,MATCH('Detalhe Por UC'!C345,'Infos Clientes'!B:B,0))</f>
        <v>IGREJA DO EVANGELHO QUADRANGULAR</v>
      </c>
      <c r="B345" s="106" t="str">
        <f>INDEX('Infos Clientes'!$F:$F,MATCH('Detalhe Por UC'!C345,'Infos Clientes'!B:B,0))</f>
        <v>62.955.505/0172-13</v>
      </c>
      <c r="C345" s="44" t="s">
        <v>54</v>
      </c>
      <c r="D345" t="s">
        <v>351</v>
      </c>
      <c r="E345" s="1" t="s">
        <v>352</v>
      </c>
      <c r="F345" s="56" t="str">
        <f>INDEX('Infos Clientes'!$I:$I,MATCH('Detalhe Por UC'!C345,'Infos Clientes'!B:B,0))</f>
        <v>BT</v>
      </c>
      <c r="G345" s="56" t="str">
        <f>INDEX('Infos Clientes'!$J:$J,MATCH('Detalhe Por UC'!C345,'Infos Clientes'!B:B,0))</f>
        <v>trifasico</v>
      </c>
      <c r="H345" s="108" t="s">
        <v>24</v>
      </c>
      <c r="I345" s="58">
        <f>IFERROR(VLOOKUP(C345,'Infos Clientes'!B:E,4,),"")</f>
        <v>371</v>
      </c>
      <c r="J345" s="109">
        <v>0.25</v>
      </c>
      <c r="K345" s="59">
        <f>INDEX('Infos Clientes'!$M:$M,MATCH('Detalhe Por UC'!C345,'Infos Clientes'!B:B,0))</f>
        <v>0.25</v>
      </c>
      <c r="L345" s="125">
        <v>0</v>
      </c>
      <c r="M345" s="56">
        <f>INDEX('Infos Clientes'!$N:$N,MATCH('Detalhe Por UC'!C345,'Infos Clientes'!B:B,0))</f>
        <v>0</v>
      </c>
      <c r="N345" s="56">
        <f t="shared" si="192"/>
        <v>0</v>
      </c>
      <c r="O345" s="56">
        <f t="shared" si="193"/>
        <v>12</v>
      </c>
      <c r="P345" s="56">
        <f t="shared" si="194"/>
        <v>0</v>
      </c>
      <c r="Q345" s="61">
        <f>IFERROR(IFERROR(INDEX('Infos Clientes'!$A$2:$V$9884,MATCH($C345,'Infos Clientes'!$B$2:$B$9884,0),MATCH(Q$8,'Infos Clientes'!$A$2:$V$2,0)),"")
+IF(OR(INDEX('Infos Clientes'!$A$2:$V$9884,MATCH($C345,'Infos Clientes'!$B$2:$B$9884,0),MATCH("Tempo de Fidelidade (meses)",'Infos Clientes'!$A$2:$V$2,0))=0,R345&gt;=MAX(R:R)),0,
ROUND((MAX(R:R)-R345)/(365/12),0)),"")</f>
        <v>0</v>
      </c>
      <c r="R345" s="111">
        <v>45748</v>
      </c>
      <c r="S345" s="17">
        <v>5.0000000000000001E-3</v>
      </c>
      <c r="T345" s="113">
        <f>IF($H345="GIROSSOL II",AP345/INDEX('Resumo Operacional'!$A$1:$P$1103,17,MATCH('Detalhe Por UC'!$R345,'Resumo Operacional'!$A$1:$P$1,0)),
IF($H345="GIROSSOL II e III",AP345/INDEX('Resumo Operacional'!$A$1:$P$1103,17,MATCH('Detalhe Por UC'!$R345,'Resumo Operacional'!$A$1:$P$1,0)),
""))</f>
        <v>7.2337698013002476E-3</v>
      </c>
      <c r="U345" s="113" t="str">
        <f>IF($H345="GIROSSOL III",AP345/INDEX('Resumo Operacional'!$A$1:$P$1103,53,MATCH('Detalhe Por UC'!$R345,'Resumo Operacional'!$A$1:$P$1,0)),
IF($H345="GIROSSOL II e III",AP345/INDEX('Resumo Operacional'!$A$1:$P$1103,53,MATCH('Detalhe Por UC'!$R345,'Resumo Operacional'!$A$1:$P$1,0)),
""))</f>
        <v/>
      </c>
      <c r="V345" s="45"/>
      <c r="W345" s="18"/>
      <c r="X345" s="18">
        <v>1.1175908221797324</v>
      </c>
      <c r="Y345" s="18"/>
      <c r="Z345" s="18">
        <v>1.1175650118203311</v>
      </c>
      <c r="AA345" s="18"/>
      <c r="AB345" s="18">
        <v>523</v>
      </c>
      <c r="AC345" s="18"/>
      <c r="AD345" s="18">
        <v>423</v>
      </c>
      <c r="AE345" s="35"/>
      <c r="AF345" s="18">
        <v>3053</v>
      </c>
      <c r="AG345" s="18">
        <v>0</v>
      </c>
      <c r="AH345" s="18">
        <v>67.84</v>
      </c>
      <c r="AI345" s="18">
        <v>0</v>
      </c>
      <c r="AJ345" s="18">
        <v>0</v>
      </c>
      <c r="AN345" s="71">
        <f t="shared" si="195"/>
        <v>-344</v>
      </c>
      <c r="AO345" s="71">
        <f t="shared" si="196"/>
        <v>0</v>
      </c>
      <c r="AP345" s="71">
        <f t="shared" si="197"/>
        <v>79</v>
      </c>
      <c r="AQ345" s="72">
        <f>IF(OR($H345="GIROSSOL II",$H345="GIROSSOL II e III"),INDEX('Resumo Operacional'!$A$1:$P$1103,MATCH("Energia Injetada prevista total Fatura da Usina (TUSD)",'Resumo Operacional'!$B$1:$B$1103,0),MATCH('Detalhe Por UC'!$R345,'Resumo Operacional'!$A$1:$P$1,0))*$S345,INDEX('Resumo Operacional'!$A$1:$P$1103,53,MATCH('Detalhe Por UC'!$R345,'Resumo Operacional'!$A$1:$P$1,0))*$S345)</f>
        <v>54.605000000000004</v>
      </c>
      <c r="AR345" s="71">
        <f t="shared" si="198"/>
        <v>24.394999999999996</v>
      </c>
      <c r="AS345" s="73">
        <f t="shared" si="199"/>
        <v>179.60999999999999</v>
      </c>
      <c r="AT345" s="74">
        <f t="shared" si="200"/>
        <v>179.60999999999999</v>
      </c>
      <c r="AU345" s="74">
        <f t="shared" si="201"/>
        <v>1.1175392014609298</v>
      </c>
      <c r="AV345" s="74">
        <f t="shared" si="202"/>
        <v>354.54750000000001</v>
      </c>
      <c r="AW345" s="74">
        <f t="shared" si="203"/>
        <v>0</v>
      </c>
      <c r="AX345" s="74">
        <f t="shared" si="204"/>
        <v>472.73</v>
      </c>
      <c r="AY345" s="74">
        <f t="shared" si="205"/>
        <v>354.55</v>
      </c>
      <c r="AZ345" s="117">
        <v>354.55</v>
      </c>
      <c r="BA345" s="117">
        <v>354.55</v>
      </c>
      <c r="BB345" s="49">
        <v>354.55</v>
      </c>
      <c r="BC345" s="73" t="str">
        <f t="shared" si="206"/>
        <v/>
      </c>
      <c r="BD345" s="73">
        <f t="shared" si="207"/>
        <v>652.34</v>
      </c>
      <c r="BE345" s="73">
        <f t="shared" si="208"/>
        <v>534.15750000000003</v>
      </c>
      <c r="BF345" s="77">
        <f t="shared" si="209"/>
        <v>118.18</v>
      </c>
      <c r="BG345" s="77">
        <f t="shared" si="210"/>
        <v>35.454000000000001</v>
      </c>
      <c r="BH345" s="77">
        <f t="shared" si="211"/>
        <v>472.73</v>
      </c>
      <c r="BI345" s="78">
        <f t="shared" si="212"/>
        <v>0.25</v>
      </c>
      <c r="BJ345" s="79">
        <f t="shared" si="213"/>
        <v>0.18116319710580372</v>
      </c>
      <c r="BK345" s="80">
        <f t="shared" si="214"/>
        <v>534.16</v>
      </c>
      <c r="BL345" s="80">
        <f t="shared" si="215"/>
        <v>118.18000000000006</v>
      </c>
      <c r="BM345" s="79">
        <f t="shared" si="216"/>
        <v>0.18116319710580381</v>
      </c>
      <c r="BN345" s="81">
        <f t="shared" si="217"/>
        <v>0.83817966903073293</v>
      </c>
      <c r="BO345" s="82">
        <f t="shared" si="218"/>
        <v>354.55</v>
      </c>
      <c r="BP345" s="81">
        <f t="shared" si="219"/>
        <v>0.83817966903073293</v>
      </c>
      <c r="BQ345" s="81">
        <f t="shared" si="220"/>
        <v>0.83820547939013423</v>
      </c>
      <c r="BR345" s="81">
        <f t="shared" si="221"/>
        <v>1.1175908221797324</v>
      </c>
      <c r="BS345" s="82">
        <f t="shared" si="222"/>
        <v>423</v>
      </c>
      <c r="BT345" s="82">
        <f t="shared" si="223"/>
        <v>472.74091778202677</v>
      </c>
      <c r="BU345" s="82">
        <f t="shared" si="224"/>
        <v>472.73</v>
      </c>
      <c r="BW345" s="82">
        <f>IFERROR(INDEX('Infos Clientes'!$T:$T,MATCH('Detalhe Por UC'!$C345,'Infos Clientes'!B:B,0)),"")</f>
        <v>418.16666666666669</v>
      </c>
      <c r="BX345" s="83">
        <f t="shared" si="225"/>
        <v>0</v>
      </c>
      <c r="BY345" s="84">
        <f t="shared" si="226"/>
        <v>0.2499889380307268</v>
      </c>
      <c r="BZ345" s="85">
        <f>IF(_xlfn.MINIFS('Detalhe Por UC'!R:R,'Detalhe Por UC'!C:C,C345,'Detalhe Por UC'!AD:AD,"&gt;"&amp;0)=0,"",_xlfn.MINIFS('Detalhe Por UC'!R:R,'Detalhe Por UC'!C:C,C345,'Detalhe Por UC'!AD:AD,"&gt;"&amp;0))</f>
        <v>45627</v>
      </c>
      <c r="CA345" s="114">
        <f ca="1">IF(OR(S345&gt;0,AD345&gt;0),IFERROR(
SUMIFS(INDIRECT("'Infos Clientes'!$W"&amp;INDEX('Infos Clientes'!$C:$C,MATCH(C345,'Infos Clientes'!$H:$H,0))&amp;":$CZ"&amp;INDEX('Infos Clientes'!$C:$C,MATCH(C345,'Infos Clientes'!$H:$H,0))),'Infos Clientes'!$W$2:$CZ$2,"&gt;"&amp;$R345-365,'Infos Clientes'!$W$2:$CZ$2,"&lt;="&amp;$R345)/
COUNTIFS(INDIRECT("'Infos Clientes'!$W"&amp;INDEX('Infos Clientes'!$C:$C,MATCH(C345,'Infos Clientes'!$H:$H,0))&amp;":$CZ"&amp;INDEX('Infos Clientes'!$C:$C,MATCH(C345,'Infos Clientes'!$H:$H,0))),"&gt;="&amp;0,'Infos Clientes'!$W$2:$CZ$2,"&gt;"&amp;$R345-365,'Infos Clientes'!$W$2:$CZ$2,"&lt;="&amp;$R345),""),"")</f>
        <v>380.58333333333331</v>
      </c>
      <c r="CB345" s="87">
        <f>VLOOKUP(C345,'Infos Clientes'!B:L,11,0)</f>
        <v>0</v>
      </c>
      <c r="CC345" s="88" t="str">
        <f t="shared" si="227"/>
        <v>A Unidade Consumidora 10/1672452-8 economizou R$118,18 na fatura referente à abr/2025  consumindo 423 kWh em créditos de energia renovável conforme fatura de energia. A economia foi de 25% em relação ao que seria pago para a Energisa considerando os créditos consumidos. Atenção: Mantenha as contas da Energisa em dia para evitar cortes.</v>
      </c>
      <c r="CD345" s="40" t="s">
        <v>56</v>
      </c>
      <c r="CE345" s="18">
        <v>179.61</v>
      </c>
      <c r="CF345" s="115">
        <f t="shared" si="228"/>
        <v>0</v>
      </c>
    </row>
    <row r="346" spans="1:84" ht="16.2" hidden="1" customHeight="1" x14ac:dyDescent="0.3">
      <c r="A346" s="105" t="str">
        <f>INDEX('Infos Clientes'!$D:$D,MATCH('Detalhe Por UC'!C346,'Infos Clientes'!B:B,0))</f>
        <v>IGREJA DO EVANGELHO QUADRANGULAR</v>
      </c>
      <c r="B346" s="106" t="str">
        <f>INDEX('Infos Clientes'!$F:$F,MATCH('Detalhe Por UC'!C346,'Infos Clientes'!B:B,0))</f>
        <v>62.955.505/0160-80</v>
      </c>
      <c r="C346" s="44" t="s">
        <v>61</v>
      </c>
      <c r="D346" t="s">
        <v>351</v>
      </c>
      <c r="E346" s="1" t="s">
        <v>352</v>
      </c>
      <c r="F346" s="56" t="str">
        <f>INDEX('Infos Clientes'!$I:$I,MATCH('Detalhe Por UC'!C346,'Infos Clientes'!B:B,0))</f>
        <v>BT</v>
      </c>
      <c r="G346" s="56" t="str">
        <f>INDEX('Infos Clientes'!$J:$J,MATCH('Detalhe Por UC'!C346,'Infos Clientes'!B:B,0))</f>
        <v>trifasico</v>
      </c>
      <c r="H346" s="108" t="s">
        <v>24</v>
      </c>
      <c r="I346" s="58">
        <f>IFERROR(VLOOKUP(C346,'Infos Clientes'!B:E,4,),"")</f>
        <v>357</v>
      </c>
      <c r="J346" s="109">
        <v>0.25</v>
      </c>
      <c r="K346" s="59">
        <f>INDEX('Infos Clientes'!$M:$M,MATCH('Detalhe Por UC'!C346,'Infos Clientes'!B:B,0))</f>
        <v>0.25</v>
      </c>
      <c r="L346" s="125">
        <v>0</v>
      </c>
      <c r="M346" s="56">
        <f>INDEX('Infos Clientes'!$N:$N,MATCH('Detalhe Por UC'!C346,'Infos Clientes'!B:B,0))</f>
        <v>0</v>
      </c>
      <c r="N346" s="56">
        <f t="shared" si="192"/>
        <v>0</v>
      </c>
      <c r="O346" s="56">
        <f t="shared" si="193"/>
        <v>11</v>
      </c>
      <c r="P346" s="56">
        <f t="shared" si="194"/>
        <v>0</v>
      </c>
      <c r="Q346" s="61">
        <f>IFERROR(IFERROR(INDEX('Infos Clientes'!$A$2:$V$9884,MATCH($C346,'Infos Clientes'!$B$2:$B$9884,0),MATCH(Q$8,'Infos Clientes'!$A$2:$V$2,0)),"")
+IF(OR(INDEX('Infos Clientes'!$A$2:$V$9884,MATCH($C346,'Infos Clientes'!$B$2:$B$9884,0),MATCH("Tempo de Fidelidade (meses)",'Infos Clientes'!$A$2:$V$2,0))=0,R346&gt;=MAX(R:R)),0,
ROUND((MAX(R:R)-R346)/(365/12),0)),"")</f>
        <v>0</v>
      </c>
      <c r="R346" s="111">
        <v>45748</v>
      </c>
      <c r="S346" s="17">
        <v>0.02</v>
      </c>
      <c r="T346" s="113">
        <f>IF($H346="GIROSSOL II",AP346/INDEX('Resumo Operacional'!$A$1:$P$1103,17,MATCH('Detalhe Por UC'!$R346,'Resumo Operacional'!$A$1:$P$1,0)),
IF($H346="GIROSSOL II e III",AP346/INDEX('Resumo Operacional'!$A$1:$P$1103,17,MATCH('Detalhe Por UC'!$R346,'Resumo Operacional'!$A$1:$P$1,0)),
""))</f>
        <v>1.9961541983334861E-2</v>
      </c>
      <c r="U346" s="113" t="str">
        <f>IF($H346="GIROSSOL III",AP346/INDEX('Resumo Operacional'!$A$1:$P$1103,53,MATCH('Detalhe Por UC'!$R346,'Resumo Operacional'!$A$1:$P$1,0)),
IF($H346="GIROSSOL II e III",AP346/INDEX('Resumo Operacional'!$A$1:$P$1103,53,MATCH('Detalhe Por UC'!$R346,'Resumo Operacional'!$A$1:$P$1,0)),
""))</f>
        <v/>
      </c>
      <c r="V346" s="45"/>
      <c r="W346" s="18"/>
      <c r="X346" s="18">
        <v>1.1215635179153094</v>
      </c>
      <c r="Y346" s="18"/>
      <c r="Z346" s="18">
        <v>1.121559633027523</v>
      </c>
      <c r="AA346" s="18"/>
      <c r="AB346" s="18">
        <v>921</v>
      </c>
      <c r="AC346" s="18"/>
      <c r="AD346" s="18">
        <v>218</v>
      </c>
      <c r="AE346" s="35"/>
      <c r="AF346" s="18">
        <v>0</v>
      </c>
      <c r="AG346" s="18">
        <v>0</v>
      </c>
      <c r="AH346" s="18">
        <v>0</v>
      </c>
      <c r="AI346" s="18">
        <v>0</v>
      </c>
      <c r="AJ346" s="18">
        <v>0</v>
      </c>
      <c r="AN346" s="71">
        <f t="shared" si="195"/>
        <v>0</v>
      </c>
      <c r="AO346" s="71">
        <f t="shared" si="196"/>
        <v>0</v>
      </c>
      <c r="AP346" s="71">
        <f t="shared" si="197"/>
        <v>218</v>
      </c>
      <c r="AQ346" s="72">
        <f>IF(OR($H346="GIROSSOL II",$H346="GIROSSOL II e III"),INDEX('Resumo Operacional'!$A$1:$P$1103,MATCH("Energia Injetada prevista total Fatura da Usina (TUSD)",'Resumo Operacional'!$B$1:$B$1103,0),MATCH('Detalhe Por UC'!$R346,'Resumo Operacional'!$A$1:$P$1,0))*$S346,INDEX('Resumo Operacional'!$A$1:$P$1103,53,MATCH('Detalhe Por UC'!$R346,'Resumo Operacional'!$A$1:$P$1,0))*$S346)</f>
        <v>218.42000000000002</v>
      </c>
      <c r="AR346" s="71">
        <f t="shared" si="198"/>
        <v>-0.42000000000001592</v>
      </c>
      <c r="AS346" s="73">
        <f t="shared" si="199"/>
        <v>788.46</v>
      </c>
      <c r="AT346" s="74">
        <f t="shared" si="200"/>
        <v>788.46</v>
      </c>
      <c r="AU346" s="74">
        <f t="shared" si="201"/>
        <v>1.1215557481397367</v>
      </c>
      <c r="AV346" s="74">
        <f t="shared" si="202"/>
        <v>183.375</v>
      </c>
      <c r="AW346" s="74">
        <f t="shared" si="203"/>
        <v>0</v>
      </c>
      <c r="AX346" s="74">
        <f t="shared" si="204"/>
        <v>244.50000000000003</v>
      </c>
      <c r="AY346" s="74">
        <f t="shared" si="205"/>
        <v>183.38</v>
      </c>
      <c r="AZ346" s="117">
        <v>183.38</v>
      </c>
      <c r="BA346" s="117">
        <v>183.38</v>
      </c>
      <c r="BB346" s="49">
        <v>183.38</v>
      </c>
      <c r="BC346" s="73" t="str">
        <f t="shared" si="206"/>
        <v/>
      </c>
      <c r="BD346" s="73">
        <f t="shared" si="207"/>
        <v>1032.96</v>
      </c>
      <c r="BE346" s="73">
        <f t="shared" si="208"/>
        <v>971.83500000000004</v>
      </c>
      <c r="BF346" s="77">
        <f t="shared" si="209"/>
        <v>61.13</v>
      </c>
      <c r="BG346" s="77">
        <f t="shared" si="210"/>
        <v>18.338999999999999</v>
      </c>
      <c r="BH346" s="77">
        <f t="shared" si="211"/>
        <v>244.50000000000003</v>
      </c>
      <c r="BI346" s="78">
        <f t="shared" si="212"/>
        <v>0.25</v>
      </c>
      <c r="BJ346" s="79">
        <f t="shared" si="213"/>
        <v>5.9179445477075591E-2</v>
      </c>
      <c r="BK346" s="80">
        <f t="shared" si="214"/>
        <v>971.84</v>
      </c>
      <c r="BL346" s="80">
        <f t="shared" si="215"/>
        <v>61.120000000000005</v>
      </c>
      <c r="BM346" s="79">
        <f t="shared" si="216"/>
        <v>5.9169764560099133E-2</v>
      </c>
      <c r="BN346" s="81">
        <f t="shared" si="217"/>
        <v>0.84119266055045872</v>
      </c>
      <c r="BO346" s="82">
        <f t="shared" si="218"/>
        <v>183.38</v>
      </c>
      <c r="BP346" s="81">
        <f t="shared" si="219"/>
        <v>0.84119266055045872</v>
      </c>
      <c r="BQ346" s="81">
        <f t="shared" si="220"/>
        <v>0.84119654543824507</v>
      </c>
      <c r="BR346" s="81">
        <f t="shared" si="221"/>
        <v>1.1215635179153094</v>
      </c>
      <c r="BS346" s="82">
        <f t="shared" si="222"/>
        <v>218</v>
      </c>
      <c r="BT346" s="82">
        <f t="shared" si="223"/>
        <v>244.50084690553746</v>
      </c>
      <c r="BU346" s="82">
        <f t="shared" si="224"/>
        <v>244.50000000000003</v>
      </c>
      <c r="BW346" s="82">
        <f>IFERROR(INDEX('Infos Clientes'!$T:$T,MATCH('Detalhe Por UC'!$C346,'Infos Clientes'!B:B,0)),"")</f>
        <v>958.25</v>
      </c>
      <c r="BX346" s="83">
        <f t="shared" si="225"/>
        <v>0</v>
      </c>
      <c r="BY346" s="84">
        <f t="shared" si="226"/>
        <v>0.24997868421950148</v>
      </c>
      <c r="BZ346" s="85">
        <f>IF(_xlfn.MINIFS('Detalhe Por UC'!R:R,'Detalhe Por UC'!C:C,C346,'Detalhe Por UC'!AD:AD,"&gt;"&amp;0)=0,"",_xlfn.MINIFS('Detalhe Por UC'!R:R,'Detalhe Por UC'!C:C,C346,'Detalhe Por UC'!AD:AD,"&gt;"&amp;0))</f>
        <v>45627</v>
      </c>
      <c r="CA346" s="114">
        <f ca="1">IF(OR(S346&gt;0,AD346&gt;0),IFERROR(
SUMIFS(INDIRECT("'Infos Clientes'!$W"&amp;INDEX('Infos Clientes'!$C:$C,MATCH(C346,'Infos Clientes'!$H:$H,0))&amp;":$CZ"&amp;INDEX('Infos Clientes'!$C:$C,MATCH(C346,'Infos Clientes'!$H:$H,0))),'Infos Clientes'!$W$2:$CZ$2,"&gt;"&amp;$R346-365,'Infos Clientes'!$W$2:$CZ$2,"&lt;="&amp;$R346)/
COUNTIFS(INDIRECT("'Infos Clientes'!$W"&amp;INDEX('Infos Clientes'!$C:$C,MATCH(C346,'Infos Clientes'!$H:$H,0))&amp;":$CZ"&amp;INDEX('Infos Clientes'!$C:$C,MATCH(C346,'Infos Clientes'!$H:$H,0))),"&gt;="&amp;0,'Infos Clientes'!$W$2:$CZ$2,"&gt;"&amp;$R346-365,'Infos Clientes'!$W$2:$CZ$2,"&lt;="&amp;$R346),""),"")</f>
        <v>945.75</v>
      </c>
      <c r="CB346" s="87">
        <f>VLOOKUP(C346,'Infos Clientes'!B:L,11,0)</f>
        <v>0</v>
      </c>
      <c r="CC346" s="88" t="str">
        <f t="shared" si="227"/>
        <v>A Unidade Consumidora 10/18015-8 economizou R$61,13 na fatura referente à abr/2025  consumindo 218 kWh em créditos de energia renovável conforme fatura de energia. A economia foi de 25% em relação ao que seria pago para a Energisa considerando os créditos consumidos. Atenção: Mantenha as contas da Energisa em dia para evitar cortes.</v>
      </c>
      <c r="CD346" s="40" t="s">
        <v>63</v>
      </c>
      <c r="CE346" s="18">
        <v>788.46</v>
      </c>
      <c r="CF346" s="115">
        <f t="shared" si="228"/>
        <v>0</v>
      </c>
    </row>
    <row r="347" spans="1:84" ht="16.2" hidden="1" customHeight="1" x14ac:dyDescent="0.3">
      <c r="A347" s="105" t="str">
        <f>INDEX('Infos Clientes'!$D:$D,MATCH('Detalhe Por UC'!C347,'Infos Clientes'!B:B,0))</f>
        <v>IGREJA DO EVANGELHO QUADRANGULAR</v>
      </c>
      <c r="B347" s="106" t="str">
        <f>INDEX('Infos Clientes'!$F:$F,MATCH('Detalhe Por UC'!C347,'Infos Clientes'!B:B,0))</f>
        <v>62.955.505/0676-60</v>
      </c>
      <c r="C347" s="44" t="s">
        <v>91</v>
      </c>
      <c r="D347" t="s">
        <v>351</v>
      </c>
      <c r="E347" s="1" t="s">
        <v>352</v>
      </c>
      <c r="F347" s="56" t="str">
        <f>INDEX('Infos Clientes'!$I:$I,MATCH('Detalhe Por UC'!C347,'Infos Clientes'!B:B,0))</f>
        <v>BT</v>
      </c>
      <c r="G347" s="56" t="str">
        <f>INDEX('Infos Clientes'!$J:$J,MATCH('Detalhe Por UC'!C347,'Infos Clientes'!B:B,0))</f>
        <v>trifasico</v>
      </c>
      <c r="H347" s="108" t="s">
        <v>24</v>
      </c>
      <c r="I347" s="58">
        <f>IFERROR(VLOOKUP(C347,'Infos Clientes'!B:E,4,),"")</f>
        <v>357</v>
      </c>
      <c r="J347" s="109">
        <v>0.25</v>
      </c>
      <c r="K347" s="59">
        <f>INDEX('Infos Clientes'!$M:$M,MATCH('Detalhe Por UC'!C347,'Infos Clientes'!B:B,0))</f>
        <v>0.25</v>
      </c>
      <c r="L347" s="125">
        <v>0</v>
      </c>
      <c r="M347" s="56">
        <f>INDEX('Infos Clientes'!$N:$N,MATCH('Detalhe Por UC'!C347,'Infos Clientes'!B:B,0))</f>
        <v>0</v>
      </c>
      <c r="N347" s="56">
        <f t="shared" si="192"/>
        <v>0</v>
      </c>
      <c r="O347" s="56">
        <f t="shared" si="193"/>
        <v>12</v>
      </c>
      <c r="P347" s="56">
        <f t="shared" si="194"/>
        <v>0</v>
      </c>
      <c r="Q347" s="61">
        <f>IFERROR(IFERROR(INDEX('Infos Clientes'!$A$2:$V$9884,MATCH($C347,'Infos Clientes'!$B$2:$B$9884,0),MATCH(Q$8,'Infos Clientes'!$A$2:$V$2,0)),"")
+IF(OR(INDEX('Infos Clientes'!$A$2:$V$9884,MATCH($C347,'Infos Clientes'!$B$2:$B$9884,0),MATCH("Tempo de Fidelidade (meses)",'Infos Clientes'!$A$2:$V$2,0))=0,R347&gt;=MAX(R:R)),0,
ROUND((MAX(R:R)-R347)/(365/12),0)),"")</f>
        <v>0</v>
      </c>
      <c r="R347" s="111">
        <v>45748</v>
      </c>
      <c r="S347" s="17">
        <v>0.04</v>
      </c>
      <c r="T347" s="113">
        <f>IF($H347="GIROSSOL II",AP347/INDEX('Resumo Operacional'!$A$1:$P$1103,17,MATCH('Detalhe Por UC'!$R347,'Resumo Operacional'!$A$1:$P$1,0)),
IF($H347="GIROSSOL II e III",AP347/INDEX('Resumo Operacional'!$A$1:$P$1103,17,MATCH('Detalhe Por UC'!$R347,'Resumo Operacional'!$A$1:$P$1,0)),
""))</f>
        <v>4.404358575222049E-2</v>
      </c>
      <c r="U347" s="113" t="str">
        <f>IF($H347="GIROSSOL III",AP347/INDEX('Resumo Operacional'!$A$1:$P$1103,53,MATCH('Detalhe Por UC'!$R347,'Resumo Operacional'!$A$1:$P$1,0)),
IF($H347="GIROSSOL II e III",AP347/INDEX('Resumo Operacional'!$A$1:$P$1103,53,MATCH('Detalhe Por UC'!$R347,'Resumo Operacional'!$A$1:$P$1,0)),
""))</f>
        <v/>
      </c>
      <c r="V347" s="45"/>
      <c r="W347" s="18"/>
      <c r="X347" s="18">
        <v>1.1175976845151954</v>
      </c>
      <c r="Y347" s="18"/>
      <c r="Z347" s="18">
        <v>1.0421517027863778</v>
      </c>
      <c r="AA347" s="18"/>
      <c r="AB347" s="18">
        <v>691</v>
      </c>
      <c r="AC347" s="18"/>
      <c r="AD347" s="18">
        <v>646</v>
      </c>
      <c r="AE347" s="35"/>
      <c r="AF347" s="18">
        <v>769</v>
      </c>
      <c r="AG347" s="18">
        <v>0</v>
      </c>
      <c r="AH347" s="18">
        <v>3.83</v>
      </c>
      <c r="AI347" s="18">
        <v>0</v>
      </c>
      <c r="AJ347" s="18">
        <v>0</v>
      </c>
      <c r="AN347" s="71">
        <f t="shared" si="195"/>
        <v>-165</v>
      </c>
      <c r="AO347" s="71">
        <f t="shared" si="196"/>
        <v>0</v>
      </c>
      <c r="AP347" s="71">
        <f t="shared" si="197"/>
        <v>481</v>
      </c>
      <c r="AQ347" s="72">
        <f>IF(OR($H347="GIROSSOL II",$H347="GIROSSOL II e III"),INDEX('Resumo Operacional'!$A$1:$P$1103,MATCH("Energia Injetada prevista total Fatura da Usina (TUSD)",'Resumo Operacional'!$B$1:$B$1103,0),MATCH('Detalhe Por UC'!$R347,'Resumo Operacional'!$A$1:$P$1,0))*$S347,INDEX('Resumo Operacional'!$A$1:$P$1103,53,MATCH('Detalhe Por UC'!$R347,'Resumo Operacional'!$A$1:$P$1,0))*$S347)</f>
        <v>436.84000000000003</v>
      </c>
      <c r="AR347" s="71">
        <f t="shared" si="198"/>
        <v>44.159999999999968</v>
      </c>
      <c r="AS347" s="73">
        <f t="shared" si="199"/>
        <v>102.85999999999997</v>
      </c>
      <c r="AT347" s="74">
        <f t="shared" si="200"/>
        <v>102.85999999999997</v>
      </c>
      <c r="AU347" s="74">
        <f t="shared" si="201"/>
        <v>0.96670572105756025</v>
      </c>
      <c r="AV347" s="74">
        <f t="shared" si="202"/>
        <v>504.92250000000001</v>
      </c>
      <c r="AW347" s="74">
        <f t="shared" si="203"/>
        <v>0</v>
      </c>
      <c r="AX347" s="74">
        <f t="shared" si="204"/>
        <v>673.23</v>
      </c>
      <c r="AY347" s="74">
        <f t="shared" si="205"/>
        <v>504.92</v>
      </c>
      <c r="AZ347" s="117">
        <v>504.92</v>
      </c>
      <c r="BA347" s="117">
        <v>504.92</v>
      </c>
      <c r="BB347" s="49">
        <v>504.92</v>
      </c>
      <c r="BC347" s="73" t="str">
        <f t="shared" si="206"/>
        <v/>
      </c>
      <c r="BD347" s="73">
        <f t="shared" si="207"/>
        <v>776.09</v>
      </c>
      <c r="BE347" s="73">
        <f t="shared" si="208"/>
        <v>607.78250000000003</v>
      </c>
      <c r="BF347" s="77">
        <f t="shared" si="209"/>
        <v>168.31</v>
      </c>
      <c r="BG347" s="77">
        <f t="shared" si="210"/>
        <v>50.493000000000002</v>
      </c>
      <c r="BH347" s="77">
        <f t="shared" si="211"/>
        <v>673.23</v>
      </c>
      <c r="BI347" s="78">
        <f t="shared" si="212"/>
        <v>0.25</v>
      </c>
      <c r="BJ347" s="79">
        <f t="shared" si="213"/>
        <v>0.21686917754384155</v>
      </c>
      <c r="BK347" s="80">
        <f t="shared" si="214"/>
        <v>607.78</v>
      </c>
      <c r="BL347" s="80">
        <f t="shared" si="215"/>
        <v>168.31000000000006</v>
      </c>
      <c r="BM347" s="79">
        <f t="shared" si="216"/>
        <v>0.21686917754384163</v>
      </c>
      <c r="BN347" s="81">
        <f t="shared" si="217"/>
        <v>0.78160990712074307</v>
      </c>
      <c r="BO347" s="82">
        <f t="shared" si="218"/>
        <v>504.92</v>
      </c>
      <c r="BP347" s="81">
        <f t="shared" si="219"/>
        <v>0.78160990712074307</v>
      </c>
      <c r="BQ347" s="81">
        <f t="shared" si="220"/>
        <v>0.85705588884956063</v>
      </c>
      <c r="BR347" s="81">
        <f t="shared" si="221"/>
        <v>1.1175976845151954</v>
      </c>
      <c r="BS347" s="82">
        <f t="shared" si="222"/>
        <v>646</v>
      </c>
      <c r="BT347" s="82">
        <f t="shared" si="223"/>
        <v>721.96810419681617</v>
      </c>
      <c r="BU347" s="82">
        <f t="shared" si="224"/>
        <v>673.23</v>
      </c>
      <c r="BW347" s="82">
        <f>IFERROR(INDEX('Infos Clientes'!$T:$T,MATCH('Detalhe Por UC'!$C347,'Infos Clientes'!B:B,0)),"")</f>
        <v>708</v>
      </c>
      <c r="BX347" s="83">
        <f t="shared" si="225"/>
        <v>0</v>
      </c>
      <c r="BY347" s="84">
        <f t="shared" si="226"/>
        <v>0.23312664232894828</v>
      </c>
      <c r="BZ347" s="85">
        <f>IF(_xlfn.MINIFS('Detalhe Por UC'!R:R,'Detalhe Por UC'!C:C,C347,'Detalhe Por UC'!AD:AD,"&gt;"&amp;0)=0,"",_xlfn.MINIFS('Detalhe Por UC'!R:R,'Detalhe Por UC'!C:C,C347,'Detalhe Por UC'!AD:AD,"&gt;"&amp;0))</f>
        <v>45627</v>
      </c>
      <c r="CA347" s="114">
        <f ca="1">IF(OR(S347&gt;0,AD347&gt;0),IFERROR(
SUMIFS(INDIRECT("'Infos Clientes'!$W"&amp;INDEX('Infos Clientes'!$C:$C,MATCH(C347,'Infos Clientes'!$H:$H,0))&amp;":$CZ"&amp;INDEX('Infos Clientes'!$C:$C,MATCH(C347,'Infos Clientes'!$H:$H,0))),'Infos Clientes'!$W$2:$CZ$2,"&gt;"&amp;$R347-365,'Infos Clientes'!$W$2:$CZ$2,"&lt;="&amp;$R347)/
COUNTIFS(INDIRECT("'Infos Clientes'!$W"&amp;INDEX('Infos Clientes'!$C:$C,MATCH(C347,'Infos Clientes'!$H:$H,0))&amp;":$CZ"&amp;INDEX('Infos Clientes'!$C:$C,MATCH(C347,'Infos Clientes'!$H:$H,0))),"&gt;="&amp;0,'Infos Clientes'!$W$2:$CZ$2,"&gt;"&amp;$R347-365,'Infos Clientes'!$W$2:$CZ$2,"&lt;="&amp;$R347),""),"")</f>
        <v>653</v>
      </c>
      <c r="CB347" s="87">
        <f>VLOOKUP(C347,'Infos Clientes'!B:L,11,0)</f>
        <v>0</v>
      </c>
      <c r="CC347" s="88" t="str">
        <f t="shared" si="227"/>
        <v>A Unidade Consumidora 10/29964-4 economizou R$168,31 na fatura referente à abr/2025  consumindo 646 kWh em créditos de energia renovável conforme fatura de energia. A economia foi de 25% em relação ao que seria pago para a Energisa considerando os créditos consumidos. Atenção: Mantenha as contas da Energisa em dia para evitar cortes.</v>
      </c>
      <c r="CD347" s="40" t="s">
        <v>93</v>
      </c>
      <c r="CE347" s="18">
        <v>102.86</v>
      </c>
      <c r="CF347" s="115">
        <f t="shared" si="228"/>
        <v>0</v>
      </c>
    </row>
    <row r="348" spans="1:84" ht="16.2" hidden="1" customHeight="1" x14ac:dyDescent="0.3">
      <c r="A348" s="105" t="str">
        <f>INDEX('Infos Clientes'!$D:$D,MATCH('Detalhe Por UC'!C348,'Infos Clientes'!B:B,0))</f>
        <v>IGREJA DO EVANGELHO QUADRANGULAR</v>
      </c>
      <c r="B348" s="106" t="str">
        <f>INDEX('Infos Clientes'!$F:$F,MATCH('Detalhe Por UC'!C348,'Infos Clientes'!B:B,0))</f>
        <v>62.955.505/2157-91</v>
      </c>
      <c r="C348" s="44" t="s">
        <v>64</v>
      </c>
      <c r="D348" t="s">
        <v>351</v>
      </c>
      <c r="E348" s="1" t="s">
        <v>352</v>
      </c>
      <c r="F348" s="56" t="str">
        <f>INDEX('Infos Clientes'!$I:$I,MATCH('Detalhe Por UC'!C348,'Infos Clientes'!B:B,0))</f>
        <v>BT</v>
      </c>
      <c r="G348" s="56" t="str">
        <f>INDEX('Infos Clientes'!$J:$J,MATCH('Detalhe Por UC'!C348,'Infos Clientes'!B:B,0))</f>
        <v>trifasico</v>
      </c>
      <c r="H348" s="108" t="s">
        <v>24</v>
      </c>
      <c r="I348" s="58">
        <f>IFERROR(VLOOKUP(C348,'Infos Clientes'!B:E,4,),"")</f>
        <v>349</v>
      </c>
      <c r="J348" s="109">
        <v>0.25</v>
      </c>
      <c r="K348" s="59">
        <f>INDEX('Infos Clientes'!$M:$M,MATCH('Detalhe Por UC'!C348,'Infos Clientes'!B:B,0))</f>
        <v>0.25</v>
      </c>
      <c r="L348" s="125">
        <v>0</v>
      </c>
      <c r="M348" s="56">
        <f>INDEX('Infos Clientes'!$N:$N,MATCH('Detalhe Por UC'!C348,'Infos Clientes'!B:B,0))</f>
        <v>0</v>
      </c>
      <c r="N348" s="56">
        <f t="shared" si="192"/>
        <v>0</v>
      </c>
      <c r="O348" s="56">
        <f t="shared" si="193"/>
        <v>12</v>
      </c>
      <c r="P348" s="56">
        <f t="shared" si="194"/>
        <v>0</v>
      </c>
      <c r="Q348" s="61">
        <f>IFERROR(IFERROR(INDEX('Infos Clientes'!$A$2:$V$9884,MATCH($C348,'Infos Clientes'!$B$2:$B$9884,0),MATCH(Q$8,'Infos Clientes'!$A$2:$V$2,0)),"")
+IF(OR(INDEX('Infos Clientes'!$A$2:$V$9884,MATCH($C348,'Infos Clientes'!$B$2:$B$9884,0),MATCH("Tempo de Fidelidade (meses)",'Infos Clientes'!$A$2:$V$2,0))=0,R348&gt;=MAX(R:R)),0,
ROUND((MAX(R:R)-R348)/(365/12),0)),"")</f>
        <v>0</v>
      </c>
      <c r="R348" s="111">
        <v>45748</v>
      </c>
      <c r="S348" s="17">
        <v>0.01</v>
      </c>
      <c r="T348" s="113">
        <f>IF($H348="GIROSSOL II",AP348/INDEX('Resumo Operacional'!$A$1:$P$1103,17,MATCH('Detalhe Por UC'!$R348,'Resumo Operacional'!$A$1:$P$1,0)),
IF($H348="GIROSSOL II e III",AP348/INDEX('Resumo Operacional'!$A$1:$P$1103,17,MATCH('Detalhe Por UC'!$R348,'Resumo Operacional'!$A$1:$P$1,0)),
""))</f>
        <v>9.9807709916674304E-3</v>
      </c>
      <c r="U348" s="113" t="str">
        <f>IF($H348="GIROSSOL III",AP348/INDEX('Resumo Operacional'!$A$1:$P$1103,53,MATCH('Detalhe Por UC'!$R348,'Resumo Operacional'!$A$1:$P$1,0)),
IF($H348="GIROSSOL II e III",AP348/INDEX('Resumo Operacional'!$A$1:$P$1103,53,MATCH('Detalhe Por UC'!$R348,'Resumo Operacional'!$A$1:$P$1,0)),
""))</f>
        <v/>
      </c>
      <c r="V348" s="45"/>
      <c r="W348" s="18"/>
      <c r="X348" s="18">
        <v>1.1222496749024706</v>
      </c>
      <c r="Y348" s="18"/>
      <c r="Z348" s="18">
        <v>1.1222018348623852</v>
      </c>
      <c r="AA348" s="18"/>
      <c r="AB348" s="18">
        <v>769</v>
      </c>
      <c r="AC348" s="18"/>
      <c r="AD348" s="18">
        <v>109</v>
      </c>
      <c r="AE348" s="35"/>
      <c r="AF348" s="18">
        <v>0</v>
      </c>
      <c r="AG348" s="18">
        <v>0</v>
      </c>
      <c r="AH348" s="18">
        <v>215.97</v>
      </c>
      <c r="AI348" s="18">
        <v>0</v>
      </c>
      <c r="AJ348" s="18">
        <v>0</v>
      </c>
      <c r="AN348" s="71">
        <f t="shared" si="195"/>
        <v>0</v>
      </c>
      <c r="AO348" s="71">
        <f t="shared" si="196"/>
        <v>0</v>
      </c>
      <c r="AP348" s="71">
        <f t="shared" si="197"/>
        <v>109</v>
      </c>
      <c r="AQ348" s="72">
        <f>IF(OR($H348="GIROSSOL II",$H348="GIROSSOL II e III"),INDEX('Resumo Operacional'!$A$1:$P$1103,MATCH("Energia Injetada prevista total Fatura da Usina (TUSD)",'Resumo Operacional'!$B$1:$B$1103,0),MATCH('Detalhe Por UC'!$R348,'Resumo Operacional'!$A$1:$P$1,0))*$S348,INDEX('Resumo Operacional'!$A$1:$P$1103,53,MATCH('Detalhe Por UC'!$R348,'Resumo Operacional'!$A$1:$P$1,0))*$S348)</f>
        <v>109.21000000000001</v>
      </c>
      <c r="AR348" s="71">
        <f t="shared" si="198"/>
        <v>-0.21000000000000796</v>
      </c>
      <c r="AS348" s="73">
        <f t="shared" si="199"/>
        <v>956.65999999999985</v>
      </c>
      <c r="AT348" s="74">
        <f t="shared" si="200"/>
        <v>956.65999999999985</v>
      </c>
      <c r="AU348" s="74">
        <f t="shared" si="201"/>
        <v>1.1221539948222998</v>
      </c>
      <c r="AV348" s="74">
        <f t="shared" si="202"/>
        <v>91.74</v>
      </c>
      <c r="AW348" s="74">
        <f t="shared" si="203"/>
        <v>0</v>
      </c>
      <c r="AX348" s="74">
        <f t="shared" si="204"/>
        <v>122.32</v>
      </c>
      <c r="AY348" s="74">
        <f t="shared" si="205"/>
        <v>91.74</v>
      </c>
      <c r="AZ348" s="117">
        <v>91.74</v>
      </c>
      <c r="BA348" s="117">
        <v>91.74</v>
      </c>
      <c r="BB348" s="49">
        <v>91.74</v>
      </c>
      <c r="BC348" s="73" t="str">
        <f t="shared" si="206"/>
        <v/>
      </c>
      <c r="BD348" s="73">
        <f t="shared" si="207"/>
        <v>1078.9799999999998</v>
      </c>
      <c r="BE348" s="73">
        <f t="shared" si="208"/>
        <v>1048.3999999999999</v>
      </c>
      <c r="BF348" s="77">
        <f t="shared" si="209"/>
        <v>30.58</v>
      </c>
      <c r="BG348" s="77">
        <f t="shared" si="210"/>
        <v>9.1739999999999995</v>
      </c>
      <c r="BH348" s="77">
        <f t="shared" si="211"/>
        <v>122.32</v>
      </c>
      <c r="BI348" s="78">
        <f t="shared" si="212"/>
        <v>0.25</v>
      </c>
      <c r="BJ348" s="79">
        <f t="shared" si="213"/>
        <v>2.8341581864353375E-2</v>
      </c>
      <c r="BK348" s="80">
        <f t="shared" si="214"/>
        <v>1048.3999999999999</v>
      </c>
      <c r="BL348" s="80">
        <f t="shared" si="215"/>
        <v>30.579999999999927</v>
      </c>
      <c r="BM348" s="79">
        <f t="shared" si="216"/>
        <v>2.8341581864353309E-2</v>
      </c>
      <c r="BN348" s="81">
        <f t="shared" si="217"/>
        <v>0.84165137614678898</v>
      </c>
      <c r="BO348" s="82">
        <f t="shared" si="218"/>
        <v>91.74</v>
      </c>
      <c r="BP348" s="81">
        <f t="shared" si="219"/>
        <v>0.84165137614678898</v>
      </c>
      <c r="BQ348" s="81">
        <f t="shared" si="220"/>
        <v>0.84169921618687438</v>
      </c>
      <c r="BR348" s="81">
        <f t="shared" si="221"/>
        <v>1.1222496749024706</v>
      </c>
      <c r="BS348" s="82">
        <f t="shared" si="222"/>
        <v>109</v>
      </c>
      <c r="BT348" s="82">
        <f t="shared" si="223"/>
        <v>122.3252145643693</v>
      </c>
      <c r="BU348" s="82">
        <f t="shared" si="224"/>
        <v>122.32</v>
      </c>
      <c r="BW348" s="82">
        <f>IFERROR(INDEX('Infos Clientes'!$T:$T,MATCH('Detalhe Por UC'!$C348,'Infos Clientes'!B:B,0)),"")</f>
        <v>802.5</v>
      </c>
      <c r="BX348" s="83">
        <f t="shared" si="225"/>
        <v>0</v>
      </c>
      <c r="BY348" s="84">
        <f t="shared" si="226"/>
        <v>0.24998934282603161</v>
      </c>
      <c r="BZ348" s="85">
        <f>IF(_xlfn.MINIFS('Detalhe Por UC'!R:R,'Detalhe Por UC'!C:C,C348,'Detalhe Por UC'!AD:AD,"&gt;"&amp;0)=0,"",_xlfn.MINIFS('Detalhe Por UC'!R:R,'Detalhe Por UC'!C:C,C348,'Detalhe Por UC'!AD:AD,"&gt;"&amp;0))</f>
        <v>45627</v>
      </c>
      <c r="CA348" s="114">
        <f ca="1">IF(OR(S348&gt;0,AD348&gt;0),IFERROR(
SUMIFS(INDIRECT("'Infos Clientes'!$W"&amp;INDEX('Infos Clientes'!$C:$C,MATCH(C348,'Infos Clientes'!$H:$H,0))&amp;":$CZ"&amp;INDEX('Infos Clientes'!$C:$C,MATCH(C348,'Infos Clientes'!$H:$H,0))),'Infos Clientes'!$W$2:$CZ$2,"&gt;"&amp;$R348-365,'Infos Clientes'!$W$2:$CZ$2,"&lt;="&amp;$R348)/
COUNTIFS(INDIRECT("'Infos Clientes'!$W"&amp;INDEX('Infos Clientes'!$C:$C,MATCH(C348,'Infos Clientes'!$H:$H,0))&amp;":$CZ"&amp;INDEX('Infos Clientes'!$C:$C,MATCH(C348,'Infos Clientes'!$H:$H,0))),"&gt;="&amp;0,'Infos Clientes'!$W$2:$CZ$2,"&gt;"&amp;$R348-365,'Infos Clientes'!$W$2:$CZ$2,"&lt;="&amp;$R348),""),"")</f>
        <v>757.66666666666663</v>
      </c>
      <c r="CB348" s="87">
        <f>VLOOKUP(C348,'Infos Clientes'!B:L,11,0)</f>
        <v>0</v>
      </c>
      <c r="CC348" s="88" t="str">
        <f t="shared" si="227"/>
        <v>A Unidade Consumidora 10/191945-5 economizou R$30,58 na fatura referente à abr/2025  consumindo 109 kWh em créditos de energia renovável conforme fatura de energia. A economia foi de 25% em relação ao que seria pago para a Energisa considerando os créditos consumidos. Atenção: Mantenha as contas da Energisa em dia para evitar cortes.</v>
      </c>
      <c r="CD348" s="40" t="s">
        <v>66</v>
      </c>
      <c r="CE348" s="18">
        <v>956.66</v>
      </c>
      <c r="CF348" s="115">
        <f t="shared" si="228"/>
        <v>0</v>
      </c>
    </row>
    <row r="349" spans="1:84" ht="16.2" hidden="1" customHeight="1" x14ac:dyDescent="0.3">
      <c r="A349" s="105" t="str">
        <f>INDEX('Infos Clientes'!$D:$D,MATCH('Detalhe Por UC'!C349,'Infos Clientes'!B:B,0))</f>
        <v>IGREJA DO EVANGELHO QUADRANGULAR</v>
      </c>
      <c r="B349" s="106" t="str">
        <f>INDEX('Infos Clientes'!$F:$F,MATCH('Detalhe Por UC'!C349,'Infos Clientes'!B:B,0))</f>
        <v>62.955.505/3216-30</v>
      </c>
      <c r="C349" s="44" t="s">
        <v>116</v>
      </c>
      <c r="D349" t="s">
        <v>351</v>
      </c>
      <c r="E349" s="1" t="s">
        <v>352</v>
      </c>
      <c r="F349" s="56" t="str">
        <f>INDEX('Infos Clientes'!$I:$I,MATCH('Detalhe Por UC'!C349,'Infos Clientes'!B:B,0))</f>
        <v>BT</v>
      </c>
      <c r="G349" s="56" t="str">
        <f>INDEX('Infos Clientes'!$J:$J,MATCH('Detalhe Por UC'!C349,'Infos Clientes'!B:B,0))</f>
        <v>trifasico</v>
      </c>
      <c r="H349" s="108" t="s">
        <v>24</v>
      </c>
      <c r="I349" s="58">
        <f>IFERROR(VLOOKUP(C349,'Infos Clientes'!B:E,4,),"")</f>
        <v>371</v>
      </c>
      <c r="J349" s="109">
        <v>0.25</v>
      </c>
      <c r="K349" s="59">
        <f>INDEX('Infos Clientes'!$M:$M,MATCH('Detalhe Por UC'!C349,'Infos Clientes'!B:B,0))</f>
        <v>0.25</v>
      </c>
      <c r="L349" s="125">
        <v>0</v>
      </c>
      <c r="M349" s="56">
        <f>INDEX('Infos Clientes'!$N:$N,MATCH('Detalhe Por UC'!C349,'Infos Clientes'!B:B,0))</f>
        <v>0</v>
      </c>
      <c r="N349" s="56">
        <f t="shared" si="192"/>
        <v>0</v>
      </c>
      <c r="O349" s="56">
        <f t="shared" si="193"/>
        <v>9</v>
      </c>
      <c r="P349" s="56">
        <f t="shared" si="194"/>
        <v>0</v>
      </c>
      <c r="Q349" s="61">
        <f>IFERROR(IFERROR(INDEX('Infos Clientes'!$A$2:$V$9884,MATCH($C349,'Infos Clientes'!$B$2:$B$9884,0),MATCH(Q$8,'Infos Clientes'!$A$2:$V$2,0)),"")
+IF(OR(INDEX('Infos Clientes'!$A$2:$V$9884,MATCH($C349,'Infos Clientes'!$B$2:$B$9884,0),MATCH("Tempo de Fidelidade (meses)",'Infos Clientes'!$A$2:$V$2,0))=0,R349&gt;=MAX(R:R)),0,
ROUND((MAX(R:R)-R349)/(365/12),0)),"")</f>
        <v>0</v>
      </c>
      <c r="R349" s="111">
        <v>45748</v>
      </c>
      <c r="S349" s="17">
        <v>0</v>
      </c>
      <c r="T349" s="113">
        <f>IF($H349="GIROSSOL II",AP349/INDEX('Resumo Operacional'!$A$1:$P$1103,17,MATCH('Detalhe Por UC'!$R349,'Resumo Operacional'!$A$1:$P$1,0)),
IF($H349="GIROSSOL II e III",AP349/INDEX('Resumo Operacional'!$A$1:$P$1103,17,MATCH('Detalhe Por UC'!$R349,'Resumo Operacional'!$A$1:$P$1,0)),
""))</f>
        <v>0</v>
      </c>
      <c r="U349" s="113" t="str">
        <f>IF($H349="GIROSSOL III",AP349/INDEX('Resumo Operacional'!$A$1:$P$1103,53,MATCH('Detalhe Por UC'!$R349,'Resumo Operacional'!$A$1:$P$1,0)),
IF($H349="GIROSSOL II e III",AP349/INDEX('Resumo Operacional'!$A$1:$P$1103,53,MATCH('Detalhe Por UC'!$R349,'Resumo Operacional'!$A$1:$P$1,0)),
""))</f>
        <v/>
      </c>
      <c r="V349" s="45"/>
      <c r="W349" s="18"/>
      <c r="X349" s="18">
        <v>1.1162564102564103</v>
      </c>
      <c r="Y349" s="18"/>
      <c r="Z349" s="18">
        <v>0</v>
      </c>
      <c r="AA349" s="18"/>
      <c r="AB349" s="18">
        <v>585</v>
      </c>
      <c r="AC349" s="18"/>
      <c r="AD349" s="18">
        <v>0</v>
      </c>
      <c r="AE349" s="35"/>
      <c r="AF349" s="18">
        <v>0</v>
      </c>
      <c r="AG349" s="18">
        <v>0</v>
      </c>
      <c r="AH349" s="18">
        <v>122.58</v>
      </c>
      <c r="AI349" s="18">
        <v>0</v>
      </c>
      <c r="AJ349" s="18">
        <v>0</v>
      </c>
      <c r="AN349" s="71">
        <f t="shared" si="195"/>
        <v>0</v>
      </c>
      <c r="AO349" s="71">
        <f t="shared" si="196"/>
        <v>0</v>
      </c>
      <c r="AP349" s="71">
        <f t="shared" si="197"/>
        <v>0</v>
      </c>
      <c r="AQ349" s="72">
        <f>IF(OR($H349="GIROSSOL II",$H349="GIROSSOL II e III"),INDEX('Resumo Operacional'!$A$1:$P$1103,MATCH("Energia Injetada prevista total Fatura da Usina (TUSD)",'Resumo Operacional'!$B$1:$B$1103,0),MATCH('Detalhe Por UC'!$R349,'Resumo Operacional'!$A$1:$P$1,0))*$S349,INDEX('Resumo Operacional'!$A$1:$P$1103,53,MATCH('Detalhe Por UC'!$R349,'Resumo Operacional'!$A$1:$P$1,0))*$S349)</f>
        <v>0</v>
      </c>
      <c r="AR349" s="71">
        <f t="shared" si="198"/>
        <v>0</v>
      </c>
      <c r="AS349" s="73">
        <f t="shared" si="199"/>
        <v>775.59</v>
      </c>
      <c r="AT349" s="74">
        <f t="shared" si="200"/>
        <v>775.59</v>
      </c>
      <c r="AU349" s="74" t="str">
        <f t="shared" si="201"/>
        <v/>
      </c>
      <c r="AV349" s="74">
        <f t="shared" si="202"/>
        <v>0</v>
      </c>
      <c r="AW349" s="74">
        <f t="shared" si="203"/>
        <v>0</v>
      </c>
      <c r="AX349" s="74">
        <f t="shared" si="204"/>
        <v>0</v>
      </c>
      <c r="AY349" s="74" t="str">
        <f t="shared" si="205"/>
        <v/>
      </c>
      <c r="AZ349" s="117"/>
      <c r="BA349" s="117">
        <v>0</v>
      </c>
      <c r="BC349" s="73" t="str">
        <f t="shared" si="206"/>
        <v/>
      </c>
      <c r="BD349" s="73">
        <f t="shared" si="207"/>
        <v>775.59</v>
      </c>
      <c r="BE349" s="73">
        <f t="shared" si="208"/>
        <v>775.59</v>
      </c>
      <c r="BF349" s="77">
        <f t="shared" si="209"/>
        <v>0</v>
      </c>
      <c r="BG349" s="77">
        <f t="shared" si="210"/>
        <v>0</v>
      </c>
      <c r="BH349" s="77">
        <f t="shared" si="211"/>
        <v>0</v>
      </c>
      <c r="BI349" s="78" t="str">
        <f t="shared" si="212"/>
        <v/>
      </c>
      <c r="BJ349" s="79">
        <f t="shared" si="213"/>
        <v>0</v>
      </c>
      <c r="BK349" s="80" t="str">
        <f t="shared" si="214"/>
        <v/>
      </c>
      <c r="BL349" s="80" t="str">
        <f t="shared" si="215"/>
        <v/>
      </c>
      <c r="BM349" s="79" t="str">
        <f t="shared" si="216"/>
        <v/>
      </c>
      <c r="BN349" s="81" t="str">
        <f t="shared" si="217"/>
        <v/>
      </c>
      <c r="BO349" s="82" t="str">
        <f t="shared" si="218"/>
        <v/>
      </c>
      <c r="BP349" s="81" t="str">
        <f t="shared" si="219"/>
        <v/>
      </c>
      <c r="BQ349" s="81" t="str">
        <f t="shared" si="220"/>
        <v/>
      </c>
      <c r="BR349" s="81" t="str">
        <f t="shared" si="221"/>
        <v/>
      </c>
      <c r="BS349" s="82">
        <f t="shared" si="222"/>
        <v>0</v>
      </c>
      <c r="BT349" s="82" t="str">
        <f t="shared" si="223"/>
        <v/>
      </c>
      <c r="BU349" s="82">
        <f t="shared" si="224"/>
        <v>0</v>
      </c>
      <c r="BW349" s="82">
        <f>IFERROR(INDEX('Infos Clientes'!$T:$T,MATCH('Detalhe Por UC'!$C349,'Infos Clientes'!B:B,0)),"")</f>
        <v>513.41666666666663</v>
      </c>
      <c r="BX349" s="83">
        <f t="shared" si="225"/>
        <v>0</v>
      </c>
      <c r="BY349" s="84" t="str">
        <f t="shared" si="226"/>
        <v/>
      </c>
      <c r="BZ349" s="85">
        <f>IF(_xlfn.MINIFS('Detalhe Por UC'!R:R,'Detalhe Por UC'!C:C,C349,'Detalhe Por UC'!AD:AD,"&gt;"&amp;0)=0,"",_xlfn.MINIFS('Detalhe Por UC'!R:R,'Detalhe Por UC'!C:C,C349,'Detalhe Por UC'!AD:AD,"&gt;"&amp;0))</f>
        <v>45627</v>
      </c>
      <c r="CA349" s="114" t="str">
        <f ca="1">IF(OR(S349&gt;0,AD349&gt;0),IFERROR(
SUMIFS(INDIRECT("'Infos Clientes'!$W"&amp;INDEX('Infos Clientes'!$C:$C,MATCH(C349,'Infos Clientes'!$H:$H,0))&amp;":$CZ"&amp;INDEX('Infos Clientes'!$C:$C,MATCH(C349,'Infos Clientes'!$H:$H,0))),'Infos Clientes'!$W$2:$CZ$2,"&gt;"&amp;$R349-365,'Infos Clientes'!$W$2:$CZ$2,"&lt;="&amp;$R349)/
COUNTIFS(INDIRECT("'Infos Clientes'!$W"&amp;INDEX('Infos Clientes'!$C:$C,MATCH(C349,'Infos Clientes'!$H:$H,0))&amp;":$CZ"&amp;INDEX('Infos Clientes'!$C:$C,MATCH(C349,'Infos Clientes'!$H:$H,0))),"&gt;="&amp;0,'Infos Clientes'!$W$2:$CZ$2,"&gt;"&amp;$R349-365,'Infos Clientes'!$W$2:$CZ$2,"&lt;="&amp;$R349),""),"")</f>
        <v/>
      </c>
      <c r="CB349" s="87">
        <f>VLOOKUP(C349,'Infos Clientes'!B:L,11,0)</f>
        <v>0</v>
      </c>
      <c r="CC349" s="88" t="str">
        <f t="shared" si="227"/>
        <v>A Unidade Consumidora 10/513413-5 economizou R$0 na fatura referente à abr/2025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49" s="40" t="s">
        <v>118</v>
      </c>
      <c r="CE349" s="18">
        <v>775.59</v>
      </c>
      <c r="CF349" s="115">
        <f t="shared" si="228"/>
        <v>0</v>
      </c>
    </row>
    <row r="350" spans="1:84" ht="16.2" hidden="1" customHeight="1" x14ac:dyDescent="0.3">
      <c r="A350" s="105" t="str">
        <f>INDEX('Infos Clientes'!$D:$D,MATCH('Detalhe Por UC'!C350,'Infos Clientes'!B:B,0))</f>
        <v>IGREJA DO EVANGELHO QUADRANGULAR</v>
      </c>
      <c r="B350" s="106" t="str">
        <f>INDEX('Infos Clientes'!$F:$F,MATCH('Detalhe Por UC'!C350,'Infos Clientes'!B:B,0))</f>
        <v>62.955.505/3671-17</v>
      </c>
      <c r="C350" s="44" t="s">
        <v>111</v>
      </c>
      <c r="D350" t="s">
        <v>351</v>
      </c>
      <c r="E350" s="1" t="s">
        <v>352</v>
      </c>
      <c r="F350" s="56" t="str">
        <f>INDEX('Infos Clientes'!$I:$I,MATCH('Detalhe Por UC'!C350,'Infos Clientes'!B:B,0))</f>
        <v>BT</v>
      </c>
      <c r="G350" s="56" t="str">
        <f>INDEX('Infos Clientes'!$J:$J,MATCH('Detalhe Por UC'!C350,'Infos Clientes'!B:B,0))</f>
        <v>trifasico</v>
      </c>
      <c r="H350" s="108" t="s">
        <v>24</v>
      </c>
      <c r="I350" s="58">
        <f>IFERROR(VLOOKUP(C350,'Infos Clientes'!B:E,4,),"")</f>
        <v>358</v>
      </c>
      <c r="J350" s="109">
        <v>0.25</v>
      </c>
      <c r="K350" s="59">
        <f>INDEX('Infos Clientes'!$M:$M,MATCH('Detalhe Por UC'!C350,'Infos Clientes'!B:B,0))</f>
        <v>0.25</v>
      </c>
      <c r="L350" s="125">
        <v>0</v>
      </c>
      <c r="M350" s="56">
        <f>INDEX('Infos Clientes'!$N:$N,MATCH('Detalhe Por UC'!C350,'Infos Clientes'!B:B,0))</f>
        <v>0</v>
      </c>
      <c r="N350" s="56">
        <f t="shared" si="192"/>
        <v>0</v>
      </c>
      <c r="O350" s="56">
        <f t="shared" si="193"/>
        <v>12</v>
      </c>
      <c r="P350" s="56">
        <f t="shared" si="194"/>
        <v>0</v>
      </c>
      <c r="Q350" s="61">
        <f>IFERROR(IFERROR(INDEX('Infos Clientes'!$A$2:$V$9884,MATCH($C350,'Infos Clientes'!$B$2:$B$9884,0),MATCH(Q$8,'Infos Clientes'!$A$2:$V$2,0)),"")
+IF(OR(INDEX('Infos Clientes'!$A$2:$V$9884,MATCH($C350,'Infos Clientes'!$B$2:$B$9884,0),MATCH("Tempo de Fidelidade (meses)",'Infos Clientes'!$A$2:$V$2,0))=0,R350&gt;=MAX(R:R)),0,
ROUND((MAX(R:R)-R350)/(365/12),0)),"")</f>
        <v>0</v>
      </c>
      <c r="R350" s="111">
        <v>45748</v>
      </c>
      <c r="S350" s="17">
        <v>0.02</v>
      </c>
      <c r="T350" s="113">
        <f>IF($H350="GIROSSOL II",AP350/INDEX('Resumo Operacional'!$A$1:$P$1103,17,MATCH('Detalhe Por UC'!$R350,'Resumo Operacional'!$A$1:$P$1,0)),
IF($H350="GIROSSOL II e III",AP350/INDEX('Resumo Operacional'!$A$1:$P$1103,17,MATCH('Detalhe Por UC'!$R350,'Resumo Operacional'!$A$1:$P$1,0)),
""))</f>
        <v>2.1976009522937458E-2</v>
      </c>
      <c r="U350" s="113" t="str">
        <f>IF($H350="GIROSSOL III",AP350/INDEX('Resumo Operacional'!$A$1:$P$1103,53,MATCH('Detalhe Por UC'!$R350,'Resumo Operacional'!$A$1:$P$1,0)),
IF($H350="GIROSSOL II e III",AP350/INDEX('Resumo Operacional'!$A$1:$P$1103,53,MATCH('Detalhe Por UC'!$R350,'Resumo Operacional'!$A$1:$P$1,0)),
""))</f>
        <v/>
      </c>
      <c r="V350" s="45"/>
      <c r="W350" s="18"/>
      <c r="X350" s="18">
        <v>1.1187179487179488</v>
      </c>
      <c r="Y350" s="18"/>
      <c r="Z350" s="18">
        <v>1.1187083333333334</v>
      </c>
      <c r="AA350" s="18"/>
      <c r="AB350" s="18">
        <v>585</v>
      </c>
      <c r="AC350" s="18"/>
      <c r="AD350" s="18">
        <v>240</v>
      </c>
      <c r="AE350" s="35"/>
      <c r="AF350" s="18">
        <v>0</v>
      </c>
      <c r="AG350" s="18">
        <v>0</v>
      </c>
      <c r="AH350" s="18">
        <v>98.02</v>
      </c>
      <c r="AI350" s="18">
        <v>0</v>
      </c>
      <c r="AJ350" s="18">
        <v>0</v>
      </c>
      <c r="AN350" s="71">
        <f t="shared" si="195"/>
        <v>0</v>
      </c>
      <c r="AO350" s="71">
        <f t="shared" si="196"/>
        <v>0</v>
      </c>
      <c r="AP350" s="71">
        <f t="shared" si="197"/>
        <v>240</v>
      </c>
      <c r="AQ350" s="72">
        <f>IF(OR($H350="GIROSSOL II",$H350="GIROSSOL II e III"),INDEX('Resumo Operacional'!$A$1:$P$1103,MATCH("Energia Injetada prevista total Fatura da Usina (TUSD)",'Resumo Operacional'!$B$1:$B$1103,0),MATCH('Detalhe Por UC'!$R350,'Resumo Operacional'!$A$1:$P$1,0))*$S350,INDEX('Resumo Operacional'!$A$1:$P$1103,53,MATCH('Detalhe Por UC'!$R350,'Resumo Operacional'!$A$1:$P$1,0))*$S350)</f>
        <v>218.42000000000002</v>
      </c>
      <c r="AR350" s="71">
        <f t="shared" si="198"/>
        <v>21.579999999999984</v>
      </c>
      <c r="AS350" s="73">
        <f t="shared" si="199"/>
        <v>483.98</v>
      </c>
      <c r="AT350" s="74">
        <f t="shared" si="200"/>
        <v>483.98</v>
      </c>
      <c r="AU350" s="74">
        <f t="shared" si="201"/>
        <v>1.118698717948718</v>
      </c>
      <c r="AV350" s="74">
        <f t="shared" si="202"/>
        <v>201.36750000000004</v>
      </c>
      <c r="AW350" s="74">
        <f t="shared" si="203"/>
        <v>0</v>
      </c>
      <c r="AX350" s="74">
        <f t="shared" si="204"/>
        <v>268.49</v>
      </c>
      <c r="AY350" s="74">
        <f t="shared" si="205"/>
        <v>201.37</v>
      </c>
      <c r="AZ350" s="117">
        <v>201.37</v>
      </c>
      <c r="BA350" s="117">
        <v>201.37</v>
      </c>
      <c r="BB350" s="49">
        <v>201.37</v>
      </c>
      <c r="BC350" s="73" t="str">
        <f t="shared" si="206"/>
        <v/>
      </c>
      <c r="BD350" s="73">
        <f t="shared" si="207"/>
        <v>752.47</v>
      </c>
      <c r="BE350" s="73">
        <f t="shared" si="208"/>
        <v>685.34750000000008</v>
      </c>
      <c r="BF350" s="77">
        <f t="shared" si="209"/>
        <v>67.12</v>
      </c>
      <c r="BG350" s="77">
        <f t="shared" si="210"/>
        <v>20.135999999999999</v>
      </c>
      <c r="BH350" s="77">
        <f t="shared" si="211"/>
        <v>268.49</v>
      </c>
      <c r="BI350" s="78">
        <f t="shared" si="212"/>
        <v>0.25</v>
      </c>
      <c r="BJ350" s="79">
        <f t="shared" si="213"/>
        <v>8.9199569418049893E-2</v>
      </c>
      <c r="BK350" s="80">
        <f t="shared" si="214"/>
        <v>685.35</v>
      </c>
      <c r="BL350" s="80">
        <f t="shared" si="215"/>
        <v>67.12</v>
      </c>
      <c r="BM350" s="79">
        <f t="shared" si="216"/>
        <v>8.9199569418049893E-2</v>
      </c>
      <c r="BN350" s="81">
        <f t="shared" si="217"/>
        <v>0.83904166666666669</v>
      </c>
      <c r="BO350" s="82">
        <f t="shared" si="218"/>
        <v>201.37</v>
      </c>
      <c r="BP350" s="81">
        <f t="shared" si="219"/>
        <v>0.83904166666666669</v>
      </c>
      <c r="BQ350" s="81">
        <f t="shared" si="220"/>
        <v>0.8390512820512821</v>
      </c>
      <c r="BR350" s="81">
        <f t="shared" si="221"/>
        <v>1.1187179487179486</v>
      </c>
      <c r="BS350" s="82">
        <f t="shared" si="222"/>
        <v>240</v>
      </c>
      <c r="BT350" s="82">
        <f t="shared" si="223"/>
        <v>268.49230769230769</v>
      </c>
      <c r="BU350" s="82">
        <f t="shared" si="224"/>
        <v>268.49</v>
      </c>
      <c r="BW350" s="82">
        <f>IFERROR(INDEX('Infos Clientes'!$T:$T,MATCH('Detalhe Por UC'!$C350,'Infos Clientes'!B:B,0)),"")</f>
        <v>586</v>
      </c>
      <c r="BX350" s="83">
        <f t="shared" si="225"/>
        <v>0</v>
      </c>
      <c r="BY350" s="84">
        <f t="shared" si="226"/>
        <v>0.24998853999541604</v>
      </c>
      <c r="BZ350" s="85">
        <f>IF(_xlfn.MINIFS('Detalhe Por UC'!R:R,'Detalhe Por UC'!C:C,C350,'Detalhe Por UC'!AD:AD,"&gt;"&amp;0)=0,"",_xlfn.MINIFS('Detalhe Por UC'!R:R,'Detalhe Por UC'!C:C,C350,'Detalhe Por UC'!AD:AD,"&gt;"&amp;0))</f>
        <v>45627</v>
      </c>
      <c r="CA350" s="114">
        <f ca="1">IF(OR(S350&gt;0,AD350&gt;0),IFERROR(
SUMIFS(INDIRECT("'Infos Clientes'!$W"&amp;INDEX('Infos Clientes'!$C:$C,MATCH(C350,'Infos Clientes'!$H:$H,0))&amp;":$CZ"&amp;INDEX('Infos Clientes'!$C:$C,MATCH(C350,'Infos Clientes'!$H:$H,0))),'Infos Clientes'!$W$2:$CZ$2,"&gt;"&amp;$R350-365,'Infos Clientes'!$W$2:$CZ$2,"&lt;="&amp;$R350)/
COUNTIFS(INDIRECT("'Infos Clientes'!$W"&amp;INDEX('Infos Clientes'!$C:$C,MATCH(C350,'Infos Clientes'!$H:$H,0))&amp;":$CZ"&amp;INDEX('Infos Clientes'!$C:$C,MATCH(C350,'Infos Clientes'!$H:$H,0))),"&gt;="&amp;0,'Infos Clientes'!$W$2:$CZ$2,"&gt;"&amp;$R350-365,'Infos Clientes'!$W$2:$CZ$2,"&lt;="&amp;$R350),""),"")</f>
        <v>596.25</v>
      </c>
      <c r="CB350" s="87">
        <f>VLOOKUP(C350,'Infos Clientes'!B:L,11,0)</f>
        <v>0</v>
      </c>
      <c r="CC350" s="88" t="str">
        <f t="shared" si="227"/>
        <v>A Unidade Consumidora 10/510330-4 economizou R$67,12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50" s="40" t="s">
        <v>113</v>
      </c>
      <c r="CE350" s="18">
        <v>483.98</v>
      </c>
      <c r="CF350" s="115">
        <f t="shared" si="228"/>
        <v>0</v>
      </c>
    </row>
    <row r="351" spans="1:84" ht="16.2" hidden="1" customHeight="1" x14ac:dyDescent="0.3">
      <c r="A351" s="105" t="str">
        <f>INDEX('Infos Clientes'!$D:$D,MATCH('Detalhe Por UC'!C351,'Infos Clientes'!B:B,0))</f>
        <v>IGREJA DO EVANGELHO QUADRANGULAR</v>
      </c>
      <c r="B351" s="106" t="str">
        <f>INDEX('Infos Clientes'!$F:$F,MATCH('Detalhe Por UC'!C351,'Infos Clientes'!B:B,0))</f>
        <v>62.955.505/0160-80</v>
      </c>
      <c r="C351" s="44" t="s">
        <v>97</v>
      </c>
      <c r="D351" t="s">
        <v>351</v>
      </c>
      <c r="E351" s="1" t="s">
        <v>352</v>
      </c>
      <c r="F351" s="56" t="str">
        <f>INDEX('Infos Clientes'!$I:$I,MATCH('Detalhe Por UC'!C351,'Infos Clientes'!B:B,0))</f>
        <v>BT</v>
      </c>
      <c r="G351" s="56" t="str">
        <f>INDEX('Infos Clientes'!$J:$J,MATCH('Detalhe Por UC'!C351,'Infos Clientes'!B:B,0))</f>
        <v>trifasico</v>
      </c>
      <c r="H351" s="108" t="s">
        <v>24</v>
      </c>
      <c r="I351" s="58">
        <f>IFERROR(VLOOKUP(C351,'Infos Clientes'!B:E,4,),"")</f>
        <v>357</v>
      </c>
      <c r="J351" s="109">
        <v>0.25</v>
      </c>
      <c r="K351" s="59">
        <f>INDEX('Infos Clientes'!$M:$M,MATCH('Detalhe Por UC'!C351,'Infos Clientes'!B:B,0))</f>
        <v>0.25</v>
      </c>
      <c r="L351" s="125">
        <v>0</v>
      </c>
      <c r="M351" s="56">
        <f>INDEX('Infos Clientes'!$N:$N,MATCH('Detalhe Por UC'!C351,'Infos Clientes'!B:B,0))</f>
        <v>0</v>
      </c>
      <c r="N351" s="56">
        <f t="shared" si="192"/>
        <v>0</v>
      </c>
      <c r="O351" s="56">
        <f t="shared" si="193"/>
        <v>11</v>
      </c>
      <c r="P351" s="56">
        <f t="shared" si="194"/>
        <v>0</v>
      </c>
      <c r="Q351" s="61">
        <f>IFERROR(IFERROR(INDEX('Infos Clientes'!$A$2:$V$9884,MATCH($C351,'Infos Clientes'!$B$2:$B$9884,0),MATCH(Q$8,'Infos Clientes'!$A$2:$V$2,0)),"")
+IF(OR(INDEX('Infos Clientes'!$A$2:$V$9884,MATCH($C351,'Infos Clientes'!$B$2:$B$9884,0),MATCH("Tempo de Fidelidade (meses)",'Infos Clientes'!$A$2:$V$2,0))=0,R351&gt;=MAX(R:R)),0,
ROUND((MAX(R:R)-R351)/(365/12),0)),"")</f>
        <v>0</v>
      </c>
      <c r="R351" s="111">
        <v>45748</v>
      </c>
      <c r="S351" s="17">
        <v>0.02</v>
      </c>
      <c r="T351" s="113">
        <f>IF($H351="GIROSSOL II",AP351/INDEX('Resumo Operacional'!$A$1:$P$1103,17,MATCH('Detalhe Por UC'!$R351,'Resumo Operacional'!$A$1:$P$1,0)),
IF($H351="GIROSSOL II e III",AP351/INDEX('Resumo Operacional'!$A$1:$P$1103,17,MATCH('Detalhe Por UC'!$R351,'Resumo Operacional'!$A$1:$P$1,0)),
""))</f>
        <v>2.1976009522937458E-2</v>
      </c>
      <c r="U351" s="113" t="str">
        <f>IF($H351="GIROSSOL III",AP351/INDEX('Resumo Operacional'!$A$1:$P$1103,53,MATCH('Detalhe Por UC'!$R351,'Resumo Operacional'!$A$1:$P$1,0)),
IF($H351="GIROSSOL II e III",AP351/INDEX('Resumo Operacional'!$A$1:$P$1103,53,MATCH('Detalhe Por UC'!$R351,'Resumo Operacional'!$A$1:$P$1,0)),
""))</f>
        <v/>
      </c>
      <c r="V351" s="45"/>
      <c r="W351" s="18"/>
      <c r="X351" s="18">
        <v>1.116255707762557</v>
      </c>
      <c r="Y351" s="18"/>
      <c r="Z351" s="18">
        <v>1.0699157303370785</v>
      </c>
      <c r="AA351" s="18"/>
      <c r="AB351" s="18">
        <v>438</v>
      </c>
      <c r="AC351" s="18"/>
      <c r="AD351" s="18">
        <v>356</v>
      </c>
      <c r="AE351" s="35"/>
      <c r="AF351" s="18">
        <v>101</v>
      </c>
      <c r="AG351" s="18">
        <v>0</v>
      </c>
      <c r="AH351" s="18">
        <v>76.37</v>
      </c>
      <c r="AI351" s="18">
        <v>0</v>
      </c>
      <c r="AJ351" s="18">
        <v>0</v>
      </c>
      <c r="AN351" s="71">
        <f t="shared" si="195"/>
        <v>-116</v>
      </c>
      <c r="AO351" s="71">
        <f t="shared" si="196"/>
        <v>0</v>
      </c>
      <c r="AP351" s="71">
        <f t="shared" si="197"/>
        <v>240</v>
      </c>
      <c r="AQ351" s="72">
        <f>IF(OR($H351="GIROSSOL II",$H351="GIROSSOL II e III"),INDEX('Resumo Operacional'!$A$1:$P$1103,MATCH("Energia Injetada prevista total Fatura da Usina (TUSD)",'Resumo Operacional'!$B$1:$B$1103,0),MATCH('Detalhe Por UC'!$R351,'Resumo Operacional'!$A$1:$P$1,0))*$S351,INDEX('Resumo Operacional'!$A$1:$P$1103,53,MATCH('Detalhe Por UC'!$R351,'Resumo Operacional'!$A$1:$P$1,0))*$S351)</f>
        <v>218.42000000000002</v>
      </c>
      <c r="AR351" s="71">
        <f t="shared" si="198"/>
        <v>21.579999999999984</v>
      </c>
      <c r="AS351" s="73">
        <f t="shared" si="199"/>
        <v>184.39999999999998</v>
      </c>
      <c r="AT351" s="74">
        <f t="shared" si="200"/>
        <v>184.39999999999998</v>
      </c>
      <c r="AU351" s="74">
        <f t="shared" si="201"/>
        <v>1.0235757529116001</v>
      </c>
      <c r="AV351" s="74">
        <f t="shared" si="202"/>
        <v>285.66749999999996</v>
      </c>
      <c r="AW351" s="74">
        <f t="shared" si="203"/>
        <v>0</v>
      </c>
      <c r="AX351" s="74">
        <f t="shared" si="204"/>
        <v>380.89</v>
      </c>
      <c r="AY351" s="74">
        <f t="shared" si="205"/>
        <v>285.67</v>
      </c>
      <c r="AZ351" s="117">
        <v>285.67</v>
      </c>
      <c r="BA351" s="117">
        <v>285.67</v>
      </c>
      <c r="BB351" s="49">
        <v>285.67</v>
      </c>
      <c r="BC351" s="73" t="str">
        <f t="shared" si="206"/>
        <v/>
      </c>
      <c r="BD351" s="73">
        <f t="shared" si="207"/>
        <v>565.29</v>
      </c>
      <c r="BE351" s="73">
        <f t="shared" si="208"/>
        <v>470.06749999999994</v>
      </c>
      <c r="BF351" s="77">
        <f t="shared" si="209"/>
        <v>95.22</v>
      </c>
      <c r="BG351" s="77">
        <f t="shared" si="210"/>
        <v>28.565999999999999</v>
      </c>
      <c r="BH351" s="77">
        <f t="shared" si="211"/>
        <v>380.89</v>
      </c>
      <c r="BI351" s="78">
        <f t="shared" si="212"/>
        <v>0.25</v>
      </c>
      <c r="BJ351" s="79">
        <f t="shared" si="213"/>
        <v>0.16844451520458525</v>
      </c>
      <c r="BK351" s="80">
        <f t="shared" si="214"/>
        <v>470.07</v>
      </c>
      <c r="BL351" s="80">
        <f t="shared" si="215"/>
        <v>95.21999999999997</v>
      </c>
      <c r="BM351" s="79">
        <f t="shared" si="216"/>
        <v>0.16844451520458523</v>
      </c>
      <c r="BN351" s="81">
        <f t="shared" si="217"/>
        <v>0.80244382022471916</v>
      </c>
      <c r="BO351" s="82">
        <f t="shared" si="218"/>
        <v>285.67</v>
      </c>
      <c r="BP351" s="81">
        <f t="shared" si="219"/>
        <v>0.80244382022471916</v>
      </c>
      <c r="BQ351" s="81">
        <f t="shared" si="220"/>
        <v>0.84878379765019762</v>
      </c>
      <c r="BR351" s="81">
        <f t="shared" si="221"/>
        <v>1.116255707762557</v>
      </c>
      <c r="BS351" s="82">
        <f t="shared" si="222"/>
        <v>356</v>
      </c>
      <c r="BT351" s="82">
        <f t="shared" si="223"/>
        <v>397.38703196347029</v>
      </c>
      <c r="BU351" s="82">
        <f t="shared" si="224"/>
        <v>380.89</v>
      </c>
      <c r="BW351" s="82">
        <f>IFERROR(INDEX('Infos Clientes'!$T:$T,MATCH('Detalhe Por UC'!$C351,'Infos Clientes'!B:B,0)),"")</f>
        <v>468.66666666666669</v>
      </c>
      <c r="BX351" s="83">
        <f t="shared" si="225"/>
        <v>0</v>
      </c>
      <c r="BY351" s="84">
        <f t="shared" si="226"/>
        <v>0.23961526758818091</v>
      </c>
      <c r="BZ351" s="85">
        <f>IF(_xlfn.MINIFS('Detalhe Por UC'!R:R,'Detalhe Por UC'!C:C,C351,'Detalhe Por UC'!AD:AD,"&gt;"&amp;0)=0,"",_xlfn.MINIFS('Detalhe Por UC'!R:R,'Detalhe Por UC'!C:C,C351,'Detalhe Por UC'!AD:AD,"&gt;"&amp;0))</f>
        <v>45627</v>
      </c>
      <c r="CA351" s="114">
        <f ca="1">IF(OR(S351&gt;0,AD351&gt;0),IFERROR(
SUMIFS(INDIRECT("'Infos Clientes'!$W"&amp;INDEX('Infos Clientes'!$C:$C,MATCH(C351,'Infos Clientes'!$H:$H,0))&amp;":$CZ"&amp;INDEX('Infos Clientes'!$C:$C,MATCH(C351,'Infos Clientes'!$H:$H,0))),'Infos Clientes'!$W$2:$CZ$2,"&gt;"&amp;$R351-365,'Infos Clientes'!$W$2:$CZ$2,"&lt;="&amp;$R351)/
COUNTIFS(INDIRECT("'Infos Clientes'!$W"&amp;INDEX('Infos Clientes'!$C:$C,MATCH(C351,'Infos Clientes'!$H:$H,0))&amp;":$CZ"&amp;INDEX('Infos Clientes'!$C:$C,MATCH(C351,'Infos Clientes'!$H:$H,0))),"&gt;="&amp;0,'Infos Clientes'!$W$2:$CZ$2,"&gt;"&amp;$R351-365,'Infos Clientes'!$W$2:$CZ$2,"&lt;="&amp;$R351),""),"")</f>
        <v>467.41666666666669</v>
      </c>
      <c r="CB351" s="87">
        <f>VLOOKUP(C351,'Infos Clientes'!B:L,11,0)</f>
        <v>0</v>
      </c>
      <c r="CC351" s="88" t="str">
        <f t="shared" si="227"/>
        <v>A Unidade Consumidora 10/3030784-7 economizou R$95,22 na fatura referente à abr/2025  consumindo 356 kWh em créditos de energia renovável conforme fatura de energia. A economia foi de 25% em relação ao que seria pago para a Energisa considerando os créditos consumidos. Atenção: Mantenha as contas da Energisa em dia para evitar cortes.</v>
      </c>
      <c r="CD351" s="40" t="s">
        <v>98</v>
      </c>
      <c r="CE351" s="18">
        <v>184.4</v>
      </c>
      <c r="CF351" s="115">
        <f t="shared" si="228"/>
        <v>0</v>
      </c>
    </row>
    <row r="352" spans="1:84" ht="16.2" hidden="1" customHeight="1" x14ac:dyDescent="0.3">
      <c r="A352" s="105" t="str">
        <f>INDEX('Infos Clientes'!$D:$D,MATCH('Detalhe Por UC'!C352,'Infos Clientes'!B:B,0))</f>
        <v>IGREJA DO EVANGELHO QUADRANGULAR</v>
      </c>
      <c r="B352" s="106" t="str">
        <f>INDEX('Infos Clientes'!$F:$F,MATCH('Detalhe Por UC'!C352,'Infos Clientes'!B:B,0))</f>
        <v>62.955.505/4194-43</v>
      </c>
      <c r="C352" s="44" t="s">
        <v>99</v>
      </c>
      <c r="D352" t="s">
        <v>351</v>
      </c>
      <c r="E352" s="1" t="s">
        <v>352</v>
      </c>
      <c r="F352" s="56" t="str">
        <f>INDEX('Infos Clientes'!$I:$I,MATCH('Detalhe Por UC'!C352,'Infos Clientes'!B:B,0))</f>
        <v>BT</v>
      </c>
      <c r="G352" s="56" t="str">
        <f>INDEX('Infos Clientes'!$J:$J,MATCH('Detalhe Por UC'!C352,'Infos Clientes'!B:B,0))</f>
        <v>trifasico</v>
      </c>
      <c r="H352" s="108" t="s">
        <v>24</v>
      </c>
      <c r="I352" s="58">
        <f>IFERROR(VLOOKUP(C352,'Infos Clientes'!B:E,4,),"")</f>
        <v>331</v>
      </c>
      <c r="J352" s="109">
        <v>0.25</v>
      </c>
      <c r="K352" s="59">
        <f>INDEX('Infos Clientes'!$M:$M,MATCH('Detalhe Por UC'!C352,'Infos Clientes'!B:B,0))</f>
        <v>0.25</v>
      </c>
      <c r="L352" s="125">
        <v>0</v>
      </c>
      <c r="M352" s="56">
        <f>INDEX('Infos Clientes'!$N:$N,MATCH('Detalhe Por UC'!C352,'Infos Clientes'!B:B,0))</f>
        <v>0</v>
      </c>
      <c r="N352" s="56">
        <f t="shared" si="192"/>
        <v>0</v>
      </c>
      <c r="O352" s="56">
        <f t="shared" si="193"/>
        <v>12</v>
      </c>
      <c r="P352" s="56">
        <f t="shared" si="194"/>
        <v>0</v>
      </c>
      <c r="Q352" s="61">
        <f>IFERROR(IFERROR(INDEX('Infos Clientes'!$A$2:$V$9884,MATCH($C352,'Infos Clientes'!$B$2:$B$9884,0),MATCH(Q$8,'Infos Clientes'!$A$2:$V$2,0)),"")
+IF(OR(INDEX('Infos Clientes'!$A$2:$V$9884,MATCH($C352,'Infos Clientes'!$B$2:$B$9884,0),MATCH("Tempo de Fidelidade (meses)",'Infos Clientes'!$A$2:$V$2,0))=0,R352&gt;=MAX(R:R)),0,
ROUND((MAX(R:R)-R352)/(365/12),0)),"")</f>
        <v>0</v>
      </c>
      <c r="R352" s="111">
        <v>45748</v>
      </c>
      <c r="S352" s="17">
        <v>0.02</v>
      </c>
      <c r="T352" s="113">
        <f>IF($H352="GIROSSOL II",AP352/INDEX('Resumo Operacional'!$A$1:$P$1103,17,MATCH('Detalhe Por UC'!$R352,'Resumo Operacional'!$A$1:$P$1,0)),
IF($H352="GIROSSOL II e III",AP352/INDEX('Resumo Operacional'!$A$1:$P$1103,17,MATCH('Detalhe Por UC'!$R352,'Resumo Operacional'!$A$1:$P$1,0)),
""))</f>
        <v>2.1976009522937458E-2</v>
      </c>
      <c r="U352" s="113" t="str">
        <f>IF($H352="GIROSSOL III",AP352/INDEX('Resumo Operacional'!$A$1:$P$1103,53,MATCH('Detalhe Por UC'!$R352,'Resumo Operacional'!$A$1:$P$1,0)),
IF($H352="GIROSSOL II e III",AP352/INDEX('Resumo Operacional'!$A$1:$P$1103,53,MATCH('Detalhe Por UC'!$R352,'Resumo Operacional'!$A$1:$P$1,0)),
""))</f>
        <v/>
      </c>
      <c r="V352" s="45"/>
      <c r="W352" s="18"/>
      <c r="X352" s="18">
        <v>1.1194212962962962</v>
      </c>
      <c r="Y352" s="18"/>
      <c r="Z352" s="18">
        <v>1.0717378900000001</v>
      </c>
      <c r="AA352" s="18"/>
      <c r="AB352" s="18">
        <v>432</v>
      </c>
      <c r="AC352" s="18"/>
      <c r="AD352" s="18">
        <v>351</v>
      </c>
      <c r="AE352" s="35"/>
      <c r="AF352" s="18">
        <v>103</v>
      </c>
      <c r="AG352" s="18">
        <v>0</v>
      </c>
      <c r="AH352" s="18">
        <v>0</v>
      </c>
      <c r="AI352" s="18">
        <v>0</v>
      </c>
      <c r="AJ352" s="18">
        <v>0</v>
      </c>
      <c r="AN352" s="71">
        <f t="shared" si="195"/>
        <v>-111</v>
      </c>
      <c r="AO352" s="71">
        <f t="shared" si="196"/>
        <v>0</v>
      </c>
      <c r="AP352" s="71">
        <f t="shared" si="197"/>
        <v>240</v>
      </c>
      <c r="AQ352" s="72">
        <f>IF(OR($H352="GIROSSOL II",$H352="GIROSSOL II e III"),INDEX('Resumo Operacional'!$A$1:$P$1103,MATCH("Energia Injetada prevista total Fatura da Usina (TUSD)",'Resumo Operacional'!$B$1:$B$1103,0),MATCH('Detalhe Por UC'!$R352,'Resumo Operacional'!$A$1:$P$1,0))*$S352,INDEX('Resumo Operacional'!$A$1:$P$1103,53,MATCH('Detalhe Por UC'!$R352,'Resumo Operacional'!$A$1:$P$1,0))*$S352)</f>
        <v>218.42000000000002</v>
      </c>
      <c r="AR352" s="71">
        <f t="shared" si="198"/>
        <v>21.579999999999984</v>
      </c>
      <c r="AS352" s="73">
        <f t="shared" si="199"/>
        <v>107.41000060999988</v>
      </c>
      <c r="AT352" s="74">
        <f t="shared" si="200"/>
        <v>107.41000060999988</v>
      </c>
      <c r="AU352" s="74">
        <f t="shared" si="201"/>
        <v>1.024054483703704</v>
      </c>
      <c r="AV352" s="74">
        <f t="shared" si="202"/>
        <v>282.1349995425</v>
      </c>
      <c r="AW352" s="74">
        <f t="shared" si="203"/>
        <v>0</v>
      </c>
      <c r="AX352" s="74">
        <f t="shared" si="204"/>
        <v>376.17999939000003</v>
      </c>
      <c r="AY352" s="74">
        <f t="shared" si="205"/>
        <v>282.13</v>
      </c>
      <c r="AZ352" s="117">
        <v>282.13</v>
      </c>
      <c r="BA352" s="117">
        <v>282.13</v>
      </c>
      <c r="BB352" s="49">
        <v>282.13</v>
      </c>
      <c r="BC352" s="73" t="str">
        <f t="shared" si="206"/>
        <v/>
      </c>
      <c r="BD352" s="73">
        <f t="shared" si="207"/>
        <v>483.58999999999992</v>
      </c>
      <c r="BE352" s="73">
        <f t="shared" si="208"/>
        <v>389.54500015249988</v>
      </c>
      <c r="BF352" s="77">
        <f t="shared" si="209"/>
        <v>94.04</v>
      </c>
      <c r="BG352" s="77">
        <f t="shared" si="210"/>
        <v>28.212</v>
      </c>
      <c r="BH352" s="77">
        <f t="shared" si="211"/>
        <v>376.17999939000003</v>
      </c>
      <c r="BI352" s="78">
        <f t="shared" si="212"/>
        <v>0.25</v>
      </c>
      <c r="BJ352" s="79">
        <f t="shared" si="213"/>
        <v>0.19446225108046078</v>
      </c>
      <c r="BK352" s="80">
        <f t="shared" si="214"/>
        <v>389.54000060999988</v>
      </c>
      <c r="BL352" s="80">
        <f t="shared" si="215"/>
        <v>94.049999390000039</v>
      </c>
      <c r="BM352" s="79">
        <f t="shared" si="216"/>
        <v>0.19448292849314514</v>
      </c>
      <c r="BN352" s="81">
        <f t="shared" si="217"/>
        <v>0.80378917378917381</v>
      </c>
      <c r="BO352" s="82">
        <f t="shared" si="218"/>
        <v>282.13</v>
      </c>
      <c r="BP352" s="81">
        <f t="shared" si="219"/>
        <v>0.80378917378917381</v>
      </c>
      <c r="BQ352" s="81">
        <f t="shared" si="220"/>
        <v>0.85147258008546989</v>
      </c>
      <c r="BR352" s="81">
        <f t="shared" si="221"/>
        <v>1.1194212962962962</v>
      </c>
      <c r="BS352" s="82">
        <f t="shared" si="222"/>
        <v>351</v>
      </c>
      <c r="BT352" s="82">
        <f t="shared" si="223"/>
        <v>392.91687499999995</v>
      </c>
      <c r="BU352" s="82">
        <f t="shared" si="224"/>
        <v>376.17999939000003</v>
      </c>
      <c r="BW352" s="82">
        <f>IFERROR(INDEX('Infos Clientes'!$T:$T,MATCH('Detalhe Por UC'!$C352,'Infos Clientes'!B:B,0)),"")</f>
        <v>433.16666666666669</v>
      </c>
      <c r="BX352" s="83">
        <f t="shared" si="225"/>
        <v>0</v>
      </c>
      <c r="BY352" s="84">
        <f t="shared" si="226"/>
        <v>0.23936360429925549</v>
      </c>
      <c r="BZ352" s="85">
        <f>IF(_xlfn.MINIFS('Detalhe Por UC'!R:R,'Detalhe Por UC'!C:C,C352,'Detalhe Por UC'!AD:AD,"&gt;"&amp;0)=0,"",_xlfn.MINIFS('Detalhe Por UC'!R:R,'Detalhe Por UC'!C:C,C352,'Detalhe Por UC'!AD:AD,"&gt;"&amp;0))</f>
        <v>45627</v>
      </c>
      <c r="CA352" s="114">
        <f ca="1">IF(OR(S352&gt;0,AD352&gt;0),IFERROR(
SUMIFS(INDIRECT("'Infos Clientes'!$W"&amp;INDEX('Infos Clientes'!$C:$C,MATCH(C352,'Infos Clientes'!$H:$H,0))&amp;":$CZ"&amp;INDEX('Infos Clientes'!$C:$C,MATCH(C352,'Infos Clientes'!$H:$H,0))),'Infos Clientes'!$W$2:$CZ$2,"&gt;"&amp;$R352-365,'Infos Clientes'!$W$2:$CZ$2,"&lt;="&amp;$R352)/
COUNTIFS(INDIRECT("'Infos Clientes'!$W"&amp;INDEX('Infos Clientes'!$C:$C,MATCH(C352,'Infos Clientes'!$H:$H,0))&amp;":$CZ"&amp;INDEX('Infos Clientes'!$C:$C,MATCH(C352,'Infos Clientes'!$H:$H,0))),"&gt;="&amp;0,'Infos Clientes'!$W$2:$CZ$2,"&gt;"&amp;$R352-365,'Infos Clientes'!$W$2:$CZ$2,"&lt;="&amp;$R352),""),"")</f>
        <v>414.33333333333331</v>
      </c>
      <c r="CB352" s="87">
        <f>VLOOKUP(C352,'Infos Clientes'!B:L,11,0)</f>
        <v>0</v>
      </c>
      <c r="CC352" s="88" t="str">
        <f t="shared" si="227"/>
        <v>A Unidade Consumidora 10/3092868-3 economizou R$94,04 na fatura referente à abr/2025  consumindo 351 kWh em créditos de energia renovável conforme fatura de energia. A economia foi de 25% em relação ao que seria pago para a Energisa considerando os créditos consumidos. Atenção: Mantenha as contas da Energisa em dia para evitar cortes.</v>
      </c>
      <c r="CD352" s="40" t="s">
        <v>100</v>
      </c>
      <c r="CE352" s="18">
        <v>107.41</v>
      </c>
      <c r="CF352" s="115">
        <f t="shared" si="228"/>
        <v>-6.0999988704679708E-7</v>
      </c>
    </row>
    <row r="353" spans="1:84" ht="16.2" hidden="1" customHeight="1" x14ac:dyDescent="0.3">
      <c r="A353" s="105" t="str">
        <f>INDEX('Infos Clientes'!$D:$D,MATCH('Detalhe Por UC'!C353,'Infos Clientes'!B:B,0))</f>
        <v>IGREJA DO EVANGELHO QUADRANGULAR</v>
      </c>
      <c r="B353" s="106" t="str">
        <f>INDEX('Infos Clientes'!$F:$F,MATCH('Detalhe Por UC'!C353,'Infos Clientes'!B:B,0))</f>
        <v>62.955.505/0884-04</v>
      </c>
      <c r="C353" s="44" t="s">
        <v>88</v>
      </c>
      <c r="D353" t="s">
        <v>351</v>
      </c>
      <c r="E353" s="1" t="s">
        <v>352</v>
      </c>
      <c r="F353" s="56" t="str">
        <f>INDEX('Infos Clientes'!$I:$I,MATCH('Detalhe Por UC'!C353,'Infos Clientes'!B:B,0))</f>
        <v>BT</v>
      </c>
      <c r="G353" s="56" t="str">
        <f>INDEX('Infos Clientes'!$J:$J,MATCH('Detalhe Por UC'!C353,'Infos Clientes'!B:B,0))</f>
        <v>trifasico</v>
      </c>
      <c r="H353" s="108" t="s">
        <v>24</v>
      </c>
      <c r="I353" s="58">
        <f>IFERROR(VLOOKUP(C353,'Infos Clientes'!B:E,4,),"")</f>
        <v>994</v>
      </c>
      <c r="J353" s="109">
        <v>0.25</v>
      </c>
      <c r="K353" s="59">
        <f>INDEX('Infos Clientes'!$M:$M,MATCH('Detalhe Por UC'!C353,'Infos Clientes'!B:B,0))</f>
        <v>0.25</v>
      </c>
      <c r="L353" s="125">
        <v>0</v>
      </c>
      <c r="M353" s="56">
        <f>INDEX('Infos Clientes'!$N:$N,MATCH('Detalhe Por UC'!C353,'Infos Clientes'!B:B,0))</f>
        <v>0</v>
      </c>
      <c r="N353" s="56">
        <f t="shared" si="192"/>
        <v>0</v>
      </c>
      <c r="O353" s="56">
        <f t="shared" si="193"/>
        <v>12</v>
      </c>
      <c r="P353" s="56">
        <f t="shared" si="194"/>
        <v>0</v>
      </c>
      <c r="Q353" s="61">
        <f>IFERROR(IFERROR(INDEX('Infos Clientes'!$A$2:$V$9884,MATCH($C353,'Infos Clientes'!$B$2:$B$9884,0),MATCH(Q$8,'Infos Clientes'!$A$2:$V$2,0)),"")
+IF(OR(INDEX('Infos Clientes'!$A$2:$V$9884,MATCH($C353,'Infos Clientes'!$B$2:$B$9884,0),MATCH("Tempo de Fidelidade (meses)",'Infos Clientes'!$A$2:$V$2,0))=0,R353&gt;=MAX(R:R)),0,
ROUND((MAX(R:R)-R353)/(365/12),0)),"")</f>
        <v>0</v>
      </c>
      <c r="R353" s="111">
        <v>45748</v>
      </c>
      <c r="S353" s="17">
        <v>0.02</v>
      </c>
      <c r="T353" s="113">
        <f>IF($H353="GIROSSOL II",AP353/INDEX('Resumo Operacional'!$A$1:$P$1103,17,MATCH('Detalhe Por UC'!$R353,'Resumo Operacional'!$A$1:$P$1,0)),
IF($H353="GIROSSOL II e III",AP353/INDEX('Resumo Operacional'!$A$1:$P$1103,17,MATCH('Detalhe Por UC'!$R353,'Resumo Operacional'!$A$1:$P$1,0)),
""))</f>
        <v>1.9961541983334861E-2</v>
      </c>
      <c r="U353" s="113" t="str">
        <f>IF($H353="GIROSSOL III",AP353/INDEX('Resumo Operacional'!$A$1:$P$1103,53,MATCH('Detalhe Por UC'!$R353,'Resumo Operacional'!$A$1:$P$1,0)),
IF($H353="GIROSSOL II e III",AP353/INDEX('Resumo Operacional'!$A$1:$P$1103,53,MATCH('Detalhe Por UC'!$R353,'Resumo Operacional'!$A$1:$P$1,0)),
""))</f>
        <v/>
      </c>
      <c r="V353" s="45"/>
      <c r="W353" s="18"/>
      <c r="X353" s="18">
        <v>1.1219270833333332</v>
      </c>
      <c r="Y353" s="18"/>
      <c r="Z353" s="18">
        <v>1.1218478260869564</v>
      </c>
      <c r="AA353" s="18"/>
      <c r="AB353" s="18">
        <v>192</v>
      </c>
      <c r="AC353" s="18"/>
      <c r="AD353" s="18">
        <v>92</v>
      </c>
      <c r="AE353" s="35"/>
      <c r="AF353" s="18">
        <v>953</v>
      </c>
      <c r="AG353" s="18">
        <v>0</v>
      </c>
      <c r="AH353" s="18">
        <v>36.49</v>
      </c>
      <c r="AI353" s="18">
        <v>0</v>
      </c>
      <c r="AJ353" s="18">
        <v>0</v>
      </c>
      <c r="AN353" s="71">
        <f t="shared" si="195"/>
        <v>126</v>
      </c>
      <c r="AO353" s="71">
        <f t="shared" si="196"/>
        <v>0</v>
      </c>
      <c r="AP353" s="71">
        <f t="shared" si="197"/>
        <v>218</v>
      </c>
      <c r="AQ353" s="72">
        <f>IF(OR($H353="GIROSSOL II",$H353="GIROSSOL II e III"),INDEX('Resumo Operacional'!$A$1:$P$1103,MATCH("Energia Injetada prevista total Fatura da Usina (TUSD)",'Resumo Operacional'!$B$1:$B$1103,0),MATCH('Detalhe Por UC'!$R353,'Resumo Operacional'!$A$1:$P$1,0))*$S353,INDEX('Resumo Operacional'!$A$1:$P$1103,53,MATCH('Detalhe Por UC'!$R353,'Resumo Operacional'!$A$1:$P$1,0))*$S353)</f>
        <v>218.42000000000002</v>
      </c>
      <c r="AR353" s="71">
        <f t="shared" si="198"/>
        <v>-0.42000000000001592</v>
      </c>
      <c r="AS353" s="73">
        <f t="shared" si="199"/>
        <v>148.68999999999997</v>
      </c>
      <c r="AT353" s="74">
        <f t="shared" si="200"/>
        <v>148.68999999999997</v>
      </c>
      <c r="AU353" s="74">
        <f t="shared" si="201"/>
        <v>1.1217685688405796</v>
      </c>
      <c r="AV353" s="74">
        <f t="shared" si="202"/>
        <v>77.407499999999999</v>
      </c>
      <c r="AW353" s="74">
        <f t="shared" si="203"/>
        <v>0</v>
      </c>
      <c r="AX353" s="74">
        <f t="shared" si="204"/>
        <v>103.21</v>
      </c>
      <c r="AY353" s="74">
        <f t="shared" si="205"/>
        <v>77.41</v>
      </c>
      <c r="AZ353" s="117">
        <v>77.41</v>
      </c>
      <c r="BA353" s="117">
        <v>77.41</v>
      </c>
      <c r="BB353" s="49">
        <v>77.41</v>
      </c>
      <c r="BC353" s="73" t="str">
        <f t="shared" si="206"/>
        <v/>
      </c>
      <c r="BD353" s="73">
        <f t="shared" si="207"/>
        <v>251.89999999999998</v>
      </c>
      <c r="BE353" s="73">
        <f t="shared" si="208"/>
        <v>226.09749999999997</v>
      </c>
      <c r="BF353" s="77">
        <f t="shared" si="209"/>
        <v>25.8</v>
      </c>
      <c r="BG353" s="77">
        <f t="shared" si="210"/>
        <v>7.74</v>
      </c>
      <c r="BH353" s="77">
        <f t="shared" si="211"/>
        <v>103.21</v>
      </c>
      <c r="BI353" s="78">
        <f t="shared" si="212"/>
        <v>0.25</v>
      </c>
      <c r="BJ353" s="79">
        <f t="shared" si="213"/>
        <v>0.10242159587137754</v>
      </c>
      <c r="BK353" s="80">
        <f t="shared" si="214"/>
        <v>226.09999999999997</v>
      </c>
      <c r="BL353" s="80">
        <f t="shared" si="215"/>
        <v>25.800000000000011</v>
      </c>
      <c r="BM353" s="79">
        <f t="shared" si="216"/>
        <v>0.10242159587137759</v>
      </c>
      <c r="BN353" s="81">
        <f t="shared" si="217"/>
        <v>0.84141304347826085</v>
      </c>
      <c r="BO353" s="82">
        <f t="shared" si="218"/>
        <v>77.41</v>
      </c>
      <c r="BP353" s="81">
        <f t="shared" si="219"/>
        <v>0.84141304347826085</v>
      </c>
      <c r="BQ353" s="81">
        <f t="shared" si="220"/>
        <v>0.84149230072463765</v>
      </c>
      <c r="BR353" s="81">
        <f t="shared" si="221"/>
        <v>1.1219270833333332</v>
      </c>
      <c r="BS353" s="82">
        <f t="shared" si="222"/>
        <v>92</v>
      </c>
      <c r="BT353" s="82">
        <f t="shared" si="223"/>
        <v>103.21729166666665</v>
      </c>
      <c r="BU353" s="82">
        <f t="shared" si="224"/>
        <v>103.21</v>
      </c>
      <c r="BW353" s="82">
        <f>IFERROR(INDEX('Infos Clientes'!$T:$T,MATCH('Detalhe Por UC'!$C353,'Infos Clientes'!B:B,0)),"")</f>
        <v>335.75</v>
      </c>
      <c r="BX353" s="83">
        <f t="shared" si="225"/>
        <v>0</v>
      </c>
      <c r="BY353" s="84">
        <f t="shared" si="226"/>
        <v>0.2499581182900959</v>
      </c>
      <c r="BZ353" s="85">
        <f>IF(_xlfn.MINIFS('Detalhe Por UC'!R:R,'Detalhe Por UC'!C:C,C353,'Detalhe Por UC'!AD:AD,"&gt;"&amp;0)=0,"",_xlfn.MINIFS('Detalhe Por UC'!R:R,'Detalhe Por UC'!C:C,C353,'Detalhe Por UC'!AD:AD,"&gt;"&amp;0))</f>
        <v>45627</v>
      </c>
      <c r="CA353" s="114">
        <f ca="1">IF(OR(S353&gt;0,AD353&gt;0),IFERROR(
SUMIFS(INDIRECT("'Infos Clientes'!$W"&amp;INDEX('Infos Clientes'!$C:$C,MATCH(C353,'Infos Clientes'!$H:$H,0))&amp;":$CZ"&amp;INDEX('Infos Clientes'!$C:$C,MATCH(C353,'Infos Clientes'!$H:$H,0))),'Infos Clientes'!$W$2:$CZ$2,"&gt;"&amp;$R353-365,'Infos Clientes'!$W$2:$CZ$2,"&lt;="&amp;$R353)/
COUNTIFS(INDIRECT("'Infos Clientes'!$W"&amp;INDEX('Infos Clientes'!$C:$C,MATCH(C353,'Infos Clientes'!$H:$H,0))&amp;":$CZ"&amp;INDEX('Infos Clientes'!$C:$C,MATCH(C353,'Infos Clientes'!$H:$H,0))),"&gt;="&amp;0,'Infos Clientes'!$W$2:$CZ$2,"&gt;"&amp;$R353-365,'Infos Clientes'!$W$2:$CZ$2,"&lt;="&amp;$R353),""),"")</f>
        <v>342.16666666666669</v>
      </c>
      <c r="CB353" s="87">
        <f>VLOOKUP(C353,'Infos Clientes'!B:L,11,0)</f>
        <v>0</v>
      </c>
      <c r="CC353" s="88" t="str">
        <f t="shared" si="227"/>
        <v>A Unidade Consumidora 10/276283-9 economizou R$25,8 na fatura referente à abr/2025  consumindo 92 kWh em créditos de energia renovável conforme fatura de energia. A economia foi de 25% em relação ao que seria pago para a Energisa considerando os créditos consumidos. Atenção: Mantenha as contas da Energisa em dia para evitar cortes.</v>
      </c>
      <c r="CD353" s="40" t="s">
        <v>90</v>
      </c>
      <c r="CE353" s="18">
        <v>148.69</v>
      </c>
      <c r="CF353" s="115">
        <f t="shared" si="228"/>
        <v>0</v>
      </c>
    </row>
    <row r="354" spans="1:84" ht="16.2" hidden="1" customHeight="1" x14ac:dyDescent="0.3">
      <c r="A354" s="105" t="str">
        <f>INDEX('Infos Clientes'!$D:$D,MATCH('Detalhe Por UC'!C354,'Infos Clientes'!B:B,0))</f>
        <v>IGREJA DO EVANGELHO QUADRANGULAR</v>
      </c>
      <c r="B354" s="106" t="str">
        <f>INDEX('Infos Clientes'!$F:$F,MATCH('Detalhe Por UC'!C354,'Infos Clientes'!B:B,0))</f>
        <v>62.955.505/3593-60</v>
      </c>
      <c r="C354" s="44" t="s">
        <v>123</v>
      </c>
      <c r="D354" t="s">
        <v>351</v>
      </c>
      <c r="E354" s="1" t="s">
        <v>352</v>
      </c>
      <c r="F354" s="56" t="str">
        <f>INDEX('Infos Clientes'!$I:$I,MATCH('Detalhe Por UC'!C354,'Infos Clientes'!B:B,0))</f>
        <v>BT</v>
      </c>
      <c r="G354" s="56" t="str">
        <f>INDEX('Infos Clientes'!$J:$J,MATCH('Detalhe Por UC'!C354,'Infos Clientes'!B:B,0))</f>
        <v>trifasico</v>
      </c>
      <c r="H354" s="108" t="s">
        <v>24</v>
      </c>
      <c r="I354" s="58">
        <f>IFERROR(VLOOKUP(C354,'Infos Clientes'!B:E,4,),"")</f>
        <v>351</v>
      </c>
      <c r="J354" s="109">
        <v>0.25</v>
      </c>
      <c r="K354" s="59">
        <f>INDEX('Infos Clientes'!$M:$M,MATCH('Detalhe Por UC'!C354,'Infos Clientes'!B:B,0))</f>
        <v>0.25</v>
      </c>
      <c r="L354" s="125">
        <v>0</v>
      </c>
      <c r="M354" s="56">
        <f>INDEX('Infos Clientes'!$N:$N,MATCH('Detalhe Por UC'!C354,'Infos Clientes'!B:B,0))</f>
        <v>0</v>
      </c>
      <c r="N354" s="56">
        <f t="shared" si="192"/>
        <v>0</v>
      </c>
      <c r="O354" s="56">
        <f t="shared" si="193"/>
        <v>12</v>
      </c>
      <c r="P354" s="56">
        <f t="shared" si="194"/>
        <v>0</v>
      </c>
      <c r="Q354" s="61">
        <f>IFERROR(IFERROR(INDEX('Infos Clientes'!$A$2:$V$9884,MATCH($C354,'Infos Clientes'!$B$2:$B$9884,0),MATCH(Q$8,'Infos Clientes'!$A$2:$V$2,0)),"")
+IF(OR(INDEX('Infos Clientes'!$A$2:$V$9884,MATCH($C354,'Infos Clientes'!$B$2:$B$9884,0),MATCH("Tempo de Fidelidade (meses)",'Infos Clientes'!$A$2:$V$2,0))=0,R354&gt;=MAX(R:R)),0,
ROUND((MAX(R:R)-R354)/(365/12),0)),"")</f>
        <v>0</v>
      </c>
      <c r="R354" s="111">
        <v>45748</v>
      </c>
      <c r="S354" s="17">
        <v>0.04</v>
      </c>
      <c r="T354" s="113">
        <f>IF($H354="GIROSSOL II",AP354/INDEX('Resumo Operacional'!$A$1:$P$1103,17,MATCH('Detalhe Por UC'!$R354,'Resumo Operacional'!$A$1:$P$1,0)),
IF($H354="GIROSSOL II e III",AP354/INDEX('Resumo Operacional'!$A$1:$P$1103,17,MATCH('Detalhe Por UC'!$R354,'Resumo Operacional'!$A$1:$P$1,0)),
""))</f>
        <v>3.9923083966669722E-2</v>
      </c>
      <c r="U354" s="113" t="str">
        <f>IF($H354="GIROSSOL III",AP354/INDEX('Resumo Operacional'!$A$1:$P$1103,53,MATCH('Detalhe Por UC'!$R354,'Resumo Operacional'!$A$1:$P$1,0)),
IF($H354="GIROSSOL II e III",AP354/INDEX('Resumo Operacional'!$A$1:$P$1103,53,MATCH('Detalhe Por UC'!$R354,'Resumo Operacional'!$A$1:$P$1,0)),
""))</f>
        <v/>
      </c>
      <c r="V354" s="45"/>
      <c r="W354" s="18"/>
      <c r="X354" s="18">
        <v>1.1219270833333332</v>
      </c>
      <c r="Y354" s="18"/>
      <c r="Z354" s="18">
        <v>1.1219366197183098</v>
      </c>
      <c r="AA354" s="18"/>
      <c r="AB354" s="18">
        <v>384</v>
      </c>
      <c r="AC354" s="18"/>
      <c r="AD354" s="18">
        <v>284</v>
      </c>
      <c r="AE354" s="35"/>
      <c r="AF354" s="18">
        <v>1287</v>
      </c>
      <c r="AG354" s="18">
        <v>0</v>
      </c>
      <c r="AH354" s="18">
        <v>72.070000000000007</v>
      </c>
      <c r="AI354" s="18">
        <v>0</v>
      </c>
      <c r="AJ354" s="18">
        <v>0</v>
      </c>
      <c r="AN354" s="71">
        <f t="shared" si="195"/>
        <v>152</v>
      </c>
      <c r="AO354" s="71">
        <f t="shared" si="196"/>
        <v>0</v>
      </c>
      <c r="AP354" s="71">
        <f t="shared" si="197"/>
        <v>436</v>
      </c>
      <c r="AQ354" s="72">
        <f>IF(OR($H354="GIROSSOL II",$H354="GIROSSOL II e III"),INDEX('Resumo Operacional'!$A$1:$P$1103,MATCH("Energia Injetada prevista total Fatura da Usina (TUSD)",'Resumo Operacional'!$B$1:$B$1103,0),MATCH('Detalhe Por UC'!$R354,'Resumo Operacional'!$A$1:$P$1,0))*$S354,INDEX('Resumo Operacional'!$A$1:$P$1103,53,MATCH('Detalhe Por UC'!$R354,'Resumo Operacional'!$A$1:$P$1,0))*$S354)</f>
        <v>436.84000000000003</v>
      </c>
      <c r="AR354" s="71">
        <f t="shared" si="198"/>
        <v>-0.84000000000003183</v>
      </c>
      <c r="AS354" s="73">
        <f t="shared" si="199"/>
        <v>184.25999999999993</v>
      </c>
      <c r="AT354" s="74">
        <f t="shared" si="200"/>
        <v>184.25999999999993</v>
      </c>
      <c r="AU354" s="74">
        <f t="shared" si="201"/>
        <v>1.1219461561032864</v>
      </c>
      <c r="AV354" s="74">
        <f t="shared" si="202"/>
        <v>238.9725</v>
      </c>
      <c r="AW354" s="74">
        <f t="shared" si="203"/>
        <v>0</v>
      </c>
      <c r="AX354" s="74">
        <f t="shared" si="204"/>
        <v>318.63</v>
      </c>
      <c r="AY354" s="74">
        <f t="shared" si="205"/>
        <v>238.97</v>
      </c>
      <c r="AZ354" s="117">
        <v>238.97</v>
      </c>
      <c r="BA354" s="117">
        <v>238.97</v>
      </c>
      <c r="BB354" s="49">
        <v>318.63</v>
      </c>
      <c r="BC354" s="73">
        <f t="shared" si="206"/>
        <v>79.66</v>
      </c>
      <c r="BD354" s="73">
        <f t="shared" si="207"/>
        <v>502.88999999999993</v>
      </c>
      <c r="BE354" s="73">
        <f t="shared" si="208"/>
        <v>423.23249999999996</v>
      </c>
      <c r="BF354" s="77">
        <f t="shared" si="209"/>
        <v>79.66</v>
      </c>
      <c r="BG354" s="77">
        <f t="shared" si="210"/>
        <v>23.898</v>
      </c>
      <c r="BH354" s="77">
        <f t="shared" si="211"/>
        <v>318.63</v>
      </c>
      <c r="BI354" s="78">
        <f t="shared" si="212"/>
        <v>0.25</v>
      </c>
      <c r="BJ354" s="79">
        <f t="shared" si="213"/>
        <v>0.1584044224383066</v>
      </c>
      <c r="BK354" s="80">
        <f t="shared" si="214"/>
        <v>423.2299999999999</v>
      </c>
      <c r="BL354" s="80">
        <f t="shared" si="215"/>
        <v>79.660000000000025</v>
      </c>
      <c r="BM354" s="79">
        <f t="shared" si="216"/>
        <v>0.15840442243830666</v>
      </c>
      <c r="BN354" s="81">
        <f t="shared" si="217"/>
        <v>0.84144366197183096</v>
      </c>
      <c r="BO354" s="82">
        <f t="shared" si="218"/>
        <v>238.97</v>
      </c>
      <c r="BP354" s="81">
        <f t="shared" si="219"/>
        <v>0.84144366197183096</v>
      </c>
      <c r="BQ354" s="81">
        <f t="shared" si="220"/>
        <v>0.84143412558685438</v>
      </c>
      <c r="BR354" s="81">
        <f t="shared" si="221"/>
        <v>1.1219270833333332</v>
      </c>
      <c r="BS354" s="82">
        <f t="shared" si="222"/>
        <v>284</v>
      </c>
      <c r="BT354" s="82">
        <f t="shared" si="223"/>
        <v>318.62729166666662</v>
      </c>
      <c r="BU354" s="82">
        <f t="shared" si="224"/>
        <v>318.63</v>
      </c>
      <c r="BW354" s="82">
        <f>IFERROR(INDEX('Infos Clientes'!$T:$T,MATCH('Detalhe Por UC'!$C354,'Infos Clientes'!B:B,0)),"")</f>
        <v>409.33333333333331</v>
      </c>
      <c r="BX354" s="83">
        <f t="shared" si="225"/>
        <v>0</v>
      </c>
      <c r="BY354" s="84">
        <f t="shared" si="226"/>
        <v>0.25000997115883172</v>
      </c>
      <c r="BZ354" s="85">
        <f>IF(_xlfn.MINIFS('Detalhe Por UC'!R:R,'Detalhe Por UC'!C:C,C354,'Detalhe Por UC'!AD:AD,"&gt;"&amp;0)=0,"",_xlfn.MINIFS('Detalhe Por UC'!R:R,'Detalhe Por UC'!C:C,C354,'Detalhe Por UC'!AD:AD,"&gt;"&amp;0))</f>
        <v>45627</v>
      </c>
      <c r="CA354" s="114">
        <f ca="1">IF(OR(S354&gt;0,AD354&gt;0),IFERROR(
SUMIFS(INDIRECT("'Infos Clientes'!$W"&amp;INDEX('Infos Clientes'!$C:$C,MATCH(C354,'Infos Clientes'!$H:$H,0))&amp;":$CZ"&amp;INDEX('Infos Clientes'!$C:$C,MATCH(C354,'Infos Clientes'!$H:$H,0))),'Infos Clientes'!$W$2:$CZ$2,"&gt;"&amp;$R354-365,'Infos Clientes'!$W$2:$CZ$2,"&lt;="&amp;$R354)/
COUNTIFS(INDIRECT("'Infos Clientes'!$W"&amp;INDEX('Infos Clientes'!$C:$C,MATCH(C354,'Infos Clientes'!$H:$H,0))&amp;":$CZ"&amp;INDEX('Infos Clientes'!$C:$C,MATCH(C354,'Infos Clientes'!$H:$H,0))),"&gt;="&amp;0,'Infos Clientes'!$W$2:$CZ$2,"&gt;"&amp;$R354-365,'Infos Clientes'!$W$2:$CZ$2,"&lt;="&amp;$R354),""),"")</f>
        <v>405.16666666666669</v>
      </c>
      <c r="CB354" s="87">
        <f>VLOOKUP(C354,'Infos Clientes'!B:L,11,0)</f>
        <v>0</v>
      </c>
      <c r="CC354" s="88" t="str">
        <f t="shared" si="227"/>
        <v>A Unidade Consumidora 10/532723-4 economizou R$79,66 na fatura referente à abr/2025  consumindo 284 kWh em créditos de energia renovável conforme fatura de energia. A economia foi de 25% em relação ao que seria pago para a Energisa considerando os créditos consumidos. Atenção: Mantenha as contas da Energisa em dia para evitar cortes.</v>
      </c>
      <c r="CD354" s="40" t="s">
        <v>125</v>
      </c>
      <c r="CE354" s="18">
        <v>184.26</v>
      </c>
      <c r="CF354" s="115">
        <f t="shared" si="228"/>
        <v>0</v>
      </c>
    </row>
    <row r="355" spans="1:84" ht="16.2" hidden="1" customHeight="1" x14ac:dyDescent="0.3">
      <c r="A355" s="105" t="str">
        <f>INDEX('Infos Clientes'!$D:$D,MATCH('Detalhe Por UC'!C355,'Infos Clientes'!B:B,0))</f>
        <v>IGREJA DO EVANGELHO QUADRANGULAR</v>
      </c>
      <c r="B355" s="106" t="str">
        <f>INDEX('Infos Clientes'!$F:$F,MATCH('Detalhe Por UC'!C355,'Infos Clientes'!B:B,0))</f>
        <v>62.955.505/1822-57</v>
      </c>
      <c r="C355" s="44" t="s">
        <v>25</v>
      </c>
      <c r="D355" t="s">
        <v>351</v>
      </c>
      <c r="E355" s="1" t="s">
        <v>352</v>
      </c>
      <c r="F355" s="56" t="str">
        <f>INDEX('Infos Clientes'!$I:$I,MATCH('Detalhe Por UC'!C355,'Infos Clientes'!B:B,0))</f>
        <v>BT</v>
      </c>
      <c r="G355" s="56" t="str">
        <f>INDEX('Infos Clientes'!$J:$J,MATCH('Detalhe Por UC'!C355,'Infos Clientes'!B:B,0))</f>
        <v>trifasico</v>
      </c>
      <c r="H355" s="108" t="s">
        <v>24</v>
      </c>
      <c r="I355" s="58">
        <f>IFERROR(VLOOKUP(C355,'Infos Clientes'!B:E,4,),"")</f>
        <v>319</v>
      </c>
      <c r="J355" s="109">
        <v>0.25</v>
      </c>
      <c r="K355" s="59">
        <f>INDEX('Infos Clientes'!$M:$M,MATCH('Detalhe Por UC'!C355,'Infos Clientes'!B:B,0))</f>
        <v>0.25</v>
      </c>
      <c r="L355" s="125">
        <v>0</v>
      </c>
      <c r="M355" s="56">
        <f>INDEX('Infos Clientes'!$N:$N,MATCH('Detalhe Por UC'!C355,'Infos Clientes'!B:B,0))</f>
        <v>0</v>
      </c>
      <c r="N355" s="56">
        <f t="shared" si="192"/>
        <v>0</v>
      </c>
      <c r="O355" s="56">
        <f t="shared" si="193"/>
        <v>12</v>
      </c>
      <c r="P355" s="56">
        <f t="shared" si="194"/>
        <v>0</v>
      </c>
      <c r="Q355" s="61">
        <f>IFERROR(IFERROR(INDEX('Infos Clientes'!$A$2:$V$9884,MATCH($C355,'Infos Clientes'!$B$2:$B$9884,0),MATCH(Q$8,'Infos Clientes'!$A$2:$V$2,0)),"")
+IF(OR(INDEX('Infos Clientes'!$A$2:$V$9884,MATCH($C355,'Infos Clientes'!$B$2:$B$9884,0),MATCH("Tempo de Fidelidade (meses)",'Infos Clientes'!$A$2:$V$2,0))=0,R355&gt;=MAX(R:R)),0,
ROUND((MAX(R:R)-R355)/(365/12),0)),"")</f>
        <v>0</v>
      </c>
      <c r="R355" s="111">
        <v>45748</v>
      </c>
      <c r="S355" s="17">
        <v>0.06</v>
      </c>
      <c r="T355" s="113">
        <f>IF($H355="GIROSSOL II",AP355/INDEX('Resumo Operacional'!$A$1:$P$1103,17,MATCH('Detalhe Por UC'!$R355,'Resumo Operacional'!$A$1:$P$1,0)),
IF($H355="GIROSSOL II e III",AP355/INDEX('Resumo Operacional'!$A$1:$P$1103,17,MATCH('Detalhe Por UC'!$R355,'Resumo Operacional'!$A$1:$P$1,0)),
""))</f>
        <v>5.9976192656350152E-2</v>
      </c>
      <c r="U355" s="113" t="str">
        <f>IF($H355="GIROSSOL III",AP355/INDEX('Resumo Operacional'!$A$1:$P$1103,53,MATCH('Detalhe Por UC'!$R355,'Resumo Operacional'!$A$1:$P$1,0)),
IF($H355="GIROSSOL II e III",AP355/INDEX('Resumo Operacional'!$A$1:$P$1103,53,MATCH('Detalhe Por UC'!$R355,'Resumo Operacional'!$A$1:$P$1,0)),
""))</f>
        <v/>
      </c>
      <c r="V355" s="45"/>
      <c r="W355" s="18"/>
      <c r="X355" s="18">
        <v>1.1215384615384616</v>
      </c>
      <c r="Y355" s="18"/>
      <c r="Z355" s="18">
        <v>1.1215546218487396</v>
      </c>
      <c r="AA355" s="18"/>
      <c r="AB355" s="18">
        <v>338</v>
      </c>
      <c r="AC355" s="18"/>
      <c r="AD355" s="18">
        <v>238</v>
      </c>
      <c r="AE355" s="35"/>
      <c r="AF355" s="18">
        <v>2166</v>
      </c>
      <c r="AG355" s="18">
        <v>0</v>
      </c>
      <c r="AH355" s="18">
        <v>69.73</v>
      </c>
      <c r="AI355" s="18">
        <v>0</v>
      </c>
      <c r="AJ355" s="18">
        <v>0</v>
      </c>
      <c r="AN355" s="71">
        <f t="shared" si="195"/>
        <v>417</v>
      </c>
      <c r="AO355" s="71">
        <f t="shared" si="196"/>
        <v>0</v>
      </c>
      <c r="AP355" s="71">
        <f t="shared" si="197"/>
        <v>655</v>
      </c>
      <c r="AQ355" s="72">
        <f>IF(OR($H355="GIROSSOL II",$H355="GIROSSOL II e III"),INDEX('Resumo Operacional'!$A$1:$P$1103,MATCH("Energia Injetada prevista total Fatura da Usina (TUSD)",'Resumo Operacional'!$B$1:$B$1103,0),MATCH('Detalhe Por UC'!$R355,'Resumo Operacional'!$A$1:$P$1,0))*$S355,INDEX('Resumo Operacional'!$A$1:$P$1103,53,MATCH('Detalhe Por UC'!$R355,'Resumo Operacional'!$A$1:$P$1,0))*$S355)</f>
        <v>655.26</v>
      </c>
      <c r="AR355" s="71">
        <f t="shared" si="198"/>
        <v>-0.25999999999999091</v>
      </c>
      <c r="AS355" s="73">
        <f t="shared" si="199"/>
        <v>181.88000000000005</v>
      </c>
      <c r="AT355" s="74">
        <f t="shared" si="200"/>
        <v>181.88000000000005</v>
      </c>
      <c r="AU355" s="74">
        <f t="shared" si="201"/>
        <v>1.1215707821590175</v>
      </c>
      <c r="AV355" s="74">
        <f t="shared" si="202"/>
        <v>200.19750000000002</v>
      </c>
      <c r="AW355" s="74">
        <f t="shared" si="203"/>
        <v>0</v>
      </c>
      <c r="AX355" s="74">
        <f t="shared" si="204"/>
        <v>266.93</v>
      </c>
      <c r="AY355" s="74">
        <f t="shared" si="205"/>
        <v>200.2</v>
      </c>
      <c r="AZ355" s="117">
        <v>200.2</v>
      </c>
      <c r="BA355" s="117">
        <v>200.2</v>
      </c>
      <c r="BB355" s="49">
        <v>200.2</v>
      </c>
      <c r="BC355" s="73" t="str">
        <f t="shared" si="206"/>
        <v/>
      </c>
      <c r="BD355" s="73">
        <f t="shared" si="207"/>
        <v>448.81000000000006</v>
      </c>
      <c r="BE355" s="73">
        <f t="shared" si="208"/>
        <v>382.0775000000001</v>
      </c>
      <c r="BF355" s="77">
        <f t="shared" si="209"/>
        <v>66.73</v>
      </c>
      <c r="BG355" s="77">
        <f t="shared" si="210"/>
        <v>20.019000000000002</v>
      </c>
      <c r="BH355" s="77">
        <f t="shared" si="211"/>
        <v>266.93</v>
      </c>
      <c r="BI355" s="78">
        <f t="shared" si="212"/>
        <v>0.25</v>
      </c>
      <c r="BJ355" s="79">
        <f t="shared" si="213"/>
        <v>0.14868207036385106</v>
      </c>
      <c r="BK355" s="80">
        <f t="shared" si="214"/>
        <v>382.08000000000004</v>
      </c>
      <c r="BL355" s="80">
        <f t="shared" si="215"/>
        <v>66.730000000000018</v>
      </c>
      <c r="BM355" s="79">
        <f t="shared" si="216"/>
        <v>0.14868207036385109</v>
      </c>
      <c r="BN355" s="81">
        <f t="shared" si="217"/>
        <v>0.84117647058823519</v>
      </c>
      <c r="BO355" s="82">
        <f t="shared" si="218"/>
        <v>200.2</v>
      </c>
      <c r="BP355" s="81">
        <f t="shared" si="219"/>
        <v>0.84117647058823519</v>
      </c>
      <c r="BQ355" s="81">
        <f t="shared" si="220"/>
        <v>0.84116031027795723</v>
      </c>
      <c r="BR355" s="81">
        <f t="shared" si="221"/>
        <v>1.1215384615384616</v>
      </c>
      <c r="BS355" s="82">
        <f t="shared" si="222"/>
        <v>238</v>
      </c>
      <c r="BT355" s="82">
        <f t="shared" si="223"/>
        <v>266.92615384615385</v>
      </c>
      <c r="BU355" s="82">
        <f t="shared" si="224"/>
        <v>266.93</v>
      </c>
      <c r="BW355" s="82">
        <f>IFERROR(INDEX('Infos Clientes'!$T:$T,MATCH('Detalhe Por UC'!$C355,'Infos Clientes'!B:B,0)),"")</f>
        <v>453.58333333333331</v>
      </c>
      <c r="BX355" s="83">
        <f t="shared" si="225"/>
        <v>0</v>
      </c>
      <c r="BY355" s="84">
        <f t="shared" si="226"/>
        <v>0.24999423637767879</v>
      </c>
      <c r="BZ355" s="85">
        <f>IF(_xlfn.MINIFS('Detalhe Por UC'!R:R,'Detalhe Por UC'!C:C,C355,'Detalhe Por UC'!AD:AD,"&gt;"&amp;0)=0,"",_xlfn.MINIFS('Detalhe Por UC'!R:R,'Detalhe Por UC'!C:C,C355,'Detalhe Por UC'!AD:AD,"&gt;"&amp;0))</f>
        <v>45627</v>
      </c>
      <c r="CA355" s="114">
        <f ca="1">IF(OR(S355&gt;0,AD355&gt;0),IFERROR(
SUMIFS(INDIRECT("'Infos Clientes'!$W"&amp;INDEX('Infos Clientes'!$C:$C,MATCH(C355,'Infos Clientes'!$H:$H,0))&amp;":$CZ"&amp;INDEX('Infos Clientes'!$C:$C,MATCH(C355,'Infos Clientes'!$H:$H,0))),'Infos Clientes'!$W$2:$CZ$2,"&gt;"&amp;$R355-365,'Infos Clientes'!$W$2:$CZ$2,"&lt;="&amp;$R355)/
COUNTIFS(INDIRECT("'Infos Clientes'!$W"&amp;INDEX('Infos Clientes'!$C:$C,MATCH(C355,'Infos Clientes'!$H:$H,0))&amp;":$CZ"&amp;INDEX('Infos Clientes'!$C:$C,MATCH(C355,'Infos Clientes'!$H:$H,0))),"&gt;="&amp;0,'Infos Clientes'!$W$2:$CZ$2,"&gt;"&amp;$R355-365,'Infos Clientes'!$W$2:$CZ$2,"&lt;="&amp;$R355),""),"")</f>
        <v>419.5</v>
      </c>
      <c r="CB355" s="87">
        <f>VLOOKUP(C355,'Infos Clientes'!B:L,11,0)</f>
        <v>0</v>
      </c>
      <c r="CC355" s="88" t="str">
        <f t="shared" si="227"/>
        <v>A Unidade Consumidora 10/1035655-8 economizou R$66,73 na fatura referente à abr/2025  consumindo 238 kWh em créditos de energia renovável conforme fatura de energia. A economia foi de 25% em relação ao que seria pago para a Energisa considerando os créditos consumidos. Atenção: Mantenha as contas da Energisa em dia para evitar cortes.</v>
      </c>
      <c r="CD355" s="40" t="s">
        <v>27</v>
      </c>
      <c r="CE355" s="18">
        <v>181.88</v>
      </c>
      <c r="CF355" s="115">
        <f t="shared" si="228"/>
        <v>0</v>
      </c>
    </row>
    <row r="356" spans="1:84" ht="16.2" hidden="1" customHeight="1" x14ac:dyDescent="0.3">
      <c r="A356" s="105" t="str">
        <f>INDEX('Infos Clientes'!$D:$D,MATCH('Detalhe Por UC'!C356,'Infos Clientes'!B:B,0))</f>
        <v>IGREJA DO EVANGELHO QUADRANGULAR</v>
      </c>
      <c r="B356" s="106" t="str">
        <f>INDEX('Infos Clientes'!$F:$F,MATCH('Detalhe Por UC'!C356,'Infos Clientes'!B:B,0))</f>
        <v>62.955.505/1935-34</v>
      </c>
      <c r="C356" s="44" t="s">
        <v>120</v>
      </c>
      <c r="D356" t="s">
        <v>351</v>
      </c>
      <c r="E356" s="1" t="s">
        <v>352</v>
      </c>
      <c r="F356" s="56" t="str">
        <f>INDEX('Infos Clientes'!$I:$I,MATCH('Detalhe Por UC'!C356,'Infos Clientes'!B:B,0))</f>
        <v>BT</v>
      </c>
      <c r="G356" s="56" t="str">
        <f>INDEX('Infos Clientes'!$J:$J,MATCH('Detalhe Por UC'!C356,'Infos Clientes'!B:B,0))</f>
        <v>trifasico</v>
      </c>
      <c r="H356" s="108" t="s">
        <v>24</v>
      </c>
      <c r="I356" s="58">
        <f>IFERROR(VLOOKUP(C356,'Infos Clientes'!B:E,4,),"")</f>
        <v>994</v>
      </c>
      <c r="J356" s="109">
        <v>0.25</v>
      </c>
      <c r="K356" s="59">
        <f>INDEX('Infos Clientes'!$M:$M,MATCH('Detalhe Por UC'!C356,'Infos Clientes'!B:B,0))</f>
        <v>0.25</v>
      </c>
      <c r="L356" s="125">
        <v>0</v>
      </c>
      <c r="M356" s="56">
        <f>INDEX('Infos Clientes'!$N:$N,MATCH('Detalhe Por UC'!C356,'Infos Clientes'!B:B,0))</f>
        <v>0</v>
      </c>
      <c r="N356" s="56">
        <f t="shared" si="192"/>
        <v>0</v>
      </c>
      <c r="O356" s="56">
        <f t="shared" si="193"/>
        <v>12</v>
      </c>
      <c r="P356" s="56">
        <f t="shared" si="194"/>
        <v>0</v>
      </c>
      <c r="Q356" s="61">
        <f>IFERROR(IFERROR(INDEX('Infos Clientes'!$A$2:$V$9884,MATCH($C356,'Infos Clientes'!$B$2:$B$9884,0),MATCH(Q$8,'Infos Clientes'!$A$2:$V$2,0)),"")
+IF(OR(INDEX('Infos Clientes'!$A$2:$V$9884,MATCH($C356,'Infos Clientes'!$B$2:$B$9884,0),MATCH("Tempo de Fidelidade (meses)",'Infos Clientes'!$A$2:$V$2,0))=0,R356&gt;=MAX(R:R)),0,
ROUND((MAX(R:R)-R356)/(365/12),0)),"")</f>
        <v>0</v>
      </c>
      <c r="R356" s="111">
        <v>45748</v>
      </c>
      <c r="S356" s="17">
        <v>0.01</v>
      </c>
      <c r="T356" s="113">
        <f>IF($H356="GIROSSOL II",AP356/INDEX('Resumo Operacional'!$A$1:$P$1103,17,MATCH('Detalhe Por UC'!$R356,'Resumo Operacional'!$A$1:$P$1,0)),
IF($H356="GIROSSOL II e III",AP356/INDEX('Resumo Operacional'!$A$1:$P$1103,17,MATCH('Detalhe Por UC'!$R356,'Resumo Operacional'!$A$1:$P$1,0)),
""))</f>
        <v>1.0988004761468729E-2</v>
      </c>
      <c r="U356" s="113" t="str">
        <f>IF($H356="GIROSSOL III",AP356/INDEX('Resumo Operacional'!$A$1:$P$1103,53,MATCH('Detalhe Por UC'!$R356,'Resumo Operacional'!$A$1:$P$1,0)),
IF($H356="GIROSSOL II e III",AP356/INDEX('Resumo Operacional'!$A$1:$P$1103,53,MATCH('Detalhe Por UC'!$R356,'Resumo Operacional'!$A$1:$P$1,0)),
""))</f>
        <v/>
      </c>
      <c r="V356" s="45"/>
      <c r="W356" s="18"/>
      <c r="X356" s="18">
        <v>1.1168713450292398</v>
      </c>
      <c r="Y356" s="18"/>
      <c r="Z356" s="18">
        <v>1.1034375000000001</v>
      </c>
      <c r="AA356" s="18"/>
      <c r="AB356" s="18">
        <v>342</v>
      </c>
      <c r="AC356" s="18"/>
      <c r="AD356" s="18">
        <v>160</v>
      </c>
      <c r="AE356" s="35"/>
      <c r="AF356" s="18">
        <v>0</v>
      </c>
      <c r="AG356" s="18">
        <v>0</v>
      </c>
      <c r="AH356" s="18">
        <v>71.790000000000006</v>
      </c>
      <c r="AI356" s="18">
        <v>0</v>
      </c>
      <c r="AJ356" s="18">
        <v>0</v>
      </c>
      <c r="AN356" s="71">
        <f t="shared" si="195"/>
        <v>-40</v>
      </c>
      <c r="AO356" s="71">
        <f t="shared" si="196"/>
        <v>0</v>
      </c>
      <c r="AP356" s="71">
        <f t="shared" si="197"/>
        <v>120</v>
      </c>
      <c r="AQ356" s="72">
        <f>IF(OR($H356="GIROSSOL II",$H356="GIROSSOL II e III"),INDEX('Resumo Operacional'!$A$1:$P$1103,MATCH("Energia Injetada prevista total Fatura da Usina (TUSD)",'Resumo Operacional'!$B$1:$B$1103,0),MATCH('Detalhe Por UC'!$R356,'Resumo Operacional'!$A$1:$P$1,0))*$S356,INDEX('Resumo Operacional'!$A$1:$P$1103,53,MATCH('Detalhe Por UC'!$R356,'Resumo Operacional'!$A$1:$P$1,0))*$S356)</f>
        <v>109.21000000000001</v>
      </c>
      <c r="AR356" s="71">
        <f t="shared" si="198"/>
        <v>10.789999999999992</v>
      </c>
      <c r="AS356" s="73">
        <f t="shared" si="199"/>
        <v>277.21000000000004</v>
      </c>
      <c r="AT356" s="74">
        <f t="shared" si="200"/>
        <v>277.21000000000004</v>
      </c>
      <c r="AU356" s="74">
        <f t="shared" si="201"/>
        <v>1.0900036549707603</v>
      </c>
      <c r="AV356" s="74">
        <f t="shared" si="202"/>
        <v>132.41250000000002</v>
      </c>
      <c r="AW356" s="74">
        <f t="shared" si="203"/>
        <v>0</v>
      </c>
      <c r="AX356" s="74">
        <f t="shared" si="204"/>
        <v>176.55</v>
      </c>
      <c r="AY356" s="74">
        <f t="shared" si="205"/>
        <v>132.41</v>
      </c>
      <c r="AZ356" s="117">
        <v>132.41</v>
      </c>
      <c r="BA356" s="117">
        <v>132.41</v>
      </c>
      <c r="BB356" s="49">
        <v>176.55</v>
      </c>
      <c r="BC356" s="73">
        <f t="shared" si="206"/>
        <v>44.140000000000015</v>
      </c>
      <c r="BD356" s="73">
        <f t="shared" si="207"/>
        <v>453.76000000000005</v>
      </c>
      <c r="BE356" s="73">
        <f t="shared" si="208"/>
        <v>409.62250000000006</v>
      </c>
      <c r="BF356" s="77">
        <f t="shared" si="209"/>
        <v>44.14</v>
      </c>
      <c r="BG356" s="77">
        <f t="shared" si="210"/>
        <v>13.241999999999999</v>
      </c>
      <c r="BH356" s="77">
        <f t="shared" si="211"/>
        <v>176.55</v>
      </c>
      <c r="BI356" s="78">
        <f t="shared" si="212"/>
        <v>0.25</v>
      </c>
      <c r="BJ356" s="79">
        <f t="shared" si="213"/>
        <v>9.727609308885754E-2</v>
      </c>
      <c r="BK356" s="80">
        <f t="shared" si="214"/>
        <v>409.62</v>
      </c>
      <c r="BL356" s="80">
        <f t="shared" si="215"/>
        <v>44.140000000000043</v>
      </c>
      <c r="BM356" s="79">
        <f t="shared" si="216"/>
        <v>9.7276093088857638E-2</v>
      </c>
      <c r="BN356" s="81">
        <f t="shared" si="217"/>
        <v>0.82756249999999998</v>
      </c>
      <c r="BO356" s="82">
        <f t="shared" si="218"/>
        <v>132.41</v>
      </c>
      <c r="BP356" s="81">
        <f t="shared" si="219"/>
        <v>0.82756249999999998</v>
      </c>
      <c r="BQ356" s="81">
        <f t="shared" si="220"/>
        <v>0.8409963450292397</v>
      </c>
      <c r="BR356" s="81">
        <f t="shared" si="221"/>
        <v>1.1168713450292398</v>
      </c>
      <c r="BS356" s="82">
        <f t="shared" si="222"/>
        <v>160</v>
      </c>
      <c r="BT356" s="82">
        <f t="shared" si="223"/>
        <v>178.69941520467836</v>
      </c>
      <c r="BU356" s="82">
        <f t="shared" si="224"/>
        <v>176.55</v>
      </c>
      <c r="BW356" s="82">
        <f>IFERROR(INDEX('Infos Clientes'!$T:$T,MATCH('Detalhe Por UC'!$C356,'Infos Clientes'!B:B,0)),"")</f>
        <v>350.91666666666669</v>
      </c>
      <c r="BX356" s="83">
        <f t="shared" si="225"/>
        <v>0</v>
      </c>
      <c r="BY356" s="84">
        <f t="shared" si="226"/>
        <v>0.24700696389768836</v>
      </c>
      <c r="BZ356" s="85">
        <f>IF(_xlfn.MINIFS('Detalhe Por UC'!R:R,'Detalhe Por UC'!C:C,C356,'Detalhe Por UC'!AD:AD,"&gt;"&amp;0)=0,"",_xlfn.MINIFS('Detalhe Por UC'!R:R,'Detalhe Por UC'!C:C,C356,'Detalhe Por UC'!AD:AD,"&gt;"&amp;0))</f>
        <v>45627</v>
      </c>
      <c r="CA356" s="114">
        <f ca="1">IF(OR(S356&gt;0,AD356&gt;0),IFERROR(
SUMIFS(INDIRECT("'Infos Clientes'!$W"&amp;INDEX('Infos Clientes'!$C:$C,MATCH(C356,'Infos Clientes'!$H:$H,0))&amp;":$CZ"&amp;INDEX('Infos Clientes'!$C:$C,MATCH(C356,'Infos Clientes'!$H:$H,0))),'Infos Clientes'!$W$2:$CZ$2,"&gt;"&amp;$R356-365,'Infos Clientes'!$W$2:$CZ$2,"&lt;="&amp;$R356)/
COUNTIFS(INDIRECT("'Infos Clientes'!$W"&amp;INDEX('Infos Clientes'!$C:$C,MATCH(C356,'Infos Clientes'!$H:$H,0))&amp;":$CZ"&amp;INDEX('Infos Clientes'!$C:$C,MATCH(C356,'Infos Clientes'!$H:$H,0))),"&gt;="&amp;0,'Infos Clientes'!$W$2:$CZ$2,"&gt;"&amp;$R356-365,'Infos Clientes'!$W$2:$CZ$2,"&lt;="&amp;$R356),""),"")</f>
        <v>354.91666666666669</v>
      </c>
      <c r="CB356" s="87">
        <f>VLOOKUP(C356,'Infos Clientes'!B:L,11,0)</f>
        <v>0</v>
      </c>
      <c r="CC356" s="88" t="str">
        <f t="shared" si="227"/>
        <v>A Unidade Consumidora 10/532081-7 economizou R$44,14 na fatura referente à abr/2025  consumindo 160 kWh em créditos de energia renovável conforme fatura de energia. A economia foi de 25% em relação ao que seria pago para a Energisa considerando os créditos consumidos. Atenção: Mantenha as contas da Energisa em dia para evitar cortes.</v>
      </c>
      <c r="CD356" s="40" t="s">
        <v>122</v>
      </c>
      <c r="CE356" s="18">
        <v>277.20999999999998</v>
      </c>
      <c r="CF356" s="115">
        <f t="shared" si="228"/>
        <v>0</v>
      </c>
    </row>
    <row r="357" spans="1:84" ht="16.2" hidden="1" customHeight="1" x14ac:dyDescent="0.3">
      <c r="A357" s="105" t="str">
        <f>INDEX('Infos Clientes'!$D:$D,MATCH('Detalhe Por UC'!C357,'Infos Clientes'!B:B,0))</f>
        <v>IGREJA DO EVANGELHO QUADRANGULAR</v>
      </c>
      <c r="B357" s="106" t="str">
        <f>INDEX('Infos Clientes'!$F:$F,MATCH('Detalhe Por UC'!C357,'Infos Clientes'!B:B,0))</f>
        <v>62.955.505/0153-50</v>
      </c>
      <c r="C357" s="44" t="s">
        <v>45</v>
      </c>
      <c r="D357" t="s">
        <v>351</v>
      </c>
      <c r="E357" s="1" t="s">
        <v>352</v>
      </c>
      <c r="F357" s="56" t="str">
        <f>INDEX('Infos Clientes'!$I:$I,MATCH('Detalhe Por UC'!C357,'Infos Clientes'!B:B,0))</f>
        <v>BT</v>
      </c>
      <c r="G357" s="56" t="str">
        <f>INDEX('Infos Clientes'!$J:$J,MATCH('Detalhe Por UC'!C357,'Infos Clientes'!B:B,0))</f>
        <v>trifasico</v>
      </c>
      <c r="H357" s="108" t="s">
        <v>24</v>
      </c>
      <c r="I357" s="58">
        <f>IFERROR(VLOOKUP(C357,'Infos Clientes'!B:E,4,),"")</f>
        <v>994</v>
      </c>
      <c r="J357" s="109">
        <v>0.25</v>
      </c>
      <c r="K357" s="59">
        <f>INDEX('Infos Clientes'!$M:$M,MATCH('Detalhe Por UC'!C357,'Infos Clientes'!B:B,0))</f>
        <v>0.25</v>
      </c>
      <c r="L357" s="125">
        <v>0</v>
      </c>
      <c r="M357" s="56">
        <f>INDEX('Infos Clientes'!$N:$N,MATCH('Detalhe Por UC'!C357,'Infos Clientes'!B:B,0))</f>
        <v>0</v>
      </c>
      <c r="N357" s="56">
        <f t="shared" si="192"/>
        <v>0</v>
      </c>
      <c r="O357" s="56">
        <f t="shared" si="193"/>
        <v>12</v>
      </c>
      <c r="P357" s="56">
        <f t="shared" si="194"/>
        <v>0</v>
      </c>
      <c r="Q357" s="61">
        <f>IFERROR(IFERROR(INDEX('Infos Clientes'!$A$2:$V$9884,MATCH($C357,'Infos Clientes'!$B$2:$B$9884,0),MATCH(Q$8,'Infos Clientes'!$A$2:$V$2,0)),"")
+IF(OR(INDEX('Infos Clientes'!$A$2:$V$9884,MATCH($C357,'Infos Clientes'!$B$2:$B$9884,0),MATCH("Tempo de Fidelidade (meses)",'Infos Clientes'!$A$2:$V$2,0))=0,R357&gt;=MAX(R:R)),0,
ROUND((MAX(R:R)-R357)/(365/12),0)),"")</f>
        <v>0</v>
      </c>
      <c r="R357" s="111">
        <v>45748</v>
      </c>
      <c r="S357" s="17">
        <v>0.02</v>
      </c>
      <c r="T357" s="113">
        <f>IF($H357="GIROSSOL II",AP357/INDEX('Resumo Operacional'!$A$1:$P$1103,17,MATCH('Detalhe Por UC'!$R357,'Resumo Operacional'!$A$1:$P$1,0)),
IF($H357="GIROSSOL II e III",AP357/INDEX('Resumo Operacional'!$A$1:$P$1103,17,MATCH('Detalhe Por UC'!$R357,'Resumo Operacional'!$A$1:$P$1,0)),
""))</f>
        <v>2.1976009522937458E-2</v>
      </c>
      <c r="U357" s="113" t="str">
        <f>IF($H357="GIROSSOL III",AP357/INDEX('Resumo Operacional'!$A$1:$P$1103,53,MATCH('Detalhe Por UC'!$R357,'Resumo Operacional'!$A$1:$P$1,0)),
IF($H357="GIROSSOL II e III",AP357/INDEX('Resumo Operacional'!$A$1:$P$1103,53,MATCH('Detalhe Por UC'!$R357,'Resumo Operacional'!$A$1:$P$1,0)),
""))</f>
        <v/>
      </c>
      <c r="V357" s="45"/>
      <c r="W357" s="18"/>
      <c r="X357" s="18">
        <v>1.1172115384615384</v>
      </c>
      <c r="Y357" s="18"/>
      <c r="Z357" s="18">
        <v>1.0403879310344828</v>
      </c>
      <c r="AA357" s="18"/>
      <c r="AB357" s="18">
        <v>312</v>
      </c>
      <c r="AC357" s="18"/>
      <c r="AD357" s="18">
        <v>232</v>
      </c>
      <c r="AE357" s="35"/>
      <c r="AF357" s="18">
        <v>413</v>
      </c>
      <c r="AG357" s="18">
        <v>0</v>
      </c>
      <c r="AH357" s="18">
        <v>71.790000000000006</v>
      </c>
      <c r="AI357" s="18">
        <v>0</v>
      </c>
      <c r="AJ357" s="18">
        <v>0</v>
      </c>
      <c r="AN357" s="71">
        <f t="shared" si="195"/>
        <v>8</v>
      </c>
      <c r="AO357" s="71">
        <f t="shared" si="196"/>
        <v>0</v>
      </c>
      <c r="AP357" s="71">
        <f t="shared" si="197"/>
        <v>240</v>
      </c>
      <c r="AQ357" s="72">
        <f>IF(OR($H357="GIROSSOL II",$H357="GIROSSOL II e III"),INDEX('Resumo Operacional'!$A$1:$P$1103,MATCH("Energia Injetada prevista total Fatura da Usina (TUSD)",'Resumo Operacional'!$B$1:$B$1103,0),MATCH('Detalhe Por UC'!$R357,'Resumo Operacional'!$A$1:$P$1,0))*$S357,INDEX('Resumo Operacional'!$A$1:$P$1103,53,MATCH('Detalhe Por UC'!$R357,'Resumo Operacional'!$A$1:$P$1,0))*$S357)</f>
        <v>218.42000000000002</v>
      </c>
      <c r="AR357" s="71">
        <f t="shared" si="198"/>
        <v>21.579999999999984</v>
      </c>
      <c r="AS357" s="73">
        <f t="shared" si="199"/>
        <v>178.99</v>
      </c>
      <c r="AT357" s="74">
        <f t="shared" si="200"/>
        <v>178.99</v>
      </c>
      <c r="AU357" s="74">
        <f t="shared" si="201"/>
        <v>0.96356432360742716</v>
      </c>
      <c r="AV357" s="74">
        <f t="shared" si="202"/>
        <v>181.0275</v>
      </c>
      <c r="AW357" s="74">
        <f t="shared" si="203"/>
        <v>0</v>
      </c>
      <c r="AX357" s="74">
        <f t="shared" si="204"/>
        <v>241.37</v>
      </c>
      <c r="AY357" s="74">
        <f t="shared" si="205"/>
        <v>181.03</v>
      </c>
      <c r="AZ357" s="117">
        <v>181.03</v>
      </c>
      <c r="BA357" s="117">
        <v>181.03</v>
      </c>
      <c r="BB357" s="49">
        <v>181.03</v>
      </c>
      <c r="BC357" s="73" t="str">
        <f t="shared" si="206"/>
        <v/>
      </c>
      <c r="BD357" s="73">
        <f t="shared" si="207"/>
        <v>420.36</v>
      </c>
      <c r="BE357" s="73">
        <f t="shared" si="208"/>
        <v>360.01750000000004</v>
      </c>
      <c r="BF357" s="77">
        <f t="shared" si="209"/>
        <v>60.34</v>
      </c>
      <c r="BG357" s="77">
        <f t="shared" si="210"/>
        <v>18.102</v>
      </c>
      <c r="BH357" s="77">
        <f t="shared" si="211"/>
        <v>241.36999999999998</v>
      </c>
      <c r="BI357" s="78">
        <f t="shared" si="212"/>
        <v>0.25</v>
      </c>
      <c r="BJ357" s="79">
        <f t="shared" si="213"/>
        <v>0.14354362927014941</v>
      </c>
      <c r="BK357" s="80">
        <f t="shared" si="214"/>
        <v>360.02</v>
      </c>
      <c r="BL357" s="80">
        <f t="shared" si="215"/>
        <v>60.340000000000032</v>
      </c>
      <c r="BM357" s="79">
        <f t="shared" si="216"/>
        <v>0.14354362927014946</v>
      </c>
      <c r="BN357" s="81">
        <f t="shared" si="217"/>
        <v>0.78030172413793109</v>
      </c>
      <c r="BO357" s="82">
        <f t="shared" si="218"/>
        <v>181.03</v>
      </c>
      <c r="BP357" s="81">
        <f t="shared" si="219"/>
        <v>0.78030172413793109</v>
      </c>
      <c r="BQ357" s="81">
        <f t="shared" si="220"/>
        <v>0.85712533156498671</v>
      </c>
      <c r="BR357" s="81">
        <f t="shared" si="221"/>
        <v>1.1172115384615382</v>
      </c>
      <c r="BS357" s="82">
        <f t="shared" si="222"/>
        <v>232</v>
      </c>
      <c r="BT357" s="82">
        <f t="shared" si="223"/>
        <v>259.19307692307689</v>
      </c>
      <c r="BU357" s="82">
        <f t="shared" si="224"/>
        <v>241.37</v>
      </c>
      <c r="BW357" s="82">
        <f>IFERROR(INDEX('Infos Clientes'!$T:$T,MATCH('Detalhe Por UC'!$C357,'Infos Clientes'!B:B,0)),"")</f>
        <v>362.41666666666669</v>
      </c>
      <c r="BX357" s="83">
        <f t="shared" si="225"/>
        <v>0</v>
      </c>
      <c r="BY357" s="84">
        <f t="shared" si="226"/>
        <v>0.23279942780997831</v>
      </c>
      <c r="BZ357" s="85">
        <f>IF(_xlfn.MINIFS('Detalhe Por UC'!R:R,'Detalhe Por UC'!C:C,C357,'Detalhe Por UC'!AD:AD,"&gt;"&amp;0)=0,"",_xlfn.MINIFS('Detalhe Por UC'!R:R,'Detalhe Por UC'!C:C,C357,'Detalhe Por UC'!AD:AD,"&gt;"&amp;0))</f>
        <v>45627</v>
      </c>
      <c r="CA357" s="114">
        <f ca="1">IF(OR(S357&gt;0,AD357&gt;0),IFERROR(
SUMIFS(INDIRECT("'Infos Clientes'!$W"&amp;INDEX('Infos Clientes'!$C:$C,MATCH(C357,'Infos Clientes'!$H:$H,0))&amp;":$CZ"&amp;INDEX('Infos Clientes'!$C:$C,MATCH(C357,'Infos Clientes'!$H:$H,0))),'Infos Clientes'!$W$2:$CZ$2,"&gt;"&amp;$R357-365,'Infos Clientes'!$W$2:$CZ$2,"&lt;="&amp;$R357)/
COUNTIFS(INDIRECT("'Infos Clientes'!$W"&amp;INDEX('Infos Clientes'!$C:$C,MATCH(C357,'Infos Clientes'!$H:$H,0))&amp;":$CZ"&amp;INDEX('Infos Clientes'!$C:$C,MATCH(C357,'Infos Clientes'!$H:$H,0))),"&gt;="&amp;0,'Infos Clientes'!$W$2:$CZ$2,"&gt;"&amp;$R357-365,'Infos Clientes'!$W$2:$CZ$2,"&lt;="&amp;$R357),""),"")</f>
        <v>349.58333333333331</v>
      </c>
      <c r="CB357" s="87">
        <f>VLOOKUP(C357,'Infos Clientes'!B:L,11,0)</f>
        <v>0</v>
      </c>
      <c r="CC357" s="88" t="str">
        <f t="shared" si="227"/>
        <v>A Unidade Consumidora 10/156956-5 economizou R$60,34 na fatura referente à abr/2025  consumindo 232 kWh em créditos de energia renovável conforme fatura de energia. A economia foi de 25% em relação ao que seria pago para a Energisa considerando os créditos consumidos. Atenção: Mantenha as contas da Energisa em dia para evitar cortes.</v>
      </c>
      <c r="CD357" s="40" t="s">
        <v>47</v>
      </c>
      <c r="CE357" s="18">
        <v>178.99</v>
      </c>
      <c r="CF357" s="115">
        <f t="shared" si="228"/>
        <v>0</v>
      </c>
    </row>
    <row r="358" spans="1:84" ht="16.2" hidden="1" customHeight="1" x14ac:dyDescent="0.3">
      <c r="A358" s="105" t="str">
        <f>INDEX('Infos Clientes'!$D:$D,MATCH('Detalhe Por UC'!C358,'Infos Clientes'!B:B,0))</f>
        <v>IGREJA DO EVANGELHO QUADRANGULAR</v>
      </c>
      <c r="B358" s="106" t="str">
        <f>INDEX('Infos Clientes'!$F:$F,MATCH('Detalhe Por UC'!C358,'Infos Clientes'!B:B,0))</f>
        <v>62.955.505/0914-56</v>
      </c>
      <c r="C358" s="44" t="s">
        <v>132</v>
      </c>
      <c r="D358" t="s">
        <v>351</v>
      </c>
      <c r="E358" s="1" t="s">
        <v>352</v>
      </c>
      <c r="F358" s="56">
        <f>INDEX('Infos Clientes'!$I:$I,MATCH('Detalhe Por UC'!C358,'Infos Clientes'!B:B,0))</f>
        <v>0</v>
      </c>
      <c r="G358" s="56">
        <f>INDEX('Infos Clientes'!$J:$J,MATCH('Detalhe Por UC'!C358,'Infos Clientes'!B:B,0))</f>
        <v>0</v>
      </c>
      <c r="H358" s="108" t="s">
        <v>24</v>
      </c>
      <c r="I358" s="58">
        <f>IFERROR(VLOOKUP(C358,'Infos Clientes'!B:E,4,),"")</f>
        <v>0</v>
      </c>
      <c r="J358" s="109">
        <v>0</v>
      </c>
      <c r="K358" s="59">
        <f>INDEX('Infos Clientes'!$M:$M,MATCH('Detalhe Por UC'!C358,'Infos Clientes'!B:B,0))</f>
        <v>0</v>
      </c>
      <c r="L358" s="125">
        <v>0</v>
      </c>
      <c r="M358" s="56">
        <f>INDEX('Infos Clientes'!$N:$N,MATCH('Detalhe Por UC'!C358,'Infos Clientes'!B:B,0))</f>
        <v>0</v>
      </c>
      <c r="N358" s="56">
        <f t="shared" si="192"/>
        <v>6</v>
      </c>
      <c r="O358" s="56">
        <f t="shared" si="193"/>
        <v>0</v>
      </c>
      <c r="P358" s="56">
        <f t="shared" si="194"/>
        <v>-6</v>
      </c>
      <c r="Q358" s="61">
        <f>IFERROR(IFERROR(INDEX('Infos Clientes'!$A$2:$V$9884,MATCH($C358,'Infos Clientes'!$B$2:$B$9884,0),MATCH(Q$8,'Infos Clientes'!$A$2:$V$2,0)),"")
+IF(OR(INDEX('Infos Clientes'!$A$2:$V$9884,MATCH($C358,'Infos Clientes'!$B$2:$B$9884,0),MATCH("Tempo de Fidelidade (meses)",'Infos Clientes'!$A$2:$V$2,0))=0,R358&gt;=MAX(R:R)),0,
ROUND((MAX(R:R)-R358)/(365/12),0)),"")</f>
        <v>0</v>
      </c>
      <c r="R358" s="111">
        <v>45748</v>
      </c>
      <c r="S358" s="17">
        <v>0.02</v>
      </c>
      <c r="T358" s="113">
        <f>IF($H358="GIROSSOL II",AP358/INDEX('Resumo Operacional'!$A$1:$P$1103,17,MATCH('Detalhe Por UC'!$R358,'Resumo Operacional'!$A$1:$P$1,0)),
IF($H358="GIROSSOL II e III",AP358/INDEX('Resumo Operacional'!$A$1:$P$1103,17,MATCH('Detalhe Por UC'!$R358,'Resumo Operacional'!$A$1:$P$1,0)),
""))</f>
        <v>0</v>
      </c>
      <c r="U358" s="113" t="str">
        <f>IF($H358="GIROSSOL III",AP358/INDEX('Resumo Operacional'!$A$1:$P$1103,53,MATCH('Detalhe Por UC'!$R358,'Resumo Operacional'!$A$1:$P$1,0)),
IF($H358="GIROSSOL II e III",AP358/INDEX('Resumo Operacional'!$A$1:$P$1103,53,MATCH('Detalhe Por UC'!$R358,'Resumo Operacional'!$A$1:$P$1,0)),
""))</f>
        <v/>
      </c>
      <c r="V358" s="45"/>
      <c r="W358" s="18"/>
      <c r="X358" s="18"/>
      <c r="Y358" s="18"/>
      <c r="Z358" s="18"/>
      <c r="AA358" s="18"/>
      <c r="AB358" s="18"/>
      <c r="AC358" s="18"/>
      <c r="AD358" s="18"/>
      <c r="AE358" s="35"/>
      <c r="AF358" s="18"/>
      <c r="AG358" s="18"/>
      <c r="AH358" s="18"/>
      <c r="AI358" s="18"/>
      <c r="AJ358" s="18"/>
      <c r="AN358" s="71" t="str">
        <f t="shared" si="195"/>
        <v/>
      </c>
      <c r="AO358" s="71" t="str">
        <f t="shared" si="196"/>
        <v/>
      </c>
      <c r="AP358" s="71">
        <f t="shared" si="197"/>
        <v>0</v>
      </c>
      <c r="AQ358" s="72">
        <f>IF(OR($H358="GIROSSOL II",$H358="GIROSSOL II e III"),INDEX('Resumo Operacional'!$A$1:$P$1103,MATCH("Energia Injetada prevista total Fatura da Usina (TUSD)",'Resumo Operacional'!$B$1:$B$1103,0),MATCH('Detalhe Por UC'!$R358,'Resumo Operacional'!$A$1:$P$1,0))*$S358,INDEX('Resumo Operacional'!$A$1:$P$1103,53,MATCH('Detalhe Por UC'!$R358,'Resumo Operacional'!$A$1:$P$1,0))*$S358)</f>
        <v>218.42000000000002</v>
      </c>
      <c r="AR358" s="71" t="str">
        <f t="shared" si="198"/>
        <v/>
      </c>
      <c r="AS358" s="73">
        <f t="shared" si="199"/>
        <v>0</v>
      </c>
      <c r="AT358" s="74">
        <f t="shared" si="200"/>
        <v>0</v>
      </c>
      <c r="AU358" s="74" t="str">
        <f t="shared" si="201"/>
        <v/>
      </c>
      <c r="AV358" s="74">
        <f t="shared" si="202"/>
        <v>0</v>
      </c>
      <c r="AW358" s="74">
        <f t="shared" si="203"/>
        <v>0</v>
      </c>
      <c r="AX358" s="74">
        <f t="shared" si="204"/>
        <v>0</v>
      </c>
      <c r="AY358" s="74" t="str">
        <f t="shared" si="205"/>
        <v/>
      </c>
      <c r="AZ358" s="117"/>
      <c r="BA358" s="117">
        <v>0</v>
      </c>
      <c r="BC358" s="73" t="str">
        <f t="shared" si="206"/>
        <v/>
      </c>
      <c r="BD358" s="73">
        <f t="shared" si="207"/>
        <v>0</v>
      </c>
      <c r="BE358" s="73">
        <f t="shared" si="208"/>
        <v>0</v>
      </c>
      <c r="BF358" s="77">
        <f t="shared" si="209"/>
        <v>0</v>
      </c>
      <c r="BG358" s="77">
        <f t="shared" si="210"/>
        <v>0</v>
      </c>
      <c r="BH358" s="77">
        <f t="shared" si="211"/>
        <v>0</v>
      </c>
      <c r="BI358" s="78" t="str">
        <f t="shared" si="212"/>
        <v/>
      </c>
      <c r="BJ358" s="79" t="str">
        <f t="shared" si="213"/>
        <v/>
      </c>
      <c r="BK358" s="80" t="str">
        <f t="shared" si="214"/>
        <v/>
      </c>
      <c r="BL358" s="80" t="str">
        <f t="shared" si="215"/>
        <v/>
      </c>
      <c r="BM358" s="79" t="str">
        <f t="shared" si="216"/>
        <v/>
      </c>
      <c r="BN358" s="81" t="str">
        <f t="shared" si="217"/>
        <v/>
      </c>
      <c r="BO358" s="82" t="str">
        <f t="shared" si="218"/>
        <v/>
      </c>
      <c r="BP358" s="81" t="str">
        <f t="shared" si="219"/>
        <v/>
      </c>
      <c r="BQ358" s="81" t="str">
        <f t="shared" si="220"/>
        <v/>
      </c>
      <c r="BR358" s="81" t="str">
        <f t="shared" si="221"/>
        <v/>
      </c>
      <c r="BS358" s="82">
        <f t="shared" si="222"/>
        <v>0</v>
      </c>
      <c r="BT358" s="82" t="str">
        <f t="shared" si="223"/>
        <v/>
      </c>
      <c r="BU358" s="82">
        <f t="shared" si="224"/>
        <v>0</v>
      </c>
      <c r="BW358" s="82">
        <f>IFERROR(INDEX('Infos Clientes'!$T:$T,MATCH('Detalhe Por UC'!$C358,'Infos Clientes'!B:B,0)),"")</f>
        <v>0</v>
      </c>
      <c r="BX358" s="83">
        <f t="shared" si="225"/>
        <v>0</v>
      </c>
      <c r="BY358" s="84" t="str">
        <f t="shared" si="226"/>
        <v/>
      </c>
      <c r="BZ358" s="85" t="str">
        <f>IF(_xlfn.MINIFS('Detalhe Por UC'!R:R,'Detalhe Por UC'!C:C,C358,'Detalhe Por UC'!AD:AD,"&gt;"&amp;0)=0,"",_xlfn.MINIFS('Detalhe Por UC'!R:R,'Detalhe Por UC'!C:C,C358,'Detalhe Por UC'!AD:AD,"&gt;"&amp;0))</f>
        <v/>
      </c>
      <c r="CA358" s="114">
        <f ca="1">IF(OR(S358&gt;0,AD358&gt;0),IFERROR(
SUMIFS(INDIRECT("'Infos Clientes'!$W"&amp;INDEX('Infos Clientes'!$C:$C,MATCH(C358,'Infos Clientes'!$H:$H,0))&amp;":$CZ"&amp;INDEX('Infos Clientes'!$C:$C,MATCH(C358,'Infos Clientes'!$H:$H,0))),'Infos Clientes'!$W$2:$CZ$2,"&gt;"&amp;$R358-365,'Infos Clientes'!$W$2:$CZ$2,"&lt;="&amp;$R358)/
COUNTIFS(INDIRECT("'Infos Clientes'!$W"&amp;INDEX('Infos Clientes'!$C:$C,MATCH(C358,'Infos Clientes'!$H:$H,0))&amp;":$CZ"&amp;INDEX('Infos Clientes'!$C:$C,MATCH(C358,'Infos Clientes'!$H:$H,0))),"&gt;="&amp;0,'Infos Clientes'!$W$2:$CZ$2,"&gt;"&amp;$R358-365,'Infos Clientes'!$W$2:$CZ$2,"&lt;="&amp;$R358),""),"")</f>
        <v>136</v>
      </c>
      <c r="CB358" s="87">
        <f>VLOOKUP(C358,'Infos Clientes'!B:L,11,0)</f>
        <v>0</v>
      </c>
      <c r="CC358" s="88" t="str">
        <f t="shared" si="227"/>
        <v>A Unidade Consumidora 10/104720-8 economizou R$0 na fatura referente à abr/2025  consumindo  kWh em créditos de energia renovável conforme fatura de energia. A economia foi de 0% em relação ao que seria pago para a Energisa considerando os créditos consumidos. Atenção: Mantenha as contas da Energisa em dia para evitar cortes.</v>
      </c>
      <c r="CD358" s="40"/>
      <c r="CE358" s="18" t="e">
        <v>#N/A</v>
      </c>
      <c r="CF358" s="115" t="e">
        <f t="shared" si="228"/>
        <v>#N/A</v>
      </c>
    </row>
    <row r="359" spans="1:84" ht="16.2" hidden="1" customHeight="1" x14ac:dyDescent="0.3">
      <c r="A359" s="105" t="str">
        <f>INDEX('Infos Clientes'!$D:$D,MATCH('Detalhe Por UC'!C359,'Infos Clientes'!B:B,0))</f>
        <v>IGREJA DO EVANGELHO QUADRANGULAR</v>
      </c>
      <c r="B359" s="106" t="str">
        <f>INDEX('Infos Clientes'!$F:$F,MATCH('Detalhe Por UC'!C359,'Infos Clientes'!B:B,0))</f>
        <v>62.955.505/0160-80</v>
      </c>
      <c r="C359" s="44" t="s">
        <v>114</v>
      </c>
      <c r="D359" t="s">
        <v>351</v>
      </c>
      <c r="E359" s="1" t="s">
        <v>352</v>
      </c>
      <c r="F359" s="56" t="str">
        <f>INDEX('Infos Clientes'!$I:$I,MATCH('Detalhe Por UC'!C359,'Infos Clientes'!B:B,0))</f>
        <v>BT</v>
      </c>
      <c r="G359" s="56" t="str">
        <f>INDEX('Infos Clientes'!$J:$J,MATCH('Detalhe Por UC'!C359,'Infos Clientes'!B:B,0))</f>
        <v>bifasico</v>
      </c>
      <c r="H359" s="108" t="s">
        <v>24</v>
      </c>
      <c r="I359" s="58">
        <f>IFERROR(VLOOKUP(C359,'Infos Clientes'!B:E,4,),"")</f>
        <v>357</v>
      </c>
      <c r="J359" s="109">
        <v>0.25</v>
      </c>
      <c r="K359" s="59">
        <f>INDEX('Infos Clientes'!$M:$M,MATCH('Detalhe Por UC'!C359,'Infos Clientes'!B:B,0))</f>
        <v>0.25</v>
      </c>
      <c r="L359" s="125">
        <v>0</v>
      </c>
      <c r="M359" s="56">
        <f>INDEX('Infos Clientes'!$N:$N,MATCH('Detalhe Por UC'!C359,'Infos Clientes'!B:B,0))</f>
        <v>0</v>
      </c>
      <c r="N359" s="56">
        <f t="shared" si="192"/>
        <v>0</v>
      </c>
      <c r="O359" s="56">
        <f t="shared" si="193"/>
        <v>12</v>
      </c>
      <c r="P359" s="56">
        <f t="shared" si="194"/>
        <v>0</v>
      </c>
      <c r="Q359" s="61">
        <f>IFERROR(IFERROR(INDEX('Infos Clientes'!$A$2:$V$9884,MATCH($C359,'Infos Clientes'!$B$2:$B$9884,0),MATCH(Q$8,'Infos Clientes'!$A$2:$V$2,0)),"")
+IF(OR(INDEX('Infos Clientes'!$A$2:$V$9884,MATCH($C359,'Infos Clientes'!$B$2:$B$9884,0),MATCH("Tempo de Fidelidade (meses)",'Infos Clientes'!$A$2:$V$2,0))=0,R359&gt;=MAX(R:R)),0,
ROUND((MAX(R:R)-R359)/(365/12),0)),"")</f>
        <v>0</v>
      </c>
      <c r="R359" s="111">
        <v>45748</v>
      </c>
      <c r="S359" s="17">
        <v>0.02</v>
      </c>
      <c r="T359" s="113">
        <f>IF($H359="GIROSSOL II",AP359/INDEX('Resumo Operacional'!$A$1:$P$1103,17,MATCH('Detalhe Por UC'!$R359,'Resumo Operacional'!$A$1:$P$1,0)),
IF($H359="GIROSSOL II e III",AP359/INDEX('Resumo Operacional'!$A$1:$P$1103,17,MATCH('Detalhe Por UC'!$R359,'Resumo Operacional'!$A$1:$P$1,0)),
""))</f>
        <v>2.1976009522937458E-2</v>
      </c>
      <c r="U359" s="113" t="str">
        <f>IF($H359="GIROSSOL III",AP359/INDEX('Resumo Operacional'!$A$1:$P$1103,53,MATCH('Detalhe Por UC'!$R359,'Resumo Operacional'!$A$1:$P$1,0)),
IF($H359="GIROSSOL II e III",AP359/INDEX('Resumo Operacional'!$A$1:$P$1103,53,MATCH('Detalhe Por UC'!$R359,'Resumo Operacional'!$A$1:$P$1,0)),
""))</f>
        <v/>
      </c>
      <c r="V359" s="45"/>
      <c r="W359" s="18"/>
      <c r="X359" s="18">
        <v>1.1162389380530975</v>
      </c>
      <c r="Y359" s="18"/>
      <c r="Z359" s="18">
        <v>1.0171212121212121</v>
      </c>
      <c r="AA359" s="18"/>
      <c r="AB359" s="18">
        <v>226</v>
      </c>
      <c r="AC359" s="18"/>
      <c r="AD359" s="18">
        <v>198</v>
      </c>
      <c r="AE359" s="35"/>
      <c r="AF359" s="18">
        <v>517</v>
      </c>
      <c r="AG359" s="18">
        <v>0</v>
      </c>
      <c r="AH359" s="18">
        <v>62.39</v>
      </c>
      <c r="AI359" s="18">
        <v>0</v>
      </c>
      <c r="AJ359" s="18">
        <v>0</v>
      </c>
      <c r="AN359" s="71">
        <f t="shared" si="195"/>
        <v>42</v>
      </c>
      <c r="AO359" s="71">
        <f t="shared" si="196"/>
        <v>0</v>
      </c>
      <c r="AP359" s="71">
        <f t="shared" si="197"/>
        <v>240</v>
      </c>
      <c r="AQ359" s="72">
        <f>IF(OR($H359="GIROSSOL II",$H359="GIROSSOL II e III"),INDEX('Resumo Operacional'!$A$1:$P$1103,MATCH("Energia Injetada prevista total Fatura da Usina (TUSD)",'Resumo Operacional'!$B$1:$B$1103,0),MATCH('Detalhe Por UC'!$R359,'Resumo Operacional'!$A$1:$P$1,0))*$S359,INDEX('Resumo Operacional'!$A$1:$P$1103,53,MATCH('Detalhe Por UC'!$R359,'Resumo Operacional'!$A$1:$P$1,0))*$S359)</f>
        <v>218.42000000000002</v>
      </c>
      <c r="AR359" s="71">
        <f t="shared" si="198"/>
        <v>21.579999999999984</v>
      </c>
      <c r="AS359" s="73">
        <f t="shared" si="199"/>
        <v>113.27000000000005</v>
      </c>
      <c r="AT359" s="74">
        <f t="shared" si="200"/>
        <v>113.27000000000005</v>
      </c>
      <c r="AU359" s="74">
        <f t="shared" si="201"/>
        <v>0.9180034861893267</v>
      </c>
      <c r="AV359" s="74">
        <f t="shared" si="202"/>
        <v>151.04249999999999</v>
      </c>
      <c r="AW359" s="74">
        <f t="shared" si="203"/>
        <v>0</v>
      </c>
      <c r="AX359" s="74">
        <f t="shared" si="204"/>
        <v>201.39</v>
      </c>
      <c r="AY359" s="74">
        <f t="shared" si="205"/>
        <v>151.04</v>
      </c>
      <c r="AZ359" s="117">
        <v>151.04</v>
      </c>
      <c r="BA359" s="117">
        <v>151.04</v>
      </c>
      <c r="BB359" s="49">
        <v>151.04</v>
      </c>
      <c r="BC359" s="73" t="str">
        <f t="shared" si="206"/>
        <v/>
      </c>
      <c r="BD359" s="73">
        <f t="shared" si="207"/>
        <v>314.66000000000003</v>
      </c>
      <c r="BE359" s="73">
        <f t="shared" si="208"/>
        <v>264.31250000000006</v>
      </c>
      <c r="BF359" s="77">
        <f t="shared" si="209"/>
        <v>50.35</v>
      </c>
      <c r="BG359" s="77">
        <f t="shared" si="210"/>
        <v>15.105</v>
      </c>
      <c r="BH359" s="77">
        <f t="shared" si="211"/>
        <v>201.39</v>
      </c>
      <c r="BI359" s="78">
        <f t="shared" si="212"/>
        <v>0.25</v>
      </c>
      <c r="BJ359" s="79">
        <f t="shared" si="213"/>
        <v>0.16001398334710482</v>
      </c>
      <c r="BK359" s="80">
        <f t="shared" si="214"/>
        <v>264.31000000000006</v>
      </c>
      <c r="BL359" s="80">
        <f t="shared" si="215"/>
        <v>50.349999999999966</v>
      </c>
      <c r="BM359" s="79">
        <f t="shared" si="216"/>
        <v>0.16001398334710468</v>
      </c>
      <c r="BN359" s="81">
        <f t="shared" si="217"/>
        <v>0.76282828282828274</v>
      </c>
      <c r="BO359" s="82">
        <f t="shared" si="218"/>
        <v>151.04</v>
      </c>
      <c r="BP359" s="81">
        <f t="shared" si="219"/>
        <v>0.76282828282828274</v>
      </c>
      <c r="BQ359" s="81">
        <f t="shared" si="220"/>
        <v>0.86194600876016814</v>
      </c>
      <c r="BR359" s="81">
        <f t="shared" si="221"/>
        <v>1.1162389380530975</v>
      </c>
      <c r="BS359" s="82">
        <f t="shared" si="222"/>
        <v>198</v>
      </c>
      <c r="BT359" s="82">
        <f t="shared" si="223"/>
        <v>221.01530973451329</v>
      </c>
      <c r="BU359" s="82">
        <f t="shared" si="224"/>
        <v>201.39</v>
      </c>
      <c r="BW359" s="82">
        <f>IFERROR(INDEX('Infos Clientes'!$T:$T,MATCH('Detalhe Por UC'!$C359,'Infos Clientes'!B:B,0)),"")</f>
        <v>215.58333333333334</v>
      </c>
      <c r="BX359" s="83">
        <f t="shared" si="225"/>
        <v>0</v>
      </c>
      <c r="BY359" s="84">
        <f t="shared" si="226"/>
        <v>0.22781227264518977</v>
      </c>
      <c r="BZ359" s="85">
        <f>IF(_xlfn.MINIFS('Detalhe Por UC'!R:R,'Detalhe Por UC'!C:C,C359,'Detalhe Por UC'!AD:AD,"&gt;"&amp;0)=0,"",_xlfn.MINIFS('Detalhe Por UC'!R:R,'Detalhe Por UC'!C:C,C359,'Detalhe Por UC'!AD:AD,"&gt;"&amp;0))</f>
        <v>45627</v>
      </c>
      <c r="CA359" s="114">
        <f ca="1">IF(OR(S359&gt;0,AD359&gt;0),IFERROR(
SUMIFS(INDIRECT("'Infos Clientes'!$W"&amp;INDEX('Infos Clientes'!$C:$C,MATCH(C359,'Infos Clientes'!$H:$H,0))&amp;":$CZ"&amp;INDEX('Infos Clientes'!$C:$C,MATCH(C359,'Infos Clientes'!$H:$H,0))),'Infos Clientes'!$W$2:$CZ$2,"&gt;"&amp;$R359-365,'Infos Clientes'!$W$2:$CZ$2,"&lt;="&amp;$R359)/
COUNTIFS(INDIRECT("'Infos Clientes'!$W"&amp;INDEX('Infos Clientes'!$C:$C,MATCH(C359,'Infos Clientes'!$H:$H,0))&amp;":$CZ"&amp;INDEX('Infos Clientes'!$C:$C,MATCH(C359,'Infos Clientes'!$H:$H,0))),"&gt;="&amp;0,'Infos Clientes'!$W$2:$CZ$2,"&gt;"&amp;$R359-365,'Infos Clientes'!$W$2:$CZ$2,"&lt;="&amp;$R359),""),"")</f>
        <v>218.16666666666666</v>
      </c>
      <c r="CB359" s="87">
        <f>VLOOKUP(C359,'Infos Clientes'!B:L,11,0)</f>
        <v>0</v>
      </c>
      <c r="CC359" s="88" t="str">
        <f t="shared" si="227"/>
        <v>A Unidade Consumidora 10/511753-6 economizou R$50,35 na fatura referente à abr/2025  consumindo 198 kWh em créditos de energia renovável conforme fatura de energia. A economia foi de 25% em relação ao que seria pago para a Energisa considerando os créditos consumidos. Atenção: Mantenha as contas da Energisa em dia para evitar cortes.</v>
      </c>
      <c r="CD359" s="40" t="s">
        <v>115</v>
      </c>
      <c r="CE359" s="18">
        <v>113.27</v>
      </c>
      <c r="CF359" s="115">
        <f t="shared" si="228"/>
        <v>0</v>
      </c>
    </row>
    <row r="360" spans="1:84" ht="16.2" hidden="1" customHeight="1" x14ac:dyDescent="0.3">
      <c r="A360" s="105" t="str">
        <f>INDEX('Infos Clientes'!$D:$D,MATCH('Detalhe Por UC'!C360,'Infos Clientes'!B:B,0))</f>
        <v>IGREJA DO EVANGELHO QUADRANGULAR</v>
      </c>
      <c r="B360" s="106" t="str">
        <f>INDEX('Infos Clientes'!$F:$F,MATCH('Detalhe Por UC'!C360,'Infos Clientes'!B:B,0))</f>
        <v>62.955.505/4027-10</v>
      </c>
      <c r="C360" s="44" t="s">
        <v>126</v>
      </c>
      <c r="D360" t="s">
        <v>351</v>
      </c>
      <c r="E360" s="1" t="s">
        <v>352</v>
      </c>
      <c r="F360" s="56" t="str">
        <f>INDEX('Infos Clientes'!$I:$I,MATCH('Detalhe Por UC'!C360,'Infos Clientes'!B:B,0))</f>
        <v>BT</v>
      </c>
      <c r="G360" s="56" t="str">
        <f>INDEX('Infos Clientes'!$J:$J,MATCH('Detalhe Por UC'!C360,'Infos Clientes'!B:B,0))</f>
        <v>trifasico</v>
      </c>
      <c r="H360" s="108" t="s">
        <v>24</v>
      </c>
      <c r="I360" s="58">
        <f>IFERROR(VLOOKUP(C360,'Infos Clientes'!B:E,4,),"")</f>
        <v>994</v>
      </c>
      <c r="J360" s="109">
        <v>0.25</v>
      </c>
      <c r="K360" s="59">
        <f>INDEX('Infos Clientes'!$M:$M,MATCH('Detalhe Por UC'!C360,'Infos Clientes'!B:B,0))</f>
        <v>0.25</v>
      </c>
      <c r="L360" s="125">
        <v>0</v>
      </c>
      <c r="M360" s="56">
        <f>INDEX('Infos Clientes'!$N:$N,MATCH('Detalhe Por UC'!C360,'Infos Clientes'!B:B,0))</f>
        <v>0</v>
      </c>
      <c r="N360" s="56">
        <f t="shared" si="192"/>
        <v>0</v>
      </c>
      <c r="O360" s="56">
        <f t="shared" si="193"/>
        <v>12</v>
      </c>
      <c r="P360" s="56">
        <f t="shared" si="194"/>
        <v>0</v>
      </c>
      <c r="Q360" s="61">
        <f>IFERROR(IFERROR(INDEX('Infos Clientes'!$A$2:$V$9884,MATCH($C360,'Infos Clientes'!$B$2:$B$9884,0),MATCH(Q$8,'Infos Clientes'!$A$2:$V$2,0)),"")
+IF(OR(INDEX('Infos Clientes'!$A$2:$V$9884,MATCH($C360,'Infos Clientes'!$B$2:$B$9884,0),MATCH("Tempo de Fidelidade (meses)",'Infos Clientes'!$A$2:$V$2,0))=0,R360&gt;=MAX(R:R)),0,
ROUND((MAX(R:R)-R360)/(365/12),0)),"")</f>
        <v>0</v>
      </c>
      <c r="R360" s="111">
        <v>45748</v>
      </c>
      <c r="S360" s="17">
        <v>0.02</v>
      </c>
      <c r="T360" s="113">
        <f>IF($H360="GIROSSOL II",AP360/INDEX('Resumo Operacional'!$A$1:$P$1103,17,MATCH('Detalhe Por UC'!$R360,'Resumo Operacional'!$A$1:$P$1,0)),
IF($H360="GIROSSOL II e III",AP360/INDEX('Resumo Operacional'!$A$1:$P$1103,17,MATCH('Detalhe Por UC'!$R360,'Resumo Operacional'!$A$1:$P$1,0)),
""))</f>
        <v>2.1976009522937458E-2</v>
      </c>
      <c r="U360" s="113" t="str">
        <f>IF($H360="GIROSSOL III",AP360/INDEX('Resumo Operacional'!$A$1:$P$1103,53,MATCH('Detalhe Por UC'!$R360,'Resumo Operacional'!$A$1:$P$1,0)),
IF($H360="GIROSSOL II e III",AP360/INDEX('Resumo Operacional'!$A$1:$P$1103,53,MATCH('Detalhe Por UC'!$R360,'Resumo Operacional'!$A$1:$P$1,0)),
""))</f>
        <v/>
      </c>
      <c r="V360" s="45"/>
      <c r="W360" s="18"/>
      <c r="X360" s="18">
        <v>1.1194202898550725</v>
      </c>
      <c r="Y360" s="18"/>
      <c r="Z360" s="18">
        <v>1.0397026022304834</v>
      </c>
      <c r="AA360" s="18"/>
      <c r="AB360" s="18">
        <v>345</v>
      </c>
      <c r="AC360" s="18"/>
      <c r="AD360" s="18">
        <v>269</v>
      </c>
      <c r="AE360" s="35"/>
      <c r="AF360" s="18">
        <v>717</v>
      </c>
      <c r="AG360" s="18">
        <v>0</v>
      </c>
      <c r="AH360" s="18">
        <v>71.789999999999992</v>
      </c>
      <c r="AI360" s="18">
        <v>0</v>
      </c>
      <c r="AJ360" s="18">
        <v>0</v>
      </c>
      <c r="AN360" s="71">
        <f t="shared" si="195"/>
        <v>-29</v>
      </c>
      <c r="AO360" s="71">
        <f t="shared" si="196"/>
        <v>0</v>
      </c>
      <c r="AP360" s="71">
        <f t="shared" si="197"/>
        <v>240</v>
      </c>
      <c r="AQ360" s="72">
        <f>IF(OR($H360="GIROSSOL II",$H360="GIROSSOL II e III"),INDEX('Resumo Operacional'!$A$1:$P$1103,MATCH("Energia Injetada prevista total Fatura da Usina (TUSD)",'Resumo Operacional'!$B$1:$B$1103,0),MATCH('Detalhe Por UC'!$R360,'Resumo Operacional'!$A$1:$P$1,0))*$S360,INDEX('Resumo Operacional'!$A$1:$P$1103,53,MATCH('Detalhe Por UC'!$R360,'Resumo Operacional'!$A$1:$P$1,0))*$S360)</f>
        <v>218.42000000000002</v>
      </c>
      <c r="AR360" s="71">
        <f t="shared" si="198"/>
        <v>21.579999999999984</v>
      </c>
      <c r="AS360" s="73">
        <f t="shared" si="199"/>
        <v>178.30999999999997</v>
      </c>
      <c r="AT360" s="74">
        <f t="shared" si="200"/>
        <v>178.30999999999997</v>
      </c>
      <c r="AU360" s="74">
        <f t="shared" si="201"/>
        <v>0.9599849146058943</v>
      </c>
      <c r="AV360" s="74">
        <f t="shared" si="202"/>
        <v>209.76000000000002</v>
      </c>
      <c r="AW360" s="74">
        <f t="shared" si="203"/>
        <v>0</v>
      </c>
      <c r="AX360" s="74">
        <f t="shared" si="204"/>
        <v>279.68</v>
      </c>
      <c r="AY360" s="74">
        <f t="shared" si="205"/>
        <v>209.76</v>
      </c>
      <c r="AZ360" s="117">
        <v>209.76</v>
      </c>
      <c r="BA360" s="117">
        <v>209.76</v>
      </c>
      <c r="BB360" s="49">
        <v>209.76</v>
      </c>
      <c r="BC360" s="73" t="str">
        <f t="shared" si="206"/>
        <v/>
      </c>
      <c r="BD360" s="73">
        <f t="shared" si="207"/>
        <v>457.99</v>
      </c>
      <c r="BE360" s="73">
        <f t="shared" si="208"/>
        <v>388.07</v>
      </c>
      <c r="BF360" s="77">
        <f t="shared" si="209"/>
        <v>69.92</v>
      </c>
      <c r="BG360" s="77">
        <f t="shared" si="210"/>
        <v>20.975999999999999</v>
      </c>
      <c r="BH360" s="77">
        <f t="shared" si="211"/>
        <v>279.68000000000006</v>
      </c>
      <c r="BI360" s="78">
        <f t="shared" si="212"/>
        <v>0.25</v>
      </c>
      <c r="BJ360" s="79">
        <f t="shared" si="213"/>
        <v>0.15266708880106553</v>
      </c>
      <c r="BK360" s="80">
        <f t="shared" si="214"/>
        <v>388.06999999999994</v>
      </c>
      <c r="BL360" s="80">
        <f t="shared" si="215"/>
        <v>69.920000000000073</v>
      </c>
      <c r="BM360" s="79">
        <f t="shared" si="216"/>
        <v>0.15266708880106569</v>
      </c>
      <c r="BN360" s="81">
        <f t="shared" si="217"/>
        <v>0.77977695167286243</v>
      </c>
      <c r="BO360" s="82">
        <f t="shared" si="218"/>
        <v>209.76</v>
      </c>
      <c r="BP360" s="81">
        <f t="shared" si="219"/>
        <v>0.77977695167286243</v>
      </c>
      <c r="BQ360" s="81">
        <f t="shared" si="220"/>
        <v>0.85949463929745151</v>
      </c>
      <c r="BR360" s="81">
        <f t="shared" si="221"/>
        <v>1.1194202898550725</v>
      </c>
      <c r="BS360" s="82">
        <f t="shared" si="222"/>
        <v>269</v>
      </c>
      <c r="BT360" s="82">
        <f t="shared" si="223"/>
        <v>301.12405797101451</v>
      </c>
      <c r="BU360" s="82">
        <f t="shared" si="224"/>
        <v>279.68</v>
      </c>
      <c r="BW360" s="82">
        <f>IFERROR(INDEX('Infos Clientes'!$T:$T,MATCH('Detalhe Por UC'!$C360,'Infos Clientes'!B:B,0)),"")</f>
        <v>274.25</v>
      </c>
      <c r="BX360" s="83">
        <f t="shared" si="225"/>
        <v>0</v>
      </c>
      <c r="BY360" s="84">
        <f t="shared" si="226"/>
        <v>0.23219665831791619</v>
      </c>
      <c r="BZ360" s="85">
        <f>IF(_xlfn.MINIFS('Detalhe Por UC'!R:R,'Detalhe Por UC'!C:C,C360,'Detalhe Por UC'!AD:AD,"&gt;"&amp;0)=0,"",_xlfn.MINIFS('Detalhe Por UC'!R:R,'Detalhe Por UC'!C:C,C360,'Detalhe Por UC'!AD:AD,"&gt;"&amp;0))</f>
        <v>45627</v>
      </c>
      <c r="CA360" s="114">
        <f ca="1">IF(OR(S360&gt;0,AD360&gt;0),IFERROR(
SUMIFS(INDIRECT("'Infos Clientes'!$W"&amp;INDEX('Infos Clientes'!$C:$C,MATCH(C360,'Infos Clientes'!$H:$H,0))&amp;":$CZ"&amp;INDEX('Infos Clientes'!$C:$C,MATCH(C360,'Infos Clientes'!$H:$H,0))),'Infos Clientes'!$W$2:$CZ$2,"&gt;"&amp;$R360-365,'Infos Clientes'!$W$2:$CZ$2,"&lt;="&amp;$R360)/
COUNTIFS(INDIRECT("'Infos Clientes'!$W"&amp;INDEX('Infos Clientes'!$C:$C,MATCH(C360,'Infos Clientes'!$H:$H,0))&amp;":$CZ"&amp;INDEX('Infos Clientes'!$C:$C,MATCH(C360,'Infos Clientes'!$H:$H,0))),"&gt;="&amp;0,'Infos Clientes'!$W$2:$CZ$2,"&gt;"&amp;$R360-365,'Infos Clientes'!$W$2:$CZ$2,"&lt;="&amp;$R360),""),"")</f>
        <v>291.33333333333331</v>
      </c>
      <c r="CB360" s="87">
        <f>VLOOKUP(C360,'Infos Clientes'!B:L,11,0)</f>
        <v>0</v>
      </c>
      <c r="CC360" s="88" t="str">
        <f t="shared" si="227"/>
        <v>A Unidade Consumidora 10/931327-1 economizou R$69,92 na fatura referente à abr/2025  consumindo 269 kWh em créditos de energia renovável conforme fatura de energia. A economia foi de 25% em relação ao que seria pago para a Energisa considerando os créditos consumidos. Atenção: Mantenha as contas da Energisa em dia para evitar cortes.</v>
      </c>
      <c r="CD360" s="40" t="s">
        <v>128</v>
      </c>
      <c r="CE360" s="18">
        <v>178.31</v>
      </c>
      <c r="CF360" s="115">
        <f t="shared" si="228"/>
        <v>0</v>
      </c>
    </row>
    <row r="361" spans="1:84" ht="16.2" hidden="1" customHeight="1" x14ac:dyDescent="0.3">
      <c r="A361" s="105" t="str">
        <f>INDEX('Infos Clientes'!$D:$D,MATCH('Detalhe Por UC'!C361,'Infos Clientes'!B:B,0))</f>
        <v>IGREJA DO EVANGELHO QUADRANGULAR</v>
      </c>
      <c r="B361" s="106" t="str">
        <f>INDEX('Infos Clientes'!$F:$F,MATCH('Detalhe Por UC'!C361,'Infos Clientes'!B:B,0))</f>
        <v>62.955.505/4612-10</v>
      </c>
      <c r="C361" s="44" t="s">
        <v>60</v>
      </c>
      <c r="D361" t="s">
        <v>351</v>
      </c>
      <c r="E361" s="1" t="s">
        <v>352</v>
      </c>
      <c r="F361" s="56" t="str">
        <f>INDEX('Infos Clientes'!$I:$I,MATCH('Detalhe Por UC'!C361,'Infos Clientes'!B:B,0))</f>
        <v>BT</v>
      </c>
      <c r="G361" s="56" t="str">
        <f>INDEX('Infos Clientes'!$J:$J,MATCH('Detalhe Por UC'!C361,'Infos Clientes'!B:B,0))</f>
        <v>trifasico</v>
      </c>
      <c r="H361" s="108" t="s">
        <v>24</v>
      </c>
      <c r="I361" s="58">
        <f>IFERROR(VLOOKUP(C361,'Infos Clientes'!B:E,4,),"")</f>
        <v>306</v>
      </c>
      <c r="J361" s="109">
        <v>0.25</v>
      </c>
      <c r="K361" s="59">
        <f>INDEX('Infos Clientes'!$M:$M,MATCH('Detalhe Por UC'!C361,'Infos Clientes'!B:B,0))</f>
        <v>0.25</v>
      </c>
      <c r="L361" s="125">
        <v>0</v>
      </c>
      <c r="M361" s="56">
        <f>INDEX('Infos Clientes'!$N:$N,MATCH('Detalhe Por UC'!C361,'Infos Clientes'!B:B,0))</f>
        <v>0</v>
      </c>
      <c r="N361" s="56">
        <f t="shared" si="192"/>
        <v>0</v>
      </c>
      <c r="O361" s="56">
        <f t="shared" si="193"/>
        <v>12</v>
      </c>
      <c r="P361" s="56">
        <f t="shared" si="194"/>
        <v>0</v>
      </c>
      <c r="Q361" s="61">
        <f>IFERROR(IFERROR(INDEX('Infos Clientes'!$A$2:$V$9884,MATCH($C361,'Infos Clientes'!$B$2:$B$9884,0),MATCH(Q$8,'Infos Clientes'!$A$2:$V$2,0)),"")
+IF(OR(INDEX('Infos Clientes'!$A$2:$V$9884,MATCH($C361,'Infos Clientes'!$B$2:$B$9884,0),MATCH("Tempo de Fidelidade (meses)",'Infos Clientes'!$A$2:$V$2,0))=0,R361&gt;=MAX(R:R)),0,
ROUND((MAX(R:R)-R361)/(365/12),0)),"")</f>
        <v>0</v>
      </c>
      <c r="R361" s="111">
        <v>45748</v>
      </c>
      <c r="S361" s="138">
        <v>0.01</v>
      </c>
      <c r="T361" s="113">
        <f>IF($H361="GIROSSOL II",AP361/INDEX('Resumo Operacional'!$A$1:$P$1103,17,MATCH('Detalhe Por UC'!$R361,'Resumo Operacional'!$A$1:$P$1,0)),
IF($H361="GIROSSOL II e III",AP361/INDEX('Resumo Operacional'!$A$1:$P$1103,17,MATCH('Detalhe Por UC'!$R361,'Resumo Operacional'!$A$1:$P$1,0)),
""))</f>
        <v>1.0988004761468729E-2</v>
      </c>
      <c r="U361" s="113" t="str">
        <f>IF($H361="GIROSSOL III",AP361/INDEX('Resumo Operacional'!$A$1:$P$1103,53,MATCH('Detalhe Por UC'!$R361,'Resumo Operacional'!$A$1:$P$1,0)),
IF($H361="GIROSSOL II e III",AP361/INDEX('Resumo Operacional'!$A$1:$P$1103,53,MATCH('Detalhe Por UC'!$R361,'Resumo Operacional'!$A$1:$P$1,0)),
""))</f>
        <v/>
      </c>
      <c r="V361" s="45"/>
      <c r="W361" s="18"/>
      <c r="X361" s="18">
        <v>1.1172058823529412</v>
      </c>
      <c r="Y361" s="18"/>
      <c r="Z361" s="18">
        <v>1.0887500000000001</v>
      </c>
      <c r="AA361" s="18"/>
      <c r="AB361" s="18">
        <v>340</v>
      </c>
      <c r="AC361" s="18"/>
      <c r="AD361" s="18">
        <v>192</v>
      </c>
      <c r="AE361" s="35"/>
      <c r="AF361" s="18">
        <v>0</v>
      </c>
      <c r="AG361" s="18">
        <v>0</v>
      </c>
      <c r="AH361" s="18">
        <v>80.180000000000007</v>
      </c>
      <c r="AI361" s="18">
        <v>0</v>
      </c>
      <c r="AJ361" s="18">
        <v>0</v>
      </c>
      <c r="AN361" s="71">
        <f t="shared" si="195"/>
        <v>-72</v>
      </c>
      <c r="AO361" s="71">
        <f t="shared" si="196"/>
        <v>0</v>
      </c>
      <c r="AP361" s="71">
        <f t="shared" si="197"/>
        <v>120</v>
      </c>
      <c r="AQ361" s="72">
        <f>IF(OR($H361="GIROSSOL II",$H361="GIROSSOL II e III"),INDEX('Resumo Operacional'!$A$1:$P$1103,MATCH("Energia Injetada prevista total Fatura da Usina (TUSD)",'Resumo Operacional'!$B$1:$B$1103,0),MATCH('Detalhe Por UC'!$R361,'Resumo Operacional'!$A$1:$P$1,0))*$S361,INDEX('Resumo Operacional'!$A$1:$P$1103,53,MATCH('Detalhe Por UC'!$R361,'Resumo Operacional'!$A$1:$P$1,0))*$S361)</f>
        <v>109.21000000000001</v>
      </c>
      <c r="AR361" s="71">
        <f t="shared" si="198"/>
        <v>10.789999999999992</v>
      </c>
      <c r="AS361" s="73">
        <f t="shared" si="199"/>
        <v>250.99</v>
      </c>
      <c r="AT361" s="74">
        <f t="shared" si="200"/>
        <v>250.99</v>
      </c>
      <c r="AU361" s="74">
        <f t="shared" si="201"/>
        <v>1.0602941176470591</v>
      </c>
      <c r="AV361" s="74">
        <f t="shared" si="202"/>
        <v>156.78000000000003</v>
      </c>
      <c r="AW361" s="74">
        <f t="shared" si="203"/>
        <v>0</v>
      </c>
      <c r="AX361" s="74">
        <f t="shared" si="204"/>
        <v>209.04000000000002</v>
      </c>
      <c r="AY361" s="74">
        <f t="shared" si="205"/>
        <v>156.78</v>
      </c>
      <c r="AZ361" s="117">
        <v>156.78</v>
      </c>
      <c r="BA361" s="117">
        <v>156.78</v>
      </c>
      <c r="BB361" s="49">
        <v>156.78</v>
      </c>
      <c r="BC361" s="73" t="str">
        <f t="shared" si="206"/>
        <v/>
      </c>
      <c r="BD361" s="73">
        <f t="shared" si="207"/>
        <v>460.03000000000003</v>
      </c>
      <c r="BE361" s="73">
        <f t="shared" si="208"/>
        <v>407.77000000000004</v>
      </c>
      <c r="BF361" s="77">
        <f t="shared" si="209"/>
        <v>52.26</v>
      </c>
      <c r="BG361" s="77">
        <f t="shared" si="210"/>
        <v>15.677999999999999</v>
      </c>
      <c r="BH361" s="77">
        <f t="shared" si="211"/>
        <v>209.04000000000002</v>
      </c>
      <c r="BI361" s="78">
        <f t="shared" si="212"/>
        <v>0.25</v>
      </c>
      <c r="BJ361" s="79">
        <f t="shared" si="213"/>
        <v>0.11360128687259526</v>
      </c>
      <c r="BK361" s="80">
        <f t="shared" si="214"/>
        <v>407.77</v>
      </c>
      <c r="BL361" s="80">
        <f t="shared" si="215"/>
        <v>52.260000000000048</v>
      </c>
      <c r="BM361" s="79">
        <f t="shared" si="216"/>
        <v>0.11360128687259537</v>
      </c>
      <c r="BN361" s="81">
        <f t="shared" si="217"/>
        <v>0.81656249999999997</v>
      </c>
      <c r="BO361" s="82">
        <f t="shared" si="218"/>
        <v>156.78</v>
      </c>
      <c r="BP361" s="81">
        <f t="shared" si="219"/>
        <v>0.81656249999999997</v>
      </c>
      <c r="BQ361" s="81">
        <f t="shared" si="220"/>
        <v>0.84501838235294102</v>
      </c>
      <c r="BR361" s="81">
        <f t="shared" si="221"/>
        <v>1.1172058823529412</v>
      </c>
      <c r="BS361" s="82">
        <f t="shared" si="222"/>
        <v>192</v>
      </c>
      <c r="BT361" s="82">
        <f t="shared" si="223"/>
        <v>214.5035294117647</v>
      </c>
      <c r="BU361" s="82">
        <f t="shared" si="224"/>
        <v>209.04000000000002</v>
      </c>
      <c r="BW361" s="82">
        <f>IFERROR(INDEX('Infos Clientes'!$T:$T,MATCH('Detalhe Por UC'!$C361,'Infos Clientes'!B:B,0)),"")</f>
        <v>279.08333333333331</v>
      </c>
      <c r="BX361" s="83">
        <f t="shared" si="225"/>
        <v>0</v>
      </c>
      <c r="BY361" s="84">
        <f t="shared" si="226"/>
        <v>0.24363235487692522</v>
      </c>
      <c r="BZ361" s="85">
        <f>IF(_xlfn.MINIFS('Detalhe Por UC'!R:R,'Detalhe Por UC'!C:C,C361,'Detalhe Por UC'!AD:AD,"&gt;"&amp;0)=0,"",_xlfn.MINIFS('Detalhe Por UC'!R:R,'Detalhe Por UC'!C:C,C361,'Detalhe Por UC'!AD:AD,"&gt;"&amp;0))</f>
        <v>45627</v>
      </c>
      <c r="CA361" s="114">
        <f ca="1">IF(OR(S361&gt;0,AD361&gt;0),IFERROR(
SUMIFS(INDIRECT("'Infos Clientes'!$W"&amp;INDEX('Infos Clientes'!$C:$C,MATCH(C361,'Infos Clientes'!$H:$H,0))&amp;":$CZ"&amp;INDEX('Infos Clientes'!$C:$C,MATCH(C361,'Infos Clientes'!$H:$H,0))),'Infos Clientes'!$W$2:$CZ$2,"&gt;"&amp;$R361-365,'Infos Clientes'!$W$2:$CZ$2,"&lt;="&amp;$R361)/
COUNTIFS(INDIRECT("'Infos Clientes'!$W"&amp;INDEX('Infos Clientes'!$C:$C,MATCH(C361,'Infos Clientes'!$H:$H,0))&amp;":$CZ"&amp;INDEX('Infos Clientes'!$C:$C,MATCH(C361,'Infos Clientes'!$H:$H,0))),"&gt;="&amp;0,'Infos Clientes'!$W$2:$CZ$2,"&gt;"&amp;$R361-365,'Infos Clientes'!$W$2:$CZ$2,"&lt;="&amp;$R361),""),"")</f>
        <v>267.08333333333331</v>
      </c>
      <c r="CB361" s="87">
        <f>VLOOKUP(C361,'Infos Clientes'!B:L,11,0)</f>
        <v>0</v>
      </c>
      <c r="CC361" s="88" t="str">
        <f t="shared" si="227"/>
        <v>A Unidade Consumidora 10/1698130-0 economizou R$52,26 na fatura referente à abr/2025  consumindo 192 kWh em créditos de energia renovável conforme fatura de energia. A economia foi de 25% em relação ao que seria pago para a Energisa considerando os créditos consumidos. Atenção: Mantenha as contas da Energisa em dia para evitar cortes.</v>
      </c>
      <c r="CD361" s="40" t="s">
        <v>59</v>
      </c>
      <c r="CE361" s="18">
        <v>250.99</v>
      </c>
      <c r="CF361" s="115">
        <f t="shared" si="228"/>
        <v>0</v>
      </c>
    </row>
    <row r="362" spans="1:84" ht="16.2" hidden="1" customHeight="1" x14ac:dyDescent="0.3">
      <c r="A362" s="105" t="str">
        <f>INDEX('Infos Clientes'!$D:$D,MATCH('Detalhe Por UC'!C362,'Infos Clientes'!B:B,0))</f>
        <v>IGREJA DO EVANGELHO QUADRANGULAR</v>
      </c>
      <c r="B362" s="106" t="str">
        <f>INDEX('Infos Clientes'!$F:$F,MATCH('Detalhe Por UC'!C362,'Infos Clientes'!B:B,0))</f>
        <v>62.955.505/0914-56</v>
      </c>
      <c r="C362" s="44" t="s">
        <v>134</v>
      </c>
      <c r="D362" t="s">
        <v>351</v>
      </c>
      <c r="E362" s="1" t="s">
        <v>352</v>
      </c>
      <c r="F362" s="56" t="str">
        <f>INDEX('Infos Clientes'!$I:$I,MATCH('Detalhe Por UC'!C362,'Infos Clientes'!B:B,0))</f>
        <v>BT</v>
      </c>
      <c r="G362" s="56" t="str">
        <f>INDEX('Infos Clientes'!$J:$J,MATCH('Detalhe Por UC'!C362,'Infos Clientes'!B:B,0))</f>
        <v>monofasico</v>
      </c>
      <c r="H362" s="108" t="s">
        <v>24</v>
      </c>
      <c r="I362" s="58">
        <f>IFERROR(VLOOKUP(C362,'Infos Clientes'!B:E,4,),"")</f>
        <v>0</v>
      </c>
      <c r="J362" s="109">
        <v>0.25</v>
      </c>
      <c r="K362" s="59">
        <f>INDEX('Infos Clientes'!$M:$M,MATCH('Detalhe Por UC'!C362,'Infos Clientes'!B:B,0))</f>
        <v>0.25</v>
      </c>
      <c r="L362" s="125">
        <v>0</v>
      </c>
      <c r="M362" s="56">
        <f>INDEX('Infos Clientes'!$N:$N,MATCH('Detalhe Por UC'!C362,'Infos Clientes'!B:B,0))</f>
        <v>0</v>
      </c>
      <c r="N362" s="56">
        <f t="shared" si="192"/>
        <v>0</v>
      </c>
      <c r="O362" s="56">
        <f t="shared" si="193"/>
        <v>10</v>
      </c>
      <c r="P362" s="56">
        <f t="shared" si="194"/>
        <v>0</v>
      </c>
      <c r="Q362" s="61">
        <f>IFERROR(IFERROR(INDEX('Infos Clientes'!$A$2:$V$9884,MATCH($C362,'Infos Clientes'!$B$2:$B$9884,0),MATCH(Q$8,'Infos Clientes'!$A$2:$V$2,0)),"")
+IF(OR(INDEX('Infos Clientes'!$A$2:$V$9884,MATCH($C362,'Infos Clientes'!$B$2:$B$9884,0),MATCH("Tempo de Fidelidade (meses)",'Infos Clientes'!$A$2:$V$2,0))=0,R362&gt;=MAX(R:R)),0,
ROUND((MAX(R:R)-R362)/(365/12),0)),"")</f>
        <v>0</v>
      </c>
      <c r="R362" s="111">
        <v>45748</v>
      </c>
      <c r="S362" s="17">
        <v>0.02</v>
      </c>
      <c r="T362" s="113">
        <f>IF($H362="GIROSSOL II",AP362/INDEX('Resumo Operacional'!$A$1:$P$1103,17,MATCH('Detalhe Por UC'!$R362,'Resumo Operacional'!$A$1:$P$1,0)),
IF($H362="GIROSSOL II e III",AP362/INDEX('Resumo Operacional'!$A$1:$P$1103,17,MATCH('Detalhe Por UC'!$R362,'Resumo Operacional'!$A$1:$P$1,0)),
""))</f>
        <v>1.9961541983334861E-2</v>
      </c>
      <c r="U362" s="113" t="str">
        <f>IF($H362="GIROSSOL III",AP362/INDEX('Resumo Operacional'!$A$1:$P$1103,53,MATCH('Detalhe Por UC'!$R362,'Resumo Operacional'!$A$1:$P$1,0)),
IF($H362="GIROSSOL II e III",AP362/INDEX('Resumo Operacional'!$A$1:$P$1103,53,MATCH('Detalhe Por UC'!$R362,'Resumo Operacional'!$A$1:$P$1,0)),
""))</f>
        <v/>
      </c>
      <c r="V362" s="45"/>
      <c r="W362" s="18"/>
      <c r="X362" s="18">
        <v>1.1215384615384616</v>
      </c>
      <c r="Y362" s="18"/>
      <c r="Z362" s="18">
        <v>1.1215079365079366</v>
      </c>
      <c r="AA362" s="18"/>
      <c r="AB362" s="18">
        <v>156</v>
      </c>
      <c r="AC362" s="18"/>
      <c r="AD362" s="18">
        <v>126</v>
      </c>
      <c r="AE362" s="35"/>
      <c r="AF362" s="18">
        <v>678</v>
      </c>
      <c r="AG362" s="18">
        <v>0</v>
      </c>
      <c r="AH362" s="18">
        <v>53.16</v>
      </c>
      <c r="AI362" s="18">
        <v>0</v>
      </c>
      <c r="AJ362" s="18">
        <v>0</v>
      </c>
      <c r="AN362" s="71">
        <f t="shared" si="195"/>
        <v>92</v>
      </c>
      <c r="AO362" s="71">
        <f t="shared" si="196"/>
        <v>0</v>
      </c>
      <c r="AP362" s="71">
        <f t="shared" si="197"/>
        <v>218</v>
      </c>
      <c r="AQ362" s="72">
        <f>IF(OR($H362="GIROSSOL II",$H362="GIROSSOL II e III"),INDEX('Resumo Operacional'!$A$1:$P$1103,MATCH("Energia Injetada prevista total Fatura da Usina (TUSD)",'Resumo Operacional'!$B$1:$B$1103,0),MATCH('Detalhe Por UC'!$R362,'Resumo Operacional'!$A$1:$P$1,0))*$S362,INDEX('Resumo Operacional'!$A$1:$P$1103,53,MATCH('Detalhe Por UC'!$R362,'Resumo Operacional'!$A$1:$P$1,0))*$S362)</f>
        <v>218.42000000000002</v>
      </c>
      <c r="AR362" s="71">
        <f t="shared" si="198"/>
        <v>-0.42000000000001592</v>
      </c>
      <c r="AS362" s="73">
        <f t="shared" si="199"/>
        <v>86.81</v>
      </c>
      <c r="AT362" s="74">
        <f t="shared" si="200"/>
        <v>86.81</v>
      </c>
      <c r="AU362" s="74">
        <f t="shared" si="201"/>
        <v>1.1214774114774115</v>
      </c>
      <c r="AV362" s="74">
        <f t="shared" si="202"/>
        <v>105.98250000000002</v>
      </c>
      <c r="AW362" s="74">
        <f t="shared" si="203"/>
        <v>0</v>
      </c>
      <c r="AX362" s="74">
        <f t="shared" si="204"/>
        <v>141.31</v>
      </c>
      <c r="AY362" s="74">
        <f t="shared" si="205"/>
        <v>105.98</v>
      </c>
      <c r="AZ362" s="117">
        <v>105.98</v>
      </c>
      <c r="BA362" s="117">
        <v>105.98</v>
      </c>
      <c r="BC362" s="73" t="str">
        <f t="shared" si="206"/>
        <v/>
      </c>
      <c r="BD362" s="73">
        <f t="shared" si="207"/>
        <v>228.12</v>
      </c>
      <c r="BE362" s="73">
        <f t="shared" si="208"/>
        <v>192.79250000000002</v>
      </c>
      <c r="BF362" s="77">
        <f t="shared" si="209"/>
        <v>35.33</v>
      </c>
      <c r="BG362" s="77">
        <f t="shared" si="210"/>
        <v>10.598999999999998</v>
      </c>
      <c r="BH362" s="77">
        <f t="shared" si="211"/>
        <v>141.31</v>
      </c>
      <c r="BI362" s="78">
        <f t="shared" si="212"/>
        <v>0.25</v>
      </c>
      <c r="BJ362" s="79">
        <f t="shared" si="213"/>
        <v>0.15487462738909344</v>
      </c>
      <c r="BK362" s="80">
        <f t="shared" si="214"/>
        <v>192.79000000000002</v>
      </c>
      <c r="BL362" s="80">
        <f t="shared" si="215"/>
        <v>35.329999999999984</v>
      </c>
      <c r="BM362" s="79">
        <f t="shared" si="216"/>
        <v>0.15487462738909338</v>
      </c>
      <c r="BN362" s="81">
        <f t="shared" si="217"/>
        <v>0.84111111111111114</v>
      </c>
      <c r="BO362" s="82">
        <f t="shared" si="218"/>
        <v>105.98</v>
      </c>
      <c r="BP362" s="81">
        <f t="shared" si="219"/>
        <v>0.84111111111111114</v>
      </c>
      <c r="BQ362" s="81">
        <f t="shared" si="220"/>
        <v>0.84114163614163617</v>
      </c>
      <c r="BR362" s="81">
        <f t="shared" si="221"/>
        <v>1.1215384615384616</v>
      </c>
      <c r="BS362" s="82">
        <f t="shared" si="222"/>
        <v>126</v>
      </c>
      <c r="BT362" s="82">
        <f t="shared" si="223"/>
        <v>141.31384615384616</v>
      </c>
      <c r="BU362" s="82">
        <f t="shared" si="224"/>
        <v>141.31</v>
      </c>
      <c r="BW362" s="82">
        <f>IFERROR(INDEX('Infos Clientes'!$T:$T,MATCH('Detalhe Por UC'!$C362,'Infos Clientes'!B:B,0)),"")</f>
        <v>0</v>
      </c>
      <c r="BX362" s="83">
        <f t="shared" si="225"/>
        <v>0</v>
      </c>
      <c r="BY362" s="84">
        <f t="shared" si="226"/>
        <v>0.25001088684216255</v>
      </c>
      <c r="BZ362" s="85">
        <f>IF(_xlfn.MINIFS('Detalhe Por UC'!R:R,'Detalhe Por UC'!C:C,C362,'Detalhe Por UC'!AD:AD,"&gt;"&amp;0)=0,"",_xlfn.MINIFS('Detalhe Por UC'!R:R,'Detalhe Por UC'!C:C,C362,'Detalhe Por UC'!AD:AD,"&gt;"&amp;0))</f>
        <v>45658</v>
      </c>
      <c r="CA362" s="114">
        <f ca="1">IF(OR(S362&gt;0,AD362&gt;0),IFERROR(
SUMIFS(INDIRECT("'Infos Clientes'!$W"&amp;INDEX('Infos Clientes'!$C:$C,MATCH(C362,'Infos Clientes'!$H:$H,0))&amp;":$CZ"&amp;INDEX('Infos Clientes'!$C:$C,MATCH(C362,'Infos Clientes'!$H:$H,0))),'Infos Clientes'!$W$2:$CZ$2,"&gt;"&amp;$R362-365,'Infos Clientes'!$W$2:$CZ$2,"&lt;="&amp;$R362)/
COUNTIFS(INDIRECT("'Infos Clientes'!$W"&amp;INDEX('Infos Clientes'!$C:$C,MATCH(C362,'Infos Clientes'!$H:$H,0))&amp;":$CZ"&amp;INDEX('Infos Clientes'!$C:$C,MATCH(C362,'Infos Clientes'!$H:$H,0))),"&gt;="&amp;0,'Infos Clientes'!$W$2:$CZ$2,"&gt;"&amp;$R362-365,'Infos Clientes'!$W$2:$CZ$2,"&lt;="&amp;$R362),""),"")</f>
        <v>170.5</v>
      </c>
      <c r="CB362" s="87">
        <f>VLOOKUP(C362,'Infos Clientes'!B:L,11,0)</f>
        <v>0</v>
      </c>
      <c r="CC362" s="88" t="str">
        <f t="shared" si="227"/>
        <v>A Unidade Consumidora 10/150263-2 economizou R$35,33 na fatura referente à abr/2025  consumindo 126 kWh em créditos de energia renovável conforme fatura de energia. A economia foi de 25% em relação ao que seria pago para a Energisa considerando os créditos consumidos. Atenção: Mantenha as contas da Energisa em dia para evitar cortes.</v>
      </c>
      <c r="CD362" s="40"/>
      <c r="CE362" s="18">
        <v>86.81</v>
      </c>
      <c r="CF362" s="115">
        <f t="shared" si="228"/>
        <v>0</v>
      </c>
    </row>
    <row r="363" spans="1:84" ht="16.2" hidden="1" customHeight="1" x14ac:dyDescent="0.3">
      <c r="A363" s="105" t="str">
        <f>INDEX('Infos Clientes'!$D:$D,MATCH('Detalhe Por UC'!C363,'Infos Clientes'!B:B,0))</f>
        <v>IGREJA DO EVANGELHO QUADRANGULAR</v>
      </c>
      <c r="B363" s="106" t="str">
        <f>INDEX('Infos Clientes'!$F:$F,MATCH('Detalhe Por UC'!C363,'Infos Clientes'!B:B,0))</f>
        <v>62.955.505/0156-01</v>
      </c>
      <c r="C363" s="44" t="s">
        <v>32</v>
      </c>
      <c r="D363" t="s">
        <v>351</v>
      </c>
      <c r="E363" s="1" t="s">
        <v>352</v>
      </c>
      <c r="F363" s="56" t="str">
        <f>INDEX('Infos Clientes'!$I:$I,MATCH('Detalhe Por UC'!C363,'Infos Clientes'!B:B,0))</f>
        <v>BT</v>
      </c>
      <c r="G363" s="56" t="str">
        <f>INDEX('Infos Clientes'!$J:$J,MATCH('Detalhe Por UC'!C363,'Infos Clientes'!B:B,0))</f>
        <v>trifasico</v>
      </c>
      <c r="H363" s="108" t="s">
        <v>24</v>
      </c>
      <c r="I363" s="58">
        <f>IFERROR(VLOOKUP(C363,'Infos Clientes'!B:E,4,),"")</f>
        <v>319</v>
      </c>
      <c r="J363" s="109">
        <v>0.25</v>
      </c>
      <c r="K363" s="59">
        <f>INDEX('Infos Clientes'!$M:$M,MATCH('Detalhe Por UC'!C363,'Infos Clientes'!B:B,0))</f>
        <v>0.25</v>
      </c>
      <c r="L363" s="125">
        <v>0</v>
      </c>
      <c r="M363" s="56">
        <f>INDEX('Infos Clientes'!$N:$N,MATCH('Detalhe Por UC'!C363,'Infos Clientes'!B:B,0))</f>
        <v>0</v>
      </c>
      <c r="N363" s="56">
        <f t="shared" si="192"/>
        <v>0</v>
      </c>
      <c r="O363" s="56">
        <f t="shared" si="193"/>
        <v>9</v>
      </c>
      <c r="P363" s="56">
        <f t="shared" si="194"/>
        <v>0</v>
      </c>
      <c r="Q363" s="61">
        <f>IFERROR(IFERROR(INDEX('Infos Clientes'!$A$2:$V$9884,MATCH($C363,'Infos Clientes'!$B$2:$B$9884,0),MATCH(Q$8,'Infos Clientes'!$A$2:$V$2,0)),"")
+IF(OR(INDEX('Infos Clientes'!$A$2:$V$9884,MATCH($C363,'Infos Clientes'!$B$2:$B$9884,0),MATCH("Tempo de Fidelidade (meses)",'Infos Clientes'!$A$2:$V$2,0))=0,R363&gt;=MAX(R:R)),0,
ROUND((MAX(R:R)-R363)/(365/12),0)),"")</f>
        <v>0</v>
      </c>
      <c r="R363" s="111">
        <v>45748</v>
      </c>
      <c r="S363" s="17">
        <v>0</v>
      </c>
      <c r="T363" s="113">
        <f>IF($H363="GIROSSOL II",AP363/INDEX('Resumo Operacional'!$A$1:$P$1103,17,MATCH('Detalhe Por UC'!$R363,'Resumo Operacional'!$A$1:$P$1,0)),
IF($H363="GIROSSOL II e III",AP363/INDEX('Resumo Operacional'!$A$1:$P$1103,17,MATCH('Detalhe Por UC'!$R363,'Resumo Operacional'!$A$1:$P$1,0)),
""))</f>
        <v>0</v>
      </c>
      <c r="U363" s="113" t="str">
        <f>IF($H363="GIROSSOL III",AP363/INDEX('Resumo Operacional'!$A$1:$P$1103,53,MATCH('Detalhe Por UC'!$R363,'Resumo Operacional'!$A$1:$P$1,0)),
IF($H363="GIROSSOL II e III",AP363/INDEX('Resumo Operacional'!$A$1:$P$1103,53,MATCH('Detalhe Por UC'!$R363,'Resumo Operacional'!$A$1:$P$1,0)),
""))</f>
        <v/>
      </c>
      <c r="V363" s="45"/>
      <c r="W363" s="18"/>
      <c r="X363" s="18">
        <v>1.1162413793103447</v>
      </c>
      <c r="Y363" s="18"/>
      <c r="Z363" s="18">
        <v>0</v>
      </c>
      <c r="AA363" s="18"/>
      <c r="AB363" s="18">
        <v>290</v>
      </c>
      <c r="AC363" s="18"/>
      <c r="AD363" s="18">
        <v>0</v>
      </c>
      <c r="AE363" s="35"/>
      <c r="AF363" s="18">
        <v>0</v>
      </c>
      <c r="AG363" s="18">
        <v>0</v>
      </c>
      <c r="AH363" s="18">
        <v>34.630000000000003</v>
      </c>
      <c r="AI363" s="18">
        <v>0</v>
      </c>
      <c r="AJ363" s="18">
        <v>0</v>
      </c>
      <c r="AN363" s="71">
        <f t="shared" si="195"/>
        <v>0</v>
      </c>
      <c r="AO363" s="71">
        <f t="shared" si="196"/>
        <v>0</v>
      </c>
      <c r="AP363" s="71">
        <f t="shared" si="197"/>
        <v>0</v>
      </c>
      <c r="AQ363" s="72">
        <f>IF(OR($H363="GIROSSOL II",$H363="GIROSSOL II e III"),INDEX('Resumo Operacional'!$A$1:$P$1103,MATCH("Energia Injetada prevista total Fatura da Usina (TUSD)",'Resumo Operacional'!$B$1:$B$1103,0),MATCH('Detalhe Por UC'!$R363,'Resumo Operacional'!$A$1:$P$1,0))*$S363,INDEX('Resumo Operacional'!$A$1:$P$1103,53,MATCH('Detalhe Por UC'!$R363,'Resumo Operacional'!$A$1:$P$1,0))*$S363)</f>
        <v>0</v>
      </c>
      <c r="AR363" s="71">
        <f t="shared" si="198"/>
        <v>0</v>
      </c>
      <c r="AS363" s="73">
        <f t="shared" si="199"/>
        <v>358.34</v>
      </c>
      <c r="AT363" s="74">
        <f t="shared" si="200"/>
        <v>358.34</v>
      </c>
      <c r="AU363" s="74" t="str">
        <f t="shared" si="201"/>
        <v/>
      </c>
      <c r="AV363" s="74">
        <f t="shared" si="202"/>
        <v>0</v>
      </c>
      <c r="AW363" s="74">
        <f t="shared" si="203"/>
        <v>0</v>
      </c>
      <c r="AX363" s="74">
        <f t="shared" si="204"/>
        <v>0</v>
      </c>
      <c r="AY363" s="74" t="str">
        <f t="shared" si="205"/>
        <v/>
      </c>
      <c r="AZ363" s="117"/>
      <c r="BA363" s="117">
        <v>0</v>
      </c>
      <c r="BC363" s="73" t="str">
        <f t="shared" si="206"/>
        <v/>
      </c>
      <c r="BD363" s="73">
        <f t="shared" si="207"/>
        <v>358.34</v>
      </c>
      <c r="BE363" s="73">
        <f t="shared" si="208"/>
        <v>358.34</v>
      </c>
      <c r="BF363" s="77">
        <f t="shared" si="209"/>
        <v>0</v>
      </c>
      <c r="BG363" s="77">
        <f t="shared" si="210"/>
        <v>0</v>
      </c>
      <c r="BH363" s="77">
        <f t="shared" si="211"/>
        <v>0</v>
      </c>
      <c r="BI363" s="78" t="str">
        <f t="shared" si="212"/>
        <v/>
      </c>
      <c r="BJ363" s="79">
        <f t="shared" si="213"/>
        <v>0</v>
      </c>
      <c r="BK363" s="80" t="str">
        <f t="shared" si="214"/>
        <v/>
      </c>
      <c r="BL363" s="80" t="str">
        <f t="shared" si="215"/>
        <v/>
      </c>
      <c r="BM363" s="79" t="str">
        <f t="shared" si="216"/>
        <v/>
      </c>
      <c r="BN363" s="81" t="str">
        <f t="shared" si="217"/>
        <v/>
      </c>
      <c r="BO363" s="82" t="str">
        <f t="shared" si="218"/>
        <v/>
      </c>
      <c r="BP363" s="81" t="str">
        <f t="shared" si="219"/>
        <v/>
      </c>
      <c r="BQ363" s="81" t="str">
        <f t="shared" si="220"/>
        <v/>
      </c>
      <c r="BR363" s="81" t="str">
        <f t="shared" si="221"/>
        <v/>
      </c>
      <c r="BS363" s="82">
        <f t="shared" si="222"/>
        <v>0</v>
      </c>
      <c r="BT363" s="82" t="str">
        <f t="shared" si="223"/>
        <v/>
      </c>
      <c r="BU363" s="82">
        <f t="shared" si="224"/>
        <v>0</v>
      </c>
      <c r="BW363" s="82">
        <f>IFERROR(INDEX('Infos Clientes'!$T:$T,MATCH('Detalhe Por UC'!$C363,'Infos Clientes'!B:B,0)),"")</f>
        <v>236.08333333333334</v>
      </c>
      <c r="BX363" s="83">
        <f t="shared" si="225"/>
        <v>0</v>
      </c>
      <c r="BY363" s="84" t="str">
        <f t="shared" si="226"/>
        <v/>
      </c>
      <c r="BZ363" s="85">
        <f>IF(_xlfn.MINIFS('Detalhe Por UC'!R:R,'Detalhe Por UC'!C:C,C363,'Detalhe Por UC'!AD:AD,"&gt;"&amp;0)=0,"",_xlfn.MINIFS('Detalhe Por UC'!R:R,'Detalhe Por UC'!C:C,C363,'Detalhe Por UC'!AD:AD,"&gt;"&amp;0))</f>
        <v>45627</v>
      </c>
      <c r="CA363" s="114" t="str">
        <f ca="1">IF(OR(S363&gt;0,AD363&gt;0),IFERROR(
SUMIFS(INDIRECT("'Infos Clientes'!$W"&amp;INDEX('Infos Clientes'!$C:$C,MATCH(C363,'Infos Clientes'!$H:$H,0))&amp;":$CZ"&amp;INDEX('Infos Clientes'!$C:$C,MATCH(C363,'Infos Clientes'!$H:$H,0))),'Infos Clientes'!$W$2:$CZ$2,"&gt;"&amp;$R363-365,'Infos Clientes'!$W$2:$CZ$2,"&lt;="&amp;$R363)/
COUNTIFS(INDIRECT("'Infos Clientes'!$W"&amp;INDEX('Infos Clientes'!$C:$C,MATCH(C363,'Infos Clientes'!$H:$H,0))&amp;":$CZ"&amp;INDEX('Infos Clientes'!$C:$C,MATCH(C363,'Infos Clientes'!$H:$H,0))),"&gt;="&amp;0,'Infos Clientes'!$W$2:$CZ$2,"&gt;"&amp;$R363-365,'Infos Clientes'!$W$2:$CZ$2,"&lt;="&amp;$R363),""),"")</f>
        <v/>
      </c>
      <c r="CB363" s="87">
        <f>VLOOKUP(C363,'Infos Clientes'!B:L,11,0)</f>
        <v>0</v>
      </c>
      <c r="CC363" s="88" t="str">
        <f t="shared" si="227"/>
        <v>A Unidade Consumidora 10/113971-6 economizou R$0 na fatura referente à abr/2025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63" s="40" t="s">
        <v>34</v>
      </c>
      <c r="CE363" s="18">
        <v>358.34</v>
      </c>
      <c r="CF363" s="115">
        <f t="shared" si="228"/>
        <v>0</v>
      </c>
    </row>
    <row r="364" spans="1:84" ht="16.2" hidden="1" customHeight="1" x14ac:dyDescent="0.3">
      <c r="A364" s="105" t="str">
        <f>INDEX('Infos Clientes'!$D:$D,MATCH('Detalhe Por UC'!C364,'Infos Clientes'!B:B,0))</f>
        <v>IGREJA DO EVANGELHO QUADRANGULAR</v>
      </c>
      <c r="B364" s="106" t="str">
        <f>INDEX('Infos Clientes'!$F:$F,MATCH('Detalhe Por UC'!C364,'Infos Clientes'!B:B,0))</f>
        <v>62.955.505/1490-47</v>
      </c>
      <c r="C364" s="44" t="s">
        <v>35</v>
      </c>
      <c r="D364" t="s">
        <v>351</v>
      </c>
      <c r="E364" s="1" t="s">
        <v>352</v>
      </c>
      <c r="F364" s="56" t="str">
        <f>INDEX('Infos Clientes'!$I:$I,MATCH('Detalhe Por UC'!C364,'Infos Clientes'!B:B,0))</f>
        <v>BT</v>
      </c>
      <c r="G364" s="56" t="str">
        <f>INDEX('Infos Clientes'!$J:$J,MATCH('Detalhe Por UC'!C364,'Infos Clientes'!B:B,0))</f>
        <v>trifasico</v>
      </c>
      <c r="H364" s="108" t="s">
        <v>24</v>
      </c>
      <c r="I364" s="58">
        <f>IFERROR(VLOOKUP(C364,'Infos Clientes'!B:E,4,),"")</f>
        <v>319</v>
      </c>
      <c r="J364" s="109">
        <v>0.25</v>
      </c>
      <c r="K364" s="59">
        <f>INDEX('Infos Clientes'!$M:$M,MATCH('Detalhe Por UC'!C364,'Infos Clientes'!B:B,0))</f>
        <v>0.25</v>
      </c>
      <c r="L364" s="125">
        <v>0</v>
      </c>
      <c r="M364" s="56">
        <f>INDEX('Infos Clientes'!$N:$N,MATCH('Detalhe Por UC'!C364,'Infos Clientes'!B:B,0))</f>
        <v>0</v>
      </c>
      <c r="N364" s="56">
        <f t="shared" si="192"/>
        <v>0</v>
      </c>
      <c r="O364" s="56">
        <f t="shared" si="193"/>
        <v>12</v>
      </c>
      <c r="P364" s="56">
        <f t="shared" si="194"/>
        <v>0</v>
      </c>
      <c r="Q364" s="61">
        <f>IFERROR(IFERROR(INDEX('Infos Clientes'!$A$2:$V$9884,MATCH($C364,'Infos Clientes'!$B$2:$B$9884,0),MATCH(Q$8,'Infos Clientes'!$A$2:$V$2,0)),"")
+IF(OR(INDEX('Infos Clientes'!$A$2:$V$9884,MATCH($C364,'Infos Clientes'!$B$2:$B$9884,0),MATCH("Tempo de Fidelidade (meses)",'Infos Clientes'!$A$2:$V$2,0))=0,R364&gt;=MAX(R:R)),0,
ROUND((MAX(R:R)-R364)/(365/12),0)),"")</f>
        <v>0</v>
      </c>
      <c r="R364" s="111">
        <v>45748</v>
      </c>
      <c r="S364" s="17">
        <v>0.01</v>
      </c>
      <c r="T364" s="113">
        <f>IF($H364="GIROSSOL II",AP364/INDEX('Resumo Operacional'!$A$1:$P$1103,17,MATCH('Detalhe Por UC'!$R364,'Resumo Operacional'!$A$1:$P$1,0)),
IF($H364="GIROSSOL II e III",AP364/INDEX('Resumo Operacional'!$A$1:$P$1103,17,MATCH('Detalhe Por UC'!$R364,'Resumo Operacional'!$A$1:$P$1,0)),
""))</f>
        <v>1.0988004761468729E-2</v>
      </c>
      <c r="U364" s="113" t="str">
        <f>IF($H364="GIROSSOL III",AP364/INDEX('Resumo Operacional'!$A$1:$P$1103,53,MATCH('Detalhe Por UC'!$R364,'Resumo Operacional'!$A$1:$P$1,0)),
IF($H364="GIROSSOL II e III",AP364/INDEX('Resumo Operacional'!$A$1:$P$1103,53,MATCH('Detalhe Por UC'!$R364,'Resumo Operacional'!$A$1:$P$1,0)),
""))</f>
        <v/>
      </c>
      <c r="V364" s="45"/>
      <c r="W364" s="18"/>
      <c r="X364" s="18">
        <v>1.1168769716088329</v>
      </c>
      <c r="Y364" s="18"/>
      <c r="Z364" s="18">
        <v>1.0392437000000001</v>
      </c>
      <c r="AA364" s="18"/>
      <c r="AB364" s="18">
        <v>317</v>
      </c>
      <c r="AC364" s="18"/>
      <c r="AD364" s="18">
        <v>238</v>
      </c>
      <c r="AE364" s="35"/>
      <c r="AF364" s="18">
        <v>284</v>
      </c>
      <c r="AG364" s="18">
        <v>0</v>
      </c>
      <c r="AH364" s="18">
        <v>68.95</v>
      </c>
      <c r="AI364" s="18">
        <v>0</v>
      </c>
      <c r="AJ364" s="18">
        <v>0</v>
      </c>
      <c r="AN364" s="71">
        <f t="shared" si="195"/>
        <v>-118</v>
      </c>
      <c r="AO364" s="71">
        <f t="shared" si="196"/>
        <v>0</v>
      </c>
      <c r="AP364" s="71">
        <f t="shared" si="197"/>
        <v>120</v>
      </c>
      <c r="AQ364" s="72">
        <f>IF(OR($H364="GIROSSOL II",$H364="GIROSSOL II e III"),INDEX('Resumo Operacional'!$A$1:$P$1103,MATCH("Energia Injetada prevista total Fatura da Usina (TUSD)",'Resumo Operacional'!$B$1:$B$1103,0),MATCH('Detalhe Por UC'!$R364,'Resumo Operacional'!$A$1:$P$1,0))*$S364,INDEX('Resumo Operacional'!$A$1:$P$1103,53,MATCH('Detalhe Por UC'!$R364,'Resumo Operacional'!$A$1:$P$1,0))*$S364)</f>
        <v>109.21000000000001</v>
      </c>
      <c r="AR364" s="71">
        <f t="shared" si="198"/>
        <v>10.789999999999992</v>
      </c>
      <c r="AS364" s="73">
        <f t="shared" si="199"/>
        <v>175.6599994</v>
      </c>
      <c r="AT364" s="74">
        <f t="shared" si="200"/>
        <v>175.6599994</v>
      </c>
      <c r="AU364" s="74">
        <f t="shared" si="201"/>
        <v>0.96161042839116728</v>
      </c>
      <c r="AV364" s="74">
        <f t="shared" si="202"/>
        <v>185.50500045000001</v>
      </c>
      <c r="AW364" s="74">
        <f t="shared" si="203"/>
        <v>0</v>
      </c>
      <c r="AX364" s="74">
        <f t="shared" si="204"/>
        <v>247.34000060000002</v>
      </c>
      <c r="AY364" s="74">
        <f t="shared" si="205"/>
        <v>185.51</v>
      </c>
      <c r="AZ364" s="117">
        <v>185.51</v>
      </c>
      <c r="BA364" s="117">
        <v>185.51</v>
      </c>
      <c r="BB364" s="49">
        <v>185.51</v>
      </c>
      <c r="BC364" s="73" t="str">
        <f t="shared" si="206"/>
        <v/>
      </c>
      <c r="BD364" s="73">
        <f t="shared" si="207"/>
        <v>423</v>
      </c>
      <c r="BE364" s="73">
        <f t="shared" si="208"/>
        <v>361.16499985000002</v>
      </c>
      <c r="BF364" s="77">
        <f t="shared" si="209"/>
        <v>61.84</v>
      </c>
      <c r="BG364" s="77">
        <f t="shared" si="210"/>
        <v>18.552</v>
      </c>
      <c r="BH364" s="77">
        <f t="shared" si="211"/>
        <v>247.34000060000005</v>
      </c>
      <c r="BI364" s="78">
        <f t="shared" si="212"/>
        <v>0.25</v>
      </c>
      <c r="BJ364" s="79">
        <f t="shared" si="213"/>
        <v>0.14619385342789598</v>
      </c>
      <c r="BK364" s="80">
        <f t="shared" si="214"/>
        <v>361.16999939999999</v>
      </c>
      <c r="BL364" s="80">
        <f t="shared" si="215"/>
        <v>61.830000600000005</v>
      </c>
      <c r="BM364" s="79">
        <f t="shared" si="216"/>
        <v>0.14617021418439718</v>
      </c>
      <c r="BN364" s="81">
        <f t="shared" si="217"/>
        <v>0.77945378151260503</v>
      </c>
      <c r="BO364" s="82">
        <f t="shared" si="218"/>
        <v>185.51</v>
      </c>
      <c r="BP364" s="81">
        <f t="shared" si="219"/>
        <v>0.77945378151260503</v>
      </c>
      <c r="BQ364" s="81">
        <f t="shared" si="220"/>
        <v>0.85708705312143785</v>
      </c>
      <c r="BR364" s="81">
        <f t="shared" si="221"/>
        <v>1.1168769716088329</v>
      </c>
      <c r="BS364" s="82">
        <f t="shared" si="222"/>
        <v>238</v>
      </c>
      <c r="BT364" s="82">
        <f t="shared" si="223"/>
        <v>265.81671924290225</v>
      </c>
      <c r="BU364" s="82">
        <f t="shared" si="224"/>
        <v>247.34000060000002</v>
      </c>
      <c r="BW364" s="82">
        <f>IFERROR(INDEX('Infos Clientes'!$T:$T,MATCH('Detalhe Por UC'!$C364,'Infos Clientes'!B:B,0)),"")</f>
        <v>182.25</v>
      </c>
      <c r="BX364" s="83">
        <f t="shared" si="225"/>
        <v>0</v>
      </c>
      <c r="BY364" s="84">
        <f t="shared" si="226"/>
        <v>0.23260388126113327</v>
      </c>
      <c r="BZ364" s="85">
        <f>IF(_xlfn.MINIFS('Detalhe Por UC'!R:R,'Detalhe Por UC'!C:C,C364,'Detalhe Por UC'!AD:AD,"&gt;"&amp;0)=0,"",_xlfn.MINIFS('Detalhe Por UC'!R:R,'Detalhe Por UC'!C:C,C364,'Detalhe Por UC'!AD:AD,"&gt;"&amp;0))</f>
        <v>45627</v>
      </c>
      <c r="CA364" s="114">
        <f ca="1">IF(OR(S364&gt;0,AD364&gt;0),IFERROR(
SUMIFS(INDIRECT("'Infos Clientes'!$W"&amp;INDEX('Infos Clientes'!$C:$C,MATCH(C364,'Infos Clientes'!$H:$H,0))&amp;":$CZ"&amp;INDEX('Infos Clientes'!$C:$C,MATCH(C364,'Infos Clientes'!$H:$H,0))),'Infos Clientes'!$W$2:$CZ$2,"&gt;"&amp;$R364-365,'Infos Clientes'!$W$2:$CZ$2,"&lt;="&amp;$R364)/
COUNTIFS(INDIRECT("'Infos Clientes'!$W"&amp;INDEX('Infos Clientes'!$C:$C,MATCH(C364,'Infos Clientes'!$H:$H,0))&amp;":$CZ"&amp;INDEX('Infos Clientes'!$C:$C,MATCH(C364,'Infos Clientes'!$H:$H,0))),"&gt;="&amp;0,'Infos Clientes'!$W$2:$CZ$2,"&gt;"&amp;$R364-365,'Infos Clientes'!$W$2:$CZ$2,"&lt;="&amp;$R364),""),"")</f>
        <v>213</v>
      </c>
      <c r="CB364" s="87">
        <f>VLOOKUP(C364,'Infos Clientes'!B:L,11,0)</f>
        <v>0</v>
      </c>
      <c r="CC364" s="88" t="str">
        <f t="shared" si="227"/>
        <v>A Unidade Consumidora 10/1184751-4 economizou R$61,84 na fatura referente à abr/2025  consumindo 238 kWh em créditos de energia renovável conforme fatura de energia. A economia foi de 25% em relação ao que seria pago para a Energisa considerando os créditos consumidos. Atenção: Mantenha as contas da Energisa em dia para evitar cortes.</v>
      </c>
      <c r="CD364" s="40" t="s">
        <v>37</v>
      </c>
      <c r="CE364" s="18">
        <v>175.66</v>
      </c>
      <c r="CF364" s="115">
        <f t="shared" si="228"/>
        <v>5.9999999280080374E-7</v>
      </c>
    </row>
    <row r="365" spans="1:84" ht="16.2" hidden="1" customHeight="1" x14ac:dyDescent="0.3">
      <c r="A365" s="105" t="str">
        <f>INDEX('Infos Clientes'!$D:$D,MATCH('Detalhe Por UC'!C365,'Infos Clientes'!B:B,0))</f>
        <v>IGREJA DO EVANGELHO QUADRANGULAR</v>
      </c>
      <c r="B365" s="106" t="str">
        <f>INDEX('Infos Clientes'!$F:$F,MATCH('Detalhe Por UC'!C365,'Infos Clientes'!B:B,0))</f>
        <v>62.955.505/0172-13</v>
      </c>
      <c r="C365" s="44" t="s">
        <v>79</v>
      </c>
      <c r="D365" t="s">
        <v>351</v>
      </c>
      <c r="E365" s="1" t="s">
        <v>352</v>
      </c>
      <c r="F365" s="56" t="str">
        <f>INDEX('Infos Clientes'!$I:$I,MATCH('Detalhe Por UC'!C365,'Infos Clientes'!B:B,0))</f>
        <v>BT</v>
      </c>
      <c r="G365" s="56" t="str">
        <f>INDEX('Infos Clientes'!$J:$J,MATCH('Detalhe Por UC'!C365,'Infos Clientes'!B:B,0))</f>
        <v>trifasico</v>
      </c>
      <c r="H365" s="108" t="s">
        <v>24</v>
      </c>
      <c r="I365" s="58">
        <f>IFERROR(VLOOKUP(C365,'Infos Clientes'!B:E,4,),"")</f>
        <v>371</v>
      </c>
      <c r="J365" s="109">
        <v>0.25</v>
      </c>
      <c r="K365" s="59">
        <f>INDEX('Infos Clientes'!$M:$M,MATCH('Detalhe Por UC'!C365,'Infos Clientes'!B:B,0))</f>
        <v>0.25</v>
      </c>
      <c r="L365" s="125">
        <v>0</v>
      </c>
      <c r="M365" s="56">
        <f>INDEX('Infos Clientes'!$N:$N,MATCH('Detalhe Por UC'!C365,'Infos Clientes'!B:B,0))</f>
        <v>0</v>
      </c>
      <c r="N365" s="56">
        <f t="shared" si="192"/>
        <v>0</v>
      </c>
      <c r="O365" s="56">
        <f t="shared" si="193"/>
        <v>8</v>
      </c>
      <c r="P365" s="56">
        <f t="shared" si="194"/>
        <v>0</v>
      </c>
      <c r="Q365" s="61">
        <f>IFERROR(IFERROR(INDEX('Infos Clientes'!$A$2:$V$9884,MATCH($C365,'Infos Clientes'!$B$2:$B$9884,0),MATCH(Q$8,'Infos Clientes'!$A$2:$V$2,0)),"")
+IF(OR(INDEX('Infos Clientes'!$A$2:$V$9884,MATCH($C365,'Infos Clientes'!$B$2:$B$9884,0),MATCH("Tempo de Fidelidade (meses)",'Infos Clientes'!$A$2:$V$2,0))=0,R365&gt;=MAX(R:R)),0,
ROUND((MAX(R:R)-R365)/(365/12),0)),"")</f>
        <v>0</v>
      </c>
      <c r="R365" s="111">
        <v>45748</v>
      </c>
      <c r="S365" s="17">
        <v>6.0000000000000001E-3</v>
      </c>
      <c r="T365" s="113">
        <f>IF($H365="GIROSSOL II",AP365/INDEX('Resumo Operacional'!$A$1:$P$1103,17,MATCH('Detalhe Por UC'!$R365,'Resumo Operacional'!$A$1:$P$1,0)),
IF($H365="GIROSSOL II e III",AP365/INDEX('Resumo Operacional'!$A$1:$P$1103,17,MATCH('Detalhe Por UC'!$R365,'Resumo Operacional'!$A$1:$P$1,0)),
""))</f>
        <v>6.5928028568812379E-3</v>
      </c>
      <c r="U365" s="113" t="str">
        <f>IF($H365="GIROSSOL III",AP365/INDEX('Resumo Operacional'!$A$1:$P$1103,53,MATCH('Detalhe Por UC'!$R365,'Resumo Operacional'!$A$1:$P$1,0)),
IF($H365="GIROSSOL II e III",AP365/INDEX('Resumo Operacional'!$A$1:$P$1103,53,MATCH('Detalhe Por UC'!$R365,'Resumo Operacional'!$A$1:$P$1,0)),
""))</f>
        <v/>
      </c>
      <c r="V365" s="45"/>
      <c r="W365" s="18"/>
      <c r="X365" s="18">
        <v>1.1194078947368422</v>
      </c>
      <c r="Y365" s="18"/>
      <c r="Z365" s="18">
        <v>1.0580000000000001</v>
      </c>
      <c r="AA365" s="18"/>
      <c r="AB365" s="18">
        <v>152</v>
      </c>
      <c r="AC365" s="18"/>
      <c r="AD365" s="18">
        <v>55</v>
      </c>
      <c r="AE365" s="35"/>
      <c r="AF365" s="18">
        <v>460</v>
      </c>
      <c r="AG365" s="18">
        <v>0</v>
      </c>
      <c r="AH365" s="18">
        <v>15.41</v>
      </c>
      <c r="AI365" s="18">
        <v>0</v>
      </c>
      <c r="AJ365" s="18">
        <v>0</v>
      </c>
      <c r="AN365" s="71">
        <f t="shared" si="195"/>
        <v>17</v>
      </c>
      <c r="AO365" s="71">
        <f t="shared" si="196"/>
        <v>0</v>
      </c>
      <c r="AP365" s="71">
        <f t="shared" si="197"/>
        <v>72</v>
      </c>
      <c r="AQ365" s="72">
        <f>IF(OR($H365="GIROSSOL II",$H365="GIROSSOL II e III"),INDEX('Resumo Operacional'!$A$1:$P$1103,MATCH("Energia Injetada prevista total Fatura da Usina (TUSD)",'Resumo Operacional'!$B$1:$B$1103,0),MATCH('Detalhe Por UC'!$R365,'Resumo Operacional'!$A$1:$P$1,0))*$S365,INDEX('Resumo Operacional'!$A$1:$P$1103,53,MATCH('Detalhe Por UC'!$R365,'Resumo Operacional'!$A$1:$P$1,0))*$S365)</f>
        <v>65.525999999999996</v>
      </c>
      <c r="AR365" s="71">
        <f t="shared" si="198"/>
        <v>6.4740000000000038</v>
      </c>
      <c r="AS365" s="73">
        <f t="shared" si="199"/>
        <v>127.37</v>
      </c>
      <c r="AT365" s="74">
        <f t="shared" si="200"/>
        <v>127.37</v>
      </c>
      <c r="AU365" s="74">
        <f t="shared" si="201"/>
        <v>0.99659210526315789</v>
      </c>
      <c r="AV365" s="74">
        <f t="shared" si="202"/>
        <v>43.642500000000005</v>
      </c>
      <c r="AW365" s="74">
        <f t="shared" si="203"/>
        <v>0</v>
      </c>
      <c r="AX365" s="74">
        <f t="shared" si="204"/>
        <v>58.190000000000005</v>
      </c>
      <c r="AY365" s="74">
        <f t="shared" si="205"/>
        <v>43.64</v>
      </c>
      <c r="AZ365" s="117">
        <v>43.64</v>
      </c>
      <c r="BA365" s="117">
        <v>43.64</v>
      </c>
      <c r="BB365" s="49">
        <v>43.64</v>
      </c>
      <c r="BC365" s="73" t="str">
        <f t="shared" si="206"/>
        <v/>
      </c>
      <c r="BD365" s="73">
        <f t="shared" si="207"/>
        <v>185.56</v>
      </c>
      <c r="BE365" s="73">
        <f t="shared" si="208"/>
        <v>171.01250000000002</v>
      </c>
      <c r="BF365" s="77">
        <f t="shared" si="209"/>
        <v>14.55</v>
      </c>
      <c r="BG365" s="77">
        <f t="shared" si="210"/>
        <v>4.3650000000000002</v>
      </c>
      <c r="BH365" s="77">
        <f t="shared" si="211"/>
        <v>58.190000000000005</v>
      </c>
      <c r="BI365" s="78">
        <f t="shared" si="212"/>
        <v>0.25</v>
      </c>
      <c r="BJ365" s="79">
        <f t="shared" si="213"/>
        <v>7.8411295537831438E-2</v>
      </c>
      <c r="BK365" s="80">
        <f t="shared" si="214"/>
        <v>171.01</v>
      </c>
      <c r="BL365" s="80">
        <f t="shared" si="215"/>
        <v>14.550000000000011</v>
      </c>
      <c r="BM365" s="79">
        <f t="shared" si="216"/>
        <v>7.8411295537831494E-2</v>
      </c>
      <c r="BN365" s="81">
        <f t="shared" si="217"/>
        <v>0.79345454545454541</v>
      </c>
      <c r="BO365" s="82">
        <f t="shared" si="218"/>
        <v>43.64</v>
      </c>
      <c r="BP365" s="81">
        <f t="shared" si="219"/>
        <v>0.79345454545454541</v>
      </c>
      <c r="BQ365" s="81">
        <f t="shared" si="220"/>
        <v>0.85486244019138757</v>
      </c>
      <c r="BR365" s="81">
        <f t="shared" si="221"/>
        <v>1.1194078947368422</v>
      </c>
      <c r="BS365" s="82">
        <f t="shared" si="222"/>
        <v>55</v>
      </c>
      <c r="BT365" s="82">
        <f t="shared" si="223"/>
        <v>61.567434210526322</v>
      </c>
      <c r="BU365" s="82">
        <f t="shared" si="224"/>
        <v>58.190000000000005</v>
      </c>
      <c r="BW365" s="82">
        <f>IFERROR(INDEX('Infos Clientes'!$T:$T,MATCH('Detalhe Por UC'!$C365,'Infos Clientes'!B:B,0)),"")</f>
        <v>166.66666666666666</v>
      </c>
      <c r="BX365" s="83">
        <f t="shared" si="225"/>
        <v>0</v>
      </c>
      <c r="BY365" s="84">
        <f t="shared" si="226"/>
        <v>0.23632623620869292</v>
      </c>
      <c r="BZ365" s="85">
        <f>IF(_xlfn.MINIFS('Detalhe Por UC'!R:R,'Detalhe Por UC'!C:C,C365,'Detalhe Por UC'!AD:AD,"&gt;"&amp;0)=0,"",_xlfn.MINIFS('Detalhe Por UC'!R:R,'Detalhe Por UC'!C:C,C365,'Detalhe Por UC'!AD:AD,"&gt;"&amp;0))</f>
        <v>45627</v>
      </c>
      <c r="CA365" s="114">
        <f ca="1">IF(OR(S365&gt;0,AD365&gt;0),IFERROR(
SUMIFS(INDIRECT("'Infos Clientes'!$W"&amp;INDEX('Infos Clientes'!$C:$C,MATCH(C365,'Infos Clientes'!$H:$H,0))&amp;":$CZ"&amp;INDEX('Infos Clientes'!$C:$C,MATCH(C365,'Infos Clientes'!$H:$H,0))),'Infos Clientes'!$W$2:$CZ$2,"&gt;"&amp;$R365-365,'Infos Clientes'!$W$2:$CZ$2,"&lt;="&amp;$R365)/
COUNTIFS(INDIRECT("'Infos Clientes'!$W"&amp;INDEX('Infos Clientes'!$C:$C,MATCH(C365,'Infos Clientes'!$H:$H,0))&amp;":$CZ"&amp;INDEX('Infos Clientes'!$C:$C,MATCH(C365,'Infos Clientes'!$H:$H,0))),"&gt;="&amp;0,'Infos Clientes'!$W$2:$CZ$2,"&gt;"&amp;$R365-365,'Infos Clientes'!$W$2:$CZ$2,"&lt;="&amp;$R365),""),"")</f>
        <v>176.66666666666666</v>
      </c>
      <c r="CB365" s="87">
        <f>VLOOKUP(C365,'Infos Clientes'!B:L,11,0)</f>
        <v>0</v>
      </c>
      <c r="CC365" s="88" t="str">
        <f t="shared" si="227"/>
        <v>A Unidade Consumidora 10/237441-1 economizou R$14,55 na fatura referente à abr/2025  consumindo 55 kWh em créditos de energia renovável conforme fatura de energia. A economia foi de 25% em relação ao que seria pago para a Energisa considerando os créditos consumidos. Atenção: Mantenha as contas da Energisa em dia para evitar cortes.</v>
      </c>
      <c r="CD365" s="40" t="s">
        <v>80</v>
      </c>
      <c r="CE365" s="18">
        <v>127.37</v>
      </c>
      <c r="CF365" s="115">
        <f t="shared" si="228"/>
        <v>0</v>
      </c>
    </row>
    <row r="366" spans="1:84" ht="16.2" hidden="1" customHeight="1" x14ac:dyDescent="0.3">
      <c r="A366" s="105" t="str">
        <f>INDEX('Infos Clientes'!$D:$D,MATCH('Detalhe Por UC'!C366,'Infos Clientes'!B:B,0))</f>
        <v>IGREJA DO EVANGELHO QUADRANGULAR</v>
      </c>
      <c r="B366" s="106" t="str">
        <f>INDEX('Infos Clientes'!$F:$F,MATCH('Detalhe Por UC'!C366,'Infos Clientes'!B:B,0))</f>
        <v>62.955.505/4612-10</v>
      </c>
      <c r="C366" s="44" t="s">
        <v>57</v>
      </c>
      <c r="D366" t="s">
        <v>351</v>
      </c>
      <c r="E366" s="1" t="s">
        <v>352</v>
      </c>
      <c r="F366" s="56" t="str">
        <f>INDEX('Infos Clientes'!$I:$I,MATCH('Detalhe Por UC'!C366,'Infos Clientes'!B:B,0))</f>
        <v>BT</v>
      </c>
      <c r="G366" s="56" t="str">
        <f>INDEX('Infos Clientes'!$J:$J,MATCH('Detalhe Por UC'!C366,'Infos Clientes'!B:B,0))</f>
        <v>trifasico</v>
      </c>
      <c r="H366" s="108" t="s">
        <v>24</v>
      </c>
      <c r="I366" s="58">
        <f>IFERROR(VLOOKUP(C366,'Infos Clientes'!B:E,4,),"")</f>
        <v>306</v>
      </c>
      <c r="J366" s="109">
        <v>0.25</v>
      </c>
      <c r="K366" s="59">
        <f>INDEX('Infos Clientes'!$M:$M,MATCH('Detalhe Por UC'!C366,'Infos Clientes'!B:B,0))</f>
        <v>0.25</v>
      </c>
      <c r="L366" s="125">
        <v>0</v>
      </c>
      <c r="M366" s="56">
        <f>INDEX('Infos Clientes'!$N:$N,MATCH('Detalhe Por UC'!C366,'Infos Clientes'!B:B,0))</f>
        <v>0</v>
      </c>
      <c r="N366" s="56">
        <f t="shared" si="192"/>
        <v>0</v>
      </c>
      <c r="O366" s="56">
        <f t="shared" si="193"/>
        <v>12</v>
      </c>
      <c r="P366" s="56">
        <f t="shared" si="194"/>
        <v>0</v>
      </c>
      <c r="Q366" s="61">
        <f>IFERROR(IFERROR(INDEX('Infos Clientes'!$A$2:$V$9884,MATCH($C366,'Infos Clientes'!$B$2:$B$9884,0),MATCH(Q$8,'Infos Clientes'!$A$2:$V$2,0)),"")
+IF(OR(INDEX('Infos Clientes'!$A$2:$V$9884,MATCH($C366,'Infos Clientes'!$B$2:$B$9884,0),MATCH("Tempo de Fidelidade (meses)",'Infos Clientes'!$A$2:$V$2,0))=0,R366&gt;=MAX(R:R)),0,
ROUND((MAX(R:R)-R366)/(365/12),0)),"")</f>
        <v>0</v>
      </c>
      <c r="R366" s="111">
        <v>45748</v>
      </c>
      <c r="S366" s="17">
        <v>6.0000000000000001E-3</v>
      </c>
      <c r="T366" s="113">
        <f>IF($H366="GIROSSOL II",AP366/INDEX('Resumo Operacional'!$A$1:$P$1103,17,MATCH('Detalhe Por UC'!$R366,'Resumo Operacional'!$A$1:$P$1,0)),
IF($H366="GIROSSOL II e III",AP366/INDEX('Resumo Operacional'!$A$1:$P$1103,17,MATCH('Detalhe Por UC'!$R366,'Resumo Operacional'!$A$1:$P$1,0)),
""))</f>
        <v>6.5928028568812379E-3</v>
      </c>
      <c r="U366" s="113" t="str">
        <f>IF($H366="GIROSSOL III",AP366/INDEX('Resumo Operacional'!$A$1:$P$1103,53,MATCH('Detalhe Por UC'!$R366,'Resumo Operacional'!$A$1:$P$1,0)),
IF($H366="GIROSSOL II e III",AP366/INDEX('Resumo Operacional'!$A$1:$P$1103,53,MATCH('Detalhe Por UC'!$R366,'Resumo Operacional'!$A$1:$P$1,0)),
""))</f>
        <v/>
      </c>
      <c r="V366" s="45"/>
      <c r="W366" s="18"/>
      <c r="X366" s="18">
        <v>1.1172090395480225</v>
      </c>
      <c r="Y366" s="18"/>
      <c r="Z366" s="18">
        <v>1.1170833333333334</v>
      </c>
      <c r="AA366" s="18"/>
      <c r="AB366" s="18">
        <v>885</v>
      </c>
      <c r="AC366" s="18"/>
      <c r="AD366" s="18">
        <v>72</v>
      </c>
      <c r="AE366" s="35"/>
      <c r="AF366" s="18">
        <v>0</v>
      </c>
      <c r="AG366" s="18">
        <v>0</v>
      </c>
      <c r="AH366" s="18">
        <v>123.35</v>
      </c>
      <c r="AI366" s="18">
        <v>0</v>
      </c>
      <c r="AJ366" s="18">
        <v>0</v>
      </c>
      <c r="AN366" s="71">
        <f t="shared" si="195"/>
        <v>0</v>
      </c>
      <c r="AO366" s="71">
        <f t="shared" si="196"/>
        <v>0</v>
      </c>
      <c r="AP366" s="71">
        <f t="shared" si="197"/>
        <v>72</v>
      </c>
      <c r="AQ366" s="72">
        <f>IF(OR($H366="GIROSSOL II",$H366="GIROSSOL II e III"),INDEX('Resumo Operacional'!$A$1:$P$1103,MATCH("Energia Injetada prevista total Fatura da Usina (TUSD)",'Resumo Operacional'!$B$1:$B$1103,0),MATCH('Detalhe Por UC'!$R366,'Resumo Operacional'!$A$1:$P$1,0))*$S366,INDEX('Resumo Operacional'!$A$1:$P$1103,53,MATCH('Detalhe Por UC'!$R366,'Resumo Operacional'!$A$1:$P$1,0))*$S366)</f>
        <v>65.525999999999996</v>
      </c>
      <c r="AR366" s="71">
        <f t="shared" si="198"/>
        <v>6.4740000000000038</v>
      </c>
      <c r="AS366" s="73">
        <f t="shared" si="199"/>
        <v>1031.6499999999999</v>
      </c>
      <c r="AT366" s="74">
        <f t="shared" si="200"/>
        <v>1031.6499999999999</v>
      </c>
      <c r="AU366" s="74">
        <f t="shared" si="201"/>
        <v>1.1169576271186443</v>
      </c>
      <c r="AV366" s="74">
        <f t="shared" si="202"/>
        <v>60.322500000000005</v>
      </c>
      <c r="AW366" s="74">
        <f t="shared" si="203"/>
        <v>0</v>
      </c>
      <c r="AX366" s="74">
        <f t="shared" si="204"/>
        <v>80.430000000000007</v>
      </c>
      <c r="AY366" s="74">
        <f t="shared" si="205"/>
        <v>60.32</v>
      </c>
      <c r="AZ366" s="117">
        <v>60.32</v>
      </c>
      <c r="BA366" s="117">
        <v>60.32</v>
      </c>
      <c r="BB366" s="49">
        <v>60.32</v>
      </c>
      <c r="BC366" s="73" t="str">
        <f t="shared" si="206"/>
        <v/>
      </c>
      <c r="BD366" s="73">
        <f t="shared" si="207"/>
        <v>1112.08</v>
      </c>
      <c r="BE366" s="73">
        <f t="shared" si="208"/>
        <v>1091.9724999999999</v>
      </c>
      <c r="BF366" s="77">
        <f t="shared" si="209"/>
        <v>20.11</v>
      </c>
      <c r="BG366" s="77">
        <f t="shared" si="210"/>
        <v>6.0329999999999995</v>
      </c>
      <c r="BH366" s="77">
        <f t="shared" si="211"/>
        <v>80.430000000000007</v>
      </c>
      <c r="BI366" s="78">
        <f t="shared" si="212"/>
        <v>0.25</v>
      </c>
      <c r="BJ366" s="79">
        <f t="shared" si="213"/>
        <v>1.8083231422199843E-2</v>
      </c>
      <c r="BK366" s="80">
        <f t="shared" si="214"/>
        <v>1091.9699999999998</v>
      </c>
      <c r="BL366" s="80">
        <f t="shared" si="215"/>
        <v>20.110000000000127</v>
      </c>
      <c r="BM366" s="79">
        <f t="shared" si="216"/>
        <v>1.8083231422199957E-2</v>
      </c>
      <c r="BN366" s="81">
        <f t="shared" si="217"/>
        <v>0.83777777777777773</v>
      </c>
      <c r="BO366" s="82">
        <f t="shared" si="218"/>
        <v>60.319999999999993</v>
      </c>
      <c r="BP366" s="81">
        <f t="shared" si="219"/>
        <v>0.83777777777777773</v>
      </c>
      <c r="BQ366" s="81">
        <f t="shared" si="220"/>
        <v>0.83790348399246684</v>
      </c>
      <c r="BR366" s="81">
        <f t="shared" si="221"/>
        <v>1.1172090395480225</v>
      </c>
      <c r="BS366" s="82">
        <f t="shared" si="222"/>
        <v>72</v>
      </c>
      <c r="BT366" s="82">
        <f t="shared" si="223"/>
        <v>80.439050847457622</v>
      </c>
      <c r="BU366" s="82">
        <f t="shared" si="224"/>
        <v>80.430000000000007</v>
      </c>
      <c r="BW366" s="82">
        <f>IFERROR(INDEX('Infos Clientes'!$T:$T,MATCH('Detalhe Por UC'!$C366,'Infos Clientes'!B:B,0)),"")</f>
        <v>511.41666666666669</v>
      </c>
      <c r="BX366" s="83">
        <f t="shared" si="225"/>
        <v>0</v>
      </c>
      <c r="BY366" s="84">
        <f t="shared" si="226"/>
        <v>0.25000294991217703</v>
      </c>
      <c r="BZ366" s="85">
        <f>IF(_xlfn.MINIFS('Detalhe Por UC'!R:R,'Detalhe Por UC'!C:C,C366,'Detalhe Por UC'!AD:AD,"&gt;"&amp;0)=0,"",_xlfn.MINIFS('Detalhe Por UC'!R:R,'Detalhe Por UC'!C:C,C366,'Detalhe Por UC'!AD:AD,"&gt;"&amp;0))</f>
        <v>45627</v>
      </c>
      <c r="CA366" s="114">
        <f ca="1">IF(OR(S366&gt;0,AD366&gt;0),IFERROR(
SUMIFS(INDIRECT("'Infos Clientes'!$W"&amp;INDEX('Infos Clientes'!$C:$C,MATCH(C366,'Infos Clientes'!$H:$H,0))&amp;":$CZ"&amp;INDEX('Infos Clientes'!$C:$C,MATCH(C366,'Infos Clientes'!$H:$H,0))),'Infos Clientes'!$W$2:$CZ$2,"&gt;"&amp;$R366-365,'Infos Clientes'!$W$2:$CZ$2,"&lt;="&amp;$R366)/
COUNTIFS(INDIRECT("'Infos Clientes'!$W"&amp;INDEX('Infos Clientes'!$C:$C,MATCH(C366,'Infos Clientes'!$H:$H,0))&amp;":$CZ"&amp;INDEX('Infos Clientes'!$C:$C,MATCH(C366,'Infos Clientes'!$H:$H,0))),"&gt;="&amp;0,'Infos Clientes'!$W$2:$CZ$2,"&gt;"&amp;$R366-365,'Infos Clientes'!$W$2:$CZ$2,"&lt;="&amp;$R366),""),"")</f>
        <v>670.16666666666663</v>
      </c>
      <c r="CB366" s="87">
        <f>VLOOKUP(C366,'Infos Clientes'!B:L,11,0)</f>
        <v>0</v>
      </c>
      <c r="CC366" s="88" t="str">
        <f t="shared" si="227"/>
        <v>A Unidade Consumidora 10/1695011-5 economizou R$20,11 na fatura referente à abr/2025  consumindo 72 kWh em créditos de energia renovável conforme fatura de energia. A economia foi de 25% em relação ao que seria pago para a Energisa considerando os créditos consumidos. Atenção: Mantenha as contas da Energisa em dia para evitar cortes.</v>
      </c>
      <c r="CD366" s="40" t="s">
        <v>59</v>
      </c>
      <c r="CE366" s="18">
        <v>1031.6500000000001</v>
      </c>
      <c r="CF366" s="115">
        <f t="shared" si="228"/>
        <v>0</v>
      </c>
    </row>
    <row r="367" spans="1:84" ht="16.2" hidden="1" customHeight="1" x14ac:dyDescent="0.3">
      <c r="A367" s="105" t="str">
        <f>INDEX('Infos Clientes'!$D:$D,MATCH('Detalhe Por UC'!C367,'Infos Clientes'!B:B,0))</f>
        <v>IGREJA DO EVANGELHO QUADRANGULAR</v>
      </c>
      <c r="B367" s="106" t="str">
        <f>INDEX('Infos Clientes'!$F:$F,MATCH('Detalhe Por UC'!C367,'Infos Clientes'!B:B,0))</f>
        <v>62.955.505/4194-43</v>
      </c>
      <c r="C367" s="44" t="s">
        <v>135</v>
      </c>
      <c r="D367" t="s">
        <v>351</v>
      </c>
      <c r="E367" s="1" t="s">
        <v>352</v>
      </c>
      <c r="F367" s="56" t="str">
        <f>INDEX('Infos Clientes'!$I:$I,MATCH('Detalhe Por UC'!C367,'Infos Clientes'!B:B,0))</f>
        <v>BT</v>
      </c>
      <c r="G367" s="56" t="str">
        <f>INDEX('Infos Clientes'!$J:$J,MATCH('Detalhe Por UC'!C367,'Infos Clientes'!B:B,0))</f>
        <v>trifasico</v>
      </c>
      <c r="H367" s="108" t="s">
        <v>24</v>
      </c>
      <c r="I367" s="58">
        <f>IFERROR(VLOOKUP(C367,'Infos Clientes'!B:E,4,),"")</f>
        <v>0</v>
      </c>
      <c r="J367" s="109">
        <v>0.25</v>
      </c>
      <c r="K367" s="59">
        <f>INDEX('Infos Clientes'!$M:$M,MATCH('Detalhe Por UC'!C367,'Infos Clientes'!B:B,0))</f>
        <v>0.25</v>
      </c>
      <c r="L367" s="125">
        <v>0</v>
      </c>
      <c r="M367" s="56">
        <f>INDEX('Infos Clientes'!$N:$N,MATCH('Detalhe Por UC'!C367,'Infos Clientes'!B:B,0))</f>
        <v>0</v>
      </c>
      <c r="N367" s="56">
        <f t="shared" si="192"/>
        <v>0</v>
      </c>
      <c r="O367" s="56">
        <f t="shared" si="193"/>
        <v>7</v>
      </c>
      <c r="P367" s="56">
        <f t="shared" si="194"/>
        <v>0</v>
      </c>
      <c r="Q367" s="61">
        <f>IFERROR(IFERROR(INDEX('Infos Clientes'!$A$2:$V$9884,MATCH($C367,'Infos Clientes'!$B$2:$B$9884,0),MATCH(Q$8,'Infos Clientes'!$A$2:$V$2,0)),"")
+IF(OR(INDEX('Infos Clientes'!$A$2:$V$9884,MATCH($C367,'Infos Clientes'!$B$2:$B$9884,0),MATCH("Tempo de Fidelidade (meses)",'Infos Clientes'!$A$2:$V$2,0))=0,R367&gt;=MAX(R:R)),0,
ROUND((MAX(R:R)-R367)/(365/12),0)),"")</f>
        <v>0</v>
      </c>
      <c r="R367" s="111">
        <v>45748</v>
      </c>
      <c r="S367" s="17">
        <v>0</v>
      </c>
      <c r="T367" s="113">
        <f>IF($H367="GIROSSOL II",AP367/INDEX('Resumo Operacional'!$A$1:$P$1103,17,MATCH('Detalhe Por UC'!$R367,'Resumo Operacional'!$A$1:$P$1,0)),
IF($H367="GIROSSOL II e III",AP367/INDEX('Resumo Operacional'!$A$1:$P$1103,17,MATCH('Detalhe Por UC'!$R367,'Resumo Operacional'!$A$1:$P$1,0)),
""))</f>
        <v>1.1812105118578884E-2</v>
      </c>
      <c r="U367" s="113" t="str">
        <f>IF($H367="GIROSSOL III",AP367/INDEX('Resumo Operacional'!$A$1:$P$1103,53,MATCH('Detalhe Por UC'!$R367,'Resumo Operacional'!$A$1:$P$1,0)),
IF($H367="GIROSSOL II e III",AP367/INDEX('Resumo Operacional'!$A$1:$P$1103,53,MATCH('Detalhe Por UC'!$R367,'Resumo Operacional'!$A$1:$P$1,0)),
""))</f>
        <v/>
      </c>
      <c r="V367" s="45"/>
      <c r="W367" s="18"/>
      <c r="X367" s="18">
        <v>1.1190657439446368</v>
      </c>
      <c r="Y367" s="18"/>
      <c r="Z367" s="18">
        <v>1.1189922480620154</v>
      </c>
      <c r="AA367" s="18"/>
      <c r="AB367" s="18">
        <v>289</v>
      </c>
      <c r="AC367" s="18"/>
      <c r="AD367" s="18">
        <v>129</v>
      </c>
      <c r="AE367" s="35"/>
      <c r="AF367" s="18">
        <v>0</v>
      </c>
      <c r="AG367" s="18">
        <v>0</v>
      </c>
      <c r="AH367" s="18">
        <v>30.83</v>
      </c>
      <c r="AI367" s="18">
        <v>0</v>
      </c>
      <c r="AJ367" s="18">
        <v>0</v>
      </c>
      <c r="AN367" s="71">
        <f t="shared" si="195"/>
        <v>0</v>
      </c>
      <c r="AO367" s="71">
        <f t="shared" si="196"/>
        <v>0</v>
      </c>
      <c r="AP367" s="71">
        <f t="shared" si="197"/>
        <v>129</v>
      </c>
      <c r="AQ367" s="72">
        <f>IF(OR($H367="GIROSSOL II",$H367="GIROSSOL II e III"),INDEX('Resumo Operacional'!$A$1:$P$1103,MATCH("Energia Injetada prevista total Fatura da Usina (TUSD)",'Resumo Operacional'!$B$1:$B$1103,0),MATCH('Detalhe Por UC'!$R367,'Resumo Operacional'!$A$1:$P$1,0))*$S367,INDEX('Resumo Operacional'!$A$1:$P$1103,53,MATCH('Detalhe Por UC'!$R367,'Resumo Operacional'!$A$1:$P$1,0))*$S367)</f>
        <v>0</v>
      </c>
      <c r="AR367" s="71">
        <f t="shared" si="198"/>
        <v>129</v>
      </c>
      <c r="AS367" s="73">
        <f t="shared" si="199"/>
        <v>209.89000000000004</v>
      </c>
      <c r="AT367" s="74">
        <f t="shared" si="200"/>
        <v>209.89000000000004</v>
      </c>
      <c r="AU367" s="74">
        <f t="shared" si="201"/>
        <v>1.118918752179394</v>
      </c>
      <c r="AV367" s="74">
        <f t="shared" si="202"/>
        <v>108.26249999999999</v>
      </c>
      <c r="AW367" s="74">
        <f t="shared" si="203"/>
        <v>0</v>
      </c>
      <c r="AX367" s="74">
        <f t="shared" si="204"/>
        <v>144.35</v>
      </c>
      <c r="AY367" s="74">
        <f t="shared" si="205"/>
        <v>108.26</v>
      </c>
      <c r="AZ367" s="117">
        <v>108.26</v>
      </c>
      <c r="BA367" s="117">
        <v>108.26</v>
      </c>
      <c r="BB367" s="49">
        <v>108.26</v>
      </c>
      <c r="BC367" s="73" t="str">
        <f t="shared" si="206"/>
        <v/>
      </c>
      <c r="BD367" s="73">
        <f t="shared" si="207"/>
        <v>354.24</v>
      </c>
      <c r="BE367" s="73">
        <f t="shared" si="208"/>
        <v>318.15250000000003</v>
      </c>
      <c r="BF367" s="77">
        <f t="shared" si="209"/>
        <v>36.090000000000003</v>
      </c>
      <c r="BG367" s="77">
        <f t="shared" si="210"/>
        <v>10.827</v>
      </c>
      <c r="BH367" s="77">
        <f t="shared" si="211"/>
        <v>144.35</v>
      </c>
      <c r="BI367" s="78">
        <f t="shared" si="212"/>
        <v>0.25</v>
      </c>
      <c r="BJ367" s="79">
        <f t="shared" si="213"/>
        <v>0.10188008130081301</v>
      </c>
      <c r="BK367" s="80">
        <f t="shared" si="214"/>
        <v>318.15000000000003</v>
      </c>
      <c r="BL367" s="80">
        <f t="shared" si="215"/>
        <v>36.089999999999975</v>
      </c>
      <c r="BM367" s="79">
        <f t="shared" si="216"/>
        <v>0.10188008130081294</v>
      </c>
      <c r="BN367" s="81">
        <f t="shared" si="217"/>
        <v>0.83922480620155038</v>
      </c>
      <c r="BO367" s="82">
        <f t="shared" si="218"/>
        <v>108.26</v>
      </c>
      <c r="BP367" s="81">
        <f t="shared" si="219"/>
        <v>0.83922480620155038</v>
      </c>
      <c r="BQ367" s="81">
        <f t="shared" si="220"/>
        <v>0.83929830208417178</v>
      </c>
      <c r="BR367" s="81">
        <f t="shared" si="221"/>
        <v>1.1190657439446368</v>
      </c>
      <c r="BS367" s="82">
        <f t="shared" si="222"/>
        <v>129</v>
      </c>
      <c r="BT367" s="82">
        <f t="shared" si="223"/>
        <v>144.35948096885815</v>
      </c>
      <c r="BU367" s="82">
        <f t="shared" si="224"/>
        <v>144.35</v>
      </c>
      <c r="BW367" s="82">
        <f>IFERROR(INDEX('Infos Clientes'!$T:$T,MATCH('Detalhe Por UC'!$C367,'Infos Clientes'!B:B,0)),"")</f>
        <v>0</v>
      </c>
      <c r="BX367" s="83">
        <f t="shared" si="225"/>
        <v>0</v>
      </c>
      <c r="BY367" s="84">
        <f t="shared" si="226"/>
        <v>0.25000089885184246</v>
      </c>
      <c r="BZ367" s="85">
        <f>IF(_xlfn.MINIFS('Detalhe Por UC'!R:R,'Detalhe Por UC'!C:C,C367,'Detalhe Por UC'!AD:AD,"&gt;"&amp;0)=0,"",_xlfn.MINIFS('Detalhe Por UC'!R:R,'Detalhe Por UC'!C:C,C367,'Detalhe Por UC'!AD:AD,"&gt;"&amp;0))</f>
        <v>45689</v>
      </c>
      <c r="CA367" s="114">
        <f ca="1">IF(OR(S367&gt;0,AD367&gt;0),IFERROR(
SUMIFS(INDIRECT("'Infos Clientes'!$W"&amp;INDEX('Infos Clientes'!$C:$C,MATCH(C367,'Infos Clientes'!$H:$H,0))&amp;":$CZ"&amp;INDEX('Infos Clientes'!$C:$C,MATCH(C367,'Infos Clientes'!$H:$H,0))),'Infos Clientes'!$W$2:$CZ$2,"&gt;"&amp;$R367-365,'Infos Clientes'!$W$2:$CZ$2,"&lt;="&amp;$R367)/
COUNTIFS(INDIRECT("'Infos Clientes'!$W"&amp;INDEX('Infos Clientes'!$C:$C,MATCH(C367,'Infos Clientes'!$H:$H,0))&amp;":$CZ"&amp;INDEX('Infos Clientes'!$C:$C,MATCH(C367,'Infos Clientes'!$H:$H,0))),"&gt;="&amp;0,'Infos Clientes'!$W$2:$CZ$2,"&gt;"&amp;$R367-365,'Infos Clientes'!$W$2:$CZ$2,"&lt;="&amp;$R367),""),"")</f>
        <v>269.83333333333331</v>
      </c>
      <c r="CB367" s="87">
        <f>VLOOKUP(C367,'Infos Clientes'!B:L,11,0)</f>
        <v>0</v>
      </c>
      <c r="CC367" s="88" t="str">
        <f t="shared" si="227"/>
        <v>A Unidade Consumidora 10/1433087-2 economizou R$36,09 na fatura referente à abr/2025  consumindo 129 kWh em créditos de energia renovável conforme fatura de energia. A economia foi de 25% em relação ao que seria pago para a Energisa considerando os créditos consumidos. Atenção: Mantenha as contas da Energisa em dia para evitar cortes.</v>
      </c>
      <c r="CD367" s="40"/>
      <c r="CE367" s="18">
        <v>209.89</v>
      </c>
      <c r="CF367" s="115">
        <f t="shared" si="228"/>
        <v>0</v>
      </c>
    </row>
    <row r="368" spans="1:84" ht="16.2" hidden="1" customHeight="1" x14ac:dyDescent="0.3">
      <c r="A368" s="105" t="str">
        <f>INDEX('Infos Clientes'!$D:$D,MATCH('Detalhe Por UC'!C368,'Infos Clientes'!B:B,0))</f>
        <v>IGREJA DO EVANGELHO QUADRANGULAR</v>
      </c>
      <c r="B368" s="106" t="str">
        <f>INDEX('Infos Clientes'!$F:$F,MATCH('Detalhe Por UC'!C368,'Infos Clientes'!B:B,0))</f>
        <v>62.955.505/0001-67</v>
      </c>
      <c r="C368" s="44" t="s">
        <v>106</v>
      </c>
      <c r="D368" t="s">
        <v>351</v>
      </c>
      <c r="E368" s="1" t="s">
        <v>352</v>
      </c>
      <c r="F368" s="56" t="str">
        <f>INDEX('Infos Clientes'!$I:$I,MATCH('Detalhe Por UC'!C368,'Infos Clientes'!B:B,0))</f>
        <v>BT</v>
      </c>
      <c r="G368" s="56" t="str">
        <f>INDEX('Infos Clientes'!$J:$J,MATCH('Detalhe Por UC'!C368,'Infos Clientes'!B:B,0))</f>
        <v>bifasico</v>
      </c>
      <c r="H368" s="108" t="s">
        <v>24</v>
      </c>
      <c r="I368" s="58">
        <f>IFERROR(VLOOKUP(C368,'Infos Clientes'!B:E,4,),"")</f>
        <v>302</v>
      </c>
      <c r="J368" s="109">
        <v>0.25</v>
      </c>
      <c r="K368" s="59">
        <f>INDEX('Infos Clientes'!$M:$M,MATCH('Detalhe Por UC'!C368,'Infos Clientes'!B:B,0))</f>
        <v>0.25</v>
      </c>
      <c r="L368" s="125">
        <v>0</v>
      </c>
      <c r="M368" s="56">
        <f>INDEX('Infos Clientes'!$N:$N,MATCH('Detalhe Por UC'!C368,'Infos Clientes'!B:B,0))</f>
        <v>0</v>
      </c>
      <c r="N368" s="56">
        <f t="shared" si="192"/>
        <v>0</v>
      </c>
      <c r="O368" s="56">
        <f t="shared" si="193"/>
        <v>11</v>
      </c>
      <c r="P368" s="56">
        <f t="shared" si="194"/>
        <v>0</v>
      </c>
      <c r="Q368" s="61">
        <f>IFERROR(IFERROR(INDEX('Infos Clientes'!$A$2:$V$9884,MATCH($C368,'Infos Clientes'!$B$2:$B$9884,0),MATCH(Q$8,'Infos Clientes'!$A$2:$V$2,0)),"")
+IF(OR(INDEX('Infos Clientes'!$A$2:$V$9884,MATCH($C368,'Infos Clientes'!$B$2:$B$9884,0),MATCH("Tempo de Fidelidade (meses)",'Infos Clientes'!$A$2:$V$2,0))=0,R368&gt;=MAX(R:R)),0,
ROUND((MAX(R:R)-R368)/(365/12),0)),"")</f>
        <v>0</v>
      </c>
      <c r="R368" s="111">
        <v>45748</v>
      </c>
      <c r="S368" s="17">
        <v>5.0000000000000001E-3</v>
      </c>
      <c r="T368" s="113">
        <f>IF($H368="GIROSSOL II",AP368/INDEX('Resumo Operacional'!$A$1:$P$1103,17,MATCH('Detalhe Por UC'!$R368,'Resumo Operacional'!$A$1:$P$1,0)),
IF($H368="GIROSSOL II e III",AP368/INDEX('Resumo Operacional'!$A$1:$P$1103,17,MATCH('Detalhe Por UC'!$R368,'Resumo Operacional'!$A$1:$P$1,0)),
""))</f>
        <v>4.9446021426609284E-3</v>
      </c>
      <c r="U368" s="113" t="str">
        <f>IF($H368="GIROSSOL III",AP368/INDEX('Resumo Operacional'!$A$1:$P$1103,53,MATCH('Detalhe Por UC'!$R368,'Resumo Operacional'!$A$1:$P$1,0)),
IF($H368="GIROSSOL II e III",AP368/INDEX('Resumo Operacional'!$A$1:$P$1103,53,MATCH('Detalhe Por UC'!$R368,'Resumo Operacional'!$A$1:$P$1,0)),
""))</f>
        <v/>
      </c>
      <c r="V368" s="45"/>
      <c r="W368" s="18"/>
      <c r="X368" s="18">
        <v>1.1222516556291391</v>
      </c>
      <c r="Y368" s="18"/>
      <c r="Z368" s="18">
        <v>1.1197619000000001</v>
      </c>
      <c r="AA368" s="18"/>
      <c r="AB368" s="18">
        <v>302</v>
      </c>
      <c r="AC368" s="18"/>
      <c r="AD368" s="18">
        <v>252</v>
      </c>
      <c r="AE368" s="35"/>
      <c r="AF368" s="18">
        <v>51</v>
      </c>
      <c r="AG368" s="18">
        <v>0</v>
      </c>
      <c r="AH368" s="18">
        <v>25.15</v>
      </c>
      <c r="AI368" s="18">
        <v>0</v>
      </c>
      <c r="AJ368" s="18">
        <v>0</v>
      </c>
      <c r="AN368" s="71">
        <f t="shared" si="195"/>
        <v>-198</v>
      </c>
      <c r="AO368" s="71">
        <f t="shared" si="196"/>
        <v>0</v>
      </c>
      <c r="AP368" s="71">
        <f t="shared" si="197"/>
        <v>54</v>
      </c>
      <c r="AQ368" s="72">
        <f>IF(OR($H368="GIROSSOL II",$H368="GIROSSOL II e III"),INDEX('Resumo Operacional'!$A$1:$P$1103,MATCH("Energia Injetada prevista total Fatura da Usina (TUSD)",'Resumo Operacional'!$B$1:$B$1103,0),MATCH('Detalhe Por UC'!$R368,'Resumo Operacional'!$A$1:$P$1,0))*$S368,INDEX('Resumo Operacional'!$A$1:$P$1103,53,MATCH('Detalhe Por UC'!$R368,'Resumo Operacional'!$A$1:$P$1,0))*$S368)</f>
        <v>54.605000000000004</v>
      </c>
      <c r="AR368" s="71">
        <f t="shared" si="198"/>
        <v>-0.60500000000000398</v>
      </c>
      <c r="AS368" s="73">
        <f t="shared" si="199"/>
        <v>81.8900012</v>
      </c>
      <c r="AT368" s="74">
        <f t="shared" si="200"/>
        <v>81.8900012</v>
      </c>
      <c r="AU368" s="74">
        <f t="shared" si="201"/>
        <v>1.1172721443708611</v>
      </c>
      <c r="AV368" s="74">
        <f t="shared" si="202"/>
        <v>211.63499910000002</v>
      </c>
      <c r="AW368" s="74">
        <f t="shared" si="203"/>
        <v>0</v>
      </c>
      <c r="AX368" s="74">
        <f t="shared" si="204"/>
        <v>282.17999880000002</v>
      </c>
      <c r="AY368" s="74">
        <f t="shared" si="205"/>
        <v>211.63</v>
      </c>
      <c r="AZ368" s="117">
        <v>211.63</v>
      </c>
      <c r="BA368" s="117">
        <v>211.63</v>
      </c>
      <c r="BB368" s="49">
        <v>211.63</v>
      </c>
      <c r="BC368" s="73" t="str">
        <f t="shared" si="206"/>
        <v/>
      </c>
      <c r="BD368" s="73">
        <f t="shared" si="207"/>
        <v>364.07</v>
      </c>
      <c r="BE368" s="73">
        <f t="shared" si="208"/>
        <v>293.52500029999999</v>
      </c>
      <c r="BF368" s="77">
        <f t="shared" si="209"/>
        <v>70.540000000000006</v>
      </c>
      <c r="BG368" s="77">
        <f t="shared" si="210"/>
        <v>21.162000000000003</v>
      </c>
      <c r="BH368" s="77">
        <f t="shared" si="211"/>
        <v>282.17999880000002</v>
      </c>
      <c r="BI368" s="78">
        <f t="shared" si="212"/>
        <v>0.25</v>
      </c>
      <c r="BJ368" s="79">
        <f t="shared" si="213"/>
        <v>0.19375394841651333</v>
      </c>
      <c r="BK368" s="80">
        <f t="shared" si="214"/>
        <v>293.52000120000002</v>
      </c>
      <c r="BL368" s="80">
        <f t="shared" si="215"/>
        <v>70.549998799999969</v>
      </c>
      <c r="BM368" s="79">
        <f t="shared" si="216"/>
        <v>0.19378141236575375</v>
      </c>
      <c r="BN368" s="81">
        <f t="shared" si="217"/>
        <v>0.83980158730158727</v>
      </c>
      <c r="BO368" s="82">
        <f t="shared" si="218"/>
        <v>211.63</v>
      </c>
      <c r="BP368" s="81">
        <f t="shared" si="219"/>
        <v>0.83980158730158727</v>
      </c>
      <c r="BQ368" s="81">
        <f t="shared" si="220"/>
        <v>0.84229134293072627</v>
      </c>
      <c r="BR368" s="81">
        <f t="shared" si="221"/>
        <v>1.1222516556291391</v>
      </c>
      <c r="BS368" s="82">
        <f t="shared" si="222"/>
        <v>252</v>
      </c>
      <c r="BT368" s="82">
        <f t="shared" si="223"/>
        <v>282.80741721854304</v>
      </c>
      <c r="BU368" s="82">
        <f t="shared" si="224"/>
        <v>282.17999880000002</v>
      </c>
      <c r="BW368" s="82">
        <f>IFERROR(INDEX('Infos Clientes'!$T:$T,MATCH('Detalhe Por UC'!$C368,'Infos Clientes'!B:B,0)),"")</f>
        <v>147.33333333333334</v>
      </c>
      <c r="BX368" s="83">
        <f t="shared" si="225"/>
        <v>0</v>
      </c>
      <c r="BY368" s="84">
        <f t="shared" si="226"/>
        <v>0.24946304270895983</v>
      </c>
      <c r="BZ368" s="85">
        <f>IF(_xlfn.MINIFS('Detalhe Por UC'!R:R,'Detalhe Por UC'!C:C,C368,'Detalhe Por UC'!AD:AD,"&gt;"&amp;0)=0,"",_xlfn.MINIFS('Detalhe Por UC'!R:R,'Detalhe Por UC'!C:C,C368,'Detalhe Por UC'!AD:AD,"&gt;"&amp;0))</f>
        <v>45627</v>
      </c>
      <c r="CA368" s="114">
        <f ca="1">IF(OR(S368&gt;0,AD368&gt;0),IFERROR(
SUMIFS(INDIRECT("'Infos Clientes'!$W"&amp;INDEX('Infos Clientes'!$C:$C,MATCH(C368,'Infos Clientes'!$H:$H,0))&amp;":$CZ"&amp;INDEX('Infos Clientes'!$C:$C,MATCH(C368,'Infos Clientes'!$H:$H,0))),'Infos Clientes'!$W$2:$CZ$2,"&gt;"&amp;$R368-365,'Infos Clientes'!$W$2:$CZ$2,"&lt;="&amp;$R368)/
COUNTIFS(INDIRECT("'Infos Clientes'!$W"&amp;INDEX('Infos Clientes'!$C:$C,MATCH(C368,'Infos Clientes'!$H:$H,0))&amp;":$CZ"&amp;INDEX('Infos Clientes'!$C:$C,MATCH(C368,'Infos Clientes'!$H:$H,0))),"&gt;="&amp;0,'Infos Clientes'!$W$2:$CZ$2,"&gt;"&amp;$R368-365,'Infos Clientes'!$W$2:$CZ$2,"&lt;="&amp;$R368),""),"")</f>
        <v>162.58333333333334</v>
      </c>
      <c r="CB368" s="87">
        <f>VLOOKUP(C368,'Infos Clientes'!B:L,11,0)</f>
        <v>0</v>
      </c>
      <c r="CC368" s="88" t="str">
        <f t="shared" si="227"/>
        <v>A Unidade Consumidora 10/452884-0 economizou R$70,54 na fatura referente à abr/2025  consumindo 252 kWh em créditos de energia renovável conforme fatura de energia. A economia foi de 25% em relação ao que seria pago para a Energisa considerando os créditos consumidos. Atenção: Mantenha as contas da Energisa em dia para evitar cortes.</v>
      </c>
      <c r="CD368" s="40" t="s">
        <v>107</v>
      </c>
      <c r="CE368" s="18">
        <v>81.89</v>
      </c>
      <c r="CF368" s="115">
        <f t="shared" si="228"/>
        <v>-1.1999999998124622E-6</v>
      </c>
    </row>
    <row r="369" spans="1:84" ht="16.2" hidden="1" customHeight="1" x14ac:dyDescent="0.3">
      <c r="A369" s="105" t="str">
        <f>INDEX('Infos Clientes'!$D:$D,MATCH('Detalhe Por UC'!C369,'Infos Clientes'!B:B,0))</f>
        <v>IGREJA DO EVANGELHO QUADRANGULAR</v>
      </c>
      <c r="B369" s="106" t="str">
        <f>INDEX('Infos Clientes'!$F:$F,MATCH('Detalhe Por UC'!C369,'Infos Clientes'!B:B,0))</f>
        <v>62.955.505/8921-14</v>
      </c>
      <c r="C369" s="44" t="s">
        <v>29</v>
      </c>
      <c r="D369" t="s">
        <v>351</v>
      </c>
      <c r="E369" s="1" t="s">
        <v>352</v>
      </c>
      <c r="F369" s="56" t="str">
        <f>INDEX('Infos Clientes'!$I:$I,MATCH('Detalhe Por UC'!C369,'Infos Clientes'!B:B,0))</f>
        <v>BT</v>
      </c>
      <c r="G369" s="56" t="str">
        <f>INDEX('Infos Clientes'!$J:$J,MATCH('Detalhe Por UC'!C369,'Infos Clientes'!B:B,0))</f>
        <v>trifasico</v>
      </c>
      <c r="H369" s="108" t="s">
        <v>24</v>
      </c>
      <c r="I369" s="58">
        <f>IFERROR(VLOOKUP(C369,'Infos Clientes'!B:E,4,),"")</f>
        <v>362</v>
      </c>
      <c r="J369" s="109">
        <v>0.25</v>
      </c>
      <c r="K369" s="59">
        <f>INDEX('Infos Clientes'!$M:$M,MATCH('Detalhe Por UC'!C369,'Infos Clientes'!B:B,0))</f>
        <v>0.25</v>
      </c>
      <c r="L369" s="125">
        <v>0</v>
      </c>
      <c r="M369" s="56">
        <f>INDEX('Infos Clientes'!$N:$N,MATCH('Detalhe Por UC'!C369,'Infos Clientes'!B:B,0))</f>
        <v>0</v>
      </c>
      <c r="N369" s="56">
        <f t="shared" si="192"/>
        <v>0</v>
      </c>
      <c r="O369" s="56">
        <f t="shared" si="193"/>
        <v>12</v>
      </c>
      <c r="P369" s="56">
        <f t="shared" si="194"/>
        <v>0</v>
      </c>
      <c r="Q369" s="61">
        <f>IFERROR(IFERROR(INDEX('Infos Clientes'!$A$2:$V$9884,MATCH($C369,'Infos Clientes'!$B$2:$B$9884,0),MATCH(Q$8,'Infos Clientes'!$A$2:$V$2,0)),"")
+IF(OR(INDEX('Infos Clientes'!$A$2:$V$9884,MATCH($C369,'Infos Clientes'!$B$2:$B$9884,0),MATCH("Tempo de Fidelidade (meses)",'Infos Clientes'!$A$2:$V$2,0))=0,R369&gt;=MAX(R:R)),0,
ROUND((MAX(R:R)-R369)/(365/12),0)),"")</f>
        <v>0</v>
      </c>
      <c r="R369" s="111">
        <v>45748</v>
      </c>
      <c r="S369" s="17">
        <v>5.0000000000000001E-3</v>
      </c>
      <c r="T369" s="113">
        <f>IF($H369="GIROSSOL II",AP369/INDEX('Resumo Operacional'!$A$1:$P$1103,17,MATCH('Detalhe Por UC'!$R369,'Resumo Operacional'!$A$1:$P$1,0)),
IF($H369="GIROSSOL II e III",AP369/INDEX('Resumo Operacional'!$A$1:$P$1103,17,MATCH('Detalhe Por UC'!$R369,'Resumo Operacional'!$A$1:$P$1,0)),
""))</f>
        <v>4.9446021426609284E-3</v>
      </c>
      <c r="U369" s="113" t="str">
        <f>IF($H369="GIROSSOL III",AP369/INDEX('Resumo Operacional'!$A$1:$P$1103,53,MATCH('Detalhe Por UC'!$R369,'Resumo Operacional'!$A$1:$P$1,0)),
IF($H369="GIROSSOL II e III",AP369/INDEX('Resumo Operacional'!$A$1:$P$1103,53,MATCH('Detalhe Por UC'!$R369,'Resumo Operacional'!$A$1:$P$1,0)),
""))</f>
        <v/>
      </c>
      <c r="V369" s="45"/>
      <c r="W369" s="18"/>
      <c r="X369" s="18">
        <v>1.1219318181818183</v>
      </c>
      <c r="Y369" s="18"/>
      <c r="Z369" s="18">
        <v>1.1218421052631578</v>
      </c>
      <c r="AA369" s="18"/>
      <c r="AB369" s="18">
        <v>176</v>
      </c>
      <c r="AC369" s="18"/>
      <c r="AD369" s="18">
        <v>76</v>
      </c>
      <c r="AE369" s="35"/>
      <c r="AF369" s="18">
        <v>514</v>
      </c>
      <c r="AG369" s="18">
        <v>0</v>
      </c>
      <c r="AH369" s="18">
        <v>50.64</v>
      </c>
      <c r="AI369" s="18">
        <v>0</v>
      </c>
      <c r="AJ369" s="18">
        <v>0</v>
      </c>
      <c r="AN369" s="71">
        <f t="shared" si="195"/>
        <v>-22</v>
      </c>
      <c r="AO369" s="71">
        <f t="shared" si="196"/>
        <v>0</v>
      </c>
      <c r="AP369" s="71">
        <f t="shared" si="197"/>
        <v>54</v>
      </c>
      <c r="AQ369" s="72">
        <f>IF(OR($H369="GIROSSOL II",$H369="GIROSSOL II e III"),INDEX('Resumo Operacional'!$A$1:$P$1103,MATCH("Energia Injetada prevista total Fatura da Usina (TUSD)",'Resumo Operacional'!$B$1:$B$1103,0),MATCH('Detalhe Por UC'!$R369,'Resumo Operacional'!$A$1:$P$1,0))*$S369,INDEX('Resumo Operacional'!$A$1:$P$1103,53,MATCH('Detalhe Por UC'!$R369,'Resumo Operacional'!$A$1:$P$1,0))*$S369)</f>
        <v>54.605000000000004</v>
      </c>
      <c r="AR369" s="71">
        <f t="shared" si="198"/>
        <v>-0.60500000000000398</v>
      </c>
      <c r="AS369" s="73">
        <f t="shared" si="199"/>
        <v>162.84000000000003</v>
      </c>
      <c r="AT369" s="74">
        <f t="shared" si="200"/>
        <v>162.84000000000003</v>
      </c>
      <c r="AU369" s="74">
        <f t="shared" si="201"/>
        <v>1.1217523923444972</v>
      </c>
      <c r="AV369" s="74">
        <f t="shared" si="202"/>
        <v>63.944999999999993</v>
      </c>
      <c r="AW369" s="74">
        <f t="shared" si="203"/>
        <v>0</v>
      </c>
      <c r="AX369" s="74">
        <f t="shared" si="204"/>
        <v>85.259999999999991</v>
      </c>
      <c r="AY369" s="74">
        <f t="shared" si="205"/>
        <v>63.95</v>
      </c>
      <c r="AZ369" s="117">
        <v>63.95</v>
      </c>
      <c r="BA369" s="117">
        <v>63.95</v>
      </c>
      <c r="BB369" s="49">
        <v>63.95</v>
      </c>
      <c r="BC369" s="73" t="str">
        <f t="shared" si="206"/>
        <v/>
      </c>
      <c r="BD369" s="73">
        <f t="shared" si="207"/>
        <v>248.10000000000002</v>
      </c>
      <c r="BE369" s="73">
        <f t="shared" si="208"/>
        <v>226.78500000000003</v>
      </c>
      <c r="BF369" s="77">
        <f t="shared" si="209"/>
        <v>21.32</v>
      </c>
      <c r="BG369" s="77">
        <f t="shared" si="210"/>
        <v>6.3959999999999999</v>
      </c>
      <c r="BH369" s="77">
        <f t="shared" si="211"/>
        <v>85.259999999999991</v>
      </c>
      <c r="BI369" s="78">
        <f t="shared" si="212"/>
        <v>0.25</v>
      </c>
      <c r="BJ369" s="79">
        <f t="shared" si="213"/>
        <v>8.5933091495364766E-2</v>
      </c>
      <c r="BK369" s="80">
        <f t="shared" si="214"/>
        <v>226.79000000000002</v>
      </c>
      <c r="BL369" s="80">
        <f t="shared" si="215"/>
        <v>21.310000000000002</v>
      </c>
      <c r="BM369" s="79">
        <f t="shared" si="216"/>
        <v>8.5892785167271266E-2</v>
      </c>
      <c r="BN369" s="81">
        <f t="shared" si="217"/>
        <v>0.84144736842105272</v>
      </c>
      <c r="BO369" s="82">
        <f t="shared" si="218"/>
        <v>63.95000000000001</v>
      </c>
      <c r="BP369" s="81">
        <f t="shared" si="219"/>
        <v>0.84144736842105272</v>
      </c>
      <c r="BQ369" s="81">
        <f t="shared" si="220"/>
        <v>0.84153708133971328</v>
      </c>
      <c r="BR369" s="81">
        <f t="shared" si="221"/>
        <v>1.1219318181818183</v>
      </c>
      <c r="BS369" s="82">
        <f t="shared" si="222"/>
        <v>76</v>
      </c>
      <c r="BT369" s="82">
        <f t="shared" si="223"/>
        <v>85.266818181818195</v>
      </c>
      <c r="BU369" s="82">
        <f t="shared" si="224"/>
        <v>85.259999999999991</v>
      </c>
      <c r="BW369" s="82">
        <f>IFERROR(INDEX('Infos Clientes'!$T:$T,MATCH('Detalhe Por UC'!$C369,'Infos Clientes'!B:B,0)),"")</f>
        <v>178.41666666666666</v>
      </c>
      <c r="BX369" s="83">
        <f t="shared" si="225"/>
        <v>0</v>
      </c>
      <c r="BY369" s="84">
        <f t="shared" si="226"/>
        <v>0.24992136981773766</v>
      </c>
      <c r="BZ369" s="85">
        <f>IF(_xlfn.MINIFS('Detalhe Por UC'!R:R,'Detalhe Por UC'!C:C,C369,'Detalhe Por UC'!AD:AD,"&gt;"&amp;0)=0,"",_xlfn.MINIFS('Detalhe Por UC'!R:R,'Detalhe Por UC'!C:C,C369,'Detalhe Por UC'!AD:AD,"&gt;"&amp;0))</f>
        <v>45627</v>
      </c>
      <c r="CA369" s="114">
        <f ca="1">IF(OR(S369&gt;0,AD369&gt;0),IFERROR(
SUMIFS(INDIRECT("'Infos Clientes'!$W"&amp;INDEX('Infos Clientes'!$C:$C,MATCH(C369,'Infos Clientes'!$H:$H,0))&amp;":$CZ"&amp;INDEX('Infos Clientes'!$C:$C,MATCH(C369,'Infos Clientes'!$H:$H,0))),'Infos Clientes'!$W$2:$CZ$2,"&gt;"&amp;$R369-365,'Infos Clientes'!$W$2:$CZ$2,"&lt;="&amp;$R369)/
COUNTIFS(INDIRECT("'Infos Clientes'!$W"&amp;INDEX('Infos Clientes'!$C:$C,MATCH(C369,'Infos Clientes'!$H:$H,0))&amp;":$CZ"&amp;INDEX('Infos Clientes'!$C:$C,MATCH(C369,'Infos Clientes'!$H:$H,0))),"&gt;="&amp;0,'Infos Clientes'!$W$2:$CZ$2,"&gt;"&amp;$R369-365,'Infos Clientes'!$W$2:$CZ$2,"&lt;="&amp;$R369),""),"")</f>
        <v>175.91666666666666</v>
      </c>
      <c r="CB369" s="87">
        <f>VLOOKUP(C369,'Infos Clientes'!B:L,11,0)</f>
        <v>0</v>
      </c>
      <c r="CC369" s="88" t="str">
        <f t="shared" si="227"/>
        <v>A Unidade Consumidora 10/1117293-9 economizou R$21,32 na fatura referente à abr/2025  consumindo 76 kWh em créditos de energia renovável conforme fatura de energia. A economia foi de 25% em relação ao que seria pago para a Energisa considerando os créditos consumidos. Atenção: Mantenha as contas da Energisa em dia para evitar cortes.</v>
      </c>
      <c r="CD369" s="40" t="s">
        <v>31</v>
      </c>
      <c r="CE369" s="18">
        <v>162.84</v>
      </c>
      <c r="CF369" s="115">
        <f t="shared" si="228"/>
        <v>0</v>
      </c>
    </row>
    <row r="370" spans="1:84" ht="16.2" hidden="1" customHeight="1" x14ac:dyDescent="0.3">
      <c r="A370" s="105" t="str">
        <f>INDEX('Infos Clientes'!$D:$D,MATCH('Detalhe Por UC'!C370,'Infos Clientes'!B:B,0))</f>
        <v>IGREJA DO EVANGELHO QUADRANGULAR</v>
      </c>
      <c r="B370" s="106" t="str">
        <f>INDEX('Infos Clientes'!$F:$F,MATCH('Detalhe Por UC'!C370,'Infos Clientes'!B:B,0))</f>
        <v>62.955.505/2730-58</v>
      </c>
      <c r="C370" s="44" t="s">
        <v>108</v>
      </c>
      <c r="D370" t="s">
        <v>351</v>
      </c>
      <c r="E370" s="1" t="s">
        <v>352</v>
      </c>
      <c r="F370" s="56" t="str">
        <f>INDEX('Infos Clientes'!$I:$I,MATCH('Detalhe Por UC'!C370,'Infos Clientes'!B:B,0))</f>
        <v>BT</v>
      </c>
      <c r="G370" s="56" t="str">
        <f>INDEX('Infos Clientes'!$J:$J,MATCH('Detalhe Por UC'!C370,'Infos Clientes'!B:B,0))</f>
        <v>trifasico</v>
      </c>
      <c r="H370" s="108" t="s">
        <v>24</v>
      </c>
      <c r="I370" s="58">
        <f>IFERROR(VLOOKUP(C370,'Infos Clientes'!B:E,4,),"")</f>
        <v>306</v>
      </c>
      <c r="J370" s="109">
        <v>0.25</v>
      </c>
      <c r="K370" s="59">
        <f>INDEX('Infos Clientes'!$M:$M,MATCH('Detalhe Por UC'!C370,'Infos Clientes'!B:B,0))</f>
        <v>0.25</v>
      </c>
      <c r="L370" s="125">
        <v>0</v>
      </c>
      <c r="M370" s="56">
        <f>INDEX('Infos Clientes'!$N:$N,MATCH('Detalhe Por UC'!C370,'Infos Clientes'!B:B,0))</f>
        <v>0</v>
      </c>
      <c r="N370" s="56">
        <f t="shared" si="192"/>
        <v>0</v>
      </c>
      <c r="O370" s="56">
        <f t="shared" si="193"/>
        <v>12</v>
      </c>
      <c r="P370" s="56">
        <f t="shared" si="194"/>
        <v>0</v>
      </c>
      <c r="Q370" s="61">
        <f>IFERROR(IFERROR(INDEX('Infos Clientes'!$A$2:$V$9884,MATCH($C370,'Infos Clientes'!$B$2:$B$9884,0),MATCH(Q$8,'Infos Clientes'!$A$2:$V$2,0)),"")
+IF(OR(INDEX('Infos Clientes'!$A$2:$V$9884,MATCH($C370,'Infos Clientes'!$B$2:$B$9884,0),MATCH("Tempo de Fidelidade (meses)",'Infos Clientes'!$A$2:$V$2,0))=0,R370&gt;=MAX(R:R)),0,
ROUND((MAX(R:R)-R370)/(365/12),0)),"")</f>
        <v>0</v>
      </c>
      <c r="R370" s="111">
        <v>45748</v>
      </c>
      <c r="S370" s="17">
        <v>6.0000000000000001E-3</v>
      </c>
      <c r="T370" s="113">
        <f>IF($H370="GIROSSOL II",AP370/INDEX('Resumo Operacional'!$A$1:$P$1103,17,MATCH('Detalhe Por UC'!$R370,'Resumo Operacional'!$A$1:$P$1,0)),
IF($H370="GIROSSOL II e III",AP370/INDEX('Resumo Operacional'!$A$1:$P$1103,17,MATCH('Detalhe Por UC'!$R370,'Resumo Operacional'!$A$1:$P$1,0)),
""))</f>
        <v>6.5928028568812379E-3</v>
      </c>
      <c r="U370" s="113" t="str">
        <f>IF($H370="GIROSSOL III",AP370/INDEX('Resumo Operacional'!$A$1:$P$1103,53,MATCH('Detalhe Por UC'!$R370,'Resumo Operacional'!$A$1:$P$1,0)),
IF($H370="GIROSSOL II e III",AP370/INDEX('Resumo Operacional'!$A$1:$P$1103,53,MATCH('Detalhe Por UC'!$R370,'Resumo Operacional'!$A$1:$P$1,0)),
""))</f>
        <v/>
      </c>
      <c r="V370" s="45"/>
      <c r="W370" s="18"/>
      <c r="X370" s="18">
        <v>1.11625</v>
      </c>
      <c r="Y370" s="18"/>
      <c r="Z370" s="18">
        <v>1.1002112676056337</v>
      </c>
      <c r="AA370" s="18"/>
      <c r="AB370" s="18">
        <v>240</v>
      </c>
      <c r="AC370" s="18"/>
      <c r="AD370" s="18">
        <v>142</v>
      </c>
      <c r="AE370" s="35"/>
      <c r="AF370" s="18">
        <v>482</v>
      </c>
      <c r="AG370" s="18">
        <v>0</v>
      </c>
      <c r="AH370" s="18">
        <v>0</v>
      </c>
      <c r="AI370" s="18">
        <v>0</v>
      </c>
      <c r="AJ370" s="18">
        <v>0</v>
      </c>
      <c r="AN370" s="71">
        <f t="shared" si="195"/>
        <v>-70</v>
      </c>
      <c r="AO370" s="71">
        <f t="shared" si="196"/>
        <v>0</v>
      </c>
      <c r="AP370" s="71">
        <f t="shared" si="197"/>
        <v>72</v>
      </c>
      <c r="AQ370" s="72">
        <f>IF(OR($H370="GIROSSOL II",$H370="GIROSSOL II e III"),INDEX('Resumo Operacional'!$A$1:$P$1103,MATCH("Energia Injetada prevista total Fatura da Usina (TUSD)",'Resumo Operacional'!$B$1:$B$1103,0),MATCH('Detalhe Por UC'!$R370,'Resumo Operacional'!$A$1:$P$1,0))*$S370,INDEX('Resumo Operacional'!$A$1:$P$1103,53,MATCH('Detalhe Por UC'!$R370,'Resumo Operacional'!$A$1:$P$1,0))*$S370)</f>
        <v>65.525999999999996</v>
      </c>
      <c r="AR370" s="71">
        <f t="shared" si="198"/>
        <v>6.4740000000000038</v>
      </c>
      <c r="AS370" s="73">
        <f t="shared" si="199"/>
        <v>111.66999999999999</v>
      </c>
      <c r="AT370" s="74">
        <f t="shared" si="200"/>
        <v>111.66999999999999</v>
      </c>
      <c r="AU370" s="74">
        <f t="shared" si="201"/>
        <v>1.0841725352112674</v>
      </c>
      <c r="AV370" s="74">
        <f t="shared" si="202"/>
        <v>117.1725</v>
      </c>
      <c r="AW370" s="74">
        <f t="shared" si="203"/>
        <v>0</v>
      </c>
      <c r="AX370" s="74">
        <f t="shared" si="204"/>
        <v>156.22999999999999</v>
      </c>
      <c r="AY370" s="74">
        <f t="shared" si="205"/>
        <v>117.17</v>
      </c>
      <c r="AZ370" s="117">
        <v>117.17</v>
      </c>
      <c r="BA370" s="117">
        <v>117.17</v>
      </c>
      <c r="BB370" s="49">
        <v>117.17</v>
      </c>
      <c r="BC370" s="73" t="str">
        <f t="shared" si="206"/>
        <v/>
      </c>
      <c r="BD370" s="73">
        <f t="shared" si="207"/>
        <v>267.89999999999998</v>
      </c>
      <c r="BE370" s="73">
        <f t="shared" si="208"/>
        <v>228.84249999999997</v>
      </c>
      <c r="BF370" s="77">
        <f t="shared" si="209"/>
        <v>39.06</v>
      </c>
      <c r="BG370" s="77">
        <f t="shared" si="210"/>
        <v>11.718</v>
      </c>
      <c r="BH370" s="77">
        <f t="shared" si="211"/>
        <v>156.22999999999999</v>
      </c>
      <c r="BI370" s="78">
        <f t="shared" si="212"/>
        <v>0.25</v>
      </c>
      <c r="BJ370" s="79">
        <f t="shared" si="213"/>
        <v>0.14580067189249721</v>
      </c>
      <c r="BK370" s="80">
        <f t="shared" si="214"/>
        <v>228.83999999999997</v>
      </c>
      <c r="BL370" s="80">
        <f t="shared" si="215"/>
        <v>39.06</v>
      </c>
      <c r="BM370" s="79">
        <f t="shared" si="216"/>
        <v>0.14580067189249721</v>
      </c>
      <c r="BN370" s="81">
        <f t="shared" si="217"/>
        <v>0.82514084507042251</v>
      </c>
      <c r="BO370" s="82">
        <f t="shared" si="218"/>
        <v>117.17</v>
      </c>
      <c r="BP370" s="81">
        <f t="shared" si="219"/>
        <v>0.82514084507042251</v>
      </c>
      <c r="BQ370" s="81">
        <f t="shared" si="220"/>
        <v>0.84117957746478877</v>
      </c>
      <c r="BR370" s="81">
        <f t="shared" si="221"/>
        <v>1.11625</v>
      </c>
      <c r="BS370" s="82">
        <f t="shared" si="222"/>
        <v>142</v>
      </c>
      <c r="BT370" s="82">
        <f t="shared" si="223"/>
        <v>158.50749999999999</v>
      </c>
      <c r="BU370" s="82">
        <f t="shared" si="224"/>
        <v>156.22999999999999</v>
      </c>
      <c r="BW370" s="82">
        <f>IFERROR(INDEX('Infos Clientes'!$T:$T,MATCH('Detalhe Por UC'!$C370,'Infos Clientes'!B:B,0)),"")</f>
        <v>187.5</v>
      </c>
      <c r="BX370" s="83">
        <f t="shared" si="225"/>
        <v>0</v>
      </c>
      <c r="BY370" s="84">
        <f t="shared" si="226"/>
        <v>0.24642367080422056</v>
      </c>
      <c r="BZ370" s="85">
        <f>IF(_xlfn.MINIFS('Detalhe Por UC'!R:R,'Detalhe Por UC'!C:C,C370,'Detalhe Por UC'!AD:AD,"&gt;"&amp;0)=0,"",_xlfn.MINIFS('Detalhe Por UC'!R:R,'Detalhe Por UC'!C:C,C370,'Detalhe Por UC'!AD:AD,"&gt;"&amp;0))</f>
        <v>45627</v>
      </c>
      <c r="CA370" s="114">
        <f ca="1">IF(OR(S370&gt;0,AD370&gt;0),IFERROR(
SUMIFS(INDIRECT("'Infos Clientes'!$W"&amp;INDEX('Infos Clientes'!$C:$C,MATCH(C370,'Infos Clientes'!$H:$H,0))&amp;":$CZ"&amp;INDEX('Infos Clientes'!$C:$C,MATCH(C370,'Infos Clientes'!$H:$H,0))),'Infos Clientes'!$W$2:$CZ$2,"&gt;"&amp;$R370-365,'Infos Clientes'!$W$2:$CZ$2,"&lt;="&amp;$R370)/
COUNTIFS(INDIRECT("'Infos Clientes'!$W"&amp;INDEX('Infos Clientes'!$C:$C,MATCH(C370,'Infos Clientes'!$H:$H,0))&amp;":$CZ"&amp;INDEX('Infos Clientes'!$C:$C,MATCH(C370,'Infos Clientes'!$H:$H,0))),"&gt;="&amp;0,'Infos Clientes'!$W$2:$CZ$2,"&gt;"&amp;$R370-365,'Infos Clientes'!$W$2:$CZ$2,"&lt;="&amp;$R370),""),"")</f>
        <v>185</v>
      </c>
      <c r="CB370" s="87">
        <f>VLOOKUP(C370,'Infos Clientes'!B:L,11,0)</f>
        <v>0</v>
      </c>
      <c r="CC370" s="88" t="str">
        <f t="shared" si="227"/>
        <v>A Unidade Consumidora 10/501586-2 economizou R$39,06 na fatura referente à abr/2025  consumindo 142 kWh em créditos de energia renovável conforme fatura de energia. A economia foi de 25% em relação ao que seria pago para a Energisa considerando os créditos consumidos. Atenção: Mantenha as contas da Energisa em dia para evitar cortes.</v>
      </c>
      <c r="CD370" s="40" t="s">
        <v>110</v>
      </c>
      <c r="CE370" s="18">
        <v>111.67</v>
      </c>
      <c r="CF370" s="115">
        <f t="shared" si="228"/>
        <v>0</v>
      </c>
    </row>
    <row r="371" spans="1:84" ht="16.2" hidden="1" customHeight="1" x14ac:dyDescent="0.3">
      <c r="A371" s="105" t="str">
        <f>INDEX('Infos Clientes'!$D:$D,MATCH('Detalhe Por UC'!C371,'Infos Clientes'!B:B,0))</f>
        <v>IGREJA DO EVANGELHO QUADRANGULAR</v>
      </c>
      <c r="B371" s="106" t="str">
        <f>INDEX('Infos Clientes'!$F:$F,MATCH('Detalhe Por UC'!C371,'Infos Clientes'!B:B,0))</f>
        <v>62.955.505/1973-60</v>
      </c>
      <c r="C371" s="44" t="s">
        <v>51</v>
      </c>
      <c r="D371" t="s">
        <v>351</v>
      </c>
      <c r="E371" s="1" t="s">
        <v>352</v>
      </c>
      <c r="F371" s="56" t="str">
        <f>INDEX('Infos Clientes'!$I:$I,MATCH('Detalhe Por UC'!C371,'Infos Clientes'!B:B,0))</f>
        <v>BT</v>
      </c>
      <c r="G371" s="56" t="str">
        <f>INDEX('Infos Clientes'!$J:$J,MATCH('Detalhe Por UC'!C371,'Infos Clientes'!B:B,0))</f>
        <v>trifasico</v>
      </c>
      <c r="H371" s="108" t="s">
        <v>24</v>
      </c>
      <c r="I371" s="58">
        <f>IFERROR(VLOOKUP(C371,'Infos Clientes'!B:E,4,),"")</f>
        <v>360</v>
      </c>
      <c r="J371" s="109">
        <v>0.25</v>
      </c>
      <c r="K371" s="59">
        <f>INDEX('Infos Clientes'!$M:$M,MATCH('Detalhe Por UC'!C371,'Infos Clientes'!B:B,0))</f>
        <v>0.25</v>
      </c>
      <c r="L371" s="125">
        <v>0</v>
      </c>
      <c r="M371" s="56">
        <f>INDEX('Infos Clientes'!$N:$N,MATCH('Detalhe Por UC'!C371,'Infos Clientes'!B:B,0))</f>
        <v>0</v>
      </c>
      <c r="N371" s="56">
        <f t="shared" si="192"/>
        <v>0</v>
      </c>
      <c r="O371" s="56">
        <f t="shared" si="193"/>
        <v>9</v>
      </c>
      <c r="P371" s="56">
        <f t="shared" si="194"/>
        <v>0</v>
      </c>
      <c r="Q371" s="61">
        <f>IFERROR(IFERROR(INDEX('Infos Clientes'!$A$2:$V$9884,MATCH($C371,'Infos Clientes'!$B$2:$B$9884,0),MATCH(Q$8,'Infos Clientes'!$A$2:$V$2,0)),"")
+IF(OR(INDEX('Infos Clientes'!$A$2:$V$9884,MATCH($C371,'Infos Clientes'!$B$2:$B$9884,0),MATCH("Tempo de Fidelidade (meses)",'Infos Clientes'!$A$2:$V$2,0))=0,R371&gt;=MAX(R:R)),0,
ROUND((MAX(R:R)-R371)/(365/12),0)),"")</f>
        <v>0</v>
      </c>
      <c r="R371" s="111">
        <v>45748</v>
      </c>
      <c r="S371" s="17">
        <v>0.01</v>
      </c>
      <c r="T371" s="113">
        <f>IF($H371="GIROSSOL II",AP371/INDEX('Resumo Operacional'!$A$1:$P$1103,17,MATCH('Detalhe Por UC'!$R371,'Resumo Operacional'!$A$1:$P$1,0)),
IF($H371="GIROSSOL II e III",AP371/INDEX('Resumo Operacional'!$A$1:$P$1103,17,MATCH('Detalhe Por UC'!$R371,'Resumo Operacional'!$A$1:$P$1,0)),
""))</f>
        <v>1.0988004761468729E-2</v>
      </c>
      <c r="U371" s="113" t="str">
        <f>IF($H371="GIROSSOL III",AP371/INDEX('Resumo Operacional'!$A$1:$P$1103,53,MATCH('Detalhe Por UC'!$R371,'Resumo Operacional'!$A$1:$P$1,0)),
IF($H371="GIROSSOL II e III",AP371/INDEX('Resumo Operacional'!$A$1:$P$1103,53,MATCH('Detalhe Por UC'!$R371,'Resumo Operacional'!$A$1:$P$1,0)),
""))</f>
        <v/>
      </c>
      <c r="V371" s="45"/>
      <c r="W371" s="18"/>
      <c r="X371" s="18">
        <v>1.119067055393586</v>
      </c>
      <c r="Y371" s="18"/>
      <c r="Z371" s="18">
        <v>1.0976969696969696</v>
      </c>
      <c r="AA371" s="18"/>
      <c r="AB371" s="18">
        <v>343</v>
      </c>
      <c r="AC371" s="18"/>
      <c r="AD371" s="18">
        <v>165</v>
      </c>
      <c r="AE371" s="35"/>
      <c r="AF371" s="18">
        <v>0</v>
      </c>
      <c r="AG371" s="18">
        <v>0</v>
      </c>
      <c r="AH371" s="18">
        <v>74.010000000000005</v>
      </c>
      <c r="AI371" s="18">
        <v>0</v>
      </c>
      <c r="AJ371" s="18">
        <v>0</v>
      </c>
      <c r="AN371" s="71">
        <f t="shared" si="195"/>
        <v>-45</v>
      </c>
      <c r="AO371" s="71">
        <f t="shared" si="196"/>
        <v>0</v>
      </c>
      <c r="AP371" s="71">
        <f t="shared" si="197"/>
        <v>120</v>
      </c>
      <c r="AQ371" s="72">
        <f>IF(OR($H371="GIROSSOL II",$H371="GIROSSOL II e III"),INDEX('Resumo Operacional'!$A$1:$P$1103,MATCH("Energia Injetada prevista total Fatura da Usina (TUSD)",'Resumo Operacional'!$B$1:$B$1103,0),MATCH('Detalhe Por UC'!$R371,'Resumo Operacional'!$A$1:$P$1,0))*$S371,INDEX('Resumo Operacional'!$A$1:$P$1103,53,MATCH('Detalhe Por UC'!$R371,'Resumo Operacional'!$A$1:$P$1,0))*$S371)</f>
        <v>109.21000000000001</v>
      </c>
      <c r="AR371" s="71">
        <f t="shared" si="198"/>
        <v>10.789999999999992</v>
      </c>
      <c r="AS371" s="73">
        <f t="shared" si="199"/>
        <v>276.73</v>
      </c>
      <c r="AT371" s="74">
        <f t="shared" si="200"/>
        <v>276.73</v>
      </c>
      <c r="AU371" s="74">
        <f t="shared" si="201"/>
        <v>1.0763268840003533</v>
      </c>
      <c r="AV371" s="74">
        <f t="shared" si="202"/>
        <v>135.83999999999997</v>
      </c>
      <c r="AW371" s="74">
        <f t="shared" si="203"/>
        <v>0</v>
      </c>
      <c r="AX371" s="74">
        <f t="shared" si="204"/>
        <v>181.11999999999998</v>
      </c>
      <c r="AY371" s="74">
        <f t="shared" si="205"/>
        <v>135.84</v>
      </c>
      <c r="AZ371" s="117">
        <v>135.84</v>
      </c>
      <c r="BA371" s="117">
        <v>135.84</v>
      </c>
      <c r="BC371" s="73" t="str">
        <f t="shared" si="206"/>
        <v/>
      </c>
      <c r="BD371" s="73">
        <f t="shared" si="207"/>
        <v>457.84999999999997</v>
      </c>
      <c r="BE371" s="73">
        <f t="shared" si="208"/>
        <v>412.57</v>
      </c>
      <c r="BF371" s="77">
        <f t="shared" si="209"/>
        <v>45.28</v>
      </c>
      <c r="BG371" s="77">
        <f t="shared" si="210"/>
        <v>13.584</v>
      </c>
      <c r="BH371" s="77">
        <f t="shared" si="211"/>
        <v>181.12</v>
      </c>
      <c r="BI371" s="78">
        <f t="shared" si="212"/>
        <v>0.25</v>
      </c>
      <c r="BJ371" s="79">
        <f t="shared" si="213"/>
        <v>9.8897018674238293E-2</v>
      </c>
      <c r="BK371" s="80">
        <f t="shared" si="214"/>
        <v>412.57000000000005</v>
      </c>
      <c r="BL371" s="80">
        <f t="shared" si="215"/>
        <v>45.279999999999916</v>
      </c>
      <c r="BM371" s="79">
        <f t="shared" si="216"/>
        <v>9.8897018674238113E-2</v>
      </c>
      <c r="BN371" s="81">
        <f t="shared" si="217"/>
        <v>0.82327272727272727</v>
      </c>
      <c r="BO371" s="82">
        <f t="shared" si="218"/>
        <v>135.84</v>
      </c>
      <c r="BP371" s="81">
        <f t="shared" si="219"/>
        <v>0.82327272727272727</v>
      </c>
      <c r="BQ371" s="81">
        <f t="shared" si="220"/>
        <v>0.84464281296934363</v>
      </c>
      <c r="BR371" s="81">
        <f t="shared" si="221"/>
        <v>1.119067055393586</v>
      </c>
      <c r="BS371" s="82">
        <f t="shared" si="222"/>
        <v>165</v>
      </c>
      <c r="BT371" s="82">
        <f t="shared" si="223"/>
        <v>184.6460641399417</v>
      </c>
      <c r="BU371" s="82">
        <f t="shared" si="224"/>
        <v>181.11999999999998</v>
      </c>
      <c r="BW371" s="82">
        <f>IFERROR(INDEX('Infos Clientes'!$T:$T,MATCH('Detalhe Por UC'!$C371,'Infos Clientes'!B:B,0)),"")</f>
        <v>185.66666666666666</v>
      </c>
      <c r="BX371" s="83">
        <f t="shared" si="225"/>
        <v>0</v>
      </c>
      <c r="BY371" s="84">
        <f t="shared" si="226"/>
        <v>0.24522591483825326</v>
      </c>
      <c r="BZ371" s="85">
        <f>IF(_xlfn.MINIFS('Detalhe Por UC'!R:R,'Detalhe Por UC'!C:C,C371,'Detalhe Por UC'!AD:AD,"&gt;"&amp;0)=0,"",_xlfn.MINIFS('Detalhe Por UC'!R:R,'Detalhe Por UC'!C:C,C371,'Detalhe Por UC'!AD:AD,"&gt;"&amp;0))</f>
        <v>45627</v>
      </c>
      <c r="CA371" s="114">
        <f ca="1">IF(OR(S371&gt;0,AD371&gt;0),IFERROR(
SUMIFS(INDIRECT("'Infos Clientes'!$W"&amp;INDEX('Infos Clientes'!$C:$C,MATCH(C371,'Infos Clientes'!$H:$H,0))&amp;":$CZ"&amp;INDEX('Infos Clientes'!$C:$C,MATCH(C371,'Infos Clientes'!$H:$H,0))),'Infos Clientes'!$W$2:$CZ$2,"&gt;"&amp;$R371-365,'Infos Clientes'!$W$2:$CZ$2,"&lt;="&amp;$R371)/
COUNTIFS(INDIRECT("'Infos Clientes'!$W"&amp;INDEX('Infos Clientes'!$C:$C,MATCH(C371,'Infos Clientes'!$H:$H,0))&amp;":$CZ"&amp;INDEX('Infos Clientes'!$C:$C,MATCH(C371,'Infos Clientes'!$H:$H,0))),"&gt;="&amp;0,'Infos Clientes'!$W$2:$CZ$2,"&gt;"&amp;$R371-365,'Infos Clientes'!$W$2:$CZ$2,"&lt;="&amp;$R371),""),"")</f>
        <v>241.16666666666666</v>
      </c>
      <c r="CB371" s="87">
        <f>VLOOKUP(C371,'Infos Clientes'!B:L,11,0)</f>
        <v>0</v>
      </c>
      <c r="CC371" s="88" t="str">
        <f t="shared" si="227"/>
        <v>A Unidade Consumidora 10/162736-3 economizou R$45,28 na fatura referente à abr/2025  consumindo 165 kWh em créditos de energia renovável conforme fatura de energia. A economia foi de 25% em relação ao que seria pago para a Energisa considerando os créditos consumidos. Atenção: Mantenha as contas da Energisa em dia para evitar cortes.</v>
      </c>
      <c r="CD371" s="40" t="s">
        <v>53</v>
      </c>
      <c r="CE371" s="18">
        <v>276.73</v>
      </c>
      <c r="CF371" s="115">
        <f t="shared" si="228"/>
        <v>0</v>
      </c>
    </row>
    <row r="372" spans="1:84" ht="16.2" hidden="1" customHeight="1" x14ac:dyDescent="0.3">
      <c r="A372" s="105" t="str">
        <f>INDEX('Infos Clientes'!$D:$D,MATCH('Detalhe Por UC'!C372,'Infos Clientes'!B:B,0))</f>
        <v>IGREJA DO EVANGELHO QUADRANGULAR</v>
      </c>
      <c r="B372" s="106" t="str">
        <f>INDEX('Infos Clientes'!$F:$F,MATCH('Detalhe Por UC'!C372,'Infos Clientes'!B:B,0))</f>
        <v>62.955.505/0408-94</v>
      </c>
      <c r="C372" s="44" t="s">
        <v>76</v>
      </c>
      <c r="D372" t="s">
        <v>351</v>
      </c>
      <c r="E372" s="1" t="s">
        <v>352</v>
      </c>
      <c r="F372" s="56" t="str">
        <f>INDEX('Infos Clientes'!$I:$I,MATCH('Detalhe Por UC'!C372,'Infos Clientes'!B:B,0))</f>
        <v>BT</v>
      </c>
      <c r="G372" s="56" t="str">
        <f>INDEX('Infos Clientes'!$J:$J,MATCH('Detalhe Por UC'!C372,'Infos Clientes'!B:B,0))</f>
        <v>bifasico</v>
      </c>
      <c r="H372" s="108" t="s">
        <v>24</v>
      </c>
      <c r="I372" s="58">
        <f>IFERROR(VLOOKUP(C372,'Infos Clientes'!B:E,4,),"")</f>
        <v>371</v>
      </c>
      <c r="J372" s="109">
        <v>0.25</v>
      </c>
      <c r="K372" s="59">
        <f>INDEX('Infos Clientes'!$M:$M,MATCH('Detalhe Por UC'!C372,'Infos Clientes'!B:B,0))</f>
        <v>0.25</v>
      </c>
      <c r="L372" s="125">
        <v>0</v>
      </c>
      <c r="M372" s="56">
        <f>INDEX('Infos Clientes'!$N:$N,MATCH('Detalhe Por UC'!C372,'Infos Clientes'!B:B,0))</f>
        <v>0</v>
      </c>
      <c r="N372" s="56">
        <f t="shared" si="192"/>
        <v>0</v>
      </c>
      <c r="O372" s="56">
        <f t="shared" si="193"/>
        <v>11</v>
      </c>
      <c r="P372" s="56">
        <f t="shared" si="194"/>
        <v>0</v>
      </c>
      <c r="Q372" s="61">
        <f>IFERROR(IFERROR(INDEX('Infos Clientes'!$A$2:$V$9884,MATCH($C372,'Infos Clientes'!$B$2:$B$9884,0),MATCH(Q$8,'Infos Clientes'!$A$2:$V$2,0)),"")
+IF(OR(INDEX('Infos Clientes'!$A$2:$V$9884,MATCH($C372,'Infos Clientes'!$B$2:$B$9884,0),MATCH("Tempo de Fidelidade (meses)",'Infos Clientes'!$A$2:$V$2,0))=0,R372&gt;=MAX(R:R)),0,
ROUND((MAX(R:R)-R372)/(365/12),0)),"")</f>
        <v>0</v>
      </c>
      <c r="R372" s="111">
        <v>45748</v>
      </c>
      <c r="S372" s="17">
        <v>0.01</v>
      </c>
      <c r="T372" s="113">
        <f>IF($H372="GIROSSOL II",AP372/INDEX('Resumo Operacional'!$A$1:$P$1103,17,MATCH('Detalhe Por UC'!$R372,'Resumo Operacional'!$A$1:$P$1,0)),
IF($H372="GIROSSOL II e III",AP372/INDEX('Resumo Operacional'!$A$1:$P$1103,17,MATCH('Detalhe Por UC'!$R372,'Resumo Operacional'!$A$1:$P$1,0)),
""))</f>
        <v>1.0988004761468729E-2</v>
      </c>
      <c r="U372" s="113" t="str">
        <f>IF($H372="GIROSSOL III",AP372/INDEX('Resumo Operacional'!$A$1:$P$1103,53,MATCH('Detalhe Por UC'!$R372,'Resumo Operacional'!$A$1:$P$1,0)),
IF($H372="GIROSSOL II e III",AP372/INDEX('Resumo Operacional'!$A$1:$P$1103,53,MATCH('Detalhe Por UC'!$R372,'Resumo Operacional'!$A$1:$P$1,0)),
""))</f>
        <v/>
      </c>
      <c r="V372" s="45"/>
      <c r="W372" s="18"/>
      <c r="X372" s="18">
        <v>1.1189795918367347</v>
      </c>
      <c r="Y372" s="18"/>
      <c r="Z372" s="18">
        <v>1.0401923076923079</v>
      </c>
      <c r="AA372" s="18"/>
      <c r="AB372" s="18">
        <v>98</v>
      </c>
      <c r="AC372" s="18"/>
      <c r="AD372" s="18">
        <v>52</v>
      </c>
      <c r="AE372" s="35"/>
      <c r="AF372" s="18">
        <v>550</v>
      </c>
      <c r="AG372" s="18">
        <v>0</v>
      </c>
      <c r="AH372" s="18">
        <v>24.67</v>
      </c>
      <c r="AI372" s="18">
        <v>0</v>
      </c>
      <c r="AJ372" s="18">
        <v>0</v>
      </c>
      <c r="AN372" s="71">
        <f t="shared" si="195"/>
        <v>68</v>
      </c>
      <c r="AO372" s="71">
        <f t="shared" si="196"/>
        <v>0</v>
      </c>
      <c r="AP372" s="71">
        <f t="shared" si="197"/>
        <v>120</v>
      </c>
      <c r="AQ372" s="72">
        <f>IF(OR($H372="GIROSSOL II",$H372="GIROSSOL II e III"),INDEX('Resumo Operacional'!$A$1:$P$1103,MATCH("Energia Injetada prevista total Fatura da Usina (TUSD)",'Resumo Operacional'!$B$1:$B$1103,0),MATCH('Detalhe Por UC'!$R372,'Resumo Operacional'!$A$1:$P$1,0))*$S372,INDEX('Resumo Operacional'!$A$1:$P$1103,53,MATCH('Detalhe Por UC'!$R372,'Resumo Operacional'!$A$1:$P$1,0))*$S372)</f>
        <v>109.21000000000001</v>
      </c>
      <c r="AR372" s="71">
        <f t="shared" si="198"/>
        <v>10.789999999999992</v>
      </c>
      <c r="AS372" s="73">
        <f t="shared" si="199"/>
        <v>80.239999999999981</v>
      </c>
      <c r="AT372" s="74">
        <f t="shared" si="200"/>
        <v>80.239999999999981</v>
      </c>
      <c r="AU372" s="74">
        <f t="shared" si="201"/>
        <v>0.96140502354788104</v>
      </c>
      <c r="AV372" s="74">
        <f t="shared" si="202"/>
        <v>40.56750000000001</v>
      </c>
      <c r="AW372" s="74">
        <f t="shared" si="203"/>
        <v>0</v>
      </c>
      <c r="AX372" s="74">
        <f t="shared" si="204"/>
        <v>54.090000000000011</v>
      </c>
      <c r="AY372" s="74">
        <f t="shared" si="205"/>
        <v>40.57</v>
      </c>
      <c r="AZ372" s="117">
        <v>40.57</v>
      </c>
      <c r="BA372" s="117">
        <v>40.57</v>
      </c>
      <c r="BB372" s="49">
        <v>40.57</v>
      </c>
      <c r="BC372" s="73" t="str">
        <f t="shared" si="206"/>
        <v/>
      </c>
      <c r="BD372" s="73">
        <f t="shared" si="207"/>
        <v>134.32999999999998</v>
      </c>
      <c r="BE372" s="73">
        <f t="shared" si="208"/>
        <v>120.80749999999999</v>
      </c>
      <c r="BF372" s="77">
        <f t="shared" si="209"/>
        <v>13.52</v>
      </c>
      <c r="BG372" s="77">
        <f t="shared" si="210"/>
        <v>4.056</v>
      </c>
      <c r="BH372" s="77">
        <f t="shared" si="211"/>
        <v>54.09</v>
      </c>
      <c r="BI372" s="78">
        <f t="shared" si="212"/>
        <v>0.25</v>
      </c>
      <c r="BJ372" s="79">
        <f t="shared" si="213"/>
        <v>0.1006476587508375</v>
      </c>
      <c r="BK372" s="80">
        <f t="shared" si="214"/>
        <v>120.80999999999997</v>
      </c>
      <c r="BL372" s="80">
        <f t="shared" si="215"/>
        <v>13.52000000000001</v>
      </c>
      <c r="BM372" s="79">
        <f t="shared" si="216"/>
        <v>0.10064765875083757</v>
      </c>
      <c r="BN372" s="81">
        <f t="shared" si="217"/>
        <v>0.78019230769230774</v>
      </c>
      <c r="BO372" s="82">
        <f t="shared" si="218"/>
        <v>40.57</v>
      </c>
      <c r="BP372" s="81">
        <f t="shared" si="219"/>
        <v>0.78019230769230774</v>
      </c>
      <c r="BQ372" s="81">
        <f t="shared" si="220"/>
        <v>0.85897959183673456</v>
      </c>
      <c r="BR372" s="81">
        <f t="shared" si="221"/>
        <v>1.1189795918367347</v>
      </c>
      <c r="BS372" s="82">
        <f t="shared" si="222"/>
        <v>52</v>
      </c>
      <c r="BT372" s="82">
        <f t="shared" si="223"/>
        <v>58.1869387755102</v>
      </c>
      <c r="BU372" s="82">
        <f t="shared" si="224"/>
        <v>54.090000000000011</v>
      </c>
      <c r="BW372" s="82">
        <f>IFERROR(INDEX('Infos Clientes'!$T:$T,MATCH('Detalhe Por UC'!$C372,'Infos Clientes'!B:B,0)),"")</f>
        <v>157.66666666666666</v>
      </c>
      <c r="BX372" s="83">
        <f t="shared" si="225"/>
        <v>0</v>
      </c>
      <c r="BY372" s="84">
        <f t="shared" si="226"/>
        <v>0.23235455042859759</v>
      </c>
      <c r="BZ372" s="85">
        <f>IF(_xlfn.MINIFS('Detalhe Por UC'!R:R,'Detalhe Por UC'!C:C,C372,'Detalhe Por UC'!AD:AD,"&gt;"&amp;0)=0,"",_xlfn.MINIFS('Detalhe Por UC'!R:R,'Detalhe Por UC'!C:C,C372,'Detalhe Por UC'!AD:AD,"&gt;"&amp;0))</f>
        <v>45627</v>
      </c>
      <c r="CA372" s="114">
        <f ca="1">IF(OR(S372&gt;0,AD372&gt;0),IFERROR(
SUMIFS(INDIRECT("'Infos Clientes'!$W"&amp;INDEX('Infos Clientes'!$C:$C,MATCH(C372,'Infos Clientes'!$H:$H,0))&amp;":$CZ"&amp;INDEX('Infos Clientes'!$C:$C,MATCH(C372,'Infos Clientes'!$H:$H,0))),'Infos Clientes'!$W$2:$CZ$2,"&gt;"&amp;$R372-365,'Infos Clientes'!$W$2:$CZ$2,"&lt;="&amp;$R372)/
COUNTIFS(INDIRECT("'Infos Clientes'!$W"&amp;INDEX('Infos Clientes'!$C:$C,MATCH(C372,'Infos Clientes'!$H:$H,0))&amp;":$CZ"&amp;INDEX('Infos Clientes'!$C:$C,MATCH(C372,'Infos Clientes'!$H:$H,0))),"&gt;="&amp;0,'Infos Clientes'!$W$2:$CZ$2,"&gt;"&amp;$R372-365,'Infos Clientes'!$W$2:$CZ$2,"&lt;="&amp;$R372),""),"")</f>
        <v>145.08333333333334</v>
      </c>
      <c r="CB372" s="87">
        <f>VLOOKUP(C372,'Infos Clientes'!B:L,11,0)</f>
        <v>0</v>
      </c>
      <c r="CC372" s="88" t="str">
        <f t="shared" si="227"/>
        <v>A Unidade Consumidora 10/226667-4 economizou R$13,52 na fatura referente à abr/2025  consumindo 52 kWh em créditos de energia renovável conforme fatura de energia. A economia foi de 25% em relação ao que seria pago para a Energisa considerando os créditos consumidos. Atenção: Mantenha as contas da Energisa em dia para evitar cortes.</v>
      </c>
      <c r="CD372" s="40" t="s">
        <v>78</v>
      </c>
      <c r="CE372" s="18">
        <v>80.239999999999995</v>
      </c>
      <c r="CF372" s="115">
        <f t="shared" si="228"/>
        <v>0</v>
      </c>
    </row>
    <row r="373" spans="1:84" ht="16.2" hidden="1" customHeight="1" x14ac:dyDescent="0.3">
      <c r="A373" s="105" t="str">
        <f>INDEX('Infos Clientes'!$D:$D,MATCH('Detalhe Por UC'!C373,'Infos Clientes'!B:B,0))</f>
        <v>IGREJA DO EVANGELHO QUADRANGULAR</v>
      </c>
      <c r="B373" s="106" t="str">
        <f>INDEX('Infos Clientes'!$F:$F,MATCH('Detalhe Por UC'!C373,'Infos Clientes'!B:B,0))</f>
        <v>62.955.505/0800-98</v>
      </c>
      <c r="C373" s="44" t="s">
        <v>38</v>
      </c>
      <c r="D373" t="s">
        <v>351</v>
      </c>
      <c r="E373" s="1" t="s">
        <v>352</v>
      </c>
      <c r="F373" s="56" t="str">
        <f>INDEX('Infos Clientes'!$I:$I,MATCH('Detalhe Por UC'!C373,'Infos Clientes'!B:B,0))</f>
        <v>BT</v>
      </c>
      <c r="G373" s="56" t="str">
        <f>INDEX('Infos Clientes'!$J:$J,MATCH('Detalhe Por UC'!C373,'Infos Clientes'!B:B,0))</f>
        <v>trifasico</v>
      </c>
      <c r="H373" s="108" t="s">
        <v>24</v>
      </c>
      <c r="I373" s="58">
        <f>IFERROR(VLOOKUP(C373,'Infos Clientes'!B:E,4,),"")</f>
        <v>351</v>
      </c>
      <c r="J373" s="109">
        <v>0.25</v>
      </c>
      <c r="K373" s="59">
        <f>INDEX('Infos Clientes'!$M:$M,MATCH('Detalhe Por UC'!C373,'Infos Clientes'!B:B,0))</f>
        <v>0.25</v>
      </c>
      <c r="L373" s="125">
        <v>0</v>
      </c>
      <c r="M373" s="56">
        <f>INDEX('Infos Clientes'!$N:$N,MATCH('Detalhe Por UC'!C373,'Infos Clientes'!B:B,0))</f>
        <v>0</v>
      </c>
      <c r="N373" s="56">
        <f t="shared" si="192"/>
        <v>0</v>
      </c>
      <c r="O373" s="56">
        <f t="shared" si="193"/>
        <v>7</v>
      </c>
      <c r="P373" s="56">
        <f t="shared" si="194"/>
        <v>0</v>
      </c>
      <c r="Q373" s="61">
        <f>IFERROR(IFERROR(INDEX('Infos Clientes'!$A$2:$V$9884,MATCH($C373,'Infos Clientes'!$B$2:$B$9884,0),MATCH(Q$8,'Infos Clientes'!$A$2:$V$2,0)),"")
+IF(OR(INDEX('Infos Clientes'!$A$2:$V$9884,MATCH($C373,'Infos Clientes'!$B$2:$B$9884,0),MATCH("Tempo de Fidelidade (meses)",'Infos Clientes'!$A$2:$V$2,0))=0,R373&gt;=MAX(R:R)),0,
ROUND((MAX(R:R)-R373)/(365/12),0)),"")</f>
        <v>0</v>
      </c>
      <c r="R373" s="111">
        <v>45748</v>
      </c>
      <c r="S373" s="17">
        <v>3.0000000000000001E-3</v>
      </c>
      <c r="T373" s="113">
        <f>IF($H373="GIROSSOL II",AP373/INDEX('Resumo Operacional'!$A$1:$P$1103,17,MATCH('Detalhe Por UC'!$R373,'Resumo Operacional'!$A$1:$P$1,0)),
IF($H373="GIROSSOL II e III",AP373/INDEX('Resumo Operacional'!$A$1:$P$1103,17,MATCH('Detalhe Por UC'!$R373,'Resumo Operacional'!$A$1:$P$1,0)),
""))</f>
        <v>3.2964014284406189E-3</v>
      </c>
      <c r="U373" s="113" t="str">
        <f>IF($H373="GIROSSOL III",AP373/INDEX('Resumo Operacional'!$A$1:$P$1103,53,MATCH('Detalhe Por UC'!$R373,'Resumo Operacional'!$A$1:$P$1,0)),
IF($H373="GIROSSOL II e III",AP373/INDEX('Resumo Operacional'!$A$1:$P$1103,53,MATCH('Detalhe Por UC'!$R373,'Resumo Operacional'!$A$1:$P$1,0)),
""))</f>
        <v/>
      </c>
      <c r="V373" s="45"/>
      <c r="W373" s="18"/>
      <c r="X373" s="18">
        <v>1.1190445859872611</v>
      </c>
      <c r="Y373" s="18"/>
      <c r="Z373" s="18">
        <v>1.1189473684210527</v>
      </c>
      <c r="AA373" s="18"/>
      <c r="AB373" s="18">
        <v>157</v>
      </c>
      <c r="AC373" s="18"/>
      <c r="AD373" s="18">
        <v>57</v>
      </c>
      <c r="AE373" s="35"/>
      <c r="AF373" s="18">
        <v>943</v>
      </c>
      <c r="AG373" s="18">
        <v>0</v>
      </c>
      <c r="AH373" s="18">
        <v>15.91</v>
      </c>
      <c r="AI373" s="18">
        <v>0</v>
      </c>
      <c r="AJ373" s="18">
        <v>0</v>
      </c>
      <c r="AN373" s="71">
        <f t="shared" si="195"/>
        <v>-21</v>
      </c>
      <c r="AO373" s="71">
        <f t="shared" si="196"/>
        <v>0</v>
      </c>
      <c r="AP373" s="71">
        <f t="shared" si="197"/>
        <v>36</v>
      </c>
      <c r="AQ373" s="72">
        <f>IF(OR($H373="GIROSSOL II",$H373="GIROSSOL II e III"),INDEX('Resumo Operacional'!$A$1:$P$1103,MATCH("Energia Injetada prevista total Fatura da Usina (TUSD)",'Resumo Operacional'!$B$1:$B$1103,0),MATCH('Detalhe Por UC'!$R373,'Resumo Operacional'!$A$1:$P$1,0))*$S373,INDEX('Resumo Operacional'!$A$1:$P$1103,53,MATCH('Detalhe Por UC'!$R373,'Resumo Operacional'!$A$1:$P$1,0))*$S373)</f>
        <v>32.762999999999998</v>
      </c>
      <c r="AR373" s="71">
        <f t="shared" si="198"/>
        <v>3.2370000000000019</v>
      </c>
      <c r="AS373" s="73">
        <f t="shared" si="199"/>
        <v>127.82</v>
      </c>
      <c r="AT373" s="74">
        <f t="shared" si="200"/>
        <v>127.82</v>
      </c>
      <c r="AU373" s="74">
        <f t="shared" si="201"/>
        <v>1.1188501508548443</v>
      </c>
      <c r="AV373" s="74">
        <f t="shared" si="202"/>
        <v>47.835000000000001</v>
      </c>
      <c r="AW373" s="74">
        <f t="shared" si="203"/>
        <v>0</v>
      </c>
      <c r="AX373" s="74">
        <f t="shared" si="204"/>
        <v>63.78</v>
      </c>
      <c r="AY373" s="74">
        <f t="shared" si="205"/>
        <v>47.84</v>
      </c>
      <c r="AZ373" s="117">
        <v>47.84</v>
      </c>
      <c r="BA373" s="117">
        <v>47.84</v>
      </c>
      <c r="BB373" s="49">
        <v>63.78</v>
      </c>
      <c r="BC373" s="73">
        <f t="shared" si="206"/>
        <v>15.939999999999998</v>
      </c>
      <c r="BD373" s="73">
        <f t="shared" si="207"/>
        <v>191.6</v>
      </c>
      <c r="BE373" s="73">
        <f t="shared" si="208"/>
        <v>175.655</v>
      </c>
      <c r="BF373" s="77">
        <f t="shared" si="209"/>
        <v>15.95</v>
      </c>
      <c r="BG373" s="77">
        <f t="shared" si="210"/>
        <v>4.7849999999999993</v>
      </c>
      <c r="BH373" s="77">
        <f t="shared" si="211"/>
        <v>63.78</v>
      </c>
      <c r="BI373" s="78">
        <f t="shared" si="212"/>
        <v>0.25</v>
      </c>
      <c r="BJ373" s="79">
        <f t="shared" si="213"/>
        <v>8.3246346555323592E-2</v>
      </c>
      <c r="BK373" s="80">
        <f t="shared" si="214"/>
        <v>175.66</v>
      </c>
      <c r="BL373" s="80">
        <f t="shared" si="215"/>
        <v>15.939999999999998</v>
      </c>
      <c r="BM373" s="79">
        <f t="shared" si="216"/>
        <v>8.3194154488517733E-2</v>
      </c>
      <c r="BN373" s="81">
        <f t="shared" si="217"/>
        <v>0.8392982456140351</v>
      </c>
      <c r="BO373" s="82">
        <f t="shared" si="218"/>
        <v>47.84</v>
      </c>
      <c r="BP373" s="81">
        <f t="shared" si="219"/>
        <v>0.8392982456140351</v>
      </c>
      <c r="BQ373" s="81">
        <f t="shared" si="220"/>
        <v>0.8393954631802435</v>
      </c>
      <c r="BR373" s="81">
        <f t="shared" si="221"/>
        <v>1.1190445859872611</v>
      </c>
      <c r="BS373" s="82">
        <f t="shared" si="222"/>
        <v>57</v>
      </c>
      <c r="BT373" s="82">
        <f t="shared" si="223"/>
        <v>63.785541401273882</v>
      </c>
      <c r="BU373" s="82">
        <f t="shared" si="224"/>
        <v>63.78</v>
      </c>
      <c r="BW373" s="82">
        <f>IFERROR(INDEX('Infos Clientes'!$T:$T,MATCH('Detalhe Por UC'!$C373,'Infos Clientes'!B:B,0)),"")</f>
        <v>134.36363636363637</v>
      </c>
      <c r="BX373" s="83">
        <f t="shared" si="225"/>
        <v>0</v>
      </c>
      <c r="BY373" s="84">
        <f t="shared" si="226"/>
        <v>0.24989989345268238</v>
      </c>
      <c r="BZ373" s="85">
        <f>IF(_xlfn.MINIFS('Detalhe Por UC'!R:R,'Detalhe Por UC'!C:C,C373,'Detalhe Por UC'!AD:AD,"&gt;"&amp;0)=0,"",_xlfn.MINIFS('Detalhe Por UC'!R:R,'Detalhe Por UC'!C:C,C373,'Detalhe Por UC'!AD:AD,"&gt;"&amp;0))</f>
        <v>45627</v>
      </c>
      <c r="CA373" s="114">
        <f ca="1">IF(OR(S373&gt;0,AD373&gt;0),IFERROR(
SUMIFS(INDIRECT("'Infos Clientes'!$W"&amp;INDEX('Infos Clientes'!$C:$C,MATCH(C373,'Infos Clientes'!$H:$H,0))&amp;":$CZ"&amp;INDEX('Infos Clientes'!$C:$C,MATCH(C373,'Infos Clientes'!$H:$H,0))),'Infos Clientes'!$W$2:$CZ$2,"&gt;"&amp;$R373-365,'Infos Clientes'!$W$2:$CZ$2,"&lt;="&amp;$R373)/
COUNTIFS(INDIRECT("'Infos Clientes'!$W"&amp;INDEX('Infos Clientes'!$C:$C,MATCH(C373,'Infos Clientes'!$H:$H,0))&amp;":$CZ"&amp;INDEX('Infos Clientes'!$C:$C,MATCH(C373,'Infos Clientes'!$H:$H,0))),"&gt;="&amp;0,'Infos Clientes'!$W$2:$CZ$2,"&gt;"&amp;$R373-365,'Infos Clientes'!$W$2:$CZ$2,"&lt;="&amp;$R373),""),"")</f>
        <v>136.45454545454547</v>
      </c>
      <c r="CB373" s="87">
        <f>VLOOKUP(C373,'Infos Clientes'!B:L,11,0)</f>
        <v>0</v>
      </c>
      <c r="CC373" s="88" t="str">
        <f t="shared" si="227"/>
        <v>A Unidade Consumidora 10/135237-6 economizou R$15,95 na fatura referente à abr/2025  consumindo 57 kWh em créditos de energia renovável conforme fatura de energia. A economia foi de 25% em relação ao que seria pago para a Energisa considerando os créditos consumidos. Atenção: Mantenha as contas da Energisa em dia para evitar cortes.</v>
      </c>
      <c r="CD373" s="40" t="s">
        <v>40</v>
      </c>
      <c r="CE373" s="18">
        <v>127.82</v>
      </c>
      <c r="CF373" s="115">
        <f t="shared" si="228"/>
        <v>0</v>
      </c>
    </row>
    <row r="374" spans="1:84" ht="16.2" hidden="1" customHeight="1" x14ac:dyDescent="0.3">
      <c r="A374" s="105" t="str">
        <f>INDEX('Infos Clientes'!$D:$D,MATCH('Detalhe Por UC'!C374,'Infos Clientes'!B:B,0))</f>
        <v>IGREJA DO EVANGELHO QUADRANGULAR</v>
      </c>
      <c r="B374" s="106" t="str">
        <f>INDEX('Infos Clientes'!$F:$F,MATCH('Detalhe Por UC'!C374,'Infos Clientes'!B:B,0))</f>
        <v>62.955.505/0170-51</v>
      </c>
      <c r="C374" s="44" t="s">
        <v>73</v>
      </c>
      <c r="D374" t="s">
        <v>351</v>
      </c>
      <c r="E374" s="1" t="s">
        <v>352</v>
      </c>
      <c r="F374" s="56" t="str">
        <f>INDEX('Infos Clientes'!$I:$I,MATCH('Detalhe Por UC'!C374,'Infos Clientes'!B:B,0))</f>
        <v>BT</v>
      </c>
      <c r="G374" s="56" t="str">
        <f>INDEX('Infos Clientes'!$J:$J,MATCH('Detalhe Por UC'!C374,'Infos Clientes'!B:B,0))</f>
        <v>bifasico</v>
      </c>
      <c r="H374" s="108" t="s">
        <v>24</v>
      </c>
      <c r="I374" s="58">
        <f>IFERROR(VLOOKUP(C374,'Infos Clientes'!B:E,4,),"")</f>
        <v>306</v>
      </c>
      <c r="J374" s="109">
        <v>0.25</v>
      </c>
      <c r="K374" s="59">
        <f>INDEX('Infos Clientes'!$M:$M,MATCH('Detalhe Por UC'!C374,'Infos Clientes'!B:B,0))</f>
        <v>0.25</v>
      </c>
      <c r="L374" s="125">
        <v>0</v>
      </c>
      <c r="M374" s="56">
        <f>INDEX('Infos Clientes'!$N:$N,MATCH('Detalhe Por UC'!C374,'Infos Clientes'!B:B,0))</f>
        <v>0</v>
      </c>
      <c r="N374" s="56">
        <f t="shared" si="192"/>
        <v>0</v>
      </c>
      <c r="O374" s="56">
        <f t="shared" si="193"/>
        <v>12</v>
      </c>
      <c r="P374" s="56">
        <f t="shared" si="194"/>
        <v>0</v>
      </c>
      <c r="Q374" s="61">
        <f>IFERROR(IFERROR(INDEX('Infos Clientes'!$A$2:$V$9884,MATCH($C374,'Infos Clientes'!$B$2:$B$9884,0),MATCH(Q$8,'Infos Clientes'!$A$2:$V$2,0)),"")
+IF(OR(INDEX('Infos Clientes'!$A$2:$V$9884,MATCH($C374,'Infos Clientes'!$B$2:$B$9884,0),MATCH("Tempo de Fidelidade (meses)",'Infos Clientes'!$A$2:$V$2,0))=0,R374&gt;=MAX(R:R)),0,
ROUND((MAX(R:R)-R374)/(365/12),0)),"")</f>
        <v>0</v>
      </c>
      <c r="R374" s="111">
        <v>45748</v>
      </c>
      <c r="S374" s="17">
        <v>0.01</v>
      </c>
      <c r="T374" s="113">
        <f>IF($H374="GIROSSOL II",AP374/INDEX('Resumo Operacional'!$A$1:$P$1103,17,MATCH('Detalhe Por UC'!$R374,'Resumo Operacional'!$A$1:$P$1,0)),
IF($H374="GIROSSOL II e III",AP374/INDEX('Resumo Operacional'!$A$1:$P$1103,17,MATCH('Detalhe Por UC'!$R374,'Resumo Operacional'!$A$1:$P$1,0)),
""))</f>
        <v>1.0988004761468729E-2</v>
      </c>
      <c r="U374" s="113" t="str">
        <f>IF($H374="GIROSSOL III",AP374/INDEX('Resumo Operacional'!$A$1:$P$1103,53,MATCH('Detalhe Por UC'!$R374,'Resumo Operacional'!$A$1:$P$1,0)),
IF($H374="GIROSSOL II e III",AP374/INDEX('Resumo Operacional'!$A$1:$P$1103,53,MATCH('Detalhe Por UC'!$R374,'Resumo Operacional'!$A$1:$P$1,0)),
""))</f>
        <v/>
      </c>
      <c r="V374" s="45"/>
      <c r="W374" s="18"/>
      <c r="X374" s="18">
        <v>1.1162573099415205</v>
      </c>
      <c r="Y374" s="18"/>
      <c r="Z374" s="18">
        <v>1.0397727272727273</v>
      </c>
      <c r="AA374" s="18"/>
      <c r="AB374" s="18">
        <v>171</v>
      </c>
      <c r="AC374" s="18"/>
      <c r="AD374" s="18">
        <v>132</v>
      </c>
      <c r="AE374" s="35"/>
      <c r="AF374" s="18">
        <v>441</v>
      </c>
      <c r="AG374" s="18">
        <v>0</v>
      </c>
      <c r="AH374" s="18">
        <v>21.45</v>
      </c>
      <c r="AI374" s="18">
        <v>0</v>
      </c>
      <c r="AJ374" s="18">
        <v>0</v>
      </c>
      <c r="AN374" s="71">
        <f t="shared" si="195"/>
        <v>-12</v>
      </c>
      <c r="AO374" s="71">
        <f t="shared" si="196"/>
        <v>0</v>
      </c>
      <c r="AP374" s="71">
        <f t="shared" si="197"/>
        <v>120</v>
      </c>
      <c r="AQ374" s="72">
        <f>IF(OR($H374="GIROSSOL II",$H374="GIROSSOL II e III"),INDEX('Resumo Operacional'!$A$1:$P$1103,MATCH("Energia Injetada prevista total Fatura da Usina (TUSD)",'Resumo Operacional'!$B$1:$B$1103,0),MATCH('Detalhe Por UC'!$R374,'Resumo Operacional'!$A$1:$P$1,0))*$S374,INDEX('Resumo Operacional'!$A$1:$P$1103,53,MATCH('Detalhe Por UC'!$R374,'Resumo Operacional'!$A$1:$P$1,0))*$S374)</f>
        <v>109.21000000000001</v>
      </c>
      <c r="AR374" s="71">
        <f t="shared" si="198"/>
        <v>10.789999999999992</v>
      </c>
      <c r="AS374" s="73">
        <f t="shared" si="199"/>
        <v>75.08</v>
      </c>
      <c r="AT374" s="74">
        <f t="shared" si="200"/>
        <v>75.08</v>
      </c>
      <c r="AU374" s="74">
        <f t="shared" si="201"/>
        <v>0.96328814460393408</v>
      </c>
      <c r="AV374" s="74">
        <f t="shared" si="202"/>
        <v>102.9375</v>
      </c>
      <c r="AW374" s="74">
        <f t="shared" si="203"/>
        <v>0</v>
      </c>
      <c r="AX374" s="74">
        <f t="shared" si="204"/>
        <v>137.25</v>
      </c>
      <c r="AY374" s="74">
        <f t="shared" si="205"/>
        <v>102.94</v>
      </c>
      <c r="AZ374" s="117">
        <v>102.94</v>
      </c>
      <c r="BA374" s="117">
        <v>102.94</v>
      </c>
      <c r="BB374" s="49">
        <v>102.94</v>
      </c>
      <c r="BC374" s="73" t="str">
        <f t="shared" si="206"/>
        <v/>
      </c>
      <c r="BD374" s="73">
        <f t="shared" si="207"/>
        <v>212.32999999999998</v>
      </c>
      <c r="BE374" s="73">
        <f t="shared" si="208"/>
        <v>178.01749999999998</v>
      </c>
      <c r="BF374" s="77">
        <f t="shared" si="209"/>
        <v>34.31</v>
      </c>
      <c r="BG374" s="77">
        <f t="shared" si="210"/>
        <v>10.293000000000001</v>
      </c>
      <c r="BH374" s="77">
        <f t="shared" si="211"/>
        <v>137.25</v>
      </c>
      <c r="BI374" s="78">
        <f t="shared" si="212"/>
        <v>0.25</v>
      </c>
      <c r="BJ374" s="79">
        <f t="shared" si="213"/>
        <v>0.16158809400461549</v>
      </c>
      <c r="BK374" s="80">
        <f t="shared" si="214"/>
        <v>178.01999999999998</v>
      </c>
      <c r="BL374" s="80">
        <f t="shared" si="215"/>
        <v>34.31</v>
      </c>
      <c r="BM374" s="79">
        <f t="shared" si="216"/>
        <v>0.16158809400461549</v>
      </c>
      <c r="BN374" s="81">
        <f t="shared" si="217"/>
        <v>0.77984848484848479</v>
      </c>
      <c r="BO374" s="82">
        <f t="shared" si="218"/>
        <v>102.94</v>
      </c>
      <c r="BP374" s="81">
        <f t="shared" si="219"/>
        <v>0.77984848484848479</v>
      </c>
      <c r="BQ374" s="81">
        <f t="shared" si="220"/>
        <v>0.856333067517278</v>
      </c>
      <c r="BR374" s="81">
        <f t="shared" si="221"/>
        <v>1.1162573099415205</v>
      </c>
      <c r="BS374" s="82">
        <f t="shared" si="222"/>
        <v>132</v>
      </c>
      <c r="BT374" s="82">
        <f t="shared" si="223"/>
        <v>147.34596491228069</v>
      </c>
      <c r="BU374" s="82">
        <f t="shared" si="224"/>
        <v>137.25</v>
      </c>
      <c r="BW374" s="82">
        <f>IFERROR(INDEX('Infos Clientes'!$T:$T,MATCH('Detalhe Por UC'!$C374,'Infos Clientes'!B:B,0)),"")</f>
        <v>153.91666666666666</v>
      </c>
      <c r="BX374" s="83">
        <f t="shared" si="225"/>
        <v>0</v>
      </c>
      <c r="BY374" s="84">
        <f t="shared" si="226"/>
        <v>0.23285333955650392</v>
      </c>
      <c r="BZ374" s="85">
        <f>IF(_xlfn.MINIFS('Detalhe Por UC'!R:R,'Detalhe Por UC'!C:C,C374,'Detalhe Por UC'!AD:AD,"&gt;"&amp;0)=0,"",_xlfn.MINIFS('Detalhe Por UC'!R:R,'Detalhe Por UC'!C:C,C374,'Detalhe Por UC'!AD:AD,"&gt;"&amp;0))</f>
        <v>45627</v>
      </c>
      <c r="CA374" s="114">
        <f ca="1">IF(OR(S374&gt;0,AD374&gt;0),IFERROR(
SUMIFS(INDIRECT("'Infos Clientes'!$W"&amp;INDEX('Infos Clientes'!$C:$C,MATCH(C374,'Infos Clientes'!$H:$H,0))&amp;":$CZ"&amp;INDEX('Infos Clientes'!$C:$C,MATCH(C374,'Infos Clientes'!$H:$H,0))),'Infos Clientes'!$W$2:$CZ$2,"&gt;"&amp;$R374-365,'Infos Clientes'!$W$2:$CZ$2,"&lt;="&amp;$R374)/
COUNTIFS(INDIRECT("'Infos Clientes'!$W"&amp;INDEX('Infos Clientes'!$C:$C,MATCH(C374,'Infos Clientes'!$H:$H,0))&amp;":$CZ"&amp;INDEX('Infos Clientes'!$C:$C,MATCH(C374,'Infos Clientes'!$H:$H,0))),"&gt;="&amp;0,'Infos Clientes'!$W$2:$CZ$2,"&gt;"&amp;$R374-365,'Infos Clientes'!$W$2:$CZ$2,"&lt;="&amp;$R374),""),"")</f>
        <v>154.91666666666666</v>
      </c>
      <c r="CB374" s="87">
        <f>VLOOKUP(C374,'Infos Clientes'!B:L,11,0)</f>
        <v>0</v>
      </c>
      <c r="CC374" s="88" t="str">
        <f t="shared" si="227"/>
        <v>A Unidade Consumidora 10/218777-1 economizou R$34,31 na fatura referente à abr/2025  consumindo 132 kWh em créditos de energia renovável conforme fatura de energia. A economia foi de 25% em relação ao que seria pago para a Energisa considerando os créditos consumidos. Atenção: Mantenha as contas da Energisa em dia para evitar cortes.</v>
      </c>
      <c r="CD374" s="40" t="s">
        <v>75</v>
      </c>
      <c r="CE374" s="18">
        <v>75.08</v>
      </c>
      <c r="CF374" s="115">
        <f t="shared" si="228"/>
        <v>0</v>
      </c>
    </row>
    <row r="375" spans="1:84" ht="16.2" hidden="1" customHeight="1" x14ac:dyDescent="0.3">
      <c r="A375" s="105" t="str">
        <f>INDEX('Infos Clientes'!$D:$D,MATCH('Detalhe Por UC'!C375,'Infos Clientes'!B:B,0))</f>
        <v>IGREJA DO EVANGELHO QUADRANGULAR</v>
      </c>
      <c r="B375" s="106" t="str">
        <f>INDEX('Infos Clientes'!$F:$F,MATCH('Detalhe Por UC'!C375,'Infos Clientes'!B:B,0))</f>
        <v>62.955.505/0847-51</v>
      </c>
      <c r="C375" s="44" t="s">
        <v>41</v>
      </c>
      <c r="D375" t="s">
        <v>351</v>
      </c>
      <c r="E375" s="1" t="s">
        <v>352</v>
      </c>
      <c r="F375" s="56" t="str">
        <f>INDEX('Infos Clientes'!$I:$I,MATCH('Detalhe Por UC'!C375,'Infos Clientes'!B:B,0))</f>
        <v>BT</v>
      </c>
      <c r="G375" s="56" t="str">
        <f>INDEX('Infos Clientes'!$J:$J,MATCH('Detalhe Por UC'!C375,'Infos Clientes'!B:B,0))</f>
        <v>monofasico</v>
      </c>
      <c r="H375" s="108" t="s">
        <v>24</v>
      </c>
      <c r="I375" s="58">
        <f>IFERROR(VLOOKUP(C375,'Infos Clientes'!B:E,4,),"")</f>
        <v>349</v>
      </c>
      <c r="J375" s="109">
        <v>0.25</v>
      </c>
      <c r="K375" s="59">
        <f>INDEX('Infos Clientes'!$M:$M,MATCH('Detalhe Por UC'!C375,'Infos Clientes'!B:B,0))</f>
        <v>0.25</v>
      </c>
      <c r="L375" s="125">
        <v>0</v>
      </c>
      <c r="M375" s="56">
        <f>INDEX('Infos Clientes'!$N:$N,MATCH('Detalhe Por UC'!C375,'Infos Clientes'!B:B,0))</f>
        <v>0</v>
      </c>
      <c r="N375" s="56">
        <f t="shared" si="192"/>
        <v>0</v>
      </c>
      <c r="O375" s="56">
        <f t="shared" si="193"/>
        <v>12</v>
      </c>
      <c r="P375" s="56">
        <f t="shared" si="194"/>
        <v>0</v>
      </c>
      <c r="Q375" s="61">
        <f>IFERROR(IFERROR(INDEX('Infos Clientes'!$A$2:$V$9884,MATCH($C375,'Infos Clientes'!$B$2:$B$9884,0),MATCH(Q$8,'Infos Clientes'!$A$2:$V$2,0)),"")
+IF(OR(INDEX('Infos Clientes'!$A$2:$V$9884,MATCH($C375,'Infos Clientes'!$B$2:$B$9884,0),MATCH("Tempo de Fidelidade (meses)",'Infos Clientes'!$A$2:$V$2,0))=0,R375&gt;=MAX(R:R)),0,
ROUND((MAX(R:R)-R375)/(365/12),0)),"")</f>
        <v>0</v>
      </c>
      <c r="R375" s="111">
        <v>45748</v>
      </c>
      <c r="S375" s="17">
        <v>0.01</v>
      </c>
      <c r="T375" s="113">
        <f>IF($H375="GIROSSOL II",AP375/INDEX('Resumo Operacional'!$A$1:$P$1103,17,MATCH('Detalhe Por UC'!$R375,'Resumo Operacional'!$A$1:$P$1,0)),
IF($H375="GIROSSOL II e III",AP375/INDEX('Resumo Operacional'!$A$1:$P$1103,17,MATCH('Detalhe Por UC'!$R375,'Resumo Operacional'!$A$1:$P$1,0)),
""))</f>
        <v>9.9807709916674304E-3</v>
      </c>
      <c r="U375" s="113" t="str">
        <f>IF($H375="GIROSSOL III",AP375/INDEX('Resumo Operacional'!$A$1:$P$1103,53,MATCH('Detalhe Por UC'!$R375,'Resumo Operacional'!$A$1:$P$1,0)),
IF($H375="GIROSSOL II e III",AP375/INDEX('Resumo Operacional'!$A$1:$P$1103,53,MATCH('Detalhe Por UC'!$R375,'Resumo Operacional'!$A$1:$P$1,0)),
""))</f>
        <v/>
      </c>
      <c r="V375" s="45"/>
      <c r="W375" s="18"/>
      <c r="X375" s="18">
        <v>1.1209497206703911</v>
      </c>
      <c r="Y375" s="18"/>
      <c r="Z375" s="18">
        <v>1.1168456375838927</v>
      </c>
      <c r="AA375" s="18"/>
      <c r="AB375" s="18">
        <v>179</v>
      </c>
      <c r="AC375" s="18"/>
      <c r="AD375" s="18">
        <v>149</v>
      </c>
      <c r="AE375" s="35"/>
      <c r="AF375" s="18">
        <v>258</v>
      </c>
      <c r="AG375" s="18">
        <v>0</v>
      </c>
      <c r="AH375" s="18">
        <v>62.36</v>
      </c>
      <c r="AI375" s="18">
        <v>0</v>
      </c>
      <c r="AJ375" s="18">
        <v>0</v>
      </c>
      <c r="AN375" s="71">
        <f t="shared" si="195"/>
        <v>-40</v>
      </c>
      <c r="AO375" s="71">
        <f t="shared" si="196"/>
        <v>0</v>
      </c>
      <c r="AP375" s="71">
        <f t="shared" si="197"/>
        <v>109</v>
      </c>
      <c r="AQ375" s="72">
        <f>IF(OR($H375="GIROSSOL II",$H375="GIROSSOL II e III"),INDEX('Resumo Operacional'!$A$1:$P$1103,MATCH("Energia Injetada prevista total Fatura da Usina (TUSD)",'Resumo Operacional'!$B$1:$B$1103,0),MATCH('Detalhe Por UC'!$R375,'Resumo Operacional'!$A$1:$P$1,0))*$S375,INDEX('Resumo Operacional'!$A$1:$P$1103,53,MATCH('Detalhe Por UC'!$R375,'Resumo Operacional'!$A$1:$P$1,0))*$S375)</f>
        <v>109.21000000000001</v>
      </c>
      <c r="AR375" s="71">
        <f t="shared" si="198"/>
        <v>-0.21000000000000796</v>
      </c>
      <c r="AS375" s="73">
        <f t="shared" si="199"/>
        <v>96.600000000000009</v>
      </c>
      <c r="AT375" s="74">
        <f t="shared" si="200"/>
        <v>96.600000000000009</v>
      </c>
      <c r="AU375" s="74">
        <f t="shared" si="201"/>
        <v>1.1127415544973942</v>
      </c>
      <c r="AV375" s="74">
        <f t="shared" si="202"/>
        <v>124.80749999999999</v>
      </c>
      <c r="AW375" s="74">
        <f t="shared" si="203"/>
        <v>0</v>
      </c>
      <c r="AX375" s="74">
        <f t="shared" si="204"/>
        <v>166.41</v>
      </c>
      <c r="AY375" s="74">
        <f t="shared" si="205"/>
        <v>124.81</v>
      </c>
      <c r="AZ375" s="117">
        <v>124.81</v>
      </c>
      <c r="BA375" s="117">
        <v>124.81</v>
      </c>
      <c r="BB375" s="49">
        <v>124.81</v>
      </c>
      <c r="BC375" s="73" t="str">
        <f t="shared" si="206"/>
        <v/>
      </c>
      <c r="BD375" s="73">
        <f t="shared" si="207"/>
        <v>263.01</v>
      </c>
      <c r="BE375" s="73">
        <f t="shared" si="208"/>
        <v>221.4075</v>
      </c>
      <c r="BF375" s="77">
        <f t="shared" si="209"/>
        <v>41.6</v>
      </c>
      <c r="BG375" s="77">
        <f t="shared" si="210"/>
        <v>12.48</v>
      </c>
      <c r="BH375" s="77">
        <f t="shared" si="211"/>
        <v>166.41</v>
      </c>
      <c r="BI375" s="78">
        <f t="shared" si="212"/>
        <v>0.25</v>
      </c>
      <c r="BJ375" s="79">
        <f t="shared" si="213"/>
        <v>0.1581688909166952</v>
      </c>
      <c r="BK375" s="80">
        <f t="shared" si="214"/>
        <v>221.41000000000003</v>
      </c>
      <c r="BL375" s="80">
        <f t="shared" si="215"/>
        <v>41.599999999999966</v>
      </c>
      <c r="BM375" s="79">
        <f t="shared" si="216"/>
        <v>0.15816889091669506</v>
      </c>
      <c r="BN375" s="81">
        <f t="shared" si="217"/>
        <v>0.83765100671140946</v>
      </c>
      <c r="BO375" s="82">
        <f t="shared" si="218"/>
        <v>124.81000000000002</v>
      </c>
      <c r="BP375" s="81">
        <f t="shared" si="219"/>
        <v>0.83765100671140946</v>
      </c>
      <c r="BQ375" s="81">
        <f t="shared" si="220"/>
        <v>0.84175508979790792</v>
      </c>
      <c r="BR375" s="81">
        <f t="shared" si="221"/>
        <v>1.1209497206703911</v>
      </c>
      <c r="BS375" s="82">
        <f t="shared" si="222"/>
        <v>149</v>
      </c>
      <c r="BT375" s="82">
        <f t="shared" si="223"/>
        <v>167.02150837988827</v>
      </c>
      <c r="BU375" s="82">
        <f t="shared" si="224"/>
        <v>166.41</v>
      </c>
      <c r="BW375" s="82">
        <f>IFERROR(INDEX('Infos Clientes'!$T:$T,MATCH('Detalhe Por UC'!$C375,'Infos Clientes'!B:B,0)),"")</f>
        <v>156.25</v>
      </c>
      <c r="BX375" s="83">
        <f t="shared" si="225"/>
        <v>0</v>
      </c>
      <c r="BY375" s="84">
        <f t="shared" si="226"/>
        <v>0.24906971804721897</v>
      </c>
      <c r="BZ375" s="85">
        <f>IF(_xlfn.MINIFS('Detalhe Por UC'!R:R,'Detalhe Por UC'!C:C,C375,'Detalhe Por UC'!AD:AD,"&gt;"&amp;0)=0,"",_xlfn.MINIFS('Detalhe Por UC'!R:R,'Detalhe Por UC'!C:C,C375,'Detalhe Por UC'!AD:AD,"&gt;"&amp;0))</f>
        <v>45627</v>
      </c>
      <c r="CA375" s="114">
        <f ca="1">IF(OR(S375&gt;0,AD375&gt;0),IFERROR(
SUMIFS(INDIRECT("'Infos Clientes'!$W"&amp;INDEX('Infos Clientes'!$C:$C,MATCH(C375,'Infos Clientes'!$H:$H,0))&amp;":$CZ"&amp;INDEX('Infos Clientes'!$C:$C,MATCH(C375,'Infos Clientes'!$H:$H,0))),'Infos Clientes'!$W$2:$CZ$2,"&gt;"&amp;$R375-365,'Infos Clientes'!$W$2:$CZ$2,"&lt;="&amp;$R375)/
COUNTIFS(INDIRECT("'Infos Clientes'!$W"&amp;INDEX('Infos Clientes'!$C:$C,MATCH(C375,'Infos Clientes'!$H:$H,0))&amp;":$CZ"&amp;INDEX('Infos Clientes'!$C:$C,MATCH(C375,'Infos Clientes'!$H:$H,0))),"&gt;="&amp;0,'Infos Clientes'!$W$2:$CZ$2,"&gt;"&amp;$R375-365,'Infos Clientes'!$W$2:$CZ$2,"&lt;="&amp;$R375),""),"")</f>
        <v>153.75</v>
      </c>
      <c r="CB375" s="87">
        <f>VLOOKUP(C375,'Infos Clientes'!B:L,11,0)</f>
        <v>0</v>
      </c>
      <c r="CC375" s="88" t="str">
        <f t="shared" si="227"/>
        <v>A Unidade Consumidora 10/1548741-6 economizou R$41,6 na fatura referente à abr/2025  consumindo 149 kWh em créditos de energia renovável conforme fatura de energia. A economia foi de 25% em relação ao que seria pago para a Energisa considerando os créditos consumidos. Atenção: Mantenha as contas da Energisa em dia para evitar cortes.</v>
      </c>
      <c r="CD375" s="40" t="s">
        <v>43</v>
      </c>
      <c r="CE375" s="18">
        <v>96.6</v>
      </c>
      <c r="CF375" s="115">
        <f t="shared" si="228"/>
        <v>0</v>
      </c>
    </row>
    <row r="376" spans="1:84" ht="16.2" hidden="1" customHeight="1" x14ac:dyDescent="0.3">
      <c r="A376" s="105" t="str">
        <f>INDEX('Infos Clientes'!$D:$D,MATCH('Detalhe Por UC'!C376,'Infos Clientes'!B:B,0))</f>
        <v>IGREJA DO EVANGELHO QUADRANGULAR</v>
      </c>
      <c r="B376" s="106" t="str">
        <f>INDEX('Infos Clientes'!$F:$F,MATCH('Detalhe Por UC'!C376,'Infos Clientes'!B:B,0))</f>
        <v>62.955.505/0155-12</v>
      </c>
      <c r="C376" s="44" t="s">
        <v>129</v>
      </c>
      <c r="D376" t="s">
        <v>351</v>
      </c>
      <c r="E376" s="1" t="s">
        <v>352</v>
      </c>
      <c r="F376" s="56" t="str">
        <f>INDEX('Infos Clientes'!$I:$I,MATCH('Detalhe Por UC'!C376,'Infos Clientes'!B:B,0))</f>
        <v>BT</v>
      </c>
      <c r="G376" s="56" t="str">
        <f>INDEX('Infos Clientes'!$J:$J,MATCH('Detalhe Por UC'!C376,'Infos Clientes'!B:B,0))</f>
        <v>trifasico</v>
      </c>
      <c r="H376" s="108" t="s">
        <v>24</v>
      </c>
      <c r="I376" s="58">
        <f>IFERROR(VLOOKUP(C376,'Infos Clientes'!B:E,4,),"")</f>
        <v>358</v>
      </c>
      <c r="J376" s="109">
        <v>0.25</v>
      </c>
      <c r="K376" s="59">
        <f>INDEX('Infos Clientes'!$M:$M,MATCH('Detalhe Por UC'!C376,'Infos Clientes'!B:B,0))</f>
        <v>0.25</v>
      </c>
      <c r="L376" s="125">
        <v>0</v>
      </c>
      <c r="M376" s="56">
        <f>INDEX('Infos Clientes'!$N:$N,MATCH('Detalhe Por UC'!C376,'Infos Clientes'!B:B,0))</f>
        <v>0</v>
      </c>
      <c r="N376" s="56">
        <f t="shared" si="192"/>
        <v>0</v>
      </c>
      <c r="O376" s="56">
        <f t="shared" si="193"/>
        <v>11</v>
      </c>
      <c r="P376" s="56">
        <f t="shared" si="194"/>
        <v>0</v>
      </c>
      <c r="Q376" s="61">
        <f>IFERROR(IFERROR(INDEX('Infos Clientes'!$A$2:$V$9884,MATCH($C376,'Infos Clientes'!$B$2:$B$9884,0),MATCH(Q$8,'Infos Clientes'!$A$2:$V$2,0)),"")
+IF(OR(INDEX('Infos Clientes'!$A$2:$V$9884,MATCH($C376,'Infos Clientes'!$B$2:$B$9884,0),MATCH("Tempo de Fidelidade (meses)",'Infos Clientes'!$A$2:$V$2,0))=0,R376&gt;=MAX(R:R)),0,
ROUND((MAX(R:R)-R376)/(365/12),0)),"")</f>
        <v>0</v>
      </c>
      <c r="R376" s="111">
        <v>45748</v>
      </c>
      <c r="S376" s="17">
        <v>5.0000000000000001E-3</v>
      </c>
      <c r="T376" s="113">
        <f>IF($H376="GIROSSOL II",AP376/INDEX('Resumo Operacional'!$A$1:$P$1103,17,MATCH('Detalhe Por UC'!$R376,'Resumo Operacional'!$A$1:$P$1,0)),
IF($H376="GIROSSOL II e III",AP376/INDEX('Resumo Operacional'!$A$1:$P$1103,17,MATCH('Detalhe Por UC'!$R376,'Resumo Operacional'!$A$1:$P$1,0)),
""))</f>
        <v>5.4940023807343646E-3</v>
      </c>
      <c r="U376" s="113" t="str">
        <f>IF($H376="GIROSSOL III",AP376/INDEX('Resumo Operacional'!$A$1:$P$1103,53,MATCH('Detalhe Por UC'!$R376,'Resumo Operacional'!$A$1:$P$1,0)),
IF($H376="GIROSSOL II e III",AP376/INDEX('Resumo Operacional'!$A$1:$P$1103,53,MATCH('Detalhe Por UC'!$R376,'Resumo Operacional'!$A$1:$P$1,0)),
""))</f>
        <v/>
      </c>
      <c r="V376" s="45"/>
      <c r="W376" s="18"/>
      <c r="X376" s="18">
        <v>1.1161946902654867</v>
      </c>
      <c r="Y376" s="18"/>
      <c r="Z376" s="18">
        <v>1.1161538461538461</v>
      </c>
      <c r="AA376" s="18"/>
      <c r="AB376" s="18">
        <v>113</v>
      </c>
      <c r="AC376" s="18"/>
      <c r="AD376" s="18">
        <v>13</v>
      </c>
      <c r="AE376" s="35"/>
      <c r="AF376" s="18">
        <v>1316</v>
      </c>
      <c r="AG376" s="18">
        <v>0</v>
      </c>
      <c r="AH376" s="18">
        <v>52.37</v>
      </c>
      <c r="AI376" s="18">
        <v>0</v>
      </c>
      <c r="AJ376" s="18">
        <v>0</v>
      </c>
      <c r="AN376" s="71">
        <f t="shared" si="195"/>
        <v>47</v>
      </c>
      <c r="AO376" s="71">
        <f t="shared" si="196"/>
        <v>0</v>
      </c>
      <c r="AP376" s="71">
        <f t="shared" si="197"/>
        <v>60</v>
      </c>
      <c r="AQ376" s="72">
        <f>IF(OR($H376="GIROSSOL II",$H376="GIROSSOL II e III"),INDEX('Resumo Operacional'!$A$1:$P$1103,MATCH("Energia Injetada prevista total Fatura da Usina (TUSD)",'Resumo Operacional'!$B$1:$B$1103,0),MATCH('Detalhe Por UC'!$R376,'Resumo Operacional'!$A$1:$P$1,0))*$S376,INDEX('Resumo Operacional'!$A$1:$P$1103,53,MATCH('Detalhe Por UC'!$R376,'Resumo Operacional'!$A$1:$P$1,0))*$S376)</f>
        <v>54.605000000000004</v>
      </c>
      <c r="AR376" s="71">
        <f t="shared" si="198"/>
        <v>5.394999999999996</v>
      </c>
      <c r="AS376" s="73">
        <f t="shared" si="199"/>
        <v>163.99</v>
      </c>
      <c r="AT376" s="74">
        <f t="shared" si="200"/>
        <v>163.99</v>
      </c>
      <c r="AU376" s="74">
        <f t="shared" si="201"/>
        <v>1.1161130020422054</v>
      </c>
      <c r="AV376" s="74">
        <f t="shared" si="202"/>
        <v>10.882499999999999</v>
      </c>
      <c r="AW376" s="74">
        <f t="shared" si="203"/>
        <v>0</v>
      </c>
      <c r="AX376" s="74">
        <f t="shared" si="204"/>
        <v>14.509999999999998</v>
      </c>
      <c r="AY376" s="74">
        <f t="shared" si="205"/>
        <v>10.88</v>
      </c>
      <c r="AZ376" s="117">
        <v>10.88</v>
      </c>
      <c r="BA376" s="117">
        <v>10.88</v>
      </c>
      <c r="BB376" s="49">
        <v>10.88</v>
      </c>
      <c r="BC376" s="73" t="str">
        <f t="shared" si="206"/>
        <v/>
      </c>
      <c r="BD376" s="73">
        <f t="shared" si="207"/>
        <v>178.5</v>
      </c>
      <c r="BE376" s="73">
        <f t="shared" si="208"/>
        <v>174.8725</v>
      </c>
      <c r="BF376" s="77">
        <f t="shared" si="209"/>
        <v>3.63</v>
      </c>
      <c r="BG376" s="77">
        <f t="shared" si="210"/>
        <v>1.089</v>
      </c>
      <c r="BH376" s="77">
        <f t="shared" si="211"/>
        <v>14.51</v>
      </c>
      <c r="BI376" s="78">
        <f t="shared" si="212"/>
        <v>0.25</v>
      </c>
      <c r="BJ376" s="79">
        <f t="shared" si="213"/>
        <v>2.0336134453781511E-2</v>
      </c>
      <c r="BK376" s="80">
        <f t="shared" si="214"/>
        <v>174.87</v>
      </c>
      <c r="BL376" s="80">
        <f t="shared" si="215"/>
        <v>3.6299999999999955</v>
      </c>
      <c r="BM376" s="79">
        <f t="shared" si="216"/>
        <v>2.0336134453781487E-2</v>
      </c>
      <c r="BN376" s="81">
        <f t="shared" si="217"/>
        <v>0.83692307692307699</v>
      </c>
      <c r="BO376" s="82">
        <f t="shared" si="218"/>
        <v>10.88</v>
      </c>
      <c r="BP376" s="81">
        <f t="shared" si="219"/>
        <v>0.83692307692307699</v>
      </c>
      <c r="BQ376" s="81">
        <f t="shared" si="220"/>
        <v>0.83696392103471762</v>
      </c>
      <c r="BR376" s="81">
        <f t="shared" si="221"/>
        <v>1.1161946902654867</v>
      </c>
      <c r="BS376" s="82">
        <f t="shared" si="222"/>
        <v>13</v>
      </c>
      <c r="BT376" s="82">
        <f t="shared" si="223"/>
        <v>14.510530973451328</v>
      </c>
      <c r="BU376" s="82">
        <f t="shared" si="224"/>
        <v>14.509999999999998</v>
      </c>
      <c r="BW376" s="82">
        <f>IFERROR(INDEX('Infos Clientes'!$T:$T,MATCH('Detalhe Por UC'!$C376,'Infos Clientes'!B:B,0)),"")</f>
        <v>123.5</v>
      </c>
      <c r="BX376" s="83">
        <f t="shared" si="225"/>
        <v>0</v>
      </c>
      <c r="BY376" s="84">
        <f t="shared" si="226"/>
        <v>0.25016314059364864</v>
      </c>
      <c r="BZ376" s="85">
        <f>IF(_xlfn.MINIFS('Detalhe Por UC'!R:R,'Detalhe Por UC'!C:C,C376,'Detalhe Por UC'!AD:AD,"&gt;"&amp;0)=0,"",_xlfn.MINIFS('Detalhe Por UC'!R:R,'Detalhe Por UC'!C:C,C376,'Detalhe Por UC'!AD:AD,"&gt;"&amp;0))</f>
        <v>45627</v>
      </c>
      <c r="CA376" s="114">
        <f ca="1">IF(OR(S376&gt;0,AD376&gt;0),IFERROR(
SUMIFS(INDIRECT("'Infos Clientes'!$W"&amp;INDEX('Infos Clientes'!$C:$C,MATCH(C376,'Infos Clientes'!$H:$H,0))&amp;":$CZ"&amp;INDEX('Infos Clientes'!$C:$C,MATCH(C376,'Infos Clientes'!$H:$H,0))),'Infos Clientes'!$W$2:$CZ$2,"&gt;"&amp;$R376-365,'Infos Clientes'!$W$2:$CZ$2,"&lt;="&amp;$R376)/
COUNTIFS(INDIRECT("'Infos Clientes'!$W"&amp;INDEX('Infos Clientes'!$C:$C,MATCH(C376,'Infos Clientes'!$H:$H,0))&amp;":$CZ"&amp;INDEX('Infos Clientes'!$C:$C,MATCH(C376,'Infos Clientes'!$H:$H,0))),"&gt;="&amp;0,'Infos Clientes'!$W$2:$CZ$2,"&gt;"&amp;$R376-365,'Infos Clientes'!$W$2:$CZ$2,"&lt;="&amp;$R376),""),"")</f>
        <v>110.83333333333333</v>
      </c>
      <c r="CB376" s="87">
        <f>VLOOKUP(C376,'Infos Clientes'!B:L,11,0)</f>
        <v>0</v>
      </c>
      <c r="CC376" s="88" t="str">
        <f t="shared" si="227"/>
        <v>A Unidade Consumidora 10/987178-1 economizou R$3,63 na fatura referente à abr/2025  consumindo 13 kWh em créditos de energia renovável conforme fatura de energia. A economia foi de 25% em relação ao que seria pago para a Energisa considerando os créditos consumidos. Atenção: Mantenha as contas da Energisa em dia para evitar cortes.</v>
      </c>
      <c r="CD376" s="40" t="s">
        <v>249</v>
      </c>
      <c r="CE376" s="18">
        <v>163.99</v>
      </c>
      <c r="CF376" s="115">
        <f t="shared" si="228"/>
        <v>0</v>
      </c>
    </row>
    <row r="377" spans="1:84" ht="16.2" hidden="1" customHeight="1" x14ac:dyDescent="0.3">
      <c r="A377" s="105" t="str">
        <f>INDEX('Infos Clientes'!$D:$D,MATCH('Detalhe Por UC'!C377,'Infos Clientes'!B:B,0))</f>
        <v>IGREJA DO EVANGELHO QUADRANGULAR</v>
      </c>
      <c r="B377" s="106" t="str">
        <f>INDEX('Infos Clientes'!$F:$F,MATCH('Detalhe Por UC'!C377,'Infos Clientes'!B:B,0))</f>
        <v>62.955.505/1821-76</v>
      </c>
      <c r="C377" s="44" t="s">
        <v>81</v>
      </c>
      <c r="D377" t="s">
        <v>351</v>
      </c>
      <c r="E377" s="1" t="s">
        <v>352</v>
      </c>
      <c r="F377" s="56" t="str">
        <f>INDEX('Infos Clientes'!$I:$I,MATCH('Detalhe Por UC'!C377,'Infos Clientes'!B:B,0))</f>
        <v>BT</v>
      </c>
      <c r="G377" s="56" t="str">
        <f>INDEX('Infos Clientes'!$J:$J,MATCH('Detalhe Por UC'!C377,'Infos Clientes'!B:B,0))</f>
        <v>bifasico</v>
      </c>
      <c r="H377" s="108" t="s">
        <v>24</v>
      </c>
      <c r="I377" s="58">
        <f>IFERROR(VLOOKUP(C377,'Infos Clientes'!B:E,4,),"")</f>
        <v>362</v>
      </c>
      <c r="J377" s="109">
        <v>0.25</v>
      </c>
      <c r="K377" s="59">
        <f>INDEX('Infos Clientes'!$M:$M,MATCH('Detalhe Por UC'!C377,'Infos Clientes'!B:B,0))</f>
        <v>0.25</v>
      </c>
      <c r="L377" s="125">
        <v>0</v>
      </c>
      <c r="M377" s="56">
        <f>INDEX('Infos Clientes'!$N:$N,MATCH('Detalhe Por UC'!C377,'Infos Clientes'!B:B,0))</f>
        <v>0</v>
      </c>
      <c r="N377" s="56">
        <f t="shared" si="192"/>
        <v>0</v>
      </c>
      <c r="O377" s="56">
        <f t="shared" si="193"/>
        <v>12</v>
      </c>
      <c r="P377" s="56">
        <f t="shared" si="194"/>
        <v>0</v>
      </c>
      <c r="Q377" s="61">
        <f>IFERROR(IFERROR(INDEX('Infos Clientes'!$A$2:$V$9884,MATCH($C377,'Infos Clientes'!$B$2:$B$9884,0),MATCH(Q$8,'Infos Clientes'!$A$2:$V$2,0)),"")
+IF(OR(INDEX('Infos Clientes'!$A$2:$V$9884,MATCH($C377,'Infos Clientes'!$B$2:$B$9884,0),MATCH("Tempo de Fidelidade (meses)",'Infos Clientes'!$A$2:$V$2,0))=0,R377&gt;=MAX(R:R)),0,
ROUND((MAX(R:R)-R377)/(365/12),0)),"")</f>
        <v>0</v>
      </c>
      <c r="R377" s="111">
        <v>45748</v>
      </c>
      <c r="S377" s="17">
        <v>5.0000000000000001E-3</v>
      </c>
      <c r="T377" s="113">
        <f>IF($H377="GIROSSOL II",AP377/INDEX('Resumo Operacional'!$A$1:$P$1103,17,MATCH('Detalhe Por UC'!$R377,'Resumo Operacional'!$A$1:$P$1,0)),
IF($H377="GIROSSOL II e III",AP377/INDEX('Resumo Operacional'!$A$1:$P$1103,17,MATCH('Detalhe Por UC'!$R377,'Resumo Operacional'!$A$1:$P$1,0)),
""))</f>
        <v>5.4940023807343646E-3</v>
      </c>
      <c r="U377" s="113" t="str">
        <f>IF($H377="GIROSSOL III",AP377/INDEX('Resumo Operacional'!$A$1:$P$1103,53,MATCH('Detalhe Por UC'!$R377,'Resumo Operacional'!$A$1:$P$1,0)),
IF($H377="GIROSSOL II e III",AP377/INDEX('Resumo Operacional'!$A$1:$P$1103,53,MATCH('Detalhe Por UC'!$R377,'Resumo Operacional'!$A$1:$P$1,0)),
""))</f>
        <v/>
      </c>
      <c r="V377" s="45"/>
      <c r="W377" s="18"/>
      <c r="X377" s="18">
        <v>1.117212389380531</v>
      </c>
      <c r="Y377" s="18"/>
      <c r="Z377" s="18">
        <v>1.0864137931034483</v>
      </c>
      <c r="AA377" s="18"/>
      <c r="AB377" s="18">
        <v>226</v>
      </c>
      <c r="AC377" s="18"/>
      <c r="AD377" s="18">
        <v>145</v>
      </c>
      <c r="AE377" s="35"/>
      <c r="AF377" s="18">
        <v>0</v>
      </c>
      <c r="AG377" s="18">
        <v>0</v>
      </c>
      <c r="AH377" s="18">
        <v>18.59</v>
      </c>
      <c r="AI377" s="18">
        <v>0</v>
      </c>
      <c r="AJ377" s="18">
        <v>0</v>
      </c>
      <c r="AN377" s="71">
        <f t="shared" si="195"/>
        <v>-85</v>
      </c>
      <c r="AO377" s="71">
        <f t="shared" si="196"/>
        <v>0</v>
      </c>
      <c r="AP377" s="71">
        <f t="shared" si="197"/>
        <v>60</v>
      </c>
      <c r="AQ377" s="72">
        <f>IF(OR($H377="GIROSSOL II",$H377="GIROSSOL II e III"),INDEX('Resumo Operacional'!$A$1:$P$1103,MATCH("Energia Injetada prevista total Fatura da Usina (TUSD)",'Resumo Operacional'!$B$1:$B$1103,0),MATCH('Detalhe Por UC'!$R377,'Resumo Operacional'!$A$1:$P$1,0))*$S377,INDEX('Resumo Operacional'!$A$1:$P$1103,53,MATCH('Detalhe Por UC'!$R377,'Resumo Operacional'!$A$1:$P$1,0))*$S377)</f>
        <v>54.605000000000004</v>
      </c>
      <c r="AR377" s="71">
        <f t="shared" si="198"/>
        <v>5.394999999999996</v>
      </c>
      <c r="AS377" s="73">
        <f t="shared" si="199"/>
        <v>113.55000000000001</v>
      </c>
      <c r="AT377" s="74">
        <f t="shared" si="200"/>
        <v>113.55000000000001</v>
      </c>
      <c r="AU377" s="74">
        <f t="shared" si="201"/>
        <v>1.0556151968263656</v>
      </c>
      <c r="AV377" s="74">
        <f t="shared" si="202"/>
        <v>118.14750000000001</v>
      </c>
      <c r="AW377" s="74">
        <f t="shared" si="203"/>
        <v>0</v>
      </c>
      <c r="AX377" s="74">
        <f t="shared" si="204"/>
        <v>157.53</v>
      </c>
      <c r="AY377" s="74">
        <f t="shared" si="205"/>
        <v>118.15</v>
      </c>
      <c r="AZ377" s="117">
        <v>118.15</v>
      </c>
      <c r="BA377" s="117">
        <v>118.15</v>
      </c>
      <c r="BC377" s="73" t="str">
        <f t="shared" si="206"/>
        <v/>
      </c>
      <c r="BD377" s="73">
        <f t="shared" si="207"/>
        <v>271.08</v>
      </c>
      <c r="BE377" s="73">
        <f t="shared" si="208"/>
        <v>231.69750000000002</v>
      </c>
      <c r="BF377" s="77">
        <f t="shared" si="209"/>
        <v>39.380000000000003</v>
      </c>
      <c r="BG377" s="77">
        <f t="shared" si="210"/>
        <v>11.814</v>
      </c>
      <c r="BH377" s="77">
        <f t="shared" si="211"/>
        <v>157.53</v>
      </c>
      <c r="BI377" s="78">
        <f t="shared" si="212"/>
        <v>0.25</v>
      </c>
      <c r="BJ377" s="79">
        <f t="shared" si="213"/>
        <v>0.14527076877674489</v>
      </c>
      <c r="BK377" s="80">
        <f t="shared" si="214"/>
        <v>231.70000000000002</v>
      </c>
      <c r="BL377" s="80">
        <f t="shared" si="215"/>
        <v>39.379999999999967</v>
      </c>
      <c r="BM377" s="79">
        <f t="shared" si="216"/>
        <v>0.14527076877674475</v>
      </c>
      <c r="BN377" s="81">
        <f t="shared" si="217"/>
        <v>0.81482758620689655</v>
      </c>
      <c r="BO377" s="82">
        <f t="shared" si="218"/>
        <v>118.15</v>
      </c>
      <c r="BP377" s="81">
        <f t="shared" si="219"/>
        <v>0.81482758620689655</v>
      </c>
      <c r="BQ377" s="81">
        <f t="shared" si="220"/>
        <v>0.84562618248397925</v>
      </c>
      <c r="BR377" s="81">
        <f t="shared" si="221"/>
        <v>1.117212389380531</v>
      </c>
      <c r="BS377" s="82">
        <f t="shared" si="222"/>
        <v>145</v>
      </c>
      <c r="BT377" s="82">
        <f t="shared" si="223"/>
        <v>161.99579646017699</v>
      </c>
      <c r="BU377" s="82">
        <f t="shared" si="224"/>
        <v>157.53</v>
      </c>
      <c r="BW377" s="82">
        <f>IFERROR(INDEX('Infos Clientes'!$T:$T,MATCH('Detalhe Por UC'!$C377,'Infos Clientes'!B:B,0)),"")</f>
        <v>153.91666666666666</v>
      </c>
      <c r="BX377" s="83">
        <f t="shared" si="225"/>
        <v>0</v>
      </c>
      <c r="BY377" s="84">
        <f t="shared" si="226"/>
        <v>0.24309272746889263</v>
      </c>
      <c r="BZ377" s="85">
        <f>IF(_xlfn.MINIFS('Detalhe Por UC'!R:R,'Detalhe Por UC'!C:C,C377,'Detalhe Por UC'!AD:AD,"&gt;"&amp;0)=0,"",_xlfn.MINIFS('Detalhe Por UC'!R:R,'Detalhe Por UC'!C:C,C377,'Detalhe Por UC'!AD:AD,"&gt;"&amp;0))</f>
        <v>45627</v>
      </c>
      <c r="CA377" s="114">
        <f ca="1">IF(OR(S377&gt;0,AD377&gt;0),IFERROR(
SUMIFS(INDIRECT("'Infos Clientes'!$W"&amp;INDEX('Infos Clientes'!$C:$C,MATCH(C377,'Infos Clientes'!$H:$H,0))&amp;":$CZ"&amp;INDEX('Infos Clientes'!$C:$C,MATCH(C377,'Infos Clientes'!$H:$H,0))),'Infos Clientes'!$W$2:$CZ$2,"&gt;"&amp;$R377-365,'Infos Clientes'!$W$2:$CZ$2,"&lt;="&amp;$R377)/
COUNTIFS(INDIRECT("'Infos Clientes'!$W"&amp;INDEX('Infos Clientes'!$C:$C,MATCH(C377,'Infos Clientes'!$H:$H,0))&amp;":$CZ"&amp;INDEX('Infos Clientes'!$C:$C,MATCH(C377,'Infos Clientes'!$H:$H,0))),"&gt;="&amp;0,'Infos Clientes'!$W$2:$CZ$2,"&gt;"&amp;$R377-365,'Infos Clientes'!$W$2:$CZ$2,"&lt;="&amp;$R377),""),"")</f>
        <v>174.25</v>
      </c>
      <c r="CB377" s="87">
        <f>VLOOKUP(C377,'Infos Clientes'!B:L,11,0)</f>
        <v>0</v>
      </c>
      <c r="CC377" s="88" t="str">
        <f t="shared" si="227"/>
        <v>A Unidade Consumidora 10/257864-9 economizou R$39,38 na fatura referente à abr/2025  consumindo 145 kWh em créditos de energia renovável conforme fatura de energia. A economia foi de 25% em relação ao que seria pago para a Energisa considerando os créditos consumidos. Atenção: Mantenha as contas da Energisa em dia para evitar cortes.</v>
      </c>
      <c r="CD377" s="40" t="s">
        <v>83</v>
      </c>
      <c r="CE377" s="18">
        <v>113.55</v>
      </c>
      <c r="CF377" s="115">
        <f t="shared" si="228"/>
        <v>0</v>
      </c>
    </row>
    <row r="378" spans="1:84" ht="16.2" hidden="1" customHeight="1" x14ac:dyDescent="0.3">
      <c r="A378" s="105" t="str">
        <f>INDEX('Infos Clientes'!$D:$D,MATCH('Detalhe Por UC'!C378,'Infos Clientes'!B:B,0))</f>
        <v>IGREJA DO EVANGELHO QUADRANGULAR</v>
      </c>
      <c r="B378" s="106" t="str">
        <f>INDEX('Infos Clientes'!$F:$F,MATCH('Detalhe Por UC'!C378,'Infos Clientes'!B:B,0))</f>
        <v>62.955.505/3932-07</v>
      </c>
      <c r="C378" s="44" t="s">
        <v>18</v>
      </c>
      <c r="D378" t="s">
        <v>351</v>
      </c>
      <c r="E378" s="1" t="s">
        <v>352</v>
      </c>
      <c r="F378" s="56" t="str">
        <f>INDEX('Infos Clientes'!$I:$I,MATCH('Detalhe Por UC'!C378,'Infos Clientes'!B:B,0))</f>
        <v>BT</v>
      </c>
      <c r="G378" s="56" t="str">
        <f>INDEX('Infos Clientes'!$J:$J,MATCH('Detalhe Por UC'!C378,'Infos Clientes'!B:B,0))</f>
        <v>bifasico</v>
      </c>
      <c r="H378" s="108" t="s">
        <v>24</v>
      </c>
      <c r="I378" s="58">
        <f>IFERROR(VLOOKUP(C378,'Infos Clientes'!B:E,4,),"")</f>
        <v>302</v>
      </c>
      <c r="J378" s="109">
        <v>0.25</v>
      </c>
      <c r="K378" s="59">
        <f>INDEX('Infos Clientes'!$M:$M,MATCH('Detalhe Por UC'!C378,'Infos Clientes'!B:B,0))</f>
        <v>0.25</v>
      </c>
      <c r="L378" s="125">
        <v>0</v>
      </c>
      <c r="M378" s="56">
        <f>INDEX('Infos Clientes'!$N:$N,MATCH('Detalhe Por UC'!C378,'Infos Clientes'!B:B,0))</f>
        <v>0</v>
      </c>
      <c r="N378" s="56">
        <f t="shared" si="192"/>
        <v>0</v>
      </c>
      <c r="O378" s="56">
        <f t="shared" si="193"/>
        <v>12</v>
      </c>
      <c r="P378" s="56">
        <f t="shared" si="194"/>
        <v>0</v>
      </c>
      <c r="Q378" s="61">
        <f>IFERROR(IFERROR(INDEX('Infos Clientes'!$A$2:$V$9884,MATCH($C378,'Infos Clientes'!$B$2:$B$9884,0),MATCH(Q$8,'Infos Clientes'!$A$2:$V$2,0)),"")
+IF(OR(INDEX('Infos Clientes'!$A$2:$V$9884,MATCH($C378,'Infos Clientes'!$B$2:$B$9884,0),MATCH("Tempo de Fidelidade (meses)",'Infos Clientes'!$A$2:$V$2,0))=0,R378&gt;=MAX(R:R)),0,
ROUND((MAX(R:R)-R378)/(365/12),0)),"")</f>
        <v>0</v>
      </c>
      <c r="R378" s="111">
        <v>45748</v>
      </c>
      <c r="S378" s="17">
        <v>5.0000000000000001E-3</v>
      </c>
      <c r="T378" s="113">
        <f>IF($H378="GIROSSOL II",AP378/INDEX('Resumo Operacional'!$A$1:$P$1103,17,MATCH('Detalhe Por UC'!$R378,'Resumo Operacional'!$A$1:$P$1,0)),
IF($H378="GIROSSOL II e III",AP378/INDEX('Resumo Operacional'!$A$1:$P$1103,17,MATCH('Detalhe Por UC'!$R378,'Resumo Operacional'!$A$1:$P$1,0)),
""))</f>
        <v>4.9446021426609284E-3</v>
      </c>
      <c r="U378" s="113" t="str">
        <f>IF($H378="GIROSSOL III",AP378/INDEX('Resumo Operacional'!$A$1:$P$1103,53,MATCH('Detalhe Por UC'!$R378,'Resumo Operacional'!$A$1:$P$1,0)),
IF($H378="GIROSSOL II e III",AP378/INDEX('Resumo Operacional'!$A$1:$P$1103,53,MATCH('Detalhe Por UC'!$R378,'Resumo Operacional'!$A$1:$P$1,0)),
""))</f>
        <v/>
      </c>
      <c r="V378" s="45"/>
      <c r="W378" s="18"/>
      <c r="X378" s="18">
        <v>1.1219095477386933</v>
      </c>
      <c r="Y378" s="18"/>
      <c r="Z378" s="18">
        <v>1.1218120805369125</v>
      </c>
      <c r="AA378" s="18"/>
      <c r="AB378" s="18">
        <v>199</v>
      </c>
      <c r="AC378" s="18"/>
      <c r="AD378" s="18">
        <v>149</v>
      </c>
      <c r="AE378" s="35"/>
      <c r="AF378" s="18">
        <v>574</v>
      </c>
      <c r="AG378" s="18">
        <v>0</v>
      </c>
      <c r="AH378" s="18">
        <v>30.22</v>
      </c>
      <c r="AI378" s="18">
        <v>0</v>
      </c>
      <c r="AJ378" s="18">
        <v>0</v>
      </c>
      <c r="AN378" s="71">
        <f t="shared" si="195"/>
        <v>-95</v>
      </c>
      <c r="AO378" s="71">
        <f t="shared" si="196"/>
        <v>0</v>
      </c>
      <c r="AP378" s="71">
        <f t="shared" si="197"/>
        <v>54</v>
      </c>
      <c r="AQ378" s="72">
        <f>IF(OR($H378="GIROSSOL II",$H378="GIROSSOL II e III"),INDEX('Resumo Operacional'!$A$1:$P$1103,MATCH("Energia Injetada prevista total Fatura da Usina (TUSD)",'Resumo Operacional'!$B$1:$B$1103,0),MATCH('Detalhe Por UC'!$R378,'Resumo Operacional'!$A$1:$P$1,0))*$S378,INDEX('Resumo Operacional'!$A$1:$P$1103,53,MATCH('Detalhe Por UC'!$R378,'Resumo Operacional'!$A$1:$P$1,0))*$S378)</f>
        <v>54.605000000000004</v>
      </c>
      <c r="AR378" s="71">
        <f t="shared" si="198"/>
        <v>-0.60500000000000398</v>
      </c>
      <c r="AS378" s="73">
        <f t="shared" si="199"/>
        <v>86.329999999999984</v>
      </c>
      <c r="AT378" s="74">
        <f t="shared" si="200"/>
        <v>86.329999999999984</v>
      </c>
      <c r="AU378" s="74">
        <f t="shared" si="201"/>
        <v>1.1217146133351317</v>
      </c>
      <c r="AV378" s="74">
        <f t="shared" si="202"/>
        <v>125.36249999999997</v>
      </c>
      <c r="AW378" s="74">
        <f t="shared" si="203"/>
        <v>0</v>
      </c>
      <c r="AX378" s="74">
        <f t="shared" si="204"/>
        <v>167.14999999999998</v>
      </c>
      <c r="AY378" s="74">
        <f t="shared" si="205"/>
        <v>125.36</v>
      </c>
      <c r="AZ378" s="117">
        <v>125.36</v>
      </c>
      <c r="BA378" s="117">
        <v>125.36</v>
      </c>
      <c r="BB378" s="49">
        <v>125.36</v>
      </c>
      <c r="BC378" s="73" t="str">
        <f t="shared" si="206"/>
        <v/>
      </c>
      <c r="BD378" s="73">
        <f t="shared" si="207"/>
        <v>253.47999999999996</v>
      </c>
      <c r="BE378" s="73">
        <f t="shared" si="208"/>
        <v>211.69249999999994</v>
      </c>
      <c r="BF378" s="77">
        <f t="shared" si="209"/>
        <v>41.79</v>
      </c>
      <c r="BG378" s="77">
        <f t="shared" si="210"/>
        <v>12.536999999999999</v>
      </c>
      <c r="BH378" s="77">
        <f t="shared" si="211"/>
        <v>167.14999999999998</v>
      </c>
      <c r="BI378" s="78">
        <f t="shared" si="212"/>
        <v>0.25</v>
      </c>
      <c r="BJ378" s="79">
        <f t="shared" si="213"/>
        <v>0.16486507811267162</v>
      </c>
      <c r="BK378" s="80">
        <f t="shared" si="214"/>
        <v>211.69</v>
      </c>
      <c r="BL378" s="80">
        <f t="shared" si="215"/>
        <v>41.789999999999964</v>
      </c>
      <c r="BM378" s="79">
        <f t="shared" si="216"/>
        <v>0.16486507811267148</v>
      </c>
      <c r="BN378" s="81">
        <f t="shared" si="217"/>
        <v>0.84134228187919458</v>
      </c>
      <c r="BO378" s="82">
        <f t="shared" si="218"/>
        <v>125.35999999999999</v>
      </c>
      <c r="BP378" s="81">
        <f t="shared" si="219"/>
        <v>0.84134228187919458</v>
      </c>
      <c r="BQ378" s="81">
        <f t="shared" si="220"/>
        <v>0.84143974908097541</v>
      </c>
      <c r="BR378" s="81">
        <f t="shared" si="221"/>
        <v>1.1219095477386933</v>
      </c>
      <c r="BS378" s="82">
        <f t="shared" si="222"/>
        <v>149</v>
      </c>
      <c r="BT378" s="82">
        <f t="shared" si="223"/>
        <v>167.16452261306532</v>
      </c>
      <c r="BU378" s="82">
        <f t="shared" si="224"/>
        <v>167.14999999999998</v>
      </c>
      <c r="BW378" s="82">
        <f>IFERROR(INDEX('Infos Clientes'!$T:$T,MATCH('Detalhe Por UC'!$C378,'Infos Clientes'!B:B,0)),"")</f>
        <v>99.833333333333329</v>
      </c>
      <c r="BX378" s="83">
        <f t="shared" si="225"/>
        <v>0</v>
      </c>
      <c r="BY378" s="84">
        <f t="shared" si="226"/>
        <v>0.24999323628453765</v>
      </c>
      <c r="BZ378" s="85">
        <f>IF(_xlfn.MINIFS('Detalhe Por UC'!R:R,'Detalhe Por UC'!C:C,C378,'Detalhe Por UC'!AD:AD,"&gt;"&amp;0)=0,"",_xlfn.MINIFS('Detalhe Por UC'!R:R,'Detalhe Por UC'!C:C,C378,'Detalhe Por UC'!AD:AD,"&gt;"&amp;0))</f>
        <v>45627</v>
      </c>
      <c r="CA378" s="114">
        <f ca="1">IF(OR(S378&gt;0,AD378&gt;0),IFERROR(
SUMIFS(INDIRECT("'Infos Clientes'!$W"&amp;INDEX('Infos Clientes'!$C:$C,MATCH(C378,'Infos Clientes'!$H:$H,0))&amp;":$CZ"&amp;INDEX('Infos Clientes'!$C:$C,MATCH(C378,'Infos Clientes'!$H:$H,0))),'Infos Clientes'!$W$2:$CZ$2,"&gt;"&amp;$R378-365,'Infos Clientes'!$W$2:$CZ$2,"&lt;="&amp;$R378)/
COUNTIFS(INDIRECT("'Infos Clientes'!$W"&amp;INDEX('Infos Clientes'!$C:$C,MATCH(C378,'Infos Clientes'!$H:$H,0))&amp;":$CZ"&amp;INDEX('Infos Clientes'!$C:$C,MATCH(C378,'Infos Clientes'!$H:$H,0))),"&gt;="&amp;0,'Infos Clientes'!$W$2:$CZ$2,"&gt;"&amp;$R378-365,'Infos Clientes'!$W$2:$CZ$2,"&lt;="&amp;$R378),""),"")</f>
        <v>129.25</v>
      </c>
      <c r="CB378" s="87">
        <f>VLOOKUP(C378,'Infos Clientes'!B:L,11,0)</f>
        <v>0</v>
      </c>
      <c r="CC378" s="88" t="str">
        <f t="shared" si="227"/>
        <v>A Unidade Consumidora 10/10232-7 economizou R$41,79 na fatura referente à abr/2025  consumindo 149 kWh em créditos de energia renovável conforme fatura de energia. A economia foi de 25% em relação ao que seria pago para a Energisa considerando os créditos consumidos. Atenção: Mantenha as contas da Energisa em dia para evitar cortes.</v>
      </c>
      <c r="CD378" s="40" t="s">
        <v>21</v>
      </c>
      <c r="CE378" s="18">
        <v>86.33</v>
      </c>
      <c r="CF378" s="115">
        <f t="shared" si="228"/>
        <v>0</v>
      </c>
    </row>
    <row r="379" spans="1:84" ht="16.2" hidden="1" customHeight="1" x14ac:dyDescent="0.3">
      <c r="A379" s="105" t="str">
        <f>INDEX('Infos Clientes'!$D:$D,MATCH('Detalhe Por UC'!C379,'Infos Clientes'!B:B,0))</f>
        <v>IGREJA DO EVANGELHO QUADRANGULAR</v>
      </c>
      <c r="B379" s="106" t="str">
        <f>INDEX('Infos Clientes'!$F:$F,MATCH('Detalhe Por UC'!C379,'Infos Clientes'!B:B,0))</f>
        <v>62.955.505/0001-67</v>
      </c>
      <c r="C379" s="44" t="s">
        <v>103</v>
      </c>
      <c r="D379" t="s">
        <v>351</v>
      </c>
      <c r="E379" s="1" t="s">
        <v>352</v>
      </c>
      <c r="F379" s="56" t="str">
        <f>INDEX('Infos Clientes'!$I:$I,MATCH('Detalhe Por UC'!C379,'Infos Clientes'!B:B,0))</f>
        <v>BT</v>
      </c>
      <c r="G379" s="56" t="str">
        <f>INDEX('Infos Clientes'!$J:$J,MATCH('Detalhe Por UC'!C379,'Infos Clientes'!B:B,0))</f>
        <v>monofasico</v>
      </c>
      <c r="H379" s="108" t="s">
        <v>24</v>
      </c>
      <c r="I379" s="58">
        <f>IFERROR(VLOOKUP(C379,'Infos Clientes'!B:E,4,),"")</f>
        <v>306</v>
      </c>
      <c r="J379" s="109">
        <v>0.25</v>
      </c>
      <c r="K379" s="59">
        <f>INDEX('Infos Clientes'!$M:$M,MATCH('Detalhe Por UC'!C379,'Infos Clientes'!B:B,0))</f>
        <v>0.25</v>
      </c>
      <c r="L379" s="125">
        <v>0</v>
      </c>
      <c r="M379" s="56">
        <f>INDEX('Infos Clientes'!$N:$N,MATCH('Detalhe Por UC'!C379,'Infos Clientes'!B:B,0))</f>
        <v>0</v>
      </c>
      <c r="N379" s="56">
        <f t="shared" si="192"/>
        <v>0</v>
      </c>
      <c r="O379" s="56">
        <f t="shared" si="193"/>
        <v>12</v>
      </c>
      <c r="P379" s="56">
        <f t="shared" si="194"/>
        <v>0</v>
      </c>
      <c r="Q379" s="61">
        <f>IFERROR(IFERROR(INDEX('Infos Clientes'!$A$2:$V$9884,MATCH($C379,'Infos Clientes'!$B$2:$B$9884,0),MATCH(Q$8,'Infos Clientes'!$A$2:$V$2,0)),"")
+IF(OR(INDEX('Infos Clientes'!$A$2:$V$9884,MATCH($C379,'Infos Clientes'!$B$2:$B$9884,0),MATCH("Tempo de Fidelidade (meses)",'Infos Clientes'!$A$2:$V$2,0))=0,R379&gt;=MAX(R:R)),0,
ROUND((MAX(R:R)-R379)/(365/12),0)),"")</f>
        <v>0</v>
      </c>
      <c r="R379" s="111">
        <v>45748</v>
      </c>
      <c r="S379" s="17">
        <v>7.0000000000000001E-3</v>
      </c>
      <c r="T379" s="113">
        <f>IF($H379="GIROSSOL II",AP379/INDEX('Resumo Operacional'!$A$1:$P$1103,17,MATCH('Detalhe Por UC'!$R379,'Resumo Operacional'!$A$1:$P$1,0)),
IF($H379="GIROSSOL II e III",AP379/INDEX('Resumo Operacional'!$A$1:$P$1103,17,MATCH('Detalhe Por UC'!$R379,'Resumo Operacional'!$A$1:$P$1,0)),
""))</f>
        <v>7.6916033330281111E-3</v>
      </c>
      <c r="U379" s="113" t="str">
        <f>IF($H379="GIROSSOL III",AP379/INDEX('Resumo Operacional'!$A$1:$P$1103,53,MATCH('Detalhe Por UC'!$R379,'Resumo Operacional'!$A$1:$P$1,0)),
IF($H379="GIROSSOL II e III",AP379/INDEX('Resumo Operacional'!$A$1:$P$1103,53,MATCH('Detalhe Por UC'!$R379,'Resumo Operacional'!$A$1:$P$1,0)),
""))</f>
        <v/>
      </c>
      <c r="V379" s="45"/>
      <c r="W379" s="18"/>
      <c r="X379" s="18">
        <v>1.1168702290076336</v>
      </c>
      <c r="Y379" s="18"/>
      <c r="Z379" s="18">
        <v>1.1069607800000001</v>
      </c>
      <c r="AA379" s="18"/>
      <c r="AB379" s="18">
        <v>131</v>
      </c>
      <c r="AC379" s="18"/>
      <c r="AD379" s="18">
        <v>102</v>
      </c>
      <c r="AE379" s="35"/>
      <c r="AF379" s="18">
        <v>548</v>
      </c>
      <c r="AG379" s="18">
        <v>0</v>
      </c>
      <c r="AH379" s="18">
        <v>0</v>
      </c>
      <c r="AI379" s="18">
        <v>0</v>
      </c>
      <c r="AJ379" s="18">
        <v>0</v>
      </c>
      <c r="AN379" s="71">
        <f t="shared" si="195"/>
        <v>-18</v>
      </c>
      <c r="AO379" s="71">
        <f t="shared" si="196"/>
        <v>0</v>
      </c>
      <c r="AP379" s="71">
        <f t="shared" si="197"/>
        <v>84</v>
      </c>
      <c r="AQ379" s="72">
        <f>IF(OR($H379="GIROSSOL II",$H379="GIROSSOL II e III"),INDEX('Resumo Operacional'!$A$1:$P$1103,MATCH("Energia Injetada prevista total Fatura da Usina (TUSD)",'Resumo Operacional'!$B$1:$B$1103,0),MATCH('Detalhe Por UC'!$R379,'Resumo Operacional'!$A$1:$P$1,0))*$S379,INDEX('Resumo Operacional'!$A$1:$P$1103,53,MATCH('Detalhe Por UC'!$R379,'Resumo Operacional'!$A$1:$P$1,0))*$S379)</f>
        <v>76.447000000000003</v>
      </c>
      <c r="AR379" s="71">
        <f t="shared" si="198"/>
        <v>7.5529999999999973</v>
      </c>
      <c r="AS379" s="73">
        <f t="shared" si="199"/>
        <v>33.400000439999999</v>
      </c>
      <c r="AT379" s="74">
        <f t="shared" si="200"/>
        <v>33.400000439999999</v>
      </c>
      <c r="AU379" s="74">
        <f t="shared" si="201"/>
        <v>1.0970513309923666</v>
      </c>
      <c r="AV379" s="74">
        <f t="shared" si="202"/>
        <v>84.682499670000013</v>
      </c>
      <c r="AW379" s="74">
        <f t="shared" si="203"/>
        <v>0</v>
      </c>
      <c r="AX379" s="74">
        <f t="shared" si="204"/>
        <v>112.90999956</v>
      </c>
      <c r="AY379" s="74">
        <f t="shared" si="205"/>
        <v>84.68</v>
      </c>
      <c r="AZ379" s="117">
        <v>84.68</v>
      </c>
      <c r="BA379" s="117">
        <v>84.68</v>
      </c>
      <c r="BB379" s="49">
        <v>112.91</v>
      </c>
      <c r="BC379" s="73">
        <f t="shared" si="206"/>
        <v>28.22999999999999</v>
      </c>
      <c r="BD379" s="73">
        <f t="shared" si="207"/>
        <v>146.31</v>
      </c>
      <c r="BE379" s="73">
        <f t="shared" si="208"/>
        <v>118.08250011000001</v>
      </c>
      <c r="BF379" s="77">
        <f t="shared" si="209"/>
        <v>28.23</v>
      </c>
      <c r="BG379" s="77">
        <f t="shared" si="210"/>
        <v>8.4689999999999994</v>
      </c>
      <c r="BH379" s="77">
        <f t="shared" si="211"/>
        <v>112.90999956000002</v>
      </c>
      <c r="BI379" s="78">
        <f t="shared" si="212"/>
        <v>0.25</v>
      </c>
      <c r="BJ379" s="79">
        <f t="shared" si="213"/>
        <v>0.19294648349395119</v>
      </c>
      <c r="BK379" s="80">
        <f t="shared" si="214"/>
        <v>118.08000044000001</v>
      </c>
      <c r="BL379" s="80">
        <f t="shared" si="215"/>
        <v>28.229999559999996</v>
      </c>
      <c r="BM379" s="79">
        <f t="shared" si="216"/>
        <v>0.19294648048663793</v>
      </c>
      <c r="BN379" s="81">
        <f t="shared" si="217"/>
        <v>0.83019607843137266</v>
      </c>
      <c r="BO379" s="82">
        <f t="shared" si="218"/>
        <v>84.68</v>
      </c>
      <c r="BP379" s="81">
        <f t="shared" si="219"/>
        <v>0.83019607843137266</v>
      </c>
      <c r="BQ379" s="81">
        <f t="shared" si="220"/>
        <v>0.84010552743900613</v>
      </c>
      <c r="BR379" s="81">
        <f t="shared" si="221"/>
        <v>1.1168702290076336</v>
      </c>
      <c r="BS379" s="82">
        <f t="shared" si="222"/>
        <v>102</v>
      </c>
      <c r="BT379" s="82">
        <f t="shared" si="223"/>
        <v>113.92076335877863</v>
      </c>
      <c r="BU379" s="82">
        <f t="shared" si="224"/>
        <v>112.90999956</v>
      </c>
      <c r="BW379" s="82">
        <f>IFERROR(INDEX('Infos Clientes'!$T:$T,MATCH('Detalhe Por UC'!$C379,'Infos Clientes'!B:B,0)),"")</f>
        <v>144</v>
      </c>
      <c r="BX379" s="83">
        <f t="shared" si="225"/>
        <v>0</v>
      </c>
      <c r="BY379" s="84">
        <f t="shared" si="226"/>
        <v>0.2478038131740154</v>
      </c>
      <c r="BZ379" s="85">
        <f>IF(_xlfn.MINIFS('Detalhe Por UC'!R:R,'Detalhe Por UC'!C:C,C379,'Detalhe Por UC'!AD:AD,"&gt;"&amp;0)=0,"",_xlfn.MINIFS('Detalhe Por UC'!R:R,'Detalhe Por UC'!C:C,C379,'Detalhe Por UC'!AD:AD,"&gt;"&amp;0))</f>
        <v>45627</v>
      </c>
      <c r="CA379" s="114">
        <f ca="1">IF(OR(S379&gt;0,AD379&gt;0),IFERROR(
SUMIFS(INDIRECT("'Infos Clientes'!$W"&amp;INDEX('Infos Clientes'!$C:$C,MATCH(C379,'Infos Clientes'!$H:$H,0))&amp;":$CZ"&amp;INDEX('Infos Clientes'!$C:$C,MATCH(C379,'Infos Clientes'!$H:$H,0))),'Infos Clientes'!$W$2:$CZ$2,"&gt;"&amp;$R379-365,'Infos Clientes'!$W$2:$CZ$2,"&lt;="&amp;$R379)/
COUNTIFS(INDIRECT("'Infos Clientes'!$W"&amp;INDEX('Infos Clientes'!$C:$C,MATCH(C379,'Infos Clientes'!$H:$H,0))&amp;":$CZ"&amp;INDEX('Infos Clientes'!$C:$C,MATCH(C379,'Infos Clientes'!$H:$H,0))),"&gt;="&amp;0,'Infos Clientes'!$W$2:$CZ$2,"&gt;"&amp;$R379-365,'Infos Clientes'!$W$2:$CZ$2,"&lt;="&amp;$R379),""),"")</f>
        <v>128.16666666666666</v>
      </c>
      <c r="CB379" s="87">
        <f>VLOOKUP(C379,'Infos Clientes'!B:L,11,0)</f>
        <v>0</v>
      </c>
      <c r="CC379" s="88" t="str">
        <f t="shared" si="227"/>
        <v>A Unidade Consumidora 10/384823-1 economizou R$28,23 na fatura referente à abr/2025  consumindo 102 kWh em créditos de energia renovável conforme fatura de energia. A economia foi de 25% em relação ao que seria pago para a Energisa considerando os créditos consumidos. Atenção: Mantenha as contas da Energisa em dia para evitar cortes.</v>
      </c>
      <c r="CD379" s="40" t="s">
        <v>249</v>
      </c>
      <c r="CE379" s="18">
        <v>33.4</v>
      </c>
      <c r="CF379" s="115">
        <f t="shared" si="228"/>
        <v>-4.4000000087862645E-7</v>
      </c>
    </row>
    <row r="380" spans="1:84" ht="16.2" hidden="1" customHeight="1" x14ac:dyDescent="0.3">
      <c r="A380" s="105" t="str">
        <f>INDEX('Infos Clientes'!$D:$D,MATCH('Detalhe Por UC'!C380,'Infos Clientes'!B:B,0))</f>
        <v>IGREJA DO EVANGELHO QUADRANGULAR</v>
      </c>
      <c r="B380" s="106" t="str">
        <f>INDEX('Infos Clientes'!$F:$F,MATCH('Detalhe Por UC'!C380,'Infos Clientes'!B:B,0))</f>
        <v>62.955.505/3793-95</v>
      </c>
      <c r="C380" s="44" t="s">
        <v>84</v>
      </c>
      <c r="D380" t="s">
        <v>351</v>
      </c>
      <c r="E380" s="1" t="s">
        <v>352</v>
      </c>
      <c r="F380" s="56" t="str">
        <f>INDEX('Infos Clientes'!$I:$I,MATCH('Detalhe Por UC'!C380,'Infos Clientes'!B:B,0))</f>
        <v>BT</v>
      </c>
      <c r="G380" s="56" t="str">
        <f>INDEX('Infos Clientes'!$J:$J,MATCH('Detalhe Por UC'!C380,'Infos Clientes'!B:B,0))</f>
        <v>trifasico</v>
      </c>
      <c r="H380" s="108" t="s">
        <v>24</v>
      </c>
      <c r="I380" s="58">
        <f>IFERROR(VLOOKUP(C380,'Infos Clientes'!B:E,4,),"")</f>
        <v>302</v>
      </c>
      <c r="J380" s="109">
        <v>0.25</v>
      </c>
      <c r="K380" s="59">
        <f>INDEX('Infos Clientes'!$M:$M,MATCH('Detalhe Por UC'!C380,'Infos Clientes'!B:B,0))</f>
        <v>0.25</v>
      </c>
      <c r="L380" s="125">
        <v>0</v>
      </c>
      <c r="M380" s="56">
        <f>INDEX('Infos Clientes'!$N:$N,MATCH('Detalhe Por UC'!C380,'Infos Clientes'!B:B,0))</f>
        <v>0</v>
      </c>
      <c r="N380" s="56">
        <f t="shared" si="192"/>
        <v>0</v>
      </c>
      <c r="O380" s="56">
        <f t="shared" si="193"/>
        <v>12</v>
      </c>
      <c r="P380" s="56">
        <f t="shared" si="194"/>
        <v>0</v>
      </c>
      <c r="Q380" s="61">
        <f>IFERROR(IFERROR(INDEX('Infos Clientes'!$A$2:$V$9884,MATCH($C380,'Infos Clientes'!$B$2:$B$9884,0),MATCH(Q$8,'Infos Clientes'!$A$2:$V$2,0)),"")
+IF(OR(INDEX('Infos Clientes'!$A$2:$V$9884,MATCH($C380,'Infos Clientes'!$B$2:$B$9884,0),MATCH("Tempo de Fidelidade (meses)",'Infos Clientes'!$A$2:$V$2,0))=0,R380&gt;=MAX(R:R)),0,
ROUND((MAX(R:R)-R380)/(365/12),0)),"")</f>
        <v>0</v>
      </c>
      <c r="R380" s="111">
        <v>45748</v>
      </c>
      <c r="S380" s="17">
        <v>0.06</v>
      </c>
      <c r="T380" s="113">
        <f>IF($H380="GIROSSOL II",AP380/INDEX('Resumo Operacional'!$A$1:$P$1103,17,MATCH('Detalhe Por UC'!$R380,'Resumo Operacional'!$A$1:$P$1,0)),
IF($H380="GIROSSOL II e III",AP380/INDEX('Resumo Operacional'!$A$1:$P$1103,17,MATCH('Detalhe Por UC'!$R380,'Resumo Operacional'!$A$1:$P$1,0)),
""))</f>
        <v>6.6111161981503519E-2</v>
      </c>
      <c r="U380" s="113" t="str">
        <f>IF($H380="GIROSSOL III",AP380/INDEX('Resumo Operacional'!$A$1:$P$1103,53,MATCH('Detalhe Por UC'!$R380,'Resumo Operacional'!$A$1:$P$1,0)),
IF($H380="GIROSSOL II e III",AP380/INDEX('Resumo Operacional'!$A$1:$P$1103,53,MATCH('Detalhe Por UC'!$R380,'Resumo Operacional'!$A$1:$P$1,0)),
""))</f>
        <v/>
      </c>
      <c r="V380" s="45"/>
      <c r="W380" s="18"/>
      <c r="X380" s="18">
        <v>1.1162567421790723</v>
      </c>
      <c r="Y380" s="18"/>
      <c r="Z380" s="18">
        <v>1.0479264214046822</v>
      </c>
      <c r="AA380" s="18"/>
      <c r="AB380" s="18">
        <v>927</v>
      </c>
      <c r="AC380" s="18"/>
      <c r="AD380" s="18">
        <v>897</v>
      </c>
      <c r="AE380" s="35"/>
      <c r="AF380" s="18">
        <v>507</v>
      </c>
      <c r="AG380" s="18">
        <v>0</v>
      </c>
      <c r="AH380" s="18">
        <v>3.56</v>
      </c>
      <c r="AI380" s="18">
        <v>0</v>
      </c>
      <c r="AJ380" s="18">
        <v>0</v>
      </c>
      <c r="AN380" s="71">
        <f t="shared" si="195"/>
        <v>-175</v>
      </c>
      <c r="AO380" s="71">
        <f t="shared" si="196"/>
        <v>0</v>
      </c>
      <c r="AP380" s="71">
        <f t="shared" si="197"/>
        <v>722</v>
      </c>
      <c r="AQ380" s="72">
        <f>IF(OR($H380="GIROSSOL II",$H380="GIROSSOL II e III"),INDEX('Resumo Operacional'!$A$1:$P$1103,MATCH("Energia Injetada prevista total Fatura da Usina (TUSD)",'Resumo Operacional'!$B$1:$B$1103,0),MATCH('Detalhe Por UC'!$R380,'Resumo Operacional'!$A$1:$P$1,0))*$S380,INDEX('Resumo Operacional'!$A$1:$P$1103,53,MATCH('Detalhe Por UC'!$R380,'Resumo Operacional'!$A$1:$P$1,0))*$S380)</f>
        <v>655.26</v>
      </c>
      <c r="AR380" s="71">
        <f t="shared" si="198"/>
        <v>66.740000000000009</v>
      </c>
      <c r="AS380" s="73">
        <f t="shared" si="199"/>
        <v>98.340000000000089</v>
      </c>
      <c r="AT380" s="74">
        <f t="shared" si="200"/>
        <v>98.340000000000089</v>
      </c>
      <c r="AU380" s="74">
        <f t="shared" si="201"/>
        <v>0.97959610063029201</v>
      </c>
      <c r="AV380" s="74">
        <f t="shared" si="202"/>
        <v>704.99249999999995</v>
      </c>
      <c r="AW380" s="74">
        <f t="shared" si="203"/>
        <v>0</v>
      </c>
      <c r="AX380" s="74">
        <f t="shared" si="204"/>
        <v>939.9899999999999</v>
      </c>
      <c r="AY380" s="74">
        <f t="shared" si="205"/>
        <v>704.99</v>
      </c>
      <c r="AZ380" s="117">
        <v>704.99</v>
      </c>
      <c r="BA380" s="117">
        <v>704.99</v>
      </c>
      <c r="BB380" s="49">
        <v>704.99</v>
      </c>
      <c r="BC380" s="73" t="str">
        <f t="shared" si="206"/>
        <v/>
      </c>
      <c r="BD380" s="73">
        <f t="shared" si="207"/>
        <v>1038.33</v>
      </c>
      <c r="BE380" s="73">
        <f t="shared" si="208"/>
        <v>803.33249999999998</v>
      </c>
      <c r="BF380" s="77">
        <f t="shared" si="209"/>
        <v>235</v>
      </c>
      <c r="BG380" s="77">
        <f t="shared" si="210"/>
        <v>70.5</v>
      </c>
      <c r="BH380" s="77">
        <f t="shared" si="211"/>
        <v>939.9899999999999</v>
      </c>
      <c r="BI380" s="78">
        <f t="shared" si="212"/>
        <v>0.25</v>
      </c>
      <c r="BJ380" s="79">
        <f t="shared" si="213"/>
        <v>0.22632496412508549</v>
      </c>
      <c r="BK380" s="80">
        <f t="shared" si="214"/>
        <v>803.33000000000015</v>
      </c>
      <c r="BL380" s="80">
        <f t="shared" si="215"/>
        <v>234.99999999999977</v>
      </c>
      <c r="BM380" s="79">
        <f t="shared" si="216"/>
        <v>0.22632496412508527</v>
      </c>
      <c r="BN380" s="81">
        <f t="shared" si="217"/>
        <v>0.78594202898550725</v>
      </c>
      <c r="BO380" s="82">
        <f t="shared" si="218"/>
        <v>704.99</v>
      </c>
      <c r="BP380" s="81">
        <f t="shared" si="219"/>
        <v>0.78594202898550725</v>
      </c>
      <c r="BQ380" s="81">
        <f t="shared" si="220"/>
        <v>0.85427234975989741</v>
      </c>
      <c r="BR380" s="81">
        <f t="shared" si="221"/>
        <v>1.1162567421790723</v>
      </c>
      <c r="BS380" s="82">
        <f t="shared" si="222"/>
        <v>897</v>
      </c>
      <c r="BT380" s="82">
        <f t="shared" si="223"/>
        <v>1001.2822977346278</v>
      </c>
      <c r="BU380" s="82">
        <f t="shared" si="224"/>
        <v>939.9899999999999</v>
      </c>
      <c r="BW380" s="82">
        <f>IFERROR(INDEX('Infos Clientes'!$T:$T,MATCH('Detalhe Por UC'!$C380,'Infos Clientes'!B:B,0)),"")</f>
        <v>818</v>
      </c>
      <c r="BX380" s="83">
        <f t="shared" si="225"/>
        <v>0</v>
      </c>
      <c r="BY380" s="84">
        <f t="shared" si="226"/>
        <v>0.23469904594506522</v>
      </c>
      <c r="BZ380" s="85">
        <f>IF(_xlfn.MINIFS('Detalhe Por UC'!R:R,'Detalhe Por UC'!C:C,C380,'Detalhe Por UC'!AD:AD,"&gt;"&amp;0)=0,"",_xlfn.MINIFS('Detalhe Por UC'!R:R,'Detalhe Por UC'!C:C,C380,'Detalhe Por UC'!AD:AD,"&gt;"&amp;0))</f>
        <v>45627</v>
      </c>
      <c r="CA380" s="114">
        <f ca="1">IF(OR(S380&gt;0,AD380&gt;0),IFERROR(
SUMIFS(INDIRECT("'Infos Clientes'!$W"&amp;INDEX('Infos Clientes'!$C:$C,MATCH(C380,'Infos Clientes'!$H:$H,0))&amp;":$CZ"&amp;INDEX('Infos Clientes'!$C:$C,MATCH(C380,'Infos Clientes'!$H:$H,0))),'Infos Clientes'!$W$2:$CZ$2,"&gt;"&amp;$R380-365,'Infos Clientes'!$W$2:$CZ$2,"&lt;="&amp;$R380)/
COUNTIFS(INDIRECT("'Infos Clientes'!$W"&amp;INDEX('Infos Clientes'!$C:$C,MATCH(C380,'Infos Clientes'!$H:$H,0))&amp;":$CZ"&amp;INDEX('Infos Clientes'!$C:$C,MATCH(C380,'Infos Clientes'!$H:$H,0))),"&gt;="&amp;0,'Infos Clientes'!$W$2:$CZ$2,"&gt;"&amp;$R380-365,'Infos Clientes'!$W$2:$CZ$2,"&lt;="&amp;$R380),""),"")</f>
        <v>852.66666666666663</v>
      </c>
      <c r="CB380" s="87">
        <f>VLOOKUP(C380,'Infos Clientes'!B:L,11,0)</f>
        <v>0</v>
      </c>
      <c r="CC380" s="88" t="str">
        <f t="shared" si="227"/>
        <v>A Unidade Consumidora 10/2599101-9 economizou R$235 na fatura referente à abr/2025  consumindo 897 kWh em créditos de energia renovável conforme fatura de energia. A economia foi de 25% em relação ao que seria pago para a Energisa considerando os créditos consumidos. Atenção: Mantenha as contas da Energisa em dia para evitar cortes.</v>
      </c>
      <c r="CD380" s="40" t="s">
        <v>86</v>
      </c>
      <c r="CE380" s="18">
        <v>98.34</v>
      </c>
      <c r="CF380" s="115">
        <f t="shared" si="228"/>
        <v>0</v>
      </c>
    </row>
    <row r="381" spans="1:84" ht="16.2" hidden="1" customHeight="1" x14ac:dyDescent="0.3">
      <c r="A381" s="105" t="str">
        <f>INDEX('Infos Clientes'!$D:$D,MATCH('Detalhe Por UC'!C381,'Infos Clientes'!B:B,0))</f>
        <v>IGREJA DO EVANGELHO QUADRANGULAR</v>
      </c>
      <c r="B381" s="106" t="str">
        <f>INDEX('Infos Clientes'!$F:$F,MATCH('Detalhe Por UC'!C381,'Infos Clientes'!B:B,0))</f>
        <v>62.955.505/0164-03</v>
      </c>
      <c r="C381" s="44" t="s">
        <v>70</v>
      </c>
      <c r="D381" t="s">
        <v>351</v>
      </c>
      <c r="E381" s="1" t="s">
        <v>352</v>
      </c>
      <c r="F381" s="56" t="str">
        <f>INDEX('Infos Clientes'!$I:$I,MATCH('Detalhe Por UC'!C381,'Infos Clientes'!B:B,0))</f>
        <v>BT</v>
      </c>
      <c r="G381" s="56" t="str">
        <f>INDEX('Infos Clientes'!$J:$J,MATCH('Detalhe Por UC'!C381,'Infos Clientes'!B:B,0))</f>
        <v>trifasico</v>
      </c>
      <c r="H381" s="108" t="s">
        <v>24</v>
      </c>
      <c r="I381" s="58">
        <f>IFERROR(VLOOKUP(C381,'Infos Clientes'!B:E,4,),"")</f>
        <v>371</v>
      </c>
      <c r="J381" s="109">
        <v>0.25</v>
      </c>
      <c r="K381" s="59">
        <f>INDEX('Infos Clientes'!$M:$M,MATCH('Detalhe Por UC'!C381,'Infos Clientes'!B:B,0))</f>
        <v>0.25</v>
      </c>
      <c r="L381" s="125">
        <v>0</v>
      </c>
      <c r="M381" s="56">
        <f>INDEX('Infos Clientes'!$N:$N,MATCH('Detalhe Por UC'!C381,'Infos Clientes'!B:B,0))</f>
        <v>0</v>
      </c>
      <c r="N381" s="56">
        <f t="shared" si="192"/>
        <v>0</v>
      </c>
      <c r="O381" s="56">
        <f t="shared" si="193"/>
        <v>12</v>
      </c>
      <c r="P381" s="56">
        <f t="shared" si="194"/>
        <v>0</v>
      </c>
      <c r="Q381" s="61">
        <f>IFERROR(IFERROR(INDEX('Infos Clientes'!$A$2:$V$9884,MATCH($C381,'Infos Clientes'!$B$2:$B$9884,0),MATCH(Q$8,'Infos Clientes'!$A$2:$V$2,0)),"")
+IF(OR(INDEX('Infos Clientes'!$A$2:$V$9884,MATCH($C381,'Infos Clientes'!$B$2:$B$9884,0),MATCH("Tempo de Fidelidade (meses)",'Infos Clientes'!$A$2:$V$2,0))=0,R381&gt;=MAX(R:R)),0,
ROUND((MAX(R:R)-R381)/(365/12),0)),"")</f>
        <v>0</v>
      </c>
      <c r="R381" s="111">
        <v>45748</v>
      </c>
      <c r="S381" s="17">
        <v>4.2000000000000003E-2</v>
      </c>
      <c r="T381" s="113">
        <f>IF($H381="GIROSSOL II",AP381/INDEX('Resumo Operacional'!$A$1:$P$1103,17,MATCH('Detalhe Por UC'!$R381,'Resumo Operacional'!$A$1:$P$1,0)),
IF($H381="GIROSSOL II e III",AP381/INDEX('Resumo Operacional'!$A$1:$P$1103,17,MATCH('Detalhe Por UC'!$R381,'Resumo Operacional'!$A$1:$P$1,0)),
""))</f>
        <v>4.6241186704514235E-2</v>
      </c>
      <c r="U381" s="113" t="str">
        <f>IF($H381="GIROSSOL III",AP381/INDEX('Resumo Operacional'!$A$1:$P$1103,53,MATCH('Detalhe Por UC'!$R381,'Resumo Operacional'!$A$1:$P$1,0)),
IF($H381="GIROSSOL II e III",AP381/INDEX('Resumo Operacional'!$A$1:$P$1103,53,MATCH('Detalhe Por UC'!$R381,'Resumo Operacional'!$A$1:$P$1,0)),
""))</f>
        <v/>
      </c>
      <c r="V381" s="45"/>
      <c r="W381" s="18"/>
      <c r="X381" s="140">
        <v>1.1194249999999999</v>
      </c>
      <c r="Y381" s="18"/>
      <c r="Z381" s="18">
        <v>1.1163288718929252</v>
      </c>
      <c r="AA381" s="18"/>
      <c r="AB381" s="18">
        <v>800</v>
      </c>
      <c r="AC381" s="18"/>
      <c r="AD381" s="18">
        <v>523</v>
      </c>
      <c r="AE381" s="35"/>
      <c r="AF381" s="18">
        <v>0</v>
      </c>
      <c r="AG381" s="18">
        <v>0</v>
      </c>
      <c r="AH381" s="18">
        <v>183.49</v>
      </c>
      <c r="AI381" s="18">
        <v>0</v>
      </c>
      <c r="AJ381" s="18">
        <v>0</v>
      </c>
      <c r="AN381" s="71">
        <f t="shared" si="195"/>
        <v>-18</v>
      </c>
      <c r="AO381" s="71">
        <f t="shared" si="196"/>
        <v>0</v>
      </c>
      <c r="AP381" s="71">
        <f t="shared" si="197"/>
        <v>505</v>
      </c>
      <c r="AQ381" s="72">
        <f>IF(OR($H381="GIROSSOL II",$H381="GIROSSOL II e III"),INDEX('Resumo Operacional'!$A$1:$P$1103,MATCH("Energia Injetada prevista total Fatura da Usina (TUSD)",'Resumo Operacional'!$B$1:$B$1103,0),MATCH('Detalhe Por UC'!$R381,'Resumo Operacional'!$A$1:$P$1,0))*$S381,INDEX('Resumo Operacional'!$A$1:$P$1103,53,MATCH('Detalhe Por UC'!$R381,'Resumo Operacional'!$A$1:$P$1,0))*$S381)</f>
        <v>458.68200000000002</v>
      </c>
      <c r="AR381" s="71">
        <f t="shared" si="198"/>
        <v>46.317999999999984</v>
      </c>
      <c r="AS381" s="73">
        <f t="shared" si="199"/>
        <v>495.19000000000005</v>
      </c>
      <c r="AT381" s="74">
        <f t="shared" si="200"/>
        <v>495.19000000000005</v>
      </c>
      <c r="AU381" s="74">
        <f t="shared" si="201"/>
        <v>1.1132327437858505</v>
      </c>
      <c r="AV381" s="74">
        <f t="shared" si="202"/>
        <v>437.87999999999988</v>
      </c>
      <c r="AW381" s="74">
        <f t="shared" si="203"/>
        <v>0</v>
      </c>
      <c r="AX381" s="74">
        <f t="shared" si="204"/>
        <v>583.83999999999992</v>
      </c>
      <c r="AY381" s="74">
        <f t="shared" si="205"/>
        <v>437.88</v>
      </c>
      <c r="AZ381" s="117">
        <v>437.88</v>
      </c>
      <c r="BA381" s="117">
        <v>437.88</v>
      </c>
      <c r="BB381" s="49">
        <v>437.88</v>
      </c>
      <c r="BC381" s="73" t="str">
        <f t="shared" si="206"/>
        <v/>
      </c>
      <c r="BD381" s="73">
        <f t="shared" si="207"/>
        <v>1079.03</v>
      </c>
      <c r="BE381" s="73">
        <f t="shared" si="208"/>
        <v>933.06999999999994</v>
      </c>
      <c r="BF381" s="77">
        <f t="shared" si="209"/>
        <v>145.96</v>
      </c>
      <c r="BG381" s="77">
        <f t="shared" si="210"/>
        <v>43.788000000000004</v>
      </c>
      <c r="BH381" s="77">
        <f t="shared" si="211"/>
        <v>583.8399999999998</v>
      </c>
      <c r="BI381" s="78">
        <f t="shared" si="212"/>
        <v>0.25</v>
      </c>
      <c r="BJ381" s="79">
        <f t="shared" si="213"/>
        <v>0.13526964032510683</v>
      </c>
      <c r="BK381" s="80">
        <f t="shared" si="214"/>
        <v>933.07</v>
      </c>
      <c r="BL381" s="80">
        <f t="shared" si="215"/>
        <v>145.95999999999992</v>
      </c>
      <c r="BM381" s="79">
        <f t="shared" si="216"/>
        <v>0.13526964032510674</v>
      </c>
      <c r="BN381" s="81">
        <f t="shared" si="217"/>
        <v>0.83724665391969411</v>
      </c>
      <c r="BO381" s="82">
        <f t="shared" si="218"/>
        <v>437.88</v>
      </c>
      <c r="BP381" s="81">
        <f t="shared" si="219"/>
        <v>0.83724665391969411</v>
      </c>
      <c r="BQ381" s="81">
        <f t="shared" si="220"/>
        <v>0.84034278202676882</v>
      </c>
      <c r="BR381" s="81">
        <f t="shared" si="221"/>
        <v>1.1194249999999999</v>
      </c>
      <c r="BS381" s="82">
        <f t="shared" si="222"/>
        <v>523</v>
      </c>
      <c r="BT381" s="82">
        <f t="shared" si="223"/>
        <v>585.45927499999993</v>
      </c>
      <c r="BU381" s="82">
        <f t="shared" si="224"/>
        <v>583.83999999999992</v>
      </c>
      <c r="BW381" s="82">
        <f>IFERROR(INDEX('Infos Clientes'!$T:$T,MATCH('Detalhe Por UC'!$C381,'Infos Clientes'!B:B,0)),"")</f>
        <v>796.66666666666663</v>
      </c>
      <c r="BX381" s="83">
        <f t="shared" si="225"/>
        <v>0</v>
      </c>
      <c r="BY381" s="84">
        <f t="shared" si="226"/>
        <v>0.24930854498803501</v>
      </c>
      <c r="BZ381" s="85">
        <f>IF(_xlfn.MINIFS('Detalhe Por UC'!R:R,'Detalhe Por UC'!C:C,C381,'Detalhe Por UC'!AD:AD,"&gt;"&amp;0)=0,"",_xlfn.MINIFS('Detalhe Por UC'!R:R,'Detalhe Por UC'!C:C,C381,'Detalhe Por UC'!AD:AD,"&gt;"&amp;0))</f>
        <v>45627</v>
      </c>
      <c r="CA381" s="114">
        <f ca="1">IF(OR(S381&gt;0,AD381&gt;0),IFERROR(
SUMIFS(INDIRECT("'Infos Clientes'!$W"&amp;INDEX('Infos Clientes'!$C:$C,MATCH(C381,'Infos Clientes'!$H:$H,0))&amp;":$CZ"&amp;INDEX('Infos Clientes'!$C:$C,MATCH(C381,'Infos Clientes'!$H:$H,0))),'Infos Clientes'!$W$2:$CZ$2,"&gt;"&amp;$R381-365,'Infos Clientes'!$W$2:$CZ$2,"&lt;="&amp;$R381)/
COUNTIFS(INDIRECT("'Infos Clientes'!$W"&amp;INDEX('Infos Clientes'!$C:$C,MATCH(C381,'Infos Clientes'!$H:$H,0))&amp;":$CZ"&amp;INDEX('Infos Clientes'!$C:$C,MATCH(C381,'Infos Clientes'!$H:$H,0))),"&gt;="&amp;0,'Infos Clientes'!$W$2:$CZ$2,"&gt;"&amp;$R381-365,'Infos Clientes'!$W$2:$CZ$2,"&lt;="&amp;$R381),""),"")</f>
        <v>786.66666666666663</v>
      </c>
      <c r="CB381" s="87">
        <f>VLOOKUP(C381,'Infos Clientes'!B:L,11,0)</f>
        <v>0</v>
      </c>
      <c r="CC381" s="88" t="str">
        <f t="shared" si="227"/>
        <v>A Unidade Consumidora 10/202838-9 economizou R$145,96 na fatura referente à abr/2025  consumindo 523 kWh em créditos de energia renovável conforme fatura de energia. A economia foi de 25% em relação ao que seria pago para a Energisa considerando os créditos consumidos. Atenção: Mantenha as contas da Energisa em dia para evitar cortes.</v>
      </c>
      <c r="CD381" s="40" t="s">
        <v>72</v>
      </c>
      <c r="CE381" s="18">
        <v>495.19</v>
      </c>
      <c r="CF381" s="115">
        <f t="shared" si="228"/>
        <v>0</v>
      </c>
    </row>
    <row r="382" spans="1:84" ht="16.2" hidden="1" customHeight="1" x14ac:dyDescent="0.3">
      <c r="A382" s="105" t="str">
        <f>INDEX('Infos Clientes'!$D:$D,MATCH('Detalhe Por UC'!C382,'Infos Clientes'!B:B,0))</f>
        <v>IGREJA DO EVANGELHO QUADRANGULAR</v>
      </c>
      <c r="B382" s="106" t="str">
        <f>INDEX('Infos Clientes'!$F:$F,MATCH('Detalhe Por UC'!C382,'Infos Clientes'!B:B,0))</f>
        <v>62.955.505/4194-43</v>
      </c>
      <c r="C382" s="44" t="s">
        <v>67</v>
      </c>
      <c r="D382" t="s">
        <v>351</v>
      </c>
      <c r="E382" s="1" t="s">
        <v>352</v>
      </c>
      <c r="F382" s="56" t="str">
        <f>INDEX('Infos Clientes'!$I:$I,MATCH('Detalhe Por UC'!C382,'Infos Clientes'!B:B,0))</f>
        <v>BT</v>
      </c>
      <c r="G382" s="56" t="str">
        <f>INDEX('Infos Clientes'!$J:$J,MATCH('Detalhe Por UC'!C382,'Infos Clientes'!B:B,0))</f>
        <v>bifasico</v>
      </c>
      <c r="H382" s="108" t="s">
        <v>24</v>
      </c>
      <c r="I382" s="58">
        <f>IFERROR(VLOOKUP(C382,'Infos Clientes'!B:E,4,),"")</f>
        <v>331</v>
      </c>
      <c r="J382" s="109">
        <v>0.25</v>
      </c>
      <c r="K382" s="59">
        <f>INDEX('Infos Clientes'!$M:$M,MATCH('Detalhe Por UC'!C382,'Infos Clientes'!B:B,0))</f>
        <v>0.25</v>
      </c>
      <c r="L382" s="125">
        <v>0</v>
      </c>
      <c r="M382" s="56">
        <f>INDEX('Infos Clientes'!$N:$N,MATCH('Detalhe Por UC'!C382,'Infos Clientes'!B:B,0))</f>
        <v>0</v>
      </c>
      <c r="N382" s="56">
        <f t="shared" si="192"/>
        <v>0</v>
      </c>
      <c r="O382" s="56">
        <f t="shared" si="193"/>
        <v>12</v>
      </c>
      <c r="P382" s="56">
        <f t="shared" si="194"/>
        <v>0</v>
      </c>
      <c r="Q382" s="61">
        <f>IFERROR(IFERROR(INDEX('Infos Clientes'!$A$2:$V$9884,MATCH($C382,'Infos Clientes'!$B$2:$B$9884,0),MATCH(Q$8,'Infos Clientes'!$A$2:$V$2,0)),"")
+IF(OR(INDEX('Infos Clientes'!$A$2:$V$9884,MATCH($C382,'Infos Clientes'!$B$2:$B$9884,0),MATCH("Tempo de Fidelidade (meses)",'Infos Clientes'!$A$2:$V$2,0))=0,R382&gt;=MAX(R:R)),0,
ROUND((MAX(R:R)-R382)/(365/12),0)),"")</f>
        <v>0</v>
      </c>
      <c r="R382" s="111">
        <v>45748</v>
      </c>
      <c r="S382" s="17">
        <v>0.02</v>
      </c>
      <c r="T382" s="113">
        <f>IF($H382="GIROSSOL II",AP382/INDEX('Resumo Operacional'!$A$1:$P$1103,17,MATCH('Detalhe Por UC'!$R382,'Resumo Operacional'!$A$1:$P$1,0)),
IF($H382="GIROSSOL II e III",AP382/INDEX('Resumo Operacional'!$A$1:$P$1103,17,MATCH('Detalhe Por UC'!$R382,'Resumo Operacional'!$A$1:$P$1,0)),
""))</f>
        <v>2.1976009522937458E-2</v>
      </c>
      <c r="U382" s="113" t="str">
        <f>IF($H382="GIROSSOL III",AP382/INDEX('Resumo Operacional'!$A$1:$P$1103,53,MATCH('Detalhe Por UC'!$R382,'Resumo Operacional'!$A$1:$P$1,0)),
IF($H382="GIROSSOL II e III",AP382/INDEX('Resumo Operacional'!$A$1:$P$1103,53,MATCH('Detalhe Por UC'!$R382,'Resumo Operacional'!$A$1:$P$1,0)),
""))</f>
        <v/>
      </c>
      <c r="V382" s="45"/>
      <c r="W382" s="18"/>
      <c r="X382" s="18">
        <v>1.1187052341597796</v>
      </c>
      <c r="Y382" s="18"/>
      <c r="Z382" s="18">
        <v>1.0409037000000001</v>
      </c>
      <c r="AA382" s="18"/>
      <c r="AB382" s="18">
        <v>363</v>
      </c>
      <c r="AC382" s="18"/>
      <c r="AD382" s="18">
        <v>343</v>
      </c>
      <c r="AE382" s="35"/>
      <c r="AF382" s="18">
        <v>432</v>
      </c>
      <c r="AG382" s="18">
        <v>0</v>
      </c>
      <c r="AH382" s="18">
        <v>38.49</v>
      </c>
      <c r="AI382" s="18">
        <v>0</v>
      </c>
      <c r="AJ382" s="18">
        <v>0</v>
      </c>
      <c r="AN382" s="71">
        <f t="shared" si="195"/>
        <v>-103</v>
      </c>
      <c r="AO382" s="71">
        <f t="shared" si="196"/>
        <v>0</v>
      </c>
      <c r="AP382" s="71">
        <f t="shared" si="197"/>
        <v>240</v>
      </c>
      <c r="AQ382" s="72">
        <f>IF(OR($H382="GIROSSOL II",$H382="GIROSSOL II e III"),INDEX('Resumo Operacional'!$A$1:$P$1103,MATCH("Energia Injetada prevista total Fatura da Usina (TUSD)",'Resumo Operacional'!$B$1:$B$1103,0),MATCH('Detalhe Por UC'!$R382,'Resumo Operacional'!$A$1:$P$1,0))*$S382,INDEX('Resumo Operacional'!$A$1:$P$1103,53,MATCH('Detalhe Por UC'!$R382,'Resumo Operacional'!$A$1:$P$1,0))*$S382)</f>
        <v>218.42000000000002</v>
      </c>
      <c r="AR382" s="71">
        <f t="shared" si="198"/>
        <v>21.579999999999984</v>
      </c>
      <c r="AS382" s="73">
        <f t="shared" si="199"/>
        <v>87.550030900000024</v>
      </c>
      <c r="AT382" s="74">
        <f t="shared" si="200"/>
        <v>87.550030900000024</v>
      </c>
      <c r="AU382" s="74">
        <f t="shared" si="201"/>
        <v>0.96310216584022057</v>
      </c>
      <c r="AV382" s="74">
        <f t="shared" si="202"/>
        <v>267.77247682500001</v>
      </c>
      <c r="AW382" s="74">
        <f t="shared" si="203"/>
        <v>0</v>
      </c>
      <c r="AX382" s="74">
        <f t="shared" si="204"/>
        <v>357.02996910000002</v>
      </c>
      <c r="AY382" s="74">
        <f t="shared" si="205"/>
        <v>267.77</v>
      </c>
      <c r="AZ382" s="117">
        <v>267.77</v>
      </c>
      <c r="BA382" s="117">
        <v>267.77</v>
      </c>
      <c r="BB382" s="49">
        <v>267.77</v>
      </c>
      <c r="BC382" s="73" t="str">
        <f t="shared" si="206"/>
        <v/>
      </c>
      <c r="BD382" s="73">
        <f t="shared" si="207"/>
        <v>444.58000000000004</v>
      </c>
      <c r="BE382" s="73">
        <f t="shared" si="208"/>
        <v>355.32250772500004</v>
      </c>
      <c r="BF382" s="77">
        <f t="shared" si="209"/>
        <v>89.26</v>
      </c>
      <c r="BG382" s="77">
        <f t="shared" si="210"/>
        <v>26.778000000000002</v>
      </c>
      <c r="BH382" s="77">
        <f t="shared" si="211"/>
        <v>357.02996910000002</v>
      </c>
      <c r="BI382" s="78">
        <f t="shared" si="212"/>
        <v>0.25</v>
      </c>
      <c r="BJ382" s="79">
        <f t="shared" si="213"/>
        <v>0.20077376400197938</v>
      </c>
      <c r="BK382" s="80">
        <f t="shared" si="214"/>
        <v>355.32003090000001</v>
      </c>
      <c r="BL382" s="80">
        <f t="shared" si="215"/>
        <v>89.259969100000035</v>
      </c>
      <c r="BM382" s="79">
        <f t="shared" si="216"/>
        <v>0.20077369449817811</v>
      </c>
      <c r="BN382" s="81">
        <f t="shared" si="217"/>
        <v>0.78067055393586005</v>
      </c>
      <c r="BO382" s="82">
        <f t="shared" si="218"/>
        <v>267.77</v>
      </c>
      <c r="BP382" s="81">
        <f t="shared" si="219"/>
        <v>0.78067055393586005</v>
      </c>
      <c r="BQ382" s="81">
        <f t="shared" si="220"/>
        <v>0.85847208809563957</v>
      </c>
      <c r="BR382" s="81">
        <f t="shared" si="221"/>
        <v>1.1187052341597796</v>
      </c>
      <c r="BS382" s="82">
        <f t="shared" si="222"/>
        <v>343</v>
      </c>
      <c r="BT382" s="82">
        <f t="shared" si="223"/>
        <v>383.71589531680439</v>
      </c>
      <c r="BU382" s="82">
        <f t="shared" si="224"/>
        <v>357.02996910000002</v>
      </c>
      <c r="BW382" s="82">
        <f>IFERROR(INDEX('Infos Clientes'!$T:$T,MATCH('Detalhe Por UC'!$C382,'Infos Clientes'!B:B,0)),"")</f>
        <v>372.25</v>
      </c>
      <c r="BX382" s="83">
        <f t="shared" si="225"/>
        <v>0</v>
      </c>
      <c r="BY382" s="84">
        <f t="shared" si="226"/>
        <v>0.23261994144471138</v>
      </c>
      <c r="BZ382" s="85">
        <f>IF(_xlfn.MINIFS('Detalhe Por UC'!R:R,'Detalhe Por UC'!C:C,C382,'Detalhe Por UC'!AD:AD,"&gt;"&amp;0)=0,"",_xlfn.MINIFS('Detalhe Por UC'!R:R,'Detalhe Por UC'!C:C,C382,'Detalhe Por UC'!AD:AD,"&gt;"&amp;0))</f>
        <v>45627</v>
      </c>
      <c r="CA382" s="114">
        <f ca="1">IF(OR(S382&gt;0,AD382&gt;0),IFERROR(
SUMIFS(INDIRECT("'Infos Clientes'!$W"&amp;INDEX('Infos Clientes'!$C:$C,MATCH(C382,'Infos Clientes'!$H:$H,0))&amp;":$CZ"&amp;INDEX('Infos Clientes'!$C:$C,MATCH(C382,'Infos Clientes'!$H:$H,0))),'Infos Clientes'!$W$2:$CZ$2,"&gt;"&amp;$R382-365,'Infos Clientes'!$W$2:$CZ$2,"&lt;="&amp;$R382)/
COUNTIFS(INDIRECT("'Infos Clientes'!$W"&amp;INDEX('Infos Clientes'!$C:$C,MATCH(C382,'Infos Clientes'!$H:$H,0))&amp;":$CZ"&amp;INDEX('Infos Clientes'!$C:$C,MATCH(C382,'Infos Clientes'!$H:$H,0))),"&gt;="&amp;0,'Infos Clientes'!$W$2:$CZ$2,"&gt;"&amp;$R382-365,'Infos Clientes'!$W$2:$CZ$2,"&lt;="&amp;$R382),""),"")</f>
        <v>365.16666666666669</v>
      </c>
      <c r="CB382" s="87">
        <f>VLOOKUP(C382,'Infos Clientes'!B:L,11,0)</f>
        <v>0</v>
      </c>
      <c r="CC382" s="88" t="str">
        <f t="shared" si="227"/>
        <v>A Unidade Consumidora 10/1939035-0 economizou R$89,26 na fatura referente à abr/2025  consumindo 343 kWh em créditos de energia renovável conforme fatura de energia. A economia foi de 25% em relação ao que seria pago para a Energisa considerando os créditos consumidos. Atenção: Mantenha as contas da Energisa em dia para evitar cortes.</v>
      </c>
      <c r="CD382" s="40" t="s">
        <v>69</v>
      </c>
      <c r="CE382" s="18">
        <v>87.55</v>
      </c>
      <c r="CF382" s="115">
        <f t="shared" si="228"/>
        <v>-3.0900000027145325E-5</v>
      </c>
    </row>
    <row r="383" spans="1:84" ht="16.2" hidden="1" customHeight="1" x14ac:dyDescent="0.3">
      <c r="A383" s="105" t="str">
        <f>INDEX('Infos Clientes'!$D:$D,MATCH('Detalhe Por UC'!C383,'Infos Clientes'!B:B,0))</f>
        <v>IGREJA DO EVANGELHO QUADRANGULAR</v>
      </c>
      <c r="B383" s="106" t="str">
        <f>INDEX('Infos Clientes'!$F:$F,MATCH('Detalhe Por UC'!C383,'Infos Clientes'!B:B,0))</f>
        <v>62.955.505/0172-13</v>
      </c>
      <c r="C383" s="44" t="s">
        <v>87</v>
      </c>
      <c r="D383" t="s">
        <v>351</v>
      </c>
      <c r="E383" s="1" t="s">
        <v>352</v>
      </c>
      <c r="F383" s="56" t="str">
        <f>INDEX('Infos Clientes'!$I:$I,MATCH('Detalhe Por UC'!C383,'Infos Clientes'!B:B,0))</f>
        <v>BT</v>
      </c>
      <c r="G383" s="56" t="str">
        <f>INDEX('Infos Clientes'!$J:$J,MATCH('Detalhe Por UC'!C383,'Infos Clientes'!B:B,0))</f>
        <v>trifasico</v>
      </c>
      <c r="H383" s="108" t="s">
        <v>24</v>
      </c>
      <c r="I383" s="58">
        <f>IFERROR(VLOOKUP(C383,'Infos Clientes'!B:E,4,),"")</f>
        <v>371</v>
      </c>
      <c r="J383" s="109">
        <v>0.25</v>
      </c>
      <c r="K383" s="59">
        <f>INDEX('Infos Clientes'!$M:$M,MATCH('Detalhe Por UC'!C383,'Infos Clientes'!B:B,0))</f>
        <v>0.25</v>
      </c>
      <c r="L383" s="125">
        <v>0</v>
      </c>
      <c r="M383" s="56">
        <f>INDEX('Infos Clientes'!$N:$N,MATCH('Detalhe Por UC'!C383,'Infos Clientes'!B:B,0))</f>
        <v>0</v>
      </c>
      <c r="N383" s="56">
        <f t="shared" si="192"/>
        <v>0</v>
      </c>
      <c r="O383" s="56">
        <f t="shared" si="193"/>
        <v>12</v>
      </c>
      <c r="P383" s="56">
        <f t="shared" si="194"/>
        <v>0</v>
      </c>
      <c r="Q383" s="61">
        <f>IFERROR(IFERROR(INDEX('Infos Clientes'!$A$2:$V$9884,MATCH($C383,'Infos Clientes'!$B$2:$B$9884,0),MATCH(Q$8,'Infos Clientes'!$A$2:$V$2,0)),"")
+IF(OR(INDEX('Infos Clientes'!$A$2:$V$9884,MATCH($C383,'Infos Clientes'!$B$2:$B$9884,0),MATCH("Tempo de Fidelidade (meses)",'Infos Clientes'!$A$2:$V$2,0))=0,R383&gt;=MAX(R:R)),0,
ROUND((MAX(R:R)-R383)/(365/12),0)),"")</f>
        <v>0</v>
      </c>
      <c r="R383" s="111">
        <v>45748</v>
      </c>
      <c r="S383" s="17">
        <v>0.06</v>
      </c>
      <c r="T383" s="113">
        <f>IF($H383="GIROSSOL II",AP383/INDEX('Resumo Operacional'!$A$1:$P$1103,17,MATCH('Detalhe Por UC'!$R383,'Resumo Operacional'!$A$1:$P$1,0)),
IF($H383="GIROSSOL II e III",AP383/INDEX('Resumo Operacional'!$A$1:$P$1103,17,MATCH('Detalhe Por UC'!$R383,'Resumo Operacional'!$A$1:$P$1,0)),
""))</f>
        <v>5.9976192656350152E-2</v>
      </c>
      <c r="U383" s="113" t="str">
        <f>IF($H383="GIROSSOL III",AP383/INDEX('Resumo Operacional'!$A$1:$P$1103,53,MATCH('Detalhe Por UC'!$R383,'Resumo Operacional'!$A$1:$P$1,0)),
IF($H383="GIROSSOL II e III",AP383/INDEX('Resumo Operacional'!$A$1:$P$1103,53,MATCH('Detalhe Por UC'!$R383,'Resumo Operacional'!$A$1:$P$1,0)),
""))</f>
        <v/>
      </c>
      <c r="V383" s="45"/>
      <c r="W383" s="18"/>
      <c r="X383" s="18">
        <v>1.1222519841269842</v>
      </c>
      <c r="Y383" s="18"/>
      <c r="Z383" s="18">
        <v>1.1222442748091603</v>
      </c>
      <c r="AA383" s="18"/>
      <c r="AB383" s="18">
        <v>1008</v>
      </c>
      <c r="AC383" s="18"/>
      <c r="AD383" s="18">
        <v>655</v>
      </c>
      <c r="AE383" s="35"/>
      <c r="AF383" s="18">
        <v>0</v>
      </c>
      <c r="AG383" s="18">
        <v>0</v>
      </c>
      <c r="AH383" s="18">
        <v>111.02</v>
      </c>
      <c r="AI383" s="18">
        <v>0</v>
      </c>
      <c r="AJ383" s="18">
        <v>0</v>
      </c>
      <c r="AN383" s="71">
        <f t="shared" si="195"/>
        <v>0</v>
      </c>
      <c r="AO383" s="71">
        <f t="shared" si="196"/>
        <v>0</v>
      </c>
      <c r="AP383" s="71">
        <f t="shared" si="197"/>
        <v>655</v>
      </c>
      <c r="AQ383" s="72">
        <f>IF(OR($H383="GIROSSOL II",$H383="GIROSSOL II e III"),INDEX('Resumo Operacional'!$A$1:$P$1103,MATCH("Energia Injetada prevista total Fatura da Usina (TUSD)",'Resumo Operacional'!$B$1:$B$1103,0),MATCH('Detalhe Por UC'!$R383,'Resumo Operacional'!$A$1:$P$1,0))*$S383,INDEX('Resumo Operacional'!$A$1:$P$1103,53,MATCH('Detalhe Por UC'!$R383,'Resumo Operacional'!$A$1:$P$1,0))*$S383)</f>
        <v>655.26</v>
      </c>
      <c r="AR383" s="71">
        <f t="shared" si="198"/>
        <v>-0.25999999999999091</v>
      </c>
      <c r="AS383" s="73">
        <f t="shared" si="199"/>
        <v>507.17999999999995</v>
      </c>
      <c r="AT383" s="74">
        <f t="shared" si="200"/>
        <v>507.17999999999995</v>
      </c>
      <c r="AU383" s="74">
        <f t="shared" si="201"/>
        <v>1.1222365654913364</v>
      </c>
      <c r="AV383" s="74">
        <f t="shared" si="202"/>
        <v>551.30250000000001</v>
      </c>
      <c r="AW383" s="74">
        <f t="shared" si="203"/>
        <v>0</v>
      </c>
      <c r="AX383" s="74">
        <f t="shared" si="204"/>
        <v>735.07</v>
      </c>
      <c r="AY383" s="74">
        <f t="shared" si="205"/>
        <v>551.29999999999995</v>
      </c>
      <c r="AZ383" s="117">
        <v>551.29999999999995</v>
      </c>
      <c r="BA383" s="117">
        <v>551.29999999999995</v>
      </c>
      <c r="BB383" s="49">
        <v>551.29999999999995</v>
      </c>
      <c r="BC383" s="73" t="str">
        <f t="shared" si="206"/>
        <v/>
      </c>
      <c r="BD383" s="73">
        <f t="shared" si="207"/>
        <v>1242.25</v>
      </c>
      <c r="BE383" s="73">
        <f t="shared" si="208"/>
        <v>1058.4825000000001</v>
      </c>
      <c r="BF383" s="77">
        <f t="shared" si="209"/>
        <v>183.77</v>
      </c>
      <c r="BG383" s="77">
        <f t="shared" si="210"/>
        <v>55.131</v>
      </c>
      <c r="BH383" s="77">
        <f t="shared" si="211"/>
        <v>735.06999999999994</v>
      </c>
      <c r="BI383" s="78">
        <f t="shared" si="212"/>
        <v>0.25</v>
      </c>
      <c r="BJ383" s="79">
        <f t="shared" si="213"/>
        <v>0.14793318575166031</v>
      </c>
      <c r="BK383" s="80">
        <f t="shared" si="214"/>
        <v>1058.48</v>
      </c>
      <c r="BL383" s="80">
        <f t="shared" si="215"/>
        <v>183.76999999999998</v>
      </c>
      <c r="BM383" s="79">
        <f t="shared" si="216"/>
        <v>0.14793318575166028</v>
      </c>
      <c r="BN383" s="81">
        <f t="shared" si="217"/>
        <v>0.84167938931297703</v>
      </c>
      <c r="BO383" s="82">
        <f t="shared" si="218"/>
        <v>551.29999999999995</v>
      </c>
      <c r="BP383" s="81">
        <f t="shared" si="219"/>
        <v>0.84167938931297703</v>
      </c>
      <c r="BQ383" s="81">
        <f t="shared" si="220"/>
        <v>0.84168709863080093</v>
      </c>
      <c r="BR383" s="81">
        <f t="shared" si="221"/>
        <v>1.1222519841269842</v>
      </c>
      <c r="BS383" s="82">
        <f t="shared" si="222"/>
        <v>655</v>
      </c>
      <c r="BT383" s="82">
        <f t="shared" si="223"/>
        <v>735.07504960317465</v>
      </c>
      <c r="BU383" s="82">
        <f t="shared" si="224"/>
        <v>735.07</v>
      </c>
      <c r="BW383" s="82">
        <f>IFERROR(INDEX('Infos Clientes'!$T:$T,MATCH('Detalhe Por UC'!$C383,'Infos Clientes'!B:B,0)),"")</f>
        <v>1056.1666666666667</v>
      </c>
      <c r="BX383" s="83">
        <f t="shared" si="225"/>
        <v>0</v>
      </c>
      <c r="BY383" s="84">
        <f t="shared" si="226"/>
        <v>0.2500016836365308</v>
      </c>
      <c r="BZ383" s="85">
        <f>IF(_xlfn.MINIFS('Detalhe Por UC'!R:R,'Detalhe Por UC'!C:C,C383,'Detalhe Por UC'!AD:AD,"&gt;"&amp;0)=0,"",_xlfn.MINIFS('Detalhe Por UC'!R:R,'Detalhe Por UC'!C:C,C383,'Detalhe Por UC'!AD:AD,"&gt;"&amp;0))</f>
        <v>45627</v>
      </c>
      <c r="CA383" s="114">
        <f ca="1">IF(OR(S383&gt;0,AD383&gt;0),IFERROR(
SUMIFS(INDIRECT("'Infos Clientes'!$W"&amp;INDEX('Infos Clientes'!$C:$C,MATCH(C383,'Infos Clientes'!$H:$H,0))&amp;":$CZ"&amp;INDEX('Infos Clientes'!$C:$C,MATCH(C383,'Infos Clientes'!$H:$H,0))),'Infos Clientes'!$W$2:$CZ$2,"&gt;"&amp;$R383-365,'Infos Clientes'!$W$2:$CZ$2,"&lt;="&amp;$R383)/
COUNTIFS(INDIRECT("'Infos Clientes'!$W"&amp;INDEX('Infos Clientes'!$C:$C,MATCH(C383,'Infos Clientes'!$H:$H,0))&amp;":$CZ"&amp;INDEX('Infos Clientes'!$C:$C,MATCH(C383,'Infos Clientes'!$H:$H,0))),"&gt;="&amp;0,'Infos Clientes'!$W$2:$CZ$2,"&gt;"&amp;$R383-365,'Infos Clientes'!$W$2:$CZ$2,"&lt;="&amp;$R383),""),"")</f>
        <v>1032.8333333333333</v>
      </c>
      <c r="CB383" s="87">
        <f>VLOOKUP(C383,'Infos Clientes'!B:L,11,0)</f>
        <v>0</v>
      </c>
      <c r="CC383" s="88" t="str">
        <f t="shared" si="227"/>
        <v>A Unidade Consumidora 10/2605731-5 economizou R$183,77 na fatura referente à abr/2025  consumindo 655 kWh em créditos de energia renovável conforme fatura de energia. A economia foi de 25% em relação ao que seria pago para a Energisa considerando os créditos consumidos. Atenção: Mantenha as contas da Energisa em dia para evitar cortes.</v>
      </c>
      <c r="CD383" s="40" t="s">
        <v>56</v>
      </c>
      <c r="CE383" s="18">
        <v>507.18</v>
      </c>
      <c r="CF383" s="115">
        <f t="shared" si="228"/>
        <v>0</v>
      </c>
    </row>
    <row r="384" spans="1:84" ht="16.2" hidden="1" customHeight="1" x14ac:dyDescent="0.3">
      <c r="A384" s="105" t="str">
        <f>INDEX('Infos Clientes'!$D:$D,MATCH('Detalhe Por UC'!C384,'Infos Clientes'!B:B,0))</f>
        <v>IGREJA DO EVANGELHO QUADRANGULAR</v>
      </c>
      <c r="B384" s="106" t="str">
        <f>INDEX('Infos Clientes'!$F:$F,MATCH('Detalhe Por UC'!C384,'Infos Clientes'!B:B,0))</f>
        <v>62.955.505/0151-99</v>
      </c>
      <c r="C384" s="44" t="s">
        <v>48</v>
      </c>
      <c r="D384" t="s">
        <v>351</v>
      </c>
      <c r="E384" s="1" t="s">
        <v>352</v>
      </c>
      <c r="F384" s="56" t="str">
        <f>INDEX('Infos Clientes'!$I:$I,MATCH('Detalhe Por UC'!C384,'Infos Clientes'!B:B,0))</f>
        <v>BT</v>
      </c>
      <c r="G384" s="56" t="str">
        <f>INDEX('Infos Clientes'!$J:$J,MATCH('Detalhe Por UC'!C384,'Infos Clientes'!B:B,0))</f>
        <v>trifasico</v>
      </c>
      <c r="H384" s="108" t="s">
        <v>24</v>
      </c>
      <c r="I384" s="58">
        <f>IFERROR(VLOOKUP(C384,'Infos Clientes'!B:E,4,),"")</f>
        <v>306</v>
      </c>
      <c r="J384" s="109">
        <v>0.25</v>
      </c>
      <c r="K384" s="59">
        <f>INDEX('Infos Clientes'!$M:$M,MATCH('Detalhe Por UC'!C384,'Infos Clientes'!B:B,0))</f>
        <v>0.25</v>
      </c>
      <c r="L384" s="125">
        <v>0</v>
      </c>
      <c r="M384" s="56">
        <f>INDEX('Infos Clientes'!$N:$N,MATCH('Detalhe Por UC'!C384,'Infos Clientes'!B:B,0))</f>
        <v>0</v>
      </c>
      <c r="N384" s="56">
        <f t="shared" si="192"/>
        <v>0</v>
      </c>
      <c r="O384" s="56">
        <f t="shared" si="193"/>
        <v>9</v>
      </c>
      <c r="P384" s="56">
        <f t="shared" si="194"/>
        <v>0</v>
      </c>
      <c r="Q384" s="61">
        <f>IFERROR(IFERROR(INDEX('Infos Clientes'!$A$2:$V$9884,MATCH($C384,'Infos Clientes'!$B$2:$B$9884,0),MATCH(Q$8,'Infos Clientes'!$A$2:$V$2,0)),"")
+IF(OR(INDEX('Infos Clientes'!$A$2:$V$9884,MATCH($C384,'Infos Clientes'!$B$2:$B$9884,0),MATCH("Tempo de Fidelidade (meses)",'Infos Clientes'!$A$2:$V$2,0))=0,R384&gt;=MAX(R:R)),0,
ROUND((MAX(R:R)-R384)/(365/12),0)),"")</f>
        <v>0</v>
      </c>
      <c r="R384" s="111">
        <v>45748</v>
      </c>
      <c r="S384" s="17">
        <v>0.01</v>
      </c>
      <c r="T384" s="113">
        <f>IF($H384="GIROSSOL II",AP384/INDEX('Resumo Operacional'!$A$1:$P$1103,17,MATCH('Detalhe Por UC'!$R384,'Resumo Operacional'!$A$1:$P$1,0)),
IF($H384="GIROSSOL II e III",AP384/INDEX('Resumo Operacional'!$A$1:$P$1103,17,MATCH('Detalhe Por UC'!$R384,'Resumo Operacional'!$A$1:$P$1,0)),
""))</f>
        <v>9.9807709916674304E-3</v>
      </c>
      <c r="U384" s="113" t="str">
        <f>IF($H384="GIROSSOL III",AP384/INDEX('Resumo Operacional'!$A$1:$P$1103,53,MATCH('Detalhe Por UC'!$R384,'Resumo Operacional'!$A$1:$P$1,0)),
IF($H384="GIROSSOL II e III",AP384/INDEX('Resumo Operacional'!$A$1:$P$1103,53,MATCH('Detalhe Por UC'!$R384,'Resumo Operacional'!$A$1:$P$1,0)),
""))</f>
        <v/>
      </c>
      <c r="V384" s="45"/>
      <c r="W384" s="18"/>
      <c r="X384" s="18">
        <v>1.121922077922078</v>
      </c>
      <c r="Y384" s="18"/>
      <c r="Z384" s="18">
        <v>1.1219266055045871</v>
      </c>
      <c r="AA384" s="18"/>
      <c r="AB384" s="18">
        <v>385</v>
      </c>
      <c r="AC384" s="18"/>
      <c r="AD384" s="18">
        <v>109</v>
      </c>
      <c r="AE384" s="35"/>
      <c r="AF384" s="18">
        <v>0</v>
      </c>
      <c r="AG384" s="18">
        <v>0</v>
      </c>
      <c r="AH384" s="18">
        <v>15.260000000000002</v>
      </c>
      <c r="AI384" s="18">
        <v>0</v>
      </c>
      <c r="AJ384" s="18">
        <v>0</v>
      </c>
      <c r="AN384" s="71">
        <f t="shared" si="195"/>
        <v>0</v>
      </c>
      <c r="AO384" s="71">
        <f t="shared" si="196"/>
        <v>0</v>
      </c>
      <c r="AP384" s="71">
        <f t="shared" si="197"/>
        <v>109</v>
      </c>
      <c r="AQ384" s="72">
        <f>IF(OR($H384="GIROSSOL II",$H384="GIROSSOL II e III"),INDEX('Resumo Operacional'!$A$1:$P$1103,MATCH("Energia Injetada prevista total Fatura da Usina (TUSD)",'Resumo Operacional'!$B$1:$B$1103,0),MATCH('Detalhe Por UC'!$R384,'Resumo Operacional'!$A$1:$P$1,0))*$S384,INDEX('Resumo Operacional'!$A$1:$P$1103,53,MATCH('Detalhe Por UC'!$R384,'Resumo Operacional'!$A$1:$P$1,0))*$S384)</f>
        <v>109.21000000000001</v>
      </c>
      <c r="AR384" s="71">
        <f t="shared" si="198"/>
        <v>-0.21000000000000796</v>
      </c>
      <c r="AS384" s="73">
        <f t="shared" si="199"/>
        <v>324.90999999999997</v>
      </c>
      <c r="AT384" s="74">
        <f t="shared" si="200"/>
        <v>324.90999999999997</v>
      </c>
      <c r="AU384" s="74">
        <f t="shared" si="201"/>
        <v>1.1219311330870962</v>
      </c>
      <c r="AV384" s="74">
        <f t="shared" si="202"/>
        <v>91.717500000000001</v>
      </c>
      <c r="AW384" s="74">
        <f t="shared" si="203"/>
        <v>0</v>
      </c>
      <c r="AX384" s="74">
        <f t="shared" si="204"/>
        <v>122.28999999999999</v>
      </c>
      <c r="AY384" s="74">
        <f t="shared" si="205"/>
        <v>91.72</v>
      </c>
      <c r="AZ384" s="117">
        <v>91.72</v>
      </c>
      <c r="BA384" s="117">
        <v>91.72</v>
      </c>
      <c r="BB384" s="49">
        <v>91.72</v>
      </c>
      <c r="BC384" s="73" t="str">
        <f t="shared" si="206"/>
        <v/>
      </c>
      <c r="BD384" s="73">
        <f t="shared" si="207"/>
        <v>447.2</v>
      </c>
      <c r="BE384" s="73">
        <f t="shared" si="208"/>
        <v>416.62749999999994</v>
      </c>
      <c r="BF384" s="77">
        <f t="shared" si="209"/>
        <v>30.57</v>
      </c>
      <c r="BG384" s="77">
        <f t="shared" si="210"/>
        <v>9.1709999999999994</v>
      </c>
      <c r="BH384" s="77">
        <f t="shared" si="211"/>
        <v>122.28999999999999</v>
      </c>
      <c r="BI384" s="78">
        <f t="shared" si="212"/>
        <v>0.25</v>
      </c>
      <c r="BJ384" s="79">
        <f t="shared" si="213"/>
        <v>6.8358676207513416E-2</v>
      </c>
      <c r="BK384" s="80">
        <f t="shared" si="214"/>
        <v>416.63</v>
      </c>
      <c r="BL384" s="80">
        <f t="shared" si="215"/>
        <v>30.569999999999993</v>
      </c>
      <c r="BM384" s="79">
        <f t="shared" si="216"/>
        <v>6.8358676207513402E-2</v>
      </c>
      <c r="BN384" s="81">
        <f t="shared" si="217"/>
        <v>0.84146788990825683</v>
      </c>
      <c r="BO384" s="82">
        <f t="shared" si="218"/>
        <v>91.72</v>
      </c>
      <c r="BP384" s="81">
        <f t="shared" si="219"/>
        <v>0.84146788990825683</v>
      </c>
      <c r="BQ384" s="81">
        <f t="shared" si="220"/>
        <v>0.8414633623257477</v>
      </c>
      <c r="BR384" s="81">
        <f t="shared" si="221"/>
        <v>1.121922077922078</v>
      </c>
      <c r="BS384" s="82">
        <f t="shared" si="222"/>
        <v>109</v>
      </c>
      <c r="BT384" s="82">
        <f t="shared" si="223"/>
        <v>122.28950649350649</v>
      </c>
      <c r="BU384" s="82">
        <f t="shared" si="224"/>
        <v>122.28999999999999</v>
      </c>
      <c r="BW384" s="82">
        <f>IFERROR(INDEX('Infos Clientes'!$T:$T,MATCH('Detalhe Por UC'!$C384,'Infos Clientes'!B:B,0)),"")</f>
        <v>286.5</v>
      </c>
      <c r="BX384" s="83">
        <f t="shared" si="225"/>
        <v>0</v>
      </c>
      <c r="BY384" s="84">
        <f t="shared" si="226"/>
        <v>0.24998056559843301</v>
      </c>
      <c r="BZ384" s="85">
        <f>IF(_xlfn.MINIFS('Detalhe Por UC'!R:R,'Detalhe Por UC'!C:C,C384,'Detalhe Por UC'!AD:AD,"&gt;"&amp;0)=0,"",_xlfn.MINIFS('Detalhe Por UC'!R:R,'Detalhe Por UC'!C:C,C384,'Detalhe Por UC'!AD:AD,"&gt;"&amp;0))</f>
        <v>45658</v>
      </c>
      <c r="CA384" s="114">
        <f ca="1">IF(OR(S384&gt;0,AD384&gt;0),IFERROR(
SUMIFS(INDIRECT("'Infos Clientes'!$W"&amp;INDEX('Infos Clientes'!$C:$C,MATCH(C384,'Infos Clientes'!$H:$H,0))&amp;":$CZ"&amp;INDEX('Infos Clientes'!$C:$C,MATCH(C384,'Infos Clientes'!$H:$H,0))),'Infos Clientes'!$W$2:$CZ$2,"&gt;"&amp;$R384-365,'Infos Clientes'!$W$2:$CZ$2,"&lt;="&amp;$R384)/
COUNTIFS(INDIRECT("'Infos Clientes'!$W"&amp;INDEX('Infos Clientes'!$C:$C,MATCH(C384,'Infos Clientes'!$H:$H,0))&amp;":$CZ"&amp;INDEX('Infos Clientes'!$C:$C,MATCH(C384,'Infos Clientes'!$H:$H,0))),"&gt;="&amp;0,'Infos Clientes'!$W$2:$CZ$2,"&gt;"&amp;$R384-365,'Infos Clientes'!$W$2:$CZ$2,"&lt;="&amp;$R384),""),"")</f>
        <v>396</v>
      </c>
      <c r="CB384" s="87">
        <f>VLOOKUP(C384,'Infos Clientes'!B:L,11,0)</f>
        <v>0</v>
      </c>
      <c r="CC384" s="88" t="str">
        <f t="shared" si="227"/>
        <v>A Unidade Consumidora 10/2794432-1 economizou R$30,57 na fatura referente à abr/2025  consumindo 109 kWh em créditos de energia renovável conforme fatura de energia. A economia foi de 25% em relação ao que seria pago para a Energisa considerando os créditos consumidos. Atenção: Mantenha as contas da Energisa em dia para evitar cortes.</v>
      </c>
      <c r="CD384" s="40" t="s">
        <v>90</v>
      </c>
      <c r="CE384" s="18">
        <v>324.91000000000003</v>
      </c>
      <c r="CF384" s="115">
        <f t="shared" si="228"/>
        <v>0</v>
      </c>
    </row>
    <row r="385" spans="1:85" ht="16.2" hidden="1" customHeight="1" x14ac:dyDescent="0.3">
      <c r="A385" s="105" t="str">
        <f>INDEX('Infos Clientes'!$D:$D,MATCH('Detalhe Por UC'!C385,'Infos Clientes'!B:B,0))</f>
        <v>IGREJA DO EVANGELHO QUADRANGULAR</v>
      </c>
      <c r="B385" s="106" t="str">
        <f>INDEX('Infos Clientes'!$F:$F,MATCH('Detalhe Por UC'!C385,'Infos Clientes'!B:B,0))</f>
        <v>62.955.505/0577-89</v>
      </c>
      <c r="C385" s="44" t="s">
        <v>94</v>
      </c>
      <c r="D385" t="s">
        <v>351</v>
      </c>
      <c r="E385" s="1" t="s">
        <v>352</v>
      </c>
      <c r="F385" s="56" t="str">
        <f>INDEX('Infos Clientes'!$I:$I,MATCH('Detalhe Por UC'!C385,'Infos Clientes'!B:B,0))</f>
        <v>BT</v>
      </c>
      <c r="G385" s="56" t="str">
        <f>INDEX('Infos Clientes'!$J:$J,MATCH('Detalhe Por UC'!C385,'Infos Clientes'!B:B,0))</f>
        <v>bifasico</v>
      </c>
      <c r="H385" s="108" t="s">
        <v>24</v>
      </c>
      <c r="I385" s="58">
        <f>IFERROR(VLOOKUP(C385,'Infos Clientes'!B:E,4,),"")</f>
        <v>319</v>
      </c>
      <c r="J385" s="109">
        <v>0.25</v>
      </c>
      <c r="K385" s="59">
        <f>INDEX('Infos Clientes'!$M:$M,MATCH('Detalhe Por UC'!C385,'Infos Clientes'!B:B,0))</f>
        <v>0.25</v>
      </c>
      <c r="L385" s="125">
        <v>0</v>
      </c>
      <c r="M385" s="56">
        <f>INDEX('Infos Clientes'!$N:$N,MATCH('Detalhe Por UC'!C385,'Infos Clientes'!B:B,0))</f>
        <v>0</v>
      </c>
      <c r="N385" s="56">
        <f t="shared" si="192"/>
        <v>0</v>
      </c>
      <c r="O385" s="56">
        <f t="shared" si="193"/>
        <v>10</v>
      </c>
      <c r="P385" s="56">
        <f t="shared" si="194"/>
        <v>0</v>
      </c>
      <c r="Q385" s="61">
        <f>IFERROR(IFERROR(INDEX('Infos Clientes'!$A$2:$V$9884,MATCH($C385,'Infos Clientes'!$B$2:$B$9884,0),MATCH(Q$8,'Infos Clientes'!$A$2:$V$2,0)),"")
+IF(OR(INDEX('Infos Clientes'!$A$2:$V$9884,MATCH($C385,'Infos Clientes'!$B$2:$B$9884,0),MATCH("Tempo de Fidelidade (meses)",'Infos Clientes'!$A$2:$V$2,0))=0,R385&gt;=MAX(R:R)),0,
ROUND((MAX(R:R)-R385)/(365/12),0)),"")</f>
        <v>0</v>
      </c>
      <c r="R385" s="111">
        <v>45748</v>
      </c>
      <c r="S385" s="17">
        <v>0.02</v>
      </c>
      <c r="T385" s="113">
        <f>IF($H385="GIROSSOL II",AP385/INDEX('Resumo Operacional'!$A$1:$P$1103,17,MATCH('Detalhe Por UC'!$R385,'Resumo Operacional'!$A$1:$P$1,0)),
IF($H385="GIROSSOL II e III",AP385/INDEX('Resumo Operacional'!$A$1:$P$1103,17,MATCH('Detalhe Por UC'!$R385,'Resumo Operacional'!$A$1:$P$1,0)),
""))</f>
        <v>2.1976009522937458E-2</v>
      </c>
      <c r="U385" s="113" t="str">
        <f>IF($H385="GIROSSOL III",AP385/INDEX('Resumo Operacional'!$A$1:$P$1103,53,MATCH('Detalhe Por UC'!$R385,'Resumo Operacional'!$A$1:$P$1,0)),
IF($H385="GIROSSOL II e III",AP385/INDEX('Resumo Operacional'!$A$1:$P$1103,53,MATCH('Detalhe Por UC'!$R385,'Resumo Operacional'!$A$1:$P$1,0)),
""))</f>
        <v/>
      </c>
      <c r="V385" s="45"/>
      <c r="W385" s="18"/>
      <c r="X385" s="18">
        <v>1.1190489913544668</v>
      </c>
      <c r="Y385" s="18"/>
      <c r="Z385" s="18">
        <v>1.1190416666666667</v>
      </c>
      <c r="AA385" s="18"/>
      <c r="AB385" s="18">
        <v>347</v>
      </c>
      <c r="AC385" s="18"/>
      <c r="AD385" s="18">
        <v>240</v>
      </c>
      <c r="AE385" s="35"/>
      <c r="AF385" s="18">
        <v>0</v>
      </c>
      <c r="AG385" s="18">
        <v>0</v>
      </c>
      <c r="AH385" s="18">
        <v>58.59</v>
      </c>
      <c r="AI385" s="18">
        <v>0</v>
      </c>
      <c r="AJ385" s="18">
        <v>0</v>
      </c>
      <c r="AN385" s="71">
        <f t="shared" si="195"/>
        <v>0</v>
      </c>
      <c r="AO385" s="71">
        <f t="shared" si="196"/>
        <v>0</v>
      </c>
      <c r="AP385" s="71">
        <f t="shared" si="197"/>
        <v>240</v>
      </c>
      <c r="AQ385" s="72">
        <f>IF(OR($H385="GIROSSOL II",$H385="GIROSSOL II e III"),INDEX('Resumo Operacional'!$A$1:$P$1103,MATCH("Energia Injetada prevista total Fatura da Usina (TUSD)",'Resumo Operacional'!$B$1:$B$1103,0),MATCH('Detalhe Por UC'!$R385,'Resumo Operacional'!$A$1:$P$1,0))*$S385,INDEX('Resumo Operacional'!$A$1:$P$1103,53,MATCH('Detalhe Por UC'!$R385,'Resumo Operacional'!$A$1:$P$1,0))*$S385)</f>
        <v>218.42000000000002</v>
      </c>
      <c r="AR385" s="71">
        <f t="shared" si="198"/>
        <v>21.579999999999984</v>
      </c>
      <c r="AS385" s="73">
        <f t="shared" si="199"/>
        <v>178.32999999999996</v>
      </c>
      <c r="AT385" s="74">
        <f t="shared" si="200"/>
        <v>178.32999999999996</v>
      </c>
      <c r="AU385" s="74">
        <f t="shared" si="201"/>
        <v>1.1190343419788666</v>
      </c>
      <c r="AV385" s="74">
        <f t="shared" si="202"/>
        <v>201.42750000000001</v>
      </c>
      <c r="AW385" s="74">
        <f t="shared" si="203"/>
        <v>6.1299999999999955</v>
      </c>
      <c r="AX385" s="74">
        <f t="shared" si="204"/>
        <v>274.7</v>
      </c>
      <c r="AY385" s="74">
        <f t="shared" si="205"/>
        <v>207.56</v>
      </c>
      <c r="AZ385" s="117">
        <v>207.56</v>
      </c>
      <c r="BA385" s="117">
        <v>207.56</v>
      </c>
      <c r="BB385" s="49">
        <v>207.56</v>
      </c>
      <c r="BC385" s="73" t="str">
        <f t="shared" si="206"/>
        <v/>
      </c>
      <c r="BD385" s="73">
        <f t="shared" si="207"/>
        <v>446.9</v>
      </c>
      <c r="BE385" s="73">
        <f t="shared" si="208"/>
        <v>379.75749999999994</v>
      </c>
      <c r="BF385" s="77">
        <f t="shared" si="209"/>
        <v>67.14</v>
      </c>
      <c r="BG385" s="77">
        <f t="shared" si="210"/>
        <v>20.141999999999999</v>
      </c>
      <c r="BH385" s="77">
        <f t="shared" si="211"/>
        <v>268.57</v>
      </c>
      <c r="BI385" s="78">
        <f t="shared" si="212"/>
        <v>0.24</v>
      </c>
      <c r="BJ385" s="79">
        <f t="shared" si="213"/>
        <v>0.15023495189080333</v>
      </c>
      <c r="BK385" s="80">
        <f t="shared" si="214"/>
        <v>385.89</v>
      </c>
      <c r="BL385" s="80">
        <f t="shared" si="215"/>
        <v>61.009999999999991</v>
      </c>
      <c r="BM385" s="79">
        <f t="shared" si="216"/>
        <v>0.13651823674200042</v>
      </c>
      <c r="BN385" s="81">
        <f t="shared" si="217"/>
        <v>0.86483333333333334</v>
      </c>
      <c r="BO385" s="82">
        <f t="shared" si="218"/>
        <v>207.56</v>
      </c>
      <c r="BP385" s="81">
        <f t="shared" si="219"/>
        <v>0.86483333333333334</v>
      </c>
      <c r="BQ385" s="81">
        <f t="shared" si="220"/>
        <v>0.86484065802113341</v>
      </c>
      <c r="BR385" s="81">
        <f t="shared" si="221"/>
        <v>1.1190489913544668</v>
      </c>
      <c r="BS385" s="82">
        <f t="shared" si="222"/>
        <v>240</v>
      </c>
      <c r="BT385" s="82">
        <f t="shared" si="223"/>
        <v>268.57175792507201</v>
      </c>
      <c r="BU385" s="82">
        <f t="shared" si="224"/>
        <v>268.57</v>
      </c>
      <c r="BW385" s="82">
        <f>IFERROR(INDEX('Infos Clientes'!$T:$T,MATCH('Detalhe Por UC'!$C385,'Infos Clientes'!B:B,0)),"")</f>
        <v>55.25</v>
      </c>
      <c r="BX385" s="83">
        <f t="shared" si="225"/>
        <v>0</v>
      </c>
      <c r="BY385" s="84">
        <f t="shared" si="226"/>
        <v>0.22716461504124716</v>
      </c>
      <c r="BZ385" s="85">
        <f>IF(_xlfn.MINIFS('Detalhe Por UC'!R:R,'Detalhe Por UC'!C:C,C385,'Detalhe Por UC'!AD:AD,"&gt;"&amp;0)=0,"",_xlfn.MINIFS('Detalhe Por UC'!R:R,'Detalhe Por UC'!C:C,C385,'Detalhe Por UC'!AD:AD,"&gt;"&amp;0))</f>
        <v>45689</v>
      </c>
      <c r="CA385" s="114">
        <f ca="1">IF(OR(S385&gt;0,AD385&gt;0),IFERROR(
SUMIFS(INDIRECT("'Infos Clientes'!$W"&amp;INDEX('Infos Clientes'!$C:$C,MATCH(C385,'Infos Clientes'!$H:$H,0))&amp;":$CZ"&amp;INDEX('Infos Clientes'!$C:$C,MATCH(C385,'Infos Clientes'!$H:$H,0))),'Infos Clientes'!$W$2:$CZ$2,"&gt;"&amp;$R385-365,'Infos Clientes'!$W$2:$CZ$2,"&lt;="&amp;$R385)/
COUNTIFS(INDIRECT("'Infos Clientes'!$W"&amp;INDEX('Infos Clientes'!$C:$C,MATCH(C385,'Infos Clientes'!$H:$H,0))&amp;":$CZ"&amp;INDEX('Infos Clientes'!$C:$C,MATCH(C385,'Infos Clientes'!$H:$H,0))),"&gt;="&amp;0,'Infos Clientes'!$W$2:$CZ$2,"&gt;"&amp;$R385-365,'Infos Clientes'!$W$2:$CZ$2,"&lt;="&amp;$R385),""),"")</f>
        <v>143.58333333333334</v>
      </c>
      <c r="CB385" s="87">
        <f>VLOOKUP(C385,'Infos Clientes'!B:L,11,0)</f>
        <v>0</v>
      </c>
      <c r="CC385" s="88" t="str">
        <f t="shared" si="227"/>
        <v>A Unidade Consumidora 10/3005226-0 economizou R$67,14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85" s="40" t="s">
        <v>96</v>
      </c>
      <c r="CE385" s="18">
        <v>178.33</v>
      </c>
      <c r="CF385" s="115">
        <f t="shared" si="228"/>
        <v>0</v>
      </c>
    </row>
    <row r="386" spans="1:85" ht="16.2" hidden="1" customHeight="1" x14ac:dyDescent="0.3">
      <c r="A386" s="105" t="str">
        <f>INDEX('Infos Clientes'!$D:$D,MATCH('Detalhe Por UC'!C386,'Infos Clientes'!B:B,0))</f>
        <v>IGREJA DO EVANGELHO QUADRANGULAR</v>
      </c>
      <c r="B386" s="106" t="str">
        <f>INDEX('Infos Clientes'!$F:$F,MATCH('Detalhe Por UC'!C386,'Infos Clientes'!B:B,0))</f>
        <v>62.955.505/0356-29</v>
      </c>
      <c r="C386" s="107" t="s">
        <v>247</v>
      </c>
      <c r="D386" t="s">
        <v>351</v>
      </c>
      <c r="E386" s="1" t="s">
        <v>352</v>
      </c>
      <c r="F386" s="56" t="str">
        <f>INDEX('Infos Clientes'!$I:$I,MATCH('Detalhe Por UC'!C386,'Infos Clientes'!B:B,0))</f>
        <v>BT</v>
      </c>
      <c r="G386" s="56" t="str">
        <f>INDEX('Infos Clientes'!$J:$J,MATCH('Detalhe Por UC'!C386,'Infos Clientes'!B:B,0))</f>
        <v>trifasico</v>
      </c>
      <c r="H386" s="108" t="s">
        <v>138</v>
      </c>
      <c r="I386" s="58">
        <f>IFERROR(VLOOKUP(C386,'Infos Clientes'!B:E,4,),"")</f>
        <v>359</v>
      </c>
      <c r="J386" s="109">
        <v>0.25</v>
      </c>
      <c r="K386" s="59">
        <f>INDEX('Infos Clientes'!$M:$M,MATCH('Detalhe Por UC'!C386,'Infos Clientes'!B:B,0))</f>
        <v>0.25</v>
      </c>
      <c r="M386" s="56">
        <f>INDEX('Infos Clientes'!$N:$N,MATCH('Detalhe Por UC'!C386,'Infos Clientes'!B:B,0))</f>
        <v>0</v>
      </c>
      <c r="N386" s="56">
        <f t="shared" si="192"/>
        <v>0</v>
      </c>
      <c r="O386" s="56">
        <f t="shared" si="193"/>
        <v>4</v>
      </c>
      <c r="P386" s="56">
        <f t="shared" si="194"/>
        <v>0</v>
      </c>
      <c r="Q386" s="61">
        <f>IFERROR(IFERROR(INDEX('Infos Clientes'!$A$2:$V$9884,MATCH($C386,'Infos Clientes'!$B$2:$B$9884,0),MATCH(Q$8,'Infos Clientes'!$A$2:$V$2,0)),"")
+IF(OR(INDEX('Infos Clientes'!$A$2:$V$9884,MATCH($C386,'Infos Clientes'!$B$2:$B$9884,0),MATCH("Tempo de Fidelidade (meses)",'Infos Clientes'!$A$2:$V$2,0))=0,R386&gt;=MAX(R:R)),0,
ROUND((MAX(R:R)-R386)/(365/12),0)),"")</f>
        <v>0</v>
      </c>
      <c r="R386" s="111">
        <v>45748</v>
      </c>
      <c r="S386" s="63">
        <v>0</v>
      </c>
      <c r="T386" s="113" t="str">
        <f>IF($H386="GIROSSOL II",AP386/INDEX('Resumo Operacional'!$A$1:$P$1103,17,MATCH('Detalhe Por UC'!$R386,'Resumo Operacional'!$A$1:$P$1,0)),
IF($H386="GIROSSOL II e III",AP386/INDEX('Resumo Operacional'!$A$1:$P$1103,17,MATCH('Detalhe Por UC'!$R386,'Resumo Operacional'!$A$1:$P$1,0)),
""))</f>
        <v/>
      </c>
      <c r="U386" s="113">
        <f>IF($H386="GIROSSOL III",AP386/INDEX('Resumo Operacional'!$A$1:$P$1103,53,MATCH('Detalhe Por UC'!$R386,'Resumo Operacional'!$A$1:$P$1,0)),
IF($H386="GIROSSOL II e III",AP386/INDEX('Resumo Operacional'!$A$1:$P$1103,53,MATCH('Detalhe Por UC'!$R386,'Resumo Operacional'!$A$1:$P$1,0)),
""))</f>
        <v>0</v>
      </c>
      <c r="V386" s="45"/>
      <c r="W386" s="18"/>
      <c r="X386" s="18">
        <v>1.118725165562914</v>
      </c>
      <c r="Y386" s="18"/>
      <c r="Z386" s="18">
        <v>0.97292218543046349</v>
      </c>
      <c r="AA386" s="18"/>
      <c r="AB386" s="18">
        <v>1208</v>
      </c>
      <c r="AC386" s="18"/>
      <c r="AD386" s="141">
        <v>0</v>
      </c>
      <c r="AE386" s="35"/>
      <c r="AF386" s="60">
        <v>0</v>
      </c>
      <c r="AG386" s="18">
        <v>0</v>
      </c>
      <c r="AH386" s="18">
        <v>182.7</v>
      </c>
      <c r="AI386" s="18">
        <v>0</v>
      </c>
      <c r="AJ386" s="18">
        <v>0</v>
      </c>
      <c r="AN386" s="71">
        <f t="shared" si="195"/>
        <v>0</v>
      </c>
      <c r="AO386" s="71">
        <f t="shared" si="196"/>
        <v>0</v>
      </c>
      <c r="AP386" s="71">
        <f t="shared" si="197"/>
        <v>0</v>
      </c>
      <c r="AQ386" s="72">
        <f>IF(OR($H386="GIROSSOL II",$H386="GIROSSOL II e III"),INDEX('Resumo Operacional'!$A$1:$P$1103,MATCH("Energia Injetada prevista total Fatura da Usina (TUSD)",'Resumo Operacional'!$B$1:$B$1103,0),MATCH('Detalhe Por UC'!$R386,'Resumo Operacional'!$A$1:$P$1,0))*$S386,INDEX('Resumo Operacional'!$A$1:$P$1103,53,MATCH('Detalhe Por UC'!$R386,'Resumo Operacional'!$A$1:$P$1,0))*$S386)</f>
        <v>0</v>
      </c>
      <c r="AR386" s="71">
        <f t="shared" si="198"/>
        <v>0</v>
      </c>
      <c r="AS386" s="73">
        <f t="shared" si="199"/>
        <v>1534.1200000000001</v>
      </c>
      <c r="AT386" s="74">
        <f t="shared" si="200"/>
        <v>1534.1200000000001</v>
      </c>
      <c r="AU386" s="74" t="str">
        <f t="shared" si="201"/>
        <v/>
      </c>
      <c r="AV386" s="74">
        <f t="shared" si="202"/>
        <v>0</v>
      </c>
      <c r="AW386" s="74">
        <f t="shared" si="203"/>
        <v>959.21</v>
      </c>
      <c r="AX386" s="74">
        <f t="shared" si="204"/>
        <v>959.21</v>
      </c>
      <c r="AY386" s="74">
        <f t="shared" si="205"/>
        <v>959.21</v>
      </c>
      <c r="AZ386" s="117"/>
      <c r="BA386" s="117">
        <v>0</v>
      </c>
      <c r="BC386" s="73" t="str">
        <f t="shared" si="206"/>
        <v/>
      </c>
      <c r="BD386" s="73">
        <f t="shared" si="207"/>
        <v>1534.1200000000001</v>
      </c>
      <c r="BE386" s="73">
        <f t="shared" si="208"/>
        <v>1534.1200000000001</v>
      </c>
      <c r="BF386" s="77">
        <f t="shared" si="209"/>
        <v>0</v>
      </c>
      <c r="BG386" s="77">
        <f t="shared" si="210"/>
        <v>0</v>
      </c>
      <c r="BH386" s="77">
        <f t="shared" si="211"/>
        <v>0</v>
      </c>
      <c r="BI386" s="78" t="str">
        <f t="shared" si="212"/>
        <v/>
      </c>
      <c r="BJ386" s="79">
        <f t="shared" si="213"/>
        <v>0</v>
      </c>
      <c r="BK386" s="80">
        <f t="shared" si="214"/>
        <v>2493.33</v>
      </c>
      <c r="BL386" s="80">
        <f t="shared" si="215"/>
        <v>-959.20999999999981</v>
      </c>
      <c r="BM386" s="79">
        <f t="shared" si="216"/>
        <v>-0.62525095820405163</v>
      </c>
      <c r="BN386" s="81" t="str">
        <f t="shared" si="217"/>
        <v/>
      </c>
      <c r="BO386" s="82" t="str">
        <f t="shared" si="218"/>
        <v/>
      </c>
      <c r="BP386" s="81" t="str">
        <f t="shared" si="219"/>
        <v/>
      </c>
      <c r="BQ386" s="81" t="str">
        <f t="shared" si="220"/>
        <v/>
      </c>
      <c r="BR386" s="81" t="str">
        <f t="shared" si="221"/>
        <v/>
      </c>
      <c r="BS386" s="82">
        <f t="shared" si="222"/>
        <v>0</v>
      </c>
      <c r="BT386" s="82" t="str">
        <f t="shared" si="223"/>
        <v/>
      </c>
      <c r="BU386" s="82">
        <f t="shared" si="224"/>
        <v>0</v>
      </c>
      <c r="BW386" s="82">
        <f>IFERROR(INDEX('Infos Clientes'!$T:$T,MATCH('Detalhe Por UC'!$C386,'Infos Clientes'!B:B,0)),"")</f>
        <v>883.5454545454545</v>
      </c>
      <c r="BX386" s="83">
        <f t="shared" si="225"/>
        <v>0</v>
      </c>
      <c r="BY386" s="84" t="str">
        <f t="shared" si="226"/>
        <v/>
      </c>
      <c r="BZ386" s="85">
        <f>IF(_xlfn.MINIFS('Detalhe Por UC'!R:R,'Detalhe Por UC'!C:C,C386,'Detalhe Por UC'!AD:AD,"&gt;"&amp;0)=0,"",_xlfn.MINIFS('Detalhe Por UC'!R:R,'Detalhe Por UC'!C:C,C386,'Detalhe Por UC'!AD:AD,"&gt;"&amp;0))</f>
        <v>45658</v>
      </c>
      <c r="CA386" s="114" t="str">
        <f ca="1">IF(OR(S386&gt;0,AD386&gt;0),IFERROR(
SUMIFS(INDIRECT("'Infos Clientes'!$W"&amp;INDEX('Infos Clientes'!$C:$C,MATCH(C386,'Infos Clientes'!$H:$H,0))&amp;":$CZ"&amp;INDEX('Infos Clientes'!$C:$C,MATCH(C386,'Infos Clientes'!$H:$H,0))),'Infos Clientes'!$W$2:$CZ$2,"&gt;"&amp;$R386-365,'Infos Clientes'!$W$2:$CZ$2,"&lt;="&amp;$R386)/
COUNTIFS(INDIRECT("'Infos Clientes'!$W"&amp;INDEX('Infos Clientes'!$C:$C,MATCH(C386,'Infos Clientes'!$H:$H,0))&amp;":$CZ"&amp;INDEX('Infos Clientes'!$C:$C,MATCH(C386,'Infos Clientes'!$H:$H,0))),"&gt;="&amp;0,'Infos Clientes'!$W$2:$CZ$2,"&gt;"&amp;$R386-365,'Infos Clientes'!$W$2:$CZ$2,"&lt;="&amp;$R386),""),"")</f>
        <v/>
      </c>
      <c r="CB386" s="87">
        <f>VLOOKUP(C386,'Infos Clientes'!B:L,11,0)</f>
        <v>0</v>
      </c>
      <c r="CC386" s="88" t="str">
        <f t="shared" si="227"/>
        <v>A Unidade Consumidora 10/3170252-5 economizou R$0 na fatura referente à abr/2025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386" s="40" t="s">
        <v>249</v>
      </c>
      <c r="CE386" s="18">
        <v>358.83</v>
      </c>
      <c r="CF386" s="115">
        <f t="shared" si="228"/>
        <v>-1175.2900000000002</v>
      </c>
    </row>
    <row r="387" spans="1:85" ht="16.2" hidden="1" customHeight="1" x14ac:dyDescent="0.3">
      <c r="A387" s="105" t="str">
        <f>INDEX('Infos Clientes'!$D:$D,MATCH('Detalhe Por UC'!C387,'Infos Clientes'!B:B,0))</f>
        <v>IGREJA DO EVANGELHO QUADRANGULAR</v>
      </c>
      <c r="B387" s="106" t="str">
        <f>INDEX('Infos Clientes'!$F:$F,MATCH('Detalhe Por UC'!C387,'Infos Clientes'!B:B,0))</f>
        <v>62.955.505/0151-99</v>
      </c>
      <c r="C387" s="118" t="s">
        <v>168</v>
      </c>
      <c r="D387" t="s">
        <v>351</v>
      </c>
      <c r="E387" s="1" t="s">
        <v>352</v>
      </c>
      <c r="F387" s="56" t="str">
        <f>INDEX('Infos Clientes'!$I:$I,MATCH('Detalhe Por UC'!C387,'Infos Clientes'!B:B,0))</f>
        <v>BT</v>
      </c>
      <c r="G387" s="56" t="str">
        <f>INDEX('Infos Clientes'!$J:$J,MATCH('Detalhe Por UC'!C387,'Infos Clientes'!B:B,0))</f>
        <v>trifasico</v>
      </c>
      <c r="H387" s="108" t="s">
        <v>138</v>
      </c>
      <c r="I387" s="58">
        <f>IFERROR(VLOOKUP(C387,'Infos Clientes'!B:E,4,),"")</f>
        <v>306</v>
      </c>
      <c r="J387" s="109">
        <v>0.25</v>
      </c>
      <c r="K387" s="59">
        <f>INDEX('Infos Clientes'!$M:$M,MATCH('Detalhe Por UC'!C387,'Infos Clientes'!B:B,0))</f>
        <v>0.25</v>
      </c>
      <c r="L387" s="125">
        <v>0</v>
      </c>
      <c r="M387" s="56">
        <f>INDEX('Infos Clientes'!$N:$N,MATCH('Detalhe Por UC'!C387,'Infos Clientes'!B:B,0))</f>
        <v>0</v>
      </c>
      <c r="N387" s="56">
        <f t="shared" si="192"/>
        <v>0</v>
      </c>
      <c r="O387" s="56">
        <f t="shared" si="193"/>
        <v>7</v>
      </c>
      <c r="P387" s="56">
        <f t="shared" si="194"/>
        <v>0</v>
      </c>
      <c r="Q387" s="61">
        <f>IFERROR(IFERROR(INDEX('Infos Clientes'!$A$2:$V$9884,MATCH($C387,'Infos Clientes'!$B$2:$B$9884,0),MATCH(Q$8,'Infos Clientes'!$A$2:$V$2,0)),"")
+IF(OR(INDEX('Infos Clientes'!$A$2:$V$9884,MATCH($C387,'Infos Clientes'!$B$2:$B$9884,0),MATCH("Tempo de Fidelidade (meses)",'Infos Clientes'!$A$2:$V$2,0))=0,R387&gt;=MAX(R:R)),0,
ROUND((MAX(R:R)-R387)/(365/12),0)),"")</f>
        <v>0</v>
      </c>
      <c r="R387" s="111">
        <v>45748</v>
      </c>
      <c r="S387" s="63">
        <v>0</v>
      </c>
      <c r="T387" s="113" t="str">
        <f>IF($H387="GIROSSOL II",AP387/INDEX('Resumo Operacional'!$A$1:$P$1103,17,MATCH('Detalhe Por UC'!$R387,'Resumo Operacional'!$A$1:$P$1,0)),
IF($H387="GIROSSOL II e III",AP387/INDEX('Resumo Operacional'!$A$1:$P$1103,17,MATCH('Detalhe Por UC'!$R387,'Resumo Operacional'!$A$1:$P$1,0)),
""))</f>
        <v/>
      </c>
      <c r="U387" s="113">
        <f>IF($H387="GIROSSOL III",AP387/INDEX('Resumo Operacional'!$A$1:$P$1103,53,MATCH('Detalhe Por UC'!$R387,'Resumo Operacional'!$A$1:$P$1,0)),
IF($H387="GIROSSOL II e III",AP387/INDEX('Resumo Operacional'!$A$1:$P$1103,53,MATCH('Detalhe Por UC'!$R387,'Resumo Operacional'!$A$1:$P$1,0)),
""))</f>
        <v>0</v>
      </c>
      <c r="V387" s="45"/>
      <c r="W387" s="18"/>
      <c r="X387" s="18">
        <v>1.1215645161290322</v>
      </c>
      <c r="Y387" s="18"/>
      <c r="Z387" s="18">
        <v>1.0209028</v>
      </c>
      <c r="AA387" s="18"/>
      <c r="AB387" s="18">
        <v>620</v>
      </c>
      <c r="AC387" s="18"/>
      <c r="AD387" s="60">
        <v>193</v>
      </c>
      <c r="AE387" s="35"/>
      <c r="AF387" s="60">
        <v>1174</v>
      </c>
      <c r="AG387" s="18">
        <v>0</v>
      </c>
      <c r="AH387" s="18">
        <v>175.78000000000003</v>
      </c>
      <c r="AI387" s="18">
        <v>0</v>
      </c>
      <c r="AJ387" s="18">
        <v>0</v>
      </c>
      <c r="AN387" s="71">
        <f t="shared" si="195"/>
        <v>-193</v>
      </c>
      <c r="AO387" s="71">
        <f t="shared" si="196"/>
        <v>0</v>
      </c>
      <c r="AP387" s="71">
        <f t="shared" si="197"/>
        <v>0</v>
      </c>
      <c r="AQ387" s="72">
        <f>IF(OR($H387="GIROSSOL II",$H387="GIROSSOL II e III"),INDEX('Resumo Operacional'!$A$1:$P$1103,MATCH("Energia Injetada prevista total Fatura da Usina (TUSD)",'Resumo Operacional'!$B$1:$B$1103,0),MATCH('Detalhe Por UC'!$R387,'Resumo Operacional'!$A$1:$P$1,0))*$S387,INDEX('Resumo Operacional'!$A$1:$P$1103,53,MATCH('Detalhe Por UC'!$R387,'Resumo Operacional'!$A$1:$P$1,0))*$S387)</f>
        <v>0</v>
      </c>
      <c r="AR387" s="71">
        <f t="shared" si="198"/>
        <v>0</v>
      </c>
      <c r="AS387" s="73">
        <f t="shared" si="199"/>
        <v>674.11575960000005</v>
      </c>
      <c r="AT387" s="74">
        <f t="shared" si="200"/>
        <v>674.11575960000005</v>
      </c>
      <c r="AU387" s="74">
        <f t="shared" si="201"/>
        <v>0.92024108387096781</v>
      </c>
      <c r="AV387" s="74">
        <f t="shared" si="202"/>
        <v>147.7756803</v>
      </c>
      <c r="AW387" s="74">
        <f t="shared" si="203"/>
        <v>0</v>
      </c>
      <c r="AX387" s="74">
        <f t="shared" si="204"/>
        <v>197.03424039999999</v>
      </c>
      <c r="AY387" s="74">
        <f t="shared" si="205"/>
        <v>147.78</v>
      </c>
      <c r="AZ387" s="117">
        <v>147.78</v>
      </c>
      <c r="BA387" s="117">
        <v>147.78</v>
      </c>
      <c r="BC387" s="73" t="str">
        <f t="shared" si="206"/>
        <v/>
      </c>
      <c r="BD387" s="73">
        <f t="shared" si="207"/>
        <v>871.15000000000009</v>
      </c>
      <c r="BE387" s="73">
        <f t="shared" si="208"/>
        <v>821.89143990000002</v>
      </c>
      <c r="BF387" s="77">
        <f t="shared" si="209"/>
        <v>49.26</v>
      </c>
      <c r="BG387" s="77">
        <f t="shared" si="210"/>
        <v>14.777999999999999</v>
      </c>
      <c r="BH387" s="77">
        <f t="shared" si="211"/>
        <v>197.03424040000002</v>
      </c>
      <c r="BI387" s="78">
        <f t="shared" si="212"/>
        <v>0.25</v>
      </c>
      <c r="BJ387" s="79">
        <f t="shared" si="213"/>
        <v>5.6545945015209771E-2</v>
      </c>
      <c r="BK387" s="80">
        <f t="shared" si="214"/>
        <v>821.89575960000002</v>
      </c>
      <c r="BL387" s="80">
        <f t="shared" si="215"/>
        <v>49.254240400000072</v>
      </c>
      <c r="BM387" s="79">
        <f t="shared" si="216"/>
        <v>5.6539333524651396E-2</v>
      </c>
      <c r="BN387" s="81">
        <f t="shared" si="217"/>
        <v>0.76569948186528503</v>
      </c>
      <c r="BO387" s="82">
        <f t="shared" si="218"/>
        <v>147.78</v>
      </c>
      <c r="BP387" s="81">
        <f t="shared" si="219"/>
        <v>0.76569948186528503</v>
      </c>
      <c r="BQ387" s="81">
        <f t="shared" si="220"/>
        <v>0.86636119799431721</v>
      </c>
      <c r="BR387" s="81">
        <f t="shared" si="221"/>
        <v>1.1215645161290322</v>
      </c>
      <c r="BS387" s="82">
        <f t="shared" si="222"/>
        <v>193</v>
      </c>
      <c r="BT387" s="82">
        <f t="shared" si="223"/>
        <v>216.46195161290322</v>
      </c>
      <c r="BU387" s="82">
        <f t="shared" si="224"/>
        <v>197.03424039999999</v>
      </c>
      <c r="BW387" s="82">
        <f>IFERROR(INDEX('Infos Clientes'!$T:$T,MATCH('Detalhe Por UC'!$C387,'Infos Clientes'!B:B,0)),"")</f>
        <v>718.4545454545455</v>
      </c>
      <c r="BX387" s="83">
        <f t="shared" si="225"/>
        <v>0</v>
      </c>
      <c r="BY387" s="84">
        <f t="shared" si="226"/>
        <v>0.22754225411438989</v>
      </c>
      <c r="BZ387" s="85">
        <f>IF(_xlfn.MINIFS('Detalhe Por UC'!R:R,'Detalhe Por UC'!C:C,C387,'Detalhe Por UC'!AD:AD,"&gt;"&amp;0)=0,"",_xlfn.MINIFS('Detalhe Por UC'!R:R,'Detalhe Por UC'!C:C,C387,'Detalhe Por UC'!AD:AD,"&gt;"&amp;0))</f>
        <v>45658</v>
      </c>
      <c r="CA387" s="114">
        <f ca="1">IF(OR(S387&gt;0,AD387&gt;0),IFERROR(
SUMIFS(INDIRECT("'Infos Clientes'!$W"&amp;INDEX('Infos Clientes'!$C:$C,MATCH(C387,'Infos Clientes'!$H:$H,0))&amp;":$CZ"&amp;INDEX('Infos Clientes'!$C:$C,MATCH(C387,'Infos Clientes'!$H:$H,0))),'Infos Clientes'!$W$2:$CZ$2,"&gt;"&amp;$R387-365,'Infos Clientes'!$W$2:$CZ$2,"&lt;="&amp;$R387)/
COUNTIFS(INDIRECT("'Infos Clientes'!$W"&amp;INDEX('Infos Clientes'!$C:$C,MATCH(C387,'Infos Clientes'!$H:$H,0))&amp;":$CZ"&amp;INDEX('Infos Clientes'!$C:$C,MATCH(C387,'Infos Clientes'!$H:$H,0))),"&gt;="&amp;0,'Infos Clientes'!$W$2:$CZ$2,"&gt;"&amp;$R387-365,'Infos Clientes'!$W$2:$CZ$2,"&lt;="&amp;$R387),""),"")</f>
        <v>589.5</v>
      </c>
      <c r="CB387" s="87">
        <f>VLOOKUP(C387,'Infos Clientes'!B:L,11,0)</f>
        <v>0</v>
      </c>
      <c r="CC387" s="88" t="str">
        <f t="shared" si="227"/>
        <v>A Unidade Consumidora 10/2247256-7 economizou R$49,26 na fatura referente à abr/2025  consumindo 193 kWh em créditos de energia renovável conforme fatura de energia. A economia foi de 25% em relação ao que seria pago para a Energisa considerando os créditos consumidos. Atenção: Mantenha as contas da Energisa em dia para evitar cortes.</v>
      </c>
      <c r="CD387" s="40" t="s">
        <v>75</v>
      </c>
      <c r="CE387" s="18">
        <v>271.88</v>
      </c>
      <c r="CF387" s="115">
        <f t="shared" si="228"/>
        <v>-402.23575960000005</v>
      </c>
    </row>
    <row r="388" spans="1:85" ht="16.2" hidden="1" customHeight="1" x14ac:dyDescent="0.3">
      <c r="A388" s="105" t="str">
        <f>INDEX('Infos Clientes'!$D:$D,MATCH('Detalhe Por UC'!C388,'Infos Clientes'!B:B,0))</f>
        <v>IGREJA DO EVANGELHO QUADRANGULAR</v>
      </c>
      <c r="B388" s="106" t="str">
        <f>INDEX('Infos Clientes'!$F:$F,MATCH('Detalhe Por UC'!C388,'Infos Clientes'!B:B,0))</f>
        <v>62.955.505/0577-89</v>
      </c>
      <c r="C388" s="107" t="s">
        <v>237</v>
      </c>
      <c r="D388" t="s">
        <v>351</v>
      </c>
      <c r="E388" s="1" t="s">
        <v>352</v>
      </c>
      <c r="F388" s="56" t="str">
        <f>INDEX('Infos Clientes'!$I:$I,MATCH('Detalhe Por UC'!C388,'Infos Clientes'!B:B,0))</f>
        <v>BT</v>
      </c>
      <c r="G388" s="56" t="str">
        <f>INDEX('Infos Clientes'!$J:$J,MATCH('Detalhe Por UC'!C388,'Infos Clientes'!B:B,0))</f>
        <v>trifasico</v>
      </c>
      <c r="H388" s="108" t="s">
        <v>138</v>
      </c>
      <c r="I388" s="58">
        <f>IFERROR(VLOOKUP(C388,'Infos Clientes'!B:E,4,),"")</f>
        <v>319</v>
      </c>
      <c r="J388" s="109">
        <v>0.25</v>
      </c>
      <c r="K388" s="59">
        <f>INDEX('Infos Clientes'!$M:$M,MATCH('Detalhe Por UC'!C388,'Infos Clientes'!B:B,0))</f>
        <v>0.25</v>
      </c>
      <c r="L388" s="125">
        <v>0</v>
      </c>
      <c r="M388" s="56">
        <f>INDEX('Infos Clientes'!$N:$N,MATCH('Detalhe Por UC'!C388,'Infos Clientes'!B:B,0))</f>
        <v>0</v>
      </c>
      <c r="N388" s="56">
        <f t="shared" si="192"/>
        <v>0</v>
      </c>
      <c r="O388" s="56">
        <f t="shared" si="193"/>
        <v>4</v>
      </c>
      <c r="P388" s="56">
        <f t="shared" si="194"/>
        <v>0</v>
      </c>
      <c r="Q388" s="61">
        <f>IFERROR(IFERROR(INDEX('Infos Clientes'!$A$2:$V$9884,MATCH($C388,'Infos Clientes'!$B$2:$B$9884,0),MATCH(Q$8,'Infos Clientes'!$A$2:$V$2,0)),"")
+IF(OR(INDEX('Infos Clientes'!$A$2:$V$9884,MATCH($C388,'Infos Clientes'!$B$2:$B$9884,0),MATCH("Tempo de Fidelidade (meses)",'Infos Clientes'!$A$2:$V$2,0))=0,R388&gt;=MAX(R:R)),0,
ROUND((MAX(R:R)-R388)/(365/12),0)),"")</f>
        <v>0</v>
      </c>
      <c r="R388" s="111">
        <v>45748</v>
      </c>
      <c r="S388" s="63">
        <v>0.05</v>
      </c>
      <c r="T388" s="113" t="str">
        <f>IF($H388="GIROSSOL II",AP388/INDEX('Resumo Operacional'!$A$1:$P$1103,17,MATCH('Detalhe Por UC'!$R388,'Resumo Operacional'!$A$1:$P$1,0)),
IF($H388="GIROSSOL II e III",AP388/INDEX('Resumo Operacional'!$A$1:$P$1103,17,MATCH('Detalhe Por UC'!$R388,'Resumo Operacional'!$A$1:$P$1,0)),
""))</f>
        <v/>
      </c>
      <c r="U388" s="113">
        <f>IF($H388="GIROSSOL III",AP388/INDEX('Resumo Operacional'!$A$1:$P$1103,53,MATCH('Detalhe Por UC'!$R388,'Resumo Operacional'!$A$1:$P$1,0)),
IF($H388="GIROSSOL II e III",AP388/INDEX('Resumo Operacional'!$A$1:$P$1103,53,MATCH('Detalhe Por UC'!$R388,'Resumo Operacional'!$A$1:$P$1,0)),
""))</f>
        <v>4.9995164877671402E-2</v>
      </c>
      <c r="V388" s="45"/>
      <c r="W388" s="18"/>
      <c r="X388" s="18">
        <v>1.1197939778129953</v>
      </c>
      <c r="Y388" s="18"/>
      <c r="Z388" s="18">
        <v>0.97241778999999995</v>
      </c>
      <c r="AA388" s="18"/>
      <c r="AB388" s="18">
        <v>631</v>
      </c>
      <c r="AC388" s="18"/>
      <c r="AD388" s="18">
        <v>517</v>
      </c>
      <c r="AE388" s="35"/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N388" s="71">
        <f t="shared" si="195"/>
        <v>0</v>
      </c>
      <c r="AO388" s="71">
        <f t="shared" si="196"/>
        <v>0</v>
      </c>
      <c r="AP388" s="71">
        <f t="shared" si="197"/>
        <v>517</v>
      </c>
      <c r="AQ388" s="72">
        <f>IF(OR($H388="GIROSSOL II",$H388="GIROSSOL II e III"),INDEX('Resumo Operacional'!$A$1:$P$1103,MATCH("Energia Injetada prevista total Fatura da Usina (TUSD)",'Resumo Operacional'!$B$1:$B$1103,0),MATCH('Detalhe Por UC'!$R388,'Resumo Operacional'!$A$1:$P$1,0))*$S388,INDEX('Resumo Operacional'!$A$1:$P$1103,53,MATCH('Detalhe Por UC'!$R388,'Resumo Operacional'!$A$1:$P$1,0))*$S388)</f>
        <v>517.05000000000007</v>
      </c>
      <c r="AR388" s="71">
        <f t="shared" si="198"/>
        <v>-5.0000000000068212E-2</v>
      </c>
      <c r="AS388" s="73">
        <f t="shared" si="199"/>
        <v>203.85000257000007</v>
      </c>
      <c r="AT388" s="74">
        <f t="shared" si="200"/>
        <v>203.85000257000007</v>
      </c>
      <c r="AU388" s="74">
        <f t="shared" si="201"/>
        <v>0.82504160218700462</v>
      </c>
      <c r="AV388" s="74">
        <f t="shared" si="202"/>
        <v>377.05499807249998</v>
      </c>
      <c r="AW388" s="74">
        <f t="shared" si="203"/>
        <v>0</v>
      </c>
      <c r="AX388" s="74">
        <f t="shared" si="204"/>
        <v>502.73999742999996</v>
      </c>
      <c r="AY388" s="74">
        <f t="shared" si="205"/>
        <v>377.05</v>
      </c>
      <c r="AZ388" s="117">
        <v>377.05</v>
      </c>
      <c r="BA388" s="117">
        <v>377.05</v>
      </c>
      <c r="BB388" s="49">
        <v>377.05</v>
      </c>
      <c r="BC388" s="73" t="str">
        <f t="shared" si="206"/>
        <v/>
      </c>
      <c r="BD388" s="73">
        <f t="shared" si="207"/>
        <v>706.59</v>
      </c>
      <c r="BE388" s="73">
        <f t="shared" si="208"/>
        <v>580.9050006425</v>
      </c>
      <c r="BF388" s="77">
        <f t="shared" si="209"/>
        <v>125.68</v>
      </c>
      <c r="BG388" s="77">
        <f t="shared" si="210"/>
        <v>37.704000000000001</v>
      </c>
      <c r="BH388" s="77">
        <f t="shared" si="211"/>
        <v>502.73999742999996</v>
      </c>
      <c r="BI388" s="78">
        <f t="shared" si="212"/>
        <v>0.25</v>
      </c>
      <c r="BJ388" s="79">
        <f t="shared" si="213"/>
        <v>0.17786835364214043</v>
      </c>
      <c r="BK388" s="80">
        <f t="shared" si="214"/>
        <v>580.90000257000008</v>
      </c>
      <c r="BL388" s="80">
        <f t="shared" si="215"/>
        <v>125.68999742999995</v>
      </c>
      <c r="BM388" s="79">
        <f t="shared" si="216"/>
        <v>0.17788250248375995</v>
      </c>
      <c r="BN388" s="81">
        <f t="shared" si="217"/>
        <v>0.72930367504835591</v>
      </c>
      <c r="BO388" s="82">
        <f t="shared" si="218"/>
        <v>377.05</v>
      </c>
      <c r="BP388" s="81">
        <f t="shared" si="219"/>
        <v>0.72930367504835591</v>
      </c>
      <c r="BQ388" s="81">
        <f t="shared" si="220"/>
        <v>0.87667986286135124</v>
      </c>
      <c r="BR388" s="81">
        <f t="shared" si="221"/>
        <v>1.1197939778129953</v>
      </c>
      <c r="BS388" s="82">
        <f t="shared" si="222"/>
        <v>517</v>
      </c>
      <c r="BT388" s="82">
        <f t="shared" si="223"/>
        <v>578.93348652931854</v>
      </c>
      <c r="BU388" s="82">
        <f t="shared" si="224"/>
        <v>502.73999742999996</v>
      </c>
      <c r="BW388" s="82">
        <f>IFERROR(INDEX('Infos Clientes'!$T:$T,MATCH('Detalhe Por UC'!$C388,'Infos Clientes'!B:B,0)),"")</f>
        <v>790</v>
      </c>
      <c r="BX388" s="83">
        <f t="shared" si="225"/>
        <v>0</v>
      </c>
      <c r="BY388" s="84">
        <f t="shared" si="226"/>
        <v>0.21710611038153296</v>
      </c>
      <c r="BZ388" s="85">
        <f>IF(_xlfn.MINIFS('Detalhe Por UC'!R:R,'Detalhe Por UC'!C:C,C388,'Detalhe Por UC'!AD:AD,"&gt;"&amp;0)=0,"",_xlfn.MINIFS('Detalhe Por UC'!R:R,'Detalhe Por UC'!C:C,C388,'Detalhe Por UC'!AD:AD,"&gt;"&amp;0))</f>
        <v>45717</v>
      </c>
      <c r="CA388" s="114">
        <f ca="1">IF(OR(S388&gt;0,AD388&gt;0),IFERROR(
SUMIFS(INDIRECT("'Infos Clientes'!$W"&amp;INDEX('Infos Clientes'!$C:$C,MATCH(C388,'Infos Clientes'!$H:$H,0))&amp;":$CZ"&amp;INDEX('Infos Clientes'!$C:$C,MATCH(C388,'Infos Clientes'!$H:$H,0))),'Infos Clientes'!$W$2:$CZ$2,"&gt;"&amp;$R388-365,'Infos Clientes'!$W$2:$CZ$2,"&lt;="&amp;$R388)/
COUNTIFS(INDIRECT("'Infos Clientes'!$W"&amp;INDEX('Infos Clientes'!$C:$C,MATCH(C388,'Infos Clientes'!$H:$H,0))&amp;":$CZ"&amp;INDEX('Infos Clientes'!$C:$C,MATCH(C388,'Infos Clientes'!$H:$H,0))),"&gt;="&amp;0,'Infos Clientes'!$W$2:$CZ$2,"&gt;"&amp;$R388-365,'Infos Clientes'!$W$2:$CZ$2,"&lt;="&amp;$R388),""),"")</f>
        <v>196.25</v>
      </c>
      <c r="CB388" s="87">
        <f>VLOOKUP(C388,'Infos Clientes'!B:L,11,0)</f>
        <v>0</v>
      </c>
      <c r="CC388" s="88" t="str">
        <f t="shared" si="227"/>
        <v>A Unidade Consumidora 10/925970-6 economizou R$125,68 na fatura referente à abr/2025  consumindo 517 kWh em créditos de energia renovável conforme fatura de energia. A economia foi de 25% em relação ao que seria pago para a Energisa considerando os créditos consumidos. Atenção: Mantenha as contas da Energisa em dia para evitar cortes.</v>
      </c>
      <c r="CD388" s="40" t="s">
        <v>249</v>
      </c>
      <c r="CE388" s="18">
        <v>203.85</v>
      </c>
      <c r="CF388" s="115">
        <f t="shared" si="228"/>
        <v>-2.5700000776396337E-6</v>
      </c>
      <c r="CG388" t="s">
        <v>356</v>
      </c>
    </row>
    <row r="389" spans="1:85" ht="16.2" hidden="1" customHeight="1" x14ac:dyDescent="0.3">
      <c r="A389" s="105" t="str">
        <f>INDEX('Infos Clientes'!$D:$D,MATCH('Detalhe Por UC'!C389,'Infos Clientes'!B:B,0))</f>
        <v>IGREJA DO EVANGELHO QUADRANGULAR</v>
      </c>
      <c r="B389" s="106" t="str">
        <f>INDEX('Infos Clientes'!$F:$F,MATCH('Detalhe Por UC'!C389,'Infos Clientes'!B:B,0))</f>
        <v>62.955.505/3932-07</v>
      </c>
      <c r="C389" s="107" t="s">
        <v>136</v>
      </c>
      <c r="D389" t="s">
        <v>351</v>
      </c>
      <c r="E389" s="1" t="s">
        <v>352</v>
      </c>
      <c r="F389" s="56" t="str">
        <f>INDEX('Infos Clientes'!$I:$I,MATCH('Detalhe Por UC'!C389,'Infos Clientes'!B:B,0))</f>
        <v>BT</v>
      </c>
      <c r="G389" s="56">
        <f>INDEX('Infos Clientes'!$J:$J,MATCH('Detalhe Por UC'!C389,'Infos Clientes'!B:B,0))</f>
        <v>0</v>
      </c>
      <c r="H389" s="108" t="s">
        <v>138</v>
      </c>
      <c r="I389" s="58">
        <f>IFERROR(VLOOKUP(C389,'Infos Clientes'!B:E,4,),"")</f>
        <v>302</v>
      </c>
      <c r="J389" s="109">
        <v>0.25</v>
      </c>
      <c r="K389" s="59">
        <f>INDEX('Infos Clientes'!$M:$M,MATCH('Detalhe Por UC'!C389,'Infos Clientes'!B:B,0))</f>
        <v>0.25</v>
      </c>
      <c r="L389" s="125">
        <v>0</v>
      </c>
      <c r="M389" s="56">
        <f>INDEX('Infos Clientes'!$N:$N,MATCH('Detalhe Por UC'!C389,'Infos Clientes'!B:B,0))</f>
        <v>0</v>
      </c>
      <c r="N389" s="56">
        <f t="shared" si="192"/>
        <v>0</v>
      </c>
      <c r="O389" s="56">
        <f t="shared" si="193"/>
        <v>0</v>
      </c>
      <c r="P389" s="56">
        <f t="shared" si="194"/>
        <v>0</v>
      </c>
      <c r="Q389" s="61">
        <f>IFERROR(IFERROR(INDEX('Infos Clientes'!$A$2:$V$9884,MATCH($C389,'Infos Clientes'!$B$2:$B$9884,0),MATCH(Q$8,'Infos Clientes'!$A$2:$V$2,0)),"")
+IF(OR(INDEX('Infos Clientes'!$A$2:$V$9884,MATCH($C389,'Infos Clientes'!$B$2:$B$9884,0),MATCH("Tempo de Fidelidade (meses)",'Infos Clientes'!$A$2:$V$2,0))=0,R389&gt;=MAX(R:R)),0,
ROUND((MAX(R:R)-R389)/(365/12),0)),"")</f>
        <v>0</v>
      </c>
      <c r="R389" s="111">
        <v>45748</v>
      </c>
      <c r="S389" s="63">
        <v>0</v>
      </c>
      <c r="T389" s="113" t="str">
        <f>IF($H389="GIROSSOL II",AP389/INDEX('Resumo Operacional'!$A$1:$P$1103,17,MATCH('Detalhe Por UC'!$R389,'Resumo Operacional'!$A$1:$P$1,0)),
IF($H389="GIROSSOL II e III",AP389/INDEX('Resumo Operacional'!$A$1:$P$1103,17,MATCH('Detalhe Por UC'!$R389,'Resumo Operacional'!$A$1:$P$1,0)),
""))</f>
        <v/>
      </c>
      <c r="U389" s="113">
        <f>IF($H389="GIROSSOL III",AP389/INDEX('Resumo Operacional'!$A$1:$P$1103,53,MATCH('Detalhe Por UC'!$R389,'Resumo Operacional'!$A$1:$P$1,0)),
IF($H389="GIROSSOL II e III",AP389/INDEX('Resumo Operacional'!$A$1:$P$1103,53,MATCH('Detalhe Por UC'!$R389,'Resumo Operacional'!$A$1:$P$1,0)),
""))</f>
        <v>0</v>
      </c>
      <c r="V389" s="45"/>
      <c r="W389" s="18"/>
      <c r="X389" s="18"/>
      <c r="Y389" s="18"/>
      <c r="Z389" s="18"/>
      <c r="AA389" s="18"/>
      <c r="AB389" s="18"/>
      <c r="AC389" s="18"/>
      <c r="AD389" s="18"/>
      <c r="AE389" s="35"/>
      <c r="AF389" s="18"/>
      <c r="AG389" s="18"/>
      <c r="AH389" s="18"/>
      <c r="AI389" s="18"/>
      <c r="AJ389" s="18"/>
      <c r="AN389" s="71" t="str">
        <f t="shared" si="195"/>
        <v/>
      </c>
      <c r="AO389" s="71" t="str">
        <f t="shared" si="196"/>
        <v/>
      </c>
      <c r="AP389" s="71">
        <f t="shared" si="197"/>
        <v>0</v>
      </c>
      <c r="AQ389" s="72">
        <f>IF(OR($H389="GIROSSOL II",$H389="GIROSSOL II e III"),INDEX('Resumo Operacional'!$A$1:$P$1103,MATCH("Energia Injetada prevista total Fatura da Usina (TUSD)",'Resumo Operacional'!$B$1:$B$1103,0),MATCH('Detalhe Por UC'!$R389,'Resumo Operacional'!$A$1:$P$1,0))*$S389,INDEX('Resumo Operacional'!$A$1:$P$1103,53,MATCH('Detalhe Por UC'!$R389,'Resumo Operacional'!$A$1:$P$1,0))*$S389)</f>
        <v>0</v>
      </c>
      <c r="AR389" s="71" t="str">
        <f t="shared" si="198"/>
        <v/>
      </c>
      <c r="AS389" s="73">
        <f t="shared" si="199"/>
        <v>0</v>
      </c>
      <c r="AT389" s="74">
        <f t="shared" si="200"/>
        <v>0</v>
      </c>
      <c r="AU389" s="74" t="str">
        <f t="shared" si="201"/>
        <v/>
      </c>
      <c r="AV389" s="74">
        <f t="shared" si="202"/>
        <v>0</v>
      </c>
      <c r="AW389" s="74">
        <f t="shared" si="203"/>
        <v>0</v>
      </c>
      <c r="AX389" s="74">
        <f t="shared" si="204"/>
        <v>0</v>
      </c>
      <c r="AY389" s="74" t="str">
        <f t="shared" si="205"/>
        <v/>
      </c>
      <c r="AZ389" s="142"/>
      <c r="BA389" s="117">
        <v>0</v>
      </c>
      <c r="BC389" s="73" t="str">
        <f t="shared" si="206"/>
        <v/>
      </c>
      <c r="BD389" s="73">
        <f t="shared" si="207"/>
        <v>0</v>
      </c>
      <c r="BE389" s="73">
        <f t="shared" si="208"/>
        <v>0</v>
      </c>
      <c r="BF389" s="77">
        <f t="shared" si="209"/>
        <v>0</v>
      </c>
      <c r="BG389" s="77">
        <f t="shared" si="210"/>
        <v>0</v>
      </c>
      <c r="BH389" s="77">
        <f t="shared" si="211"/>
        <v>0</v>
      </c>
      <c r="BI389" s="78" t="str">
        <f t="shared" si="212"/>
        <v/>
      </c>
      <c r="BJ389" s="79" t="str">
        <f t="shared" si="213"/>
        <v/>
      </c>
      <c r="BK389" s="80" t="str">
        <f t="shared" si="214"/>
        <v/>
      </c>
      <c r="BL389" s="80" t="str">
        <f t="shared" si="215"/>
        <v/>
      </c>
      <c r="BM389" s="79" t="str">
        <f t="shared" si="216"/>
        <v/>
      </c>
      <c r="BN389" s="81" t="str">
        <f t="shared" si="217"/>
        <v/>
      </c>
      <c r="BO389" s="82" t="str">
        <f t="shared" si="218"/>
        <v/>
      </c>
      <c r="BP389" s="81" t="str">
        <f t="shared" si="219"/>
        <v/>
      </c>
      <c r="BQ389" s="81" t="str">
        <f t="shared" si="220"/>
        <v/>
      </c>
      <c r="BR389" s="81" t="str">
        <f t="shared" si="221"/>
        <v/>
      </c>
      <c r="BS389" s="82">
        <f t="shared" si="222"/>
        <v>0</v>
      </c>
      <c r="BT389" s="82" t="str">
        <f t="shared" si="223"/>
        <v/>
      </c>
      <c r="BU389" s="82">
        <f t="shared" si="224"/>
        <v>0</v>
      </c>
      <c r="BW389" s="82">
        <f>IFERROR(INDEX('Infos Clientes'!$T:$T,MATCH('Detalhe Por UC'!$C389,'Infos Clientes'!B:B,0)),"")</f>
        <v>0</v>
      </c>
      <c r="BX389" s="83">
        <f t="shared" si="225"/>
        <v>0</v>
      </c>
      <c r="BY389" s="84" t="str">
        <f t="shared" si="226"/>
        <v/>
      </c>
      <c r="BZ389" s="85" t="str">
        <f>IF(_xlfn.MINIFS('Detalhe Por UC'!R:R,'Detalhe Por UC'!C:C,C389,'Detalhe Por UC'!AD:AD,"&gt;"&amp;0)=0,"",_xlfn.MINIFS('Detalhe Por UC'!R:R,'Detalhe Por UC'!C:C,C389,'Detalhe Por UC'!AD:AD,"&gt;"&amp;0))</f>
        <v/>
      </c>
      <c r="CA389" s="114" t="str">
        <f ca="1">IF(OR(S389&gt;0,AD389&gt;0),IFERROR(
SUMIFS(INDIRECT("'Infos Clientes'!$W"&amp;INDEX('Infos Clientes'!$C:$C,MATCH(C389,'Infos Clientes'!$H:$H,0))&amp;":$CZ"&amp;INDEX('Infos Clientes'!$C:$C,MATCH(C389,'Infos Clientes'!$H:$H,0))),'Infos Clientes'!$W$2:$CZ$2,"&gt;"&amp;$R389-365,'Infos Clientes'!$W$2:$CZ$2,"&lt;="&amp;$R389)/
COUNTIFS(INDIRECT("'Infos Clientes'!$W"&amp;INDEX('Infos Clientes'!$C:$C,MATCH(C389,'Infos Clientes'!$H:$H,0))&amp;":$CZ"&amp;INDEX('Infos Clientes'!$C:$C,MATCH(C389,'Infos Clientes'!$H:$H,0))),"&gt;="&amp;0,'Infos Clientes'!$W$2:$CZ$2,"&gt;"&amp;$R389-365,'Infos Clientes'!$W$2:$CZ$2,"&lt;="&amp;$R389),""),"")</f>
        <v/>
      </c>
      <c r="CB389" s="87">
        <f>VLOOKUP(C389,'Infos Clientes'!B:L,11,0)</f>
        <v>0</v>
      </c>
      <c r="CC389" s="88" t="str">
        <f t="shared" si="227"/>
        <v>A Unidade Consumidora 10/10731-8 economizou R$0 na fatura referente à abr/2025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E389" s="18" t="e">
        <v>#N/A</v>
      </c>
      <c r="CF389" s="115" t="e">
        <f t="shared" si="228"/>
        <v>#N/A</v>
      </c>
    </row>
    <row r="390" spans="1:85" ht="16.2" hidden="1" customHeight="1" x14ac:dyDescent="0.3">
      <c r="A390" s="105" t="str">
        <f>INDEX('Infos Clientes'!$D:$D,MATCH('Detalhe Por UC'!C390,'Infos Clientes'!B:B,0))</f>
        <v>IGREJA DO EVANGELHO QUADRANGULAR</v>
      </c>
      <c r="B390" s="106" t="str">
        <f>INDEX('Infos Clientes'!$F:$F,MATCH('Detalhe Por UC'!C390,'Infos Clientes'!B:B,0))</f>
        <v>62.955.505/0585-99</v>
      </c>
      <c r="C390" s="31" t="s">
        <v>225</v>
      </c>
      <c r="D390" t="s">
        <v>351</v>
      </c>
      <c r="E390" s="1" t="s">
        <v>352</v>
      </c>
      <c r="F390" s="56" t="str">
        <f>INDEX('Infos Clientes'!$I:$I,MATCH('Detalhe Por UC'!C390,'Infos Clientes'!B:B,0))</f>
        <v>BT</v>
      </c>
      <c r="G390" s="56" t="str">
        <f>INDEX('Infos Clientes'!$J:$J,MATCH('Detalhe Por UC'!C390,'Infos Clientes'!B:B,0))</f>
        <v>trifasico</v>
      </c>
      <c r="H390" s="108" t="s">
        <v>138</v>
      </c>
      <c r="I390" s="58">
        <f>IFERROR(VLOOKUP(C390,'Infos Clientes'!B:E,4,),"")</f>
        <v>302</v>
      </c>
      <c r="J390" s="109">
        <v>0.25</v>
      </c>
      <c r="K390" s="59">
        <f>INDEX('Infos Clientes'!$M:$M,MATCH('Detalhe Por UC'!C390,'Infos Clientes'!B:B,0))</f>
        <v>0.25</v>
      </c>
      <c r="L390" s="125">
        <v>0</v>
      </c>
      <c r="M390" s="56">
        <f>INDEX('Infos Clientes'!$N:$N,MATCH('Detalhe Por UC'!C390,'Infos Clientes'!B:B,0))</f>
        <v>0</v>
      </c>
      <c r="N390" s="56">
        <f t="shared" si="192"/>
        <v>0</v>
      </c>
      <c r="O390" s="56">
        <f t="shared" si="193"/>
        <v>9</v>
      </c>
      <c r="P390" s="56">
        <f t="shared" si="194"/>
        <v>0</v>
      </c>
      <c r="Q390" s="61">
        <f>IFERROR(IFERROR(INDEX('Infos Clientes'!$A$2:$V$9884,MATCH($C390,'Infos Clientes'!$B$2:$B$9884,0),MATCH(Q$8,'Infos Clientes'!$A$2:$V$2,0)),"")
+IF(OR(INDEX('Infos Clientes'!$A$2:$V$9884,MATCH($C390,'Infos Clientes'!$B$2:$B$9884,0),MATCH("Tempo de Fidelidade (meses)",'Infos Clientes'!$A$2:$V$2,0))=0,R390&gt;=MAX(R:R)),0,
ROUND((MAX(R:R)-R390)/(365/12),0)),"")</f>
        <v>0</v>
      </c>
      <c r="R390" s="111">
        <v>45748</v>
      </c>
      <c r="S390" s="63">
        <v>0.02</v>
      </c>
      <c r="T390" s="113" t="str">
        <f>IF($H390="GIROSSOL II",AP390/INDEX('Resumo Operacional'!$A$1:$P$1103,17,MATCH('Detalhe Por UC'!$R390,'Resumo Operacional'!$A$1:$P$1,0)),
IF($H390="GIROSSOL II e III",AP390/INDEX('Resumo Operacional'!$A$1:$P$1103,17,MATCH('Detalhe Por UC'!$R390,'Resumo Operacional'!$A$1:$P$1,0)),
""))</f>
        <v/>
      </c>
      <c r="U390" s="113">
        <f>IF($H390="GIROSSOL III",AP390/INDEX('Resumo Operacional'!$A$1:$P$1103,53,MATCH('Detalhe Por UC'!$R390,'Resumo Operacional'!$A$1:$P$1,0)),
IF($H390="GIROSSOL II e III",AP390/INDEX('Resumo Operacional'!$A$1:$P$1103,53,MATCH('Detalhe Por UC'!$R390,'Resumo Operacional'!$A$1:$P$1,0)),
""))</f>
        <v>2.3208587177255584E-2</v>
      </c>
      <c r="V390" s="45"/>
      <c r="W390" s="18"/>
      <c r="X390" s="18">
        <v>1.1168888888888888</v>
      </c>
      <c r="Y390" s="18"/>
      <c r="Z390" s="18">
        <v>0.97375</v>
      </c>
      <c r="AA390" s="18"/>
      <c r="AB390" s="18">
        <v>405</v>
      </c>
      <c r="AC390" s="18"/>
      <c r="AD390" s="18">
        <v>240</v>
      </c>
      <c r="AE390" s="35"/>
      <c r="AF390" s="18">
        <v>0</v>
      </c>
      <c r="AG390" s="18">
        <v>0</v>
      </c>
      <c r="AH390" s="18">
        <v>90.080000000000013</v>
      </c>
      <c r="AI390" s="18">
        <v>0</v>
      </c>
      <c r="AJ390" s="18">
        <v>0</v>
      </c>
      <c r="AN390" s="71">
        <f t="shared" si="195"/>
        <v>0</v>
      </c>
      <c r="AO390" s="71">
        <f t="shared" si="196"/>
        <v>0</v>
      </c>
      <c r="AP390" s="71">
        <f t="shared" si="197"/>
        <v>240</v>
      </c>
      <c r="AQ390" s="72">
        <f>IF(OR($H390="GIROSSOL II",$H390="GIROSSOL II e III"),INDEX('Resumo Operacional'!$A$1:$P$1103,MATCH("Energia Injetada prevista total Fatura da Usina (TUSD)",'Resumo Operacional'!$B$1:$B$1103,0),MATCH('Detalhe Por UC'!$R390,'Resumo Operacional'!$A$1:$P$1,0))*$S390,INDEX('Resumo Operacional'!$A$1:$P$1103,53,MATCH('Detalhe Por UC'!$R390,'Resumo Operacional'!$A$1:$P$1,0))*$S390)</f>
        <v>206.82</v>
      </c>
      <c r="AR390" s="71">
        <f t="shared" si="198"/>
        <v>33.180000000000007</v>
      </c>
      <c r="AS390" s="73">
        <f t="shared" si="199"/>
        <v>308.72000000000003</v>
      </c>
      <c r="AT390" s="74">
        <f t="shared" si="200"/>
        <v>308.72000000000003</v>
      </c>
      <c r="AU390" s="74">
        <f t="shared" si="201"/>
        <v>0.83061111111111119</v>
      </c>
      <c r="AV390" s="74">
        <f t="shared" si="202"/>
        <v>175.27500000000001</v>
      </c>
      <c r="AW390" s="74">
        <f t="shared" si="203"/>
        <v>0</v>
      </c>
      <c r="AX390" s="74">
        <f t="shared" si="204"/>
        <v>233.7</v>
      </c>
      <c r="AY390" s="74">
        <f t="shared" si="205"/>
        <v>175.28</v>
      </c>
      <c r="AZ390" s="117">
        <v>175.28</v>
      </c>
      <c r="BA390" s="117">
        <v>175.28</v>
      </c>
      <c r="BC390" s="73" t="str">
        <f t="shared" si="206"/>
        <v/>
      </c>
      <c r="BD390" s="73">
        <f t="shared" si="207"/>
        <v>542.41999999999996</v>
      </c>
      <c r="BE390" s="73">
        <f t="shared" si="208"/>
        <v>483.995</v>
      </c>
      <c r="BF390" s="77">
        <f t="shared" si="209"/>
        <v>58.43</v>
      </c>
      <c r="BG390" s="77">
        <f t="shared" si="210"/>
        <v>17.529</v>
      </c>
      <c r="BH390" s="77">
        <f t="shared" si="211"/>
        <v>233.70000000000002</v>
      </c>
      <c r="BI390" s="78">
        <f t="shared" si="212"/>
        <v>0.25</v>
      </c>
      <c r="BJ390" s="79">
        <f t="shared" si="213"/>
        <v>0.10772095424210022</v>
      </c>
      <c r="BK390" s="80">
        <f t="shared" si="214"/>
        <v>484</v>
      </c>
      <c r="BL390" s="80">
        <f t="shared" si="215"/>
        <v>58.419999999999959</v>
      </c>
      <c r="BM390" s="79">
        <f t="shared" si="216"/>
        <v>0.10770251834371883</v>
      </c>
      <c r="BN390" s="81">
        <f t="shared" si="217"/>
        <v>0.73033333333333339</v>
      </c>
      <c r="BO390" s="82">
        <f t="shared" si="218"/>
        <v>175.28</v>
      </c>
      <c r="BP390" s="81">
        <f t="shared" si="219"/>
        <v>0.73033333333333339</v>
      </c>
      <c r="BQ390" s="81">
        <f t="shared" si="220"/>
        <v>0.87347222222222221</v>
      </c>
      <c r="BR390" s="81">
        <f t="shared" si="221"/>
        <v>1.1168888888888888</v>
      </c>
      <c r="BS390" s="82">
        <f t="shared" si="222"/>
        <v>240</v>
      </c>
      <c r="BT390" s="82">
        <f t="shared" si="223"/>
        <v>268.05333333333334</v>
      </c>
      <c r="BU390" s="82">
        <f t="shared" si="224"/>
        <v>233.7</v>
      </c>
      <c r="BW390" s="82">
        <f>IFERROR(INDEX('Infos Clientes'!$T:$T,MATCH('Detalhe Por UC'!$C390,'Infos Clientes'!B:B,0)),"")</f>
        <v>352.63636363636363</v>
      </c>
      <c r="BX390" s="83">
        <f t="shared" si="225"/>
        <v>0</v>
      </c>
      <c r="BY390" s="84">
        <f t="shared" si="226"/>
        <v>0.21794170314365297</v>
      </c>
      <c r="BZ390" s="85">
        <f>IF(_xlfn.MINIFS('Detalhe Por UC'!R:R,'Detalhe Por UC'!C:C,C390,'Detalhe Por UC'!AD:AD,"&gt;"&amp;0)=0,"",_xlfn.MINIFS('Detalhe Por UC'!R:R,'Detalhe Por UC'!C:C,C390,'Detalhe Por UC'!AD:AD,"&gt;"&amp;0))</f>
        <v>45658</v>
      </c>
      <c r="CA390" s="114">
        <f ca="1">IF(OR(S390&gt;0,AD390&gt;0),IFERROR(
SUMIFS(INDIRECT("'Infos Clientes'!$W"&amp;INDEX('Infos Clientes'!$C:$C,MATCH(C390,'Infos Clientes'!$H:$H,0))&amp;":$CZ"&amp;INDEX('Infos Clientes'!$C:$C,MATCH(C390,'Infos Clientes'!$H:$H,0))),'Infos Clientes'!$W$2:$CZ$2,"&gt;"&amp;$R390-365,'Infos Clientes'!$W$2:$CZ$2,"&lt;="&amp;$R390)/
COUNTIFS(INDIRECT("'Infos Clientes'!$W"&amp;INDEX('Infos Clientes'!$C:$C,MATCH(C390,'Infos Clientes'!$H:$H,0))&amp;":$CZ"&amp;INDEX('Infos Clientes'!$C:$C,MATCH(C390,'Infos Clientes'!$H:$H,0))),"&gt;="&amp;0,'Infos Clientes'!$W$2:$CZ$2,"&gt;"&amp;$R390-365,'Infos Clientes'!$W$2:$CZ$2,"&lt;="&amp;$R390),""),"")</f>
        <v>341.58333333333331</v>
      </c>
      <c r="CB390" s="87">
        <f>VLOOKUP(C390,'Infos Clientes'!B:L,11,0)</f>
        <v>0</v>
      </c>
      <c r="CC390" s="88" t="str">
        <f t="shared" si="227"/>
        <v>A Unidade Consumidora 10/76927-3 economizou R$58,43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90" s="40" t="s">
        <v>249</v>
      </c>
      <c r="CE390" s="18">
        <v>308.72000000000003</v>
      </c>
      <c r="CF390" s="115">
        <f t="shared" si="228"/>
        <v>0</v>
      </c>
    </row>
    <row r="391" spans="1:85" ht="16.2" hidden="1" customHeight="1" x14ac:dyDescent="0.3">
      <c r="A391" s="105" t="str">
        <f>INDEX('Infos Clientes'!$D:$D,MATCH('Detalhe Por UC'!C391,'Infos Clientes'!B:B,0))</f>
        <v>IGREJA DO EVANGELHO QUADRANGULAR</v>
      </c>
      <c r="B391" s="106" t="str">
        <f>INDEX('Infos Clientes'!$F:$F,MATCH('Detalhe Por UC'!C391,'Infos Clientes'!B:B,0))</f>
        <v>62.955.505/1138-75</v>
      </c>
      <c r="C391" s="31" t="s">
        <v>157</v>
      </c>
      <c r="D391" t="s">
        <v>351</v>
      </c>
      <c r="E391" s="1" t="s">
        <v>352</v>
      </c>
      <c r="F391" s="56" t="str">
        <f>INDEX('Infos Clientes'!$I:$I,MATCH('Detalhe Por UC'!C391,'Infos Clientes'!B:B,0))</f>
        <v>BT</v>
      </c>
      <c r="G391" s="56" t="str">
        <f>INDEX('Infos Clientes'!$J:$J,MATCH('Detalhe Por UC'!C391,'Infos Clientes'!B:B,0))</f>
        <v>bifasico</v>
      </c>
      <c r="H391" s="108" t="s">
        <v>138</v>
      </c>
      <c r="I391" s="58">
        <f>IFERROR(VLOOKUP(C391,'Infos Clientes'!B:E,4,),"")</f>
        <v>358</v>
      </c>
      <c r="J391" s="109">
        <v>0.25</v>
      </c>
      <c r="K391" s="59">
        <f>INDEX('Infos Clientes'!$M:$M,MATCH('Detalhe Por UC'!C391,'Infos Clientes'!B:B,0))</f>
        <v>0.25</v>
      </c>
      <c r="M391" s="56">
        <f>INDEX('Infos Clientes'!$N:$N,MATCH('Detalhe Por UC'!C391,'Infos Clientes'!B:B,0))</f>
        <v>0</v>
      </c>
      <c r="N391" s="56">
        <f t="shared" si="192"/>
        <v>0</v>
      </c>
      <c r="O391" s="56">
        <f t="shared" si="193"/>
        <v>9</v>
      </c>
      <c r="P391" s="56">
        <f t="shared" si="194"/>
        <v>0</v>
      </c>
      <c r="Q391" s="61">
        <f>IFERROR(IFERROR(INDEX('Infos Clientes'!$A$2:$V$9884,MATCH($C391,'Infos Clientes'!$B$2:$B$9884,0),MATCH(Q$8,'Infos Clientes'!$A$2:$V$2,0)),"")
+IF(OR(INDEX('Infos Clientes'!$A$2:$V$9884,MATCH($C391,'Infos Clientes'!$B$2:$B$9884,0),MATCH("Tempo de Fidelidade (meses)",'Infos Clientes'!$A$2:$V$2,0))=0,R391&gt;=MAX(R:R)),0,
ROUND((MAX(R:R)-R391)/(365/12),0)),"")</f>
        <v>0</v>
      </c>
      <c r="R391" s="111">
        <v>45748</v>
      </c>
      <c r="S391" s="63">
        <v>0.03</v>
      </c>
      <c r="T391" s="113" t="str">
        <f>IF($H391="GIROSSOL II",AP391/INDEX('Resumo Operacional'!$A$1:$P$1103,17,MATCH('Detalhe Por UC'!$R391,'Resumo Operacional'!$A$1:$P$1,0)),
IF($H391="GIROSSOL II e III",AP391/INDEX('Resumo Operacional'!$A$1:$P$1103,17,MATCH('Detalhe Por UC'!$R391,'Resumo Operacional'!$A$1:$P$1,0)),
""))</f>
        <v/>
      </c>
      <c r="U391" s="113">
        <f>IF($H391="GIROSSOL III",AP391/INDEX('Resumo Operacional'!$A$1:$P$1103,53,MATCH('Detalhe Por UC'!$R391,'Resumo Operacional'!$A$1:$P$1,0)),
IF($H391="GIROSSOL II e III",AP391/INDEX('Resumo Operacional'!$A$1:$P$1103,53,MATCH('Detalhe Por UC'!$R391,'Resumo Operacional'!$A$1:$P$1,0)),
""))</f>
        <v>3.4909583212455277E-2</v>
      </c>
      <c r="V391" s="45"/>
      <c r="W391" s="18"/>
      <c r="X391" s="18">
        <v>1.1190736342042755</v>
      </c>
      <c r="Y391" s="18"/>
      <c r="Z391" s="18">
        <v>0.97271468144044326</v>
      </c>
      <c r="AA391" s="18"/>
      <c r="AB391" s="18">
        <v>421</v>
      </c>
      <c r="AC391" s="18"/>
      <c r="AD391" s="18">
        <v>361</v>
      </c>
      <c r="AE391" s="35"/>
      <c r="AF391" s="18">
        <v>0</v>
      </c>
      <c r="AG391" s="18">
        <v>0</v>
      </c>
      <c r="AH391" s="18">
        <v>111.58999999999999</v>
      </c>
      <c r="AI391" s="18">
        <v>0</v>
      </c>
      <c r="AJ391" s="18">
        <v>0</v>
      </c>
      <c r="AN391" s="71">
        <f t="shared" si="195"/>
        <v>0</v>
      </c>
      <c r="AO391" s="71">
        <f t="shared" si="196"/>
        <v>0</v>
      </c>
      <c r="AP391" s="71">
        <f t="shared" si="197"/>
        <v>361</v>
      </c>
      <c r="AQ391" s="72">
        <f>IF(OR($H391="GIROSSOL II",$H391="GIROSSOL II e III"),INDEX('Resumo Operacional'!$A$1:$P$1103,MATCH("Energia Injetada prevista total Fatura da Usina (TUSD)",'Resumo Operacional'!$B$1:$B$1103,0),MATCH('Detalhe Por UC'!$R391,'Resumo Operacional'!$A$1:$P$1,0))*$S391,INDEX('Resumo Operacional'!$A$1:$P$1103,53,MATCH('Detalhe Por UC'!$R391,'Resumo Operacional'!$A$1:$P$1,0))*$S391)</f>
        <v>310.22999999999996</v>
      </c>
      <c r="AR391" s="71">
        <f t="shared" si="198"/>
        <v>50.770000000000039</v>
      </c>
      <c r="AS391" s="73">
        <f t="shared" si="199"/>
        <v>231.56999999999994</v>
      </c>
      <c r="AT391" s="74">
        <f t="shared" si="200"/>
        <v>231.56999999999994</v>
      </c>
      <c r="AU391" s="74">
        <f t="shared" si="201"/>
        <v>0.826355728676611</v>
      </c>
      <c r="AV391" s="74">
        <f t="shared" si="202"/>
        <v>263.36250000000001</v>
      </c>
      <c r="AW391" s="74">
        <f t="shared" si="203"/>
        <v>0</v>
      </c>
      <c r="AX391" s="74">
        <f t="shared" si="204"/>
        <v>351.15000000000003</v>
      </c>
      <c r="AY391" s="74">
        <f t="shared" si="205"/>
        <v>263.36</v>
      </c>
      <c r="AZ391" s="117">
        <v>263.36</v>
      </c>
      <c r="BA391" s="117">
        <v>263.36</v>
      </c>
      <c r="BB391" s="49">
        <v>351.15</v>
      </c>
      <c r="BC391" s="73">
        <f t="shared" si="206"/>
        <v>87.789999999999964</v>
      </c>
      <c r="BD391" s="73">
        <f t="shared" si="207"/>
        <v>582.72</v>
      </c>
      <c r="BE391" s="73">
        <f t="shared" si="208"/>
        <v>494.93249999999995</v>
      </c>
      <c r="BF391" s="77">
        <f t="shared" si="209"/>
        <v>87.79</v>
      </c>
      <c r="BG391" s="77">
        <f t="shared" si="210"/>
        <v>26.337</v>
      </c>
      <c r="BH391" s="77">
        <f t="shared" si="211"/>
        <v>351.15000000000003</v>
      </c>
      <c r="BI391" s="78">
        <f t="shared" si="212"/>
        <v>0.25</v>
      </c>
      <c r="BJ391" s="79">
        <f t="shared" si="213"/>
        <v>0.15065554640307524</v>
      </c>
      <c r="BK391" s="80">
        <f t="shared" si="214"/>
        <v>494.92999999999995</v>
      </c>
      <c r="BL391" s="80">
        <f t="shared" si="215"/>
        <v>87.790000000000077</v>
      </c>
      <c r="BM391" s="79">
        <f t="shared" si="216"/>
        <v>0.15065554640307535</v>
      </c>
      <c r="BN391" s="81">
        <f t="shared" si="217"/>
        <v>0.72952908587257626</v>
      </c>
      <c r="BO391" s="82">
        <f t="shared" si="218"/>
        <v>263.36</v>
      </c>
      <c r="BP391" s="81">
        <f t="shared" si="219"/>
        <v>0.72952908587257626</v>
      </c>
      <c r="BQ391" s="81">
        <f t="shared" si="220"/>
        <v>0.87588803863640852</v>
      </c>
      <c r="BR391" s="81">
        <f t="shared" si="221"/>
        <v>1.1190736342042755</v>
      </c>
      <c r="BS391" s="82">
        <f t="shared" si="222"/>
        <v>361</v>
      </c>
      <c r="BT391" s="82">
        <f t="shared" si="223"/>
        <v>403.98558194774347</v>
      </c>
      <c r="BU391" s="82">
        <f t="shared" si="224"/>
        <v>351.15000000000003</v>
      </c>
      <c r="BW391" s="82">
        <f>IFERROR(INDEX('Infos Clientes'!$T:$T,MATCH('Detalhe Por UC'!$C391,'Infos Clientes'!B:B,0)),"")</f>
        <v>449.81818181818181</v>
      </c>
      <c r="BX391" s="83">
        <f t="shared" si="225"/>
        <v>0</v>
      </c>
      <c r="BY391" s="84">
        <f t="shared" si="226"/>
        <v>0.21730973560179145</v>
      </c>
      <c r="BZ391" s="85">
        <f>IF(_xlfn.MINIFS('Detalhe Por UC'!R:R,'Detalhe Por UC'!C:C,C391,'Detalhe Por UC'!AD:AD,"&gt;"&amp;0)=0,"",_xlfn.MINIFS('Detalhe Por UC'!R:R,'Detalhe Por UC'!C:C,C391,'Detalhe Por UC'!AD:AD,"&gt;"&amp;0))</f>
        <v>45658</v>
      </c>
      <c r="CA391" s="114">
        <f ca="1">IF(OR(S391&gt;0,AD391&gt;0),IFERROR(
SUMIFS(INDIRECT("'Infos Clientes'!$W"&amp;INDEX('Infos Clientes'!$C:$C,MATCH(C391,'Infos Clientes'!$H:$H,0))&amp;":$CZ"&amp;INDEX('Infos Clientes'!$C:$C,MATCH(C391,'Infos Clientes'!$H:$H,0))),'Infos Clientes'!$W$2:$CZ$2,"&gt;"&amp;$R391-365,'Infos Clientes'!$W$2:$CZ$2,"&lt;="&amp;$R391)/
COUNTIFS(INDIRECT("'Infos Clientes'!$W"&amp;INDEX('Infos Clientes'!$C:$C,MATCH(C391,'Infos Clientes'!$H:$H,0))&amp;":$CZ"&amp;INDEX('Infos Clientes'!$C:$C,MATCH(C391,'Infos Clientes'!$H:$H,0))),"&gt;="&amp;0,'Infos Clientes'!$W$2:$CZ$2,"&gt;"&amp;$R391-365,'Infos Clientes'!$W$2:$CZ$2,"&lt;="&amp;$R391),""),"")</f>
        <v>431.5</v>
      </c>
      <c r="CB391" s="87">
        <f>VLOOKUP(C391,'Infos Clientes'!B:L,11,0)</f>
        <v>0</v>
      </c>
      <c r="CC391" s="88" t="str">
        <f t="shared" si="227"/>
        <v>A Unidade Consumidora 10/142353-2 economizou R$87,79 na fatura referente à abr/2025  consumindo 361 kWh em créditos de energia renovável conforme fatura de energia. A economia foi de 25% em relação ao que seria pago para a Energisa considerando os créditos consumidos. Atenção: Mantenha as contas da Energisa em dia para evitar cortes.</v>
      </c>
      <c r="CD391" s="40" t="s">
        <v>40</v>
      </c>
      <c r="CE391" s="18">
        <v>231.57</v>
      </c>
      <c r="CF391" s="115">
        <f t="shared" si="228"/>
        <v>0</v>
      </c>
    </row>
    <row r="392" spans="1:85" ht="16.2" hidden="1" customHeight="1" x14ac:dyDescent="0.3">
      <c r="A392" s="105" t="str">
        <f>INDEX('Infos Clientes'!$D:$D,MATCH('Detalhe Por UC'!C392,'Infos Clientes'!B:B,0))</f>
        <v>IGREJA DO EVANGELHO QUADRANGULAR</v>
      </c>
      <c r="B392" s="106" t="str">
        <f>INDEX('Infos Clientes'!$F:$F,MATCH('Detalhe Por UC'!C392,'Infos Clientes'!B:B,0))</f>
        <v>62.955.505/3574-05</v>
      </c>
      <c r="C392" s="31" t="s">
        <v>203</v>
      </c>
      <c r="D392" t="s">
        <v>351</v>
      </c>
      <c r="E392" s="1" t="s">
        <v>352</v>
      </c>
      <c r="F392" s="56" t="str">
        <f>INDEX('Infos Clientes'!$I:$I,MATCH('Detalhe Por UC'!C392,'Infos Clientes'!B:B,0))</f>
        <v>BT</v>
      </c>
      <c r="G392" s="56" t="str">
        <f>INDEX('Infos Clientes'!$J:$J,MATCH('Detalhe Por UC'!C392,'Infos Clientes'!B:B,0))</f>
        <v>trifasico</v>
      </c>
      <c r="H392" s="108" t="s">
        <v>138</v>
      </c>
      <c r="I392" s="58">
        <f>IFERROR(VLOOKUP(C392,'Infos Clientes'!B:E,4,),"")</f>
        <v>306</v>
      </c>
      <c r="J392" s="109">
        <v>0.25</v>
      </c>
      <c r="K392" s="59">
        <f>INDEX('Infos Clientes'!$M:$M,MATCH('Detalhe Por UC'!C392,'Infos Clientes'!B:B,0))</f>
        <v>0.25</v>
      </c>
      <c r="L392" s="125">
        <v>0</v>
      </c>
      <c r="M392" s="56">
        <f>INDEX('Infos Clientes'!$N:$N,MATCH('Detalhe Por UC'!C392,'Infos Clientes'!B:B,0))</f>
        <v>0</v>
      </c>
      <c r="N392" s="56">
        <f t="shared" si="192"/>
        <v>0</v>
      </c>
      <c r="O392" s="56">
        <f t="shared" si="193"/>
        <v>10</v>
      </c>
      <c r="P392" s="56">
        <f t="shared" si="194"/>
        <v>0</v>
      </c>
      <c r="Q392" s="61">
        <f>IFERROR(IFERROR(INDEX('Infos Clientes'!$A$2:$V$9884,MATCH($C392,'Infos Clientes'!$B$2:$B$9884,0),MATCH(Q$8,'Infos Clientes'!$A$2:$V$2,0)),"")
+IF(OR(INDEX('Infos Clientes'!$A$2:$V$9884,MATCH($C392,'Infos Clientes'!$B$2:$B$9884,0),MATCH("Tempo de Fidelidade (meses)",'Infos Clientes'!$A$2:$V$2,0))=0,R392&gt;=MAX(R:R)),0,
ROUND((MAX(R:R)-R392)/(365/12),0)),"")</f>
        <v>0</v>
      </c>
      <c r="R392" s="111">
        <v>45748</v>
      </c>
      <c r="S392" s="63">
        <v>0.02</v>
      </c>
      <c r="T392" s="113" t="str">
        <f>IF($H392="GIROSSOL II",AP392/INDEX('Resumo Operacional'!$A$1:$P$1103,17,MATCH('Detalhe Por UC'!$R392,'Resumo Operacional'!$A$1:$P$1,0)),
IF($H392="GIROSSOL II e III",AP392/INDEX('Resumo Operacional'!$A$1:$P$1103,17,MATCH('Detalhe Por UC'!$R392,'Resumo Operacional'!$A$1:$P$1,0)),
""))</f>
        <v/>
      </c>
      <c r="U392" s="113">
        <f>IF($H392="GIROSSOL III",AP392/INDEX('Resumo Operacional'!$A$1:$P$1103,53,MATCH('Detalhe Por UC'!$R392,'Resumo Operacional'!$A$1:$P$1,0)),
IF($H392="GIROSSOL II e III",AP392/INDEX('Resumo Operacional'!$A$1:$P$1103,53,MATCH('Detalhe Por UC'!$R392,'Resumo Operacional'!$A$1:$P$1,0)),
""))</f>
        <v>2.3208587177255584E-2</v>
      </c>
      <c r="V392" s="45"/>
      <c r="W392" s="18"/>
      <c r="X392" s="18">
        <v>1.1179043280182233</v>
      </c>
      <c r="Y392" s="18"/>
      <c r="Z392" s="18">
        <v>0.97325000000000006</v>
      </c>
      <c r="AA392" s="18"/>
      <c r="AB392" s="18">
        <v>439</v>
      </c>
      <c r="AC392" s="18"/>
      <c r="AD392" s="18">
        <v>240</v>
      </c>
      <c r="AE392" s="35"/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N392" s="71">
        <f t="shared" si="195"/>
        <v>0</v>
      </c>
      <c r="AO392" s="71">
        <f t="shared" si="196"/>
        <v>0</v>
      </c>
      <c r="AP392" s="71">
        <f t="shared" si="197"/>
        <v>240</v>
      </c>
      <c r="AQ392" s="72">
        <f>IF(OR($H392="GIROSSOL II",$H392="GIROSSOL II e III"),INDEX('Resumo Operacional'!$A$1:$P$1103,MATCH("Energia Injetada prevista total Fatura da Usina (TUSD)",'Resumo Operacional'!$B$1:$B$1103,0),MATCH('Detalhe Por UC'!$R392,'Resumo Operacional'!$A$1:$P$1,0))*$S392,INDEX('Resumo Operacional'!$A$1:$P$1103,53,MATCH('Detalhe Por UC'!$R392,'Resumo Operacional'!$A$1:$P$1,0))*$S392)</f>
        <v>206.82</v>
      </c>
      <c r="AR392" s="71">
        <f t="shared" si="198"/>
        <v>33.180000000000007</v>
      </c>
      <c r="AS392" s="73">
        <f t="shared" si="199"/>
        <v>257.17999999999995</v>
      </c>
      <c r="AT392" s="74">
        <f t="shared" si="200"/>
        <v>257.17999999999995</v>
      </c>
      <c r="AU392" s="74">
        <f t="shared" si="201"/>
        <v>0.82859567198177686</v>
      </c>
      <c r="AV392" s="74">
        <f t="shared" si="202"/>
        <v>175.185</v>
      </c>
      <c r="AW392" s="74">
        <f t="shared" si="203"/>
        <v>0</v>
      </c>
      <c r="AX392" s="74">
        <f t="shared" si="204"/>
        <v>233.58</v>
      </c>
      <c r="AY392" s="74">
        <f t="shared" si="205"/>
        <v>175.19</v>
      </c>
      <c r="AZ392" s="117">
        <v>175.19</v>
      </c>
      <c r="BA392" s="117">
        <v>175.19</v>
      </c>
      <c r="BB392" s="49">
        <v>175.19</v>
      </c>
      <c r="BC392" s="73" t="str">
        <f t="shared" si="206"/>
        <v/>
      </c>
      <c r="BD392" s="73">
        <f t="shared" si="207"/>
        <v>490.76</v>
      </c>
      <c r="BE392" s="73">
        <f t="shared" si="208"/>
        <v>432.36499999999995</v>
      </c>
      <c r="BF392" s="77">
        <f t="shared" si="209"/>
        <v>58.4</v>
      </c>
      <c r="BG392" s="77">
        <f t="shared" si="210"/>
        <v>17.52</v>
      </c>
      <c r="BH392" s="77">
        <f t="shared" si="211"/>
        <v>233.58</v>
      </c>
      <c r="BI392" s="78">
        <f t="shared" si="212"/>
        <v>0.25</v>
      </c>
      <c r="BJ392" s="79">
        <f t="shared" si="213"/>
        <v>0.1189991034314125</v>
      </c>
      <c r="BK392" s="80">
        <f t="shared" si="214"/>
        <v>432.36999999999995</v>
      </c>
      <c r="BL392" s="80">
        <f t="shared" si="215"/>
        <v>58.390000000000043</v>
      </c>
      <c r="BM392" s="79">
        <f t="shared" si="216"/>
        <v>0.11897872687260584</v>
      </c>
      <c r="BN392" s="81">
        <f t="shared" si="217"/>
        <v>0.72995833333333338</v>
      </c>
      <c r="BO392" s="82">
        <f t="shared" si="218"/>
        <v>175.19</v>
      </c>
      <c r="BP392" s="81">
        <f t="shared" si="219"/>
        <v>0.72995833333333338</v>
      </c>
      <c r="BQ392" s="81">
        <f t="shared" si="220"/>
        <v>0.87461266135155658</v>
      </c>
      <c r="BR392" s="81">
        <f t="shared" si="221"/>
        <v>1.1179043280182233</v>
      </c>
      <c r="BS392" s="82">
        <f t="shared" si="222"/>
        <v>240</v>
      </c>
      <c r="BT392" s="82">
        <f t="shared" si="223"/>
        <v>268.29703872437358</v>
      </c>
      <c r="BU392" s="82">
        <f t="shared" si="224"/>
        <v>233.58</v>
      </c>
      <c r="BW392" s="82">
        <f>IFERROR(INDEX('Infos Clientes'!$T:$T,MATCH('Detalhe Por UC'!$C392,'Infos Clientes'!B:B,0)),"")</f>
        <v>378.09090909090907</v>
      </c>
      <c r="BX392" s="83">
        <f t="shared" si="225"/>
        <v>0</v>
      </c>
      <c r="BY392" s="84">
        <f t="shared" si="226"/>
        <v>0.21763192123780803</v>
      </c>
      <c r="BZ392" s="85">
        <f>IF(_xlfn.MINIFS('Detalhe Por UC'!R:R,'Detalhe Por UC'!C:C,C392,'Detalhe Por UC'!AD:AD,"&gt;"&amp;0)=0,"",_xlfn.MINIFS('Detalhe Por UC'!R:R,'Detalhe Por UC'!C:C,C392,'Detalhe Por UC'!AD:AD,"&gt;"&amp;0))</f>
        <v>45658</v>
      </c>
      <c r="CA392" s="114">
        <f ca="1">IF(OR(S392&gt;0,AD392&gt;0),IFERROR(
SUMIFS(INDIRECT("'Infos Clientes'!$W"&amp;INDEX('Infos Clientes'!$C:$C,MATCH(C392,'Infos Clientes'!$H:$H,0))&amp;":$CZ"&amp;INDEX('Infos Clientes'!$C:$C,MATCH(C392,'Infos Clientes'!$H:$H,0))),'Infos Clientes'!$W$2:$CZ$2,"&gt;"&amp;$R392-365,'Infos Clientes'!$W$2:$CZ$2,"&lt;="&amp;$R392)/
COUNTIFS(INDIRECT("'Infos Clientes'!$W"&amp;INDEX('Infos Clientes'!$C:$C,MATCH(C392,'Infos Clientes'!$H:$H,0))&amp;":$CZ"&amp;INDEX('Infos Clientes'!$C:$C,MATCH(C392,'Infos Clientes'!$H:$H,0))),"&gt;="&amp;0,'Infos Clientes'!$W$2:$CZ$2,"&gt;"&amp;$R392-365,'Infos Clientes'!$W$2:$CZ$2,"&lt;="&amp;$R392),""),"")</f>
        <v>340.41666666666669</v>
      </c>
      <c r="CB392" s="87">
        <f>VLOOKUP(C392,'Infos Clientes'!B:L,11,0)</f>
        <v>0</v>
      </c>
      <c r="CC392" s="88" t="str">
        <f t="shared" si="227"/>
        <v>A Unidade Consumidora 10/435964-2 economizou R$58,4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92" s="40" t="s">
        <v>249</v>
      </c>
      <c r="CE392" s="18">
        <v>257.18</v>
      </c>
      <c r="CF392" s="115">
        <f t="shared" si="228"/>
        <v>0</v>
      </c>
    </row>
    <row r="393" spans="1:85" ht="16.2" hidden="1" customHeight="1" x14ac:dyDescent="0.3">
      <c r="A393" s="105" t="str">
        <f>INDEX('Infos Clientes'!$D:$D,MATCH('Detalhe Por UC'!C393,'Infos Clientes'!B:B,0))</f>
        <v>IGREJA DO EVANGELHO QUADRANGULAR</v>
      </c>
      <c r="B393" s="106" t="str">
        <f>INDEX('Infos Clientes'!$F:$F,MATCH('Detalhe Por UC'!C393,'Infos Clientes'!B:B,0))</f>
        <v>62.955.505/0169-18</v>
      </c>
      <c r="C393" s="31" t="s">
        <v>139</v>
      </c>
      <c r="D393" t="s">
        <v>351</v>
      </c>
      <c r="E393" s="1" t="s">
        <v>352</v>
      </c>
      <c r="F393" s="56" t="str">
        <f>INDEX('Infos Clientes'!$I:$I,MATCH('Detalhe Por UC'!C393,'Infos Clientes'!B:B,0))</f>
        <v>BT</v>
      </c>
      <c r="G393" s="56" t="str">
        <f>INDEX('Infos Clientes'!$J:$J,MATCH('Detalhe Por UC'!C393,'Infos Clientes'!B:B,0))</f>
        <v>bifasico</v>
      </c>
      <c r="H393" s="108" t="s">
        <v>138</v>
      </c>
      <c r="I393" s="58">
        <f>IFERROR(VLOOKUP(C393,'Infos Clientes'!B:E,4,),"")</f>
        <v>351</v>
      </c>
      <c r="J393" s="109">
        <v>0.25</v>
      </c>
      <c r="K393" s="59">
        <f>INDEX('Infos Clientes'!$M:$M,MATCH('Detalhe Por UC'!C393,'Infos Clientes'!B:B,0))</f>
        <v>0.25</v>
      </c>
      <c r="L393" s="125">
        <v>0</v>
      </c>
      <c r="M393" s="56">
        <f>INDEX('Infos Clientes'!$N:$N,MATCH('Detalhe Por UC'!C393,'Infos Clientes'!B:B,0))</f>
        <v>0</v>
      </c>
      <c r="N393" s="56">
        <f t="shared" ref="N393:N456" si="229">COUNTIFS(C:C,C393,J:J,L393)</f>
        <v>0</v>
      </c>
      <c r="O393" s="56">
        <f t="shared" ref="O393:O456" si="230">COUNTIFS(C:C,C393,AD:AD,"&gt;0")</f>
        <v>9</v>
      </c>
      <c r="P393" s="56">
        <f t="shared" si="194"/>
        <v>0</v>
      </c>
      <c r="Q393" s="61">
        <f>IFERROR(IFERROR(INDEX('Infos Clientes'!$A$2:$V$9884,MATCH($C393,'Infos Clientes'!$B$2:$B$9884,0),MATCH(Q$8,'Infos Clientes'!$A$2:$V$2,0)),"")
+IF(OR(INDEX('Infos Clientes'!$A$2:$V$9884,MATCH($C393,'Infos Clientes'!$B$2:$B$9884,0),MATCH("Tempo de Fidelidade (meses)",'Infos Clientes'!$A$2:$V$2,0))=0,R393&gt;=MAX(R:R)),0,
ROUND((MAX(R:R)-R393)/(365/12),0)),"")</f>
        <v>0</v>
      </c>
      <c r="R393" s="111">
        <v>45748</v>
      </c>
      <c r="S393" s="63">
        <v>0.03</v>
      </c>
      <c r="T393" s="113" t="str">
        <f>IF($H393="GIROSSOL II",AP393/INDEX('Resumo Operacional'!$A$1:$P$1103,17,MATCH('Detalhe Por UC'!$R393,'Resumo Operacional'!$A$1:$P$1,0)),
IF($H393="GIROSSOL II e III",AP393/INDEX('Resumo Operacional'!$A$1:$P$1103,17,MATCH('Detalhe Por UC'!$R393,'Resumo Operacional'!$A$1:$P$1,0)),
""))</f>
        <v/>
      </c>
      <c r="U393" s="113">
        <f>IF($H393="GIROSSOL III",AP393/INDEX('Resumo Operacional'!$A$1:$P$1103,53,MATCH('Detalhe Por UC'!$R393,'Resumo Operacional'!$A$1:$P$1,0)),
IF($H393="GIROSSOL II e III",AP393/INDEX('Resumo Operacional'!$A$1:$P$1103,53,MATCH('Detalhe Por UC'!$R393,'Resumo Operacional'!$A$1:$P$1,0)),
""))</f>
        <v>3.4909583212455277E-2</v>
      </c>
      <c r="V393" s="45"/>
      <c r="W393" s="18"/>
      <c r="X393" s="18">
        <v>1.1162626262626261</v>
      </c>
      <c r="Y393" s="18"/>
      <c r="Z393" s="18">
        <v>0.97407202216066491</v>
      </c>
      <c r="AA393" s="18"/>
      <c r="AB393" s="18">
        <v>495</v>
      </c>
      <c r="AC393" s="18"/>
      <c r="AD393" s="18">
        <v>361</v>
      </c>
      <c r="AE393" s="35"/>
      <c r="AF393" s="18">
        <v>0</v>
      </c>
      <c r="AG393" s="18">
        <v>0</v>
      </c>
      <c r="AH393" s="18">
        <v>52.27</v>
      </c>
      <c r="AI393" s="18">
        <v>0</v>
      </c>
      <c r="AJ393" s="18">
        <v>0</v>
      </c>
      <c r="AN393" s="71">
        <f t="shared" ref="AN393:AN456" si="231">IF(X393="","",AF393-SUMIFS(AF:AF,$C:$C,$C393,$R:$R,EDATE($R393,-1)))</f>
        <v>0</v>
      </c>
      <c r="AO393" s="71">
        <f t="shared" ref="AO393:AO456" si="232">IF(X393="","",AG393-SUMIFS(AG:AG,$H:$H,$H393,$C:$C,$C393,$R:$R,EDATE($R393,-1)))</f>
        <v>0</v>
      </c>
      <c r="AP393" s="71">
        <f t="shared" ref="AP393:AP456" si="233">IFERROR(IF(D393="CRÉD. CONSUMIDO",SUM(AD393,AE393,AN393,AO393),IF(D393="GERADO",AQ393)),"")</f>
        <v>361</v>
      </c>
      <c r="AQ393" s="72">
        <f>IF(OR($H393="GIROSSOL II",$H393="GIROSSOL II e III"),INDEX('Resumo Operacional'!$A$1:$P$1103,MATCH("Energia Injetada prevista total Fatura da Usina (TUSD)",'Resumo Operacional'!$B$1:$B$1103,0),MATCH('Detalhe Por UC'!$R393,'Resumo Operacional'!$A$1:$P$1,0))*$S393,INDEX('Resumo Operacional'!$A$1:$P$1103,53,MATCH('Detalhe Por UC'!$R393,'Resumo Operacional'!$A$1:$P$1,0))*$S393)</f>
        <v>310.22999999999996</v>
      </c>
      <c r="AR393" s="71">
        <f t="shared" ref="AR393:AR456" si="234">IF(X393="","",AP393-AQ393)</f>
        <v>50.770000000000039</v>
      </c>
      <c r="AS393" s="73">
        <f t="shared" ref="AS393:AS456" si="235">IFERROR((X393*AB393-Z393*AD393+Y393*AC393-AA393*AE393)+AH393+
IF(F393&lt;&gt;"BT",0,
IF(AND(G393="trifasico",AD393=0,AB393&lt;100),X393*(100-(AB393-AD393)),
IF(AND(G393="bifasico",AD393=0,AB393&lt;50),X393*(50-(AB393-AD393)),
IF(AND(G393="monofasico",AD393=0,AB393&lt;30),X393*(30-(AB393-AD393)),0)))),"")</f>
        <v>253.17999999999992</v>
      </c>
      <c r="AT393" s="74">
        <f t="shared" ref="AT393:AT456" si="236">IFERROR(AS393+AI393+AJ393,"")</f>
        <v>253.17999999999992</v>
      </c>
      <c r="AU393" s="74">
        <f t="shared" ref="AU393:AU456" si="237">IFERROR((Z393*AD393+AA393*AE393)/(AD393+AE393)-((X393-Z393)*AD393+(Y393-AA393)*AE393)/(AD393+AE393),"")</f>
        <v>0.83188141805870375</v>
      </c>
      <c r="AV393" s="74">
        <f t="shared" ref="AV393:AV456" si="238">IFERROR(IF(AND(E393="FINAL-Ñ.COMP",D393="CRÉD. CONSUMIDO"),(X393*(1-J393)-(X393-Z393))*AD393+(Y393*(1-J393)-(Y393-AA393))*AE393,
IF(AND(E393="T.COMP",D393="CRÉD. CONSUMIDO"),Z393*(1-J393)*AD393+AA393*(1-J393)*AE393,
IF(AND(E393="T.S.IMP",D393="CRÉD. CONSUMIDO"),V393*(1-J393)*AD393+W393*(1-J393)*AE393,
IF(AND(E393="T.S.IMP",D393="GERADO"),V393*(1-J393)*AQ393+W393*(1-J393)*AQ393,
IF(AND(E393="T.COMP",D393="GERADO"),AU393*(1-J393)*AQ393,
IF(AND(E393="FINAL-Ñ.COMP",D393="GERADO"),(AU393*(1-J393)-(X393-Z393))*AQ393,"ERRO")))))),"")</f>
        <v>263.73</v>
      </c>
      <c r="AW393" s="74">
        <f t="shared" ref="AW393:AW456" si="239">IF(45658=R393,0,IF(
SUMIFS($BA:$BA,$C:$C,$C393,$R:$R,EDATE($R393,-1))
&gt;=0,
SUMIFS(AY:AY,$C:$C,$C393,$R:$R,EDATE($R393,-1))-SUMIFS(BA:BA,$C:$C,$C393,$R:$R,EDATE($R393,-1)),0))</f>
        <v>0</v>
      </c>
      <c r="AX393" s="74">
        <f t="shared" ref="AX393:AX456" si="240">IFERROR(IF(AND(E393="FINAL-Ñ.COMP",D393="CRÉD. CONSUMIDO"),(X393-(X393-Z393))*AD393+(Y393-(Y393-AA393))*AE393,
IF(AND(E393="T.COMP",D393="CRÉD. CONSUMIDO"),Z393*AD393+AA393*AE393,
IF(AND(E393="T.S.IMP",D393="CRÉD. CONSUMIDO"),V393*AD393+W393*AE393,
IF(AND(E393="T.S.IMP",D393="GERADO"),V393*AQ393+W393*AQ393,
IF(AND(E393="T.COMP",D393="GERADO"),AU393*AQ393,
IF(AND(E393="FINAL-Ñ.COMP",D393="GERADO"),(AU393-(X393-Z393))*AQ393,"ERRO"))))))+AW393,"")</f>
        <v>351.64000000000004</v>
      </c>
      <c r="AY393" s="74">
        <f t="shared" ref="AY393:AY456" si="241">IF(AV393=0,IF(AW393=0,"",AW393),IFERROR(ROUND(IF(SUMIFS($BA:$BA,$C:$C,$C393,$R:$R,EDATE($R393,-1))&gt;0,AV393+AW393,AV393),2),""))</f>
        <v>263.73</v>
      </c>
      <c r="AZ393" s="117">
        <v>263.73</v>
      </c>
      <c r="BA393" s="117">
        <v>263.73</v>
      </c>
      <c r="BB393" s="49">
        <v>351.64</v>
      </c>
      <c r="BC393" s="73">
        <f t="shared" ref="BC393:BC456" si="242">IF(BB393&gt;BA393,BB393-BA393,"")</f>
        <v>87.909999999999968</v>
      </c>
      <c r="BD393" s="73">
        <f t="shared" ref="BD393:BD456" si="243">IF(AB393&gt;0,X393*AB393+Y393*AC393+AH393,AH393+
IF(AND(G393="trifasico",AB393-AD393=0),X393*(100-(AB393-AD393)),
IF(AND(G393="bifasico",AB393-AD393=0),X393*(50-(AB393-AD393)),
IF(AND(G393="monofasico",AB393-AD393=0),X393*(30-(AB393-AD393)),0))))</f>
        <v>604.81999999999994</v>
      </c>
      <c r="BE393" s="73">
        <f t="shared" ref="BE393:BE456" si="244">IFERROR(AS393+AV393,"")</f>
        <v>516.91</v>
      </c>
      <c r="BF393" s="77">
        <f t="shared" ref="BF393:BF456" si="245">ROUND(BD393-BE393,2)</f>
        <v>87.91</v>
      </c>
      <c r="BG393" s="77">
        <f t="shared" ref="BG393:BG456" si="246">BF393*0.3</f>
        <v>26.372999999999998</v>
      </c>
      <c r="BH393" s="77">
        <f t="shared" ref="BH393:BH456" si="247">(X393*AD393)-((X393-Z393)*AD393)</f>
        <v>351.64000000000004</v>
      </c>
      <c r="BI393" s="78">
        <f t="shared" ref="BI393:BI456" si="248">IFERROR(ROUND(IFERROR(IF(BF393=0,"",BF393/(AY393+Z393*J393*AD393+AA393*J393*AE393)),0),2),"")</f>
        <v>0.25</v>
      </c>
      <c r="BJ393" s="79">
        <f t="shared" ref="BJ393:BJ456" si="249">IFERROR(BF393/BD393,"")</f>
        <v>0.14534902946331141</v>
      </c>
      <c r="BK393" s="80">
        <f t="shared" ref="BK393:BK456" si="250">IFERROR(AS393+AY393,"")</f>
        <v>516.91</v>
      </c>
      <c r="BL393" s="80">
        <f t="shared" ref="BL393:BL456" si="251">IFERROR(BD393-BK393,"")</f>
        <v>87.909999999999968</v>
      </c>
      <c r="BM393" s="79">
        <f t="shared" ref="BM393:BM456" si="252">IFERROR(IF(BL393=0,"",BL393/BD393),"")</f>
        <v>0.14534902946331135</v>
      </c>
      <c r="BN393" s="81">
        <f t="shared" ref="BN393:BN456" si="253">IFERROR(IF(AD393="","",AY393/(AD393+AE393)),"")</f>
        <v>0.73055401662049868</v>
      </c>
      <c r="BO393" s="82">
        <f t="shared" ref="BO393:BO456" si="254">IF(OR(BN393="",BN393=0),"",BN393*(AD393+AE393))</f>
        <v>263.73</v>
      </c>
      <c r="BP393" s="81">
        <f t="shared" ref="BP393:BP456" si="255">IFERROR(IF(AD393="","",AY393/AD393),"")</f>
        <v>0.73055401662049868</v>
      </c>
      <c r="BQ393" s="81">
        <f t="shared" ref="BQ393:BQ456" si="256">IFERROR(BP393+(X393-Z393),"")</f>
        <v>0.87274462072245984</v>
      </c>
      <c r="BR393" s="81">
        <f t="shared" ref="BR393:BR456" si="257">IFERROR(IF(AD393="","",(X393*AD393+Y393*AE393)/(AD393+AE393)),"")</f>
        <v>1.1162626262626261</v>
      </c>
      <c r="BS393" s="82">
        <f t="shared" ref="BS393:BS456" si="258">IFERROR(IF(D393="gerado",AQ393,AD393),"")</f>
        <v>361</v>
      </c>
      <c r="BT393" s="82">
        <f t="shared" ref="BT393:BT456" si="259">IF(OR(BR393="",BR393=0),"",BR393*(AD393+AE393))</f>
        <v>402.97080808080801</v>
      </c>
      <c r="BU393" s="82">
        <f t="shared" ref="BU393:BU456" si="260">IFERROR(BS393*Z393,"")</f>
        <v>351.64000000000004</v>
      </c>
      <c r="BW393" s="82">
        <f>IFERROR(INDEX('Infos Clientes'!$T:$T,MATCH('Detalhe Por UC'!$C393,'Infos Clientes'!B:B,0)),"")</f>
        <v>547.4545454545455</v>
      </c>
      <c r="BX393" s="83">
        <f t="shared" ref="BX393:BX456" si="261">IFERROR(BW393*Q393,"")</f>
        <v>0</v>
      </c>
      <c r="BY393" s="84">
        <f t="shared" ref="BY393:BY456" si="262">IFERROR((X393-BQ393)/X393,"")</f>
        <v>0.21815476018891014</v>
      </c>
      <c r="BZ393" s="85">
        <f>IF(_xlfn.MINIFS('Detalhe Por UC'!R:R,'Detalhe Por UC'!C:C,C393,'Detalhe Por UC'!AD:AD,"&gt;"&amp;0)=0,"",_xlfn.MINIFS('Detalhe Por UC'!R:R,'Detalhe Por UC'!C:C,C393,'Detalhe Por UC'!AD:AD,"&gt;"&amp;0))</f>
        <v>45658</v>
      </c>
      <c r="CA393" s="114">
        <f ca="1">IF(OR(S393&gt;0,AD393&gt;0),IFERROR(
SUMIFS(INDIRECT("'Infos Clientes'!$W"&amp;INDEX('Infos Clientes'!$C:$C,MATCH(C393,'Infos Clientes'!$H:$H,0))&amp;":$CZ"&amp;INDEX('Infos Clientes'!$C:$C,MATCH(C393,'Infos Clientes'!$H:$H,0))),'Infos Clientes'!$W$2:$CZ$2,"&gt;"&amp;$R393-365,'Infos Clientes'!$W$2:$CZ$2,"&lt;="&amp;$R393)/
COUNTIFS(INDIRECT("'Infos Clientes'!$W"&amp;INDEX('Infos Clientes'!$C:$C,MATCH(C393,'Infos Clientes'!$H:$H,0))&amp;":$CZ"&amp;INDEX('Infos Clientes'!$C:$C,MATCH(C393,'Infos Clientes'!$H:$H,0))),"&gt;="&amp;0,'Infos Clientes'!$W$2:$CZ$2,"&gt;"&amp;$R393-365,'Infos Clientes'!$W$2:$CZ$2,"&lt;="&amp;$R393),""),"")</f>
        <v>503.58333333333331</v>
      </c>
      <c r="CB393" s="87">
        <f>VLOOKUP(C393,'Infos Clientes'!B:L,11,0)</f>
        <v>0</v>
      </c>
      <c r="CC393" s="88" t="str">
        <f t="shared" ref="CC393:CC456" si="263">"A Unidade Consumidora "&amp;C393&amp;" economizou R$"&amp;BF393&amp;" na fatura referente à "&amp;TEXT(R393,"mmm/aaaa")&amp;"  consumindo "&amp;AD393&amp;" kWh em créditos de energia renovável conforme fatura de energia. A economia foi de "&amp;$J393*100&amp;"% em relação ao que seria pago para a Energisa considerando os créditos consumidos. Atenção: Mantenha as contas da Energisa em dia para evitar cortes."</f>
        <v>A Unidade Consumidora 10/1081489-5 economizou R$87,91 na fatura referente à abr/2025  consumindo 361 kWh em créditos de energia renovável conforme fatura de energia. A economia foi de 25% em relação ao que seria pago para a Energisa considerando os créditos consumidos. Atenção: Mantenha as contas da Energisa em dia para evitar cortes.</v>
      </c>
      <c r="CD393" s="40" t="s">
        <v>27</v>
      </c>
      <c r="CE393" s="18">
        <v>253.18</v>
      </c>
      <c r="CF393" s="115">
        <f t="shared" ref="CF393:CF456" si="264">CE393-AT393</f>
        <v>0</v>
      </c>
    </row>
    <row r="394" spans="1:85" ht="16.2" hidden="1" customHeight="1" x14ac:dyDescent="0.3">
      <c r="A394" s="105" t="str">
        <f>INDEX('Infos Clientes'!$D:$D,MATCH('Detalhe Por UC'!C394,'Infos Clientes'!B:B,0))</f>
        <v>IGREJA DO EVANGELHO QUADRANGULAR</v>
      </c>
      <c r="B394" s="106" t="str">
        <f>INDEX('Infos Clientes'!$F:$F,MATCH('Detalhe Por UC'!C394,'Infos Clientes'!B:B,0))</f>
        <v>62.955.505/3124-87</v>
      </c>
      <c r="C394" s="31" t="s">
        <v>160</v>
      </c>
      <c r="D394" t="s">
        <v>351</v>
      </c>
      <c r="E394" s="1" t="s">
        <v>352</v>
      </c>
      <c r="F394" s="56" t="str">
        <f>INDEX('Infos Clientes'!$I:$I,MATCH('Detalhe Por UC'!C394,'Infos Clientes'!B:B,0))</f>
        <v>BT</v>
      </c>
      <c r="G394" s="56" t="str">
        <f>INDEX('Infos Clientes'!$J:$J,MATCH('Detalhe Por UC'!C394,'Infos Clientes'!B:B,0))</f>
        <v>trifasico</v>
      </c>
      <c r="H394" s="108" t="s">
        <v>138</v>
      </c>
      <c r="I394" s="58">
        <f>IFERROR(VLOOKUP(C394,'Infos Clientes'!B:E,4,),"")</f>
        <v>357</v>
      </c>
      <c r="J394" s="109">
        <v>0.25</v>
      </c>
      <c r="K394" s="59">
        <f>INDEX('Infos Clientes'!$M:$M,MATCH('Detalhe Por UC'!C394,'Infos Clientes'!B:B,0))</f>
        <v>0.25</v>
      </c>
      <c r="L394" s="125">
        <v>0</v>
      </c>
      <c r="M394" s="56">
        <f>INDEX('Infos Clientes'!$N:$N,MATCH('Detalhe Por UC'!C394,'Infos Clientes'!B:B,0))</f>
        <v>0</v>
      </c>
      <c r="N394" s="56">
        <f t="shared" si="229"/>
        <v>0</v>
      </c>
      <c r="O394" s="56">
        <f t="shared" si="230"/>
        <v>9</v>
      </c>
      <c r="P394" s="56">
        <f t="shared" ref="P394:P457" si="265">M394-N394</f>
        <v>0</v>
      </c>
      <c r="Q394" s="61">
        <f>IFERROR(IFERROR(INDEX('Infos Clientes'!$A$2:$V$9884,MATCH($C394,'Infos Clientes'!$B$2:$B$9884,0),MATCH(Q$8,'Infos Clientes'!$A$2:$V$2,0)),"")
+IF(OR(INDEX('Infos Clientes'!$A$2:$V$9884,MATCH($C394,'Infos Clientes'!$B$2:$B$9884,0),MATCH("Tempo de Fidelidade (meses)",'Infos Clientes'!$A$2:$V$2,0))=0,R394&gt;=MAX(R:R)),0,
ROUND((MAX(R:R)-R394)/(365/12),0)),"")</f>
        <v>0</v>
      </c>
      <c r="R394" s="111">
        <v>45748</v>
      </c>
      <c r="S394" s="63">
        <v>0.03</v>
      </c>
      <c r="T394" s="113" t="str">
        <f>IF($H394="GIROSSOL II",AP394/INDEX('Resumo Operacional'!$A$1:$P$1103,17,MATCH('Detalhe Por UC'!$R394,'Resumo Operacional'!$A$1:$P$1,0)),
IF($H394="GIROSSOL II e III",AP394/INDEX('Resumo Operacional'!$A$1:$P$1103,17,MATCH('Detalhe Por UC'!$R394,'Resumo Operacional'!$A$1:$P$1,0)),
""))</f>
        <v/>
      </c>
      <c r="U394" s="113">
        <f>IF($H394="GIROSSOL III",AP394/INDEX('Resumo Operacional'!$A$1:$P$1103,53,MATCH('Detalhe Por UC'!$R394,'Resumo Operacional'!$A$1:$P$1,0)),
IF($H394="GIROSSOL II e III",AP394/INDEX('Resumo Operacional'!$A$1:$P$1103,53,MATCH('Detalhe Por UC'!$R394,'Resumo Operacional'!$A$1:$P$1,0)),
""))</f>
        <v>3.4909583212455277E-2</v>
      </c>
      <c r="V394" s="45"/>
      <c r="W394" s="18"/>
      <c r="X394" s="18">
        <v>1.1187080103359173</v>
      </c>
      <c r="Y394" s="18"/>
      <c r="Z394" s="18">
        <v>0.97293604651162791</v>
      </c>
      <c r="AA394" s="18"/>
      <c r="AB394" s="18">
        <v>387</v>
      </c>
      <c r="AC394" s="18"/>
      <c r="AD394" s="18">
        <v>344</v>
      </c>
      <c r="AE394" s="35"/>
      <c r="AF394" s="18">
        <v>17</v>
      </c>
      <c r="AG394" s="18">
        <v>0</v>
      </c>
      <c r="AH394" s="18">
        <v>0</v>
      </c>
      <c r="AI394" s="18">
        <v>0</v>
      </c>
      <c r="AJ394" s="18">
        <v>0</v>
      </c>
      <c r="AN394" s="71">
        <f t="shared" si="231"/>
        <v>17</v>
      </c>
      <c r="AO394" s="71">
        <f t="shared" si="232"/>
        <v>0</v>
      </c>
      <c r="AP394" s="71">
        <f t="shared" si="233"/>
        <v>361</v>
      </c>
      <c r="AQ394" s="72">
        <f>IF(OR($H394="GIROSSOL II",$H394="GIROSSOL II e III"),INDEX('Resumo Operacional'!$A$1:$P$1103,MATCH("Energia Injetada prevista total Fatura da Usina (TUSD)",'Resumo Operacional'!$B$1:$B$1103,0),MATCH('Detalhe Por UC'!$R394,'Resumo Operacional'!$A$1:$P$1,0))*$S394,INDEX('Resumo Operacional'!$A$1:$P$1103,53,MATCH('Detalhe Por UC'!$R394,'Resumo Operacional'!$A$1:$P$1,0))*$S394)</f>
        <v>310.22999999999996</v>
      </c>
      <c r="AR394" s="71">
        <f t="shared" si="234"/>
        <v>50.770000000000039</v>
      </c>
      <c r="AS394" s="73">
        <f t="shared" si="235"/>
        <v>98.25</v>
      </c>
      <c r="AT394" s="74">
        <f t="shared" si="236"/>
        <v>98.25</v>
      </c>
      <c r="AU394" s="74">
        <f t="shared" si="237"/>
        <v>0.82716408268733854</v>
      </c>
      <c r="AV394" s="74">
        <f t="shared" si="238"/>
        <v>251.01749999999998</v>
      </c>
      <c r="AW394" s="74">
        <f t="shared" si="239"/>
        <v>0</v>
      </c>
      <c r="AX394" s="74">
        <f t="shared" si="240"/>
        <v>334.69</v>
      </c>
      <c r="AY394" s="74">
        <f t="shared" si="241"/>
        <v>251.02</v>
      </c>
      <c r="AZ394" s="117">
        <v>251.02</v>
      </c>
      <c r="BA394" s="117">
        <v>251.02</v>
      </c>
      <c r="BB394" s="49">
        <v>251.02</v>
      </c>
      <c r="BC394" s="73" t="str">
        <f t="shared" si="242"/>
        <v/>
      </c>
      <c r="BD394" s="73">
        <f t="shared" si="243"/>
        <v>432.94</v>
      </c>
      <c r="BE394" s="73">
        <f t="shared" si="244"/>
        <v>349.26749999999998</v>
      </c>
      <c r="BF394" s="77">
        <f t="shared" si="245"/>
        <v>83.67</v>
      </c>
      <c r="BG394" s="77">
        <f t="shared" si="246"/>
        <v>25.100999999999999</v>
      </c>
      <c r="BH394" s="77">
        <f t="shared" si="247"/>
        <v>334.69</v>
      </c>
      <c r="BI394" s="78">
        <f t="shared" si="248"/>
        <v>0.25</v>
      </c>
      <c r="BJ394" s="79">
        <f t="shared" si="249"/>
        <v>0.19326003603270661</v>
      </c>
      <c r="BK394" s="80">
        <f t="shared" si="250"/>
        <v>349.27</v>
      </c>
      <c r="BL394" s="80">
        <f t="shared" si="251"/>
        <v>83.670000000000016</v>
      </c>
      <c r="BM394" s="79">
        <f t="shared" si="252"/>
        <v>0.19326003603270664</v>
      </c>
      <c r="BN394" s="81">
        <f t="shared" si="253"/>
        <v>0.7297093023255814</v>
      </c>
      <c r="BO394" s="82">
        <f t="shared" si="254"/>
        <v>251.02</v>
      </c>
      <c r="BP394" s="81">
        <f t="shared" si="255"/>
        <v>0.7297093023255814</v>
      </c>
      <c r="BQ394" s="81">
        <f t="shared" si="256"/>
        <v>0.87548126614987076</v>
      </c>
      <c r="BR394" s="81">
        <f t="shared" si="257"/>
        <v>1.1187080103359173</v>
      </c>
      <c r="BS394" s="82">
        <f t="shared" si="258"/>
        <v>344</v>
      </c>
      <c r="BT394" s="82">
        <f t="shared" si="259"/>
        <v>384.83555555555552</v>
      </c>
      <c r="BU394" s="82">
        <f t="shared" si="260"/>
        <v>334.69</v>
      </c>
      <c r="BW394" s="82">
        <f>IFERROR(INDEX('Infos Clientes'!$T:$T,MATCH('Detalhe Por UC'!$C394,'Infos Clientes'!B:B,0)),"")</f>
        <v>495.18181818181819</v>
      </c>
      <c r="BX394" s="83">
        <f t="shared" si="261"/>
        <v>0</v>
      </c>
      <c r="BY394" s="84">
        <f t="shared" si="262"/>
        <v>0.21741754053679493</v>
      </c>
      <c r="BZ394" s="85">
        <f>IF(_xlfn.MINIFS('Detalhe Por UC'!R:R,'Detalhe Por UC'!C:C,C394,'Detalhe Por UC'!AD:AD,"&gt;"&amp;0)=0,"",_xlfn.MINIFS('Detalhe Por UC'!R:R,'Detalhe Por UC'!C:C,C394,'Detalhe Por UC'!AD:AD,"&gt;"&amp;0))</f>
        <v>45658</v>
      </c>
      <c r="CA394" s="114">
        <f ca="1">IF(OR(S394&gt;0,AD394&gt;0),IFERROR(
SUMIFS(INDIRECT("'Infos Clientes'!$W"&amp;INDEX('Infos Clientes'!$C:$C,MATCH(C394,'Infos Clientes'!$H:$H,0))&amp;":$CZ"&amp;INDEX('Infos Clientes'!$C:$C,MATCH(C394,'Infos Clientes'!$H:$H,0))),'Infos Clientes'!$W$2:$CZ$2,"&gt;"&amp;$R394-365,'Infos Clientes'!$W$2:$CZ$2,"&lt;="&amp;$R394)/
COUNTIFS(INDIRECT("'Infos Clientes'!$W"&amp;INDEX('Infos Clientes'!$C:$C,MATCH(C394,'Infos Clientes'!$H:$H,0))&amp;":$CZ"&amp;INDEX('Infos Clientes'!$C:$C,MATCH(C394,'Infos Clientes'!$H:$H,0))),"&gt;="&amp;0,'Infos Clientes'!$W$2:$CZ$2,"&gt;"&amp;$R394-365,'Infos Clientes'!$W$2:$CZ$2,"&lt;="&amp;$R394),""),"")</f>
        <v>453.41666666666669</v>
      </c>
      <c r="CB394" s="87">
        <f>VLOOKUP(C394,'Infos Clientes'!B:L,11,0)</f>
        <v>0</v>
      </c>
      <c r="CC394" s="88" t="str">
        <f t="shared" si="263"/>
        <v>A Unidade Consumidora 10/15297-5 economizou R$83,67 na fatura referente à abr/2025  consumindo 344 kWh em créditos de energia renovável conforme fatura de energia. A economia foi de 25% em relação ao que seria pago para a Energisa considerando os créditos consumidos. Atenção: Mantenha as contas da Energisa em dia para evitar cortes.</v>
      </c>
      <c r="CD394" s="40" t="s">
        <v>40</v>
      </c>
      <c r="CE394" s="18">
        <v>98.25</v>
      </c>
      <c r="CF394" s="115">
        <f t="shared" si="264"/>
        <v>0</v>
      </c>
    </row>
    <row r="395" spans="1:85" ht="16.2" hidden="1" customHeight="1" x14ac:dyDescent="0.3">
      <c r="A395" s="105" t="str">
        <f>INDEX('Infos Clientes'!$D:$D,MATCH('Detalhe Por UC'!C395,'Infos Clientes'!B:B,0))</f>
        <v>IGREJA DO EVANGELHO QUADRANGULAR</v>
      </c>
      <c r="B395" s="106" t="str">
        <f>INDEX('Infos Clientes'!$F:$F,MATCH('Detalhe Por UC'!C395,'Infos Clientes'!B:B,0))</f>
        <v>62.955.505/1224-32</v>
      </c>
      <c r="C395" s="31" t="s">
        <v>234</v>
      </c>
      <c r="D395" t="s">
        <v>351</v>
      </c>
      <c r="E395" s="1" t="s">
        <v>352</v>
      </c>
      <c r="F395" s="56" t="str">
        <f>INDEX('Infos Clientes'!$I:$I,MATCH('Detalhe Por UC'!C395,'Infos Clientes'!B:B,0))</f>
        <v>BT</v>
      </c>
      <c r="G395" s="56" t="str">
        <f>INDEX('Infos Clientes'!$J:$J,MATCH('Detalhe Por UC'!C395,'Infos Clientes'!B:B,0))</f>
        <v>trifasico</v>
      </c>
      <c r="H395" s="108" t="s">
        <v>138</v>
      </c>
      <c r="I395" s="58">
        <f>IFERROR(VLOOKUP(C395,'Infos Clientes'!B:E,4,),"")</f>
        <v>302</v>
      </c>
      <c r="J395" s="109">
        <v>0.25</v>
      </c>
      <c r="K395" s="59">
        <f>INDEX('Infos Clientes'!$M:$M,MATCH('Detalhe Por UC'!C395,'Infos Clientes'!B:B,0))</f>
        <v>0.25</v>
      </c>
      <c r="L395" s="125">
        <v>0</v>
      </c>
      <c r="M395" s="56">
        <f>INDEX('Infos Clientes'!$N:$N,MATCH('Detalhe Por UC'!C395,'Infos Clientes'!B:B,0))</f>
        <v>0</v>
      </c>
      <c r="N395" s="56">
        <f t="shared" si="229"/>
        <v>0</v>
      </c>
      <c r="O395" s="56">
        <f t="shared" si="230"/>
        <v>7</v>
      </c>
      <c r="P395" s="56">
        <f t="shared" si="265"/>
        <v>0</v>
      </c>
      <c r="Q395" s="61">
        <f>IFERROR(IFERROR(INDEX('Infos Clientes'!$A$2:$V$9884,MATCH($C395,'Infos Clientes'!$B$2:$B$9884,0),MATCH(Q$8,'Infos Clientes'!$A$2:$V$2,0)),"")
+IF(OR(INDEX('Infos Clientes'!$A$2:$V$9884,MATCH($C395,'Infos Clientes'!$B$2:$B$9884,0),MATCH("Tempo de Fidelidade (meses)",'Infos Clientes'!$A$2:$V$2,0))=0,R395&gt;=MAX(R:R)),0,
ROUND((MAX(R:R)-R395)/(365/12),0)),"")</f>
        <v>0</v>
      </c>
      <c r="R395" s="111">
        <v>45748</v>
      </c>
      <c r="S395" s="63">
        <v>0.02</v>
      </c>
      <c r="T395" s="113" t="str">
        <f>IF($H395="GIROSSOL II",AP395/INDEX('Resumo Operacional'!$A$1:$P$1103,17,MATCH('Detalhe Por UC'!$R395,'Resumo Operacional'!$A$1:$P$1,0)),
IF($H395="GIROSSOL II e III",AP395/INDEX('Resumo Operacional'!$A$1:$P$1103,17,MATCH('Detalhe Por UC'!$R395,'Resumo Operacional'!$A$1:$P$1,0)),
""))</f>
        <v/>
      </c>
      <c r="U395" s="113">
        <f>IF($H395="GIROSSOL III",AP395/INDEX('Resumo Operacional'!$A$1:$P$1103,53,MATCH('Detalhe Por UC'!$R395,'Resumo Operacional'!$A$1:$P$1,0)),
IF($H395="GIROSSOL II e III",AP395/INDEX('Resumo Operacional'!$A$1:$P$1103,53,MATCH('Detalhe Por UC'!$R395,'Resumo Operacional'!$A$1:$P$1,0)),
""))</f>
        <v>2.3208587177255584E-2</v>
      </c>
      <c r="V395" s="45"/>
      <c r="W395" s="18"/>
      <c r="X395" s="18">
        <v>1.1190666666666667</v>
      </c>
      <c r="Y395" s="18"/>
      <c r="Z395" s="18">
        <v>0.97270833333333329</v>
      </c>
      <c r="AA395" s="18"/>
      <c r="AB395" s="18">
        <v>600</v>
      </c>
      <c r="AC395" s="18"/>
      <c r="AD395" s="18">
        <v>240</v>
      </c>
      <c r="AE395" s="35"/>
      <c r="AF395" s="18">
        <v>0</v>
      </c>
      <c r="AG395" s="18">
        <v>0</v>
      </c>
      <c r="AH395" s="18">
        <v>147.09</v>
      </c>
      <c r="AI395" s="18">
        <v>0</v>
      </c>
      <c r="AJ395" s="18">
        <v>0</v>
      </c>
      <c r="AN395" s="71">
        <f t="shared" si="231"/>
        <v>0</v>
      </c>
      <c r="AO395" s="71">
        <f t="shared" si="232"/>
        <v>0</v>
      </c>
      <c r="AP395" s="71">
        <f t="shared" si="233"/>
        <v>240</v>
      </c>
      <c r="AQ395" s="72">
        <f>IF(OR($H395="GIROSSOL II",$H395="GIROSSOL II e III"),INDEX('Resumo Operacional'!$A$1:$P$1103,MATCH("Energia Injetada prevista total Fatura da Usina (TUSD)",'Resumo Operacional'!$B$1:$B$1103,0),MATCH('Detalhe Por UC'!$R395,'Resumo Operacional'!$A$1:$P$1,0))*$S395,INDEX('Resumo Operacional'!$A$1:$P$1103,53,MATCH('Detalhe Por UC'!$R395,'Resumo Operacional'!$A$1:$P$1,0))*$S395)</f>
        <v>206.82</v>
      </c>
      <c r="AR395" s="71">
        <f t="shared" si="234"/>
        <v>33.180000000000007</v>
      </c>
      <c r="AS395" s="73">
        <f t="shared" si="235"/>
        <v>585.07999999999993</v>
      </c>
      <c r="AT395" s="74">
        <f t="shared" si="236"/>
        <v>585.07999999999993</v>
      </c>
      <c r="AU395" s="74">
        <f t="shared" si="237"/>
        <v>0.82634999999999992</v>
      </c>
      <c r="AV395" s="74">
        <f t="shared" si="238"/>
        <v>175.08749999999998</v>
      </c>
      <c r="AW395" s="74">
        <f t="shared" si="239"/>
        <v>0</v>
      </c>
      <c r="AX395" s="74">
        <f t="shared" si="240"/>
        <v>233.45</v>
      </c>
      <c r="AY395" s="74">
        <f t="shared" si="241"/>
        <v>175.09</v>
      </c>
      <c r="AZ395" s="117">
        <v>175.09</v>
      </c>
      <c r="BA395" s="117">
        <v>175.09</v>
      </c>
      <c r="BB395" s="49">
        <v>175.09</v>
      </c>
      <c r="BC395" s="73" t="str">
        <f t="shared" si="242"/>
        <v/>
      </c>
      <c r="BD395" s="73">
        <f t="shared" si="243"/>
        <v>818.53</v>
      </c>
      <c r="BE395" s="73">
        <f t="shared" si="244"/>
        <v>760.1674999999999</v>
      </c>
      <c r="BF395" s="77">
        <f t="shared" si="245"/>
        <v>58.36</v>
      </c>
      <c r="BG395" s="77">
        <f t="shared" si="246"/>
        <v>17.507999999999999</v>
      </c>
      <c r="BH395" s="77">
        <f t="shared" si="247"/>
        <v>233.45000000000002</v>
      </c>
      <c r="BI395" s="78">
        <f t="shared" si="248"/>
        <v>0.25</v>
      </c>
      <c r="BJ395" s="79">
        <f t="shared" si="249"/>
        <v>7.1298547395941506E-2</v>
      </c>
      <c r="BK395" s="80">
        <f t="shared" si="250"/>
        <v>760.17</v>
      </c>
      <c r="BL395" s="80">
        <f t="shared" si="251"/>
        <v>58.360000000000014</v>
      </c>
      <c r="BM395" s="79">
        <f t="shared" si="252"/>
        <v>7.1298547395941519E-2</v>
      </c>
      <c r="BN395" s="81">
        <f t="shared" si="253"/>
        <v>0.72954166666666664</v>
      </c>
      <c r="BO395" s="82">
        <f t="shared" si="254"/>
        <v>175.09</v>
      </c>
      <c r="BP395" s="81">
        <f t="shared" si="255"/>
        <v>0.72954166666666664</v>
      </c>
      <c r="BQ395" s="81">
        <f t="shared" si="256"/>
        <v>0.87590000000000001</v>
      </c>
      <c r="BR395" s="81">
        <f t="shared" si="257"/>
        <v>1.1190666666666667</v>
      </c>
      <c r="BS395" s="82">
        <f t="shared" si="258"/>
        <v>240</v>
      </c>
      <c r="BT395" s="82">
        <f t="shared" si="259"/>
        <v>268.57600000000002</v>
      </c>
      <c r="BU395" s="82">
        <f t="shared" si="260"/>
        <v>233.45</v>
      </c>
      <c r="BW395" s="82">
        <f>IFERROR(INDEX('Infos Clientes'!$T:$T,MATCH('Detalhe Por UC'!$C395,'Infos Clientes'!B:B,0)),"")</f>
        <v>426.36363636363637</v>
      </c>
      <c r="BX395" s="83">
        <f t="shared" si="261"/>
        <v>0</v>
      </c>
      <c r="BY395" s="84">
        <f t="shared" si="262"/>
        <v>0.21729417371619206</v>
      </c>
      <c r="BZ395" s="85">
        <f>IF(_xlfn.MINIFS('Detalhe Por UC'!R:R,'Detalhe Por UC'!C:C,C395,'Detalhe Por UC'!AD:AD,"&gt;"&amp;0)=0,"",_xlfn.MINIFS('Detalhe Por UC'!R:R,'Detalhe Por UC'!C:C,C395,'Detalhe Por UC'!AD:AD,"&gt;"&amp;0))</f>
        <v>45658</v>
      </c>
      <c r="CA395" s="114">
        <f ca="1">IF(OR(S395&gt;0,AD395&gt;0),IFERROR(
SUMIFS(INDIRECT("'Infos Clientes'!$W"&amp;INDEX('Infos Clientes'!$C:$C,MATCH(C395,'Infos Clientes'!$H:$H,0))&amp;":$CZ"&amp;INDEX('Infos Clientes'!$C:$C,MATCH(C395,'Infos Clientes'!$H:$H,0))),'Infos Clientes'!$W$2:$CZ$2,"&gt;"&amp;$R395-365,'Infos Clientes'!$W$2:$CZ$2,"&lt;="&amp;$R395)/
COUNTIFS(INDIRECT("'Infos Clientes'!$W"&amp;INDEX('Infos Clientes'!$C:$C,MATCH(C395,'Infos Clientes'!$H:$H,0))&amp;":$CZ"&amp;INDEX('Infos Clientes'!$C:$C,MATCH(C395,'Infos Clientes'!$H:$H,0))),"&gt;="&amp;0,'Infos Clientes'!$W$2:$CZ$2,"&gt;"&amp;$R395-365,'Infos Clientes'!$W$2:$CZ$2,"&lt;="&amp;$R395),""),"")</f>
        <v>409</v>
      </c>
      <c r="CB395" s="87">
        <f>VLOOKUP(C395,'Infos Clientes'!B:L,11,0)</f>
        <v>0</v>
      </c>
      <c r="CC395" s="88" t="str">
        <f t="shared" si="263"/>
        <v>A Unidade Consumidora 10/8777-5 economizou R$58,36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95" s="40" t="s">
        <v>249</v>
      </c>
      <c r="CE395" s="18">
        <v>585.08000000000004</v>
      </c>
      <c r="CF395" s="115">
        <f t="shared" si="264"/>
        <v>0</v>
      </c>
    </row>
    <row r="396" spans="1:85" ht="16.2" hidden="1" customHeight="1" x14ac:dyDescent="0.3">
      <c r="A396" s="105" t="str">
        <f>INDEX('Infos Clientes'!$D:$D,MATCH('Detalhe Por UC'!C396,'Infos Clientes'!B:B,0))</f>
        <v>IGREJA DO EVANGELHO QUADRANGULAR</v>
      </c>
      <c r="B396" s="106" t="str">
        <f>INDEX('Infos Clientes'!$F:$F,MATCH('Detalhe Por UC'!C396,'Infos Clientes'!B:B,0))</f>
        <v>62.955.505/0160-80</v>
      </c>
      <c r="C396" s="31" t="s">
        <v>207</v>
      </c>
      <c r="D396" t="s">
        <v>351</v>
      </c>
      <c r="E396" s="1" t="s">
        <v>352</v>
      </c>
      <c r="F396" s="56" t="str">
        <f>INDEX('Infos Clientes'!$I:$I,MATCH('Detalhe Por UC'!C396,'Infos Clientes'!B:B,0))</f>
        <v>BT</v>
      </c>
      <c r="G396" s="56" t="str">
        <f>INDEX('Infos Clientes'!$J:$J,MATCH('Detalhe Por UC'!C396,'Infos Clientes'!B:B,0))</f>
        <v>trifasico</v>
      </c>
      <c r="H396" s="108" t="s">
        <v>138</v>
      </c>
      <c r="I396" s="58">
        <f>IFERROR(VLOOKUP(C396,'Infos Clientes'!B:E,4,),"")</f>
        <v>357</v>
      </c>
      <c r="J396" s="109">
        <v>0.25</v>
      </c>
      <c r="K396" s="59">
        <f>INDEX('Infos Clientes'!$M:$M,MATCH('Detalhe Por UC'!C396,'Infos Clientes'!B:B,0))</f>
        <v>0.25</v>
      </c>
      <c r="M396" s="56">
        <f>INDEX('Infos Clientes'!$N:$N,MATCH('Detalhe Por UC'!C396,'Infos Clientes'!B:B,0))</f>
        <v>0</v>
      </c>
      <c r="N396" s="56">
        <f t="shared" si="229"/>
        <v>0</v>
      </c>
      <c r="O396" s="56">
        <f t="shared" si="230"/>
        <v>9</v>
      </c>
      <c r="P396" s="56">
        <f t="shared" si="265"/>
        <v>0</v>
      </c>
      <c r="Q396" s="61">
        <f>IFERROR(IFERROR(INDEX('Infos Clientes'!$A$2:$V$9884,MATCH($C396,'Infos Clientes'!$B$2:$B$9884,0),MATCH(Q$8,'Infos Clientes'!$A$2:$V$2,0)),"")
+IF(OR(INDEX('Infos Clientes'!$A$2:$V$9884,MATCH($C396,'Infos Clientes'!$B$2:$B$9884,0),MATCH("Tempo de Fidelidade (meses)",'Infos Clientes'!$A$2:$V$2,0))=0,R396&gt;=MAX(R:R)),0,
ROUND((MAX(R:R)-R396)/(365/12),0)),"")</f>
        <v>0</v>
      </c>
      <c r="R396" s="111">
        <v>45748</v>
      </c>
      <c r="S396" s="63">
        <v>0.03</v>
      </c>
      <c r="T396" s="113" t="str">
        <f>IF($H396="GIROSSOL II",AP396/INDEX('Resumo Operacional'!$A$1:$P$1103,17,MATCH('Detalhe Por UC'!$R396,'Resumo Operacional'!$A$1:$P$1,0)),
IF($H396="GIROSSOL II e III",AP396/INDEX('Resumo Operacional'!$A$1:$P$1103,17,MATCH('Detalhe Por UC'!$R396,'Resumo Operacional'!$A$1:$P$1,0)),
""))</f>
        <v/>
      </c>
      <c r="U396" s="113">
        <f>IF($H396="GIROSSOL III",AP396/INDEX('Resumo Operacional'!$A$1:$P$1103,53,MATCH('Detalhe Por UC'!$R396,'Resumo Operacional'!$A$1:$P$1,0)),
IF($H396="GIROSSOL II e III",AP396/INDEX('Resumo Operacional'!$A$1:$P$1103,53,MATCH('Detalhe Por UC'!$R396,'Resumo Operacional'!$A$1:$P$1,0)),
""))</f>
        <v>3.4909583212455277E-2</v>
      </c>
      <c r="V396" s="45"/>
      <c r="W396" s="18"/>
      <c r="X396" s="18">
        <v>1.1162553191489362</v>
      </c>
      <c r="Y396" s="18"/>
      <c r="Z396" s="18">
        <v>0.97407202216066491</v>
      </c>
      <c r="AA396" s="18"/>
      <c r="AB396" s="18">
        <v>470</v>
      </c>
      <c r="AC396" s="18"/>
      <c r="AD396" s="18">
        <v>361</v>
      </c>
      <c r="AE396" s="35"/>
      <c r="AF396" s="18">
        <v>0</v>
      </c>
      <c r="AG396" s="18">
        <v>0</v>
      </c>
      <c r="AH396" s="18">
        <v>73.540000000000006</v>
      </c>
      <c r="AI396" s="18">
        <v>0</v>
      </c>
      <c r="AJ396" s="18">
        <v>0</v>
      </c>
      <c r="AN396" s="71">
        <f t="shared" si="231"/>
        <v>0</v>
      </c>
      <c r="AO396" s="71">
        <f t="shared" si="232"/>
        <v>0</v>
      </c>
      <c r="AP396" s="71">
        <f t="shared" si="233"/>
        <v>361</v>
      </c>
      <c r="AQ396" s="72">
        <f>IF(OR($H396="GIROSSOL II",$H396="GIROSSOL II e III"),INDEX('Resumo Operacional'!$A$1:$P$1103,MATCH("Energia Injetada prevista total Fatura da Usina (TUSD)",'Resumo Operacional'!$B$1:$B$1103,0),MATCH('Detalhe Por UC'!$R396,'Resumo Operacional'!$A$1:$P$1,0))*$S396,INDEX('Resumo Operacional'!$A$1:$P$1103,53,MATCH('Detalhe Por UC'!$R396,'Resumo Operacional'!$A$1:$P$1,0))*$S396)</f>
        <v>310.22999999999996</v>
      </c>
      <c r="AR396" s="71">
        <f t="shared" si="234"/>
        <v>50.770000000000039</v>
      </c>
      <c r="AS396" s="73">
        <f t="shared" si="235"/>
        <v>246.53999999999996</v>
      </c>
      <c r="AT396" s="74">
        <f t="shared" si="236"/>
        <v>246.53999999999996</v>
      </c>
      <c r="AU396" s="74">
        <f t="shared" si="237"/>
        <v>0.83188872517239365</v>
      </c>
      <c r="AV396" s="74">
        <f t="shared" si="238"/>
        <v>263.73</v>
      </c>
      <c r="AW396" s="74">
        <f t="shared" si="239"/>
        <v>0</v>
      </c>
      <c r="AX396" s="74">
        <f t="shared" si="240"/>
        <v>351.64000000000004</v>
      </c>
      <c r="AY396" s="74">
        <f t="shared" si="241"/>
        <v>263.73</v>
      </c>
      <c r="AZ396" s="117">
        <v>263.73</v>
      </c>
      <c r="BA396" s="117">
        <v>263.73</v>
      </c>
      <c r="BB396" s="49">
        <v>263.73</v>
      </c>
      <c r="BC396" s="73" t="str">
        <f t="shared" si="242"/>
        <v/>
      </c>
      <c r="BD396" s="73">
        <f t="shared" si="243"/>
        <v>598.17999999999995</v>
      </c>
      <c r="BE396" s="73">
        <f t="shared" si="244"/>
        <v>510.27</v>
      </c>
      <c r="BF396" s="77">
        <f t="shared" si="245"/>
        <v>87.91</v>
      </c>
      <c r="BG396" s="77">
        <f t="shared" si="246"/>
        <v>26.372999999999998</v>
      </c>
      <c r="BH396" s="77">
        <f t="shared" si="247"/>
        <v>351.64000000000004</v>
      </c>
      <c r="BI396" s="78">
        <f t="shared" si="248"/>
        <v>0.25</v>
      </c>
      <c r="BJ396" s="79">
        <f t="shared" si="249"/>
        <v>0.14696245277341269</v>
      </c>
      <c r="BK396" s="80">
        <f t="shared" si="250"/>
        <v>510.27</v>
      </c>
      <c r="BL396" s="80">
        <f t="shared" si="251"/>
        <v>87.909999999999968</v>
      </c>
      <c r="BM396" s="79">
        <f t="shared" si="252"/>
        <v>0.14696245277341263</v>
      </c>
      <c r="BN396" s="81">
        <f t="shared" si="253"/>
        <v>0.73055401662049868</v>
      </c>
      <c r="BO396" s="82">
        <f t="shared" si="254"/>
        <v>263.73</v>
      </c>
      <c r="BP396" s="81">
        <f t="shared" si="255"/>
        <v>0.73055401662049868</v>
      </c>
      <c r="BQ396" s="81">
        <f t="shared" si="256"/>
        <v>0.87273731360876994</v>
      </c>
      <c r="BR396" s="81">
        <f t="shared" si="257"/>
        <v>1.1162553191489362</v>
      </c>
      <c r="BS396" s="82">
        <f t="shared" si="258"/>
        <v>361</v>
      </c>
      <c r="BT396" s="82">
        <f t="shared" si="259"/>
        <v>402.96817021276598</v>
      </c>
      <c r="BU396" s="82">
        <f t="shared" si="260"/>
        <v>351.64000000000004</v>
      </c>
      <c r="BW396" s="82">
        <f>IFERROR(INDEX('Infos Clientes'!$T:$T,MATCH('Detalhe Por UC'!$C396,'Infos Clientes'!B:B,0)),"")</f>
        <v>510.45454545454544</v>
      </c>
      <c r="BX396" s="83">
        <f t="shared" si="261"/>
        <v>0</v>
      </c>
      <c r="BY396" s="84">
        <f t="shared" si="262"/>
        <v>0.21815618825075886</v>
      </c>
      <c r="BZ396" s="85">
        <f>IF(_xlfn.MINIFS('Detalhe Por UC'!R:R,'Detalhe Por UC'!C:C,C396,'Detalhe Por UC'!AD:AD,"&gt;"&amp;0)=0,"",_xlfn.MINIFS('Detalhe Por UC'!R:R,'Detalhe Por UC'!C:C,C396,'Detalhe Por UC'!AD:AD,"&gt;"&amp;0))</f>
        <v>45658</v>
      </c>
      <c r="CA396" s="114">
        <f ca="1">IF(OR(S396&gt;0,AD396&gt;0),IFERROR(
SUMIFS(INDIRECT("'Infos Clientes'!$W"&amp;INDEX('Infos Clientes'!$C:$C,MATCH(C396,'Infos Clientes'!$H:$H,0))&amp;":$CZ"&amp;INDEX('Infos Clientes'!$C:$C,MATCH(C396,'Infos Clientes'!$H:$H,0))),'Infos Clientes'!$W$2:$CZ$2,"&gt;"&amp;$R396-365,'Infos Clientes'!$W$2:$CZ$2,"&lt;="&amp;$R396)/
COUNTIFS(INDIRECT("'Infos Clientes'!$W"&amp;INDEX('Infos Clientes'!$C:$C,MATCH(C396,'Infos Clientes'!$H:$H,0))&amp;":$CZ"&amp;INDEX('Infos Clientes'!$C:$C,MATCH(C396,'Infos Clientes'!$H:$H,0))),"&gt;="&amp;0,'Infos Clientes'!$W$2:$CZ$2,"&gt;"&amp;$R396-365,'Infos Clientes'!$W$2:$CZ$2,"&lt;="&amp;$R396),""),"")</f>
        <v>437.58333333333331</v>
      </c>
      <c r="CB396" s="87">
        <f>VLOOKUP(C396,'Infos Clientes'!B:L,11,0)</f>
        <v>0</v>
      </c>
      <c r="CC396" s="88" t="str">
        <f t="shared" si="263"/>
        <v>A Unidade Consumidora 10/489076-0 economizou R$87,91 na fatura referente à abr/2025  consumindo 361 kWh em créditos de energia renovável conforme fatura de energia. A economia foi de 25% em relação ao que seria pago para a Energisa considerando os créditos consumidos. Atenção: Mantenha as contas da Energisa em dia para evitar cortes.</v>
      </c>
      <c r="CD396" s="40" t="s">
        <v>249</v>
      </c>
      <c r="CE396" s="18">
        <v>246.54</v>
      </c>
      <c r="CF396" s="115">
        <f t="shared" si="264"/>
        <v>0</v>
      </c>
    </row>
    <row r="397" spans="1:85" ht="16.2" hidden="1" customHeight="1" x14ac:dyDescent="0.3">
      <c r="A397" s="105" t="str">
        <f>INDEX('Infos Clientes'!$D:$D,MATCH('Detalhe Por UC'!C397,'Infos Clientes'!B:B,0))</f>
        <v>IGREJA DO EVANGELHO QUADRANGULAR</v>
      </c>
      <c r="B397" s="106" t="str">
        <f>INDEX('Infos Clientes'!$F:$F,MATCH('Detalhe Por UC'!C397,'Infos Clientes'!B:B,0))</f>
        <v>62.955.505/3544-81</v>
      </c>
      <c r="C397" s="31" t="s">
        <v>209</v>
      </c>
      <c r="D397" t="s">
        <v>351</v>
      </c>
      <c r="E397" s="1" t="s">
        <v>352</v>
      </c>
      <c r="F397" s="56" t="str">
        <f>INDEX('Infos Clientes'!$I:$I,MATCH('Detalhe Por UC'!C397,'Infos Clientes'!B:B,0))</f>
        <v>BT</v>
      </c>
      <c r="G397" s="56" t="str">
        <f>INDEX('Infos Clientes'!$J:$J,MATCH('Detalhe Por UC'!C397,'Infos Clientes'!B:B,0))</f>
        <v>trifasico</v>
      </c>
      <c r="H397" s="108" t="s">
        <v>138</v>
      </c>
      <c r="I397" s="58">
        <f>IFERROR(VLOOKUP(C397,'Infos Clientes'!B:E,4,),"")</f>
        <v>371</v>
      </c>
      <c r="J397" s="109">
        <v>0.25</v>
      </c>
      <c r="K397" s="59">
        <f>INDEX('Infos Clientes'!$M:$M,MATCH('Detalhe Por UC'!C397,'Infos Clientes'!B:B,0))</f>
        <v>0.25</v>
      </c>
      <c r="L397" s="125">
        <v>0</v>
      </c>
      <c r="M397" s="56">
        <f>INDEX('Infos Clientes'!$N:$N,MATCH('Detalhe Por UC'!C397,'Infos Clientes'!B:B,0))</f>
        <v>0</v>
      </c>
      <c r="N397" s="56">
        <f t="shared" si="229"/>
        <v>0</v>
      </c>
      <c r="O397" s="56">
        <f t="shared" si="230"/>
        <v>8</v>
      </c>
      <c r="P397" s="56">
        <f t="shared" si="265"/>
        <v>0</v>
      </c>
      <c r="Q397" s="61">
        <f>IFERROR(IFERROR(INDEX('Infos Clientes'!$A$2:$V$9884,MATCH($C397,'Infos Clientes'!$B$2:$B$9884,0),MATCH(Q$8,'Infos Clientes'!$A$2:$V$2,0)),"")
+IF(OR(INDEX('Infos Clientes'!$A$2:$V$9884,MATCH($C397,'Infos Clientes'!$B$2:$B$9884,0),MATCH("Tempo de Fidelidade (meses)",'Infos Clientes'!$A$2:$V$2,0))=0,R397&gt;=MAX(R:R)),0,
ROUND((MAX(R:R)-R397)/(365/12),0)),"")</f>
        <v>0</v>
      </c>
      <c r="R397" s="111">
        <v>45748</v>
      </c>
      <c r="S397" s="63">
        <v>0.02</v>
      </c>
      <c r="T397" s="113" t="str">
        <f>IF($H397="GIROSSOL II",AP397/INDEX('Resumo Operacional'!$A$1:$P$1103,17,MATCH('Detalhe Por UC'!$R397,'Resumo Operacional'!$A$1:$P$1,0)),
IF($H397="GIROSSOL II e III",AP397/INDEX('Resumo Operacional'!$A$1:$P$1103,17,MATCH('Detalhe Por UC'!$R397,'Resumo Operacional'!$A$1:$P$1,0)),
""))</f>
        <v/>
      </c>
      <c r="U397" s="113">
        <f>IF($H397="GIROSSOL III",AP397/INDEX('Resumo Operacional'!$A$1:$P$1103,53,MATCH('Detalhe Por UC'!$R397,'Resumo Operacional'!$A$1:$P$1,0)),
IF($H397="GIROSSOL II e III",AP397/INDEX('Resumo Operacional'!$A$1:$P$1103,53,MATCH('Detalhe Por UC'!$R397,'Resumo Operacional'!$A$1:$P$1,0)),
""))</f>
        <v>2.3208587177255584E-2</v>
      </c>
      <c r="V397" s="45"/>
      <c r="W397" s="18"/>
      <c r="X397" s="18">
        <v>1.1179066022544284</v>
      </c>
      <c r="Y397" s="18"/>
      <c r="Z397" s="18">
        <v>0.97325000000000006</v>
      </c>
      <c r="AA397" s="18"/>
      <c r="AB397" s="18">
        <v>621</v>
      </c>
      <c r="AC397" s="18"/>
      <c r="AD397" s="18">
        <v>240</v>
      </c>
      <c r="AE397" s="35"/>
      <c r="AF397" s="18">
        <v>0</v>
      </c>
      <c r="AG397" s="18">
        <v>0</v>
      </c>
      <c r="AH397" s="18">
        <v>71.31</v>
      </c>
      <c r="AI397" s="18">
        <v>0</v>
      </c>
      <c r="AJ397" s="18">
        <v>0</v>
      </c>
      <c r="AN397" s="71">
        <f t="shared" si="231"/>
        <v>0</v>
      </c>
      <c r="AO397" s="71">
        <f t="shared" si="232"/>
        <v>0</v>
      </c>
      <c r="AP397" s="71">
        <f t="shared" si="233"/>
        <v>240</v>
      </c>
      <c r="AQ397" s="72">
        <f>IF(OR($H397="GIROSSOL II",$H397="GIROSSOL II e III"),INDEX('Resumo Operacional'!$A$1:$P$1103,MATCH("Energia Injetada prevista total Fatura da Usina (TUSD)",'Resumo Operacional'!$B$1:$B$1103,0),MATCH('Detalhe Por UC'!$R397,'Resumo Operacional'!$A$1:$P$1,0))*$S397,INDEX('Resumo Operacional'!$A$1:$P$1103,53,MATCH('Detalhe Por UC'!$R397,'Resumo Operacional'!$A$1:$P$1,0))*$S397)</f>
        <v>206.82</v>
      </c>
      <c r="AR397" s="71">
        <f t="shared" si="234"/>
        <v>33.180000000000007</v>
      </c>
      <c r="AS397" s="73">
        <f t="shared" si="235"/>
        <v>531.95000000000005</v>
      </c>
      <c r="AT397" s="74">
        <f t="shared" si="236"/>
        <v>531.95000000000005</v>
      </c>
      <c r="AU397" s="74">
        <f t="shared" si="237"/>
        <v>0.82859339774557172</v>
      </c>
      <c r="AV397" s="74">
        <f t="shared" si="238"/>
        <v>175.185</v>
      </c>
      <c r="AW397" s="74">
        <f t="shared" si="239"/>
        <v>0</v>
      </c>
      <c r="AX397" s="74">
        <f t="shared" si="240"/>
        <v>233.58</v>
      </c>
      <c r="AY397" s="74">
        <f t="shared" si="241"/>
        <v>175.19</v>
      </c>
      <c r="AZ397" s="117">
        <v>175.19</v>
      </c>
      <c r="BA397" s="117">
        <v>175.19</v>
      </c>
      <c r="BB397" s="49">
        <v>175.19</v>
      </c>
      <c r="BC397" s="73" t="str">
        <f t="shared" si="242"/>
        <v/>
      </c>
      <c r="BD397" s="73">
        <f t="shared" si="243"/>
        <v>765.53</v>
      </c>
      <c r="BE397" s="73">
        <f t="shared" si="244"/>
        <v>707.13499999999999</v>
      </c>
      <c r="BF397" s="77">
        <f t="shared" si="245"/>
        <v>58.4</v>
      </c>
      <c r="BG397" s="77">
        <f t="shared" si="246"/>
        <v>17.52</v>
      </c>
      <c r="BH397" s="77">
        <f t="shared" si="247"/>
        <v>233.58</v>
      </c>
      <c r="BI397" s="78">
        <f t="shared" si="248"/>
        <v>0.25</v>
      </c>
      <c r="BJ397" s="79">
        <f t="shared" si="249"/>
        <v>7.6287016838007662E-2</v>
      </c>
      <c r="BK397" s="80">
        <f t="shared" si="250"/>
        <v>707.1400000000001</v>
      </c>
      <c r="BL397" s="80">
        <f t="shared" si="251"/>
        <v>58.389999999999873</v>
      </c>
      <c r="BM397" s="79">
        <f t="shared" si="252"/>
        <v>7.6273953992658516E-2</v>
      </c>
      <c r="BN397" s="81">
        <f t="shared" si="253"/>
        <v>0.72995833333333338</v>
      </c>
      <c r="BO397" s="82">
        <f t="shared" si="254"/>
        <v>175.19</v>
      </c>
      <c r="BP397" s="81">
        <f t="shared" si="255"/>
        <v>0.72995833333333338</v>
      </c>
      <c r="BQ397" s="81">
        <f t="shared" si="256"/>
        <v>0.87461493558776171</v>
      </c>
      <c r="BR397" s="81">
        <f t="shared" si="257"/>
        <v>1.1179066022544284</v>
      </c>
      <c r="BS397" s="82">
        <f t="shared" si="258"/>
        <v>240</v>
      </c>
      <c r="BT397" s="82">
        <f t="shared" si="259"/>
        <v>268.2975845410628</v>
      </c>
      <c r="BU397" s="82">
        <f t="shared" si="260"/>
        <v>233.58</v>
      </c>
      <c r="BW397" s="82">
        <f>IFERROR(INDEX('Infos Clientes'!$T:$T,MATCH('Detalhe Por UC'!$C397,'Infos Clientes'!B:B,0)),"")</f>
        <v>433.54545454545456</v>
      </c>
      <c r="BX397" s="83">
        <f t="shared" si="261"/>
        <v>0</v>
      </c>
      <c r="BY397" s="84">
        <f t="shared" si="262"/>
        <v>0.21763147849384923</v>
      </c>
      <c r="BZ397" s="85">
        <f>IF(_xlfn.MINIFS('Detalhe Por UC'!R:R,'Detalhe Por UC'!C:C,C397,'Detalhe Por UC'!AD:AD,"&gt;"&amp;0)=0,"",_xlfn.MINIFS('Detalhe Por UC'!R:R,'Detalhe Por UC'!C:C,C397,'Detalhe Por UC'!AD:AD,"&gt;"&amp;0))</f>
        <v>45658</v>
      </c>
      <c r="CA397" s="114">
        <f ca="1">IF(OR(S397&gt;0,AD397&gt;0),IFERROR(
SUMIFS(INDIRECT("'Infos Clientes'!$W"&amp;INDEX('Infos Clientes'!$C:$C,MATCH(C397,'Infos Clientes'!$H:$H,0))&amp;":$CZ"&amp;INDEX('Infos Clientes'!$C:$C,MATCH(C397,'Infos Clientes'!$H:$H,0))),'Infos Clientes'!$W$2:$CZ$2,"&gt;"&amp;$R397-365,'Infos Clientes'!$W$2:$CZ$2,"&lt;="&amp;$R397)/
COUNTIFS(INDIRECT("'Infos Clientes'!$W"&amp;INDEX('Infos Clientes'!$C:$C,MATCH(C397,'Infos Clientes'!$H:$H,0))&amp;":$CZ"&amp;INDEX('Infos Clientes'!$C:$C,MATCH(C397,'Infos Clientes'!$H:$H,0))),"&gt;="&amp;0,'Infos Clientes'!$W$2:$CZ$2,"&gt;"&amp;$R397-365,'Infos Clientes'!$W$2:$CZ$2,"&lt;="&amp;$R397),""),"")</f>
        <v>393.91666666666669</v>
      </c>
      <c r="CB397" s="87">
        <f>VLOOKUP(C397,'Infos Clientes'!B:L,11,0)</f>
        <v>0</v>
      </c>
      <c r="CC397" s="88" t="str">
        <f t="shared" si="263"/>
        <v>A Unidade Consumidora 10/504844-2 economizou R$58,4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97" s="40" t="s">
        <v>249</v>
      </c>
      <c r="CE397" s="18">
        <v>531.95000000000005</v>
      </c>
      <c r="CF397" s="115">
        <f t="shared" si="264"/>
        <v>0</v>
      </c>
    </row>
    <row r="398" spans="1:85" ht="16.2" hidden="1" customHeight="1" x14ac:dyDescent="0.3">
      <c r="A398" s="105" t="str">
        <f>INDEX('Infos Clientes'!$D:$D,MATCH('Detalhe Por UC'!C398,'Infos Clientes'!B:B,0))</f>
        <v>IGREJA DO EVANGELHO QUADRANGULAR</v>
      </c>
      <c r="B398" s="106" t="str">
        <f>INDEX('Infos Clientes'!$F:$F,MATCH('Detalhe Por UC'!C398,'Infos Clientes'!B:B,0))</f>
        <v>62.955.505/8432-53</v>
      </c>
      <c r="C398" s="107" t="s">
        <v>178</v>
      </c>
      <c r="D398" t="s">
        <v>351</v>
      </c>
      <c r="E398" s="1" t="s">
        <v>352</v>
      </c>
      <c r="F398" s="56" t="str">
        <f>INDEX('Infos Clientes'!$I:$I,MATCH('Detalhe Por UC'!C398,'Infos Clientes'!B:B,0))</f>
        <v>BT</v>
      </c>
      <c r="G398" s="56" t="str">
        <f>INDEX('Infos Clientes'!$J:$J,MATCH('Detalhe Por UC'!C398,'Infos Clientes'!B:B,0))</f>
        <v>trifasico</v>
      </c>
      <c r="H398" s="108" t="s">
        <v>138</v>
      </c>
      <c r="I398" s="58">
        <f>IFERROR(VLOOKUP(C398,'Infos Clientes'!B:E,4,),"")</f>
        <v>349</v>
      </c>
      <c r="J398" s="109">
        <v>0.25</v>
      </c>
      <c r="K398" s="59">
        <f>INDEX('Infos Clientes'!$M:$M,MATCH('Detalhe Por UC'!C398,'Infos Clientes'!B:B,0))</f>
        <v>0.25</v>
      </c>
      <c r="L398" s="125">
        <v>0</v>
      </c>
      <c r="M398" s="56">
        <f>INDEX('Infos Clientes'!$N:$N,MATCH('Detalhe Por UC'!C398,'Infos Clientes'!B:B,0))</f>
        <v>0</v>
      </c>
      <c r="N398" s="56">
        <f t="shared" si="229"/>
        <v>0</v>
      </c>
      <c r="O398" s="56">
        <f t="shared" si="230"/>
        <v>9</v>
      </c>
      <c r="P398" s="56">
        <f t="shared" si="265"/>
        <v>0</v>
      </c>
      <c r="Q398" s="61">
        <f>IFERROR(IFERROR(INDEX('Infos Clientes'!$A$2:$V$9884,MATCH($C398,'Infos Clientes'!$B$2:$B$9884,0),MATCH(Q$8,'Infos Clientes'!$A$2:$V$2,0)),"")
+IF(OR(INDEX('Infos Clientes'!$A$2:$V$9884,MATCH($C398,'Infos Clientes'!$B$2:$B$9884,0),MATCH("Tempo de Fidelidade (meses)",'Infos Clientes'!$A$2:$V$2,0))=0,R398&gt;=MAX(R:R)),0,
ROUND((MAX(R:R)-R398)/(365/12),0)),"")</f>
        <v>0</v>
      </c>
      <c r="R398" s="111">
        <v>45748</v>
      </c>
      <c r="S398" s="63">
        <v>0.02</v>
      </c>
      <c r="T398" s="113" t="str">
        <f>IF($H398="GIROSSOL II",AP398/INDEX('Resumo Operacional'!$A$1:$P$1103,17,MATCH('Detalhe Por UC'!$R398,'Resumo Operacional'!$A$1:$P$1,0)),
IF($H398="GIROSSOL II e III",AP398/INDEX('Resumo Operacional'!$A$1:$P$1103,17,MATCH('Detalhe Por UC'!$R398,'Resumo Operacional'!$A$1:$P$1,0)),
""))</f>
        <v/>
      </c>
      <c r="U398" s="113">
        <f>IF($H398="GIROSSOL III",AP398/INDEX('Resumo Operacional'!$A$1:$P$1103,53,MATCH('Detalhe Por UC'!$R398,'Resumo Operacional'!$A$1:$P$1,0)),
IF($H398="GIROSSOL II e III",AP398/INDEX('Resumo Operacional'!$A$1:$P$1103,53,MATCH('Detalhe Por UC'!$R398,'Resumo Operacional'!$A$1:$P$1,0)),
""))</f>
        <v>1.9920703993811042E-2</v>
      </c>
      <c r="V398" s="45"/>
      <c r="W398" s="18"/>
      <c r="X398" s="18">
        <v>1.1197682119205299</v>
      </c>
      <c r="Y398" s="18"/>
      <c r="Z398" s="18">
        <v>0.97242718446601939</v>
      </c>
      <c r="AA398" s="18"/>
      <c r="AB398" s="18">
        <v>302</v>
      </c>
      <c r="AC398" s="18"/>
      <c r="AD398" s="18">
        <v>206</v>
      </c>
      <c r="AE398" s="35"/>
      <c r="AF398" s="18">
        <v>0</v>
      </c>
      <c r="AG398" s="18">
        <v>0</v>
      </c>
      <c r="AH398" s="18">
        <v>61.67</v>
      </c>
      <c r="AI398" s="18">
        <v>0</v>
      </c>
      <c r="AJ398" s="18">
        <v>0</v>
      </c>
      <c r="AN398" s="71">
        <f t="shared" si="231"/>
        <v>0</v>
      </c>
      <c r="AO398" s="71">
        <f t="shared" si="232"/>
        <v>0</v>
      </c>
      <c r="AP398" s="71">
        <f t="shared" si="233"/>
        <v>206</v>
      </c>
      <c r="AQ398" s="72">
        <f>IF(OR($H398="GIROSSOL II",$H398="GIROSSOL II e III"),INDEX('Resumo Operacional'!$A$1:$P$1103,MATCH("Energia Injetada prevista total Fatura da Usina (TUSD)",'Resumo Operacional'!$B$1:$B$1103,0),MATCH('Detalhe Por UC'!$R398,'Resumo Operacional'!$A$1:$P$1,0))*$S398,INDEX('Resumo Operacional'!$A$1:$P$1103,53,MATCH('Detalhe Por UC'!$R398,'Resumo Operacional'!$A$1:$P$1,0))*$S398)</f>
        <v>206.82</v>
      </c>
      <c r="AR398" s="71">
        <f t="shared" si="234"/>
        <v>-0.81999999999999318</v>
      </c>
      <c r="AS398" s="73">
        <f t="shared" si="235"/>
        <v>199.52000000000004</v>
      </c>
      <c r="AT398" s="74">
        <f t="shared" si="236"/>
        <v>199.52000000000004</v>
      </c>
      <c r="AU398" s="74">
        <f t="shared" si="237"/>
        <v>0.82508615701150889</v>
      </c>
      <c r="AV398" s="74">
        <f t="shared" si="238"/>
        <v>150.23999999999998</v>
      </c>
      <c r="AW398" s="74">
        <f t="shared" si="239"/>
        <v>0</v>
      </c>
      <c r="AX398" s="74">
        <f t="shared" si="240"/>
        <v>200.32</v>
      </c>
      <c r="AY398" s="74">
        <f t="shared" si="241"/>
        <v>150.24</v>
      </c>
      <c r="AZ398" s="117">
        <v>150.24</v>
      </c>
      <c r="BA398" s="117">
        <v>150.24</v>
      </c>
      <c r="BB398" s="49">
        <v>150.24</v>
      </c>
      <c r="BC398" s="73" t="str">
        <f t="shared" si="242"/>
        <v/>
      </c>
      <c r="BD398" s="73">
        <f t="shared" si="243"/>
        <v>399.84000000000003</v>
      </c>
      <c r="BE398" s="73">
        <f t="shared" si="244"/>
        <v>349.76</v>
      </c>
      <c r="BF398" s="77">
        <f t="shared" si="245"/>
        <v>50.08</v>
      </c>
      <c r="BG398" s="77">
        <f t="shared" si="246"/>
        <v>15.023999999999999</v>
      </c>
      <c r="BH398" s="77">
        <f t="shared" si="247"/>
        <v>200.32</v>
      </c>
      <c r="BI398" s="78">
        <f t="shared" si="248"/>
        <v>0.25</v>
      </c>
      <c r="BJ398" s="79">
        <f t="shared" si="249"/>
        <v>0.12525010004001599</v>
      </c>
      <c r="BK398" s="80">
        <f t="shared" si="250"/>
        <v>349.76000000000005</v>
      </c>
      <c r="BL398" s="80">
        <f t="shared" si="251"/>
        <v>50.079999999999984</v>
      </c>
      <c r="BM398" s="79">
        <f t="shared" si="252"/>
        <v>0.12525010004001597</v>
      </c>
      <c r="BN398" s="81">
        <f t="shared" si="253"/>
        <v>0.72932038834951463</v>
      </c>
      <c r="BO398" s="82">
        <f t="shared" si="254"/>
        <v>150.24</v>
      </c>
      <c r="BP398" s="81">
        <f t="shared" si="255"/>
        <v>0.72932038834951463</v>
      </c>
      <c r="BQ398" s="81">
        <f t="shared" si="256"/>
        <v>0.87666141580402512</v>
      </c>
      <c r="BR398" s="81">
        <f t="shared" si="257"/>
        <v>1.1197682119205299</v>
      </c>
      <c r="BS398" s="82">
        <f t="shared" si="258"/>
        <v>206</v>
      </c>
      <c r="BT398" s="82">
        <f t="shared" si="259"/>
        <v>230.67225165562917</v>
      </c>
      <c r="BU398" s="82">
        <f t="shared" si="260"/>
        <v>200.32</v>
      </c>
      <c r="BW398" s="82">
        <f>IFERROR(INDEX('Infos Clientes'!$T:$T,MATCH('Detalhe Por UC'!$C398,'Infos Clientes'!B:B,0)),"")</f>
        <v>290.18181818181819</v>
      </c>
      <c r="BX398" s="83">
        <f t="shared" si="261"/>
        <v>0</v>
      </c>
      <c r="BY398" s="84">
        <f t="shared" si="262"/>
        <v>0.21710456997127017</v>
      </c>
      <c r="BZ398" s="85">
        <f>IF(_xlfn.MINIFS('Detalhe Por UC'!R:R,'Detalhe Por UC'!C:C,C398,'Detalhe Por UC'!AD:AD,"&gt;"&amp;0)=0,"",_xlfn.MINIFS('Detalhe Por UC'!R:R,'Detalhe Por UC'!C:C,C398,'Detalhe Por UC'!AD:AD,"&gt;"&amp;0))</f>
        <v>45658</v>
      </c>
      <c r="CA398" s="114">
        <f ca="1">IF(OR(S398&gt;0,AD398&gt;0),IFERROR(
SUMIFS(INDIRECT("'Infos Clientes'!$W"&amp;INDEX('Infos Clientes'!$C:$C,MATCH(C398,'Infos Clientes'!$H:$H,0))&amp;":$CZ"&amp;INDEX('Infos Clientes'!$C:$C,MATCH(C398,'Infos Clientes'!$H:$H,0))),'Infos Clientes'!$W$2:$CZ$2,"&gt;"&amp;$R398-365,'Infos Clientes'!$W$2:$CZ$2,"&lt;="&amp;$R398)/
COUNTIFS(INDIRECT("'Infos Clientes'!$W"&amp;INDEX('Infos Clientes'!$C:$C,MATCH(C398,'Infos Clientes'!$H:$H,0))&amp;":$CZ"&amp;INDEX('Infos Clientes'!$C:$C,MATCH(C398,'Infos Clientes'!$H:$H,0))),"&gt;="&amp;0,'Infos Clientes'!$W$2:$CZ$2,"&gt;"&amp;$R398-365,'Infos Clientes'!$W$2:$CZ$2,"&lt;="&amp;$R398),""),"")</f>
        <v>235.25</v>
      </c>
      <c r="CB398" s="87">
        <f>VLOOKUP(C398,'Infos Clientes'!B:L,11,0)</f>
        <v>0</v>
      </c>
      <c r="CC398" s="88" t="str">
        <f t="shared" si="263"/>
        <v>A Unidade Consumidora 10/280638-8 economizou R$50,08 na fatura referente à abr/2025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398" s="40" t="s">
        <v>66</v>
      </c>
      <c r="CE398" s="18">
        <v>199.52</v>
      </c>
      <c r="CF398" s="115">
        <f t="shared" si="264"/>
        <v>0</v>
      </c>
    </row>
    <row r="399" spans="1:85" ht="16.2" hidden="1" customHeight="1" x14ac:dyDescent="0.3">
      <c r="A399" s="105" t="str">
        <f>INDEX('Infos Clientes'!$D:$D,MATCH('Detalhe Por UC'!C399,'Infos Clientes'!B:B,0))</f>
        <v>IGREJA DO EVANGELHO QUADRANGULAR</v>
      </c>
      <c r="B399" s="106" t="str">
        <f>INDEX('Infos Clientes'!$F:$F,MATCH('Detalhe Por UC'!C399,'Infos Clientes'!B:B,0))</f>
        <v>62.955.505/1822-57</v>
      </c>
      <c r="C399" s="31" t="s">
        <v>222</v>
      </c>
      <c r="D399" t="s">
        <v>351</v>
      </c>
      <c r="E399" s="1" t="s">
        <v>352</v>
      </c>
      <c r="F399" s="56" t="str">
        <f>INDEX('Infos Clientes'!$I:$I,MATCH('Detalhe Por UC'!C399,'Infos Clientes'!B:B,0))</f>
        <v>BT</v>
      </c>
      <c r="G399" s="56" t="str">
        <f>INDEX('Infos Clientes'!$J:$J,MATCH('Detalhe Por UC'!C399,'Infos Clientes'!B:B,0))</f>
        <v>trifasico</v>
      </c>
      <c r="H399" s="108" t="s">
        <v>138</v>
      </c>
      <c r="I399" s="58">
        <f>IFERROR(VLOOKUP(C399,'Infos Clientes'!B:E,4,),"")</f>
        <v>319</v>
      </c>
      <c r="J399" s="109">
        <v>0.25</v>
      </c>
      <c r="K399" s="59">
        <f>INDEX('Infos Clientes'!$M:$M,MATCH('Detalhe Por UC'!C399,'Infos Clientes'!B:B,0))</f>
        <v>0.25</v>
      </c>
      <c r="L399" s="125">
        <v>0</v>
      </c>
      <c r="M399" s="56">
        <f>INDEX('Infos Clientes'!$N:$N,MATCH('Detalhe Por UC'!C399,'Infos Clientes'!B:B,0))</f>
        <v>0</v>
      </c>
      <c r="N399" s="56">
        <f t="shared" si="229"/>
        <v>0</v>
      </c>
      <c r="O399" s="56">
        <f t="shared" si="230"/>
        <v>8</v>
      </c>
      <c r="P399" s="56">
        <f t="shared" si="265"/>
        <v>0</v>
      </c>
      <c r="Q399" s="61">
        <f>IFERROR(IFERROR(INDEX('Infos Clientes'!$A$2:$V$9884,MATCH($C399,'Infos Clientes'!$B$2:$B$9884,0),MATCH(Q$8,'Infos Clientes'!$A$2:$V$2,0)),"")
+IF(OR(INDEX('Infos Clientes'!$A$2:$V$9884,MATCH($C399,'Infos Clientes'!$B$2:$B$9884,0),MATCH("Tempo de Fidelidade (meses)",'Infos Clientes'!$A$2:$V$2,0))=0,R399&gt;=MAX(R:R)),0,
ROUND((MAX(R:R)-R399)/(365/12),0)),"")</f>
        <v>0</v>
      </c>
      <c r="R399" s="111">
        <v>45748</v>
      </c>
      <c r="S399" s="63">
        <v>0.02</v>
      </c>
      <c r="T399" s="113" t="str">
        <f>IF($H399="GIROSSOL II",AP399/INDEX('Resumo Operacional'!$A$1:$P$1103,17,MATCH('Detalhe Por UC'!$R399,'Resumo Operacional'!$A$1:$P$1,0)),
IF($H399="GIROSSOL II e III",AP399/INDEX('Resumo Operacional'!$A$1:$P$1103,17,MATCH('Detalhe Por UC'!$R399,'Resumo Operacional'!$A$1:$P$1,0)),
""))</f>
        <v/>
      </c>
      <c r="U399" s="113">
        <f>IF($H399="GIROSSOL III",AP399/INDEX('Resumo Operacional'!$A$1:$P$1103,53,MATCH('Detalhe Por UC'!$R399,'Resumo Operacional'!$A$1:$P$1,0)),
IF($H399="GIROSSOL II e III",AP399/INDEX('Resumo Operacional'!$A$1:$P$1103,53,MATCH('Detalhe Por UC'!$R399,'Resumo Operacional'!$A$1:$P$1,0)),
""))</f>
        <v>2.3208587177255584E-2</v>
      </c>
      <c r="V399" s="45"/>
      <c r="W399" s="18"/>
      <c r="X399" s="18">
        <v>1.1187086092715233</v>
      </c>
      <c r="Y399" s="18"/>
      <c r="Z399" s="18">
        <v>0.97291666666666665</v>
      </c>
      <c r="AA399" s="18"/>
      <c r="AB399" s="18">
        <v>302</v>
      </c>
      <c r="AC399" s="18"/>
      <c r="AD399" s="18">
        <v>240</v>
      </c>
      <c r="AE399" s="35"/>
      <c r="AF399" s="18">
        <v>0</v>
      </c>
      <c r="AG399" s="18">
        <v>0</v>
      </c>
      <c r="AH399" s="18">
        <v>81.41</v>
      </c>
      <c r="AI399" s="18">
        <v>0</v>
      </c>
      <c r="AJ399" s="18">
        <v>0</v>
      </c>
      <c r="AN399" s="71">
        <f t="shared" si="231"/>
        <v>0</v>
      </c>
      <c r="AO399" s="71">
        <f t="shared" si="232"/>
        <v>0</v>
      </c>
      <c r="AP399" s="71">
        <f t="shared" si="233"/>
        <v>240</v>
      </c>
      <c r="AQ399" s="72">
        <f>IF(OR($H399="GIROSSOL II",$H399="GIROSSOL II e III"),INDEX('Resumo Operacional'!$A$1:$P$1103,MATCH("Energia Injetada prevista total Fatura da Usina (TUSD)",'Resumo Operacional'!$B$1:$B$1103,0),MATCH('Detalhe Por UC'!$R399,'Resumo Operacional'!$A$1:$P$1,0))*$S399,INDEX('Resumo Operacional'!$A$1:$P$1103,53,MATCH('Detalhe Por UC'!$R399,'Resumo Operacional'!$A$1:$P$1,0))*$S399)</f>
        <v>206.82</v>
      </c>
      <c r="AR399" s="71">
        <f t="shared" si="234"/>
        <v>33.180000000000007</v>
      </c>
      <c r="AS399" s="73">
        <f t="shared" si="235"/>
        <v>185.76000000000002</v>
      </c>
      <c r="AT399" s="74">
        <f t="shared" si="236"/>
        <v>185.76000000000002</v>
      </c>
      <c r="AU399" s="74">
        <f t="shared" si="237"/>
        <v>0.82712472406181003</v>
      </c>
      <c r="AV399" s="74">
        <f t="shared" si="238"/>
        <v>175.125</v>
      </c>
      <c r="AW399" s="74">
        <f t="shared" si="239"/>
        <v>0</v>
      </c>
      <c r="AX399" s="74">
        <f t="shared" si="240"/>
        <v>233.5</v>
      </c>
      <c r="AY399" s="74">
        <f t="shared" si="241"/>
        <v>175.13</v>
      </c>
      <c r="AZ399" s="117">
        <v>175.13</v>
      </c>
      <c r="BA399" s="117">
        <v>175.13</v>
      </c>
      <c r="BB399" s="49">
        <v>233.5</v>
      </c>
      <c r="BC399" s="73">
        <f t="shared" si="242"/>
        <v>58.370000000000005</v>
      </c>
      <c r="BD399" s="73">
        <f t="shared" si="243"/>
        <v>419.26</v>
      </c>
      <c r="BE399" s="73">
        <f t="shared" si="244"/>
        <v>360.88499999999999</v>
      </c>
      <c r="BF399" s="77">
        <f t="shared" si="245"/>
        <v>58.38</v>
      </c>
      <c r="BG399" s="77">
        <f t="shared" si="246"/>
        <v>17.513999999999999</v>
      </c>
      <c r="BH399" s="77">
        <f t="shared" si="247"/>
        <v>233.5</v>
      </c>
      <c r="BI399" s="78">
        <f t="shared" si="248"/>
        <v>0.25</v>
      </c>
      <c r="BJ399" s="79">
        <f t="shared" si="249"/>
        <v>0.13924533702237277</v>
      </c>
      <c r="BK399" s="80">
        <f t="shared" si="250"/>
        <v>360.89</v>
      </c>
      <c r="BL399" s="80">
        <f t="shared" si="251"/>
        <v>58.370000000000005</v>
      </c>
      <c r="BM399" s="79">
        <f t="shared" si="252"/>
        <v>0.1392214854744073</v>
      </c>
      <c r="BN399" s="81">
        <f t="shared" si="253"/>
        <v>0.72970833333333329</v>
      </c>
      <c r="BO399" s="82">
        <f t="shared" si="254"/>
        <v>175.13</v>
      </c>
      <c r="BP399" s="81">
        <f t="shared" si="255"/>
        <v>0.72970833333333329</v>
      </c>
      <c r="BQ399" s="81">
        <f t="shared" si="256"/>
        <v>0.87550027593818991</v>
      </c>
      <c r="BR399" s="81">
        <f t="shared" si="257"/>
        <v>1.1187086092715233</v>
      </c>
      <c r="BS399" s="82">
        <f t="shared" si="258"/>
        <v>240</v>
      </c>
      <c r="BT399" s="82">
        <f t="shared" si="259"/>
        <v>268.49006622516561</v>
      </c>
      <c r="BU399" s="82">
        <f t="shared" si="260"/>
        <v>233.5</v>
      </c>
      <c r="BW399" s="82">
        <f>IFERROR(INDEX('Infos Clientes'!$T:$T,MATCH('Detalhe Por UC'!$C399,'Infos Clientes'!B:B,0)),"")</f>
        <v>392</v>
      </c>
      <c r="BX399" s="83">
        <f t="shared" si="261"/>
        <v>0</v>
      </c>
      <c r="BY399" s="84">
        <f t="shared" si="262"/>
        <v>0.21740096689852501</v>
      </c>
      <c r="BZ399" s="85">
        <f>IF(_xlfn.MINIFS('Detalhe Por UC'!R:R,'Detalhe Por UC'!C:C,C399,'Detalhe Por UC'!AD:AD,"&gt;"&amp;0)=0,"",_xlfn.MINIFS('Detalhe Por UC'!R:R,'Detalhe Por UC'!C:C,C399,'Detalhe Por UC'!AD:AD,"&gt;"&amp;0))</f>
        <v>45748</v>
      </c>
      <c r="CA399" s="114">
        <f ca="1">IF(OR(S399&gt;0,AD399&gt;0),IFERROR(
SUMIFS(INDIRECT("'Infos Clientes'!$W"&amp;INDEX('Infos Clientes'!$C:$C,MATCH(C399,'Infos Clientes'!$H:$H,0))&amp;":$CZ"&amp;INDEX('Infos Clientes'!$C:$C,MATCH(C399,'Infos Clientes'!$H:$H,0))),'Infos Clientes'!$W$2:$CZ$2,"&gt;"&amp;$R399-365,'Infos Clientes'!$W$2:$CZ$2,"&lt;="&amp;$R399)/
COUNTIFS(INDIRECT("'Infos Clientes'!$W"&amp;INDEX('Infos Clientes'!$C:$C,MATCH(C399,'Infos Clientes'!$H:$H,0))&amp;":$CZ"&amp;INDEX('Infos Clientes'!$C:$C,MATCH(C399,'Infos Clientes'!$H:$H,0))),"&gt;="&amp;0,'Infos Clientes'!$W$2:$CZ$2,"&gt;"&amp;$R399-365,'Infos Clientes'!$W$2:$CZ$2,"&lt;="&amp;$R399),""),"")</f>
        <v>130.25</v>
      </c>
      <c r="CB399" s="87">
        <f>VLOOKUP(C399,'Infos Clientes'!B:L,11,0)</f>
        <v>0</v>
      </c>
      <c r="CC399" s="88" t="str">
        <f t="shared" si="263"/>
        <v>A Unidade Consumidora 10/69319-2 economizou R$58,38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399" s="40" t="s">
        <v>249</v>
      </c>
      <c r="CE399" s="18">
        <v>185.76</v>
      </c>
      <c r="CF399" s="115">
        <f t="shared" si="264"/>
        <v>0</v>
      </c>
    </row>
    <row r="400" spans="1:85" ht="16.2" hidden="1" customHeight="1" x14ac:dyDescent="0.3">
      <c r="A400" s="105" t="str">
        <f>INDEX('Infos Clientes'!$D:$D,MATCH('Detalhe Por UC'!C400,'Infos Clientes'!B:B,0))</f>
        <v>IGREJA DO EVANGELHO QUADRANGULAR</v>
      </c>
      <c r="B400" s="106" t="str">
        <f>INDEX('Infos Clientes'!$F:$F,MATCH('Detalhe Por UC'!C400,'Infos Clientes'!B:B,0))</f>
        <v>62.955.505/1822-57</v>
      </c>
      <c r="C400" s="31" t="s">
        <v>206</v>
      </c>
      <c r="D400" t="s">
        <v>351</v>
      </c>
      <c r="E400" s="1" t="s">
        <v>352</v>
      </c>
      <c r="F400" s="56" t="str">
        <f>INDEX('Infos Clientes'!$I:$I,MATCH('Detalhe Por UC'!C400,'Infos Clientes'!B:B,0))</f>
        <v>BT</v>
      </c>
      <c r="G400" s="56" t="str">
        <f>INDEX('Infos Clientes'!$J:$J,MATCH('Detalhe Por UC'!C400,'Infos Clientes'!B:B,0))</f>
        <v>trifasico</v>
      </c>
      <c r="H400" s="108" t="s">
        <v>138</v>
      </c>
      <c r="I400" s="58">
        <f>IFERROR(VLOOKUP(C400,'Infos Clientes'!B:E,4,),"")</f>
        <v>319</v>
      </c>
      <c r="J400" s="109">
        <v>0.25</v>
      </c>
      <c r="K400" s="59">
        <f>INDEX('Infos Clientes'!$M:$M,MATCH('Detalhe Por UC'!C400,'Infos Clientes'!B:B,0))</f>
        <v>0.25</v>
      </c>
      <c r="L400" s="125">
        <v>0</v>
      </c>
      <c r="M400" s="56">
        <f>INDEX('Infos Clientes'!$N:$N,MATCH('Detalhe Por UC'!C400,'Infos Clientes'!B:B,0))</f>
        <v>0</v>
      </c>
      <c r="N400" s="56">
        <f t="shared" si="229"/>
        <v>0</v>
      </c>
      <c r="O400" s="56">
        <f t="shared" si="230"/>
        <v>9</v>
      </c>
      <c r="P400" s="56">
        <f t="shared" si="265"/>
        <v>0</v>
      </c>
      <c r="Q400" s="61">
        <f>IFERROR(IFERROR(INDEX('Infos Clientes'!$A$2:$V$9884,MATCH($C400,'Infos Clientes'!$B$2:$B$9884,0),MATCH(Q$8,'Infos Clientes'!$A$2:$V$2,0)),"")
+IF(OR(INDEX('Infos Clientes'!$A$2:$V$9884,MATCH($C400,'Infos Clientes'!$B$2:$B$9884,0),MATCH("Tempo de Fidelidade (meses)",'Infos Clientes'!$A$2:$V$2,0))=0,R400&gt;=MAX(R:R)),0,
ROUND((MAX(R:R)-R400)/(365/12),0)),"")</f>
        <v>0</v>
      </c>
      <c r="R400" s="111">
        <v>45748</v>
      </c>
      <c r="S400" s="63">
        <v>0.02</v>
      </c>
      <c r="T400" s="113" t="str">
        <f>IF($H400="GIROSSOL II",AP400/INDEX('Resumo Operacional'!$A$1:$P$1103,17,MATCH('Detalhe Por UC'!$R400,'Resumo Operacional'!$A$1:$P$1,0)),
IF($H400="GIROSSOL II e III",AP400/INDEX('Resumo Operacional'!$A$1:$P$1103,17,MATCH('Detalhe Por UC'!$R400,'Resumo Operacional'!$A$1:$P$1,0)),
""))</f>
        <v/>
      </c>
      <c r="U400" s="113">
        <f>IF($H400="GIROSSOL III",AP400/INDEX('Resumo Operacional'!$A$1:$P$1103,53,MATCH('Detalhe Por UC'!$R400,'Resumo Operacional'!$A$1:$P$1,0)),
IF($H400="GIROSSOL II e III",AP400/INDEX('Resumo Operacional'!$A$1:$P$1103,53,MATCH('Detalhe Por UC'!$R400,'Resumo Operacional'!$A$1:$P$1,0)),
""))</f>
        <v>2.3208587177255584E-2</v>
      </c>
      <c r="V400" s="45"/>
      <c r="W400" s="18"/>
      <c r="X400" s="18">
        <v>1.1172098765432099</v>
      </c>
      <c r="Y400" s="18"/>
      <c r="Z400" s="18">
        <v>0.97354166666666664</v>
      </c>
      <c r="AA400" s="18"/>
      <c r="AB400" s="18">
        <v>405</v>
      </c>
      <c r="AC400" s="18"/>
      <c r="AD400" s="18">
        <v>240</v>
      </c>
      <c r="AE400" s="35"/>
      <c r="AF400" s="18">
        <v>0</v>
      </c>
      <c r="AG400" s="18">
        <v>0</v>
      </c>
      <c r="AH400" s="18">
        <v>71.42</v>
      </c>
      <c r="AI400" s="18">
        <v>0</v>
      </c>
      <c r="AJ400" s="18">
        <v>0</v>
      </c>
      <c r="AN400" s="71">
        <f t="shared" si="231"/>
        <v>0</v>
      </c>
      <c r="AO400" s="71">
        <f t="shared" si="232"/>
        <v>0</v>
      </c>
      <c r="AP400" s="71">
        <f t="shared" si="233"/>
        <v>240</v>
      </c>
      <c r="AQ400" s="72">
        <f>IF(OR($H400="GIROSSOL II",$H400="GIROSSOL II e III"),INDEX('Resumo Operacional'!$A$1:$P$1103,MATCH("Energia Injetada prevista total Fatura da Usina (TUSD)",'Resumo Operacional'!$B$1:$B$1103,0),MATCH('Detalhe Por UC'!$R400,'Resumo Operacional'!$A$1:$P$1,0))*$S400,INDEX('Resumo Operacional'!$A$1:$P$1103,53,MATCH('Detalhe Por UC'!$R400,'Resumo Operacional'!$A$1:$P$1,0))*$S400)</f>
        <v>206.82</v>
      </c>
      <c r="AR400" s="71">
        <f t="shared" si="234"/>
        <v>33.180000000000007</v>
      </c>
      <c r="AS400" s="73">
        <f t="shared" si="235"/>
        <v>290.24</v>
      </c>
      <c r="AT400" s="74">
        <f t="shared" si="236"/>
        <v>290.24</v>
      </c>
      <c r="AU400" s="74">
        <f t="shared" si="237"/>
        <v>0.82987345679012336</v>
      </c>
      <c r="AV400" s="74">
        <f t="shared" si="238"/>
        <v>175.23749999999998</v>
      </c>
      <c r="AW400" s="74">
        <f t="shared" si="239"/>
        <v>0</v>
      </c>
      <c r="AX400" s="74">
        <f t="shared" si="240"/>
        <v>233.65</v>
      </c>
      <c r="AY400" s="74">
        <f t="shared" si="241"/>
        <v>175.24</v>
      </c>
      <c r="AZ400" s="117">
        <v>175.24</v>
      </c>
      <c r="BA400" s="117">
        <v>175.24</v>
      </c>
      <c r="BB400" s="49">
        <v>175.24</v>
      </c>
      <c r="BC400" s="73" t="str">
        <f t="shared" si="242"/>
        <v/>
      </c>
      <c r="BD400" s="73">
        <f t="shared" si="243"/>
        <v>523.89</v>
      </c>
      <c r="BE400" s="73">
        <f t="shared" si="244"/>
        <v>465.47749999999996</v>
      </c>
      <c r="BF400" s="77">
        <f t="shared" si="245"/>
        <v>58.41</v>
      </c>
      <c r="BG400" s="77">
        <f t="shared" si="246"/>
        <v>17.523</v>
      </c>
      <c r="BH400" s="77">
        <f t="shared" si="247"/>
        <v>233.64999999999998</v>
      </c>
      <c r="BI400" s="78">
        <f t="shared" si="248"/>
        <v>0.25</v>
      </c>
      <c r="BJ400" s="79">
        <f t="shared" si="249"/>
        <v>0.11149287064078336</v>
      </c>
      <c r="BK400" s="80">
        <f t="shared" si="250"/>
        <v>465.48</v>
      </c>
      <c r="BL400" s="80">
        <f t="shared" si="251"/>
        <v>58.409999999999968</v>
      </c>
      <c r="BM400" s="79">
        <f t="shared" si="252"/>
        <v>0.11149287064078331</v>
      </c>
      <c r="BN400" s="81">
        <f t="shared" si="253"/>
        <v>0.73016666666666674</v>
      </c>
      <c r="BO400" s="82">
        <f t="shared" si="254"/>
        <v>175.24</v>
      </c>
      <c r="BP400" s="81">
        <f t="shared" si="255"/>
        <v>0.73016666666666674</v>
      </c>
      <c r="BQ400" s="81">
        <f t="shared" si="256"/>
        <v>0.87383487654321002</v>
      </c>
      <c r="BR400" s="81">
        <f t="shared" si="257"/>
        <v>1.1172098765432099</v>
      </c>
      <c r="BS400" s="82">
        <f t="shared" si="258"/>
        <v>240</v>
      </c>
      <c r="BT400" s="82">
        <f t="shared" si="259"/>
        <v>268.13037037037037</v>
      </c>
      <c r="BU400" s="82">
        <f t="shared" si="260"/>
        <v>233.65</v>
      </c>
      <c r="BW400" s="82">
        <f>IFERROR(INDEX('Infos Clientes'!$T:$T,MATCH('Detalhe Por UC'!$C400,'Infos Clientes'!B:B,0)),"")</f>
        <v>361.81818181818181</v>
      </c>
      <c r="BX400" s="83">
        <f t="shared" si="261"/>
        <v>0</v>
      </c>
      <c r="BY400" s="84">
        <f t="shared" si="262"/>
        <v>0.21784179061595235</v>
      </c>
      <c r="BZ400" s="85">
        <f>IF(_xlfn.MINIFS('Detalhe Por UC'!R:R,'Detalhe Por UC'!C:C,C400,'Detalhe Por UC'!AD:AD,"&gt;"&amp;0)=0,"",_xlfn.MINIFS('Detalhe Por UC'!R:R,'Detalhe Por UC'!C:C,C400,'Detalhe Por UC'!AD:AD,"&gt;"&amp;0))</f>
        <v>45658</v>
      </c>
      <c r="CA400" s="114">
        <f ca="1">IF(OR(S400&gt;0,AD400&gt;0),IFERROR(
SUMIFS(INDIRECT("'Infos Clientes'!$W"&amp;INDEX('Infos Clientes'!$C:$C,MATCH(C400,'Infos Clientes'!$H:$H,0))&amp;":$CZ"&amp;INDEX('Infos Clientes'!$C:$C,MATCH(C400,'Infos Clientes'!$H:$H,0))),'Infos Clientes'!$W$2:$CZ$2,"&gt;"&amp;$R400-365,'Infos Clientes'!$W$2:$CZ$2,"&lt;="&amp;$R400)/
COUNTIFS(INDIRECT("'Infos Clientes'!$W"&amp;INDEX('Infos Clientes'!$C:$C,MATCH(C400,'Infos Clientes'!$H:$H,0))&amp;":$CZ"&amp;INDEX('Infos Clientes'!$C:$C,MATCH(C400,'Infos Clientes'!$H:$H,0))),"&gt;="&amp;0,'Infos Clientes'!$W$2:$CZ$2,"&gt;"&amp;$R400-365,'Infos Clientes'!$W$2:$CZ$2,"&lt;="&amp;$R400),""),"")</f>
        <v>343.25</v>
      </c>
      <c r="CB400" s="87">
        <f>VLOOKUP(C400,'Infos Clientes'!B:L,11,0)</f>
        <v>0</v>
      </c>
      <c r="CC400" s="88" t="str">
        <f t="shared" si="263"/>
        <v>A Unidade Consumidora 10/480529-7 economizou R$58,41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00" s="40" t="s">
        <v>249</v>
      </c>
      <c r="CE400" s="18">
        <v>290.24</v>
      </c>
      <c r="CF400" s="115">
        <f t="shared" si="264"/>
        <v>0</v>
      </c>
    </row>
    <row r="401" spans="1:84" ht="16.2" hidden="1" customHeight="1" x14ac:dyDescent="0.3">
      <c r="A401" s="105" t="str">
        <f>INDEX('Infos Clientes'!$D:$D,MATCH('Detalhe Por UC'!C401,'Infos Clientes'!B:B,0))</f>
        <v>IGREJA DO EVANGELHO QUADRANGULAR</v>
      </c>
      <c r="B401" s="106" t="str">
        <f>INDEX('Infos Clientes'!$F:$F,MATCH('Detalhe Por UC'!C401,'Infos Clientes'!B:B,0))</f>
        <v>62.955.505/1822-57</v>
      </c>
      <c r="C401" s="31" t="s">
        <v>192</v>
      </c>
      <c r="D401" t="s">
        <v>351</v>
      </c>
      <c r="E401" s="1" t="s">
        <v>352</v>
      </c>
      <c r="F401" s="56" t="str">
        <f>INDEX('Infos Clientes'!$I:$I,MATCH('Detalhe Por UC'!C401,'Infos Clientes'!B:B,0))</f>
        <v>BT</v>
      </c>
      <c r="G401" s="56" t="str">
        <f>INDEX('Infos Clientes'!$J:$J,MATCH('Detalhe Por UC'!C401,'Infos Clientes'!B:B,0))</f>
        <v>trifasico</v>
      </c>
      <c r="H401" s="108" t="s">
        <v>138</v>
      </c>
      <c r="I401" s="58">
        <f>IFERROR(VLOOKUP(C401,'Infos Clientes'!B:E,4,),"")</f>
        <v>319</v>
      </c>
      <c r="J401" s="109">
        <v>0.25</v>
      </c>
      <c r="K401" s="59">
        <f>INDEX('Infos Clientes'!$M:$M,MATCH('Detalhe Por UC'!C401,'Infos Clientes'!B:B,0))</f>
        <v>0.25</v>
      </c>
      <c r="M401" s="56">
        <f>INDEX('Infos Clientes'!$N:$N,MATCH('Detalhe Por UC'!C401,'Infos Clientes'!B:B,0))</f>
        <v>0</v>
      </c>
      <c r="N401" s="56">
        <f t="shared" si="229"/>
        <v>0</v>
      </c>
      <c r="O401" s="56">
        <f t="shared" si="230"/>
        <v>9</v>
      </c>
      <c r="P401" s="56">
        <f t="shared" si="265"/>
        <v>0</v>
      </c>
      <c r="Q401" s="61">
        <f>IFERROR(IFERROR(INDEX('Infos Clientes'!$A$2:$V$9884,MATCH($C401,'Infos Clientes'!$B$2:$B$9884,0),MATCH(Q$8,'Infos Clientes'!$A$2:$V$2,0)),"")
+IF(OR(INDEX('Infos Clientes'!$A$2:$V$9884,MATCH($C401,'Infos Clientes'!$B$2:$B$9884,0),MATCH("Tempo de Fidelidade (meses)",'Infos Clientes'!$A$2:$V$2,0))=0,R401&gt;=MAX(R:R)),0,
ROUND((MAX(R:R)-R401)/(365/12),0)),"")</f>
        <v>0</v>
      </c>
      <c r="R401" s="111">
        <v>45748</v>
      </c>
      <c r="S401" s="63">
        <v>0.03</v>
      </c>
      <c r="T401" s="113" t="str">
        <f>IF($H401="GIROSSOL II",AP401/INDEX('Resumo Operacional'!$A$1:$P$1103,17,MATCH('Detalhe Por UC'!$R401,'Resumo Operacional'!$A$1:$P$1,0)),
IF($H401="GIROSSOL II e III",AP401/INDEX('Resumo Operacional'!$A$1:$P$1103,17,MATCH('Detalhe Por UC'!$R401,'Resumo Operacional'!$A$1:$P$1,0)),
""))</f>
        <v/>
      </c>
      <c r="U401" s="113">
        <f>IF($H401="GIROSSOL III",AP401/INDEX('Resumo Operacional'!$A$1:$P$1103,53,MATCH('Detalhe Por UC'!$R401,'Resumo Operacional'!$A$1:$P$1,0)),
IF($H401="GIROSSOL II e III",AP401/INDEX('Resumo Operacional'!$A$1:$P$1103,53,MATCH('Detalhe Por UC'!$R401,'Resumo Operacional'!$A$1:$P$1,0)),
""))</f>
        <v>3.4909583212455277E-2</v>
      </c>
      <c r="V401" s="45"/>
      <c r="W401" s="18"/>
      <c r="X401" s="18">
        <v>1.1162474645030425</v>
      </c>
      <c r="Y401" s="18"/>
      <c r="Z401" s="18">
        <v>0.97407202000000004</v>
      </c>
      <c r="AA401" s="18"/>
      <c r="AB401" s="18">
        <v>493</v>
      </c>
      <c r="AC401" s="18"/>
      <c r="AD401" s="18">
        <v>361</v>
      </c>
      <c r="AE401" s="35"/>
      <c r="AF401" s="18">
        <v>0</v>
      </c>
      <c r="AG401" s="18">
        <v>0</v>
      </c>
      <c r="AH401" s="18">
        <v>102.60000000000001</v>
      </c>
      <c r="AI401" s="18">
        <v>0</v>
      </c>
      <c r="AJ401" s="18">
        <v>0</v>
      </c>
      <c r="AN401" s="71">
        <f t="shared" si="231"/>
        <v>0</v>
      </c>
      <c r="AO401" s="71">
        <f t="shared" si="232"/>
        <v>0</v>
      </c>
      <c r="AP401" s="71">
        <f t="shared" si="233"/>
        <v>361</v>
      </c>
      <c r="AQ401" s="72">
        <f>IF(OR($H401="GIROSSOL II",$H401="GIROSSOL II e III"),INDEX('Resumo Operacional'!$A$1:$P$1103,MATCH("Energia Injetada prevista total Fatura da Usina (TUSD)",'Resumo Operacional'!$B$1:$B$1103,0),MATCH('Detalhe Por UC'!$R401,'Resumo Operacional'!$A$1:$P$1,0))*$S401,INDEX('Resumo Operacional'!$A$1:$P$1103,53,MATCH('Detalhe Por UC'!$R401,'Resumo Operacional'!$A$1:$P$1,0))*$S401)</f>
        <v>310.22999999999996</v>
      </c>
      <c r="AR401" s="71">
        <f t="shared" si="234"/>
        <v>50.770000000000039</v>
      </c>
      <c r="AS401" s="73">
        <f t="shared" si="235"/>
        <v>301.27000077999998</v>
      </c>
      <c r="AT401" s="74">
        <f t="shared" si="236"/>
        <v>301.27000077999998</v>
      </c>
      <c r="AU401" s="74">
        <f t="shared" si="237"/>
        <v>0.8318965754969575</v>
      </c>
      <c r="AV401" s="74">
        <f t="shared" si="238"/>
        <v>263.72999941500001</v>
      </c>
      <c r="AW401" s="74">
        <f t="shared" si="239"/>
        <v>0</v>
      </c>
      <c r="AX401" s="74">
        <f t="shared" si="240"/>
        <v>351.63999921999999</v>
      </c>
      <c r="AY401" s="74">
        <f t="shared" si="241"/>
        <v>263.73</v>
      </c>
      <c r="AZ401" s="117">
        <v>263.73</v>
      </c>
      <c r="BA401" s="117">
        <v>263.73</v>
      </c>
      <c r="BB401" s="49">
        <v>351.64</v>
      </c>
      <c r="BC401" s="73">
        <f t="shared" si="242"/>
        <v>87.909999999999968</v>
      </c>
      <c r="BD401" s="73">
        <f t="shared" si="243"/>
        <v>652.91</v>
      </c>
      <c r="BE401" s="73">
        <f t="shared" si="244"/>
        <v>565.00000019499998</v>
      </c>
      <c r="BF401" s="77">
        <f t="shared" si="245"/>
        <v>87.91</v>
      </c>
      <c r="BG401" s="77">
        <f t="shared" si="246"/>
        <v>26.372999999999998</v>
      </c>
      <c r="BH401" s="77">
        <f t="shared" si="247"/>
        <v>351.63999922000005</v>
      </c>
      <c r="BI401" s="78">
        <f t="shared" si="248"/>
        <v>0.25</v>
      </c>
      <c r="BJ401" s="79">
        <f t="shared" si="249"/>
        <v>0.13464336585440567</v>
      </c>
      <c r="BK401" s="80">
        <f t="shared" si="250"/>
        <v>565.00000077999994</v>
      </c>
      <c r="BL401" s="80">
        <f t="shared" si="251"/>
        <v>87.909999220000032</v>
      </c>
      <c r="BM401" s="79">
        <f t="shared" si="252"/>
        <v>0.13464336465975407</v>
      </c>
      <c r="BN401" s="81">
        <f t="shared" si="253"/>
        <v>0.73055401662049868</v>
      </c>
      <c r="BO401" s="82">
        <f t="shared" si="254"/>
        <v>263.73</v>
      </c>
      <c r="BP401" s="81">
        <f t="shared" si="255"/>
        <v>0.73055401662049868</v>
      </c>
      <c r="BQ401" s="81">
        <f t="shared" si="256"/>
        <v>0.87272946112354111</v>
      </c>
      <c r="BR401" s="81">
        <f t="shared" si="257"/>
        <v>1.1162474645030425</v>
      </c>
      <c r="BS401" s="82">
        <f t="shared" si="258"/>
        <v>361</v>
      </c>
      <c r="BT401" s="82">
        <f t="shared" si="259"/>
        <v>402.96533468559835</v>
      </c>
      <c r="BU401" s="82">
        <f t="shared" si="260"/>
        <v>351.63999921999999</v>
      </c>
      <c r="BW401" s="82">
        <f>IFERROR(INDEX('Infos Clientes'!$T:$T,MATCH('Detalhe Por UC'!$C401,'Infos Clientes'!B:B,0)),"")</f>
        <v>502.09090909090907</v>
      </c>
      <c r="BX401" s="83">
        <f t="shared" si="261"/>
        <v>0</v>
      </c>
      <c r="BY401" s="84">
        <f t="shared" si="262"/>
        <v>0.21815772140447054</v>
      </c>
      <c r="BZ401" s="85">
        <f>IF(_xlfn.MINIFS('Detalhe Por UC'!R:R,'Detalhe Por UC'!C:C,C401,'Detalhe Por UC'!AD:AD,"&gt;"&amp;0)=0,"",_xlfn.MINIFS('Detalhe Por UC'!R:R,'Detalhe Por UC'!C:C,C401,'Detalhe Por UC'!AD:AD,"&gt;"&amp;0))</f>
        <v>45658</v>
      </c>
      <c r="CA401" s="114">
        <f ca="1">IF(OR(S401&gt;0,AD401&gt;0),IFERROR(
SUMIFS(INDIRECT("'Infos Clientes'!$W"&amp;INDEX('Infos Clientes'!$C:$C,MATCH(C401,'Infos Clientes'!$H:$H,0))&amp;":$CZ"&amp;INDEX('Infos Clientes'!$C:$C,MATCH(C401,'Infos Clientes'!$H:$H,0))),'Infos Clientes'!$W$2:$CZ$2,"&gt;"&amp;$R401-365,'Infos Clientes'!$W$2:$CZ$2,"&lt;="&amp;$R401)/
COUNTIFS(INDIRECT("'Infos Clientes'!$W"&amp;INDEX('Infos Clientes'!$C:$C,MATCH(C401,'Infos Clientes'!$H:$H,0))&amp;":$CZ"&amp;INDEX('Infos Clientes'!$C:$C,MATCH(C401,'Infos Clientes'!$H:$H,0))),"&gt;="&amp;0,'Infos Clientes'!$W$2:$CZ$2,"&gt;"&amp;$R401-365,'Infos Clientes'!$W$2:$CZ$2,"&lt;="&amp;$R401),""),"")</f>
        <v>426.5</v>
      </c>
      <c r="CB401" s="87">
        <f>VLOOKUP(C401,'Infos Clientes'!B:L,11,0)</f>
        <v>0</v>
      </c>
      <c r="CC401" s="88" t="str">
        <f t="shared" si="263"/>
        <v>A Unidade Consumidora 10/3139326-7 economizou R$87,91 na fatura referente à abr/2025  consumindo 361 kWh em créditos de energia renovável conforme fatura de energia. A economia foi de 25% em relação ao que seria pago para a Energisa considerando os créditos consumidos. Atenção: Mantenha as contas da Energisa em dia para evitar cortes.</v>
      </c>
      <c r="CD401" s="40" t="s">
        <v>143</v>
      </c>
      <c r="CE401" s="18">
        <v>301.27</v>
      </c>
      <c r="CF401" s="115">
        <f t="shared" si="264"/>
        <v>-7.799999934832158E-7</v>
      </c>
    </row>
    <row r="402" spans="1:84" ht="16.2" hidden="1" customHeight="1" x14ac:dyDescent="0.3">
      <c r="A402" s="105" t="str">
        <f>INDEX('Infos Clientes'!$D:$D,MATCH('Detalhe Por UC'!C402,'Infos Clientes'!B:B,0))</f>
        <v>IGREJA DO EVANGELHO QUADRANGULAR</v>
      </c>
      <c r="B402" s="106" t="str">
        <f>INDEX('Infos Clientes'!$F:$F,MATCH('Detalhe Por UC'!C402,'Infos Clientes'!B:B,0))</f>
        <v>62.955.505/2132-33</v>
      </c>
      <c r="C402" s="31" t="s">
        <v>197</v>
      </c>
      <c r="D402" t="s">
        <v>351</v>
      </c>
      <c r="E402" s="1" t="s">
        <v>352</v>
      </c>
      <c r="F402" s="56" t="str">
        <f>INDEX('Infos Clientes'!$I:$I,MATCH('Detalhe Por UC'!C402,'Infos Clientes'!B:B,0))</f>
        <v>BT</v>
      </c>
      <c r="G402" s="56" t="str">
        <f>INDEX('Infos Clientes'!$J:$J,MATCH('Detalhe Por UC'!C402,'Infos Clientes'!B:B,0))</f>
        <v>trifasico</v>
      </c>
      <c r="H402" s="108" t="s">
        <v>138</v>
      </c>
      <c r="I402" s="58">
        <f>IFERROR(VLOOKUP(C402,'Infos Clientes'!B:E,4,),"")</f>
        <v>306</v>
      </c>
      <c r="J402" s="109">
        <v>0.25</v>
      </c>
      <c r="K402" s="59">
        <f>INDEX('Infos Clientes'!$M:$M,MATCH('Detalhe Por UC'!C402,'Infos Clientes'!B:B,0))</f>
        <v>0.25</v>
      </c>
      <c r="L402" s="125">
        <v>0</v>
      </c>
      <c r="M402" s="56">
        <f>INDEX('Infos Clientes'!$N:$N,MATCH('Detalhe Por UC'!C402,'Infos Clientes'!B:B,0))</f>
        <v>0</v>
      </c>
      <c r="N402" s="56">
        <f t="shared" si="229"/>
        <v>0</v>
      </c>
      <c r="O402" s="56">
        <f t="shared" si="230"/>
        <v>9</v>
      </c>
      <c r="P402" s="56">
        <f t="shared" si="265"/>
        <v>0</v>
      </c>
      <c r="Q402" s="61">
        <f>IFERROR(IFERROR(INDEX('Infos Clientes'!$A$2:$V$9884,MATCH($C402,'Infos Clientes'!$B$2:$B$9884,0),MATCH(Q$8,'Infos Clientes'!$A$2:$V$2,0)),"")
+IF(OR(INDEX('Infos Clientes'!$A$2:$V$9884,MATCH($C402,'Infos Clientes'!$B$2:$B$9884,0),MATCH("Tempo de Fidelidade (meses)",'Infos Clientes'!$A$2:$V$2,0))=0,R402&gt;=MAX(R:R)),0,
ROUND((MAX(R:R)-R402)/(365/12),0)),"")</f>
        <v>0</v>
      </c>
      <c r="R402" s="111">
        <v>45748</v>
      </c>
      <c r="S402" s="63">
        <v>0.04</v>
      </c>
      <c r="T402" s="113" t="str">
        <f>IF($H402="GIROSSOL II",AP402/INDEX('Resumo Operacional'!$A$1:$P$1103,17,MATCH('Detalhe Por UC'!$R402,'Resumo Operacional'!$A$1:$P$1,0)),
IF($H402="GIROSSOL II e III",AP402/INDEX('Resumo Operacional'!$A$1:$P$1103,17,MATCH('Detalhe Por UC'!$R402,'Resumo Operacional'!$A$1:$P$1,0)),
""))</f>
        <v/>
      </c>
      <c r="U402" s="113">
        <f>IF($H402="GIROSSOL III",AP402/INDEX('Resumo Operacional'!$A$1:$P$1103,53,MATCH('Detalhe Por UC'!$R402,'Resumo Operacional'!$A$1:$P$1,0)),
IF($H402="GIROSSOL II e III",AP402/INDEX('Resumo Operacional'!$A$1:$P$1103,53,MATCH('Detalhe Por UC'!$R402,'Resumo Operacional'!$A$1:$P$1,0)),
""))</f>
        <v>4.6513876801083071E-2</v>
      </c>
      <c r="V402" s="45"/>
      <c r="W402" s="18"/>
      <c r="X402" s="18">
        <v>1.1179173553719008</v>
      </c>
      <c r="Y402" s="18"/>
      <c r="Z402" s="18">
        <v>0.97326403326403332</v>
      </c>
      <c r="AA402" s="18"/>
      <c r="AB402" s="18">
        <v>605</v>
      </c>
      <c r="AC402" s="18"/>
      <c r="AD402" s="18">
        <v>481</v>
      </c>
      <c r="AE402" s="35"/>
      <c r="AF402" s="18">
        <v>0</v>
      </c>
      <c r="AG402" s="18">
        <v>0</v>
      </c>
      <c r="AH402" s="18">
        <v>29.04</v>
      </c>
      <c r="AI402" s="18">
        <v>0</v>
      </c>
      <c r="AJ402" s="18">
        <v>0</v>
      </c>
      <c r="AN402" s="71">
        <f t="shared" si="231"/>
        <v>0</v>
      </c>
      <c r="AO402" s="71">
        <f t="shared" si="232"/>
        <v>0</v>
      </c>
      <c r="AP402" s="71">
        <f t="shared" si="233"/>
        <v>481</v>
      </c>
      <c r="AQ402" s="72">
        <f>IF(OR($H402="GIROSSOL II",$H402="GIROSSOL II e III"),INDEX('Resumo Operacional'!$A$1:$P$1103,MATCH("Energia Injetada prevista total Fatura da Usina (TUSD)",'Resumo Operacional'!$B$1:$B$1103,0),MATCH('Detalhe Por UC'!$R402,'Resumo Operacional'!$A$1:$P$1,0))*$S402,INDEX('Resumo Operacional'!$A$1:$P$1103,53,MATCH('Detalhe Por UC'!$R402,'Resumo Operacional'!$A$1:$P$1,0))*$S402)</f>
        <v>413.64</v>
      </c>
      <c r="AR402" s="71">
        <f t="shared" si="234"/>
        <v>67.360000000000014</v>
      </c>
      <c r="AS402" s="73">
        <f t="shared" si="235"/>
        <v>237.23999999999998</v>
      </c>
      <c r="AT402" s="74">
        <f t="shared" si="236"/>
        <v>237.23999999999998</v>
      </c>
      <c r="AU402" s="74">
        <f t="shared" si="237"/>
        <v>0.8286107111561658</v>
      </c>
      <c r="AV402" s="74">
        <f t="shared" si="238"/>
        <v>351.10500000000002</v>
      </c>
      <c r="AW402" s="74">
        <f t="shared" si="239"/>
        <v>0</v>
      </c>
      <c r="AX402" s="74">
        <f t="shared" si="240"/>
        <v>468.14000000000004</v>
      </c>
      <c r="AY402" s="74">
        <f t="shared" si="241"/>
        <v>351.11</v>
      </c>
      <c r="AZ402" s="117">
        <v>351.11</v>
      </c>
      <c r="BA402" s="117">
        <v>351.11</v>
      </c>
      <c r="BB402" s="49">
        <v>351.11</v>
      </c>
      <c r="BC402" s="73" t="str">
        <f t="shared" si="242"/>
        <v/>
      </c>
      <c r="BD402" s="73">
        <f t="shared" si="243"/>
        <v>705.38</v>
      </c>
      <c r="BE402" s="73">
        <f t="shared" si="244"/>
        <v>588.34500000000003</v>
      </c>
      <c r="BF402" s="77">
        <f t="shared" si="245"/>
        <v>117.04</v>
      </c>
      <c r="BG402" s="77">
        <f t="shared" si="246"/>
        <v>35.112000000000002</v>
      </c>
      <c r="BH402" s="77">
        <f t="shared" si="247"/>
        <v>468.14</v>
      </c>
      <c r="BI402" s="78">
        <f t="shared" si="248"/>
        <v>0.25</v>
      </c>
      <c r="BJ402" s="79">
        <f t="shared" si="249"/>
        <v>0.16592474978026028</v>
      </c>
      <c r="BK402" s="80">
        <f t="shared" si="250"/>
        <v>588.35</v>
      </c>
      <c r="BL402" s="80">
        <f t="shared" si="251"/>
        <v>117.02999999999997</v>
      </c>
      <c r="BM402" s="79">
        <f t="shared" si="252"/>
        <v>0.16591057302446904</v>
      </c>
      <c r="BN402" s="81">
        <f t="shared" si="253"/>
        <v>0.72995841995842004</v>
      </c>
      <c r="BO402" s="82">
        <f t="shared" si="254"/>
        <v>351.11</v>
      </c>
      <c r="BP402" s="81">
        <f t="shared" si="255"/>
        <v>0.72995841995842004</v>
      </c>
      <c r="BQ402" s="81">
        <f t="shared" si="256"/>
        <v>0.87461174206628756</v>
      </c>
      <c r="BR402" s="81">
        <f t="shared" si="257"/>
        <v>1.1179173553719008</v>
      </c>
      <c r="BS402" s="82">
        <f t="shared" si="258"/>
        <v>481</v>
      </c>
      <c r="BT402" s="82">
        <f t="shared" si="259"/>
        <v>537.7182479338843</v>
      </c>
      <c r="BU402" s="82">
        <f t="shared" si="260"/>
        <v>468.14000000000004</v>
      </c>
      <c r="BW402" s="82">
        <f>IFERROR(INDEX('Infos Clientes'!$T:$T,MATCH('Detalhe Por UC'!$C402,'Infos Clientes'!B:B,0)),"")</f>
        <v>659.09090909090912</v>
      </c>
      <c r="BX402" s="83">
        <f t="shared" si="261"/>
        <v>0</v>
      </c>
      <c r="BY402" s="84">
        <f t="shared" si="262"/>
        <v>0.21764186067642907</v>
      </c>
      <c r="BZ402" s="85">
        <f>IF(_xlfn.MINIFS('Detalhe Por UC'!R:R,'Detalhe Por UC'!C:C,C402,'Detalhe Por UC'!AD:AD,"&gt;"&amp;0)=0,"",_xlfn.MINIFS('Detalhe Por UC'!R:R,'Detalhe Por UC'!C:C,C402,'Detalhe Por UC'!AD:AD,"&gt;"&amp;0))</f>
        <v>45658</v>
      </c>
      <c r="CA402" s="114">
        <f ca="1">IF(OR(S402&gt;0,AD402&gt;0),IFERROR(
SUMIFS(INDIRECT("'Infos Clientes'!$W"&amp;INDEX('Infos Clientes'!$C:$C,MATCH(C402,'Infos Clientes'!$H:$H,0))&amp;":$CZ"&amp;INDEX('Infos Clientes'!$C:$C,MATCH(C402,'Infos Clientes'!$H:$H,0))),'Infos Clientes'!$W$2:$CZ$2,"&gt;"&amp;$R402-365,'Infos Clientes'!$W$2:$CZ$2,"&lt;="&amp;$R402)/
COUNTIFS(INDIRECT("'Infos Clientes'!$W"&amp;INDEX('Infos Clientes'!$C:$C,MATCH(C402,'Infos Clientes'!$H:$H,0))&amp;":$CZ"&amp;INDEX('Infos Clientes'!$C:$C,MATCH(C402,'Infos Clientes'!$H:$H,0))),"&gt;="&amp;0,'Infos Clientes'!$W$2:$CZ$2,"&gt;"&amp;$R402-365,'Infos Clientes'!$W$2:$CZ$2,"&lt;="&amp;$R402),""),"")</f>
        <v>559.41666666666663</v>
      </c>
      <c r="CB402" s="87">
        <f>VLOOKUP(C402,'Infos Clientes'!B:L,11,0)</f>
        <v>0</v>
      </c>
      <c r="CC402" s="88" t="str">
        <f t="shared" si="263"/>
        <v>A Unidade Consumidora 10/399338-3 economizou R$117,04 na fatura referente à abr/2025  consumindo 481 kWh em créditos de energia renovável conforme fatura de energia. A economia foi de 25% em relação ao que seria pago para a Energisa considerando os créditos consumidos. Atenção: Mantenha as contas da Energisa em dia para evitar cortes.</v>
      </c>
      <c r="CD402" s="40" t="s">
        <v>249</v>
      </c>
      <c r="CE402" s="18">
        <v>237.24</v>
      </c>
      <c r="CF402" s="115">
        <f t="shared" si="264"/>
        <v>0</v>
      </c>
    </row>
    <row r="403" spans="1:84" ht="16.2" hidden="1" customHeight="1" x14ac:dyDescent="0.3">
      <c r="A403" s="105" t="str">
        <f>INDEX('Infos Clientes'!$D:$D,MATCH('Detalhe Por UC'!C403,'Infos Clientes'!B:B,0))</f>
        <v>IGREJA DO EVANGELHO QUADRANGULAR</v>
      </c>
      <c r="B403" s="106" t="str">
        <f>INDEX('Infos Clientes'!$F:$F,MATCH('Detalhe Por UC'!C403,'Infos Clientes'!B:B,0))</f>
        <v>62.955.505/0154-31</v>
      </c>
      <c r="C403" s="107" t="s">
        <v>218</v>
      </c>
      <c r="D403" t="s">
        <v>351</v>
      </c>
      <c r="E403" s="1" t="s">
        <v>352</v>
      </c>
      <c r="F403" s="56" t="str">
        <f>INDEX('Infos Clientes'!$I:$I,MATCH('Detalhe Por UC'!C403,'Infos Clientes'!B:B,0))</f>
        <v>BT</v>
      </c>
      <c r="G403" s="56" t="str">
        <f>INDEX('Infos Clientes'!$J:$J,MATCH('Detalhe Por UC'!C403,'Infos Clientes'!B:B,0))</f>
        <v>bifasico</v>
      </c>
      <c r="H403" s="108" t="s">
        <v>138</v>
      </c>
      <c r="I403" s="58">
        <f>IFERROR(VLOOKUP(C403,'Infos Clientes'!B:E,4,),"")</f>
        <v>319</v>
      </c>
      <c r="J403" s="109">
        <v>0.25</v>
      </c>
      <c r="K403" s="59">
        <f>INDEX('Infos Clientes'!$M:$M,MATCH('Detalhe Por UC'!C403,'Infos Clientes'!B:B,0))</f>
        <v>0.25</v>
      </c>
      <c r="L403" s="125">
        <v>0</v>
      </c>
      <c r="M403" s="56">
        <f>INDEX('Infos Clientes'!$N:$N,MATCH('Detalhe Por UC'!C403,'Infos Clientes'!B:B,0))</f>
        <v>0</v>
      </c>
      <c r="N403" s="56">
        <f t="shared" si="229"/>
        <v>0</v>
      </c>
      <c r="O403" s="56">
        <f t="shared" si="230"/>
        <v>9</v>
      </c>
      <c r="P403" s="56">
        <f t="shared" si="265"/>
        <v>0</v>
      </c>
      <c r="Q403" s="61">
        <f>IFERROR(IFERROR(INDEX('Infos Clientes'!$A$2:$V$9884,MATCH($C403,'Infos Clientes'!$B$2:$B$9884,0),MATCH(Q$8,'Infos Clientes'!$A$2:$V$2,0)),"")
+IF(OR(INDEX('Infos Clientes'!$A$2:$V$9884,MATCH($C403,'Infos Clientes'!$B$2:$B$9884,0),MATCH("Tempo de Fidelidade (meses)",'Infos Clientes'!$A$2:$V$2,0))=0,R403&gt;=MAX(R:R)),0,
ROUND((MAX(R:R)-R403)/(365/12),0)),"")</f>
        <v>0</v>
      </c>
      <c r="R403" s="111">
        <v>45748</v>
      </c>
      <c r="S403" s="63">
        <v>0.05</v>
      </c>
      <c r="T403" s="113" t="str">
        <f>IF($H403="GIROSSOL II",AP403/INDEX('Resumo Operacional'!$A$1:$P$1103,17,MATCH('Detalhe Por UC'!$R403,'Resumo Operacional'!$A$1:$P$1,0)),
IF($H403="GIROSSOL II e III",AP403/INDEX('Resumo Operacional'!$A$1:$P$1103,17,MATCH('Detalhe Por UC'!$R403,'Resumo Operacional'!$A$1:$P$1,0)),
""))</f>
        <v/>
      </c>
      <c r="U403" s="113">
        <f>IF($H403="GIROSSOL III",AP403/INDEX('Resumo Operacional'!$A$1:$P$1103,53,MATCH('Detalhe Por UC'!$R403,'Resumo Operacional'!$A$1:$P$1,0)),
IF($H403="GIROSSOL II e III",AP403/INDEX('Resumo Operacional'!$A$1:$P$1103,53,MATCH('Detalhe Por UC'!$R403,'Resumo Operacional'!$A$1:$P$1,0)),
""))</f>
        <v>4.9995164877671402E-2</v>
      </c>
      <c r="V403" s="45"/>
      <c r="W403" s="18"/>
      <c r="X403" s="18">
        <v>1.1209497206703911</v>
      </c>
      <c r="Y403" s="18"/>
      <c r="Z403" s="18">
        <v>0.97195357833655704</v>
      </c>
      <c r="AA403" s="18"/>
      <c r="AB403" s="18">
        <v>716</v>
      </c>
      <c r="AC403" s="18"/>
      <c r="AD403" s="18">
        <v>517</v>
      </c>
      <c r="AE403" s="35"/>
      <c r="AF403" s="18">
        <v>0</v>
      </c>
      <c r="AG403" s="18">
        <v>0</v>
      </c>
      <c r="AH403" s="18">
        <v>121.07000000000001</v>
      </c>
      <c r="AI403" s="18">
        <v>0</v>
      </c>
      <c r="AJ403" s="18">
        <v>0</v>
      </c>
      <c r="AN403" s="71">
        <f t="shared" si="231"/>
        <v>0</v>
      </c>
      <c r="AO403" s="71">
        <f t="shared" si="232"/>
        <v>0</v>
      </c>
      <c r="AP403" s="71">
        <f t="shared" si="233"/>
        <v>517</v>
      </c>
      <c r="AQ403" s="72">
        <f>IF(OR($H403="GIROSSOL II",$H403="GIROSSOL II e III"),INDEX('Resumo Operacional'!$A$1:$P$1103,MATCH("Energia Injetada prevista total Fatura da Usina (TUSD)",'Resumo Operacional'!$B$1:$B$1103,0),MATCH('Detalhe Por UC'!$R403,'Resumo Operacional'!$A$1:$P$1,0))*$S403,INDEX('Resumo Operacional'!$A$1:$P$1103,53,MATCH('Detalhe Por UC'!$R403,'Resumo Operacional'!$A$1:$P$1,0))*$S403)</f>
        <v>517.05000000000007</v>
      </c>
      <c r="AR403" s="71">
        <f t="shared" si="234"/>
        <v>-5.0000000000068212E-2</v>
      </c>
      <c r="AS403" s="73">
        <f t="shared" si="235"/>
        <v>421.17</v>
      </c>
      <c r="AT403" s="74">
        <f t="shared" si="236"/>
        <v>421.17</v>
      </c>
      <c r="AU403" s="74">
        <f t="shared" si="237"/>
        <v>0.82295743600272298</v>
      </c>
      <c r="AV403" s="74">
        <f t="shared" si="238"/>
        <v>376.875</v>
      </c>
      <c r="AW403" s="74">
        <f t="shared" si="239"/>
        <v>0</v>
      </c>
      <c r="AX403" s="74">
        <f t="shared" si="240"/>
        <v>502.5</v>
      </c>
      <c r="AY403" s="74">
        <f t="shared" si="241"/>
        <v>376.88</v>
      </c>
      <c r="AZ403" s="117">
        <v>376.88</v>
      </c>
      <c r="BA403" s="117">
        <v>376.88</v>
      </c>
      <c r="BB403" s="49">
        <v>376.88</v>
      </c>
      <c r="BC403" s="73" t="str">
        <f t="shared" si="242"/>
        <v/>
      </c>
      <c r="BD403" s="73">
        <f t="shared" si="243"/>
        <v>923.67000000000007</v>
      </c>
      <c r="BE403" s="73">
        <f t="shared" si="244"/>
        <v>798.04500000000007</v>
      </c>
      <c r="BF403" s="77">
        <f t="shared" si="245"/>
        <v>125.63</v>
      </c>
      <c r="BG403" s="77">
        <f t="shared" si="246"/>
        <v>37.689</v>
      </c>
      <c r="BH403" s="77">
        <f t="shared" si="247"/>
        <v>502.5</v>
      </c>
      <c r="BI403" s="78">
        <f t="shared" si="248"/>
        <v>0.25</v>
      </c>
      <c r="BJ403" s="79">
        <f t="shared" si="249"/>
        <v>0.1360117790985958</v>
      </c>
      <c r="BK403" s="80">
        <f t="shared" si="250"/>
        <v>798.05</v>
      </c>
      <c r="BL403" s="80">
        <f t="shared" si="251"/>
        <v>125.62000000000012</v>
      </c>
      <c r="BM403" s="79">
        <f t="shared" si="252"/>
        <v>0.13600095272121007</v>
      </c>
      <c r="BN403" s="81">
        <f t="shared" si="253"/>
        <v>0.72897485493230174</v>
      </c>
      <c r="BO403" s="82">
        <f t="shared" si="254"/>
        <v>376.88</v>
      </c>
      <c r="BP403" s="81">
        <f t="shared" si="255"/>
        <v>0.72897485493230174</v>
      </c>
      <c r="BQ403" s="81">
        <f t="shared" si="256"/>
        <v>0.87797099726613581</v>
      </c>
      <c r="BR403" s="81">
        <f t="shared" si="257"/>
        <v>1.1209497206703911</v>
      </c>
      <c r="BS403" s="82">
        <f t="shared" si="258"/>
        <v>517</v>
      </c>
      <c r="BT403" s="82">
        <f t="shared" si="259"/>
        <v>579.53100558659219</v>
      </c>
      <c r="BU403" s="82">
        <f t="shared" si="260"/>
        <v>502.5</v>
      </c>
      <c r="BW403" s="82">
        <f>IFERROR(INDEX('Infos Clientes'!$T:$T,MATCH('Detalhe Por UC'!$C403,'Infos Clientes'!B:B,0)),"")</f>
        <v>806.81818181818187</v>
      </c>
      <c r="BX403" s="83">
        <f t="shared" si="261"/>
        <v>0</v>
      </c>
      <c r="BY403" s="84">
        <f t="shared" si="262"/>
        <v>0.21676148262826661</v>
      </c>
      <c r="BZ403" s="85">
        <f>IF(_xlfn.MINIFS('Detalhe Por UC'!R:R,'Detalhe Por UC'!C:C,C403,'Detalhe Por UC'!AD:AD,"&gt;"&amp;0)=0,"",_xlfn.MINIFS('Detalhe Por UC'!R:R,'Detalhe Por UC'!C:C,C403,'Detalhe Por UC'!AD:AD,"&gt;"&amp;0))</f>
        <v>45658</v>
      </c>
      <c r="CA403" s="114">
        <f ca="1">IF(OR(S403&gt;0,AD403&gt;0),IFERROR(
SUMIFS(INDIRECT("'Infos Clientes'!$W"&amp;INDEX('Infos Clientes'!$C:$C,MATCH(C403,'Infos Clientes'!$H:$H,0))&amp;":$CZ"&amp;INDEX('Infos Clientes'!$C:$C,MATCH(C403,'Infos Clientes'!$H:$H,0))),'Infos Clientes'!$W$2:$CZ$2,"&gt;"&amp;$R403-365,'Infos Clientes'!$W$2:$CZ$2,"&lt;="&amp;$R403)/
COUNTIFS(INDIRECT("'Infos Clientes'!$W"&amp;INDEX('Infos Clientes'!$C:$C,MATCH(C403,'Infos Clientes'!$H:$H,0))&amp;":$CZ"&amp;INDEX('Infos Clientes'!$C:$C,MATCH(C403,'Infos Clientes'!$H:$H,0))),"&gt;="&amp;0,'Infos Clientes'!$W$2:$CZ$2,"&gt;"&amp;$R403-365,'Infos Clientes'!$W$2:$CZ$2,"&lt;="&amp;$R403),""),"")</f>
        <v>730.33333333333337</v>
      </c>
      <c r="CB403" s="87">
        <f>VLOOKUP(C403,'Infos Clientes'!B:L,11,0)</f>
        <v>0</v>
      </c>
      <c r="CC403" s="88" t="str">
        <f t="shared" si="263"/>
        <v>A Unidade Consumidora 10/61344-8 economizou R$125,63 na fatura referente à abr/2025  consumindo 517 kWh em créditos de energia renovável conforme fatura de energia. A economia foi de 25% em relação ao que seria pago para a Energisa considerando os créditos consumidos. Atenção: Mantenha as contas da Energisa em dia para evitar cortes.</v>
      </c>
      <c r="CD403" s="40" t="s">
        <v>249</v>
      </c>
      <c r="CE403" s="18">
        <v>421.17</v>
      </c>
      <c r="CF403" s="115">
        <f t="shared" si="264"/>
        <v>0</v>
      </c>
    </row>
    <row r="404" spans="1:84" ht="16.2" hidden="1" customHeight="1" x14ac:dyDescent="0.3">
      <c r="A404" s="105" t="str">
        <f>INDEX('Infos Clientes'!$D:$D,MATCH('Detalhe Por UC'!C404,'Infos Clientes'!B:B,0))</f>
        <v>IGREJA DO EVANGELHO QUADRANGULAR</v>
      </c>
      <c r="B404" s="106" t="str">
        <f>INDEX('Infos Clientes'!$F:$F,MATCH('Detalhe Por UC'!C404,'Infos Clientes'!B:B,0))</f>
        <v>62.955.505/2740-20</v>
      </c>
      <c r="C404" s="31" t="s">
        <v>175</v>
      </c>
      <c r="D404" t="s">
        <v>351</v>
      </c>
      <c r="E404" s="1" t="s">
        <v>352</v>
      </c>
      <c r="F404" s="56" t="str">
        <f>INDEX('Infos Clientes'!$I:$I,MATCH('Detalhe Por UC'!C404,'Infos Clientes'!B:B,0))</f>
        <v>BT</v>
      </c>
      <c r="G404" s="56" t="str">
        <f>INDEX('Infos Clientes'!$J:$J,MATCH('Detalhe Por UC'!C404,'Infos Clientes'!B:B,0))</f>
        <v>trifasico</v>
      </c>
      <c r="H404" s="108" t="s">
        <v>138</v>
      </c>
      <c r="I404" s="58">
        <f>IFERROR(VLOOKUP(C404,'Infos Clientes'!B:E,4,),"")</f>
        <v>371</v>
      </c>
      <c r="J404" s="109">
        <v>0.25</v>
      </c>
      <c r="K404" s="59">
        <f>INDEX('Infos Clientes'!$M:$M,MATCH('Detalhe Por UC'!C404,'Infos Clientes'!B:B,0))</f>
        <v>0.25</v>
      </c>
      <c r="L404" s="125">
        <v>0</v>
      </c>
      <c r="M404" s="56">
        <f>INDEX('Infos Clientes'!$N:$N,MATCH('Detalhe Por UC'!C404,'Infos Clientes'!B:B,0))</f>
        <v>0</v>
      </c>
      <c r="N404" s="56">
        <f t="shared" si="229"/>
        <v>0</v>
      </c>
      <c r="O404" s="56">
        <f t="shared" si="230"/>
        <v>8</v>
      </c>
      <c r="P404" s="56">
        <f t="shared" si="265"/>
        <v>0</v>
      </c>
      <c r="Q404" s="61">
        <f>IFERROR(IFERROR(INDEX('Infos Clientes'!$A$2:$V$9884,MATCH($C404,'Infos Clientes'!$B$2:$B$9884,0),MATCH(Q$8,'Infos Clientes'!$A$2:$V$2,0)),"")
+IF(OR(INDEX('Infos Clientes'!$A$2:$V$9884,MATCH($C404,'Infos Clientes'!$B$2:$B$9884,0),MATCH("Tempo de Fidelidade (meses)",'Infos Clientes'!$A$2:$V$2,0))=0,R404&gt;=MAX(R:R)),0,
ROUND((MAX(R:R)-R404)/(365/12),0)),"")</f>
        <v>0</v>
      </c>
      <c r="R404" s="111">
        <v>45748</v>
      </c>
      <c r="S404" s="63">
        <v>0.01</v>
      </c>
      <c r="T404" s="113" t="str">
        <f>IF($H404="GIROSSOL II",AP404/INDEX('Resumo Operacional'!$A$1:$P$1103,17,MATCH('Detalhe Por UC'!$R404,'Resumo Operacional'!$A$1:$P$1,0)),
IF($H404="GIROSSOL II e III",AP404/INDEX('Resumo Operacional'!$A$1:$P$1103,17,MATCH('Detalhe Por UC'!$R404,'Resumo Operacional'!$A$1:$P$1,0)),
""))</f>
        <v/>
      </c>
      <c r="U404" s="113">
        <f>IF($H404="GIROSSOL III",AP404/INDEX('Resumo Operacional'!$A$1:$P$1103,53,MATCH('Detalhe Por UC'!$R404,'Resumo Operacional'!$A$1:$P$1,0)),
IF($H404="GIROSSOL II e III",AP404/INDEX('Resumo Operacional'!$A$1:$P$1103,53,MATCH('Detalhe Por UC'!$R404,'Resumo Operacional'!$A$1:$P$1,0)),
""))</f>
        <v>1.1604293588627792E-2</v>
      </c>
      <c r="V404" s="45"/>
      <c r="W404" s="18"/>
      <c r="X404" s="18">
        <v>1.1190476190476191</v>
      </c>
      <c r="Y404" s="18"/>
      <c r="Z404" s="18">
        <v>0.97266666666666668</v>
      </c>
      <c r="AA404" s="18"/>
      <c r="AB404" s="18">
        <v>231</v>
      </c>
      <c r="AC404" s="18"/>
      <c r="AD404" s="18">
        <v>120</v>
      </c>
      <c r="AE404" s="35"/>
      <c r="AF404" s="18">
        <v>0</v>
      </c>
      <c r="AG404" s="18">
        <v>0</v>
      </c>
      <c r="AH404" s="18">
        <v>43.17</v>
      </c>
      <c r="AI404" s="18">
        <v>0</v>
      </c>
      <c r="AJ404" s="18">
        <v>0</v>
      </c>
      <c r="AN404" s="71">
        <f t="shared" si="231"/>
        <v>0</v>
      </c>
      <c r="AO404" s="71">
        <f t="shared" si="232"/>
        <v>0</v>
      </c>
      <c r="AP404" s="71">
        <f t="shared" si="233"/>
        <v>120</v>
      </c>
      <c r="AQ404" s="72">
        <f>IF(OR($H404="GIROSSOL II",$H404="GIROSSOL II e III"),INDEX('Resumo Operacional'!$A$1:$P$1103,MATCH("Energia Injetada prevista total Fatura da Usina (TUSD)",'Resumo Operacional'!$B$1:$B$1103,0),MATCH('Detalhe Por UC'!$R404,'Resumo Operacional'!$A$1:$P$1,0))*$S404,INDEX('Resumo Operacional'!$A$1:$P$1103,53,MATCH('Detalhe Por UC'!$R404,'Resumo Operacional'!$A$1:$P$1,0))*$S404)</f>
        <v>103.41</v>
      </c>
      <c r="AR404" s="71">
        <f t="shared" si="234"/>
        <v>16.590000000000003</v>
      </c>
      <c r="AS404" s="73">
        <f t="shared" si="235"/>
        <v>184.95</v>
      </c>
      <c r="AT404" s="74">
        <f t="shared" si="236"/>
        <v>184.95</v>
      </c>
      <c r="AU404" s="74">
        <f t="shared" si="237"/>
        <v>0.82628571428571429</v>
      </c>
      <c r="AV404" s="74">
        <f t="shared" si="238"/>
        <v>87.54</v>
      </c>
      <c r="AW404" s="74">
        <f t="shared" si="239"/>
        <v>0</v>
      </c>
      <c r="AX404" s="74">
        <f t="shared" si="240"/>
        <v>116.72</v>
      </c>
      <c r="AY404" s="74">
        <f t="shared" si="241"/>
        <v>87.54</v>
      </c>
      <c r="AZ404" s="117">
        <v>87.54</v>
      </c>
      <c r="BA404" s="117">
        <v>87.54</v>
      </c>
      <c r="BB404" s="49">
        <v>87.54</v>
      </c>
      <c r="BC404" s="73" t="str">
        <f t="shared" si="242"/>
        <v/>
      </c>
      <c r="BD404" s="73">
        <f t="shared" si="243"/>
        <v>301.67</v>
      </c>
      <c r="BE404" s="73">
        <f t="shared" si="244"/>
        <v>272.49</v>
      </c>
      <c r="BF404" s="77">
        <f t="shared" si="245"/>
        <v>29.18</v>
      </c>
      <c r="BG404" s="77">
        <f t="shared" si="246"/>
        <v>8.7539999999999996</v>
      </c>
      <c r="BH404" s="77">
        <f t="shared" si="247"/>
        <v>116.72</v>
      </c>
      <c r="BI404" s="78">
        <f t="shared" si="248"/>
        <v>0.25</v>
      </c>
      <c r="BJ404" s="79">
        <f t="shared" si="249"/>
        <v>9.672821294792322E-2</v>
      </c>
      <c r="BK404" s="80">
        <f t="shared" si="250"/>
        <v>272.49</v>
      </c>
      <c r="BL404" s="80">
        <f t="shared" si="251"/>
        <v>29.180000000000007</v>
      </c>
      <c r="BM404" s="79">
        <f t="shared" si="252"/>
        <v>9.6728212947923248E-2</v>
      </c>
      <c r="BN404" s="81">
        <f t="shared" si="253"/>
        <v>0.72950000000000004</v>
      </c>
      <c r="BO404" s="82">
        <f t="shared" si="254"/>
        <v>87.54</v>
      </c>
      <c r="BP404" s="81">
        <f t="shared" si="255"/>
        <v>0.72950000000000004</v>
      </c>
      <c r="BQ404" s="81">
        <f t="shared" si="256"/>
        <v>0.87588095238095243</v>
      </c>
      <c r="BR404" s="81">
        <f t="shared" si="257"/>
        <v>1.1190476190476191</v>
      </c>
      <c r="BS404" s="82">
        <f t="shared" si="258"/>
        <v>120</v>
      </c>
      <c r="BT404" s="82">
        <f t="shared" si="259"/>
        <v>134.28571428571428</v>
      </c>
      <c r="BU404" s="82">
        <f t="shared" si="260"/>
        <v>116.72</v>
      </c>
      <c r="BW404" s="82">
        <f>IFERROR(INDEX('Infos Clientes'!$T:$T,MATCH('Detalhe Por UC'!$C404,'Infos Clientes'!B:B,0)),"")</f>
        <v>384.90909090909093</v>
      </c>
      <c r="BX404" s="83">
        <f t="shared" si="261"/>
        <v>0</v>
      </c>
      <c r="BY404" s="84">
        <f t="shared" si="262"/>
        <v>0.2172978723404255</v>
      </c>
      <c r="BZ404" s="85">
        <f>IF(_xlfn.MINIFS('Detalhe Por UC'!R:R,'Detalhe Por UC'!C:C,C404,'Detalhe Por UC'!AD:AD,"&gt;"&amp;0)=0,"",_xlfn.MINIFS('Detalhe Por UC'!R:R,'Detalhe Por UC'!C:C,C404,'Detalhe Por UC'!AD:AD,"&gt;"&amp;0))</f>
        <v>45658</v>
      </c>
      <c r="CA404" s="114">
        <f ca="1">IF(OR(S404&gt;0,AD404&gt;0),IFERROR(
SUMIFS(INDIRECT("'Infos Clientes'!$W"&amp;INDEX('Infos Clientes'!$C:$C,MATCH(C404,'Infos Clientes'!$H:$H,0))&amp;":$CZ"&amp;INDEX('Infos Clientes'!$C:$C,MATCH(C404,'Infos Clientes'!$H:$H,0))),'Infos Clientes'!$W$2:$CZ$2,"&gt;"&amp;$R404-365,'Infos Clientes'!$W$2:$CZ$2,"&lt;="&amp;$R404)/
COUNTIFS(INDIRECT("'Infos Clientes'!$W"&amp;INDEX('Infos Clientes'!$C:$C,MATCH(C404,'Infos Clientes'!$H:$H,0))&amp;":$CZ"&amp;INDEX('Infos Clientes'!$C:$C,MATCH(C404,'Infos Clientes'!$H:$H,0))),"&gt;="&amp;0,'Infos Clientes'!$W$2:$CZ$2,"&gt;"&amp;$R404-365,'Infos Clientes'!$W$2:$CZ$2,"&lt;="&amp;$R404),""),"")</f>
        <v>290.25</v>
      </c>
      <c r="CB404" s="87">
        <f>VLOOKUP(C404,'Infos Clientes'!B:L,11,0)</f>
        <v>0</v>
      </c>
      <c r="CC404" s="88" t="str">
        <f t="shared" si="263"/>
        <v>A Unidade Consumidora 10/252817-2 economizou R$29,18 na fatura referente à abr/2025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404" s="40" t="s">
        <v>80</v>
      </c>
      <c r="CE404" s="18">
        <v>184.95</v>
      </c>
      <c r="CF404" s="115">
        <f t="shared" si="264"/>
        <v>0</v>
      </c>
    </row>
    <row r="405" spans="1:84" ht="16.2" hidden="1" customHeight="1" x14ac:dyDescent="0.3">
      <c r="A405" s="105" t="str">
        <f>INDEX('Infos Clientes'!$D:$D,MATCH('Detalhe Por UC'!C405,'Infos Clientes'!B:B,0))</f>
        <v>IGREJA DO EVANGELHO QUADRANGULAR</v>
      </c>
      <c r="B405" s="106" t="str">
        <f>INDEX('Infos Clientes'!$F:$F,MATCH('Detalhe Por UC'!C405,'Infos Clientes'!B:B,0))</f>
        <v>62.955.505/1344-49</v>
      </c>
      <c r="C405" s="31" t="s">
        <v>166</v>
      </c>
      <c r="D405" t="s">
        <v>351</v>
      </c>
      <c r="E405" s="1" t="s">
        <v>352</v>
      </c>
      <c r="F405" s="56" t="str">
        <f>INDEX('Infos Clientes'!$I:$I,MATCH('Detalhe Por UC'!C405,'Infos Clientes'!B:B,0))</f>
        <v>BT</v>
      </c>
      <c r="G405" s="56" t="str">
        <f>INDEX('Infos Clientes'!$J:$J,MATCH('Detalhe Por UC'!C405,'Infos Clientes'!B:B,0))</f>
        <v>bifasico</v>
      </c>
      <c r="H405" s="108" t="s">
        <v>138</v>
      </c>
      <c r="I405" s="58">
        <f>IFERROR(VLOOKUP(C405,'Infos Clientes'!B:E,4,),"")</f>
        <v>362</v>
      </c>
      <c r="J405" s="109">
        <v>0.25</v>
      </c>
      <c r="K405" s="59">
        <f>INDEX('Infos Clientes'!$M:$M,MATCH('Detalhe Por UC'!C405,'Infos Clientes'!B:B,0))</f>
        <v>0.25</v>
      </c>
      <c r="L405" s="125">
        <v>0</v>
      </c>
      <c r="M405" s="56">
        <f>INDEX('Infos Clientes'!$N:$N,MATCH('Detalhe Por UC'!C405,'Infos Clientes'!B:B,0))</f>
        <v>0</v>
      </c>
      <c r="N405" s="56">
        <f t="shared" si="229"/>
        <v>0</v>
      </c>
      <c r="O405" s="56">
        <f t="shared" si="230"/>
        <v>11</v>
      </c>
      <c r="P405" s="56">
        <f t="shared" si="265"/>
        <v>0</v>
      </c>
      <c r="Q405" s="61">
        <f>IFERROR(IFERROR(INDEX('Infos Clientes'!$A$2:$V$9884,MATCH($C405,'Infos Clientes'!$B$2:$B$9884,0),MATCH(Q$8,'Infos Clientes'!$A$2:$V$2,0)),"")
+IF(OR(INDEX('Infos Clientes'!$A$2:$V$9884,MATCH($C405,'Infos Clientes'!$B$2:$B$9884,0),MATCH("Tempo de Fidelidade (meses)",'Infos Clientes'!$A$2:$V$2,0))=0,R405&gt;=MAX(R:R)),0,
ROUND((MAX(R:R)-R405)/(365/12),0)),"")</f>
        <v>0</v>
      </c>
      <c r="R405" s="111">
        <v>45748</v>
      </c>
      <c r="S405" s="63">
        <v>0.01</v>
      </c>
      <c r="T405" s="113" t="str">
        <f>IF($H405="GIROSSOL II",AP405/INDEX('Resumo Operacional'!$A$1:$P$1103,17,MATCH('Detalhe Por UC'!$R405,'Resumo Operacional'!$A$1:$P$1,0)),
IF($H405="GIROSSOL II e III",AP405/INDEX('Resumo Operacional'!$A$1:$P$1103,17,MATCH('Detalhe Por UC'!$R405,'Resumo Operacional'!$A$1:$P$1,0)),
""))</f>
        <v/>
      </c>
      <c r="U405" s="113">
        <f>IF($H405="GIROSSOL III",AP405/INDEX('Resumo Operacional'!$A$1:$P$1103,53,MATCH('Detalhe Por UC'!$R405,'Resumo Operacional'!$A$1:$P$1,0)),
IF($H405="GIROSSOL II e III",AP405/INDEX('Resumo Operacional'!$A$1:$P$1103,53,MATCH('Detalhe Por UC'!$R405,'Resumo Operacional'!$A$1:$P$1,0)),
""))</f>
        <v>1.1604293588627792E-2</v>
      </c>
      <c r="V405" s="45"/>
      <c r="W405" s="18"/>
      <c r="X405" s="18">
        <v>1.119404761904762</v>
      </c>
      <c r="Y405" s="18"/>
      <c r="Z405" s="18">
        <v>0.97250000000000014</v>
      </c>
      <c r="AA405" s="18"/>
      <c r="AB405" s="18">
        <v>84</v>
      </c>
      <c r="AC405" s="18"/>
      <c r="AD405" s="18">
        <v>40</v>
      </c>
      <c r="AE405" s="35"/>
      <c r="AF405" s="18">
        <v>302</v>
      </c>
      <c r="AG405" s="18">
        <v>0</v>
      </c>
      <c r="AH405" s="18">
        <v>18.5</v>
      </c>
      <c r="AI405" s="18">
        <v>0</v>
      </c>
      <c r="AJ405" s="18">
        <v>0</v>
      </c>
      <c r="AN405" s="71">
        <f t="shared" si="231"/>
        <v>80</v>
      </c>
      <c r="AO405" s="71">
        <f t="shared" si="232"/>
        <v>0</v>
      </c>
      <c r="AP405" s="71">
        <f t="shared" si="233"/>
        <v>120</v>
      </c>
      <c r="AQ405" s="72">
        <f>IF(OR($H405="GIROSSOL II",$H405="GIROSSOL II e III"),INDEX('Resumo Operacional'!$A$1:$P$1103,MATCH("Energia Injetada prevista total Fatura da Usina (TUSD)",'Resumo Operacional'!$B$1:$B$1103,0),MATCH('Detalhe Por UC'!$R405,'Resumo Operacional'!$A$1:$P$1,0))*$S405,INDEX('Resumo Operacional'!$A$1:$P$1103,53,MATCH('Detalhe Por UC'!$R405,'Resumo Operacional'!$A$1:$P$1,0))*$S405)</f>
        <v>103.41</v>
      </c>
      <c r="AR405" s="71">
        <f t="shared" si="234"/>
        <v>16.590000000000003</v>
      </c>
      <c r="AS405" s="73">
        <f t="shared" si="235"/>
        <v>73.63000000000001</v>
      </c>
      <c r="AT405" s="74">
        <f t="shared" si="236"/>
        <v>73.63000000000001</v>
      </c>
      <c r="AU405" s="74">
        <f t="shared" si="237"/>
        <v>0.82559523809523827</v>
      </c>
      <c r="AV405" s="74">
        <f t="shared" si="238"/>
        <v>29.175000000000004</v>
      </c>
      <c r="AW405" s="74">
        <f t="shared" si="239"/>
        <v>-59.410000000000004</v>
      </c>
      <c r="AX405" s="74">
        <f t="shared" si="240"/>
        <v>-20.509999999999998</v>
      </c>
      <c r="AY405" s="74">
        <f t="shared" si="241"/>
        <v>-30.24</v>
      </c>
      <c r="AZ405" s="136">
        <v>29.18</v>
      </c>
      <c r="BA405" s="136">
        <v>68.08</v>
      </c>
      <c r="BB405" s="136">
        <v>68.08</v>
      </c>
      <c r="BC405" s="73" t="str">
        <f t="shared" si="242"/>
        <v/>
      </c>
      <c r="BD405" s="73">
        <f t="shared" si="243"/>
        <v>112.53000000000002</v>
      </c>
      <c r="BE405" s="73">
        <f t="shared" si="244"/>
        <v>102.80500000000001</v>
      </c>
      <c r="BF405" s="77">
        <f t="shared" si="245"/>
        <v>9.73</v>
      </c>
      <c r="BG405" s="77">
        <f t="shared" si="246"/>
        <v>2.919</v>
      </c>
      <c r="BH405" s="77">
        <f t="shared" si="247"/>
        <v>38.900000000000006</v>
      </c>
      <c r="BI405" s="78">
        <f t="shared" si="248"/>
        <v>-0.47</v>
      </c>
      <c r="BJ405" s="79">
        <f t="shared" si="249"/>
        <v>8.6465831333866511E-2</v>
      </c>
      <c r="BK405" s="80">
        <f t="shared" si="250"/>
        <v>43.390000000000015</v>
      </c>
      <c r="BL405" s="80">
        <f t="shared" si="251"/>
        <v>69.14</v>
      </c>
      <c r="BM405" s="79">
        <f t="shared" si="252"/>
        <v>0.61441393406202782</v>
      </c>
      <c r="BN405" s="81">
        <f t="shared" si="253"/>
        <v>-0.75600000000000001</v>
      </c>
      <c r="BO405" s="82">
        <f t="shared" si="254"/>
        <v>-30.240000000000002</v>
      </c>
      <c r="BP405" s="81">
        <f t="shared" si="255"/>
        <v>-0.75600000000000001</v>
      </c>
      <c r="BQ405" s="81">
        <f t="shared" si="256"/>
        <v>-0.60909523809523813</v>
      </c>
      <c r="BR405" s="81">
        <f t="shared" si="257"/>
        <v>1.119404761904762</v>
      </c>
      <c r="BS405" s="82">
        <f t="shared" si="258"/>
        <v>40</v>
      </c>
      <c r="BT405" s="82">
        <f t="shared" si="259"/>
        <v>44.776190476190479</v>
      </c>
      <c r="BU405" s="82">
        <f t="shared" si="260"/>
        <v>38.900000000000006</v>
      </c>
      <c r="BW405" s="82">
        <f>IFERROR(INDEX('Infos Clientes'!$T:$T,MATCH('Detalhe Por UC'!$C405,'Infos Clientes'!B:B,0)),"")</f>
        <v>140.81818181818181</v>
      </c>
      <c r="BX405" s="83">
        <f t="shared" si="261"/>
        <v>0</v>
      </c>
      <c r="BY405" s="84">
        <f t="shared" si="262"/>
        <v>1.5441242156758481</v>
      </c>
      <c r="BZ405" s="85">
        <f>IF(_xlfn.MINIFS('Detalhe Por UC'!R:R,'Detalhe Por UC'!C:C,C405,'Detalhe Por UC'!AD:AD,"&gt;"&amp;0)=0,"",_xlfn.MINIFS('Detalhe Por UC'!R:R,'Detalhe Por UC'!C:C,C405,'Detalhe Por UC'!AD:AD,"&gt;"&amp;0))</f>
        <v>45658</v>
      </c>
      <c r="CA405" s="114">
        <f ca="1">IF(OR(S405&gt;0,AD405&gt;0),IFERROR(
SUMIFS(INDIRECT("'Infos Clientes'!$W"&amp;INDEX('Infos Clientes'!$C:$C,MATCH(C405,'Infos Clientes'!$H:$H,0))&amp;":$CZ"&amp;INDEX('Infos Clientes'!$C:$C,MATCH(C405,'Infos Clientes'!$H:$H,0))),'Infos Clientes'!$W$2:$CZ$2,"&gt;"&amp;$R405-365,'Infos Clientes'!$W$2:$CZ$2,"&lt;="&amp;$R405)/
COUNTIFS(INDIRECT("'Infos Clientes'!$W"&amp;INDEX('Infos Clientes'!$C:$C,MATCH(C405,'Infos Clientes'!$H:$H,0))&amp;":$CZ"&amp;INDEX('Infos Clientes'!$C:$C,MATCH(C405,'Infos Clientes'!$H:$H,0))),"&gt;="&amp;0,'Infos Clientes'!$W$2:$CZ$2,"&gt;"&amp;$R405-365,'Infos Clientes'!$W$2:$CZ$2,"&lt;="&amp;$R405),""),"")</f>
        <v>74.416666666666671</v>
      </c>
      <c r="CB405" s="87">
        <f>VLOOKUP(C405,'Infos Clientes'!B:L,11,0)</f>
        <v>0</v>
      </c>
      <c r="CC405" s="88" t="str">
        <f t="shared" si="263"/>
        <v>A Unidade Consumidora 10/175073-6 economizou R$9,73 na fatura referente à abr/2025  consumindo 40 kWh em créditos de energia renovável conforme fatura de energia. A economia foi de 25% em relação ao que seria pago para a Energisa considerando os créditos consumidos. Atenção: Mantenha as contas da Energisa em dia para evitar cortes.</v>
      </c>
      <c r="CD405" s="40" t="s">
        <v>59</v>
      </c>
      <c r="CE405" s="18">
        <v>73.63</v>
      </c>
      <c r="CF405" s="115">
        <f t="shared" si="264"/>
        <v>0</v>
      </c>
    </row>
    <row r="406" spans="1:84" ht="16.2" hidden="1" customHeight="1" x14ac:dyDescent="0.3">
      <c r="A406" s="105" t="str">
        <f>INDEX('Infos Clientes'!$D:$D,MATCH('Detalhe Por UC'!C406,'Infos Clientes'!B:B,0))</f>
        <v>IGREJA DO EVANGELHO QUADRANGULAR</v>
      </c>
      <c r="B406" s="106" t="str">
        <f>INDEX('Infos Clientes'!$F:$F,MATCH('Detalhe Por UC'!C406,'Infos Clientes'!B:B,0))</f>
        <v>62.955.505/0159-46</v>
      </c>
      <c r="C406" s="31" t="s">
        <v>231</v>
      </c>
      <c r="D406" t="s">
        <v>351</v>
      </c>
      <c r="E406" s="1" t="s">
        <v>352</v>
      </c>
      <c r="F406" s="56" t="str">
        <f>INDEX('Infos Clientes'!$I:$I,MATCH('Detalhe Por UC'!C406,'Infos Clientes'!B:B,0))</f>
        <v>BT</v>
      </c>
      <c r="G406" s="56" t="str">
        <f>INDEX('Infos Clientes'!$J:$J,MATCH('Detalhe Por UC'!C406,'Infos Clientes'!B:B,0))</f>
        <v>trifasico</v>
      </c>
      <c r="H406" s="108" t="s">
        <v>138</v>
      </c>
      <c r="I406" s="58">
        <f>IFERROR(VLOOKUP(C406,'Infos Clientes'!B:E,4,),"")</f>
        <v>302</v>
      </c>
      <c r="J406" s="109">
        <v>0.25</v>
      </c>
      <c r="K406" s="59">
        <f>INDEX('Infos Clientes'!$M:$M,MATCH('Detalhe Por UC'!C406,'Infos Clientes'!B:B,0))</f>
        <v>0.25</v>
      </c>
      <c r="M406" s="56">
        <f>INDEX('Infos Clientes'!$N:$N,MATCH('Detalhe Por UC'!C406,'Infos Clientes'!B:B,0))</f>
        <v>0</v>
      </c>
      <c r="N406" s="56">
        <f t="shared" si="229"/>
        <v>0</v>
      </c>
      <c r="O406" s="56">
        <f t="shared" si="230"/>
        <v>9</v>
      </c>
      <c r="P406" s="56">
        <f t="shared" si="265"/>
        <v>0</v>
      </c>
      <c r="Q406" s="61">
        <f>IFERROR(IFERROR(INDEX('Infos Clientes'!$A$2:$V$9884,MATCH($C406,'Infos Clientes'!$B$2:$B$9884,0),MATCH(Q$8,'Infos Clientes'!$A$2:$V$2,0)),"")
+IF(OR(INDEX('Infos Clientes'!$A$2:$V$9884,MATCH($C406,'Infos Clientes'!$B$2:$B$9884,0),MATCH("Tempo de Fidelidade (meses)",'Infos Clientes'!$A$2:$V$2,0))=0,R406&gt;=MAX(R:R)),0,
ROUND((MAX(R:R)-R406)/(365/12),0)),"")</f>
        <v>0</v>
      </c>
      <c r="R406" s="111">
        <v>45748</v>
      </c>
      <c r="S406" s="63">
        <v>0.03</v>
      </c>
      <c r="T406" s="113" t="str">
        <f>IF($H406="GIROSSOL II",AP406/INDEX('Resumo Operacional'!$A$1:$P$1103,17,MATCH('Detalhe Por UC'!$R406,'Resumo Operacional'!$A$1:$P$1,0)),
IF($H406="GIROSSOL II e III",AP406/INDEX('Resumo Operacional'!$A$1:$P$1103,17,MATCH('Detalhe Por UC'!$R406,'Resumo Operacional'!$A$1:$P$1,0)),
""))</f>
        <v/>
      </c>
      <c r="U406" s="113">
        <f>IF($H406="GIROSSOL III",AP406/INDEX('Resumo Operacional'!$A$1:$P$1103,53,MATCH('Detalhe Por UC'!$R406,'Resumo Operacional'!$A$1:$P$1,0)),
IF($H406="GIROSSOL II e III",AP406/INDEX('Resumo Operacional'!$A$1:$P$1103,53,MATCH('Detalhe Por UC'!$R406,'Resumo Operacional'!$A$1:$P$1,0)),
""))</f>
        <v>3.4909583212455277E-2</v>
      </c>
      <c r="V406" s="45"/>
      <c r="W406" s="18"/>
      <c r="X406" s="18">
        <v>1.1190514905149052</v>
      </c>
      <c r="Y406" s="18"/>
      <c r="Z406" s="18">
        <v>0.9727244582043344</v>
      </c>
      <c r="AA406" s="18"/>
      <c r="AB406" s="18">
        <v>369</v>
      </c>
      <c r="AC406" s="18"/>
      <c r="AD406" s="18">
        <v>323</v>
      </c>
      <c r="AE406" s="35"/>
      <c r="AF406" s="18">
        <v>38</v>
      </c>
      <c r="AG406" s="18">
        <v>0</v>
      </c>
      <c r="AH406" s="18">
        <v>37</v>
      </c>
      <c r="AI406" s="18">
        <v>0</v>
      </c>
      <c r="AJ406" s="18">
        <v>0</v>
      </c>
      <c r="AN406" s="71">
        <f t="shared" si="231"/>
        <v>38</v>
      </c>
      <c r="AO406" s="71">
        <f t="shared" si="232"/>
        <v>0</v>
      </c>
      <c r="AP406" s="71">
        <f t="shared" si="233"/>
        <v>361</v>
      </c>
      <c r="AQ406" s="72">
        <f>IF(OR($H406="GIROSSOL II",$H406="GIROSSOL II e III"),INDEX('Resumo Operacional'!$A$1:$P$1103,MATCH("Energia Injetada prevista total Fatura da Usina (TUSD)",'Resumo Operacional'!$B$1:$B$1103,0),MATCH('Detalhe Por UC'!$R406,'Resumo Operacional'!$A$1:$P$1,0))*$S406,INDEX('Resumo Operacional'!$A$1:$P$1103,53,MATCH('Detalhe Por UC'!$R406,'Resumo Operacional'!$A$1:$P$1,0))*$S406)</f>
        <v>310.22999999999996</v>
      </c>
      <c r="AR406" s="71">
        <f t="shared" si="234"/>
        <v>50.770000000000039</v>
      </c>
      <c r="AS406" s="73">
        <f t="shared" si="235"/>
        <v>135.74</v>
      </c>
      <c r="AT406" s="74">
        <f t="shared" si="236"/>
        <v>135.74</v>
      </c>
      <c r="AU406" s="74">
        <f t="shared" si="237"/>
        <v>0.82639742589376364</v>
      </c>
      <c r="AV406" s="74">
        <f t="shared" si="238"/>
        <v>235.64250000000001</v>
      </c>
      <c r="AW406" s="74">
        <f t="shared" si="239"/>
        <v>0</v>
      </c>
      <c r="AX406" s="74">
        <f t="shared" si="240"/>
        <v>314.19</v>
      </c>
      <c r="AY406" s="74">
        <f t="shared" si="241"/>
        <v>235.64</v>
      </c>
      <c r="AZ406" s="117">
        <v>235.64</v>
      </c>
      <c r="BA406" s="117">
        <v>235.64</v>
      </c>
      <c r="BB406" s="49">
        <v>235.64</v>
      </c>
      <c r="BC406" s="73" t="str">
        <f t="shared" si="242"/>
        <v/>
      </c>
      <c r="BD406" s="73">
        <f t="shared" si="243"/>
        <v>449.93</v>
      </c>
      <c r="BE406" s="73">
        <f t="shared" si="244"/>
        <v>371.38250000000005</v>
      </c>
      <c r="BF406" s="77">
        <f t="shared" si="245"/>
        <v>78.55</v>
      </c>
      <c r="BG406" s="77">
        <f t="shared" si="246"/>
        <v>23.564999999999998</v>
      </c>
      <c r="BH406" s="77">
        <f t="shared" si="247"/>
        <v>314.19</v>
      </c>
      <c r="BI406" s="78">
        <f t="shared" si="248"/>
        <v>0.25</v>
      </c>
      <c r="BJ406" s="79">
        <f t="shared" si="249"/>
        <v>0.17458271286644589</v>
      </c>
      <c r="BK406" s="80">
        <f t="shared" si="250"/>
        <v>371.38</v>
      </c>
      <c r="BL406" s="80">
        <f t="shared" si="251"/>
        <v>78.550000000000011</v>
      </c>
      <c r="BM406" s="79">
        <f t="shared" si="252"/>
        <v>0.17458271286644592</v>
      </c>
      <c r="BN406" s="81">
        <f t="shared" si="253"/>
        <v>0.72953560371517023</v>
      </c>
      <c r="BO406" s="82">
        <f t="shared" si="254"/>
        <v>235.64</v>
      </c>
      <c r="BP406" s="81">
        <f t="shared" si="255"/>
        <v>0.72953560371517023</v>
      </c>
      <c r="BQ406" s="81">
        <f t="shared" si="256"/>
        <v>0.87586263602574099</v>
      </c>
      <c r="BR406" s="81">
        <f t="shared" si="257"/>
        <v>1.1190514905149052</v>
      </c>
      <c r="BS406" s="82">
        <f t="shared" si="258"/>
        <v>323</v>
      </c>
      <c r="BT406" s="82">
        <f t="shared" si="259"/>
        <v>361.45363143631437</v>
      </c>
      <c r="BU406" s="82">
        <f t="shared" si="260"/>
        <v>314.19</v>
      </c>
      <c r="BW406" s="82">
        <f>IFERROR(INDEX('Infos Clientes'!$T:$T,MATCH('Detalhe Por UC'!$C406,'Infos Clientes'!B:B,0)),"")</f>
        <v>461.45454545454544</v>
      </c>
      <c r="BX406" s="83">
        <f t="shared" si="261"/>
        <v>0</v>
      </c>
      <c r="BY406" s="84">
        <f t="shared" si="262"/>
        <v>0.21731694792459152</v>
      </c>
      <c r="BZ406" s="85">
        <f>IF(_xlfn.MINIFS('Detalhe Por UC'!R:R,'Detalhe Por UC'!C:C,C406,'Detalhe Por UC'!AD:AD,"&gt;"&amp;0)=0,"",_xlfn.MINIFS('Detalhe Por UC'!R:R,'Detalhe Por UC'!C:C,C406,'Detalhe Por UC'!AD:AD,"&gt;"&amp;0))</f>
        <v>45658</v>
      </c>
      <c r="CA406" s="114">
        <f ca="1">IF(OR(S406&gt;0,AD406&gt;0),IFERROR(
SUMIFS(INDIRECT("'Infos Clientes'!$W"&amp;INDEX('Infos Clientes'!$C:$C,MATCH(C406,'Infos Clientes'!$H:$H,0))&amp;":$CZ"&amp;INDEX('Infos Clientes'!$C:$C,MATCH(C406,'Infos Clientes'!$H:$H,0))),'Infos Clientes'!$W$2:$CZ$2,"&gt;"&amp;$R406-365,'Infos Clientes'!$W$2:$CZ$2,"&lt;="&amp;$R406)/
COUNTIFS(INDIRECT("'Infos Clientes'!$W"&amp;INDEX('Infos Clientes'!$C:$C,MATCH(C406,'Infos Clientes'!$H:$H,0))&amp;":$CZ"&amp;INDEX('Infos Clientes'!$C:$C,MATCH(C406,'Infos Clientes'!$H:$H,0))),"&gt;="&amp;0,'Infos Clientes'!$W$2:$CZ$2,"&gt;"&amp;$R406-365,'Infos Clientes'!$W$2:$CZ$2,"&lt;="&amp;$R406),""),"")</f>
        <v>400.91666666666669</v>
      </c>
      <c r="CB406" s="87">
        <f>VLOOKUP(C406,'Infos Clientes'!B:L,11,0)</f>
        <v>0</v>
      </c>
      <c r="CC406" s="88" t="str">
        <f t="shared" si="263"/>
        <v>A Unidade Consumidora 10/81222-2 economizou R$78,55 na fatura referente à abr/2025  consumindo 323 kWh em créditos de energia renovável conforme fatura de energia. A economia foi de 25% em relação ao que seria pago para a Energisa considerando os créditos consumidos. Atenção: Mantenha as contas da Energisa em dia para evitar cortes.</v>
      </c>
      <c r="CD406" s="40" t="s">
        <v>249</v>
      </c>
      <c r="CE406" s="18">
        <v>135.74</v>
      </c>
      <c r="CF406" s="115">
        <f t="shared" si="264"/>
        <v>0</v>
      </c>
    </row>
    <row r="407" spans="1:84" ht="16.2" hidden="1" customHeight="1" x14ac:dyDescent="0.3">
      <c r="A407" s="105" t="str">
        <f>INDEX('Infos Clientes'!$D:$D,MATCH('Detalhe Por UC'!C407,'Infos Clientes'!B:B,0))</f>
        <v>IGREJA DO EVANGELHO QUADRANGULAR</v>
      </c>
      <c r="B407" s="106" t="str">
        <f>INDEX('Infos Clientes'!$F:$F,MATCH('Detalhe Por UC'!C407,'Infos Clientes'!B:B,0))</f>
        <v>62.955.505/0161-60</v>
      </c>
      <c r="C407" s="31" t="s">
        <v>163</v>
      </c>
      <c r="D407" t="s">
        <v>351</v>
      </c>
      <c r="E407" s="1" t="s">
        <v>352</v>
      </c>
      <c r="F407" s="56" t="str">
        <f>INDEX('Infos Clientes'!$I:$I,MATCH('Detalhe Por UC'!C407,'Infos Clientes'!B:B,0))</f>
        <v>BT</v>
      </c>
      <c r="G407" s="56" t="str">
        <f>INDEX('Infos Clientes'!$J:$J,MATCH('Detalhe Por UC'!C407,'Infos Clientes'!B:B,0))</f>
        <v>trifasico</v>
      </c>
      <c r="H407" s="108" t="s">
        <v>138</v>
      </c>
      <c r="I407" s="58">
        <f>IFERROR(VLOOKUP(C407,'Infos Clientes'!B:E,4,),"")</f>
        <v>302</v>
      </c>
      <c r="J407" s="109">
        <v>0.25</v>
      </c>
      <c r="K407" s="59">
        <f>INDEX('Infos Clientes'!$M:$M,MATCH('Detalhe Por UC'!C407,'Infos Clientes'!B:B,0))</f>
        <v>0.25</v>
      </c>
      <c r="L407" s="125">
        <v>0</v>
      </c>
      <c r="M407" s="56">
        <f>INDEX('Infos Clientes'!$N:$N,MATCH('Detalhe Por UC'!C407,'Infos Clientes'!B:B,0))</f>
        <v>0</v>
      </c>
      <c r="N407" s="56">
        <f t="shared" si="229"/>
        <v>0</v>
      </c>
      <c r="O407" s="56">
        <f t="shared" si="230"/>
        <v>9</v>
      </c>
      <c r="P407" s="56">
        <f t="shared" si="265"/>
        <v>0</v>
      </c>
      <c r="Q407" s="61">
        <f>IFERROR(IFERROR(INDEX('Infos Clientes'!$A$2:$V$9884,MATCH($C407,'Infos Clientes'!$B$2:$B$9884,0),MATCH(Q$8,'Infos Clientes'!$A$2:$V$2,0)),"")
+IF(OR(INDEX('Infos Clientes'!$A$2:$V$9884,MATCH($C407,'Infos Clientes'!$B$2:$B$9884,0),MATCH("Tempo de Fidelidade (meses)",'Infos Clientes'!$A$2:$V$2,0))=0,R407&gt;=MAX(R:R)),0,
ROUND((MAX(R:R)-R407)/(365/12),0)),"")</f>
        <v>0</v>
      </c>
      <c r="R407" s="111">
        <v>45748</v>
      </c>
      <c r="S407" s="63">
        <v>0.02</v>
      </c>
      <c r="T407" s="113" t="str">
        <f>IF($H407="GIROSSOL II",AP407/INDEX('Resumo Operacional'!$A$1:$P$1103,17,MATCH('Detalhe Por UC'!$R407,'Resumo Operacional'!$A$1:$P$1,0)),
IF($H407="GIROSSOL II e III",AP407/INDEX('Resumo Operacional'!$A$1:$P$1103,17,MATCH('Detalhe Por UC'!$R407,'Resumo Operacional'!$A$1:$P$1,0)),
""))</f>
        <v/>
      </c>
      <c r="U407" s="113">
        <f>IF($H407="GIROSSOL III",AP407/INDEX('Resumo Operacional'!$A$1:$P$1103,53,MATCH('Detalhe Por UC'!$R407,'Resumo Operacional'!$A$1:$P$1,0)),
IF($H407="GIROSSOL II e III",AP407/INDEX('Resumo Operacional'!$A$1:$P$1103,53,MATCH('Detalhe Por UC'!$R407,'Resumo Operacional'!$A$1:$P$1,0)),
""))</f>
        <v>2.3208587177255584E-2</v>
      </c>
      <c r="V407" s="45"/>
      <c r="W407" s="18"/>
      <c r="X407" s="18">
        <v>1.1168888888888888</v>
      </c>
      <c r="Y407" s="18"/>
      <c r="Z407" s="18">
        <v>0.97375000000000012</v>
      </c>
      <c r="AA407" s="18"/>
      <c r="AB407" s="18">
        <v>540</v>
      </c>
      <c r="AC407" s="18"/>
      <c r="AD407" s="18">
        <v>240</v>
      </c>
      <c r="AE407" s="35"/>
      <c r="AF407" s="18">
        <v>0</v>
      </c>
      <c r="AG407" s="18">
        <v>0</v>
      </c>
      <c r="AH407" s="18">
        <v>109.16</v>
      </c>
      <c r="AI407" s="18">
        <v>0</v>
      </c>
      <c r="AJ407" s="18">
        <v>0</v>
      </c>
      <c r="AN407" s="71">
        <f t="shared" si="231"/>
        <v>0</v>
      </c>
      <c r="AO407" s="71">
        <f t="shared" si="232"/>
        <v>0</v>
      </c>
      <c r="AP407" s="71">
        <f t="shared" si="233"/>
        <v>240</v>
      </c>
      <c r="AQ407" s="72">
        <f>IF(OR($H407="GIROSSOL II",$H407="GIROSSOL II e III"),INDEX('Resumo Operacional'!$A$1:$P$1103,MATCH("Energia Injetada prevista total Fatura da Usina (TUSD)",'Resumo Operacional'!$B$1:$B$1103,0),MATCH('Detalhe Por UC'!$R407,'Resumo Operacional'!$A$1:$P$1,0))*$S407,INDEX('Resumo Operacional'!$A$1:$P$1103,53,MATCH('Detalhe Por UC'!$R407,'Resumo Operacional'!$A$1:$P$1,0))*$S407)</f>
        <v>206.82</v>
      </c>
      <c r="AR407" s="71">
        <f t="shared" si="234"/>
        <v>33.180000000000007</v>
      </c>
      <c r="AS407" s="73">
        <f t="shared" si="235"/>
        <v>478.57999999999993</v>
      </c>
      <c r="AT407" s="74">
        <f t="shared" si="236"/>
        <v>478.57999999999993</v>
      </c>
      <c r="AU407" s="74">
        <f t="shared" si="237"/>
        <v>0.83061111111111141</v>
      </c>
      <c r="AV407" s="74">
        <f t="shared" si="238"/>
        <v>175.27500000000003</v>
      </c>
      <c r="AW407" s="74">
        <f t="shared" si="239"/>
        <v>0</v>
      </c>
      <c r="AX407" s="74">
        <f t="shared" si="240"/>
        <v>233.70000000000002</v>
      </c>
      <c r="AY407" s="74">
        <f t="shared" si="241"/>
        <v>175.28</v>
      </c>
      <c r="AZ407" s="117">
        <v>175.28</v>
      </c>
      <c r="BA407" s="117">
        <v>175.28</v>
      </c>
      <c r="BB407" s="49">
        <v>175.28</v>
      </c>
      <c r="BC407" s="73" t="str">
        <f t="shared" si="242"/>
        <v/>
      </c>
      <c r="BD407" s="73">
        <f t="shared" si="243"/>
        <v>712.28</v>
      </c>
      <c r="BE407" s="73">
        <f t="shared" si="244"/>
        <v>653.85500000000002</v>
      </c>
      <c r="BF407" s="77">
        <f t="shared" si="245"/>
        <v>58.43</v>
      </c>
      <c r="BG407" s="77">
        <f t="shared" si="246"/>
        <v>17.529</v>
      </c>
      <c r="BH407" s="77">
        <f t="shared" si="247"/>
        <v>233.70000000000005</v>
      </c>
      <c r="BI407" s="78">
        <f t="shared" si="248"/>
        <v>0.25</v>
      </c>
      <c r="BJ407" s="79">
        <f t="shared" si="249"/>
        <v>8.203234682989835E-2</v>
      </c>
      <c r="BK407" s="80">
        <f t="shared" si="250"/>
        <v>653.8599999999999</v>
      </c>
      <c r="BL407" s="80">
        <f t="shared" si="251"/>
        <v>58.420000000000073</v>
      </c>
      <c r="BM407" s="79">
        <f t="shared" si="252"/>
        <v>8.2018307407199523E-2</v>
      </c>
      <c r="BN407" s="81">
        <f t="shared" si="253"/>
        <v>0.73033333333333339</v>
      </c>
      <c r="BO407" s="82">
        <f t="shared" si="254"/>
        <v>175.28</v>
      </c>
      <c r="BP407" s="81">
        <f t="shared" si="255"/>
        <v>0.73033333333333339</v>
      </c>
      <c r="BQ407" s="81">
        <f t="shared" si="256"/>
        <v>0.87347222222222209</v>
      </c>
      <c r="BR407" s="81">
        <f t="shared" si="257"/>
        <v>1.1168888888888888</v>
      </c>
      <c r="BS407" s="82">
        <f t="shared" si="258"/>
        <v>240</v>
      </c>
      <c r="BT407" s="82">
        <f t="shared" si="259"/>
        <v>268.05333333333334</v>
      </c>
      <c r="BU407" s="82">
        <f t="shared" si="260"/>
        <v>233.70000000000002</v>
      </c>
      <c r="BW407" s="82">
        <f>IFERROR(INDEX('Infos Clientes'!$T:$T,MATCH('Detalhe Por UC'!$C407,'Infos Clientes'!B:B,0)),"")</f>
        <v>393</v>
      </c>
      <c r="BX407" s="83">
        <f t="shared" si="261"/>
        <v>0</v>
      </c>
      <c r="BY407" s="84">
        <f t="shared" si="262"/>
        <v>0.21794170314365308</v>
      </c>
      <c r="BZ407" s="85">
        <f>IF(_xlfn.MINIFS('Detalhe Por UC'!R:R,'Detalhe Por UC'!C:C,C407,'Detalhe Por UC'!AD:AD,"&gt;"&amp;0)=0,"",_xlfn.MINIFS('Detalhe Por UC'!R:R,'Detalhe Por UC'!C:C,C407,'Detalhe Por UC'!AD:AD,"&gt;"&amp;0))</f>
        <v>45658</v>
      </c>
      <c r="CA407" s="114">
        <f ca="1">IF(OR(S407&gt;0,AD407&gt;0),IFERROR(
SUMIFS(INDIRECT("'Infos Clientes'!$W"&amp;INDEX('Infos Clientes'!$C:$C,MATCH(C407,'Infos Clientes'!$H:$H,0))&amp;":$CZ"&amp;INDEX('Infos Clientes'!$C:$C,MATCH(C407,'Infos Clientes'!$H:$H,0))),'Infos Clientes'!$W$2:$CZ$2,"&gt;"&amp;$R407-365,'Infos Clientes'!$W$2:$CZ$2,"&lt;="&amp;$R407)/
COUNTIFS(INDIRECT("'Infos Clientes'!$W"&amp;INDEX('Infos Clientes'!$C:$C,MATCH(C407,'Infos Clientes'!$H:$H,0))&amp;":$CZ"&amp;INDEX('Infos Clientes'!$C:$C,MATCH(C407,'Infos Clientes'!$H:$H,0))),"&gt;="&amp;0,'Infos Clientes'!$W$2:$CZ$2,"&gt;"&amp;$R407-365,'Infos Clientes'!$W$2:$CZ$2,"&lt;="&amp;$R407),""),"")</f>
        <v>218</v>
      </c>
      <c r="CB407" s="87">
        <f>VLOOKUP(C407,'Infos Clientes'!B:L,11,0)</f>
        <v>0</v>
      </c>
      <c r="CC407" s="88" t="str">
        <f t="shared" si="263"/>
        <v>A Unidade Consumidora 10/1674177-9 economizou R$58,43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07" s="40" t="s">
        <v>56</v>
      </c>
      <c r="CE407" s="18">
        <v>478.58</v>
      </c>
      <c r="CF407" s="115">
        <f t="shared" si="264"/>
        <v>0</v>
      </c>
    </row>
    <row r="408" spans="1:84" ht="16.2" hidden="1" customHeight="1" x14ac:dyDescent="0.3">
      <c r="A408" s="105" t="str">
        <f>INDEX('Infos Clientes'!$D:$D,MATCH('Detalhe Por UC'!C408,'Infos Clientes'!B:B,0))</f>
        <v>IGREJA DO EVANGELHO QUADRANGULAR</v>
      </c>
      <c r="B408" s="106" t="str">
        <f>INDEX('Infos Clientes'!$F:$F,MATCH('Detalhe Por UC'!C408,'Infos Clientes'!B:B,0))</f>
        <v>62.955.505/1364-92</v>
      </c>
      <c r="C408" s="31" t="s">
        <v>223</v>
      </c>
      <c r="D408" t="s">
        <v>351</v>
      </c>
      <c r="E408" s="1" t="s">
        <v>352</v>
      </c>
      <c r="F408" s="56" t="str">
        <f>INDEX('Infos Clientes'!$I:$I,MATCH('Detalhe Por UC'!C408,'Infos Clientes'!B:B,0))</f>
        <v>BT</v>
      </c>
      <c r="G408" s="56" t="str">
        <f>INDEX('Infos Clientes'!$J:$J,MATCH('Detalhe Por UC'!C408,'Infos Clientes'!B:B,0))</f>
        <v>trifasico</v>
      </c>
      <c r="H408" s="108" t="s">
        <v>138</v>
      </c>
      <c r="I408" s="58">
        <f>IFERROR(VLOOKUP(C408,'Infos Clientes'!B:E,4,),"")</f>
        <v>319</v>
      </c>
      <c r="J408" s="109">
        <v>0.25</v>
      </c>
      <c r="K408" s="59">
        <f>INDEX('Infos Clientes'!$M:$M,MATCH('Detalhe Por UC'!C408,'Infos Clientes'!B:B,0))</f>
        <v>0.25</v>
      </c>
      <c r="L408" s="125">
        <v>0</v>
      </c>
      <c r="M408" s="56">
        <f>INDEX('Infos Clientes'!$N:$N,MATCH('Detalhe Por UC'!C408,'Infos Clientes'!B:B,0))</f>
        <v>0</v>
      </c>
      <c r="N408" s="56">
        <f t="shared" si="229"/>
        <v>0</v>
      </c>
      <c r="O408" s="56">
        <f t="shared" si="230"/>
        <v>9</v>
      </c>
      <c r="P408" s="56">
        <f t="shared" si="265"/>
        <v>0</v>
      </c>
      <c r="Q408" s="61">
        <f>IFERROR(IFERROR(INDEX('Infos Clientes'!$A$2:$V$9884,MATCH($C408,'Infos Clientes'!$B$2:$B$9884,0),MATCH(Q$8,'Infos Clientes'!$A$2:$V$2,0)),"")
+IF(OR(INDEX('Infos Clientes'!$A$2:$V$9884,MATCH($C408,'Infos Clientes'!$B$2:$B$9884,0),MATCH("Tempo de Fidelidade (meses)",'Infos Clientes'!$A$2:$V$2,0))=0,R408&gt;=MAX(R:R)),0,
ROUND((MAX(R:R)-R408)/(365/12),0)),"")</f>
        <v>0</v>
      </c>
      <c r="R408" s="111">
        <v>45748</v>
      </c>
      <c r="S408" s="63">
        <v>0.03</v>
      </c>
      <c r="T408" s="113" t="str">
        <f>IF($H408="GIROSSOL II",AP408/INDEX('Resumo Operacional'!$A$1:$P$1103,17,MATCH('Detalhe Por UC'!$R408,'Resumo Operacional'!$A$1:$P$1,0)),
IF($H408="GIROSSOL II e III",AP408/INDEX('Resumo Operacional'!$A$1:$P$1103,17,MATCH('Detalhe Por UC'!$R408,'Resumo Operacional'!$A$1:$P$1,0)),
""))</f>
        <v/>
      </c>
      <c r="U408" s="113">
        <f>IF($H408="GIROSSOL III",AP408/INDEX('Resumo Operacional'!$A$1:$P$1103,53,MATCH('Detalhe Por UC'!$R408,'Resumo Operacional'!$A$1:$P$1,0)),
IF($H408="GIROSSOL II e III",AP408/INDEX('Resumo Operacional'!$A$1:$P$1103,53,MATCH('Detalhe Por UC'!$R408,'Resumo Operacional'!$A$1:$P$1,0)),
""))</f>
        <v>3.4909583212455277E-2</v>
      </c>
      <c r="V408" s="45"/>
      <c r="W408" s="18"/>
      <c r="X408" s="18">
        <v>1.1175746268656717</v>
      </c>
      <c r="Y408" s="18"/>
      <c r="Z408" s="18">
        <v>0.97338308457711442</v>
      </c>
      <c r="AA408" s="18"/>
      <c r="AB408" s="18">
        <v>268</v>
      </c>
      <c r="AC408" s="18"/>
      <c r="AD408" s="18">
        <v>201</v>
      </c>
      <c r="AE408" s="35"/>
      <c r="AF408" s="18">
        <v>160</v>
      </c>
      <c r="AG408" s="18">
        <v>0</v>
      </c>
      <c r="AH408" s="18">
        <v>59.51</v>
      </c>
      <c r="AI408" s="18">
        <v>0</v>
      </c>
      <c r="AJ408" s="18">
        <v>0</v>
      </c>
      <c r="AN408" s="71">
        <f t="shared" si="231"/>
        <v>160</v>
      </c>
      <c r="AO408" s="71">
        <f t="shared" si="232"/>
        <v>0</v>
      </c>
      <c r="AP408" s="71">
        <f t="shared" si="233"/>
        <v>361</v>
      </c>
      <c r="AQ408" s="72">
        <f>IF(OR($H408="GIROSSOL II",$H408="GIROSSOL II e III"),INDEX('Resumo Operacional'!$A$1:$P$1103,MATCH("Energia Injetada prevista total Fatura da Usina (TUSD)",'Resumo Operacional'!$B$1:$B$1103,0),MATCH('Detalhe Por UC'!$R408,'Resumo Operacional'!$A$1:$P$1,0))*$S408,INDEX('Resumo Operacional'!$A$1:$P$1103,53,MATCH('Detalhe Por UC'!$R408,'Resumo Operacional'!$A$1:$P$1,0))*$S408)</f>
        <v>310.22999999999996</v>
      </c>
      <c r="AR408" s="71">
        <f t="shared" si="234"/>
        <v>50.770000000000039</v>
      </c>
      <c r="AS408" s="73">
        <f t="shared" si="235"/>
        <v>163.36999999999998</v>
      </c>
      <c r="AT408" s="74">
        <f t="shared" si="236"/>
        <v>163.36999999999998</v>
      </c>
      <c r="AU408" s="74">
        <f t="shared" si="237"/>
        <v>0.82919154228855718</v>
      </c>
      <c r="AV408" s="74">
        <f t="shared" si="238"/>
        <v>146.73750000000001</v>
      </c>
      <c r="AW408" s="74">
        <f t="shared" si="239"/>
        <v>0</v>
      </c>
      <c r="AX408" s="74">
        <f t="shared" si="240"/>
        <v>195.65</v>
      </c>
      <c r="AY408" s="74">
        <f t="shared" si="241"/>
        <v>146.74</v>
      </c>
      <c r="AZ408" s="117">
        <v>146.74</v>
      </c>
      <c r="BA408" s="117">
        <v>146.74</v>
      </c>
      <c r="BB408" s="49">
        <v>146.74</v>
      </c>
      <c r="BC408" s="73" t="str">
        <f t="shared" si="242"/>
        <v/>
      </c>
      <c r="BD408" s="73">
        <f t="shared" si="243"/>
        <v>359.02</v>
      </c>
      <c r="BE408" s="73">
        <f t="shared" si="244"/>
        <v>310.10749999999996</v>
      </c>
      <c r="BF408" s="77">
        <f t="shared" si="245"/>
        <v>48.91</v>
      </c>
      <c r="BG408" s="77">
        <f t="shared" si="246"/>
        <v>14.672999999999998</v>
      </c>
      <c r="BH408" s="77">
        <f t="shared" si="247"/>
        <v>195.64999999999998</v>
      </c>
      <c r="BI408" s="78">
        <f t="shared" si="248"/>
        <v>0.25</v>
      </c>
      <c r="BJ408" s="79">
        <f t="shared" si="249"/>
        <v>0.13623196479304775</v>
      </c>
      <c r="BK408" s="80">
        <f t="shared" si="250"/>
        <v>310.11</v>
      </c>
      <c r="BL408" s="80">
        <f t="shared" si="251"/>
        <v>48.909999999999968</v>
      </c>
      <c r="BM408" s="79">
        <f t="shared" si="252"/>
        <v>0.13623196479304767</v>
      </c>
      <c r="BN408" s="81">
        <f t="shared" si="253"/>
        <v>0.73004975124378113</v>
      </c>
      <c r="BO408" s="82">
        <f t="shared" si="254"/>
        <v>146.74</v>
      </c>
      <c r="BP408" s="81">
        <f t="shared" si="255"/>
        <v>0.73004975124378113</v>
      </c>
      <c r="BQ408" s="81">
        <f t="shared" si="256"/>
        <v>0.87424129353233837</v>
      </c>
      <c r="BR408" s="81">
        <f t="shared" si="257"/>
        <v>1.1175746268656717</v>
      </c>
      <c r="BS408" s="82">
        <f t="shared" si="258"/>
        <v>201</v>
      </c>
      <c r="BT408" s="82">
        <f t="shared" si="259"/>
        <v>224.63249999999999</v>
      </c>
      <c r="BU408" s="82">
        <f t="shared" si="260"/>
        <v>195.65</v>
      </c>
      <c r="BW408" s="82">
        <f>IFERROR(INDEX('Infos Clientes'!$T:$T,MATCH('Detalhe Por UC'!$C408,'Infos Clientes'!B:B,0)),"")</f>
        <v>315</v>
      </c>
      <c r="BX408" s="83">
        <f t="shared" si="261"/>
        <v>0</v>
      </c>
      <c r="BY408" s="84">
        <f t="shared" si="262"/>
        <v>0.21773340901249816</v>
      </c>
      <c r="BZ408" s="85">
        <f>IF(_xlfn.MINIFS('Detalhe Por UC'!R:R,'Detalhe Por UC'!C:C,C408,'Detalhe Por UC'!AD:AD,"&gt;"&amp;0)=0,"",_xlfn.MINIFS('Detalhe Por UC'!R:R,'Detalhe Por UC'!C:C,C408,'Detalhe Por UC'!AD:AD,"&gt;"&amp;0))</f>
        <v>45658</v>
      </c>
      <c r="CA408" s="114">
        <f ca="1">IF(OR(S408&gt;0,AD408&gt;0),IFERROR(
SUMIFS(INDIRECT("'Infos Clientes'!$W"&amp;INDEX('Infos Clientes'!$C:$C,MATCH(C408,'Infos Clientes'!$H:$H,0))&amp;":$CZ"&amp;INDEX('Infos Clientes'!$C:$C,MATCH(C408,'Infos Clientes'!$H:$H,0))),'Infos Clientes'!$W$2:$CZ$2,"&gt;"&amp;$R408-365,'Infos Clientes'!$W$2:$CZ$2,"&lt;="&amp;$R408)/
COUNTIFS(INDIRECT("'Infos Clientes'!$W"&amp;INDEX('Infos Clientes'!$C:$C,MATCH(C408,'Infos Clientes'!$H:$H,0))&amp;":$CZ"&amp;INDEX('Infos Clientes'!$C:$C,MATCH(C408,'Infos Clientes'!$H:$H,0))),"&gt;="&amp;0,'Infos Clientes'!$W$2:$CZ$2,"&gt;"&amp;$R408-365,'Infos Clientes'!$W$2:$CZ$2,"&lt;="&amp;$R408),""),"")</f>
        <v>280.91666666666669</v>
      </c>
      <c r="CB408" s="87">
        <f>VLOOKUP(C408,'Infos Clientes'!B:L,11,0)</f>
        <v>0</v>
      </c>
      <c r="CC408" s="88" t="str">
        <f t="shared" si="263"/>
        <v>A Unidade Consumidora 10/72605-9 economizou R$48,91 na fatura referente à abr/2025  consumindo 201 kWh em créditos de energia renovável conforme fatura de energia. A economia foi de 25% em relação ao que seria pago para a Energisa considerando os créditos consumidos. Atenção: Mantenha as contas da Energisa em dia para evitar cortes.</v>
      </c>
      <c r="CD408" s="40" t="s">
        <v>249</v>
      </c>
      <c r="CE408" s="18">
        <v>163.37</v>
      </c>
      <c r="CF408" s="115">
        <f t="shared" si="264"/>
        <v>0</v>
      </c>
    </row>
    <row r="409" spans="1:84" ht="16.2" hidden="1" customHeight="1" x14ac:dyDescent="0.3">
      <c r="A409" s="105" t="str">
        <f>INDEX('Infos Clientes'!$D:$D,MATCH('Detalhe Por UC'!C409,'Infos Clientes'!B:B,0))</f>
        <v>IGREJA DO EVANGELHO QUADRANGULAR</v>
      </c>
      <c r="B409" s="106" t="str">
        <f>INDEX('Infos Clientes'!$F:$F,MATCH('Detalhe Por UC'!C409,'Infos Clientes'!B:B,0))</f>
        <v>62.955.505/1775-04</v>
      </c>
      <c r="C409" s="31" t="s">
        <v>199</v>
      </c>
      <c r="D409" t="s">
        <v>351</v>
      </c>
      <c r="E409" s="1" t="s">
        <v>352</v>
      </c>
      <c r="F409" s="56" t="str">
        <f>INDEX('Infos Clientes'!$I:$I,MATCH('Detalhe Por UC'!C409,'Infos Clientes'!B:B,0))</f>
        <v>BT</v>
      </c>
      <c r="G409" s="56" t="str">
        <f>INDEX('Infos Clientes'!$J:$J,MATCH('Detalhe Por UC'!C409,'Infos Clientes'!B:B,0))</f>
        <v>bifasico</v>
      </c>
      <c r="H409" s="108" t="s">
        <v>138</v>
      </c>
      <c r="I409" s="58">
        <f>IFERROR(VLOOKUP(C409,'Infos Clientes'!B:E,4,),"")</f>
        <v>319</v>
      </c>
      <c r="J409" s="109">
        <v>0.25</v>
      </c>
      <c r="K409" s="59">
        <f>INDEX('Infos Clientes'!$M:$M,MATCH('Detalhe Por UC'!C409,'Infos Clientes'!B:B,0))</f>
        <v>0.25</v>
      </c>
      <c r="L409" s="125">
        <v>0</v>
      </c>
      <c r="M409" s="56">
        <f>INDEX('Infos Clientes'!$N:$N,MATCH('Detalhe Por UC'!C409,'Infos Clientes'!B:B,0))</f>
        <v>0</v>
      </c>
      <c r="N409" s="56">
        <f t="shared" si="229"/>
        <v>0</v>
      </c>
      <c r="O409" s="56">
        <f t="shared" si="230"/>
        <v>5</v>
      </c>
      <c r="P409" s="56">
        <f t="shared" si="265"/>
        <v>0</v>
      </c>
      <c r="Q409" s="61">
        <f>IFERROR(IFERROR(INDEX('Infos Clientes'!$A$2:$V$9884,MATCH($C409,'Infos Clientes'!$B$2:$B$9884,0),MATCH(Q$8,'Infos Clientes'!$A$2:$V$2,0)),"")
+IF(OR(INDEX('Infos Clientes'!$A$2:$V$9884,MATCH($C409,'Infos Clientes'!$B$2:$B$9884,0),MATCH("Tempo de Fidelidade (meses)",'Infos Clientes'!$A$2:$V$2,0))=0,R409&gt;=MAX(R:R)),0,
ROUND((MAX(R:R)-R409)/(365/12),0)),"")</f>
        <v>0</v>
      </c>
      <c r="R409" s="111">
        <v>45748</v>
      </c>
      <c r="S409" s="63">
        <v>0.02</v>
      </c>
      <c r="T409" s="113" t="str">
        <f>IF($H409="GIROSSOL II",AP409/INDEX('Resumo Operacional'!$A$1:$P$1103,17,MATCH('Detalhe Por UC'!$R409,'Resumo Operacional'!$A$1:$P$1,0)),
IF($H409="GIROSSOL II e III",AP409/INDEX('Resumo Operacional'!$A$1:$P$1103,17,MATCH('Detalhe Por UC'!$R409,'Resumo Operacional'!$A$1:$P$1,0)),
""))</f>
        <v/>
      </c>
      <c r="U409" s="113">
        <f>IF($H409="GIROSSOL III",AP409/INDEX('Resumo Operacional'!$A$1:$P$1103,53,MATCH('Detalhe Por UC'!$R409,'Resumo Operacional'!$A$1:$P$1,0)),
IF($H409="GIROSSOL II e III",AP409/INDEX('Resumo Operacional'!$A$1:$P$1103,53,MATCH('Detalhe Por UC'!$R409,'Resumo Operacional'!$A$1:$P$1,0)),
""))</f>
        <v>2.3208587177255584E-2</v>
      </c>
      <c r="V409" s="45"/>
      <c r="W409" s="18"/>
      <c r="X409" s="18">
        <v>1.1162460567823345</v>
      </c>
      <c r="Y409" s="18"/>
      <c r="Z409" s="18">
        <v>0.97408333333333319</v>
      </c>
      <c r="AA409" s="18"/>
      <c r="AB409" s="18">
        <v>317</v>
      </c>
      <c r="AC409" s="18"/>
      <c r="AD409" s="18">
        <v>240</v>
      </c>
      <c r="AE409" s="35"/>
      <c r="AF409" s="18">
        <v>0</v>
      </c>
      <c r="AG409" s="18">
        <v>0</v>
      </c>
      <c r="AH409" s="18">
        <v>80.91</v>
      </c>
      <c r="AI409" s="18">
        <v>0</v>
      </c>
      <c r="AJ409" s="18">
        <v>0</v>
      </c>
      <c r="AN409" s="71">
        <f t="shared" si="231"/>
        <v>0</v>
      </c>
      <c r="AO409" s="71">
        <f t="shared" si="232"/>
        <v>0</v>
      </c>
      <c r="AP409" s="71">
        <f t="shared" si="233"/>
        <v>240</v>
      </c>
      <c r="AQ409" s="72">
        <f>IF(OR($H409="GIROSSOL II",$H409="GIROSSOL II e III"),INDEX('Resumo Operacional'!$A$1:$P$1103,MATCH("Energia Injetada prevista total Fatura da Usina (TUSD)",'Resumo Operacional'!$B$1:$B$1103,0),MATCH('Detalhe Por UC'!$R409,'Resumo Operacional'!$A$1:$P$1,0))*$S409,INDEX('Resumo Operacional'!$A$1:$P$1103,53,MATCH('Detalhe Por UC'!$R409,'Resumo Operacional'!$A$1:$P$1,0))*$S409)</f>
        <v>206.82</v>
      </c>
      <c r="AR409" s="71">
        <f t="shared" si="234"/>
        <v>33.180000000000007</v>
      </c>
      <c r="AS409" s="73">
        <f t="shared" si="235"/>
        <v>200.98000000000005</v>
      </c>
      <c r="AT409" s="74">
        <f t="shared" si="236"/>
        <v>200.98000000000005</v>
      </c>
      <c r="AU409" s="74">
        <f t="shared" si="237"/>
        <v>0.83192060988433192</v>
      </c>
      <c r="AV409" s="74">
        <f t="shared" si="238"/>
        <v>175.33499999999998</v>
      </c>
      <c r="AW409" s="74">
        <f t="shared" si="239"/>
        <v>0</v>
      </c>
      <c r="AX409" s="74">
        <f t="shared" si="240"/>
        <v>233.77999999999997</v>
      </c>
      <c r="AY409" s="74">
        <f t="shared" si="241"/>
        <v>175.34</v>
      </c>
      <c r="AZ409" s="117">
        <v>175.34</v>
      </c>
      <c r="BA409" s="117">
        <v>175.34</v>
      </c>
      <c r="BC409" s="73" t="str">
        <f t="shared" si="242"/>
        <v/>
      </c>
      <c r="BD409" s="73">
        <f t="shared" si="243"/>
        <v>434.76</v>
      </c>
      <c r="BE409" s="73">
        <f t="shared" si="244"/>
        <v>376.31500000000005</v>
      </c>
      <c r="BF409" s="77">
        <f t="shared" si="245"/>
        <v>58.44</v>
      </c>
      <c r="BG409" s="77">
        <f t="shared" si="246"/>
        <v>17.532</v>
      </c>
      <c r="BH409" s="77">
        <f t="shared" si="247"/>
        <v>233.77999999999997</v>
      </c>
      <c r="BI409" s="78">
        <f t="shared" si="248"/>
        <v>0.25</v>
      </c>
      <c r="BJ409" s="79">
        <f t="shared" si="249"/>
        <v>0.13441898978746894</v>
      </c>
      <c r="BK409" s="80">
        <f t="shared" si="250"/>
        <v>376.32000000000005</v>
      </c>
      <c r="BL409" s="80">
        <f t="shared" si="251"/>
        <v>58.439999999999941</v>
      </c>
      <c r="BM409" s="79">
        <f t="shared" si="252"/>
        <v>0.13441898978746883</v>
      </c>
      <c r="BN409" s="81">
        <f t="shared" si="253"/>
        <v>0.73058333333333336</v>
      </c>
      <c r="BO409" s="82">
        <f t="shared" si="254"/>
        <v>175.34</v>
      </c>
      <c r="BP409" s="81">
        <f t="shared" si="255"/>
        <v>0.73058333333333336</v>
      </c>
      <c r="BQ409" s="81">
        <f t="shared" si="256"/>
        <v>0.87274605678233463</v>
      </c>
      <c r="BR409" s="81">
        <f t="shared" si="257"/>
        <v>1.1162460567823345</v>
      </c>
      <c r="BS409" s="82">
        <f t="shared" si="258"/>
        <v>240</v>
      </c>
      <c r="BT409" s="82">
        <f t="shared" si="259"/>
        <v>267.89905362776028</v>
      </c>
      <c r="BU409" s="82">
        <f t="shared" si="260"/>
        <v>233.77999999999997</v>
      </c>
      <c r="BW409" s="82">
        <f>IFERROR(INDEX('Infos Clientes'!$T:$T,MATCH('Detalhe Por UC'!$C409,'Infos Clientes'!B:B,0)),"")</f>
        <v>336.36363636363637</v>
      </c>
      <c r="BX409" s="83">
        <f t="shared" si="261"/>
        <v>0</v>
      </c>
      <c r="BY409" s="84">
        <f t="shared" si="262"/>
        <v>0.21814186802317348</v>
      </c>
      <c r="BZ409" s="85">
        <f>IF(_xlfn.MINIFS('Detalhe Por UC'!R:R,'Detalhe Por UC'!C:C,C409,'Detalhe Por UC'!AD:AD,"&gt;"&amp;0)=0,"",_xlfn.MINIFS('Detalhe Por UC'!R:R,'Detalhe Por UC'!C:C,C409,'Detalhe Por UC'!AD:AD,"&gt;"&amp;0))</f>
        <v>45658</v>
      </c>
      <c r="CA409" s="114">
        <f ca="1">IF(OR(S409&gt;0,AD409&gt;0),IFERROR(
SUMIFS(INDIRECT("'Infos Clientes'!$W"&amp;INDEX('Infos Clientes'!$C:$C,MATCH(C409,'Infos Clientes'!$H:$H,0))&amp;":$CZ"&amp;INDEX('Infos Clientes'!$C:$C,MATCH(C409,'Infos Clientes'!$H:$H,0))),'Infos Clientes'!$W$2:$CZ$2,"&gt;"&amp;$R409-365,'Infos Clientes'!$W$2:$CZ$2,"&lt;="&amp;$R409)/
COUNTIFS(INDIRECT("'Infos Clientes'!$W"&amp;INDEX('Infos Clientes'!$C:$C,MATCH(C409,'Infos Clientes'!$H:$H,0))&amp;":$CZ"&amp;INDEX('Infos Clientes'!$C:$C,MATCH(C409,'Infos Clientes'!$H:$H,0))),"&gt;="&amp;0,'Infos Clientes'!$W$2:$CZ$2,"&gt;"&amp;$R409-365,'Infos Clientes'!$W$2:$CZ$2,"&lt;="&amp;$R409),""),"")</f>
        <v>298.5</v>
      </c>
      <c r="CB409" s="87">
        <f>VLOOKUP(C409,'Infos Clientes'!B:L,11,0)</f>
        <v>0</v>
      </c>
      <c r="CC409" s="88" t="str">
        <f t="shared" si="263"/>
        <v>A Unidade Consumidora 10/40190-1 economizou R$58,44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09" s="40" t="s">
        <v>249</v>
      </c>
      <c r="CE409" s="18">
        <v>200.98</v>
      </c>
      <c r="CF409" s="115">
        <f t="shared" si="264"/>
        <v>0</v>
      </c>
    </row>
    <row r="410" spans="1:84" ht="16.2" hidden="1" customHeight="1" x14ac:dyDescent="0.3">
      <c r="A410" s="105" t="str">
        <f>INDEX('Infos Clientes'!$D:$D,MATCH('Detalhe Por UC'!C410,'Infos Clientes'!B:B,0))</f>
        <v>IGREJA DO EVANGELHO QUADRANGULAR</v>
      </c>
      <c r="B410" s="106" t="str">
        <f>INDEX('Infos Clientes'!$F:$F,MATCH('Detalhe Por UC'!C410,'Infos Clientes'!B:B,0))</f>
        <v>62.955.505/3793-95</v>
      </c>
      <c r="C410" s="107" t="s">
        <v>146</v>
      </c>
      <c r="D410" t="s">
        <v>351</v>
      </c>
      <c r="E410" s="1" t="s">
        <v>352</v>
      </c>
      <c r="F410" s="56" t="str">
        <f>INDEX('Infos Clientes'!$I:$I,MATCH('Detalhe Por UC'!C410,'Infos Clientes'!B:B,0))</f>
        <v>BT</v>
      </c>
      <c r="G410" s="56" t="str">
        <f>INDEX('Infos Clientes'!$J:$J,MATCH('Detalhe Por UC'!C410,'Infos Clientes'!B:B,0))</f>
        <v>trifasico</v>
      </c>
      <c r="H410" s="108" t="s">
        <v>138</v>
      </c>
      <c r="I410" s="58">
        <f>IFERROR(VLOOKUP(C410,'Infos Clientes'!B:E,4,),"")</f>
        <v>306</v>
      </c>
      <c r="J410" s="109">
        <v>0.25</v>
      </c>
      <c r="K410" s="59">
        <f>INDEX('Infos Clientes'!$M:$M,MATCH('Detalhe Por UC'!C410,'Infos Clientes'!B:B,0))</f>
        <v>0.25</v>
      </c>
      <c r="L410" s="125">
        <v>0</v>
      </c>
      <c r="M410" s="56">
        <f>INDEX('Infos Clientes'!$N:$N,MATCH('Detalhe Por UC'!C410,'Infos Clientes'!B:B,0))</f>
        <v>0</v>
      </c>
      <c r="N410" s="56">
        <f t="shared" si="229"/>
        <v>0</v>
      </c>
      <c r="O410" s="56">
        <f t="shared" si="230"/>
        <v>10</v>
      </c>
      <c r="P410" s="56">
        <f t="shared" si="265"/>
        <v>0</v>
      </c>
      <c r="Q410" s="61">
        <f>IFERROR(IFERROR(INDEX('Infos Clientes'!$A$2:$V$9884,MATCH($C410,'Infos Clientes'!$B$2:$B$9884,0),MATCH(Q$8,'Infos Clientes'!$A$2:$V$2,0)),"")
+IF(OR(INDEX('Infos Clientes'!$A$2:$V$9884,MATCH($C410,'Infos Clientes'!$B$2:$B$9884,0),MATCH("Tempo de Fidelidade (meses)",'Infos Clientes'!$A$2:$V$2,0))=0,R410&gt;=MAX(R:R)),0,
ROUND((MAX(R:R)-R410)/(365/12),0)),"")</f>
        <v>0</v>
      </c>
      <c r="R410" s="111">
        <v>45748</v>
      </c>
      <c r="S410" s="63">
        <v>0.03</v>
      </c>
      <c r="T410" s="113" t="str">
        <f>IF($H410="GIROSSOL II",AP410/INDEX('Resumo Operacional'!$A$1:$P$1103,17,MATCH('Detalhe Por UC'!$R410,'Resumo Operacional'!$A$1:$P$1,0)),
IF($H410="GIROSSOL II e III",AP410/INDEX('Resumo Operacional'!$A$1:$P$1103,17,MATCH('Detalhe Por UC'!$R410,'Resumo Operacional'!$A$1:$P$1,0)),
""))</f>
        <v/>
      </c>
      <c r="U410" s="113">
        <f>IF($H410="GIROSSOL III",AP410/INDEX('Resumo Operacional'!$A$1:$P$1103,53,MATCH('Detalhe Por UC'!$R410,'Resumo Operacional'!$A$1:$P$1,0)),
IF($H410="GIROSSOL II e III",AP410/INDEX('Resumo Operacional'!$A$1:$P$1103,53,MATCH('Detalhe Por UC'!$R410,'Resumo Operacional'!$A$1:$P$1,0)),
""))</f>
        <v>2.9977758437288463E-2</v>
      </c>
      <c r="V410" s="45"/>
      <c r="W410" s="18"/>
      <c r="X410" s="18">
        <v>1.1209512195121951</v>
      </c>
      <c r="Y410" s="18"/>
      <c r="Z410" s="18">
        <v>0.97193548387096773</v>
      </c>
      <c r="AA410" s="18"/>
      <c r="AB410" s="18">
        <v>410</v>
      </c>
      <c r="AC410" s="18"/>
      <c r="AD410" s="18">
        <v>310</v>
      </c>
      <c r="AE410" s="35"/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N410" s="71">
        <f t="shared" si="231"/>
        <v>0</v>
      </c>
      <c r="AO410" s="71">
        <f t="shared" si="232"/>
        <v>0</v>
      </c>
      <c r="AP410" s="71">
        <f t="shared" si="233"/>
        <v>310</v>
      </c>
      <c r="AQ410" s="72">
        <f>IF(OR($H410="GIROSSOL II",$H410="GIROSSOL II e III"),INDEX('Resumo Operacional'!$A$1:$P$1103,MATCH("Energia Injetada prevista total Fatura da Usina (TUSD)",'Resumo Operacional'!$B$1:$B$1103,0),MATCH('Detalhe Por UC'!$R410,'Resumo Operacional'!$A$1:$P$1,0))*$S410,INDEX('Resumo Operacional'!$A$1:$P$1103,53,MATCH('Detalhe Por UC'!$R410,'Resumo Operacional'!$A$1:$P$1,0))*$S410)</f>
        <v>310.22999999999996</v>
      </c>
      <c r="AR410" s="71">
        <f t="shared" si="234"/>
        <v>-0.22999999999996135</v>
      </c>
      <c r="AS410" s="73">
        <f t="shared" si="235"/>
        <v>158.28999999999996</v>
      </c>
      <c r="AT410" s="74">
        <f t="shared" si="236"/>
        <v>158.28999999999996</v>
      </c>
      <c r="AU410" s="74">
        <f t="shared" si="237"/>
        <v>0.82291974822974034</v>
      </c>
      <c r="AV410" s="74">
        <f t="shared" si="238"/>
        <v>225.97500000000002</v>
      </c>
      <c r="AW410" s="74">
        <f t="shared" si="239"/>
        <v>0</v>
      </c>
      <c r="AX410" s="74">
        <f t="shared" si="240"/>
        <v>301.3</v>
      </c>
      <c r="AY410" s="74">
        <f t="shared" si="241"/>
        <v>225.98</v>
      </c>
      <c r="AZ410" s="117">
        <v>225.98</v>
      </c>
      <c r="BA410" s="117">
        <v>225.98</v>
      </c>
      <c r="BB410" s="49">
        <v>225.98</v>
      </c>
      <c r="BC410" s="73" t="str">
        <f t="shared" si="242"/>
        <v/>
      </c>
      <c r="BD410" s="73">
        <f t="shared" si="243"/>
        <v>459.59</v>
      </c>
      <c r="BE410" s="73">
        <f t="shared" si="244"/>
        <v>384.26499999999999</v>
      </c>
      <c r="BF410" s="77">
        <f t="shared" si="245"/>
        <v>75.33</v>
      </c>
      <c r="BG410" s="77">
        <f t="shared" si="246"/>
        <v>22.599</v>
      </c>
      <c r="BH410" s="77">
        <f t="shared" si="247"/>
        <v>301.3</v>
      </c>
      <c r="BI410" s="78">
        <f t="shared" si="248"/>
        <v>0.25</v>
      </c>
      <c r="BJ410" s="79">
        <f t="shared" si="249"/>
        <v>0.16390696055179618</v>
      </c>
      <c r="BK410" s="80">
        <f t="shared" si="250"/>
        <v>384.27</v>
      </c>
      <c r="BL410" s="80">
        <f t="shared" si="251"/>
        <v>75.319999999999993</v>
      </c>
      <c r="BM410" s="79">
        <f t="shared" si="252"/>
        <v>0.16388520202789442</v>
      </c>
      <c r="BN410" s="81">
        <f t="shared" si="253"/>
        <v>0.72896774193548386</v>
      </c>
      <c r="BO410" s="82">
        <f t="shared" si="254"/>
        <v>225.98</v>
      </c>
      <c r="BP410" s="81">
        <f t="shared" si="255"/>
        <v>0.72896774193548386</v>
      </c>
      <c r="BQ410" s="81">
        <f t="shared" si="256"/>
        <v>0.87798347757671125</v>
      </c>
      <c r="BR410" s="81">
        <f t="shared" si="257"/>
        <v>1.1209512195121951</v>
      </c>
      <c r="BS410" s="82">
        <f t="shared" si="258"/>
        <v>310</v>
      </c>
      <c r="BT410" s="82">
        <f t="shared" si="259"/>
        <v>347.49487804878049</v>
      </c>
      <c r="BU410" s="82">
        <f t="shared" si="260"/>
        <v>301.3</v>
      </c>
      <c r="BW410" s="82">
        <f>IFERROR(INDEX('Infos Clientes'!$T:$T,MATCH('Detalhe Por UC'!$C410,'Infos Clientes'!B:B,0)),"")</f>
        <v>398.18181818181819</v>
      </c>
      <c r="BX410" s="83">
        <f t="shared" si="261"/>
        <v>0</v>
      </c>
      <c r="BY410" s="84">
        <f t="shared" si="262"/>
        <v>0.21675139623044101</v>
      </c>
      <c r="BZ410" s="85">
        <f>IF(_xlfn.MINIFS('Detalhe Por UC'!R:R,'Detalhe Por UC'!C:C,C410,'Detalhe Por UC'!AD:AD,"&gt;"&amp;0)=0,"",_xlfn.MINIFS('Detalhe Por UC'!R:R,'Detalhe Por UC'!C:C,C410,'Detalhe Por UC'!AD:AD,"&gt;"&amp;0))</f>
        <v>45658</v>
      </c>
      <c r="CA410" s="114">
        <f ca="1">IF(OR(S410&gt;0,AD410&gt;0),IFERROR(
SUMIFS(INDIRECT("'Infos Clientes'!$W"&amp;INDEX('Infos Clientes'!$C:$C,MATCH(C410,'Infos Clientes'!$H:$H,0))&amp;":$CZ"&amp;INDEX('Infos Clientes'!$C:$C,MATCH(C410,'Infos Clientes'!$H:$H,0))),'Infos Clientes'!$W$2:$CZ$2,"&gt;"&amp;$R410-365,'Infos Clientes'!$W$2:$CZ$2,"&lt;="&amp;$R410)/
COUNTIFS(INDIRECT("'Infos Clientes'!$W"&amp;INDEX('Infos Clientes'!$C:$C,MATCH(C410,'Infos Clientes'!$H:$H,0))&amp;":$CZ"&amp;INDEX('Infos Clientes'!$C:$C,MATCH(C410,'Infos Clientes'!$H:$H,0))),"&gt;="&amp;0,'Infos Clientes'!$W$2:$CZ$2,"&gt;"&amp;$R410-365,'Infos Clientes'!$W$2:$CZ$2,"&lt;="&amp;$R410),""),"")</f>
        <v>355</v>
      </c>
      <c r="CB410" s="87">
        <f>VLOOKUP(C410,'Infos Clientes'!B:L,11,0)</f>
        <v>0</v>
      </c>
      <c r="CC410" s="88" t="str">
        <f t="shared" si="263"/>
        <v>A Unidade Consumidora 10/1266128-6 economizou R$75,33 na fatura referente à abr/2025  consumindo 310 kWh em créditos de energia renovável conforme fatura de energia. A economia foi de 25% em relação ao que seria pago para a Energisa considerando os créditos consumidos. Atenção: Mantenha as contas da Energisa em dia para evitar cortes.</v>
      </c>
      <c r="CD410" s="40" t="s">
        <v>37</v>
      </c>
      <c r="CE410" s="18">
        <v>158.29</v>
      </c>
      <c r="CF410" s="115">
        <f t="shared" si="264"/>
        <v>0</v>
      </c>
    </row>
    <row r="411" spans="1:84" ht="16.2" hidden="1" customHeight="1" x14ac:dyDescent="0.3">
      <c r="A411" s="105" t="str">
        <f>INDEX('Infos Clientes'!$D:$D,MATCH('Detalhe Por UC'!C411,'Infos Clientes'!B:B,0))</f>
        <v>IGREJA DO EVANGELHO QUADRANGULAR</v>
      </c>
      <c r="B411" s="106" t="str">
        <f>INDEX('Infos Clientes'!$F:$F,MATCH('Detalhe Por UC'!C411,'Infos Clientes'!B:B,0))</f>
        <v>62.955.505/8979-30</v>
      </c>
      <c r="C411" s="31" t="s">
        <v>238</v>
      </c>
      <c r="D411" t="s">
        <v>351</v>
      </c>
      <c r="E411" s="1" t="s">
        <v>352</v>
      </c>
      <c r="F411" s="56" t="str">
        <f>INDEX('Infos Clientes'!$I:$I,MATCH('Detalhe Por UC'!C411,'Infos Clientes'!B:B,0))</f>
        <v>BT</v>
      </c>
      <c r="G411" s="56" t="str">
        <f>INDEX('Infos Clientes'!$J:$J,MATCH('Detalhe Por UC'!C411,'Infos Clientes'!B:B,0))</f>
        <v>bifasico</v>
      </c>
      <c r="H411" s="108" t="s">
        <v>138</v>
      </c>
      <c r="I411" s="58">
        <f>IFERROR(VLOOKUP(C411,'Infos Clientes'!B:E,4,),"")</f>
        <v>360</v>
      </c>
      <c r="J411" s="109">
        <v>0.25</v>
      </c>
      <c r="K411" s="59">
        <f>INDEX('Infos Clientes'!$M:$M,MATCH('Detalhe Por UC'!C411,'Infos Clientes'!B:B,0))</f>
        <v>0.25</v>
      </c>
      <c r="M411" s="56">
        <f>INDEX('Infos Clientes'!$N:$N,MATCH('Detalhe Por UC'!C411,'Infos Clientes'!B:B,0))</f>
        <v>0</v>
      </c>
      <c r="N411" s="56">
        <f t="shared" si="229"/>
        <v>0</v>
      </c>
      <c r="O411" s="56">
        <f t="shared" si="230"/>
        <v>10</v>
      </c>
      <c r="P411" s="56">
        <f t="shared" si="265"/>
        <v>0</v>
      </c>
      <c r="Q411" s="61">
        <f>IFERROR(IFERROR(INDEX('Infos Clientes'!$A$2:$V$9884,MATCH($C411,'Infos Clientes'!$B$2:$B$9884,0),MATCH(Q$8,'Infos Clientes'!$A$2:$V$2,0)),"")
+IF(OR(INDEX('Infos Clientes'!$A$2:$V$9884,MATCH($C411,'Infos Clientes'!$B$2:$B$9884,0),MATCH("Tempo de Fidelidade (meses)",'Infos Clientes'!$A$2:$V$2,0))=0,R411&gt;=MAX(R:R)),0,
ROUND((MAX(R:R)-R411)/(365/12),0)),"")</f>
        <v>0</v>
      </c>
      <c r="R411" s="111">
        <v>45748</v>
      </c>
      <c r="S411" s="63">
        <v>7.0000000000000001E-3</v>
      </c>
      <c r="T411" s="113" t="str">
        <f>IF($H411="GIROSSOL II",AP411/INDEX('Resumo Operacional'!$A$1:$P$1103,17,MATCH('Detalhe Por UC'!$R411,'Resumo Operacional'!$A$1:$P$1,0)),
IF($H411="GIROSSOL II e III",AP411/INDEX('Resumo Operacional'!$A$1:$P$1103,17,MATCH('Detalhe Por UC'!$R411,'Resumo Operacional'!$A$1:$P$1,0)),
""))</f>
        <v/>
      </c>
      <c r="U411" s="113">
        <f>IF($H411="GIROSSOL III",AP411/INDEX('Resumo Operacional'!$A$1:$P$1103,53,MATCH('Detalhe Por UC'!$R411,'Resumo Operacional'!$A$1:$P$1,0)),
IF($H411="GIROSSOL II e III",AP411/INDEX('Resumo Operacional'!$A$1:$P$1103,53,MATCH('Detalhe Por UC'!$R411,'Resumo Operacional'!$A$1:$P$1,0)),
""))</f>
        <v>8.1230055120394551E-3</v>
      </c>
      <c r="V411" s="45"/>
      <c r="W411" s="18"/>
      <c r="X411" s="18">
        <v>1.1194039735099337</v>
      </c>
      <c r="Y411" s="18"/>
      <c r="Z411" s="18">
        <v>0.97260416666666671</v>
      </c>
      <c r="AA411" s="18"/>
      <c r="AB411" s="18">
        <v>151</v>
      </c>
      <c r="AC411" s="18"/>
      <c r="AD411" s="18">
        <v>96</v>
      </c>
      <c r="AE411" s="35"/>
      <c r="AF411" s="18">
        <v>0</v>
      </c>
      <c r="AG411" s="18">
        <v>0</v>
      </c>
      <c r="AH411" s="18">
        <v>8.86</v>
      </c>
      <c r="AI411" s="18">
        <v>0</v>
      </c>
      <c r="AJ411" s="18">
        <v>0</v>
      </c>
      <c r="AN411" s="71">
        <f t="shared" si="231"/>
        <v>-12</v>
      </c>
      <c r="AO411" s="71">
        <f t="shared" si="232"/>
        <v>0</v>
      </c>
      <c r="AP411" s="71">
        <f t="shared" si="233"/>
        <v>84</v>
      </c>
      <c r="AQ411" s="72">
        <f>IF(OR($H411="GIROSSOL II",$H411="GIROSSOL II e III"),INDEX('Resumo Operacional'!$A$1:$P$1103,MATCH("Energia Injetada prevista total Fatura da Usina (TUSD)",'Resumo Operacional'!$B$1:$B$1103,0),MATCH('Detalhe Por UC'!$R411,'Resumo Operacional'!$A$1:$P$1,0))*$S411,INDEX('Resumo Operacional'!$A$1:$P$1103,53,MATCH('Detalhe Por UC'!$R411,'Resumo Operacional'!$A$1:$P$1,0))*$S411)</f>
        <v>72.387</v>
      </c>
      <c r="AR411" s="71">
        <f t="shared" si="234"/>
        <v>11.613</v>
      </c>
      <c r="AS411" s="73">
        <f t="shared" si="235"/>
        <v>84.52</v>
      </c>
      <c r="AT411" s="74">
        <f t="shared" si="236"/>
        <v>84.52</v>
      </c>
      <c r="AU411" s="74">
        <f t="shared" si="237"/>
        <v>0.82580435982339973</v>
      </c>
      <c r="AV411" s="74">
        <f t="shared" si="238"/>
        <v>70.027500000000003</v>
      </c>
      <c r="AW411" s="74">
        <f t="shared" si="239"/>
        <v>0</v>
      </c>
      <c r="AX411" s="74">
        <f t="shared" si="240"/>
        <v>93.37</v>
      </c>
      <c r="AY411" s="74">
        <f t="shared" si="241"/>
        <v>70.03</v>
      </c>
      <c r="AZ411" s="117">
        <v>70.03</v>
      </c>
      <c r="BA411" s="117">
        <v>70.03</v>
      </c>
      <c r="BB411" s="49">
        <v>70.03</v>
      </c>
      <c r="BC411" s="73" t="str">
        <f t="shared" si="242"/>
        <v/>
      </c>
      <c r="BD411" s="73">
        <f t="shared" si="243"/>
        <v>177.89</v>
      </c>
      <c r="BE411" s="73">
        <f t="shared" si="244"/>
        <v>154.54750000000001</v>
      </c>
      <c r="BF411" s="77">
        <f t="shared" si="245"/>
        <v>23.34</v>
      </c>
      <c r="BG411" s="77">
        <f t="shared" si="246"/>
        <v>7.0019999999999998</v>
      </c>
      <c r="BH411" s="77">
        <f t="shared" si="247"/>
        <v>93.37</v>
      </c>
      <c r="BI411" s="78">
        <f t="shared" si="248"/>
        <v>0.25</v>
      </c>
      <c r="BJ411" s="79">
        <f t="shared" si="249"/>
        <v>0.13120467704761371</v>
      </c>
      <c r="BK411" s="80">
        <f t="shared" si="250"/>
        <v>154.55000000000001</v>
      </c>
      <c r="BL411" s="80">
        <f t="shared" si="251"/>
        <v>23.339999999999975</v>
      </c>
      <c r="BM411" s="79">
        <f t="shared" si="252"/>
        <v>0.13120467704761357</v>
      </c>
      <c r="BN411" s="81">
        <f t="shared" si="253"/>
        <v>0.72947916666666668</v>
      </c>
      <c r="BO411" s="82">
        <f t="shared" si="254"/>
        <v>70.03</v>
      </c>
      <c r="BP411" s="81">
        <f t="shared" si="255"/>
        <v>0.72947916666666668</v>
      </c>
      <c r="BQ411" s="81">
        <f t="shared" si="256"/>
        <v>0.87627897350993367</v>
      </c>
      <c r="BR411" s="81">
        <f t="shared" si="257"/>
        <v>1.1194039735099337</v>
      </c>
      <c r="BS411" s="82">
        <f t="shared" si="258"/>
        <v>96</v>
      </c>
      <c r="BT411" s="82">
        <f t="shared" si="259"/>
        <v>107.46278145695364</v>
      </c>
      <c r="BU411" s="82">
        <f t="shared" si="260"/>
        <v>93.37</v>
      </c>
      <c r="BW411" s="82">
        <f>IFERROR(INDEX('Infos Clientes'!$T:$T,MATCH('Detalhe Por UC'!$C411,'Infos Clientes'!B:B,0)),"")</f>
        <v>162.36363636363637</v>
      </c>
      <c r="BX411" s="83">
        <f t="shared" si="261"/>
        <v>0</v>
      </c>
      <c r="BY411" s="84">
        <f t="shared" si="262"/>
        <v>0.21719147488611493</v>
      </c>
      <c r="BZ411" s="85">
        <f>IF(_xlfn.MINIFS('Detalhe Por UC'!R:R,'Detalhe Por UC'!C:C,C411,'Detalhe Por UC'!AD:AD,"&gt;"&amp;0)=0,"",_xlfn.MINIFS('Detalhe Por UC'!R:R,'Detalhe Por UC'!C:C,C411,'Detalhe Por UC'!AD:AD,"&gt;"&amp;0))</f>
        <v>45658</v>
      </c>
      <c r="CA411" s="114">
        <f ca="1">IF(OR(S411&gt;0,AD411&gt;0),IFERROR(
SUMIFS(INDIRECT("'Infos Clientes'!$W"&amp;INDEX('Infos Clientes'!$C:$C,MATCH(C411,'Infos Clientes'!$H:$H,0))&amp;":$CZ"&amp;INDEX('Infos Clientes'!$C:$C,MATCH(C411,'Infos Clientes'!$H:$H,0))),'Infos Clientes'!$W$2:$CZ$2,"&gt;"&amp;$R411-365,'Infos Clientes'!$W$2:$CZ$2,"&lt;="&amp;$R411)/
COUNTIFS(INDIRECT("'Infos Clientes'!$W"&amp;INDEX('Infos Clientes'!$C:$C,MATCH(C411,'Infos Clientes'!$H:$H,0))&amp;":$CZ"&amp;INDEX('Infos Clientes'!$C:$C,MATCH(C411,'Infos Clientes'!$H:$H,0))),"&gt;="&amp;0,'Infos Clientes'!$W$2:$CZ$2,"&gt;"&amp;$R411-365,'Infos Clientes'!$W$2:$CZ$2,"&lt;="&amp;$R411),""),"")</f>
        <v>124.33333333333333</v>
      </c>
      <c r="CB411" s="87">
        <f>VLOOKUP(C411,'Infos Clientes'!B:L,11,0)</f>
        <v>0</v>
      </c>
      <c r="CC411" s="88" t="str">
        <f t="shared" si="263"/>
        <v>A Unidade Consumidora 10/952579-1 economizou R$23,34 na fatura referente à abr/2025  consumindo 96 kWh em créditos de energia renovável conforme fatura de energia. A economia foi de 25% em relação ao que seria pago para a Energisa considerando os créditos consumidos. Atenção: Mantenha as contas da Energisa em dia para evitar cortes.</v>
      </c>
      <c r="CD411" s="40" t="s">
        <v>249</v>
      </c>
      <c r="CE411" s="18">
        <v>84.52</v>
      </c>
      <c r="CF411" s="115">
        <f t="shared" si="264"/>
        <v>0</v>
      </c>
    </row>
    <row r="412" spans="1:84" ht="16.2" hidden="1" customHeight="1" x14ac:dyDescent="0.3">
      <c r="A412" s="105" t="str">
        <f>INDEX('Infos Clientes'!$D:$D,MATCH('Detalhe Por UC'!C412,'Infos Clientes'!B:B,0))</f>
        <v>IGREJA DO EVANGELHO QUADRANGULAR</v>
      </c>
      <c r="B412" s="106" t="str">
        <f>INDEX('Infos Clientes'!$F:$F,MATCH('Detalhe Por UC'!C412,'Infos Clientes'!B:B,0))</f>
        <v>62.955.505/8873-82</v>
      </c>
      <c r="C412" s="31" t="s">
        <v>212</v>
      </c>
      <c r="D412" t="s">
        <v>351</v>
      </c>
      <c r="E412" s="1" t="s">
        <v>352</v>
      </c>
      <c r="F412" s="56" t="str">
        <f>INDEX('Infos Clientes'!$I:$I,MATCH('Detalhe Por UC'!C412,'Infos Clientes'!B:B,0))</f>
        <v>BT</v>
      </c>
      <c r="G412" s="56" t="str">
        <f>INDEX('Infos Clientes'!$J:$J,MATCH('Detalhe Por UC'!C412,'Infos Clientes'!B:B,0))</f>
        <v>trifasico</v>
      </c>
      <c r="H412" s="108" t="s">
        <v>138</v>
      </c>
      <c r="I412" s="58">
        <f>IFERROR(VLOOKUP(C412,'Infos Clientes'!B:E,4,),"")</f>
        <v>351</v>
      </c>
      <c r="J412" s="109">
        <v>0.25</v>
      </c>
      <c r="K412" s="59">
        <f>INDEX('Infos Clientes'!$M:$M,MATCH('Detalhe Por UC'!C412,'Infos Clientes'!B:B,0))</f>
        <v>0.25</v>
      </c>
      <c r="L412" s="125">
        <v>0</v>
      </c>
      <c r="M412" s="56">
        <f>INDEX('Infos Clientes'!$N:$N,MATCH('Detalhe Por UC'!C412,'Infos Clientes'!B:B,0))</f>
        <v>0</v>
      </c>
      <c r="N412" s="56">
        <f t="shared" si="229"/>
        <v>0</v>
      </c>
      <c r="O412" s="56">
        <f t="shared" si="230"/>
        <v>3</v>
      </c>
      <c r="P412" s="56">
        <f t="shared" si="265"/>
        <v>0</v>
      </c>
      <c r="Q412" s="61">
        <f>IFERROR(IFERROR(INDEX('Infos Clientes'!$A$2:$V$9884,MATCH($C412,'Infos Clientes'!$B$2:$B$9884,0),MATCH(Q$8,'Infos Clientes'!$A$2:$V$2,0)),"")
+IF(OR(INDEX('Infos Clientes'!$A$2:$V$9884,MATCH($C412,'Infos Clientes'!$B$2:$B$9884,0),MATCH("Tempo de Fidelidade (meses)",'Infos Clientes'!$A$2:$V$2,0))=0,R412&gt;=MAX(R:R)),0,
ROUND((MAX(R:R)-R412)/(365/12),0)),"")</f>
        <v>0</v>
      </c>
      <c r="R412" s="111">
        <v>45748</v>
      </c>
      <c r="S412" s="63">
        <v>3.0000000000000001E-3</v>
      </c>
      <c r="T412" s="113" t="str">
        <f>IF($H412="GIROSSOL II",AP412/INDEX('Resumo Operacional'!$A$1:$P$1103,17,MATCH('Detalhe Por UC'!$R412,'Resumo Operacional'!$A$1:$P$1,0)),
IF($H412="GIROSSOL II e III",AP412/INDEX('Resumo Operacional'!$A$1:$P$1103,17,MATCH('Detalhe Por UC'!$R412,'Resumo Operacional'!$A$1:$P$1,0)),
""))</f>
        <v/>
      </c>
      <c r="U412" s="113">
        <f>IF($H412="GIROSSOL III",AP412/INDEX('Resumo Operacional'!$A$1:$P$1103,53,MATCH('Detalhe Por UC'!$R412,'Resumo Operacional'!$A$1:$P$1,0)),
IF($H412="GIROSSOL II e III",AP412/INDEX('Resumo Operacional'!$A$1:$P$1103,53,MATCH('Detalhe Por UC'!$R412,'Resumo Operacional'!$A$1:$P$1,0)),
""))</f>
        <v>3.4812880765883376E-3</v>
      </c>
      <c r="V412" s="45"/>
      <c r="W412" s="18"/>
      <c r="X412" s="18">
        <v>1.1172</v>
      </c>
      <c r="Y412" s="18"/>
      <c r="Z412" s="18">
        <v>0</v>
      </c>
      <c r="AA412" s="18"/>
      <c r="AB412" s="18">
        <v>0</v>
      </c>
      <c r="AC412" s="18"/>
      <c r="AD412" s="18">
        <v>0</v>
      </c>
      <c r="AE412" s="35"/>
      <c r="AF412" s="18">
        <v>378</v>
      </c>
      <c r="AG412" s="18">
        <v>0</v>
      </c>
      <c r="AH412" s="18">
        <v>2.8099999999999996</v>
      </c>
      <c r="AI412" s="18">
        <v>0</v>
      </c>
      <c r="AJ412" s="18">
        <v>0</v>
      </c>
      <c r="AN412" s="71">
        <f t="shared" si="231"/>
        <v>36</v>
      </c>
      <c r="AO412" s="71">
        <f t="shared" si="232"/>
        <v>0</v>
      </c>
      <c r="AP412" s="71">
        <f t="shared" si="233"/>
        <v>36</v>
      </c>
      <c r="AQ412" s="72">
        <f>IF(OR($H412="GIROSSOL II",$H412="GIROSSOL II e III"),INDEX('Resumo Operacional'!$A$1:$P$1103,MATCH("Energia Injetada prevista total Fatura da Usina (TUSD)",'Resumo Operacional'!$B$1:$B$1103,0),MATCH('Detalhe Por UC'!$R412,'Resumo Operacional'!$A$1:$P$1,0))*$S412,INDEX('Resumo Operacional'!$A$1:$P$1103,53,MATCH('Detalhe Por UC'!$R412,'Resumo Operacional'!$A$1:$P$1,0))*$S412)</f>
        <v>31.023</v>
      </c>
      <c r="AR412" s="71">
        <f t="shared" si="234"/>
        <v>4.9770000000000003</v>
      </c>
      <c r="AS412" s="73">
        <f t="shared" si="235"/>
        <v>114.53</v>
      </c>
      <c r="AT412" s="74">
        <f t="shared" si="236"/>
        <v>114.53</v>
      </c>
      <c r="AU412" s="74" t="str">
        <f t="shared" si="237"/>
        <v/>
      </c>
      <c r="AV412" s="74">
        <f t="shared" si="238"/>
        <v>0</v>
      </c>
      <c r="AW412" s="74">
        <f t="shared" si="239"/>
        <v>0</v>
      </c>
      <c r="AX412" s="74">
        <f t="shared" si="240"/>
        <v>0</v>
      </c>
      <c r="AY412" s="74" t="str">
        <f t="shared" si="241"/>
        <v/>
      </c>
      <c r="AZ412" s="117"/>
      <c r="BA412" s="117">
        <v>0</v>
      </c>
      <c r="BC412" s="73" t="str">
        <f t="shared" si="242"/>
        <v/>
      </c>
      <c r="BD412" s="73">
        <f t="shared" si="243"/>
        <v>114.53</v>
      </c>
      <c r="BE412" s="73">
        <f t="shared" si="244"/>
        <v>114.53</v>
      </c>
      <c r="BF412" s="77">
        <f t="shared" si="245"/>
        <v>0</v>
      </c>
      <c r="BG412" s="77">
        <f t="shared" si="246"/>
        <v>0</v>
      </c>
      <c r="BH412" s="77">
        <f t="shared" si="247"/>
        <v>0</v>
      </c>
      <c r="BI412" s="78" t="str">
        <f t="shared" si="248"/>
        <v/>
      </c>
      <c r="BJ412" s="79">
        <f t="shared" si="249"/>
        <v>0</v>
      </c>
      <c r="BK412" s="80" t="str">
        <f t="shared" si="250"/>
        <v/>
      </c>
      <c r="BL412" s="80" t="str">
        <f t="shared" si="251"/>
        <v/>
      </c>
      <c r="BM412" s="79" t="str">
        <f t="shared" si="252"/>
        <v/>
      </c>
      <c r="BN412" s="81" t="str">
        <f t="shared" si="253"/>
        <v/>
      </c>
      <c r="BO412" s="82" t="str">
        <f t="shared" si="254"/>
        <v/>
      </c>
      <c r="BP412" s="81" t="str">
        <f t="shared" si="255"/>
        <v/>
      </c>
      <c r="BQ412" s="81" t="str">
        <f t="shared" si="256"/>
        <v/>
      </c>
      <c r="BR412" s="81" t="str">
        <f t="shared" si="257"/>
        <v/>
      </c>
      <c r="BS412" s="82">
        <f t="shared" si="258"/>
        <v>0</v>
      </c>
      <c r="BT412" s="82" t="str">
        <f t="shared" si="259"/>
        <v/>
      </c>
      <c r="BU412" s="82">
        <f t="shared" si="260"/>
        <v>0</v>
      </c>
      <c r="BW412" s="82">
        <f>IFERROR(INDEX('Infos Clientes'!$T:$T,MATCH('Detalhe Por UC'!$C412,'Infos Clientes'!B:B,0)),"")</f>
        <v>93.7</v>
      </c>
      <c r="BX412" s="83">
        <f t="shared" si="261"/>
        <v>0</v>
      </c>
      <c r="BY412" s="84" t="str">
        <f t="shared" si="262"/>
        <v/>
      </c>
      <c r="BZ412" s="85">
        <f>IF(_xlfn.MINIFS('Detalhe Por UC'!R:R,'Detalhe Por UC'!C:C,C412,'Detalhe Por UC'!AD:AD,"&gt;"&amp;0)=0,"",_xlfn.MINIFS('Detalhe Por UC'!R:R,'Detalhe Por UC'!C:C,C412,'Detalhe Por UC'!AD:AD,"&gt;"&amp;0))</f>
        <v>45689</v>
      </c>
      <c r="CA412" s="114">
        <f ca="1">IF(OR(S412&gt;0,AD412&gt;0),IFERROR(
SUMIFS(INDIRECT("'Infos Clientes'!$W"&amp;INDEX('Infos Clientes'!$C:$C,MATCH(C412,'Infos Clientes'!$H:$H,0))&amp;":$CZ"&amp;INDEX('Infos Clientes'!$C:$C,MATCH(C412,'Infos Clientes'!$H:$H,0))),'Infos Clientes'!$W$2:$CZ$2,"&gt;"&amp;$R412-365,'Infos Clientes'!$W$2:$CZ$2,"&lt;="&amp;$R412)/
COUNTIFS(INDIRECT("'Infos Clientes'!$W"&amp;INDEX('Infos Clientes'!$C:$C,MATCH(C412,'Infos Clientes'!$H:$H,0))&amp;":$CZ"&amp;INDEX('Infos Clientes'!$C:$C,MATCH(C412,'Infos Clientes'!$H:$H,0))),"&gt;="&amp;0,'Infos Clientes'!$W$2:$CZ$2,"&gt;"&amp;$R412-365,'Infos Clientes'!$W$2:$CZ$2,"&lt;="&amp;$R412),""),"")</f>
        <v>432</v>
      </c>
      <c r="CB412" s="87">
        <f>VLOOKUP(C412,'Infos Clientes'!B:L,11,0)</f>
        <v>0</v>
      </c>
      <c r="CC412" s="88" t="str">
        <f t="shared" si="263"/>
        <v>A Unidade Consumidora 10/505854-0 economizou R$0 na fatura referente à abr/2025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E412" s="18">
        <v>114.53</v>
      </c>
      <c r="CF412" s="115">
        <f t="shared" si="264"/>
        <v>0</v>
      </c>
    </row>
    <row r="413" spans="1:84" ht="16.2" hidden="1" customHeight="1" x14ac:dyDescent="0.3">
      <c r="A413" s="105" t="str">
        <f>INDEX('Infos Clientes'!$D:$D,MATCH('Detalhe Por UC'!C413,'Infos Clientes'!B:B,0))</f>
        <v>IGREJA DO EVANGELHO QUADRANGULAR</v>
      </c>
      <c r="B413" s="106" t="str">
        <f>INDEX('Infos Clientes'!$F:$F,MATCH('Detalhe Por UC'!C413,'Infos Clientes'!B:B,0))</f>
        <v>62.955.505/3311-98</v>
      </c>
      <c r="C413" s="31" t="s">
        <v>147</v>
      </c>
      <c r="D413" t="s">
        <v>351</v>
      </c>
      <c r="E413" s="1" t="s">
        <v>352</v>
      </c>
      <c r="F413" s="56" t="str">
        <f>INDEX('Infos Clientes'!$I:$I,MATCH('Detalhe Por UC'!C413,'Infos Clientes'!B:B,0))</f>
        <v>BT</v>
      </c>
      <c r="G413" s="56" t="str">
        <f>INDEX('Infos Clientes'!$J:$J,MATCH('Detalhe Por UC'!C413,'Infos Clientes'!B:B,0))</f>
        <v>trifasico</v>
      </c>
      <c r="H413" s="108" t="s">
        <v>138</v>
      </c>
      <c r="I413" s="58">
        <f>IFERROR(VLOOKUP(C413,'Infos Clientes'!B:E,4,),"")</f>
        <v>360</v>
      </c>
      <c r="J413" s="109">
        <v>0.25</v>
      </c>
      <c r="K413" s="59">
        <f>INDEX('Infos Clientes'!$M:$M,MATCH('Detalhe Por UC'!C413,'Infos Clientes'!B:B,0))</f>
        <v>0.25</v>
      </c>
      <c r="L413" s="125">
        <v>0</v>
      </c>
      <c r="M413" s="56">
        <f>INDEX('Infos Clientes'!$N:$N,MATCH('Detalhe Por UC'!C413,'Infos Clientes'!B:B,0))</f>
        <v>0</v>
      </c>
      <c r="N413" s="56">
        <f t="shared" si="229"/>
        <v>0</v>
      </c>
      <c r="O413" s="56">
        <f t="shared" si="230"/>
        <v>9</v>
      </c>
      <c r="P413" s="56">
        <f t="shared" si="265"/>
        <v>0</v>
      </c>
      <c r="Q413" s="61">
        <f>IFERROR(IFERROR(INDEX('Infos Clientes'!$A$2:$V$9884,MATCH($C413,'Infos Clientes'!$B$2:$B$9884,0),MATCH(Q$8,'Infos Clientes'!$A$2:$V$2,0)),"")
+IF(OR(INDEX('Infos Clientes'!$A$2:$V$9884,MATCH($C413,'Infos Clientes'!$B$2:$B$9884,0),MATCH("Tempo de Fidelidade (meses)",'Infos Clientes'!$A$2:$V$2,0))=0,R413&gt;=MAX(R:R)),0,
ROUND((MAX(R:R)-R413)/(365/12),0)),"")</f>
        <v>0</v>
      </c>
      <c r="R413" s="111">
        <v>45748</v>
      </c>
      <c r="S413" s="63">
        <v>0.04</v>
      </c>
      <c r="T413" s="113" t="str">
        <f>IF($H413="GIROSSOL II",AP413/INDEX('Resumo Operacional'!$A$1:$P$1103,17,MATCH('Detalhe Por UC'!$R413,'Resumo Operacional'!$A$1:$P$1,0)),
IF($H413="GIROSSOL II e III",AP413/INDEX('Resumo Operacional'!$A$1:$P$1103,17,MATCH('Detalhe Por UC'!$R413,'Resumo Operacional'!$A$1:$P$1,0)),
""))</f>
        <v/>
      </c>
      <c r="U413" s="113">
        <f>IF($H413="GIROSSOL III",AP413/INDEX('Resumo Operacional'!$A$1:$P$1103,53,MATCH('Detalhe Por UC'!$R413,'Resumo Operacional'!$A$1:$P$1,0)),
IF($H413="GIROSSOL II e III",AP413/INDEX('Resumo Operacional'!$A$1:$P$1103,53,MATCH('Detalhe Por UC'!$R413,'Resumo Operacional'!$A$1:$P$1,0)),
""))</f>
        <v>4.6513876801083071E-2</v>
      </c>
      <c r="V413" s="45"/>
      <c r="W413" s="18"/>
      <c r="X413" s="18">
        <v>1.11625</v>
      </c>
      <c r="Y413" s="18"/>
      <c r="Z413" s="18">
        <v>0.9740540540540541</v>
      </c>
      <c r="AA413" s="18"/>
      <c r="AB413" s="18">
        <v>472</v>
      </c>
      <c r="AC413" s="18"/>
      <c r="AD413" s="18">
        <v>444</v>
      </c>
      <c r="AE413" s="35"/>
      <c r="AF413" s="18">
        <v>37</v>
      </c>
      <c r="AG413" s="18">
        <v>0</v>
      </c>
      <c r="AH413" s="18">
        <v>98.789999999999992</v>
      </c>
      <c r="AI413" s="18">
        <v>0</v>
      </c>
      <c r="AJ413" s="18">
        <v>0</v>
      </c>
      <c r="AN413" s="71">
        <f t="shared" si="231"/>
        <v>37</v>
      </c>
      <c r="AO413" s="71">
        <f t="shared" si="232"/>
        <v>0</v>
      </c>
      <c r="AP413" s="71">
        <f t="shared" si="233"/>
        <v>481</v>
      </c>
      <c r="AQ413" s="72">
        <f>IF(OR($H413="GIROSSOL II",$H413="GIROSSOL II e III"),INDEX('Resumo Operacional'!$A$1:$P$1103,MATCH("Energia Injetada prevista total Fatura da Usina (TUSD)",'Resumo Operacional'!$B$1:$B$1103,0),MATCH('Detalhe Por UC'!$R413,'Resumo Operacional'!$A$1:$P$1,0))*$S413,INDEX('Resumo Operacional'!$A$1:$P$1103,53,MATCH('Detalhe Por UC'!$R413,'Resumo Operacional'!$A$1:$P$1,0))*$S413)</f>
        <v>413.64</v>
      </c>
      <c r="AR413" s="71">
        <f t="shared" si="234"/>
        <v>67.360000000000014</v>
      </c>
      <c r="AS413" s="73">
        <f t="shared" si="235"/>
        <v>193.17999999999998</v>
      </c>
      <c r="AT413" s="74">
        <f t="shared" si="236"/>
        <v>193.17999999999998</v>
      </c>
      <c r="AU413" s="74">
        <f t="shared" si="237"/>
        <v>0.83185810810810823</v>
      </c>
      <c r="AV413" s="74">
        <f t="shared" si="238"/>
        <v>324.36</v>
      </c>
      <c r="AW413" s="74">
        <f t="shared" si="239"/>
        <v>0</v>
      </c>
      <c r="AX413" s="74">
        <f t="shared" si="240"/>
        <v>432.48</v>
      </c>
      <c r="AY413" s="74">
        <f t="shared" si="241"/>
        <v>324.36</v>
      </c>
      <c r="AZ413" s="117">
        <v>324.36</v>
      </c>
      <c r="BA413" s="117">
        <v>324.36</v>
      </c>
      <c r="BB413" s="49">
        <v>324.36</v>
      </c>
      <c r="BC413" s="73" t="str">
        <f t="shared" si="242"/>
        <v/>
      </c>
      <c r="BD413" s="73">
        <f t="shared" si="243"/>
        <v>625.66</v>
      </c>
      <c r="BE413" s="73">
        <f t="shared" si="244"/>
        <v>517.54</v>
      </c>
      <c r="BF413" s="77">
        <f t="shared" si="245"/>
        <v>108.12</v>
      </c>
      <c r="BG413" s="77">
        <f t="shared" si="246"/>
        <v>32.436</v>
      </c>
      <c r="BH413" s="77">
        <f t="shared" si="247"/>
        <v>432.48</v>
      </c>
      <c r="BI413" s="78">
        <f t="shared" si="248"/>
        <v>0.25</v>
      </c>
      <c r="BJ413" s="79">
        <f t="shared" si="249"/>
        <v>0.17280951315410928</v>
      </c>
      <c r="BK413" s="80">
        <f t="shared" si="250"/>
        <v>517.54</v>
      </c>
      <c r="BL413" s="80">
        <f t="shared" si="251"/>
        <v>108.12</v>
      </c>
      <c r="BM413" s="79">
        <f t="shared" si="252"/>
        <v>0.17280951315410928</v>
      </c>
      <c r="BN413" s="81">
        <f t="shared" si="253"/>
        <v>0.73054054054054052</v>
      </c>
      <c r="BO413" s="82">
        <f t="shared" si="254"/>
        <v>324.36</v>
      </c>
      <c r="BP413" s="81">
        <f t="shared" si="255"/>
        <v>0.73054054054054052</v>
      </c>
      <c r="BQ413" s="81">
        <f t="shared" si="256"/>
        <v>0.87273648648648638</v>
      </c>
      <c r="BR413" s="81">
        <f t="shared" si="257"/>
        <v>1.11625</v>
      </c>
      <c r="BS413" s="82">
        <f t="shared" si="258"/>
        <v>444</v>
      </c>
      <c r="BT413" s="82">
        <f t="shared" si="259"/>
        <v>495.61500000000001</v>
      </c>
      <c r="BU413" s="82">
        <f t="shared" si="260"/>
        <v>432.48</v>
      </c>
      <c r="BW413" s="82">
        <f>IFERROR(INDEX('Infos Clientes'!$T:$T,MATCH('Detalhe Por UC'!$C413,'Infos Clientes'!B:B,0)),"")</f>
        <v>471.63636363636363</v>
      </c>
      <c r="BX413" s="83">
        <f t="shared" si="261"/>
        <v>0</v>
      </c>
      <c r="BY413" s="84">
        <f t="shared" si="262"/>
        <v>0.21815320359553289</v>
      </c>
      <c r="BZ413" s="85">
        <f>IF(_xlfn.MINIFS('Detalhe Por UC'!R:R,'Detalhe Por UC'!C:C,C413,'Detalhe Por UC'!AD:AD,"&gt;"&amp;0)=0,"",_xlfn.MINIFS('Detalhe Por UC'!R:R,'Detalhe Por UC'!C:C,C413,'Detalhe Por UC'!AD:AD,"&gt;"&amp;0))</f>
        <v>45658</v>
      </c>
      <c r="CA413" s="114">
        <f ca="1">IF(OR(S413&gt;0,AD413&gt;0),IFERROR(
SUMIFS(INDIRECT("'Infos Clientes'!$W"&amp;INDEX('Infos Clientes'!$C:$C,MATCH(C413,'Infos Clientes'!$H:$H,0))&amp;":$CZ"&amp;INDEX('Infos Clientes'!$C:$C,MATCH(C413,'Infos Clientes'!$H:$H,0))),'Infos Clientes'!$W$2:$CZ$2,"&gt;"&amp;$R413-365,'Infos Clientes'!$W$2:$CZ$2,"&lt;="&amp;$R413)/
COUNTIFS(INDIRECT("'Infos Clientes'!$W"&amp;INDEX('Infos Clientes'!$C:$C,MATCH(C413,'Infos Clientes'!$H:$H,0))&amp;":$CZ"&amp;INDEX('Infos Clientes'!$C:$C,MATCH(C413,'Infos Clientes'!$H:$H,0))),"&gt;="&amp;0,'Infos Clientes'!$W$2:$CZ$2,"&gt;"&amp;$R413-365,'Infos Clientes'!$W$2:$CZ$2,"&lt;="&amp;$R413),""),"")</f>
        <v>432</v>
      </c>
      <c r="CB413" s="87">
        <f>VLOOKUP(C413,'Infos Clientes'!B:L,11,0)</f>
        <v>0</v>
      </c>
      <c r="CC413" s="88" t="str">
        <f t="shared" si="263"/>
        <v>A Unidade Consumidora 10/127464-6 economizou R$108,12 na fatura referente à abr/2025  consumindo 444 kWh em créditos de energia renovável conforme fatura de energia. A economia foi de 25% em relação ao que seria pago para a Energisa considerando os créditos consumidos. Atenção: Mantenha as contas da Energisa em dia para evitar cortes.</v>
      </c>
      <c r="CD413" s="40" t="s">
        <v>37</v>
      </c>
      <c r="CE413" s="18">
        <v>193.18</v>
      </c>
      <c r="CF413" s="115">
        <f t="shared" si="264"/>
        <v>0</v>
      </c>
    </row>
    <row r="414" spans="1:84" ht="16.2" hidden="1" customHeight="1" x14ac:dyDescent="0.3">
      <c r="A414" s="105" t="str">
        <f>INDEX('Infos Clientes'!$D:$D,MATCH('Detalhe Por UC'!C414,'Infos Clientes'!B:B,0))</f>
        <v>IGREJA DO EVANGELHO QUADRANGULAR</v>
      </c>
      <c r="B414" s="106" t="str">
        <f>INDEX('Infos Clientes'!$F:$F,MATCH('Detalhe Por UC'!C414,'Infos Clientes'!B:B,0))</f>
        <v>62.955.505/1570-66</v>
      </c>
      <c r="C414" s="31" t="s">
        <v>172</v>
      </c>
      <c r="D414" t="s">
        <v>351</v>
      </c>
      <c r="E414" s="1" t="s">
        <v>352</v>
      </c>
      <c r="F414" s="56" t="str">
        <f>INDEX('Infos Clientes'!$I:$I,MATCH('Detalhe Por UC'!C414,'Infos Clientes'!B:B,0))</f>
        <v>BT</v>
      </c>
      <c r="G414" s="56" t="str">
        <f>INDEX('Infos Clientes'!$J:$J,MATCH('Detalhe Por UC'!C414,'Infos Clientes'!B:B,0))</f>
        <v>trifasico</v>
      </c>
      <c r="H414" s="108" t="s">
        <v>138</v>
      </c>
      <c r="I414" s="58">
        <f>IFERROR(VLOOKUP(C414,'Infos Clientes'!B:E,4,),"")</f>
        <v>357</v>
      </c>
      <c r="J414" s="109">
        <v>0.25</v>
      </c>
      <c r="K414" s="59">
        <f>INDEX('Infos Clientes'!$M:$M,MATCH('Detalhe Por UC'!C414,'Infos Clientes'!B:B,0))</f>
        <v>0.25</v>
      </c>
      <c r="L414" s="125">
        <v>0</v>
      </c>
      <c r="M414" s="56">
        <f>INDEX('Infos Clientes'!$N:$N,MATCH('Detalhe Por UC'!C414,'Infos Clientes'!B:B,0))</f>
        <v>0</v>
      </c>
      <c r="N414" s="56">
        <f t="shared" si="229"/>
        <v>0</v>
      </c>
      <c r="O414" s="56">
        <f t="shared" si="230"/>
        <v>9</v>
      </c>
      <c r="P414" s="56">
        <f t="shared" si="265"/>
        <v>0</v>
      </c>
      <c r="Q414" s="61">
        <f>IFERROR(IFERROR(INDEX('Infos Clientes'!$A$2:$V$9884,MATCH($C414,'Infos Clientes'!$B$2:$B$9884,0),MATCH(Q$8,'Infos Clientes'!$A$2:$V$2,0)),"")
+IF(OR(INDEX('Infos Clientes'!$A$2:$V$9884,MATCH($C414,'Infos Clientes'!$B$2:$B$9884,0),MATCH("Tempo de Fidelidade (meses)",'Infos Clientes'!$A$2:$V$2,0))=0,R414&gt;=MAX(R:R)),0,
ROUND((MAX(R:R)-R414)/(365/12),0)),"")</f>
        <v>0</v>
      </c>
      <c r="R414" s="111">
        <v>45748</v>
      </c>
      <c r="S414" s="63">
        <v>0.02</v>
      </c>
      <c r="T414" s="113" t="str">
        <f>IF($H414="GIROSSOL II",AP414/INDEX('Resumo Operacional'!$A$1:$P$1103,17,MATCH('Detalhe Por UC'!$R414,'Resumo Operacional'!$A$1:$P$1,0)),
IF($H414="GIROSSOL II e III",AP414/INDEX('Resumo Operacional'!$A$1:$P$1103,17,MATCH('Detalhe Por UC'!$R414,'Resumo Operacional'!$A$1:$P$1,0)),
""))</f>
        <v/>
      </c>
      <c r="U414" s="113">
        <f>IF($H414="GIROSSOL III",AP414/INDEX('Resumo Operacional'!$A$1:$P$1103,53,MATCH('Detalhe Por UC'!$R414,'Resumo Operacional'!$A$1:$P$1,0)),
IF($H414="GIROSSOL II e III",AP414/INDEX('Resumo Operacional'!$A$1:$P$1103,53,MATCH('Detalhe Por UC'!$R414,'Resumo Operacional'!$A$1:$P$1,0)),
""))</f>
        <v>2.3208587177255584E-2</v>
      </c>
      <c r="V414" s="45"/>
      <c r="W414" s="18"/>
      <c r="X414" s="18">
        <v>1.117202380952381</v>
      </c>
      <c r="Y414" s="18"/>
      <c r="Z414" s="18">
        <v>0.97358024691358025</v>
      </c>
      <c r="AA414" s="18"/>
      <c r="AB414" s="18">
        <v>168</v>
      </c>
      <c r="AC414" s="18"/>
      <c r="AD414" s="18">
        <v>81</v>
      </c>
      <c r="AE414" s="35"/>
      <c r="AF414" s="18">
        <v>159</v>
      </c>
      <c r="AG414" s="18">
        <v>0</v>
      </c>
      <c r="AH414" s="18">
        <v>0</v>
      </c>
      <c r="AI414" s="18">
        <v>0</v>
      </c>
      <c r="AJ414" s="18">
        <v>0</v>
      </c>
      <c r="AN414" s="71">
        <f t="shared" si="231"/>
        <v>159</v>
      </c>
      <c r="AO414" s="71">
        <f t="shared" si="232"/>
        <v>0</v>
      </c>
      <c r="AP414" s="71">
        <f t="shared" si="233"/>
        <v>240</v>
      </c>
      <c r="AQ414" s="72">
        <f>IF(OR($H414="GIROSSOL II",$H414="GIROSSOL II e III"),INDEX('Resumo Operacional'!$A$1:$P$1103,MATCH("Energia Injetada prevista total Fatura da Usina (TUSD)",'Resumo Operacional'!$B$1:$B$1103,0),MATCH('Detalhe Por UC'!$R414,'Resumo Operacional'!$A$1:$P$1,0))*$S414,INDEX('Resumo Operacional'!$A$1:$P$1103,53,MATCH('Detalhe Por UC'!$R414,'Resumo Operacional'!$A$1:$P$1,0))*$S414)</f>
        <v>206.82</v>
      </c>
      <c r="AR414" s="71">
        <f t="shared" si="234"/>
        <v>33.180000000000007</v>
      </c>
      <c r="AS414" s="73">
        <f t="shared" si="235"/>
        <v>108.83</v>
      </c>
      <c r="AT414" s="74">
        <f t="shared" si="236"/>
        <v>108.83</v>
      </c>
      <c r="AU414" s="74">
        <f t="shared" si="237"/>
        <v>0.8299581128747795</v>
      </c>
      <c r="AV414" s="74">
        <f t="shared" si="238"/>
        <v>59.144999999999996</v>
      </c>
      <c r="AW414" s="74">
        <f t="shared" si="239"/>
        <v>0</v>
      </c>
      <c r="AX414" s="74">
        <f t="shared" si="240"/>
        <v>78.86</v>
      </c>
      <c r="AY414" s="74">
        <f t="shared" si="241"/>
        <v>59.15</v>
      </c>
      <c r="AZ414" s="117">
        <v>59.15</v>
      </c>
      <c r="BA414" s="117">
        <v>59.15</v>
      </c>
      <c r="BB414" s="49">
        <v>59.15</v>
      </c>
      <c r="BC414" s="73" t="str">
        <f t="shared" si="242"/>
        <v/>
      </c>
      <c r="BD414" s="73">
        <f t="shared" si="243"/>
        <v>187.69</v>
      </c>
      <c r="BE414" s="73">
        <f t="shared" si="244"/>
        <v>167.97499999999999</v>
      </c>
      <c r="BF414" s="77">
        <f t="shared" si="245"/>
        <v>19.72</v>
      </c>
      <c r="BG414" s="77">
        <f t="shared" si="246"/>
        <v>5.9159999999999995</v>
      </c>
      <c r="BH414" s="77">
        <f t="shared" si="247"/>
        <v>78.86</v>
      </c>
      <c r="BI414" s="78">
        <f t="shared" si="248"/>
        <v>0.25</v>
      </c>
      <c r="BJ414" s="79">
        <f t="shared" si="249"/>
        <v>0.1050668655762161</v>
      </c>
      <c r="BK414" s="80">
        <f t="shared" si="250"/>
        <v>167.98</v>
      </c>
      <c r="BL414" s="80">
        <f t="shared" si="251"/>
        <v>19.710000000000008</v>
      </c>
      <c r="BM414" s="79">
        <f t="shared" si="252"/>
        <v>0.10501358623261765</v>
      </c>
      <c r="BN414" s="81">
        <f t="shared" si="253"/>
        <v>0.73024691358024685</v>
      </c>
      <c r="BO414" s="82">
        <f t="shared" si="254"/>
        <v>59.149999999999991</v>
      </c>
      <c r="BP414" s="81">
        <f t="shared" si="255"/>
        <v>0.73024691358024685</v>
      </c>
      <c r="BQ414" s="81">
        <f t="shared" si="256"/>
        <v>0.8738690476190476</v>
      </c>
      <c r="BR414" s="81">
        <f t="shared" si="257"/>
        <v>1.117202380952381</v>
      </c>
      <c r="BS414" s="82">
        <f t="shared" si="258"/>
        <v>81</v>
      </c>
      <c r="BT414" s="82">
        <f t="shared" si="259"/>
        <v>90.493392857142865</v>
      </c>
      <c r="BU414" s="82">
        <f t="shared" si="260"/>
        <v>78.86</v>
      </c>
      <c r="BW414" s="82">
        <f>IFERROR(INDEX('Infos Clientes'!$T:$T,MATCH('Detalhe Por UC'!$C414,'Infos Clientes'!B:B,0)),"")</f>
        <v>324.72727272727275</v>
      </c>
      <c r="BX414" s="83">
        <f t="shared" si="261"/>
        <v>0</v>
      </c>
      <c r="BY414" s="84">
        <f t="shared" si="262"/>
        <v>0.21780595663061436</v>
      </c>
      <c r="BZ414" s="85">
        <f>IF(_xlfn.MINIFS('Detalhe Por UC'!R:R,'Detalhe Por UC'!C:C,C414,'Detalhe Por UC'!AD:AD,"&gt;"&amp;0)=0,"",_xlfn.MINIFS('Detalhe Por UC'!R:R,'Detalhe Por UC'!C:C,C414,'Detalhe Por UC'!AD:AD,"&gt;"&amp;0))</f>
        <v>45658</v>
      </c>
      <c r="CA414" s="114">
        <f ca="1">IF(OR(S414&gt;0,AD414&gt;0),IFERROR(
SUMIFS(INDIRECT("'Infos Clientes'!$W"&amp;INDEX('Infos Clientes'!$C:$C,MATCH(C414,'Infos Clientes'!$H:$H,0))&amp;":$CZ"&amp;INDEX('Infos Clientes'!$C:$C,MATCH(C414,'Infos Clientes'!$H:$H,0))),'Infos Clientes'!$W$2:$CZ$2,"&gt;"&amp;$R414-365,'Infos Clientes'!$W$2:$CZ$2,"&lt;="&amp;$R414)/
COUNTIFS(INDIRECT("'Infos Clientes'!$W"&amp;INDEX('Infos Clientes'!$C:$C,MATCH(C414,'Infos Clientes'!$H:$H,0))&amp;":$CZ"&amp;INDEX('Infos Clientes'!$C:$C,MATCH(C414,'Infos Clientes'!$H:$H,0))),"&gt;="&amp;0,'Infos Clientes'!$W$2:$CZ$2,"&gt;"&amp;$R414-365,'Infos Clientes'!$W$2:$CZ$2,"&lt;="&amp;$R414),""),"")</f>
        <v>258</v>
      </c>
      <c r="CB414" s="87">
        <f>VLOOKUP(C414,'Infos Clientes'!B:L,11,0)</f>
        <v>0</v>
      </c>
      <c r="CC414" s="88" t="str">
        <f t="shared" si="263"/>
        <v>A Unidade Consumidora 10/24514-2 economizou R$19,72 na fatura referente à abr/2025  consumindo 81 kWh em créditos de energia renovável conforme fatura de energia. A economia foi de 25% em relação ao que seria pago para a Energisa considerando os créditos consumidos. Atenção: Mantenha as contas da Energisa em dia para evitar cortes.</v>
      </c>
      <c r="CD414" s="40" t="s">
        <v>80</v>
      </c>
      <c r="CE414" s="18">
        <v>108.83</v>
      </c>
      <c r="CF414" s="115">
        <f t="shared" si="264"/>
        <v>0</v>
      </c>
    </row>
    <row r="415" spans="1:84" ht="16.2" hidden="1" customHeight="1" x14ac:dyDescent="0.3">
      <c r="A415" s="105" t="str">
        <f>INDEX('Infos Clientes'!$D:$D,MATCH('Detalhe Por UC'!C415,'Infos Clientes'!B:B,0))</f>
        <v>IGREJA DO EVANGELHO QUADRANGULAR</v>
      </c>
      <c r="B415" s="106" t="str">
        <f>INDEX('Infos Clientes'!$F:$F,MATCH('Detalhe Por UC'!C415,'Infos Clientes'!B:B,0))</f>
        <v>62.955.505/2876-01</v>
      </c>
      <c r="C415" s="31" t="s">
        <v>180</v>
      </c>
      <c r="D415" t="s">
        <v>351</v>
      </c>
      <c r="E415" s="1" t="s">
        <v>352</v>
      </c>
      <c r="F415" s="56" t="str">
        <f>INDEX('Infos Clientes'!$I:$I,MATCH('Detalhe Por UC'!C415,'Infos Clientes'!B:B,0))</f>
        <v>BT</v>
      </c>
      <c r="G415" s="56" t="str">
        <f>INDEX('Infos Clientes'!$J:$J,MATCH('Detalhe Por UC'!C415,'Infos Clientes'!B:B,0))</f>
        <v>trifasico</v>
      </c>
      <c r="H415" s="108" t="s">
        <v>138</v>
      </c>
      <c r="I415" s="58">
        <f>IFERROR(VLOOKUP(C415,'Infos Clientes'!B:E,4,),"")</f>
        <v>994</v>
      </c>
      <c r="J415" s="109">
        <v>0.25</v>
      </c>
      <c r="K415" s="59">
        <f>INDEX('Infos Clientes'!$M:$M,MATCH('Detalhe Por UC'!C415,'Infos Clientes'!B:B,0))</f>
        <v>0.25</v>
      </c>
      <c r="L415" s="125">
        <v>0</v>
      </c>
      <c r="M415" s="56">
        <f>INDEX('Infos Clientes'!$N:$N,MATCH('Detalhe Por UC'!C415,'Infos Clientes'!B:B,0))</f>
        <v>0</v>
      </c>
      <c r="N415" s="56">
        <f t="shared" si="229"/>
        <v>0</v>
      </c>
      <c r="O415" s="56">
        <f t="shared" si="230"/>
        <v>11</v>
      </c>
      <c r="P415" s="56">
        <f t="shared" si="265"/>
        <v>0</v>
      </c>
      <c r="Q415" s="61">
        <f>IFERROR(IFERROR(INDEX('Infos Clientes'!$A$2:$V$9884,MATCH($C415,'Infos Clientes'!$B$2:$B$9884,0),MATCH(Q$8,'Infos Clientes'!$A$2:$V$2,0)),"")
+IF(OR(INDEX('Infos Clientes'!$A$2:$V$9884,MATCH($C415,'Infos Clientes'!$B$2:$B$9884,0),MATCH("Tempo de Fidelidade (meses)",'Infos Clientes'!$A$2:$V$2,0))=0,R415&gt;=MAX(R:R)),0,
ROUND((MAX(R:R)-R415)/(365/12),0)),"")</f>
        <v>0</v>
      </c>
      <c r="R415" s="111">
        <v>45748</v>
      </c>
      <c r="S415" s="63">
        <v>0.01</v>
      </c>
      <c r="T415" s="113" t="str">
        <f>IF($H415="GIROSSOL II",AP415/INDEX('Resumo Operacional'!$A$1:$P$1103,17,MATCH('Detalhe Por UC'!$R415,'Resumo Operacional'!$A$1:$P$1,0)),
IF($H415="GIROSSOL II e III",AP415/INDEX('Resumo Operacional'!$A$1:$P$1103,17,MATCH('Detalhe Por UC'!$R415,'Resumo Operacional'!$A$1:$P$1,0)),
""))</f>
        <v/>
      </c>
      <c r="U415" s="113">
        <f>IF($H415="GIROSSOL III",AP415/INDEX('Resumo Operacional'!$A$1:$P$1103,53,MATCH('Detalhe Por UC'!$R415,'Resumo Operacional'!$A$1:$P$1,0)),
IF($H415="GIROSSOL II e III",AP415/INDEX('Resumo Operacional'!$A$1:$P$1103,53,MATCH('Detalhe Por UC'!$R415,'Resumo Operacional'!$A$1:$P$1,0)),
""))</f>
        <v>1.1604293588627792E-2</v>
      </c>
      <c r="V415" s="45"/>
      <c r="W415" s="18"/>
      <c r="X415" s="18">
        <v>1.1193650793650793</v>
      </c>
      <c r="Y415" s="18"/>
      <c r="Z415" s="18">
        <v>0.97258064516129039</v>
      </c>
      <c r="AA415" s="18"/>
      <c r="AB415" s="18">
        <v>126</v>
      </c>
      <c r="AC415" s="18"/>
      <c r="AD415" s="18">
        <v>31</v>
      </c>
      <c r="AE415" s="35"/>
      <c r="AF415" s="18">
        <v>89</v>
      </c>
      <c r="AG415" s="18">
        <v>0</v>
      </c>
      <c r="AH415" s="18">
        <v>23.99</v>
      </c>
      <c r="AI415" s="18">
        <v>0</v>
      </c>
      <c r="AJ415" s="18">
        <v>0</v>
      </c>
      <c r="AN415" s="71">
        <f t="shared" si="231"/>
        <v>89</v>
      </c>
      <c r="AO415" s="71">
        <f t="shared" si="232"/>
        <v>0</v>
      </c>
      <c r="AP415" s="71">
        <f t="shared" si="233"/>
        <v>120</v>
      </c>
      <c r="AQ415" s="72">
        <f>IF(OR($H415="GIROSSOL II",$H415="GIROSSOL II e III"),INDEX('Resumo Operacional'!$A$1:$P$1103,MATCH("Energia Injetada prevista total Fatura da Usina (TUSD)",'Resumo Operacional'!$B$1:$B$1103,0),MATCH('Detalhe Por UC'!$R415,'Resumo Operacional'!$A$1:$P$1,0))*$S415,INDEX('Resumo Operacional'!$A$1:$P$1103,53,MATCH('Detalhe Por UC'!$R415,'Resumo Operacional'!$A$1:$P$1,0))*$S415)</f>
        <v>103.41</v>
      </c>
      <c r="AR415" s="71">
        <f t="shared" si="234"/>
        <v>16.590000000000003</v>
      </c>
      <c r="AS415" s="73">
        <f t="shared" si="235"/>
        <v>134.88</v>
      </c>
      <c r="AT415" s="74">
        <f t="shared" si="236"/>
        <v>134.88</v>
      </c>
      <c r="AU415" s="74">
        <f t="shared" si="237"/>
        <v>0.82579621095750144</v>
      </c>
      <c r="AV415" s="74">
        <f t="shared" si="238"/>
        <v>22.612500000000001</v>
      </c>
      <c r="AW415" s="74">
        <f t="shared" si="239"/>
        <v>0</v>
      </c>
      <c r="AX415" s="74">
        <f t="shared" si="240"/>
        <v>30.150000000000002</v>
      </c>
      <c r="AY415" s="74">
        <f t="shared" si="241"/>
        <v>22.61</v>
      </c>
      <c r="AZ415" s="117">
        <v>22.61</v>
      </c>
      <c r="BA415" s="117">
        <v>22.61</v>
      </c>
      <c r="BB415" s="49">
        <v>22.61</v>
      </c>
      <c r="BC415" s="73" t="str">
        <f t="shared" si="242"/>
        <v/>
      </c>
      <c r="BD415" s="73">
        <f t="shared" si="243"/>
        <v>165.03</v>
      </c>
      <c r="BE415" s="73">
        <f t="shared" si="244"/>
        <v>157.49250000000001</v>
      </c>
      <c r="BF415" s="77">
        <f t="shared" si="245"/>
        <v>7.54</v>
      </c>
      <c r="BG415" s="77">
        <f t="shared" si="246"/>
        <v>2.262</v>
      </c>
      <c r="BH415" s="77">
        <f t="shared" si="247"/>
        <v>30.15</v>
      </c>
      <c r="BI415" s="78">
        <f t="shared" si="248"/>
        <v>0.25</v>
      </c>
      <c r="BJ415" s="79">
        <f t="shared" si="249"/>
        <v>4.5688662667393805E-2</v>
      </c>
      <c r="BK415" s="80">
        <f t="shared" si="250"/>
        <v>157.49</v>
      </c>
      <c r="BL415" s="80">
        <f t="shared" si="251"/>
        <v>7.539999999999992</v>
      </c>
      <c r="BM415" s="79">
        <f t="shared" si="252"/>
        <v>4.5688662667393756E-2</v>
      </c>
      <c r="BN415" s="81">
        <f t="shared" si="253"/>
        <v>0.72935483870967743</v>
      </c>
      <c r="BO415" s="82">
        <f t="shared" si="254"/>
        <v>22.61</v>
      </c>
      <c r="BP415" s="81">
        <f t="shared" si="255"/>
        <v>0.72935483870967743</v>
      </c>
      <c r="BQ415" s="81">
        <f t="shared" si="256"/>
        <v>0.87613927291346638</v>
      </c>
      <c r="BR415" s="81">
        <f t="shared" si="257"/>
        <v>1.1193650793650793</v>
      </c>
      <c r="BS415" s="82">
        <f t="shared" si="258"/>
        <v>31</v>
      </c>
      <c r="BT415" s="82">
        <f t="shared" si="259"/>
        <v>34.700317460317457</v>
      </c>
      <c r="BU415" s="82">
        <f t="shared" si="260"/>
        <v>30.150000000000002</v>
      </c>
      <c r="BW415" s="82">
        <f>IFERROR(INDEX('Infos Clientes'!$T:$T,MATCH('Detalhe Por UC'!$C415,'Infos Clientes'!B:B,0)),"")</f>
        <v>143.63636363636363</v>
      </c>
      <c r="BX415" s="83">
        <f t="shared" si="261"/>
        <v>0</v>
      </c>
      <c r="BY415" s="84">
        <f t="shared" si="262"/>
        <v>0.2172890783671528</v>
      </c>
      <c r="BZ415" s="85">
        <f>IF(_xlfn.MINIFS('Detalhe Por UC'!R:R,'Detalhe Por UC'!C:C,C415,'Detalhe Por UC'!AD:AD,"&gt;"&amp;0)=0,"",_xlfn.MINIFS('Detalhe Por UC'!R:R,'Detalhe Por UC'!C:C,C415,'Detalhe Por UC'!AD:AD,"&gt;"&amp;0))</f>
        <v>45658</v>
      </c>
      <c r="CA415" s="114">
        <f ca="1">IF(OR(S415&gt;0,AD415&gt;0),IFERROR(
SUMIFS(INDIRECT("'Infos Clientes'!$W"&amp;INDEX('Infos Clientes'!$C:$C,MATCH(C415,'Infos Clientes'!$H:$H,0))&amp;":$CZ"&amp;INDEX('Infos Clientes'!$C:$C,MATCH(C415,'Infos Clientes'!$H:$H,0))),'Infos Clientes'!$W$2:$CZ$2,"&gt;"&amp;$R415-365,'Infos Clientes'!$W$2:$CZ$2,"&lt;="&amp;$R415)/
COUNTIFS(INDIRECT("'Infos Clientes'!$W"&amp;INDEX('Infos Clientes'!$C:$C,MATCH(C415,'Infos Clientes'!$H:$H,0))&amp;":$CZ"&amp;INDEX('Infos Clientes'!$C:$C,MATCH(C415,'Infos Clientes'!$H:$H,0))),"&gt;="&amp;0,'Infos Clientes'!$W$2:$CZ$2,"&gt;"&amp;$R415-365,'Infos Clientes'!$W$2:$CZ$2,"&lt;="&amp;$R415),""),"")</f>
        <v>130.25</v>
      </c>
      <c r="CB415" s="87">
        <f>VLOOKUP(C415,'Infos Clientes'!B:L,11,0)</f>
        <v>0</v>
      </c>
      <c r="CC415" s="88" t="str">
        <f t="shared" si="263"/>
        <v>A Unidade Consumidora 10/283183-2 economizou R$7,54 na fatura referente à abr/2025  consumindo 31 kWh em créditos de energia renovável conforme fatura de energia. A economia foi de 25% em relação ao que seria pago para a Energisa considerando os créditos consumidos. Atenção: Mantenha as contas da Energisa em dia para evitar cortes.</v>
      </c>
      <c r="CD415" s="40" t="s">
        <v>182</v>
      </c>
      <c r="CE415" s="18">
        <v>134.88</v>
      </c>
      <c r="CF415" s="115">
        <f t="shared" si="264"/>
        <v>0</v>
      </c>
    </row>
    <row r="416" spans="1:84" ht="16.2" hidden="1" customHeight="1" x14ac:dyDescent="0.3">
      <c r="A416" s="105" t="str">
        <f>INDEX('Infos Clientes'!$D:$D,MATCH('Detalhe Por UC'!C416,'Infos Clientes'!B:B,0))</f>
        <v>IGREJA DO EVANGELHO QUADRANGULAR</v>
      </c>
      <c r="B416" s="106" t="str">
        <f>INDEX('Infos Clientes'!$F:$F,MATCH('Detalhe Por UC'!C416,'Infos Clientes'!B:B,0))</f>
        <v>62.955.505/1975-21</v>
      </c>
      <c r="C416" s="31" t="s">
        <v>154</v>
      </c>
      <c r="D416" t="s">
        <v>351</v>
      </c>
      <c r="E416" s="1" t="s">
        <v>352</v>
      </c>
      <c r="F416" s="56" t="str">
        <f>INDEX('Infos Clientes'!$I:$I,MATCH('Detalhe Por UC'!C416,'Infos Clientes'!B:B,0))</f>
        <v>BT</v>
      </c>
      <c r="G416" s="56" t="str">
        <f>INDEX('Infos Clientes'!$J:$J,MATCH('Detalhe Por UC'!C416,'Infos Clientes'!B:B,0))</f>
        <v>bifasico</v>
      </c>
      <c r="H416" s="108" t="s">
        <v>138</v>
      </c>
      <c r="I416" s="58">
        <f>IFERROR(VLOOKUP(C416,'Infos Clientes'!B:E,4,),"")</f>
        <v>357</v>
      </c>
      <c r="J416" s="109">
        <v>0.25</v>
      </c>
      <c r="K416" s="59">
        <f>INDEX('Infos Clientes'!$M:$M,MATCH('Detalhe Por UC'!C416,'Infos Clientes'!B:B,0))</f>
        <v>0.25</v>
      </c>
      <c r="M416" s="56">
        <f>INDEX('Infos Clientes'!$N:$N,MATCH('Detalhe Por UC'!C416,'Infos Clientes'!B:B,0))</f>
        <v>0</v>
      </c>
      <c r="N416" s="56">
        <f t="shared" si="229"/>
        <v>0</v>
      </c>
      <c r="O416" s="56">
        <f t="shared" si="230"/>
        <v>9</v>
      </c>
      <c r="P416" s="56">
        <f t="shared" si="265"/>
        <v>0</v>
      </c>
      <c r="Q416" s="61">
        <f>IFERROR(IFERROR(INDEX('Infos Clientes'!$A$2:$V$9884,MATCH($C416,'Infos Clientes'!$B$2:$B$9884,0),MATCH(Q$8,'Infos Clientes'!$A$2:$V$2,0)),"")
+IF(OR(INDEX('Infos Clientes'!$A$2:$V$9884,MATCH($C416,'Infos Clientes'!$B$2:$B$9884,0),MATCH("Tempo de Fidelidade (meses)",'Infos Clientes'!$A$2:$V$2,0))=0,R416&gt;=MAX(R:R)),0,
ROUND((MAX(R:R)-R416)/(365/12),0)),"")</f>
        <v>0</v>
      </c>
      <c r="R416" s="111">
        <v>45748</v>
      </c>
      <c r="S416" s="63">
        <v>0.02</v>
      </c>
      <c r="T416" s="113" t="str">
        <f>IF($H416="GIROSSOL II",AP416/INDEX('Resumo Operacional'!$A$1:$P$1103,17,MATCH('Detalhe Por UC'!$R416,'Resumo Operacional'!$A$1:$P$1,0)),
IF($H416="GIROSSOL II e III",AP416/INDEX('Resumo Operacional'!$A$1:$P$1103,17,MATCH('Detalhe Por UC'!$R416,'Resumo Operacional'!$A$1:$P$1,0)),
""))</f>
        <v/>
      </c>
      <c r="U416" s="113">
        <f>IF($H416="GIROSSOL III",AP416/INDEX('Resumo Operacional'!$A$1:$P$1103,53,MATCH('Detalhe Por UC'!$R416,'Resumo Operacional'!$A$1:$P$1,0)),
IF($H416="GIROSSOL II e III",AP416/INDEX('Resumo Operacional'!$A$1:$P$1103,53,MATCH('Detalhe Por UC'!$R416,'Resumo Operacional'!$A$1:$P$1,0)),
""))</f>
        <v>2.3208587177255584E-2</v>
      </c>
      <c r="V416" s="45"/>
      <c r="W416" s="18"/>
      <c r="X416" s="18">
        <v>1.1190714285714285</v>
      </c>
      <c r="Y416" s="18"/>
      <c r="Z416" s="18">
        <v>0.97270833333333329</v>
      </c>
      <c r="AA416" s="18"/>
      <c r="AB416" s="18">
        <v>280</v>
      </c>
      <c r="AC416" s="18"/>
      <c r="AD416" s="18">
        <v>240</v>
      </c>
      <c r="AE416" s="35"/>
      <c r="AF416" s="18">
        <v>0</v>
      </c>
      <c r="AG416" s="18">
        <v>0</v>
      </c>
      <c r="AH416" s="18">
        <v>10.180000000000001</v>
      </c>
      <c r="AI416" s="18">
        <v>0</v>
      </c>
      <c r="AJ416" s="18">
        <v>0</v>
      </c>
      <c r="AN416" s="71">
        <f t="shared" si="231"/>
        <v>0</v>
      </c>
      <c r="AO416" s="71">
        <f t="shared" si="232"/>
        <v>0</v>
      </c>
      <c r="AP416" s="71">
        <f t="shared" si="233"/>
        <v>240</v>
      </c>
      <c r="AQ416" s="72">
        <f>IF(OR($H416="GIROSSOL II",$H416="GIROSSOL II e III"),INDEX('Resumo Operacional'!$A$1:$P$1103,MATCH("Energia Injetada prevista total Fatura da Usina (TUSD)",'Resumo Operacional'!$B$1:$B$1103,0),MATCH('Detalhe Por UC'!$R416,'Resumo Operacional'!$A$1:$P$1,0))*$S416,INDEX('Resumo Operacional'!$A$1:$P$1103,53,MATCH('Detalhe Por UC'!$R416,'Resumo Operacional'!$A$1:$P$1,0))*$S416)</f>
        <v>206.82</v>
      </c>
      <c r="AR416" s="71">
        <f t="shared" si="234"/>
        <v>33.180000000000007</v>
      </c>
      <c r="AS416" s="73">
        <f t="shared" si="235"/>
        <v>90.07</v>
      </c>
      <c r="AT416" s="74">
        <f t="shared" si="236"/>
        <v>90.07</v>
      </c>
      <c r="AU416" s="74">
        <f t="shared" si="237"/>
        <v>0.82634523809523808</v>
      </c>
      <c r="AV416" s="74">
        <f t="shared" si="238"/>
        <v>175.08749999999998</v>
      </c>
      <c r="AW416" s="74">
        <f t="shared" si="239"/>
        <v>0</v>
      </c>
      <c r="AX416" s="74">
        <f t="shared" si="240"/>
        <v>233.45</v>
      </c>
      <c r="AY416" s="74">
        <f t="shared" si="241"/>
        <v>175.09</v>
      </c>
      <c r="AZ416" s="117">
        <v>175.09</v>
      </c>
      <c r="BA416" s="117">
        <v>175.09</v>
      </c>
      <c r="BC416" s="73" t="str">
        <f t="shared" si="242"/>
        <v/>
      </c>
      <c r="BD416" s="73">
        <f t="shared" si="243"/>
        <v>323.52</v>
      </c>
      <c r="BE416" s="73">
        <f t="shared" si="244"/>
        <v>265.15749999999997</v>
      </c>
      <c r="BF416" s="77">
        <f t="shared" si="245"/>
        <v>58.36</v>
      </c>
      <c r="BG416" s="77">
        <f t="shared" si="246"/>
        <v>17.507999999999999</v>
      </c>
      <c r="BH416" s="77">
        <f t="shared" si="247"/>
        <v>233.45000000000002</v>
      </c>
      <c r="BI416" s="78">
        <f t="shared" si="248"/>
        <v>0.25</v>
      </c>
      <c r="BJ416" s="79">
        <f t="shared" si="249"/>
        <v>0.18039070227497528</v>
      </c>
      <c r="BK416" s="80">
        <f t="shared" si="250"/>
        <v>265.15999999999997</v>
      </c>
      <c r="BL416" s="80">
        <f t="shared" si="251"/>
        <v>58.360000000000014</v>
      </c>
      <c r="BM416" s="79">
        <f t="shared" si="252"/>
        <v>0.18039070227497533</v>
      </c>
      <c r="BN416" s="81">
        <f t="shared" si="253"/>
        <v>0.72954166666666664</v>
      </c>
      <c r="BO416" s="82">
        <f t="shared" si="254"/>
        <v>175.09</v>
      </c>
      <c r="BP416" s="81">
        <f t="shared" si="255"/>
        <v>0.72954166666666664</v>
      </c>
      <c r="BQ416" s="81">
        <f t="shared" si="256"/>
        <v>0.87590476190476185</v>
      </c>
      <c r="BR416" s="81">
        <f t="shared" si="257"/>
        <v>1.1190714285714285</v>
      </c>
      <c r="BS416" s="82">
        <f t="shared" si="258"/>
        <v>240</v>
      </c>
      <c r="BT416" s="82">
        <f t="shared" si="259"/>
        <v>268.57714285714286</v>
      </c>
      <c r="BU416" s="82">
        <f t="shared" si="260"/>
        <v>233.45</v>
      </c>
      <c r="BW416" s="82">
        <f>IFERROR(INDEX('Infos Clientes'!$T:$T,MATCH('Detalhe Por UC'!$C416,'Infos Clientes'!B:B,0)),"")</f>
        <v>278.36363636363637</v>
      </c>
      <c r="BX416" s="83">
        <f t="shared" si="261"/>
        <v>0</v>
      </c>
      <c r="BY416" s="84">
        <f t="shared" si="262"/>
        <v>0.21729324907980679</v>
      </c>
      <c r="BZ416" s="85">
        <f>IF(_xlfn.MINIFS('Detalhe Por UC'!R:R,'Detalhe Por UC'!C:C,C416,'Detalhe Por UC'!AD:AD,"&gt;"&amp;0)=0,"",_xlfn.MINIFS('Detalhe Por UC'!R:R,'Detalhe Por UC'!C:C,C416,'Detalhe Por UC'!AD:AD,"&gt;"&amp;0))</f>
        <v>45658</v>
      </c>
      <c r="CA416" s="114">
        <f ca="1">IF(OR(S416&gt;0,AD416&gt;0),IFERROR(
SUMIFS(INDIRECT("'Infos Clientes'!$W"&amp;INDEX('Infos Clientes'!$C:$C,MATCH(C416,'Infos Clientes'!$H:$H,0))&amp;":$CZ"&amp;INDEX('Infos Clientes'!$C:$C,MATCH(C416,'Infos Clientes'!$H:$H,0))),'Infos Clientes'!$W$2:$CZ$2,"&gt;"&amp;$R416-365,'Infos Clientes'!$W$2:$CZ$2,"&lt;="&amp;$R416)/
COUNTIFS(INDIRECT("'Infos Clientes'!$W"&amp;INDEX('Infos Clientes'!$C:$C,MATCH(C416,'Infos Clientes'!$H:$H,0))&amp;":$CZ"&amp;INDEX('Infos Clientes'!$C:$C,MATCH(C416,'Infos Clientes'!$H:$H,0))),"&gt;="&amp;0,'Infos Clientes'!$W$2:$CZ$2,"&gt;"&amp;$R416-365,'Infos Clientes'!$W$2:$CZ$2,"&lt;="&amp;$R416),""),"")</f>
        <v>249.91666666666666</v>
      </c>
      <c r="CB416" s="87">
        <f>VLOOKUP(C416,'Infos Clientes'!B:L,11,0)</f>
        <v>0</v>
      </c>
      <c r="CC416" s="88" t="str">
        <f t="shared" si="263"/>
        <v>A Unidade Consumidora 10/13786-9 economizou R$58,36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16" s="40" t="s">
        <v>40</v>
      </c>
      <c r="CE416" s="18">
        <v>90.07</v>
      </c>
      <c r="CF416" s="115">
        <f t="shared" si="264"/>
        <v>0</v>
      </c>
    </row>
    <row r="417" spans="1:84" ht="16.2" hidden="1" customHeight="1" x14ac:dyDescent="0.3">
      <c r="A417" s="105" t="str">
        <f>INDEX('Infos Clientes'!$D:$D,MATCH('Detalhe Por UC'!C417,'Infos Clientes'!B:B,0))</f>
        <v>IGREJA DO EVANGELHO QUADRANGULAR</v>
      </c>
      <c r="B417" s="106" t="str">
        <f>INDEX('Infos Clientes'!$F:$F,MATCH('Detalhe Por UC'!C417,'Infos Clientes'!B:B,0))</f>
        <v>62.955.505/1355-00</v>
      </c>
      <c r="C417" s="31" t="s">
        <v>219</v>
      </c>
      <c r="D417" t="s">
        <v>351</v>
      </c>
      <c r="E417" s="1" t="s">
        <v>352</v>
      </c>
      <c r="F417" s="56" t="str">
        <f>INDEX('Infos Clientes'!$I:$I,MATCH('Detalhe Por UC'!C417,'Infos Clientes'!B:B,0))</f>
        <v>BT</v>
      </c>
      <c r="G417" s="56" t="str">
        <f>INDEX('Infos Clientes'!$J:$J,MATCH('Detalhe Por UC'!C417,'Infos Clientes'!B:B,0))</f>
        <v>trifasico</v>
      </c>
      <c r="H417" s="108" t="s">
        <v>138</v>
      </c>
      <c r="I417" s="58">
        <f>IFERROR(VLOOKUP(C417,'Infos Clientes'!B:E,4,),"")</f>
        <v>319</v>
      </c>
      <c r="J417" s="109">
        <v>0.25</v>
      </c>
      <c r="K417" s="59">
        <f>INDEX('Infos Clientes'!$M:$M,MATCH('Detalhe Por UC'!C417,'Infos Clientes'!B:B,0))</f>
        <v>0.25</v>
      </c>
      <c r="L417" s="125">
        <v>0</v>
      </c>
      <c r="M417" s="56">
        <f>INDEX('Infos Clientes'!$N:$N,MATCH('Detalhe Por UC'!C417,'Infos Clientes'!B:B,0))</f>
        <v>0</v>
      </c>
      <c r="N417" s="56">
        <f t="shared" si="229"/>
        <v>0</v>
      </c>
      <c r="O417" s="56">
        <f t="shared" si="230"/>
        <v>9</v>
      </c>
      <c r="P417" s="56">
        <f t="shared" si="265"/>
        <v>0</v>
      </c>
      <c r="Q417" s="61">
        <f>IFERROR(IFERROR(INDEX('Infos Clientes'!$A$2:$V$9884,MATCH($C417,'Infos Clientes'!$B$2:$B$9884,0),MATCH(Q$8,'Infos Clientes'!$A$2:$V$2,0)),"")
+IF(OR(INDEX('Infos Clientes'!$A$2:$V$9884,MATCH($C417,'Infos Clientes'!$B$2:$B$9884,0),MATCH("Tempo de Fidelidade (meses)",'Infos Clientes'!$A$2:$V$2,0))=0,R417&gt;=MAX(R:R)),0,
ROUND((MAX(R:R)-R417)/(365/12),0)),"")</f>
        <v>0</v>
      </c>
      <c r="R417" s="111">
        <v>45748</v>
      </c>
      <c r="S417" s="63">
        <v>0.02</v>
      </c>
      <c r="T417" s="113" t="str">
        <f>IF($H417="GIROSSOL II",AP417/INDEX('Resumo Operacional'!$A$1:$P$1103,17,MATCH('Detalhe Por UC'!$R417,'Resumo Operacional'!$A$1:$P$1,0)),
IF($H417="GIROSSOL II e III",AP417/INDEX('Resumo Operacional'!$A$1:$P$1103,17,MATCH('Detalhe Por UC'!$R417,'Resumo Operacional'!$A$1:$P$1,0)),
""))</f>
        <v/>
      </c>
      <c r="U417" s="113">
        <f>IF($H417="GIROSSOL III",AP417/INDEX('Resumo Operacional'!$A$1:$P$1103,53,MATCH('Detalhe Por UC'!$R417,'Resumo Operacional'!$A$1:$P$1,0)),
IF($H417="GIROSSOL II e III",AP417/INDEX('Resumo Operacional'!$A$1:$P$1103,53,MATCH('Detalhe Por UC'!$R417,'Resumo Operacional'!$A$1:$P$1,0)),
""))</f>
        <v>2.3208587177255584E-2</v>
      </c>
      <c r="V417" s="45"/>
      <c r="W417" s="18"/>
      <c r="X417" s="18">
        <v>1.1171969696969697</v>
      </c>
      <c r="Y417" s="18"/>
      <c r="Z417" s="18">
        <v>0.97354166666666664</v>
      </c>
      <c r="AA417" s="18"/>
      <c r="AB417" s="18">
        <v>396</v>
      </c>
      <c r="AC417" s="18"/>
      <c r="AD417" s="18">
        <v>240</v>
      </c>
      <c r="AE417" s="35"/>
      <c r="AF417" s="18">
        <v>0</v>
      </c>
      <c r="AG417" s="18">
        <v>0</v>
      </c>
      <c r="AH417" s="18">
        <v>66.3</v>
      </c>
      <c r="AI417" s="18">
        <v>0</v>
      </c>
      <c r="AJ417" s="18">
        <v>0</v>
      </c>
      <c r="AN417" s="71">
        <f t="shared" si="231"/>
        <v>0</v>
      </c>
      <c r="AO417" s="71">
        <f t="shared" si="232"/>
        <v>0</v>
      </c>
      <c r="AP417" s="71">
        <f t="shared" si="233"/>
        <v>240</v>
      </c>
      <c r="AQ417" s="72">
        <f>IF(OR($H417="GIROSSOL II",$H417="GIROSSOL II e III"),INDEX('Resumo Operacional'!$A$1:$P$1103,MATCH("Energia Injetada prevista total Fatura da Usina (TUSD)",'Resumo Operacional'!$B$1:$B$1103,0),MATCH('Detalhe Por UC'!$R417,'Resumo Operacional'!$A$1:$P$1,0))*$S417,INDEX('Resumo Operacional'!$A$1:$P$1103,53,MATCH('Detalhe Por UC'!$R417,'Resumo Operacional'!$A$1:$P$1,0))*$S417)</f>
        <v>206.82</v>
      </c>
      <c r="AR417" s="71">
        <f t="shared" si="234"/>
        <v>33.180000000000007</v>
      </c>
      <c r="AS417" s="73">
        <f t="shared" si="235"/>
        <v>275.05999999999995</v>
      </c>
      <c r="AT417" s="74">
        <f t="shared" si="236"/>
        <v>275.05999999999995</v>
      </c>
      <c r="AU417" s="74">
        <f t="shared" si="237"/>
        <v>0.82988636363636359</v>
      </c>
      <c r="AV417" s="74">
        <f t="shared" si="238"/>
        <v>175.23749999999998</v>
      </c>
      <c r="AW417" s="74">
        <f t="shared" si="239"/>
        <v>0</v>
      </c>
      <c r="AX417" s="74">
        <f t="shared" si="240"/>
        <v>233.65</v>
      </c>
      <c r="AY417" s="74">
        <f t="shared" si="241"/>
        <v>175.24</v>
      </c>
      <c r="AZ417" s="117">
        <v>175.24</v>
      </c>
      <c r="BA417" s="117">
        <v>175.24</v>
      </c>
      <c r="BB417" s="49">
        <v>175.24</v>
      </c>
      <c r="BC417" s="73" t="str">
        <f t="shared" si="242"/>
        <v/>
      </c>
      <c r="BD417" s="73">
        <f t="shared" si="243"/>
        <v>508.71</v>
      </c>
      <c r="BE417" s="73">
        <f t="shared" si="244"/>
        <v>450.2974999999999</v>
      </c>
      <c r="BF417" s="77">
        <f t="shared" si="245"/>
        <v>58.41</v>
      </c>
      <c r="BG417" s="77">
        <f t="shared" si="246"/>
        <v>17.523</v>
      </c>
      <c r="BH417" s="77">
        <f t="shared" si="247"/>
        <v>233.64999999999998</v>
      </c>
      <c r="BI417" s="78">
        <f t="shared" si="248"/>
        <v>0.25</v>
      </c>
      <c r="BJ417" s="79">
        <f t="shared" si="249"/>
        <v>0.11481983841481394</v>
      </c>
      <c r="BK417" s="80">
        <f t="shared" si="250"/>
        <v>450.29999999999995</v>
      </c>
      <c r="BL417" s="80">
        <f t="shared" si="251"/>
        <v>58.410000000000025</v>
      </c>
      <c r="BM417" s="79">
        <f t="shared" si="252"/>
        <v>0.114819838414814</v>
      </c>
      <c r="BN417" s="81">
        <f t="shared" si="253"/>
        <v>0.73016666666666674</v>
      </c>
      <c r="BO417" s="82">
        <f t="shared" si="254"/>
        <v>175.24</v>
      </c>
      <c r="BP417" s="81">
        <f t="shared" si="255"/>
        <v>0.73016666666666674</v>
      </c>
      <c r="BQ417" s="81">
        <f t="shared" si="256"/>
        <v>0.87382196969696979</v>
      </c>
      <c r="BR417" s="81">
        <f t="shared" si="257"/>
        <v>1.1171969696969697</v>
      </c>
      <c r="BS417" s="82">
        <f t="shared" si="258"/>
        <v>240</v>
      </c>
      <c r="BT417" s="82">
        <f t="shared" si="259"/>
        <v>268.12727272727273</v>
      </c>
      <c r="BU417" s="82">
        <f t="shared" si="260"/>
        <v>233.65</v>
      </c>
      <c r="BW417" s="82">
        <f>IFERROR(INDEX('Infos Clientes'!$T:$T,MATCH('Detalhe Por UC'!$C417,'Infos Clientes'!B:B,0)),"")</f>
        <v>385.63636363636363</v>
      </c>
      <c r="BX417" s="83">
        <f t="shared" si="261"/>
        <v>0</v>
      </c>
      <c r="BY417" s="84">
        <f t="shared" si="262"/>
        <v>0.21784430731674229</v>
      </c>
      <c r="BZ417" s="85">
        <f>IF(_xlfn.MINIFS('Detalhe Por UC'!R:R,'Detalhe Por UC'!C:C,C417,'Detalhe Por UC'!AD:AD,"&gt;"&amp;0)=0,"",_xlfn.MINIFS('Detalhe Por UC'!R:R,'Detalhe Por UC'!C:C,C417,'Detalhe Por UC'!AD:AD,"&gt;"&amp;0))</f>
        <v>45658</v>
      </c>
      <c r="CA417" s="114">
        <f ca="1">IF(OR(S417&gt;0,AD417&gt;0),IFERROR(
SUMIFS(INDIRECT("'Infos Clientes'!$W"&amp;INDEX('Infos Clientes'!$C:$C,MATCH(C417,'Infos Clientes'!$H:$H,0))&amp;":$CZ"&amp;INDEX('Infos Clientes'!$C:$C,MATCH(C417,'Infos Clientes'!$H:$H,0))),'Infos Clientes'!$W$2:$CZ$2,"&gt;"&amp;$R417-365,'Infos Clientes'!$W$2:$CZ$2,"&lt;="&amp;$R417)/
COUNTIFS(INDIRECT("'Infos Clientes'!$W"&amp;INDEX('Infos Clientes'!$C:$C,MATCH(C417,'Infos Clientes'!$H:$H,0))&amp;":$CZ"&amp;INDEX('Infos Clientes'!$C:$C,MATCH(C417,'Infos Clientes'!$H:$H,0))),"&gt;="&amp;0,'Infos Clientes'!$W$2:$CZ$2,"&gt;"&amp;$R417-365,'Infos Clientes'!$W$2:$CZ$2,"&lt;="&amp;$R417),""),"")</f>
        <v>351.58333333333331</v>
      </c>
      <c r="CB417" s="87">
        <f>VLOOKUP(C417,'Infos Clientes'!B:L,11,0)</f>
        <v>0</v>
      </c>
      <c r="CC417" s="88" t="str">
        <f t="shared" si="263"/>
        <v>A Unidade Consumidora 10/63920-3 economizou R$58,41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17" s="40" t="s">
        <v>249</v>
      </c>
      <c r="CE417" s="18">
        <v>275.06</v>
      </c>
      <c r="CF417" s="115">
        <f t="shared" si="264"/>
        <v>0</v>
      </c>
    </row>
    <row r="418" spans="1:84" ht="16.2" hidden="1" customHeight="1" x14ac:dyDescent="0.3">
      <c r="A418" s="105" t="str">
        <f>INDEX('Infos Clientes'!$D:$D,MATCH('Detalhe Por UC'!C418,'Infos Clientes'!B:B,0))</f>
        <v>IGREJA DO EVANGELHO QUADRANGULAR</v>
      </c>
      <c r="B418" s="106" t="str">
        <f>INDEX('Infos Clientes'!$F:$F,MATCH('Detalhe Por UC'!C418,'Infos Clientes'!B:B,0))</f>
        <v>62.955.505/3757-21</v>
      </c>
      <c r="C418" s="107" t="s">
        <v>187</v>
      </c>
      <c r="D418" t="s">
        <v>351</v>
      </c>
      <c r="E418" s="1" t="s">
        <v>352</v>
      </c>
      <c r="F418" s="56" t="str">
        <f>INDEX('Infos Clientes'!$I:$I,MATCH('Detalhe Por UC'!C418,'Infos Clientes'!B:B,0))</f>
        <v>BT</v>
      </c>
      <c r="G418" s="56" t="str">
        <f>INDEX('Infos Clientes'!$J:$J,MATCH('Detalhe Por UC'!C418,'Infos Clientes'!B:B,0))</f>
        <v>trifasico</v>
      </c>
      <c r="H418" s="108" t="s">
        <v>138</v>
      </c>
      <c r="I418" s="58">
        <f>IFERROR(VLOOKUP(C418,'Infos Clientes'!B:E,4,),"")</f>
        <v>362</v>
      </c>
      <c r="J418" s="109">
        <v>0.25</v>
      </c>
      <c r="K418" s="59">
        <f>INDEX('Infos Clientes'!$M:$M,MATCH('Detalhe Por UC'!C418,'Infos Clientes'!B:B,0))</f>
        <v>0.25</v>
      </c>
      <c r="L418" s="125">
        <v>0</v>
      </c>
      <c r="M418" s="56">
        <f>INDEX('Infos Clientes'!$N:$N,MATCH('Detalhe Por UC'!C418,'Infos Clientes'!B:B,0))</f>
        <v>0</v>
      </c>
      <c r="N418" s="56">
        <f t="shared" si="229"/>
        <v>0</v>
      </c>
      <c r="O418" s="56">
        <f t="shared" si="230"/>
        <v>9</v>
      </c>
      <c r="P418" s="56">
        <f t="shared" si="265"/>
        <v>0</v>
      </c>
      <c r="Q418" s="61">
        <f>IFERROR(IFERROR(INDEX('Infos Clientes'!$A$2:$V$9884,MATCH($C418,'Infos Clientes'!$B$2:$B$9884,0),MATCH(Q$8,'Infos Clientes'!$A$2:$V$2,0)),"")
+IF(OR(INDEX('Infos Clientes'!$A$2:$V$9884,MATCH($C418,'Infos Clientes'!$B$2:$B$9884,0),MATCH("Tempo de Fidelidade (meses)",'Infos Clientes'!$A$2:$V$2,0))=0,R418&gt;=MAX(R:R)),0,
ROUND((MAX(R:R)-R418)/(365/12),0)),"")</f>
        <v>0</v>
      </c>
      <c r="R418" s="111">
        <v>45748</v>
      </c>
      <c r="S418" s="63">
        <v>0.02</v>
      </c>
      <c r="T418" s="113" t="str">
        <f>IF($H418="GIROSSOL II",AP418/INDEX('Resumo Operacional'!$A$1:$P$1103,17,MATCH('Detalhe Por UC'!$R418,'Resumo Operacional'!$A$1:$P$1,0)),
IF($H418="GIROSSOL II e III",AP418/INDEX('Resumo Operacional'!$A$1:$P$1103,17,MATCH('Detalhe Por UC'!$R418,'Resumo Operacional'!$A$1:$P$1,0)),
""))</f>
        <v/>
      </c>
      <c r="U418" s="113">
        <f>IF($H418="GIROSSOL III",AP418/INDEX('Resumo Operacional'!$A$1:$P$1103,53,MATCH('Detalhe Por UC'!$R418,'Resumo Operacional'!$A$1:$P$1,0)),
IF($H418="GIROSSOL II e III",AP418/INDEX('Resumo Operacional'!$A$1:$P$1103,53,MATCH('Detalhe Por UC'!$R418,'Resumo Operacional'!$A$1:$P$1,0)),
""))</f>
        <v>1.9920703993811042E-2</v>
      </c>
      <c r="V418" s="45"/>
      <c r="W418" s="18"/>
      <c r="X418" s="18">
        <v>1.1219062499999999</v>
      </c>
      <c r="Y418" s="18"/>
      <c r="Z418" s="18">
        <v>0.97145631067961169</v>
      </c>
      <c r="AA418" s="18"/>
      <c r="AB418" s="18">
        <v>320</v>
      </c>
      <c r="AC418" s="18"/>
      <c r="AD418" s="18">
        <v>206</v>
      </c>
      <c r="AE418" s="35"/>
      <c r="AF418" s="18">
        <v>0</v>
      </c>
      <c r="AG418" s="18">
        <v>0</v>
      </c>
      <c r="AH418" s="18">
        <v>64.600000000000009</v>
      </c>
      <c r="AI418" s="18">
        <v>0</v>
      </c>
      <c r="AJ418" s="18">
        <v>0</v>
      </c>
      <c r="AN418" s="71">
        <f t="shared" si="231"/>
        <v>0</v>
      </c>
      <c r="AO418" s="71">
        <f t="shared" si="232"/>
        <v>0</v>
      </c>
      <c r="AP418" s="71">
        <f t="shared" si="233"/>
        <v>206</v>
      </c>
      <c r="AQ418" s="72">
        <f>IF(OR($H418="GIROSSOL II",$H418="GIROSSOL II e III"),INDEX('Resumo Operacional'!$A$1:$P$1103,MATCH("Energia Injetada prevista total Fatura da Usina (TUSD)",'Resumo Operacional'!$B$1:$B$1103,0),MATCH('Detalhe Por UC'!$R418,'Resumo Operacional'!$A$1:$P$1,0))*$S418,INDEX('Resumo Operacional'!$A$1:$P$1103,53,MATCH('Detalhe Por UC'!$R418,'Resumo Operacional'!$A$1:$P$1,0))*$S418)</f>
        <v>206.82</v>
      </c>
      <c r="AR418" s="71">
        <f t="shared" si="234"/>
        <v>-0.81999999999999318</v>
      </c>
      <c r="AS418" s="73">
        <f t="shared" si="235"/>
        <v>223.49</v>
      </c>
      <c r="AT418" s="74">
        <f t="shared" si="236"/>
        <v>223.49</v>
      </c>
      <c r="AU418" s="74">
        <f t="shared" si="237"/>
        <v>0.8210063713592235</v>
      </c>
      <c r="AV418" s="74">
        <f t="shared" si="238"/>
        <v>150.09</v>
      </c>
      <c r="AW418" s="74">
        <f t="shared" si="239"/>
        <v>0</v>
      </c>
      <c r="AX418" s="74">
        <f t="shared" si="240"/>
        <v>200.12</v>
      </c>
      <c r="AY418" s="74">
        <f t="shared" si="241"/>
        <v>150.09</v>
      </c>
      <c r="AZ418" s="117">
        <v>150.09</v>
      </c>
      <c r="BA418" s="117">
        <v>150.09</v>
      </c>
      <c r="BB418" s="49">
        <v>150.09</v>
      </c>
      <c r="BC418" s="73" t="str">
        <f t="shared" si="242"/>
        <v/>
      </c>
      <c r="BD418" s="73">
        <f t="shared" si="243"/>
        <v>423.61</v>
      </c>
      <c r="BE418" s="73">
        <f t="shared" si="244"/>
        <v>373.58000000000004</v>
      </c>
      <c r="BF418" s="77">
        <f t="shared" si="245"/>
        <v>50.03</v>
      </c>
      <c r="BG418" s="77">
        <f t="shared" si="246"/>
        <v>15.009</v>
      </c>
      <c r="BH418" s="77">
        <f t="shared" si="247"/>
        <v>200.12</v>
      </c>
      <c r="BI418" s="78">
        <f t="shared" si="248"/>
        <v>0.25</v>
      </c>
      <c r="BJ418" s="79">
        <f t="shared" si="249"/>
        <v>0.11810391633814121</v>
      </c>
      <c r="BK418" s="80">
        <f t="shared" si="250"/>
        <v>373.58000000000004</v>
      </c>
      <c r="BL418" s="80">
        <f t="shared" si="251"/>
        <v>50.029999999999973</v>
      </c>
      <c r="BM418" s="79">
        <f t="shared" si="252"/>
        <v>0.11810391633814114</v>
      </c>
      <c r="BN418" s="81">
        <f t="shared" si="253"/>
        <v>0.72859223300970877</v>
      </c>
      <c r="BO418" s="82">
        <f t="shared" si="254"/>
        <v>150.09</v>
      </c>
      <c r="BP418" s="81">
        <f t="shared" si="255"/>
        <v>0.72859223300970877</v>
      </c>
      <c r="BQ418" s="81">
        <f t="shared" si="256"/>
        <v>0.87904217233009696</v>
      </c>
      <c r="BR418" s="81">
        <f t="shared" si="257"/>
        <v>1.1219062499999999</v>
      </c>
      <c r="BS418" s="82">
        <f t="shared" si="258"/>
        <v>206</v>
      </c>
      <c r="BT418" s="82">
        <f t="shared" si="259"/>
        <v>231.11268749999996</v>
      </c>
      <c r="BU418" s="82">
        <f t="shared" si="260"/>
        <v>200.12</v>
      </c>
      <c r="BW418" s="82">
        <f>IFERROR(INDEX('Infos Clientes'!$T:$T,MATCH('Detalhe Por UC'!$C418,'Infos Clientes'!B:B,0)),"")</f>
        <v>365.90909090909093</v>
      </c>
      <c r="BX418" s="83">
        <f t="shared" si="261"/>
        <v>0</v>
      </c>
      <c r="BY418" s="84">
        <f t="shared" si="262"/>
        <v>0.21647448498473285</v>
      </c>
      <c r="BZ418" s="85">
        <f>IF(_xlfn.MINIFS('Detalhe Por UC'!R:R,'Detalhe Por UC'!C:C,C418,'Detalhe Por UC'!AD:AD,"&gt;"&amp;0)=0,"",_xlfn.MINIFS('Detalhe Por UC'!R:R,'Detalhe Por UC'!C:C,C418,'Detalhe Por UC'!AD:AD,"&gt;"&amp;0))</f>
        <v>45658</v>
      </c>
      <c r="CA418" s="114">
        <f ca="1">IF(OR(S418&gt;0,AD418&gt;0),IFERROR(
SUMIFS(INDIRECT("'Infos Clientes'!$W"&amp;INDEX('Infos Clientes'!$C:$C,MATCH(C418,'Infos Clientes'!$H:$H,0))&amp;":$CZ"&amp;INDEX('Infos Clientes'!$C:$C,MATCH(C418,'Infos Clientes'!$H:$H,0))),'Infos Clientes'!$W$2:$CZ$2,"&gt;"&amp;$R418-365,'Infos Clientes'!$W$2:$CZ$2,"&lt;="&amp;$R418)/
COUNTIFS(INDIRECT("'Infos Clientes'!$W"&amp;INDEX('Infos Clientes'!$C:$C,MATCH(C418,'Infos Clientes'!$H:$H,0))&amp;":$CZ"&amp;INDEX('Infos Clientes'!$C:$C,MATCH(C418,'Infos Clientes'!$H:$H,0))),"&gt;="&amp;0,'Infos Clientes'!$W$2:$CZ$2,"&gt;"&amp;$R418-365,'Infos Clientes'!$W$2:$CZ$2,"&lt;="&amp;$R418),""),"")</f>
        <v>329.83333333333331</v>
      </c>
      <c r="CB418" s="87">
        <f>VLOOKUP(C418,'Infos Clientes'!B:L,11,0)</f>
        <v>0</v>
      </c>
      <c r="CC418" s="88" t="str">
        <f t="shared" si="263"/>
        <v>A Unidade Consumidora 10/3123706-8 economizou R$50,03 na fatura referente à abr/2025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418" s="40" t="s">
        <v>83</v>
      </c>
      <c r="CE418" s="18">
        <v>223.49</v>
      </c>
      <c r="CF418" s="115">
        <f t="shared" si="264"/>
        <v>0</v>
      </c>
    </row>
    <row r="419" spans="1:84" ht="16.2" hidden="1" customHeight="1" x14ac:dyDescent="0.3">
      <c r="A419" s="105" t="str">
        <f>INDEX('Infos Clientes'!$D:$D,MATCH('Detalhe Por UC'!C419,'Infos Clientes'!B:B,0))</f>
        <v>IGREJA DO EVANGELHO QUADRANGULAR</v>
      </c>
      <c r="B419" s="106" t="str">
        <f>INDEX('Infos Clientes'!$F:$F,MATCH('Detalhe Por UC'!C419,'Infos Clientes'!B:B,0))</f>
        <v>62.955.505/4051-40</v>
      </c>
      <c r="C419" s="107" t="s">
        <v>152</v>
      </c>
      <c r="D419" t="s">
        <v>351</v>
      </c>
      <c r="E419" s="1" t="s">
        <v>352</v>
      </c>
      <c r="F419" s="56" t="str">
        <f>INDEX('Infos Clientes'!$I:$I,MATCH('Detalhe Por UC'!C419,'Infos Clientes'!B:B,0))</f>
        <v>BT</v>
      </c>
      <c r="G419" s="56" t="str">
        <f>INDEX('Infos Clientes'!$J:$J,MATCH('Detalhe Por UC'!C419,'Infos Clientes'!B:B,0))</f>
        <v>bifasico</v>
      </c>
      <c r="H419" s="108" t="s">
        <v>138</v>
      </c>
      <c r="I419" s="58">
        <f>IFERROR(VLOOKUP(C419,'Infos Clientes'!B:E,4,),"")</f>
        <v>351</v>
      </c>
      <c r="J419" s="109">
        <v>0.25</v>
      </c>
      <c r="K419" s="59">
        <f>INDEX('Infos Clientes'!$M:$M,MATCH('Detalhe Por UC'!C419,'Infos Clientes'!B:B,0))</f>
        <v>0.25</v>
      </c>
      <c r="L419" s="125">
        <v>0</v>
      </c>
      <c r="M419" s="56">
        <f>INDEX('Infos Clientes'!$N:$N,MATCH('Detalhe Por UC'!C419,'Infos Clientes'!B:B,0))</f>
        <v>0</v>
      </c>
      <c r="N419" s="56">
        <f t="shared" si="229"/>
        <v>0</v>
      </c>
      <c r="O419" s="56">
        <f t="shared" si="230"/>
        <v>9</v>
      </c>
      <c r="P419" s="56">
        <f t="shared" si="265"/>
        <v>0</v>
      </c>
      <c r="Q419" s="61">
        <f>IFERROR(IFERROR(INDEX('Infos Clientes'!$A$2:$V$9884,MATCH($C419,'Infos Clientes'!$B$2:$B$9884,0),MATCH(Q$8,'Infos Clientes'!$A$2:$V$2,0)),"")
+IF(OR(INDEX('Infos Clientes'!$A$2:$V$9884,MATCH($C419,'Infos Clientes'!$B$2:$B$9884,0),MATCH("Tempo de Fidelidade (meses)",'Infos Clientes'!$A$2:$V$2,0))=0,R419&gt;=MAX(R:R)),0,
ROUND((MAX(R:R)-R419)/(365/12),0)),"")</f>
        <v>0</v>
      </c>
      <c r="R419" s="111">
        <v>45748</v>
      </c>
      <c r="S419" s="63">
        <v>0.02</v>
      </c>
      <c r="T419" s="113" t="str">
        <f>IF($H419="GIROSSOL II",AP419/INDEX('Resumo Operacional'!$A$1:$P$1103,17,MATCH('Detalhe Por UC'!$R419,'Resumo Operacional'!$A$1:$P$1,0)),
IF($H419="GIROSSOL II e III",AP419/INDEX('Resumo Operacional'!$A$1:$P$1103,17,MATCH('Detalhe Por UC'!$R419,'Resumo Operacional'!$A$1:$P$1,0)),
""))</f>
        <v/>
      </c>
      <c r="U419" s="113">
        <f>IF($H419="GIROSSOL III",AP419/INDEX('Resumo Operacional'!$A$1:$P$1103,53,MATCH('Detalhe Por UC'!$R419,'Resumo Operacional'!$A$1:$P$1,0)),
IF($H419="GIROSSOL II e III",AP419/INDEX('Resumo Operacional'!$A$1:$P$1103,53,MATCH('Detalhe Por UC'!$R419,'Resumo Operacional'!$A$1:$P$1,0)),
""))</f>
        <v>1.9920703993811042E-2</v>
      </c>
      <c r="V419" s="45"/>
      <c r="W419" s="18"/>
      <c r="X419" s="18">
        <v>1.1209407665505227</v>
      </c>
      <c r="Y419" s="18"/>
      <c r="Z419" s="18">
        <v>0.97194174757281548</v>
      </c>
      <c r="AA419" s="18"/>
      <c r="AB419" s="18">
        <v>287</v>
      </c>
      <c r="AC419" s="18"/>
      <c r="AD419" s="18">
        <v>206</v>
      </c>
      <c r="AE419" s="35"/>
      <c r="AF419" s="18">
        <v>0</v>
      </c>
      <c r="AG419" s="18">
        <v>0</v>
      </c>
      <c r="AH419" s="18">
        <v>29.54</v>
      </c>
      <c r="AI419" s="18">
        <v>0</v>
      </c>
      <c r="AJ419" s="18">
        <v>0</v>
      </c>
      <c r="AN419" s="71">
        <f t="shared" si="231"/>
        <v>0</v>
      </c>
      <c r="AO419" s="71">
        <f t="shared" si="232"/>
        <v>0</v>
      </c>
      <c r="AP419" s="71">
        <f t="shared" si="233"/>
        <v>206</v>
      </c>
      <c r="AQ419" s="72">
        <f>IF(OR($H419="GIROSSOL II",$H419="GIROSSOL II e III"),INDEX('Resumo Operacional'!$A$1:$P$1103,MATCH("Energia Injetada prevista total Fatura da Usina (TUSD)",'Resumo Operacional'!$B$1:$B$1103,0),MATCH('Detalhe Por UC'!$R419,'Resumo Operacional'!$A$1:$P$1,0))*$S419,INDEX('Resumo Operacional'!$A$1:$P$1103,53,MATCH('Detalhe Por UC'!$R419,'Resumo Operacional'!$A$1:$P$1,0))*$S419)</f>
        <v>206.82</v>
      </c>
      <c r="AR419" s="71">
        <f t="shared" si="234"/>
        <v>-0.81999999999999318</v>
      </c>
      <c r="AS419" s="73">
        <f t="shared" si="235"/>
        <v>151.02999999999997</v>
      </c>
      <c r="AT419" s="74">
        <f t="shared" si="236"/>
        <v>151.02999999999997</v>
      </c>
      <c r="AU419" s="74">
        <f t="shared" si="237"/>
        <v>0.82294272859510831</v>
      </c>
      <c r="AV419" s="74">
        <f t="shared" si="238"/>
        <v>150.16499999999999</v>
      </c>
      <c r="AW419" s="74">
        <f t="shared" si="239"/>
        <v>0</v>
      </c>
      <c r="AX419" s="74">
        <f t="shared" si="240"/>
        <v>200.22</v>
      </c>
      <c r="AY419" s="74">
        <f t="shared" si="241"/>
        <v>150.16999999999999</v>
      </c>
      <c r="AZ419" s="117">
        <v>150.16999999999999</v>
      </c>
      <c r="BA419" s="117">
        <v>150.16999999999999</v>
      </c>
      <c r="BB419" s="49">
        <v>200.22</v>
      </c>
      <c r="BC419" s="73">
        <f t="shared" si="242"/>
        <v>50.050000000000011</v>
      </c>
      <c r="BD419" s="73">
        <f t="shared" si="243"/>
        <v>351.25</v>
      </c>
      <c r="BE419" s="73">
        <f t="shared" si="244"/>
        <v>301.19499999999994</v>
      </c>
      <c r="BF419" s="77">
        <f t="shared" si="245"/>
        <v>50.06</v>
      </c>
      <c r="BG419" s="77">
        <f t="shared" si="246"/>
        <v>15.018000000000001</v>
      </c>
      <c r="BH419" s="77">
        <f t="shared" si="247"/>
        <v>200.21999999999997</v>
      </c>
      <c r="BI419" s="78">
        <f t="shared" si="248"/>
        <v>0.25</v>
      </c>
      <c r="BJ419" s="79">
        <f t="shared" si="249"/>
        <v>0.14251957295373666</v>
      </c>
      <c r="BK419" s="80">
        <f t="shared" si="250"/>
        <v>301.19999999999993</v>
      </c>
      <c r="BL419" s="80">
        <f t="shared" si="251"/>
        <v>50.050000000000068</v>
      </c>
      <c r="BM419" s="79">
        <f t="shared" si="252"/>
        <v>0.14249110320284716</v>
      </c>
      <c r="BN419" s="81">
        <f t="shared" si="253"/>
        <v>0.72898058252427178</v>
      </c>
      <c r="BO419" s="82">
        <f t="shared" si="254"/>
        <v>150.16999999999999</v>
      </c>
      <c r="BP419" s="81">
        <f t="shared" si="255"/>
        <v>0.72898058252427178</v>
      </c>
      <c r="BQ419" s="81">
        <f t="shared" si="256"/>
        <v>0.87797960150197896</v>
      </c>
      <c r="BR419" s="81">
        <f t="shared" si="257"/>
        <v>1.1209407665505227</v>
      </c>
      <c r="BS419" s="82">
        <f t="shared" si="258"/>
        <v>206</v>
      </c>
      <c r="BT419" s="82">
        <f t="shared" si="259"/>
        <v>230.91379790940766</v>
      </c>
      <c r="BU419" s="82">
        <f t="shared" si="260"/>
        <v>200.22</v>
      </c>
      <c r="BW419" s="82">
        <f>IFERROR(INDEX('Infos Clientes'!$T:$T,MATCH('Detalhe Por UC'!$C419,'Infos Clientes'!B:B,0)),"")</f>
        <v>246.72727272727272</v>
      </c>
      <c r="BX419" s="83">
        <f t="shared" si="261"/>
        <v>0</v>
      </c>
      <c r="BY419" s="84">
        <f t="shared" si="262"/>
        <v>0.21674755018162956</v>
      </c>
      <c r="BZ419" s="85">
        <f>IF(_xlfn.MINIFS('Detalhe Por UC'!R:R,'Detalhe Por UC'!C:C,C419,'Detalhe Por UC'!AD:AD,"&gt;"&amp;0)=0,"",_xlfn.MINIFS('Detalhe Por UC'!R:R,'Detalhe Por UC'!C:C,C419,'Detalhe Por UC'!AD:AD,"&gt;"&amp;0))</f>
        <v>45658</v>
      </c>
      <c r="CA419" s="114">
        <f ca="1">IF(OR(S419&gt;0,AD419&gt;0),IFERROR(
SUMIFS(INDIRECT("'Infos Clientes'!$W"&amp;INDEX('Infos Clientes'!$C:$C,MATCH(C419,'Infos Clientes'!$H:$H,0))&amp;":$CZ"&amp;INDEX('Infos Clientes'!$C:$C,MATCH(C419,'Infos Clientes'!$H:$H,0))),'Infos Clientes'!$W$2:$CZ$2,"&gt;"&amp;$R419-365,'Infos Clientes'!$W$2:$CZ$2,"&lt;="&amp;$R419)/
COUNTIFS(INDIRECT("'Infos Clientes'!$W"&amp;INDEX('Infos Clientes'!$C:$C,MATCH(C419,'Infos Clientes'!$H:$H,0))&amp;":$CZ"&amp;INDEX('Infos Clientes'!$C:$C,MATCH(C419,'Infos Clientes'!$H:$H,0))),"&gt;="&amp;0,'Infos Clientes'!$W$2:$CZ$2,"&gt;"&amp;$R419-365,'Infos Clientes'!$W$2:$CZ$2,"&lt;="&amp;$R419),""),"")</f>
        <v>244.5</v>
      </c>
      <c r="CB419" s="87">
        <f>VLOOKUP(C419,'Infos Clientes'!B:L,11,0)</f>
        <v>0</v>
      </c>
      <c r="CC419" s="88" t="str">
        <f t="shared" si="263"/>
        <v>A Unidade Consumidora 10/129490-9 economizou R$50,06 na fatura referente à abr/2025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419" s="40" t="s">
        <v>37</v>
      </c>
      <c r="CE419" s="18">
        <v>151.03</v>
      </c>
      <c r="CF419" s="115">
        <f t="shared" si="264"/>
        <v>0</v>
      </c>
    </row>
    <row r="420" spans="1:84" ht="16.2" hidden="1" customHeight="1" x14ac:dyDescent="0.3">
      <c r="A420" s="105" t="str">
        <f>INDEX('Infos Clientes'!$D:$D,MATCH('Detalhe Por UC'!C420,'Infos Clientes'!B:B,0))</f>
        <v>IGREJA DO EVANGELHO QUADRANGULAR</v>
      </c>
      <c r="B420" s="106" t="str">
        <f>INDEX('Infos Clientes'!$F:$F,MATCH('Detalhe Por UC'!C420,'Infos Clientes'!B:B,0))</f>
        <v>62.955.505/0172-13</v>
      </c>
      <c r="C420" s="107" t="s">
        <v>246</v>
      </c>
      <c r="D420" t="s">
        <v>351</v>
      </c>
      <c r="E420" s="1" t="s">
        <v>352</v>
      </c>
      <c r="F420" s="56" t="str">
        <f>INDEX('Infos Clientes'!$I:$I,MATCH('Detalhe Por UC'!C420,'Infos Clientes'!B:B,0))</f>
        <v>BT</v>
      </c>
      <c r="G420" s="56">
        <f>INDEX('Infos Clientes'!$J:$J,MATCH('Detalhe Por UC'!C420,'Infos Clientes'!B:B,0))</f>
        <v>0</v>
      </c>
      <c r="H420" s="108" t="s">
        <v>138</v>
      </c>
      <c r="I420" s="58">
        <f>IFERROR(VLOOKUP(C420,'Infos Clientes'!B:E,4,),"")</f>
        <v>0</v>
      </c>
      <c r="J420" s="109">
        <v>0.25</v>
      </c>
      <c r="K420" s="59">
        <f>INDEX('Infos Clientes'!$M:$M,MATCH('Detalhe Por UC'!C420,'Infos Clientes'!B:B,0))</f>
        <v>0.25</v>
      </c>
      <c r="L420" s="125">
        <v>0</v>
      </c>
      <c r="M420" s="56">
        <f>INDEX('Infos Clientes'!$N:$N,MATCH('Detalhe Por UC'!C420,'Infos Clientes'!B:B,0))</f>
        <v>0</v>
      </c>
      <c r="N420" s="56">
        <f t="shared" si="229"/>
        <v>0</v>
      </c>
      <c r="O420" s="56">
        <f t="shared" si="230"/>
        <v>0</v>
      </c>
      <c r="P420" s="56">
        <f t="shared" si="265"/>
        <v>0</v>
      </c>
      <c r="Q420" s="61">
        <f>IFERROR(IFERROR(INDEX('Infos Clientes'!$A$2:$V$9884,MATCH($C420,'Infos Clientes'!$B$2:$B$9884,0),MATCH(Q$8,'Infos Clientes'!$A$2:$V$2,0)),"")
+IF(OR(INDEX('Infos Clientes'!$A$2:$V$9884,MATCH($C420,'Infos Clientes'!$B$2:$B$9884,0),MATCH("Tempo de Fidelidade (meses)",'Infos Clientes'!$A$2:$V$2,0))=0,R420&gt;=MAX(R:R)),0,
ROUND((MAX(R:R)-R420)/(365/12),0)),"")</f>
        <v>0</v>
      </c>
      <c r="R420" s="111">
        <v>45748</v>
      </c>
      <c r="S420" s="63">
        <v>0</v>
      </c>
      <c r="T420" s="113" t="str">
        <f>IF($H420="GIROSSOL II",AP420/INDEX('Resumo Operacional'!$A$1:$P$1103,17,MATCH('Detalhe Por UC'!$R420,'Resumo Operacional'!$A$1:$P$1,0)),
IF($H420="GIROSSOL II e III",AP420/INDEX('Resumo Operacional'!$A$1:$P$1103,17,MATCH('Detalhe Por UC'!$R420,'Resumo Operacional'!$A$1:$P$1,0)),
""))</f>
        <v/>
      </c>
      <c r="U420" s="113">
        <f>IF($H420="GIROSSOL III",AP420/INDEX('Resumo Operacional'!$A$1:$P$1103,53,MATCH('Detalhe Por UC'!$R420,'Resumo Operacional'!$A$1:$P$1,0)),
IF($H420="GIROSSOL II e III",AP420/INDEX('Resumo Operacional'!$A$1:$P$1103,53,MATCH('Detalhe Por UC'!$R420,'Resumo Operacional'!$A$1:$P$1,0)),
""))</f>
        <v>0</v>
      </c>
      <c r="V420" s="45"/>
      <c r="W420" s="18"/>
      <c r="X420" s="18"/>
      <c r="Y420" s="18"/>
      <c r="Z420" s="18"/>
      <c r="AA420" s="18"/>
      <c r="AB420" s="18"/>
      <c r="AC420" s="18"/>
      <c r="AD420" s="18"/>
      <c r="AE420" s="35"/>
      <c r="AF420" s="18"/>
      <c r="AG420" s="18"/>
      <c r="AH420" s="18"/>
      <c r="AI420" s="18"/>
      <c r="AJ420" s="18"/>
      <c r="AN420" s="71" t="str">
        <f t="shared" si="231"/>
        <v/>
      </c>
      <c r="AO420" s="71" t="str">
        <f t="shared" si="232"/>
        <v/>
      </c>
      <c r="AP420" s="71">
        <f t="shared" si="233"/>
        <v>0</v>
      </c>
      <c r="AQ420" s="72">
        <f>IF(OR($H420="GIROSSOL II",$H420="GIROSSOL II e III"),INDEX('Resumo Operacional'!$A$1:$P$1103,MATCH("Energia Injetada prevista total Fatura da Usina (TUSD)",'Resumo Operacional'!$B$1:$B$1103,0),MATCH('Detalhe Por UC'!$R420,'Resumo Operacional'!$A$1:$P$1,0))*$S420,INDEX('Resumo Operacional'!$A$1:$P$1103,53,MATCH('Detalhe Por UC'!$R420,'Resumo Operacional'!$A$1:$P$1,0))*$S420)</f>
        <v>0</v>
      </c>
      <c r="AR420" s="71" t="str">
        <f t="shared" si="234"/>
        <v/>
      </c>
      <c r="AS420" s="73">
        <f t="shared" si="235"/>
        <v>0</v>
      </c>
      <c r="AT420" s="74">
        <f t="shared" si="236"/>
        <v>0</v>
      </c>
      <c r="AU420" s="74" t="str">
        <f t="shared" si="237"/>
        <v/>
      </c>
      <c r="AV420" s="74">
        <f t="shared" si="238"/>
        <v>0</v>
      </c>
      <c r="AW420" s="74">
        <f t="shared" si="239"/>
        <v>0</v>
      </c>
      <c r="AX420" s="74">
        <f t="shared" si="240"/>
        <v>0</v>
      </c>
      <c r="AY420" s="74" t="str">
        <f t="shared" si="241"/>
        <v/>
      </c>
      <c r="AZ420" s="142"/>
      <c r="BA420" s="117">
        <v>0</v>
      </c>
      <c r="BC420" s="73" t="str">
        <f t="shared" si="242"/>
        <v/>
      </c>
      <c r="BD420" s="73">
        <f t="shared" si="243"/>
        <v>0</v>
      </c>
      <c r="BE420" s="73">
        <f t="shared" si="244"/>
        <v>0</v>
      </c>
      <c r="BF420" s="77">
        <f t="shared" si="245"/>
        <v>0</v>
      </c>
      <c r="BG420" s="77">
        <f t="shared" si="246"/>
        <v>0</v>
      </c>
      <c r="BH420" s="77">
        <f t="shared" si="247"/>
        <v>0</v>
      </c>
      <c r="BI420" s="78" t="str">
        <f t="shared" si="248"/>
        <v/>
      </c>
      <c r="BJ420" s="79" t="str">
        <f t="shared" si="249"/>
        <v/>
      </c>
      <c r="BK420" s="80" t="str">
        <f t="shared" si="250"/>
        <v/>
      </c>
      <c r="BL420" s="80" t="str">
        <f t="shared" si="251"/>
        <v/>
      </c>
      <c r="BM420" s="79" t="str">
        <f t="shared" si="252"/>
        <v/>
      </c>
      <c r="BN420" s="81" t="str">
        <f t="shared" si="253"/>
        <v/>
      </c>
      <c r="BO420" s="82" t="str">
        <f t="shared" si="254"/>
        <v/>
      </c>
      <c r="BP420" s="81" t="str">
        <f t="shared" si="255"/>
        <v/>
      </c>
      <c r="BQ420" s="81" t="str">
        <f t="shared" si="256"/>
        <v/>
      </c>
      <c r="BR420" s="81" t="str">
        <f t="shared" si="257"/>
        <v/>
      </c>
      <c r="BS420" s="82">
        <f t="shared" si="258"/>
        <v>0</v>
      </c>
      <c r="BT420" s="82" t="str">
        <f t="shared" si="259"/>
        <v/>
      </c>
      <c r="BU420" s="82">
        <f t="shared" si="260"/>
        <v>0</v>
      </c>
      <c r="BW420" s="82">
        <f>IFERROR(INDEX('Infos Clientes'!$T:$T,MATCH('Detalhe Por UC'!$C420,'Infos Clientes'!B:B,0)),"")</f>
        <v>0</v>
      </c>
      <c r="BX420" s="83">
        <f t="shared" si="261"/>
        <v>0</v>
      </c>
      <c r="BY420" s="84" t="str">
        <f t="shared" si="262"/>
        <v/>
      </c>
      <c r="BZ420" s="85" t="str">
        <f>IF(_xlfn.MINIFS('Detalhe Por UC'!R:R,'Detalhe Por UC'!C:C,C420,'Detalhe Por UC'!AD:AD,"&gt;"&amp;0)=0,"",_xlfn.MINIFS('Detalhe Por UC'!R:R,'Detalhe Por UC'!C:C,C420,'Detalhe Por UC'!AD:AD,"&gt;"&amp;0))</f>
        <v/>
      </c>
      <c r="CA420" s="114" t="str">
        <f ca="1">IF(OR(S420&gt;0,AD420&gt;0),IFERROR(
SUMIFS(INDIRECT("'Infos Clientes'!$W"&amp;INDEX('Infos Clientes'!$C:$C,MATCH(C420,'Infos Clientes'!$H:$H,0))&amp;":$CZ"&amp;INDEX('Infos Clientes'!$C:$C,MATCH(C420,'Infos Clientes'!$H:$H,0))),'Infos Clientes'!$W$2:$CZ$2,"&gt;"&amp;$R420-365,'Infos Clientes'!$W$2:$CZ$2,"&lt;="&amp;$R420)/
COUNTIFS(INDIRECT("'Infos Clientes'!$W"&amp;INDEX('Infos Clientes'!$C:$C,MATCH(C420,'Infos Clientes'!$H:$H,0))&amp;":$CZ"&amp;INDEX('Infos Clientes'!$C:$C,MATCH(C420,'Infos Clientes'!$H:$H,0))),"&gt;="&amp;0,'Infos Clientes'!$W$2:$CZ$2,"&gt;"&amp;$R420-365,'Infos Clientes'!$W$2:$CZ$2,"&lt;="&amp;$R420),""),"")</f>
        <v/>
      </c>
      <c r="CB420" s="87">
        <f>VLOOKUP(C420,'Infos Clientes'!B:L,11,0)</f>
        <v>0</v>
      </c>
      <c r="CC420" s="88" t="str">
        <f t="shared" si="263"/>
        <v>A Unidade Consumidora 10/2338577-6 economizou R$0 na fatura referente à abr/2025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E420" s="18" t="e">
        <v>#N/A</v>
      </c>
      <c r="CF420" s="115" t="e">
        <f t="shared" si="264"/>
        <v>#N/A</v>
      </c>
    </row>
    <row r="421" spans="1:84" ht="16.2" hidden="1" customHeight="1" x14ac:dyDescent="0.3">
      <c r="A421" s="105" t="str">
        <f>INDEX('Infos Clientes'!$D:$D,MATCH('Detalhe Por UC'!C421,'Infos Clientes'!B:B,0))</f>
        <v>IGREJA DO EVANGELHO QUADRANGULAR</v>
      </c>
      <c r="B421" s="106" t="str">
        <f>INDEX('Infos Clientes'!$F:$F,MATCH('Detalhe Por UC'!C421,'Infos Clientes'!B:B,0))</f>
        <v>62.955.505/2690-26</v>
      </c>
      <c r="C421" s="31" t="s">
        <v>201</v>
      </c>
      <c r="D421" t="s">
        <v>351</v>
      </c>
      <c r="E421" s="1" t="s">
        <v>352</v>
      </c>
      <c r="F421" s="56" t="str">
        <f>INDEX('Infos Clientes'!$I:$I,MATCH('Detalhe Por UC'!C421,'Infos Clientes'!B:B,0))</f>
        <v>BT</v>
      </c>
      <c r="G421" s="56" t="str">
        <f>INDEX('Infos Clientes'!$J:$J,MATCH('Detalhe Por UC'!C421,'Infos Clientes'!B:B,0))</f>
        <v>bifasico</v>
      </c>
      <c r="H421" s="108" t="s">
        <v>138</v>
      </c>
      <c r="I421" s="58">
        <f>IFERROR(VLOOKUP(C421,'Infos Clientes'!B:E,4,),"")</f>
        <v>319</v>
      </c>
      <c r="J421" s="109">
        <v>0.25</v>
      </c>
      <c r="K421" s="59">
        <f>INDEX('Infos Clientes'!$M:$M,MATCH('Detalhe Por UC'!C421,'Infos Clientes'!B:B,0))</f>
        <v>0.25</v>
      </c>
      <c r="M421" s="56">
        <f>INDEX('Infos Clientes'!$N:$N,MATCH('Detalhe Por UC'!C421,'Infos Clientes'!B:B,0))</f>
        <v>0</v>
      </c>
      <c r="N421" s="56">
        <f t="shared" si="229"/>
        <v>0</v>
      </c>
      <c r="O421" s="56">
        <f t="shared" si="230"/>
        <v>8</v>
      </c>
      <c r="P421" s="56">
        <f t="shared" si="265"/>
        <v>0</v>
      </c>
      <c r="Q421" s="61">
        <f>IFERROR(IFERROR(INDEX('Infos Clientes'!$A$2:$V$9884,MATCH($C421,'Infos Clientes'!$B$2:$B$9884,0),MATCH(Q$8,'Infos Clientes'!$A$2:$V$2,0)),"")
+IF(OR(INDEX('Infos Clientes'!$A$2:$V$9884,MATCH($C421,'Infos Clientes'!$B$2:$B$9884,0),MATCH("Tempo de Fidelidade (meses)",'Infos Clientes'!$A$2:$V$2,0))=0,R421&gt;=MAX(R:R)),0,
ROUND((MAX(R:R)-R421)/(365/12),0)),"")</f>
        <v>0</v>
      </c>
      <c r="R421" s="111">
        <v>45748</v>
      </c>
      <c r="S421" s="63">
        <v>0.02</v>
      </c>
      <c r="T421" s="113" t="str">
        <f>IF($H421="GIROSSOL II",AP421/INDEX('Resumo Operacional'!$A$1:$P$1103,17,MATCH('Detalhe Por UC'!$R421,'Resumo Operacional'!$A$1:$P$1,0)),
IF($H421="GIROSSOL II e III",AP421/INDEX('Resumo Operacional'!$A$1:$P$1103,17,MATCH('Detalhe Por UC'!$R421,'Resumo Operacional'!$A$1:$P$1,0)),
""))</f>
        <v/>
      </c>
      <c r="U421" s="113">
        <f>IF($H421="GIROSSOL III",AP421/INDEX('Resumo Operacional'!$A$1:$P$1103,53,MATCH('Detalhe Por UC'!$R421,'Resumo Operacional'!$A$1:$P$1,0)),
IF($H421="GIROSSOL II e III",AP421/INDEX('Resumo Operacional'!$A$1:$P$1103,53,MATCH('Detalhe Por UC'!$R421,'Resumo Operacional'!$A$1:$P$1,0)),
""))</f>
        <v>2.3208587177255584E-2</v>
      </c>
      <c r="V421" s="45"/>
      <c r="W421" s="18"/>
      <c r="X421" s="18">
        <v>1.1162629757785467</v>
      </c>
      <c r="Y421" s="18"/>
      <c r="Z421" s="18">
        <v>0.97408333333333319</v>
      </c>
      <c r="AA421" s="18"/>
      <c r="AB421" s="18">
        <v>289</v>
      </c>
      <c r="AC421" s="18"/>
      <c r="AD421" s="18">
        <v>240</v>
      </c>
      <c r="AE421" s="35"/>
      <c r="AF421" s="18">
        <v>0</v>
      </c>
      <c r="AG421" s="18">
        <v>0</v>
      </c>
      <c r="AH421" s="18">
        <v>69.239999999999995</v>
      </c>
      <c r="AI421" s="18">
        <v>0</v>
      </c>
      <c r="AJ421" s="18">
        <v>0</v>
      </c>
      <c r="AN421" s="71">
        <f t="shared" si="231"/>
        <v>0</v>
      </c>
      <c r="AO421" s="71">
        <f t="shared" si="232"/>
        <v>0</v>
      </c>
      <c r="AP421" s="71">
        <f t="shared" si="233"/>
        <v>240</v>
      </c>
      <c r="AQ421" s="72">
        <f>IF(OR($H421="GIROSSOL II",$H421="GIROSSOL II e III"),INDEX('Resumo Operacional'!$A$1:$P$1103,MATCH("Energia Injetada prevista total Fatura da Usina (TUSD)",'Resumo Operacional'!$B$1:$B$1103,0),MATCH('Detalhe Por UC'!$R421,'Resumo Operacional'!$A$1:$P$1,0))*$S421,INDEX('Resumo Operacional'!$A$1:$P$1103,53,MATCH('Detalhe Por UC'!$R421,'Resumo Operacional'!$A$1:$P$1,0))*$S421)</f>
        <v>206.82</v>
      </c>
      <c r="AR421" s="71">
        <f t="shared" si="234"/>
        <v>33.180000000000007</v>
      </c>
      <c r="AS421" s="73">
        <f t="shared" si="235"/>
        <v>158.06000000000006</v>
      </c>
      <c r="AT421" s="74">
        <f t="shared" si="236"/>
        <v>158.06000000000006</v>
      </c>
      <c r="AU421" s="74">
        <f t="shared" si="237"/>
        <v>0.83190369088811966</v>
      </c>
      <c r="AV421" s="74">
        <f t="shared" si="238"/>
        <v>175.33499999999998</v>
      </c>
      <c r="AW421" s="74">
        <f t="shared" si="239"/>
        <v>0</v>
      </c>
      <c r="AX421" s="74">
        <f t="shared" si="240"/>
        <v>233.77999999999997</v>
      </c>
      <c r="AY421" s="74">
        <f t="shared" si="241"/>
        <v>175.34</v>
      </c>
      <c r="AZ421" s="117">
        <v>175.34</v>
      </c>
      <c r="BA421" s="117">
        <v>175.34</v>
      </c>
      <c r="BB421" s="49">
        <v>233.77999999999997</v>
      </c>
      <c r="BC421" s="73">
        <f t="shared" si="242"/>
        <v>58.439999999999969</v>
      </c>
      <c r="BD421" s="73">
        <f t="shared" si="243"/>
        <v>391.84000000000003</v>
      </c>
      <c r="BE421" s="73">
        <f t="shared" si="244"/>
        <v>333.39500000000004</v>
      </c>
      <c r="BF421" s="77">
        <f t="shared" si="245"/>
        <v>58.45</v>
      </c>
      <c r="BG421" s="77">
        <f t="shared" si="246"/>
        <v>17.535</v>
      </c>
      <c r="BH421" s="77">
        <f t="shared" si="247"/>
        <v>233.77999999999997</v>
      </c>
      <c r="BI421" s="78">
        <f t="shared" si="248"/>
        <v>0.25</v>
      </c>
      <c r="BJ421" s="79">
        <f t="shared" si="249"/>
        <v>0.14916802776643528</v>
      </c>
      <c r="BK421" s="80">
        <f t="shared" si="250"/>
        <v>333.40000000000009</v>
      </c>
      <c r="BL421" s="80">
        <f t="shared" si="251"/>
        <v>58.439999999999941</v>
      </c>
      <c r="BM421" s="79">
        <f t="shared" si="252"/>
        <v>0.14914250714577362</v>
      </c>
      <c r="BN421" s="81">
        <f t="shared" si="253"/>
        <v>0.73058333333333336</v>
      </c>
      <c r="BO421" s="82">
        <f t="shared" si="254"/>
        <v>175.34</v>
      </c>
      <c r="BP421" s="81">
        <f t="shared" si="255"/>
        <v>0.73058333333333336</v>
      </c>
      <c r="BQ421" s="81">
        <f t="shared" si="256"/>
        <v>0.87276297577854689</v>
      </c>
      <c r="BR421" s="81">
        <f t="shared" si="257"/>
        <v>1.1162629757785467</v>
      </c>
      <c r="BS421" s="82">
        <f t="shared" si="258"/>
        <v>240</v>
      </c>
      <c r="BT421" s="82">
        <f t="shared" si="259"/>
        <v>267.90311418685121</v>
      </c>
      <c r="BU421" s="82">
        <f t="shared" si="260"/>
        <v>233.77999999999997</v>
      </c>
      <c r="BW421" s="82">
        <f>IFERROR(INDEX('Infos Clientes'!$T:$T,MATCH('Detalhe Por UC'!$C421,'Infos Clientes'!B:B,0)),"")</f>
        <v>293</v>
      </c>
      <c r="BX421" s="83">
        <f t="shared" si="261"/>
        <v>0</v>
      </c>
      <c r="BY421" s="84">
        <f t="shared" si="262"/>
        <v>0.21813856168629867</v>
      </c>
      <c r="BZ421" s="85">
        <f>IF(_xlfn.MINIFS('Detalhe Por UC'!R:R,'Detalhe Por UC'!C:C,C421,'Detalhe Por UC'!AD:AD,"&gt;"&amp;0)=0,"",_xlfn.MINIFS('Detalhe Por UC'!R:R,'Detalhe Por UC'!C:C,C421,'Detalhe Por UC'!AD:AD,"&gt;"&amp;0))</f>
        <v>45658</v>
      </c>
      <c r="CA421" s="114">
        <f ca="1">IF(OR(S421&gt;0,AD421&gt;0),IFERROR(
SUMIFS(INDIRECT("'Infos Clientes'!$W"&amp;INDEX('Infos Clientes'!$C:$C,MATCH(C421,'Infos Clientes'!$H:$H,0))&amp;":$CZ"&amp;INDEX('Infos Clientes'!$C:$C,MATCH(C421,'Infos Clientes'!$H:$H,0))),'Infos Clientes'!$W$2:$CZ$2,"&gt;"&amp;$R421-365,'Infos Clientes'!$W$2:$CZ$2,"&lt;="&amp;$R421)/
COUNTIFS(INDIRECT("'Infos Clientes'!$W"&amp;INDEX('Infos Clientes'!$C:$C,MATCH(C421,'Infos Clientes'!$H:$H,0))&amp;":$CZ"&amp;INDEX('Infos Clientes'!$C:$C,MATCH(C421,'Infos Clientes'!$H:$H,0))),"&gt;="&amp;0,'Infos Clientes'!$W$2:$CZ$2,"&gt;"&amp;$R421-365,'Infos Clientes'!$W$2:$CZ$2,"&lt;="&amp;$R421),""),"")</f>
        <v>257.16666666666669</v>
      </c>
      <c r="CB421" s="87">
        <f>VLOOKUP(C421,'Infos Clientes'!B:L,11,0)</f>
        <v>0</v>
      </c>
      <c r="CC421" s="88" t="str">
        <f t="shared" si="263"/>
        <v>A Unidade Consumidora 10/41548-9 economizou R$58,45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21" s="40" t="s">
        <v>249</v>
      </c>
      <c r="CE421" s="18">
        <v>158.06</v>
      </c>
      <c r="CF421" s="115">
        <f t="shared" si="264"/>
        <v>0</v>
      </c>
    </row>
    <row r="422" spans="1:84" ht="16.2" hidden="1" customHeight="1" x14ac:dyDescent="0.3">
      <c r="A422" s="105" t="str">
        <f>INDEX('Infos Clientes'!$D:$D,MATCH('Detalhe Por UC'!C422,'Infos Clientes'!B:B,0))</f>
        <v>IGREJA DO EVANGELHO QUADRANGULAR</v>
      </c>
      <c r="B422" s="106" t="str">
        <f>INDEX('Infos Clientes'!$F:$F,MATCH('Detalhe Por UC'!C422,'Infos Clientes'!B:B,0))</f>
        <v>62.955.505/1822-57</v>
      </c>
      <c r="C422" s="31" t="s">
        <v>216</v>
      </c>
      <c r="D422" t="s">
        <v>351</v>
      </c>
      <c r="E422" s="1" t="s">
        <v>352</v>
      </c>
      <c r="F422" s="56" t="str">
        <f>INDEX('Infos Clientes'!$I:$I,MATCH('Detalhe Por UC'!C422,'Infos Clientes'!B:B,0))</f>
        <v>BT</v>
      </c>
      <c r="G422" s="56" t="str">
        <f>INDEX('Infos Clientes'!$J:$J,MATCH('Detalhe Por UC'!C422,'Infos Clientes'!B:B,0))</f>
        <v>trifasico</v>
      </c>
      <c r="H422" s="108" t="s">
        <v>138</v>
      </c>
      <c r="I422" s="58">
        <f>IFERROR(VLOOKUP(C422,'Infos Clientes'!B:E,4,),"")</f>
        <v>319</v>
      </c>
      <c r="J422" s="109">
        <v>0.25</v>
      </c>
      <c r="K422" s="59">
        <f>INDEX('Infos Clientes'!$M:$M,MATCH('Detalhe Por UC'!C422,'Infos Clientes'!B:B,0))</f>
        <v>0.25</v>
      </c>
      <c r="L422" s="125">
        <v>0</v>
      </c>
      <c r="M422" s="56">
        <f>INDEX('Infos Clientes'!$N:$N,MATCH('Detalhe Por UC'!C422,'Infos Clientes'!B:B,0))</f>
        <v>0</v>
      </c>
      <c r="N422" s="56">
        <f t="shared" si="229"/>
        <v>0</v>
      </c>
      <c r="O422" s="56">
        <f t="shared" si="230"/>
        <v>9</v>
      </c>
      <c r="P422" s="56">
        <f t="shared" si="265"/>
        <v>0</v>
      </c>
      <c r="Q422" s="61">
        <f>IFERROR(IFERROR(INDEX('Infos Clientes'!$A$2:$V$9884,MATCH($C422,'Infos Clientes'!$B$2:$B$9884,0),MATCH(Q$8,'Infos Clientes'!$A$2:$V$2,0)),"")
+IF(OR(INDEX('Infos Clientes'!$A$2:$V$9884,MATCH($C422,'Infos Clientes'!$B$2:$B$9884,0),MATCH("Tempo de Fidelidade (meses)",'Infos Clientes'!$A$2:$V$2,0))=0,R422&gt;=MAX(R:R)),0,
ROUND((MAX(R:R)-R422)/(365/12),0)),"")</f>
        <v>0</v>
      </c>
      <c r="R422" s="111">
        <v>45748</v>
      </c>
      <c r="S422" s="63">
        <v>0.01</v>
      </c>
      <c r="T422" s="113" t="str">
        <f>IF($H422="GIROSSOL II",AP422/INDEX('Resumo Operacional'!$A$1:$P$1103,17,MATCH('Detalhe Por UC'!$R422,'Resumo Operacional'!$A$1:$P$1,0)),
IF($H422="GIROSSOL II e III",AP422/INDEX('Resumo Operacional'!$A$1:$P$1103,17,MATCH('Detalhe Por UC'!$R422,'Resumo Operacional'!$A$1:$P$1,0)),
""))</f>
        <v/>
      </c>
      <c r="U422" s="113">
        <f>IF($H422="GIROSSOL III",AP422/INDEX('Resumo Operacional'!$A$1:$P$1103,53,MATCH('Detalhe Por UC'!$R422,'Resumo Operacional'!$A$1:$P$1,0)),
IF($H422="GIROSSOL II e III",AP422/INDEX('Resumo Operacional'!$A$1:$P$1103,53,MATCH('Detalhe Por UC'!$R422,'Resumo Operacional'!$A$1:$P$1,0)),
""))</f>
        <v>1.1604293588627792E-2</v>
      </c>
      <c r="V422" s="45"/>
      <c r="W422" s="18"/>
      <c r="X422" s="18">
        <v>1.1194055944055943</v>
      </c>
      <c r="Y422" s="18"/>
      <c r="Z422" s="18">
        <v>0.97266666666666679</v>
      </c>
      <c r="AA422" s="18"/>
      <c r="AB422" s="18">
        <v>286</v>
      </c>
      <c r="AC422" s="18"/>
      <c r="AD422" s="18">
        <v>120</v>
      </c>
      <c r="AE422" s="35"/>
      <c r="AF422" s="18">
        <v>0</v>
      </c>
      <c r="AG422" s="18">
        <v>0</v>
      </c>
      <c r="AH422" s="18">
        <v>59.51</v>
      </c>
      <c r="AI422" s="18">
        <v>0</v>
      </c>
      <c r="AJ422" s="18">
        <v>0</v>
      </c>
      <c r="AN422" s="71">
        <f t="shared" si="231"/>
        <v>0</v>
      </c>
      <c r="AO422" s="71">
        <f t="shared" si="232"/>
        <v>0</v>
      </c>
      <c r="AP422" s="71">
        <f t="shared" si="233"/>
        <v>120</v>
      </c>
      <c r="AQ422" s="72">
        <f>IF(OR($H422="GIROSSOL II",$H422="GIROSSOL II e III"),INDEX('Resumo Operacional'!$A$1:$P$1103,MATCH("Energia Injetada prevista total Fatura da Usina (TUSD)",'Resumo Operacional'!$B$1:$B$1103,0),MATCH('Detalhe Por UC'!$R422,'Resumo Operacional'!$A$1:$P$1,0))*$S422,INDEX('Resumo Operacional'!$A$1:$P$1103,53,MATCH('Detalhe Por UC'!$R422,'Resumo Operacional'!$A$1:$P$1,0))*$S422)</f>
        <v>103.41</v>
      </c>
      <c r="AR422" s="71">
        <f t="shared" si="234"/>
        <v>16.590000000000003</v>
      </c>
      <c r="AS422" s="73">
        <f t="shared" si="235"/>
        <v>262.93999999999994</v>
      </c>
      <c r="AT422" s="74">
        <f t="shared" si="236"/>
        <v>262.93999999999994</v>
      </c>
      <c r="AU422" s="74">
        <f t="shared" si="237"/>
        <v>0.8259277389277393</v>
      </c>
      <c r="AV422" s="74">
        <f t="shared" si="238"/>
        <v>87.54</v>
      </c>
      <c r="AW422" s="74">
        <f t="shared" si="239"/>
        <v>0</v>
      </c>
      <c r="AX422" s="74">
        <f t="shared" si="240"/>
        <v>116.72000000000001</v>
      </c>
      <c r="AY422" s="74">
        <f t="shared" si="241"/>
        <v>87.54</v>
      </c>
      <c r="AZ422" s="117">
        <v>87.54</v>
      </c>
      <c r="BA422" s="117">
        <v>87.54</v>
      </c>
      <c r="BB422" s="49">
        <v>87.54</v>
      </c>
      <c r="BC422" s="73" t="str">
        <f t="shared" si="242"/>
        <v/>
      </c>
      <c r="BD422" s="73">
        <f t="shared" si="243"/>
        <v>379.65999999999997</v>
      </c>
      <c r="BE422" s="73">
        <f t="shared" si="244"/>
        <v>350.47999999999996</v>
      </c>
      <c r="BF422" s="77">
        <f t="shared" si="245"/>
        <v>29.18</v>
      </c>
      <c r="BG422" s="77">
        <f t="shared" si="246"/>
        <v>8.7539999999999996</v>
      </c>
      <c r="BH422" s="77">
        <f t="shared" si="247"/>
        <v>116.72</v>
      </c>
      <c r="BI422" s="78">
        <f t="shared" si="248"/>
        <v>0.25</v>
      </c>
      <c r="BJ422" s="79">
        <f t="shared" si="249"/>
        <v>7.6858241584575673E-2</v>
      </c>
      <c r="BK422" s="80">
        <f t="shared" si="250"/>
        <v>350.47999999999996</v>
      </c>
      <c r="BL422" s="80">
        <f t="shared" si="251"/>
        <v>29.180000000000007</v>
      </c>
      <c r="BM422" s="79">
        <f t="shared" si="252"/>
        <v>7.6858241584575701E-2</v>
      </c>
      <c r="BN422" s="81">
        <f t="shared" si="253"/>
        <v>0.72950000000000004</v>
      </c>
      <c r="BO422" s="82">
        <f t="shared" si="254"/>
        <v>87.54</v>
      </c>
      <c r="BP422" s="81">
        <f t="shared" si="255"/>
        <v>0.72950000000000004</v>
      </c>
      <c r="BQ422" s="81">
        <f t="shared" si="256"/>
        <v>0.87623892773892753</v>
      </c>
      <c r="BR422" s="81">
        <f t="shared" si="257"/>
        <v>1.1194055944055943</v>
      </c>
      <c r="BS422" s="82">
        <f t="shared" si="258"/>
        <v>120</v>
      </c>
      <c r="BT422" s="82">
        <f t="shared" si="259"/>
        <v>134.32867132867131</v>
      </c>
      <c r="BU422" s="82">
        <f t="shared" si="260"/>
        <v>116.72000000000001</v>
      </c>
      <c r="BW422" s="82">
        <f>IFERROR(INDEX('Infos Clientes'!$T:$T,MATCH('Detalhe Por UC'!$C422,'Infos Clientes'!B:B,0)),"")</f>
        <v>264</v>
      </c>
      <c r="BX422" s="83">
        <f t="shared" si="261"/>
        <v>0</v>
      </c>
      <c r="BY422" s="84">
        <f t="shared" si="262"/>
        <v>0.21722838252902296</v>
      </c>
      <c r="BZ422" s="85">
        <f>IF(_xlfn.MINIFS('Detalhe Por UC'!R:R,'Detalhe Por UC'!C:C,C422,'Detalhe Por UC'!AD:AD,"&gt;"&amp;0)=0,"",_xlfn.MINIFS('Detalhe Por UC'!R:R,'Detalhe Por UC'!C:C,C422,'Detalhe Por UC'!AD:AD,"&gt;"&amp;0))</f>
        <v>45658</v>
      </c>
      <c r="CA422" s="114">
        <f ca="1">IF(OR(S422&gt;0,AD422&gt;0),IFERROR(
SUMIFS(INDIRECT("'Infos Clientes'!$W"&amp;INDEX('Infos Clientes'!$C:$C,MATCH(C422,'Infos Clientes'!$H:$H,0))&amp;":$CZ"&amp;INDEX('Infos Clientes'!$C:$C,MATCH(C422,'Infos Clientes'!$H:$H,0))),'Infos Clientes'!$W$2:$CZ$2,"&gt;"&amp;$R422-365,'Infos Clientes'!$W$2:$CZ$2,"&lt;="&amp;$R422)/
COUNTIFS(INDIRECT("'Infos Clientes'!$W"&amp;INDEX('Infos Clientes'!$C:$C,MATCH(C422,'Infos Clientes'!$H:$H,0))&amp;":$CZ"&amp;INDEX('Infos Clientes'!$C:$C,MATCH(C422,'Infos Clientes'!$H:$H,0))),"&gt;="&amp;0,'Infos Clientes'!$W$2:$CZ$2,"&gt;"&amp;$R422-365,'Infos Clientes'!$W$2:$CZ$2,"&lt;="&amp;$R422),""),"")</f>
        <v>247.25</v>
      </c>
      <c r="CB422" s="87">
        <f>VLOOKUP(C422,'Infos Clientes'!B:L,11,0)</f>
        <v>0</v>
      </c>
      <c r="CC422" s="88" t="str">
        <f t="shared" si="263"/>
        <v>A Unidade Consumidora 10/52987-5 economizou R$29,18 na fatura referente à abr/2025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422" s="40" t="s">
        <v>249</v>
      </c>
      <c r="CE422" s="18">
        <v>262.94</v>
      </c>
      <c r="CF422" s="115">
        <f t="shared" si="264"/>
        <v>0</v>
      </c>
    </row>
    <row r="423" spans="1:84" ht="16.2" hidden="1" customHeight="1" x14ac:dyDescent="0.3">
      <c r="A423" s="105" t="str">
        <f>INDEX('Infos Clientes'!$D:$D,MATCH('Detalhe Por UC'!C423,'Infos Clientes'!B:B,0))</f>
        <v>IGREJA DO EVANGELHO QUADRANGULAR</v>
      </c>
      <c r="B423" s="106" t="str">
        <f>INDEX('Infos Clientes'!$F:$F,MATCH('Detalhe Por UC'!C423,'Infos Clientes'!B:B,0))</f>
        <v>62.955.505/2391-19</v>
      </c>
      <c r="C423" s="31" t="s">
        <v>193</v>
      </c>
      <c r="D423" t="s">
        <v>351</v>
      </c>
      <c r="E423" s="1" t="s">
        <v>352</v>
      </c>
      <c r="F423" s="56" t="str">
        <f>INDEX('Infos Clientes'!$I:$I,MATCH('Detalhe Por UC'!C423,'Infos Clientes'!B:B,0))</f>
        <v>BT</v>
      </c>
      <c r="G423" s="56" t="str">
        <f>INDEX('Infos Clientes'!$J:$J,MATCH('Detalhe Por UC'!C423,'Infos Clientes'!B:B,0))</f>
        <v>bifasico</v>
      </c>
      <c r="H423" s="108" t="s">
        <v>138</v>
      </c>
      <c r="I423" s="58">
        <f>IFERROR(VLOOKUP(C423,'Infos Clientes'!B:E,4,),"")</f>
        <v>306</v>
      </c>
      <c r="J423" s="109">
        <v>0.25</v>
      </c>
      <c r="K423" s="59">
        <f>INDEX('Infos Clientes'!$M:$M,MATCH('Detalhe Por UC'!C423,'Infos Clientes'!B:B,0))</f>
        <v>0.25</v>
      </c>
      <c r="L423" s="125">
        <v>0</v>
      </c>
      <c r="M423" s="56">
        <f>INDEX('Infos Clientes'!$N:$N,MATCH('Detalhe Por UC'!C423,'Infos Clientes'!B:B,0))</f>
        <v>0</v>
      </c>
      <c r="N423" s="56">
        <f t="shared" si="229"/>
        <v>0</v>
      </c>
      <c r="O423" s="56">
        <f t="shared" si="230"/>
        <v>9</v>
      </c>
      <c r="P423" s="56">
        <f t="shared" si="265"/>
        <v>0</v>
      </c>
      <c r="Q423" s="61">
        <f>IFERROR(IFERROR(INDEX('Infos Clientes'!$A$2:$V$9884,MATCH($C423,'Infos Clientes'!$B$2:$B$9884,0),MATCH(Q$8,'Infos Clientes'!$A$2:$V$2,0)),"")
+IF(OR(INDEX('Infos Clientes'!$A$2:$V$9884,MATCH($C423,'Infos Clientes'!$B$2:$B$9884,0),MATCH("Tempo de Fidelidade (meses)",'Infos Clientes'!$A$2:$V$2,0))=0,R423&gt;=MAX(R:R)),0,
ROUND((MAX(R:R)-R423)/(365/12),0)),"")</f>
        <v>0</v>
      </c>
      <c r="R423" s="111">
        <v>45748</v>
      </c>
      <c r="S423" s="63">
        <v>0.02</v>
      </c>
      <c r="T423" s="113" t="str">
        <f>IF($H423="GIROSSOL II",AP423/INDEX('Resumo Operacional'!$A$1:$P$1103,17,MATCH('Detalhe Por UC'!$R423,'Resumo Operacional'!$A$1:$P$1,0)),
IF($H423="GIROSSOL II e III",AP423/INDEX('Resumo Operacional'!$A$1:$P$1103,17,MATCH('Detalhe Por UC'!$R423,'Resumo Operacional'!$A$1:$P$1,0)),
""))</f>
        <v/>
      </c>
      <c r="U423" s="113">
        <f>IF($H423="GIROSSOL III",AP423/INDEX('Resumo Operacional'!$A$1:$P$1103,53,MATCH('Detalhe Por UC'!$R423,'Resumo Operacional'!$A$1:$P$1,0)),
IF($H423="GIROSSOL II e III",AP423/INDEX('Resumo Operacional'!$A$1:$P$1103,53,MATCH('Detalhe Por UC'!$R423,'Resumo Operacional'!$A$1:$P$1,0)),
""))</f>
        <v>2.3208587177255584E-2</v>
      </c>
      <c r="V423" s="45"/>
      <c r="W423" s="18"/>
      <c r="X423" s="18">
        <v>1.1176000000000001</v>
      </c>
      <c r="Y423" s="18"/>
      <c r="Z423" s="18">
        <v>0.97341666000000004</v>
      </c>
      <c r="AA423" s="18"/>
      <c r="AB423" s="18">
        <v>325</v>
      </c>
      <c r="AC423" s="18"/>
      <c r="AD423" s="18">
        <v>240</v>
      </c>
      <c r="AE423" s="35"/>
      <c r="AF423" s="18">
        <v>0</v>
      </c>
      <c r="AG423" s="18">
        <v>0</v>
      </c>
      <c r="AH423" s="18">
        <v>13.39</v>
      </c>
      <c r="AI423" s="18">
        <v>0</v>
      </c>
      <c r="AJ423" s="18">
        <v>0</v>
      </c>
      <c r="AN423" s="71">
        <f t="shared" si="231"/>
        <v>0</v>
      </c>
      <c r="AO423" s="71">
        <f t="shared" si="232"/>
        <v>0</v>
      </c>
      <c r="AP423" s="71">
        <f t="shared" si="233"/>
        <v>240</v>
      </c>
      <c r="AQ423" s="72">
        <f>IF(OR($H423="GIROSSOL II",$H423="GIROSSOL II e III"),INDEX('Resumo Operacional'!$A$1:$P$1103,MATCH("Energia Injetada prevista total Fatura da Usina (TUSD)",'Resumo Operacional'!$B$1:$B$1103,0),MATCH('Detalhe Por UC'!$R423,'Resumo Operacional'!$A$1:$P$1,0))*$S423,INDEX('Resumo Operacional'!$A$1:$P$1103,53,MATCH('Detalhe Por UC'!$R423,'Resumo Operacional'!$A$1:$P$1,0))*$S423)</f>
        <v>206.82</v>
      </c>
      <c r="AR423" s="71">
        <f t="shared" si="234"/>
        <v>33.180000000000007</v>
      </c>
      <c r="AS423" s="73">
        <f t="shared" si="235"/>
        <v>142.99000160000003</v>
      </c>
      <c r="AT423" s="74">
        <f t="shared" si="236"/>
        <v>142.99000160000003</v>
      </c>
      <c r="AU423" s="74">
        <f t="shared" si="237"/>
        <v>0.82923331999999994</v>
      </c>
      <c r="AV423" s="74">
        <f t="shared" si="238"/>
        <v>175.21499880000002</v>
      </c>
      <c r="AW423" s="74">
        <f t="shared" si="239"/>
        <v>0</v>
      </c>
      <c r="AX423" s="74">
        <f t="shared" si="240"/>
        <v>233.61999840000001</v>
      </c>
      <c r="AY423" s="74">
        <f t="shared" si="241"/>
        <v>175.21</v>
      </c>
      <c r="AZ423" s="117">
        <v>175.21</v>
      </c>
      <c r="BA423" s="117">
        <v>175.21</v>
      </c>
      <c r="BC423" s="73" t="str">
        <f t="shared" si="242"/>
        <v/>
      </c>
      <c r="BD423" s="73">
        <f t="shared" si="243"/>
        <v>376.61</v>
      </c>
      <c r="BE423" s="73">
        <f t="shared" si="244"/>
        <v>318.20500040000002</v>
      </c>
      <c r="BF423" s="77">
        <f t="shared" si="245"/>
        <v>58.4</v>
      </c>
      <c r="BG423" s="77">
        <f t="shared" si="246"/>
        <v>17.52</v>
      </c>
      <c r="BH423" s="77">
        <f t="shared" si="247"/>
        <v>233.61999840000001</v>
      </c>
      <c r="BI423" s="78">
        <f t="shared" si="248"/>
        <v>0.25</v>
      </c>
      <c r="BJ423" s="79">
        <f t="shared" si="249"/>
        <v>0.15506757653806325</v>
      </c>
      <c r="BK423" s="80">
        <f t="shared" si="250"/>
        <v>318.20000160000006</v>
      </c>
      <c r="BL423" s="80">
        <f t="shared" si="251"/>
        <v>58.409998399999949</v>
      </c>
      <c r="BM423" s="79">
        <f t="shared" si="252"/>
        <v>0.15509412495685176</v>
      </c>
      <c r="BN423" s="81">
        <f t="shared" si="253"/>
        <v>0.7300416666666667</v>
      </c>
      <c r="BO423" s="82">
        <f t="shared" si="254"/>
        <v>175.21</v>
      </c>
      <c r="BP423" s="81">
        <f t="shared" si="255"/>
        <v>0.7300416666666667</v>
      </c>
      <c r="BQ423" s="81">
        <f t="shared" si="256"/>
        <v>0.8742250066666668</v>
      </c>
      <c r="BR423" s="81">
        <f t="shared" si="257"/>
        <v>1.1176000000000001</v>
      </c>
      <c r="BS423" s="82">
        <f t="shared" si="258"/>
        <v>240</v>
      </c>
      <c r="BT423" s="82">
        <f t="shared" si="259"/>
        <v>268.22400000000005</v>
      </c>
      <c r="BU423" s="82">
        <f t="shared" si="260"/>
        <v>233.61999840000001</v>
      </c>
      <c r="BW423" s="82">
        <f>IFERROR(INDEX('Infos Clientes'!$T:$T,MATCH('Detalhe Por UC'!$C423,'Infos Clientes'!B:B,0)),"")</f>
        <v>330.27272727272725</v>
      </c>
      <c r="BX423" s="83">
        <f t="shared" si="261"/>
        <v>0</v>
      </c>
      <c r="BY423" s="84">
        <f t="shared" si="262"/>
        <v>0.21776574206633259</v>
      </c>
      <c r="BZ423" s="85">
        <f>IF(_xlfn.MINIFS('Detalhe Por UC'!R:R,'Detalhe Por UC'!C:C,C423,'Detalhe Por UC'!AD:AD,"&gt;"&amp;0)=0,"",_xlfn.MINIFS('Detalhe Por UC'!R:R,'Detalhe Por UC'!C:C,C423,'Detalhe Por UC'!AD:AD,"&gt;"&amp;0))</f>
        <v>45658</v>
      </c>
      <c r="CA423" s="114">
        <f ca="1">IF(OR(S423&gt;0,AD423&gt;0),IFERROR(
SUMIFS(INDIRECT("'Infos Clientes'!$W"&amp;INDEX('Infos Clientes'!$C:$C,MATCH(C423,'Infos Clientes'!$H:$H,0))&amp;":$CZ"&amp;INDEX('Infos Clientes'!$C:$C,MATCH(C423,'Infos Clientes'!$H:$H,0))),'Infos Clientes'!$W$2:$CZ$2,"&gt;"&amp;$R423-365,'Infos Clientes'!$W$2:$CZ$2,"&lt;="&amp;$R423)/
COUNTIFS(INDIRECT("'Infos Clientes'!$W"&amp;INDEX('Infos Clientes'!$C:$C,MATCH(C423,'Infos Clientes'!$H:$H,0))&amp;":$CZ"&amp;INDEX('Infos Clientes'!$C:$C,MATCH(C423,'Infos Clientes'!$H:$H,0))),"&gt;="&amp;0,'Infos Clientes'!$W$2:$CZ$2,"&gt;"&amp;$R423-365,'Infos Clientes'!$W$2:$CZ$2,"&lt;="&amp;$R423),""),"")</f>
        <v>290.66666666666669</v>
      </c>
      <c r="CB423" s="87">
        <f>VLOOKUP(C423,'Infos Clientes'!B:L,11,0)</f>
        <v>0</v>
      </c>
      <c r="CC423" s="88" t="str">
        <f t="shared" si="263"/>
        <v>A Unidade Consumidora 10/341308-5 economizou R$58,4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23" s="40" t="s">
        <v>249</v>
      </c>
      <c r="CE423" s="18">
        <v>142.99</v>
      </c>
      <c r="CF423" s="115">
        <f t="shared" si="264"/>
        <v>-1.6000000186977559E-6</v>
      </c>
    </row>
    <row r="424" spans="1:84" ht="16.2" hidden="1" customHeight="1" x14ac:dyDescent="0.3">
      <c r="A424" s="105" t="str">
        <f>INDEX('Infos Clientes'!$D:$D,MATCH('Detalhe Por UC'!C424,'Infos Clientes'!B:B,0))</f>
        <v>IGREJA DO EVANGELHO QUADRANGULAR</v>
      </c>
      <c r="B424" s="106" t="str">
        <f>INDEX('Infos Clientes'!$F:$F,MATCH('Detalhe Por UC'!C424,'Infos Clientes'!B:B,0))</f>
        <v>62.955.505/1893-40</v>
      </c>
      <c r="C424" s="31" t="s">
        <v>214</v>
      </c>
      <c r="D424" t="s">
        <v>351</v>
      </c>
      <c r="E424" s="1" t="s">
        <v>352</v>
      </c>
      <c r="F424" s="56" t="str">
        <f>INDEX('Infos Clientes'!$I:$I,MATCH('Detalhe Por UC'!C424,'Infos Clientes'!B:B,0))</f>
        <v>BT</v>
      </c>
      <c r="G424" s="56" t="str">
        <f>INDEX('Infos Clientes'!$J:$J,MATCH('Detalhe Por UC'!C424,'Infos Clientes'!B:B,0))</f>
        <v>trifasico</v>
      </c>
      <c r="H424" s="108" t="s">
        <v>138</v>
      </c>
      <c r="I424" s="58">
        <f>IFERROR(VLOOKUP(C424,'Infos Clientes'!B:E,4,),"")</f>
        <v>349</v>
      </c>
      <c r="J424" s="109">
        <v>0.25</v>
      </c>
      <c r="K424" s="59">
        <f>INDEX('Infos Clientes'!$M:$M,MATCH('Detalhe Por UC'!C424,'Infos Clientes'!B:B,0))</f>
        <v>0.25</v>
      </c>
      <c r="L424" s="125">
        <v>0</v>
      </c>
      <c r="M424" s="56">
        <f>INDEX('Infos Clientes'!$N:$N,MATCH('Detalhe Por UC'!C424,'Infos Clientes'!B:B,0))</f>
        <v>0</v>
      </c>
      <c r="N424" s="56">
        <f t="shared" si="229"/>
        <v>0</v>
      </c>
      <c r="O424" s="56">
        <f t="shared" si="230"/>
        <v>1</v>
      </c>
      <c r="P424" s="56">
        <f t="shared" si="265"/>
        <v>0</v>
      </c>
      <c r="Q424" s="61">
        <f>IFERROR(IFERROR(INDEX('Infos Clientes'!$A$2:$V$9884,MATCH($C424,'Infos Clientes'!$B$2:$B$9884,0),MATCH(Q$8,'Infos Clientes'!$A$2:$V$2,0)),"")
+IF(OR(INDEX('Infos Clientes'!$A$2:$V$9884,MATCH($C424,'Infos Clientes'!$B$2:$B$9884,0),MATCH("Tempo de Fidelidade (meses)",'Infos Clientes'!$A$2:$V$2,0))=0,R424&gt;=MAX(R:R)),0,
ROUND((MAX(R:R)-R424)/(365/12),0)),"")</f>
        <v>0</v>
      </c>
      <c r="R424" s="111">
        <v>45748</v>
      </c>
      <c r="S424" s="63">
        <v>0.01</v>
      </c>
      <c r="T424" s="113" t="str">
        <f>IF($H424="GIROSSOL II",AP424/INDEX('Resumo Operacional'!$A$1:$P$1103,17,MATCH('Detalhe Por UC'!$R424,'Resumo Operacional'!$A$1:$P$1,0)),
IF($H424="GIROSSOL II e III",AP424/INDEX('Resumo Operacional'!$A$1:$P$1103,17,MATCH('Detalhe Por UC'!$R424,'Resumo Operacional'!$A$1:$P$1,0)),
""))</f>
        <v/>
      </c>
      <c r="U424" s="113">
        <f>IF($H424="GIROSSOL III",AP424/INDEX('Resumo Operacional'!$A$1:$P$1103,53,MATCH('Detalhe Por UC'!$R424,'Resumo Operacional'!$A$1:$P$1,0)),
IF($H424="GIROSSOL II e III",AP424/INDEX('Resumo Operacional'!$A$1:$P$1103,53,MATCH('Detalhe Por UC'!$R424,'Resumo Operacional'!$A$1:$P$1,0)),
""))</f>
        <v>0</v>
      </c>
      <c r="V424" s="45"/>
      <c r="W424" s="18"/>
      <c r="X424" s="18"/>
      <c r="Y424" s="18"/>
      <c r="Z424" s="18"/>
      <c r="AA424" s="18"/>
      <c r="AB424" s="18"/>
      <c r="AC424" s="18"/>
      <c r="AD424" s="18"/>
      <c r="AE424" s="35"/>
      <c r="AF424" s="18"/>
      <c r="AG424" s="18"/>
      <c r="AH424" s="18"/>
      <c r="AI424" s="18"/>
      <c r="AJ424" s="18"/>
      <c r="AN424" s="71" t="str">
        <f t="shared" si="231"/>
        <v/>
      </c>
      <c r="AO424" s="71" t="str">
        <f t="shared" si="232"/>
        <v/>
      </c>
      <c r="AP424" s="71">
        <f t="shared" si="233"/>
        <v>0</v>
      </c>
      <c r="AQ424" s="72">
        <f>IF(OR($H424="GIROSSOL II",$H424="GIROSSOL II e III"),INDEX('Resumo Operacional'!$A$1:$P$1103,MATCH("Energia Injetada prevista total Fatura da Usina (TUSD)",'Resumo Operacional'!$B$1:$B$1103,0),MATCH('Detalhe Por UC'!$R424,'Resumo Operacional'!$A$1:$P$1,0))*$S424,INDEX('Resumo Operacional'!$A$1:$P$1103,53,MATCH('Detalhe Por UC'!$R424,'Resumo Operacional'!$A$1:$P$1,0))*$S424)</f>
        <v>103.41</v>
      </c>
      <c r="AR424" s="71" t="str">
        <f t="shared" si="234"/>
        <v/>
      </c>
      <c r="AS424" s="73">
        <f t="shared" si="235"/>
        <v>0</v>
      </c>
      <c r="AT424" s="74">
        <f t="shared" si="236"/>
        <v>0</v>
      </c>
      <c r="AU424" s="74" t="str">
        <f t="shared" si="237"/>
        <v/>
      </c>
      <c r="AV424" s="74">
        <f t="shared" si="238"/>
        <v>0</v>
      </c>
      <c r="AW424" s="74">
        <f t="shared" si="239"/>
        <v>0</v>
      </c>
      <c r="AX424" s="74">
        <f t="shared" si="240"/>
        <v>0</v>
      </c>
      <c r="AY424" s="74" t="str">
        <f t="shared" si="241"/>
        <v/>
      </c>
      <c r="AZ424" s="117"/>
      <c r="BA424" s="117">
        <v>0</v>
      </c>
      <c r="BC424" s="73" t="str">
        <f t="shared" si="242"/>
        <v/>
      </c>
      <c r="BD424" s="73">
        <f t="shared" si="243"/>
        <v>0</v>
      </c>
      <c r="BE424" s="73">
        <f t="shared" si="244"/>
        <v>0</v>
      </c>
      <c r="BF424" s="77">
        <f t="shared" si="245"/>
        <v>0</v>
      </c>
      <c r="BG424" s="77">
        <f t="shared" si="246"/>
        <v>0</v>
      </c>
      <c r="BH424" s="77">
        <f t="shared" si="247"/>
        <v>0</v>
      </c>
      <c r="BI424" s="78" t="str">
        <f t="shared" si="248"/>
        <v/>
      </c>
      <c r="BJ424" s="79" t="str">
        <f t="shared" si="249"/>
        <v/>
      </c>
      <c r="BK424" s="80" t="str">
        <f t="shared" si="250"/>
        <v/>
      </c>
      <c r="BL424" s="80" t="str">
        <f t="shared" si="251"/>
        <v/>
      </c>
      <c r="BM424" s="79" t="str">
        <f t="shared" si="252"/>
        <v/>
      </c>
      <c r="BN424" s="81" t="str">
        <f t="shared" si="253"/>
        <v/>
      </c>
      <c r="BO424" s="82" t="str">
        <f t="shared" si="254"/>
        <v/>
      </c>
      <c r="BP424" s="81" t="str">
        <f t="shared" si="255"/>
        <v/>
      </c>
      <c r="BQ424" s="81" t="str">
        <f t="shared" si="256"/>
        <v/>
      </c>
      <c r="BR424" s="81" t="str">
        <f t="shared" si="257"/>
        <v/>
      </c>
      <c r="BS424" s="82">
        <f t="shared" si="258"/>
        <v>0</v>
      </c>
      <c r="BT424" s="82" t="str">
        <f t="shared" si="259"/>
        <v/>
      </c>
      <c r="BU424" s="82">
        <f t="shared" si="260"/>
        <v>0</v>
      </c>
      <c r="BW424" s="82">
        <f>IFERROR(INDEX('Infos Clientes'!$T:$T,MATCH('Detalhe Por UC'!$C424,'Infos Clientes'!B:B,0)),"")</f>
        <v>254.09090909090909</v>
      </c>
      <c r="BX424" s="83">
        <f t="shared" si="261"/>
        <v>0</v>
      </c>
      <c r="BY424" s="84" t="str">
        <f t="shared" si="262"/>
        <v/>
      </c>
      <c r="BZ424" s="85">
        <f>IF(_xlfn.MINIFS('Detalhe Por UC'!R:R,'Detalhe Por UC'!C:C,C424,'Detalhe Por UC'!AD:AD,"&gt;"&amp;0)=0,"",_xlfn.MINIFS('Detalhe Por UC'!R:R,'Detalhe Por UC'!C:C,C424,'Detalhe Por UC'!AD:AD,"&gt;"&amp;0))</f>
        <v>45658</v>
      </c>
      <c r="CA424" s="114">
        <f ca="1">IF(OR(S424&gt;0,AD424&gt;0),IFERROR(
SUMIFS(INDIRECT("'Infos Clientes'!$W"&amp;INDEX('Infos Clientes'!$C:$C,MATCH(C424,'Infos Clientes'!$H:$H,0))&amp;":$CZ"&amp;INDEX('Infos Clientes'!$C:$C,MATCH(C424,'Infos Clientes'!$H:$H,0))),'Infos Clientes'!$W$2:$CZ$2,"&gt;"&amp;$R424-365,'Infos Clientes'!$W$2:$CZ$2,"&lt;="&amp;$R424)/
COUNTIFS(INDIRECT("'Infos Clientes'!$W"&amp;INDEX('Infos Clientes'!$C:$C,MATCH(C424,'Infos Clientes'!$H:$H,0))&amp;":$CZ"&amp;INDEX('Infos Clientes'!$C:$C,MATCH(C424,'Infos Clientes'!$H:$H,0))),"&gt;="&amp;0,'Infos Clientes'!$W$2:$CZ$2,"&gt;"&amp;$R424-365,'Infos Clientes'!$W$2:$CZ$2,"&lt;="&amp;$R424),""),"")</f>
        <v>216.2</v>
      </c>
      <c r="CB424" s="87">
        <f>VLOOKUP(C424,'Infos Clientes'!B:L,11,0)</f>
        <v>0</v>
      </c>
      <c r="CC424" s="88" t="str">
        <f t="shared" si="263"/>
        <v>A Unidade Consumidora 10/512142-1 economizou R$0 na fatura referente à abr/2025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E424" s="18" t="e">
        <v>#N/A</v>
      </c>
      <c r="CF424" s="115" t="e">
        <f t="shared" si="264"/>
        <v>#N/A</v>
      </c>
    </row>
    <row r="425" spans="1:84" ht="16.2" hidden="1" customHeight="1" x14ac:dyDescent="0.3">
      <c r="A425" s="105" t="str">
        <f>INDEX('Infos Clientes'!$D:$D,MATCH('Detalhe Por UC'!C425,'Infos Clientes'!B:B,0))</f>
        <v>IGREJA DO EVANGELHO QUADRANGULAR</v>
      </c>
      <c r="B425" s="106" t="str">
        <f>INDEX('Infos Clientes'!$F:$F,MATCH('Detalhe Por UC'!C425,'Infos Clientes'!B:B,0))</f>
        <v>62.955.505/3358-51</v>
      </c>
      <c r="C425" s="31" t="s">
        <v>150</v>
      </c>
      <c r="D425" t="s">
        <v>351</v>
      </c>
      <c r="E425" s="1" t="s">
        <v>352</v>
      </c>
      <c r="F425" s="56" t="str">
        <f>INDEX('Infos Clientes'!$I:$I,MATCH('Detalhe Por UC'!C425,'Infos Clientes'!B:B,0))</f>
        <v>BT</v>
      </c>
      <c r="G425" s="56" t="str">
        <f>INDEX('Infos Clientes'!$J:$J,MATCH('Detalhe Por UC'!C425,'Infos Clientes'!B:B,0))</f>
        <v>trifasico</v>
      </c>
      <c r="H425" s="108" t="s">
        <v>138</v>
      </c>
      <c r="I425" s="58">
        <f>IFERROR(VLOOKUP(C425,'Infos Clientes'!B:E,4,),"")</f>
        <v>306</v>
      </c>
      <c r="J425" s="109">
        <v>0.25</v>
      </c>
      <c r="K425" s="59">
        <f>INDEX('Infos Clientes'!$M:$M,MATCH('Detalhe Por UC'!C425,'Infos Clientes'!B:B,0))</f>
        <v>0.25</v>
      </c>
      <c r="L425" s="125">
        <v>0</v>
      </c>
      <c r="M425" s="56">
        <f>INDEX('Infos Clientes'!$N:$N,MATCH('Detalhe Por UC'!C425,'Infos Clientes'!B:B,0))</f>
        <v>0</v>
      </c>
      <c r="N425" s="56">
        <f t="shared" si="229"/>
        <v>0</v>
      </c>
      <c r="O425" s="56">
        <f t="shared" si="230"/>
        <v>10</v>
      </c>
      <c r="P425" s="56">
        <f t="shared" si="265"/>
        <v>0</v>
      </c>
      <c r="Q425" s="61">
        <f>IFERROR(IFERROR(INDEX('Infos Clientes'!$A$2:$V$9884,MATCH($C425,'Infos Clientes'!$B$2:$B$9884,0),MATCH(Q$8,'Infos Clientes'!$A$2:$V$2,0)),"")
+IF(OR(INDEX('Infos Clientes'!$A$2:$V$9884,MATCH($C425,'Infos Clientes'!$B$2:$B$9884,0),MATCH("Tempo de Fidelidade (meses)",'Infos Clientes'!$A$2:$V$2,0))=0,R425&gt;=MAX(R:R)),0,
ROUND((MAX(R:R)-R425)/(365/12),0)),"")</f>
        <v>0</v>
      </c>
      <c r="R425" s="111">
        <v>45748</v>
      </c>
      <c r="S425" s="63">
        <v>0.01</v>
      </c>
      <c r="T425" s="113" t="str">
        <f>IF($H425="GIROSSOL II",AP425/INDEX('Resumo Operacional'!$A$1:$P$1103,17,MATCH('Detalhe Por UC'!$R425,'Resumo Operacional'!$A$1:$P$1,0)),
IF($H425="GIROSSOL II e III",AP425/INDEX('Resumo Operacional'!$A$1:$P$1103,17,MATCH('Detalhe Por UC'!$R425,'Resumo Operacional'!$A$1:$P$1,0)),
""))</f>
        <v/>
      </c>
      <c r="U425" s="113">
        <f>IF($H425="GIROSSOL III",AP425/INDEX('Resumo Operacional'!$A$1:$P$1103,53,MATCH('Detalhe Por UC'!$R425,'Resumo Operacional'!$A$1:$P$1,0)),
IF($H425="GIROSSOL II e III",AP425/INDEX('Resumo Operacional'!$A$1:$P$1103,53,MATCH('Detalhe Por UC'!$R425,'Resumo Operacional'!$A$1:$P$1,0)),
""))</f>
        <v>1.1604293588627792E-2</v>
      </c>
      <c r="V425" s="45"/>
      <c r="W425" s="18"/>
      <c r="X425" s="18">
        <v>1.1162301587301589</v>
      </c>
      <c r="Y425" s="18"/>
      <c r="Z425" s="18">
        <v>0.97408333333333319</v>
      </c>
      <c r="AA425" s="18"/>
      <c r="AB425" s="18">
        <v>252</v>
      </c>
      <c r="AC425" s="18"/>
      <c r="AD425" s="18">
        <v>120</v>
      </c>
      <c r="AE425" s="35"/>
      <c r="AF425" s="18">
        <v>0</v>
      </c>
      <c r="AG425" s="18">
        <v>0</v>
      </c>
      <c r="AH425" s="18">
        <v>16.329999999999998</v>
      </c>
      <c r="AI425" s="18">
        <v>0</v>
      </c>
      <c r="AJ425" s="18">
        <v>0</v>
      </c>
      <c r="AN425" s="71">
        <f t="shared" si="231"/>
        <v>0</v>
      </c>
      <c r="AO425" s="71">
        <f t="shared" si="232"/>
        <v>0</v>
      </c>
      <c r="AP425" s="71">
        <f t="shared" si="233"/>
        <v>120</v>
      </c>
      <c r="AQ425" s="72">
        <f>IF(OR($H425="GIROSSOL II",$H425="GIROSSOL II e III"),INDEX('Resumo Operacional'!$A$1:$P$1103,MATCH("Energia Injetada prevista total Fatura da Usina (TUSD)",'Resumo Operacional'!$B$1:$B$1103,0),MATCH('Detalhe Por UC'!$R425,'Resumo Operacional'!$A$1:$P$1,0))*$S425,INDEX('Resumo Operacional'!$A$1:$P$1103,53,MATCH('Detalhe Por UC'!$R425,'Resumo Operacional'!$A$1:$P$1,0))*$S425)</f>
        <v>103.41</v>
      </c>
      <c r="AR425" s="71">
        <f t="shared" si="234"/>
        <v>16.590000000000003</v>
      </c>
      <c r="AS425" s="73">
        <f t="shared" si="235"/>
        <v>180.73000000000002</v>
      </c>
      <c r="AT425" s="74">
        <f t="shared" si="236"/>
        <v>180.73000000000002</v>
      </c>
      <c r="AU425" s="74">
        <f t="shared" si="237"/>
        <v>0.83193650793650753</v>
      </c>
      <c r="AV425" s="74">
        <f t="shared" si="238"/>
        <v>87.66749999999999</v>
      </c>
      <c r="AW425" s="74">
        <f t="shared" si="239"/>
        <v>0</v>
      </c>
      <c r="AX425" s="74">
        <f t="shared" si="240"/>
        <v>116.88999999999999</v>
      </c>
      <c r="AY425" s="74">
        <f t="shared" si="241"/>
        <v>87.67</v>
      </c>
      <c r="AZ425" s="117">
        <v>87.67</v>
      </c>
      <c r="BA425" s="117">
        <v>87.67</v>
      </c>
      <c r="BB425" s="49">
        <v>116.88999999999999</v>
      </c>
      <c r="BC425" s="73">
        <f t="shared" si="242"/>
        <v>29.219999999999985</v>
      </c>
      <c r="BD425" s="73">
        <f t="shared" si="243"/>
        <v>297.62</v>
      </c>
      <c r="BE425" s="73">
        <f t="shared" si="244"/>
        <v>268.39750000000004</v>
      </c>
      <c r="BF425" s="77">
        <f t="shared" si="245"/>
        <v>29.22</v>
      </c>
      <c r="BG425" s="77">
        <f t="shared" si="246"/>
        <v>8.766</v>
      </c>
      <c r="BH425" s="77">
        <f t="shared" si="247"/>
        <v>116.88999999999999</v>
      </c>
      <c r="BI425" s="78">
        <f t="shared" si="248"/>
        <v>0.25</v>
      </c>
      <c r="BJ425" s="79">
        <f t="shared" si="249"/>
        <v>9.8178885827565343E-2</v>
      </c>
      <c r="BK425" s="80">
        <f t="shared" si="250"/>
        <v>268.40000000000003</v>
      </c>
      <c r="BL425" s="80">
        <f t="shared" si="251"/>
        <v>29.21999999999997</v>
      </c>
      <c r="BM425" s="79">
        <f t="shared" si="252"/>
        <v>9.8178885827565246E-2</v>
      </c>
      <c r="BN425" s="81">
        <f t="shared" si="253"/>
        <v>0.73058333333333336</v>
      </c>
      <c r="BO425" s="82">
        <f t="shared" si="254"/>
        <v>87.67</v>
      </c>
      <c r="BP425" s="81">
        <f t="shared" si="255"/>
        <v>0.73058333333333336</v>
      </c>
      <c r="BQ425" s="81">
        <f t="shared" si="256"/>
        <v>0.87273015873015902</v>
      </c>
      <c r="BR425" s="81">
        <f t="shared" si="257"/>
        <v>1.1162301587301589</v>
      </c>
      <c r="BS425" s="82">
        <f t="shared" si="258"/>
        <v>120</v>
      </c>
      <c r="BT425" s="82">
        <f t="shared" si="259"/>
        <v>133.94761904761907</v>
      </c>
      <c r="BU425" s="82">
        <f t="shared" si="260"/>
        <v>116.88999999999999</v>
      </c>
      <c r="BW425" s="82">
        <f>IFERROR(INDEX('Infos Clientes'!$T:$T,MATCH('Detalhe Por UC'!$C425,'Infos Clientes'!B:B,0)),"")</f>
        <v>209.54545454545453</v>
      </c>
      <c r="BX425" s="83">
        <f t="shared" si="261"/>
        <v>0</v>
      </c>
      <c r="BY425" s="84">
        <f t="shared" si="262"/>
        <v>0.21814497493689769</v>
      </c>
      <c r="BZ425" s="85">
        <f>IF(_xlfn.MINIFS('Detalhe Por UC'!R:R,'Detalhe Por UC'!C:C,C425,'Detalhe Por UC'!AD:AD,"&gt;"&amp;0)=0,"",_xlfn.MINIFS('Detalhe Por UC'!R:R,'Detalhe Por UC'!C:C,C425,'Detalhe Por UC'!AD:AD,"&gt;"&amp;0))</f>
        <v>45658</v>
      </c>
      <c r="CA425" s="114">
        <f ca="1">IF(OR(S425&gt;0,AD425&gt;0),IFERROR(
SUMIFS(INDIRECT("'Infos Clientes'!$W"&amp;INDEX('Infos Clientes'!$C:$C,MATCH(C425,'Infos Clientes'!$H:$H,0))&amp;":$CZ"&amp;INDEX('Infos Clientes'!$C:$C,MATCH(C425,'Infos Clientes'!$H:$H,0))),'Infos Clientes'!$W$2:$CZ$2,"&gt;"&amp;$R425-365,'Infos Clientes'!$W$2:$CZ$2,"&lt;="&amp;$R425)/
COUNTIFS(INDIRECT("'Infos Clientes'!$W"&amp;INDEX('Infos Clientes'!$C:$C,MATCH(C425,'Infos Clientes'!$H:$H,0))&amp;":$CZ"&amp;INDEX('Infos Clientes'!$C:$C,MATCH(C425,'Infos Clientes'!$H:$H,0))),"&gt;="&amp;0,'Infos Clientes'!$W$2:$CZ$2,"&gt;"&amp;$R425-365,'Infos Clientes'!$W$2:$CZ$2,"&lt;="&amp;$R425),""),"")</f>
        <v>196.25</v>
      </c>
      <c r="CB425" s="87">
        <f>VLOOKUP(C425,'Infos Clientes'!B:L,11,0)</f>
        <v>0</v>
      </c>
      <c r="CC425" s="88" t="str">
        <f t="shared" si="263"/>
        <v>A Unidade Consumidora 10/1288241-1 economizou R$29,22 na fatura referente à abr/2025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425" s="40" t="s">
        <v>37</v>
      </c>
      <c r="CE425" s="18">
        <v>180.73</v>
      </c>
      <c r="CF425" s="115">
        <f t="shared" si="264"/>
        <v>0</v>
      </c>
    </row>
    <row r="426" spans="1:84" ht="16.2" hidden="1" customHeight="1" x14ac:dyDescent="0.3">
      <c r="A426" s="105" t="str">
        <f>INDEX('Infos Clientes'!$D:$D,MATCH('Detalhe Por UC'!C426,'Infos Clientes'!B:B,0))</f>
        <v>IGREJA DO EVANGELHO QUADRANGULAR</v>
      </c>
      <c r="B426" s="106" t="str">
        <f>INDEX('Infos Clientes'!$F:$F,MATCH('Detalhe Por UC'!C426,'Infos Clientes'!B:B,0))</f>
        <v>62.955.505/0165-94</v>
      </c>
      <c r="C426" s="31" t="s">
        <v>169</v>
      </c>
      <c r="D426" t="s">
        <v>351</v>
      </c>
      <c r="E426" s="1" t="s">
        <v>352</v>
      </c>
      <c r="F426" s="56" t="str">
        <f>INDEX('Infos Clientes'!$I:$I,MATCH('Detalhe Por UC'!C426,'Infos Clientes'!B:B,0))</f>
        <v>BT</v>
      </c>
      <c r="G426" s="56" t="str">
        <f>INDEX('Infos Clientes'!$J:$J,MATCH('Detalhe Por UC'!C426,'Infos Clientes'!B:B,0))</f>
        <v>bifasico</v>
      </c>
      <c r="H426" s="108" t="s">
        <v>138</v>
      </c>
      <c r="I426" s="58">
        <f>IFERROR(VLOOKUP(C426,'Infos Clientes'!B:E,4,),"")</f>
        <v>302</v>
      </c>
      <c r="J426" s="109">
        <v>0.25</v>
      </c>
      <c r="K426" s="59">
        <f>INDEX('Infos Clientes'!$M:$M,MATCH('Detalhe Por UC'!C426,'Infos Clientes'!B:B,0))</f>
        <v>0.25</v>
      </c>
      <c r="M426" s="56">
        <f>INDEX('Infos Clientes'!$N:$N,MATCH('Detalhe Por UC'!C426,'Infos Clientes'!B:B,0))</f>
        <v>0</v>
      </c>
      <c r="N426" s="56">
        <f t="shared" si="229"/>
        <v>0</v>
      </c>
      <c r="O426" s="56">
        <f t="shared" si="230"/>
        <v>9</v>
      </c>
      <c r="P426" s="56">
        <f t="shared" si="265"/>
        <v>0</v>
      </c>
      <c r="Q426" s="61">
        <f>IFERROR(IFERROR(INDEX('Infos Clientes'!$A$2:$V$9884,MATCH($C426,'Infos Clientes'!$B$2:$B$9884,0),MATCH(Q$8,'Infos Clientes'!$A$2:$V$2,0)),"")
+IF(OR(INDEX('Infos Clientes'!$A$2:$V$9884,MATCH($C426,'Infos Clientes'!$B$2:$B$9884,0),MATCH("Tempo de Fidelidade (meses)",'Infos Clientes'!$A$2:$V$2,0))=0,R426&gt;=MAX(R:R)),0,
ROUND((MAX(R:R)-R426)/(365/12),0)),"")</f>
        <v>0</v>
      </c>
      <c r="R426" s="111">
        <v>45748</v>
      </c>
      <c r="S426" s="63">
        <v>0.02</v>
      </c>
      <c r="T426" s="113" t="str">
        <f>IF($H426="GIROSSOL II",AP426/INDEX('Resumo Operacional'!$A$1:$P$1103,17,MATCH('Detalhe Por UC'!$R426,'Resumo Operacional'!$A$1:$P$1,0)),
IF($H426="GIROSSOL II e III",AP426/INDEX('Resumo Operacional'!$A$1:$P$1103,17,MATCH('Detalhe Por UC'!$R426,'Resumo Operacional'!$A$1:$P$1,0)),
""))</f>
        <v/>
      </c>
      <c r="U426" s="113">
        <f>IF($H426="GIROSSOL III",AP426/INDEX('Resumo Operacional'!$A$1:$P$1103,53,MATCH('Detalhe Por UC'!$R426,'Resumo Operacional'!$A$1:$P$1,0)),
IF($H426="GIROSSOL II e III",AP426/INDEX('Resumo Operacional'!$A$1:$P$1103,53,MATCH('Detalhe Por UC'!$R426,'Resumo Operacional'!$A$1:$P$1,0)),
""))</f>
        <v>2.3208587177255584E-2</v>
      </c>
      <c r="V426" s="45"/>
      <c r="W426" s="18"/>
      <c r="X426" s="18">
        <v>1.1172058823529412</v>
      </c>
      <c r="Y426" s="18"/>
      <c r="Z426" s="18">
        <v>0.97354160000000001</v>
      </c>
      <c r="AA426" s="18"/>
      <c r="AB426" s="18">
        <v>272</v>
      </c>
      <c r="AC426" s="18"/>
      <c r="AD426" s="18">
        <v>240</v>
      </c>
      <c r="AE426" s="35"/>
      <c r="AF426" s="18">
        <v>0</v>
      </c>
      <c r="AG426" s="18">
        <v>0</v>
      </c>
      <c r="AH426" s="18">
        <v>51.800000000000004</v>
      </c>
      <c r="AI426" s="18">
        <v>0</v>
      </c>
      <c r="AJ426" s="18">
        <v>0</v>
      </c>
      <c r="AN426" s="71">
        <f t="shared" si="231"/>
        <v>0</v>
      </c>
      <c r="AO426" s="71">
        <f t="shared" si="232"/>
        <v>0</v>
      </c>
      <c r="AP426" s="71">
        <f t="shared" si="233"/>
        <v>240</v>
      </c>
      <c r="AQ426" s="72">
        <f>IF(OR($H426="GIROSSOL II",$H426="GIROSSOL II e III"),INDEX('Resumo Operacional'!$A$1:$P$1103,MATCH("Energia Injetada prevista total Fatura da Usina (TUSD)",'Resumo Operacional'!$B$1:$B$1103,0),MATCH('Detalhe Por UC'!$R426,'Resumo Operacional'!$A$1:$P$1,0))*$S426,INDEX('Resumo Operacional'!$A$1:$P$1103,53,MATCH('Detalhe Por UC'!$R426,'Resumo Operacional'!$A$1:$P$1,0))*$S426)</f>
        <v>206.82</v>
      </c>
      <c r="AR426" s="71">
        <f t="shared" si="234"/>
        <v>33.180000000000007</v>
      </c>
      <c r="AS426" s="73">
        <f t="shared" si="235"/>
        <v>122.03001600000002</v>
      </c>
      <c r="AT426" s="74">
        <f t="shared" si="236"/>
        <v>122.03001600000002</v>
      </c>
      <c r="AU426" s="74">
        <f t="shared" si="237"/>
        <v>0.82987731764705885</v>
      </c>
      <c r="AV426" s="74">
        <f t="shared" si="238"/>
        <v>175.23748800000001</v>
      </c>
      <c r="AW426" s="74">
        <f t="shared" si="239"/>
        <v>0</v>
      </c>
      <c r="AX426" s="74">
        <f t="shared" si="240"/>
        <v>233.64998399999999</v>
      </c>
      <c r="AY426" s="74">
        <f t="shared" si="241"/>
        <v>175.24</v>
      </c>
      <c r="AZ426" s="117">
        <v>175.24</v>
      </c>
      <c r="BA426" s="117">
        <v>175.24</v>
      </c>
      <c r="BB426" s="49">
        <v>175.24</v>
      </c>
      <c r="BC426" s="73" t="str">
        <f t="shared" si="242"/>
        <v/>
      </c>
      <c r="BD426" s="73">
        <f t="shared" si="243"/>
        <v>355.68</v>
      </c>
      <c r="BE426" s="73">
        <f t="shared" si="244"/>
        <v>297.26750400000003</v>
      </c>
      <c r="BF426" s="77">
        <f t="shared" si="245"/>
        <v>58.41</v>
      </c>
      <c r="BG426" s="77">
        <f t="shared" si="246"/>
        <v>17.523</v>
      </c>
      <c r="BH426" s="77">
        <f t="shared" si="247"/>
        <v>233.64998400000002</v>
      </c>
      <c r="BI426" s="78">
        <f t="shared" si="248"/>
        <v>0.25</v>
      </c>
      <c r="BJ426" s="79">
        <f t="shared" si="249"/>
        <v>0.16422064777327933</v>
      </c>
      <c r="BK426" s="80">
        <f t="shared" si="250"/>
        <v>297.27001600000006</v>
      </c>
      <c r="BL426" s="80">
        <f t="shared" si="251"/>
        <v>58.409983999999952</v>
      </c>
      <c r="BM426" s="79">
        <f t="shared" si="252"/>
        <v>0.1642206027890237</v>
      </c>
      <c r="BN426" s="81">
        <f t="shared" si="253"/>
        <v>0.73016666666666674</v>
      </c>
      <c r="BO426" s="82">
        <f t="shared" si="254"/>
        <v>175.24</v>
      </c>
      <c r="BP426" s="81">
        <f t="shared" si="255"/>
        <v>0.73016666666666674</v>
      </c>
      <c r="BQ426" s="81">
        <f t="shared" si="256"/>
        <v>0.87383094901960789</v>
      </c>
      <c r="BR426" s="81">
        <f t="shared" si="257"/>
        <v>1.1172058823529412</v>
      </c>
      <c r="BS426" s="82">
        <f t="shared" si="258"/>
        <v>240</v>
      </c>
      <c r="BT426" s="82">
        <f t="shared" si="259"/>
        <v>268.12941176470588</v>
      </c>
      <c r="BU426" s="82">
        <f t="shared" si="260"/>
        <v>233.64998399999999</v>
      </c>
      <c r="BW426" s="82">
        <f>IFERROR(INDEX('Infos Clientes'!$T:$T,MATCH('Detalhe Por UC'!$C426,'Infos Clientes'!B:B,0)),"")</f>
        <v>287.36363636363637</v>
      </c>
      <c r="BX426" s="83">
        <f t="shared" si="261"/>
        <v>0</v>
      </c>
      <c r="BY426" s="84">
        <f t="shared" si="262"/>
        <v>0.21784250976262554</v>
      </c>
      <c r="BZ426" s="85">
        <f>IF(_xlfn.MINIFS('Detalhe Por UC'!R:R,'Detalhe Por UC'!C:C,C426,'Detalhe Por UC'!AD:AD,"&gt;"&amp;0)=0,"",_xlfn.MINIFS('Detalhe Por UC'!R:R,'Detalhe Por UC'!C:C,C426,'Detalhe Por UC'!AD:AD,"&gt;"&amp;0))</f>
        <v>45658</v>
      </c>
      <c r="CA426" s="114">
        <f ca="1">IF(OR(S426&gt;0,AD426&gt;0),IFERROR(
SUMIFS(INDIRECT("'Infos Clientes'!$W"&amp;INDEX('Infos Clientes'!$C:$C,MATCH(C426,'Infos Clientes'!$H:$H,0))&amp;":$CZ"&amp;INDEX('Infos Clientes'!$C:$C,MATCH(C426,'Infos Clientes'!$H:$H,0))),'Infos Clientes'!$W$2:$CZ$2,"&gt;"&amp;$R426-365,'Infos Clientes'!$W$2:$CZ$2,"&lt;="&amp;$R426)/
COUNTIFS(INDIRECT("'Infos Clientes'!$W"&amp;INDEX('Infos Clientes'!$C:$C,MATCH(C426,'Infos Clientes'!$H:$H,0))&amp;":$CZ"&amp;INDEX('Infos Clientes'!$C:$C,MATCH(C426,'Infos Clientes'!$H:$H,0))),"&gt;="&amp;0,'Infos Clientes'!$W$2:$CZ$2,"&gt;"&amp;$R426-365,'Infos Clientes'!$W$2:$CZ$2,"&lt;="&amp;$R426),""),"")</f>
        <v>252.75</v>
      </c>
      <c r="CB426" s="87">
        <f>VLOOKUP(C426,'Infos Clientes'!B:L,11,0)</f>
        <v>0</v>
      </c>
      <c r="CC426" s="88" t="str">
        <f t="shared" si="263"/>
        <v>A Unidade Consumidora 10/239312-2 economizou R$58,41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26" s="40" t="s">
        <v>80</v>
      </c>
      <c r="CE426" s="18">
        <v>122.03</v>
      </c>
      <c r="CF426" s="115">
        <f t="shared" si="264"/>
        <v>-1.6000000016447302E-5</v>
      </c>
    </row>
    <row r="427" spans="1:84" ht="16.2" hidden="1" customHeight="1" x14ac:dyDescent="0.3">
      <c r="A427" s="105" t="str">
        <f>INDEX('Infos Clientes'!$D:$D,MATCH('Detalhe Por UC'!C427,'Infos Clientes'!B:B,0))</f>
        <v>IGREJA DO EVANGELHO QUADRANGULAR</v>
      </c>
      <c r="B427" s="106" t="str">
        <f>INDEX('Infos Clientes'!$F:$F,MATCH('Detalhe Por UC'!C427,'Infos Clientes'!B:B,0))</f>
        <v>62.955.505/3124-87</v>
      </c>
      <c r="C427" s="31" t="s">
        <v>185</v>
      </c>
      <c r="D427" t="s">
        <v>351</v>
      </c>
      <c r="E427" s="1" t="s">
        <v>352</v>
      </c>
      <c r="F427" s="56" t="str">
        <f>INDEX('Infos Clientes'!$I:$I,MATCH('Detalhe Por UC'!C427,'Infos Clientes'!B:B,0))</f>
        <v>BT</v>
      </c>
      <c r="G427" s="56" t="str">
        <f>INDEX('Infos Clientes'!$J:$J,MATCH('Detalhe Por UC'!C427,'Infos Clientes'!B:B,0))</f>
        <v>trifasico</v>
      </c>
      <c r="H427" s="108" t="s">
        <v>138</v>
      </c>
      <c r="I427" s="58">
        <f>IFERROR(VLOOKUP(C427,'Infos Clientes'!B:E,4,),"")</f>
        <v>357</v>
      </c>
      <c r="J427" s="109">
        <v>0.25</v>
      </c>
      <c r="K427" s="59">
        <f>INDEX('Infos Clientes'!$M:$M,MATCH('Detalhe Por UC'!C427,'Infos Clientes'!B:B,0))</f>
        <v>0.25</v>
      </c>
      <c r="L427" s="125">
        <v>0</v>
      </c>
      <c r="M427" s="56">
        <f>INDEX('Infos Clientes'!$N:$N,MATCH('Detalhe Por UC'!C427,'Infos Clientes'!B:B,0))</f>
        <v>0</v>
      </c>
      <c r="N427" s="56">
        <f t="shared" si="229"/>
        <v>0</v>
      </c>
      <c r="O427" s="56">
        <f t="shared" si="230"/>
        <v>3</v>
      </c>
      <c r="P427" s="56">
        <f t="shared" si="265"/>
        <v>0</v>
      </c>
      <c r="Q427" s="61">
        <f>IFERROR(IFERROR(INDEX('Infos Clientes'!$A$2:$V$9884,MATCH($C427,'Infos Clientes'!$B$2:$B$9884,0),MATCH(Q$8,'Infos Clientes'!$A$2:$V$2,0)),"")
+IF(OR(INDEX('Infos Clientes'!$A$2:$V$9884,MATCH($C427,'Infos Clientes'!$B$2:$B$9884,0),MATCH("Tempo de Fidelidade (meses)",'Infos Clientes'!$A$2:$V$2,0))=0,R427&gt;=MAX(R:R)),0,
ROUND((MAX(R:R)-R427)/(365/12),0)),"")</f>
        <v>0</v>
      </c>
      <c r="R427" s="111">
        <v>45748</v>
      </c>
      <c r="S427" s="63">
        <v>0.01</v>
      </c>
      <c r="T427" s="113" t="str">
        <f>IF($H427="GIROSSOL II",AP427/INDEX('Resumo Operacional'!$A$1:$P$1103,17,MATCH('Detalhe Por UC'!$R427,'Resumo Operacional'!$A$1:$P$1,0)),
IF($H427="GIROSSOL II e III",AP427/INDEX('Resumo Operacional'!$A$1:$P$1103,17,MATCH('Detalhe Por UC'!$R427,'Resumo Operacional'!$A$1:$P$1,0)),
""))</f>
        <v/>
      </c>
      <c r="U427" s="113">
        <f>IF($H427="GIROSSOL III",AP427/INDEX('Resumo Operacional'!$A$1:$P$1103,53,MATCH('Detalhe Por UC'!$R427,'Resumo Operacional'!$A$1:$P$1,0)),
IF($H427="GIROSSOL II e III",AP427/INDEX('Resumo Operacional'!$A$1:$P$1103,53,MATCH('Detalhe Por UC'!$R427,'Resumo Operacional'!$A$1:$P$1,0)),
""))</f>
        <v>1.1604293588627792E-2</v>
      </c>
      <c r="V427" s="45"/>
      <c r="W427" s="18"/>
      <c r="X427" s="18">
        <v>1.1162000000000001</v>
      </c>
      <c r="Y427" s="18"/>
      <c r="Z427" s="18">
        <v>0</v>
      </c>
      <c r="AA427" s="18"/>
      <c r="AB427" s="18">
        <v>0</v>
      </c>
      <c r="AC427" s="18"/>
      <c r="AD427" s="18">
        <v>0</v>
      </c>
      <c r="AE427" s="35"/>
      <c r="AF427" s="18">
        <v>292</v>
      </c>
      <c r="AG427" s="18">
        <v>0</v>
      </c>
      <c r="AH427" s="18">
        <v>24.51</v>
      </c>
      <c r="AI427" s="18">
        <v>0</v>
      </c>
      <c r="AJ427" s="18">
        <v>0</v>
      </c>
      <c r="AN427" s="71">
        <f t="shared" si="231"/>
        <v>120</v>
      </c>
      <c r="AO427" s="71">
        <f t="shared" si="232"/>
        <v>0</v>
      </c>
      <c r="AP427" s="71">
        <f t="shared" si="233"/>
        <v>120</v>
      </c>
      <c r="AQ427" s="72">
        <f>IF(OR($H427="GIROSSOL II",$H427="GIROSSOL II e III"),INDEX('Resumo Operacional'!$A$1:$P$1103,MATCH("Energia Injetada prevista total Fatura da Usina (TUSD)",'Resumo Operacional'!$B$1:$B$1103,0),MATCH('Detalhe Por UC'!$R427,'Resumo Operacional'!$A$1:$P$1,0))*$S427,INDEX('Resumo Operacional'!$A$1:$P$1103,53,MATCH('Detalhe Por UC'!$R427,'Resumo Operacional'!$A$1:$P$1,0))*$S427)</f>
        <v>103.41</v>
      </c>
      <c r="AR427" s="71">
        <f t="shared" si="234"/>
        <v>16.590000000000003</v>
      </c>
      <c r="AS427" s="73">
        <f t="shared" si="235"/>
        <v>136.13</v>
      </c>
      <c r="AT427" s="74">
        <f t="shared" si="236"/>
        <v>136.13</v>
      </c>
      <c r="AU427" s="74" t="str">
        <f t="shared" si="237"/>
        <v/>
      </c>
      <c r="AV427" s="74">
        <f t="shared" si="238"/>
        <v>0</v>
      </c>
      <c r="AW427" s="74">
        <f t="shared" si="239"/>
        <v>0</v>
      </c>
      <c r="AX427" s="74">
        <f t="shared" si="240"/>
        <v>0</v>
      </c>
      <c r="AY427" s="74" t="str">
        <f t="shared" si="241"/>
        <v/>
      </c>
      <c r="AZ427" s="117"/>
      <c r="BA427" s="117">
        <v>0</v>
      </c>
      <c r="BB427" s="49">
        <v>99.811360544217678</v>
      </c>
      <c r="BC427" s="73">
        <f t="shared" si="242"/>
        <v>99.811360544217678</v>
      </c>
      <c r="BD427" s="73">
        <f t="shared" si="243"/>
        <v>136.13</v>
      </c>
      <c r="BE427" s="73">
        <f t="shared" si="244"/>
        <v>136.13</v>
      </c>
      <c r="BF427" s="77">
        <f t="shared" si="245"/>
        <v>0</v>
      </c>
      <c r="BG427" s="77">
        <f t="shared" si="246"/>
        <v>0</v>
      </c>
      <c r="BH427" s="77">
        <f t="shared" si="247"/>
        <v>0</v>
      </c>
      <c r="BI427" s="78" t="str">
        <f t="shared" si="248"/>
        <v/>
      </c>
      <c r="BJ427" s="79">
        <f t="shared" si="249"/>
        <v>0</v>
      </c>
      <c r="BK427" s="80" t="str">
        <f t="shared" si="250"/>
        <v/>
      </c>
      <c r="BL427" s="80" t="str">
        <f t="shared" si="251"/>
        <v/>
      </c>
      <c r="BM427" s="79" t="str">
        <f t="shared" si="252"/>
        <v/>
      </c>
      <c r="BN427" s="81" t="str">
        <f t="shared" si="253"/>
        <v/>
      </c>
      <c r="BO427" s="82" t="str">
        <f t="shared" si="254"/>
        <v/>
      </c>
      <c r="BP427" s="81" t="str">
        <f t="shared" si="255"/>
        <v/>
      </c>
      <c r="BQ427" s="81" t="str">
        <f t="shared" si="256"/>
        <v/>
      </c>
      <c r="BR427" s="81" t="str">
        <f t="shared" si="257"/>
        <v/>
      </c>
      <c r="BS427" s="82">
        <f t="shared" si="258"/>
        <v>0</v>
      </c>
      <c r="BT427" s="82" t="str">
        <f t="shared" si="259"/>
        <v/>
      </c>
      <c r="BU427" s="82">
        <f t="shared" si="260"/>
        <v>0</v>
      </c>
      <c r="BW427" s="82">
        <f>IFERROR(INDEX('Infos Clientes'!$T:$T,MATCH('Detalhe Por UC'!$C427,'Infos Clientes'!B:B,0)),"")</f>
        <v>178.4</v>
      </c>
      <c r="BX427" s="83">
        <f t="shared" si="261"/>
        <v>0</v>
      </c>
      <c r="BY427" s="84" t="str">
        <f t="shared" si="262"/>
        <v/>
      </c>
      <c r="BZ427" s="85">
        <f>IF(_xlfn.MINIFS('Detalhe Por UC'!R:R,'Detalhe Por UC'!C:C,C427,'Detalhe Por UC'!AD:AD,"&gt;"&amp;0)=0,"",_xlfn.MINIFS('Detalhe Por UC'!R:R,'Detalhe Por UC'!C:C,C427,'Detalhe Por UC'!AD:AD,"&gt;"&amp;0))</f>
        <v>45689</v>
      </c>
      <c r="CA427" s="114">
        <f ca="1">IF(OR(S427&gt;0,AD427&gt;0),IFERROR(
SUMIFS(INDIRECT("'Infos Clientes'!$W"&amp;INDEX('Infos Clientes'!$C:$C,MATCH(C427,'Infos Clientes'!$H:$H,0))&amp;":$CZ"&amp;INDEX('Infos Clientes'!$C:$C,MATCH(C427,'Infos Clientes'!$H:$H,0))),'Infos Clientes'!$W$2:$CZ$2,"&gt;"&amp;$R427-365,'Infos Clientes'!$W$2:$CZ$2,"&lt;="&amp;$R427)/
COUNTIFS(INDIRECT("'Infos Clientes'!$W"&amp;INDEX('Infos Clientes'!$C:$C,MATCH(C427,'Infos Clientes'!$H:$H,0))&amp;":$CZ"&amp;INDEX('Infos Clientes'!$C:$C,MATCH(C427,'Infos Clientes'!$H:$H,0))),"&gt;="&amp;0,'Infos Clientes'!$W$2:$CZ$2,"&gt;"&amp;$R427-365,'Infos Clientes'!$W$2:$CZ$2,"&lt;="&amp;$R427),""),"")</f>
        <v>154</v>
      </c>
      <c r="CB427" s="87">
        <f>VLOOKUP(C427,'Infos Clientes'!B:L,11,0)</f>
        <v>0</v>
      </c>
      <c r="CC427" s="88" t="str">
        <f t="shared" si="263"/>
        <v>A Unidade Consumidora 10/3054052-0 economizou R$0 na fatura referente à abr/2025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27" s="40" t="s">
        <v>186</v>
      </c>
      <c r="CE427" s="18">
        <v>136.13</v>
      </c>
      <c r="CF427" s="115">
        <f t="shared" si="264"/>
        <v>0</v>
      </c>
    </row>
    <row r="428" spans="1:84" ht="16.2" hidden="1" customHeight="1" x14ac:dyDescent="0.3">
      <c r="A428" s="105" t="str">
        <f>INDEX('Infos Clientes'!$D:$D,MATCH('Detalhe Por UC'!C428,'Infos Clientes'!B:B,0))</f>
        <v>IGREJA DO EVANGELHO QUADRANGULAR</v>
      </c>
      <c r="B428" s="106" t="str">
        <f>INDEX('Infos Clientes'!$F:$F,MATCH('Detalhe Por UC'!C428,'Infos Clientes'!B:B,0))</f>
        <v>62.955.505/0001-67</v>
      </c>
      <c r="C428" s="31" t="s">
        <v>142</v>
      </c>
      <c r="D428" t="s">
        <v>351</v>
      </c>
      <c r="E428" s="1" t="s">
        <v>352</v>
      </c>
      <c r="F428" s="56" t="str">
        <f>INDEX('Infos Clientes'!$I:$I,MATCH('Detalhe Por UC'!C428,'Infos Clientes'!B:B,0))</f>
        <v>BT</v>
      </c>
      <c r="G428" s="56" t="str">
        <f>INDEX('Infos Clientes'!$J:$J,MATCH('Detalhe Por UC'!C428,'Infos Clientes'!B:B,0))</f>
        <v>bifasico</v>
      </c>
      <c r="H428" s="108" t="s">
        <v>138</v>
      </c>
      <c r="I428" s="58">
        <f>IFERROR(VLOOKUP(C428,'Infos Clientes'!B:E,4,),"")</f>
        <v>319</v>
      </c>
      <c r="J428" s="109">
        <v>0.25</v>
      </c>
      <c r="K428" s="59">
        <f>INDEX('Infos Clientes'!$M:$M,MATCH('Detalhe Por UC'!C428,'Infos Clientes'!B:B,0))</f>
        <v>0.25</v>
      </c>
      <c r="L428" s="125">
        <v>0</v>
      </c>
      <c r="M428" s="56">
        <f>INDEX('Infos Clientes'!$N:$N,MATCH('Detalhe Por UC'!C428,'Infos Clientes'!B:B,0))</f>
        <v>0</v>
      </c>
      <c r="N428" s="56">
        <f t="shared" si="229"/>
        <v>0</v>
      </c>
      <c r="O428" s="56">
        <f t="shared" si="230"/>
        <v>9</v>
      </c>
      <c r="P428" s="56">
        <f t="shared" si="265"/>
        <v>0</v>
      </c>
      <c r="Q428" s="61">
        <f>IFERROR(IFERROR(INDEX('Infos Clientes'!$A$2:$V$9884,MATCH($C428,'Infos Clientes'!$B$2:$B$9884,0),MATCH(Q$8,'Infos Clientes'!$A$2:$V$2,0)),"")
+IF(OR(INDEX('Infos Clientes'!$A$2:$V$9884,MATCH($C428,'Infos Clientes'!$B$2:$B$9884,0),MATCH("Tempo de Fidelidade (meses)",'Infos Clientes'!$A$2:$V$2,0))=0,R428&gt;=MAX(R:R)),0,
ROUND((MAX(R:R)-R428)/(365/12),0)),"")</f>
        <v>0</v>
      </c>
      <c r="R428" s="111">
        <v>45748</v>
      </c>
      <c r="S428" s="63">
        <v>0.02</v>
      </c>
      <c r="T428" s="113" t="str">
        <f>IF($H428="GIROSSOL II",AP428/INDEX('Resumo Operacional'!$A$1:$P$1103,17,MATCH('Detalhe Por UC'!$R428,'Resumo Operacional'!$A$1:$P$1,0)),
IF($H428="GIROSSOL II e III",AP428/INDEX('Resumo Operacional'!$A$1:$P$1103,17,MATCH('Detalhe Por UC'!$R428,'Resumo Operacional'!$A$1:$P$1,0)),
""))</f>
        <v/>
      </c>
      <c r="U428" s="113">
        <f>IF($H428="GIROSSOL III",AP428/INDEX('Resumo Operacional'!$A$1:$P$1103,53,MATCH('Detalhe Por UC'!$R428,'Resumo Operacional'!$A$1:$P$1,0)),
IF($H428="GIROSSOL II e III",AP428/INDEX('Resumo Operacional'!$A$1:$P$1103,53,MATCH('Detalhe Por UC'!$R428,'Resumo Operacional'!$A$1:$P$1,0)),
""))</f>
        <v>2.3208587177255584E-2</v>
      </c>
      <c r="V428" s="45"/>
      <c r="W428" s="18"/>
      <c r="X428" s="18">
        <v>1.1162393162393163</v>
      </c>
      <c r="Y428" s="18"/>
      <c r="Z428" s="18">
        <v>0.97408329999999999</v>
      </c>
      <c r="AA428" s="18"/>
      <c r="AB428" s="18">
        <v>351</v>
      </c>
      <c r="AC428" s="18"/>
      <c r="AD428" s="18">
        <v>240</v>
      </c>
      <c r="AE428" s="35"/>
      <c r="AF428" s="18">
        <v>0</v>
      </c>
      <c r="AG428" s="18">
        <v>0</v>
      </c>
      <c r="AH428" s="18">
        <v>4.3800000000000026</v>
      </c>
      <c r="AI428" s="18">
        <v>0</v>
      </c>
      <c r="AJ428" s="18">
        <v>0</v>
      </c>
      <c r="AN428" s="71">
        <f t="shared" si="231"/>
        <v>0</v>
      </c>
      <c r="AO428" s="71">
        <f t="shared" si="232"/>
        <v>0</v>
      </c>
      <c r="AP428" s="71">
        <f t="shared" si="233"/>
        <v>240</v>
      </c>
      <c r="AQ428" s="72">
        <f>IF(OR($H428="GIROSSOL II",$H428="GIROSSOL II e III"),INDEX('Resumo Operacional'!$A$1:$P$1103,MATCH("Energia Injetada prevista total Fatura da Usina (TUSD)",'Resumo Operacional'!$B$1:$B$1103,0),MATCH('Detalhe Por UC'!$R428,'Resumo Operacional'!$A$1:$P$1,0))*$S428,INDEX('Resumo Operacional'!$A$1:$P$1103,53,MATCH('Detalhe Por UC'!$R428,'Resumo Operacional'!$A$1:$P$1,0))*$S428)</f>
        <v>206.82</v>
      </c>
      <c r="AR428" s="71">
        <f t="shared" si="234"/>
        <v>33.180000000000007</v>
      </c>
      <c r="AS428" s="73">
        <f t="shared" si="235"/>
        <v>162.40000800000001</v>
      </c>
      <c r="AT428" s="74">
        <f t="shared" si="236"/>
        <v>162.40000800000001</v>
      </c>
      <c r="AU428" s="74">
        <f t="shared" si="237"/>
        <v>0.8319272837606837</v>
      </c>
      <c r="AV428" s="74">
        <f t="shared" si="238"/>
        <v>175.33499399999999</v>
      </c>
      <c r="AW428" s="74">
        <f t="shared" si="239"/>
        <v>0</v>
      </c>
      <c r="AX428" s="74">
        <f t="shared" si="240"/>
        <v>233.77999199999999</v>
      </c>
      <c r="AY428" s="74">
        <f t="shared" si="241"/>
        <v>175.33</v>
      </c>
      <c r="AZ428" s="117">
        <v>175.33</v>
      </c>
      <c r="BA428" s="117">
        <v>175.33</v>
      </c>
      <c r="BB428" s="49">
        <v>78.78161290322582</v>
      </c>
      <c r="BC428" s="73" t="str">
        <f t="shared" si="242"/>
        <v/>
      </c>
      <c r="BD428" s="73">
        <f t="shared" si="243"/>
        <v>396.18</v>
      </c>
      <c r="BE428" s="73">
        <f t="shared" si="244"/>
        <v>337.73500200000001</v>
      </c>
      <c r="BF428" s="77">
        <f t="shared" si="245"/>
        <v>58.44</v>
      </c>
      <c r="BG428" s="77">
        <f t="shared" si="246"/>
        <v>17.532</v>
      </c>
      <c r="BH428" s="77">
        <f t="shared" si="247"/>
        <v>233.77999199999999</v>
      </c>
      <c r="BI428" s="78">
        <f t="shared" si="248"/>
        <v>0.25</v>
      </c>
      <c r="BJ428" s="79">
        <f t="shared" si="249"/>
        <v>0.14750870816295622</v>
      </c>
      <c r="BK428" s="80">
        <f t="shared" si="250"/>
        <v>337.730008</v>
      </c>
      <c r="BL428" s="80">
        <f t="shared" si="251"/>
        <v>58.449992000000009</v>
      </c>
      <c r="BM428" s="79">
        <f t="shared" si="252"/>
        <v>0.14753392902216167</v>
      </c>
      <c r="BN428" s="81">
        <f t="shared" si="253"/>
        <v>0.73054166666666676</v>
      </c>
      <c r="BO428" s="82">
        <f t="shared" si="254"/>
        <v>175.33</v>
      </c>
      <c r="BP428" s="81">
        <f t="shared" si="255"/>
        <v>0.73054166666666676</v>
      </c>
      <c r="BQ428" s="81">
        <f t="shared" si="256"/>
        <v>0.87269768290598304</v>
      </c>
      <c r="BR428" s="81">
        <f t="shared" si="257"/>
        <v>1.1162393162393163</v>
      </c>
      <c r="BS428" s="82">
        <f t="shared" si="258"/>
        <v>240</v>
      </c>
      <c r="BT428" s="82">
        <f t="shared" si="259"/>
        <v>267.89743589743591</v>
      </c>
      <c r="BU428" s="82">
        <f t="shared" si="260"/>
        <v>233.77999199999999</v>
      </c>
      <c r="BW428" s="82">
        <f>IFERROR(INDEX('Infos Clientes'!$T:$T,MATCH('Detalhe Por UC'!$C428,'Infos Clientes'!B:B,0)),"")</f>
        <v>244.81818181818181</v>
      </c>
      <c r="BX428" s="83">
        <f t="shared" si="261"/>
        <v>0</v>
      </c>
      <c r="BY428" s="84">
        <f t="shared" si="262"/>
        <v>0.21818048315467065</v>
      </c>
      <c r="BZ428" s="85">
        <f>IF(_xlfn.MINIFS('Detalhe Por UC'!R:R,'Detalhe Por UC'!C:C,C428,'Detalhe Por UC'!AD:AD,"&gt;"&amp;0)=0,"",_xlfn.MINIFS('Detalhe Por UC'!R:R,'Detalhe Por UC'!C:C,C428,'Detalhe Por UC'!AD:AD,"&gt;"&amp;0))</f>
        <v>45658</v>
      </c>
      <c r="CA428" s="114">
        <f ca="1">IF(OR(S428&gt;0,AD428&gt;0),IFERROR(
SUMIFS(INDIRECT("'Infos Clientes'!$W"&amp;INDEX('Infos Clientes'!$C:$C,MATCH(C428,'Infos Clientes'!$H:$H,0))&amp;":$CZ"&amp;INDEX('Infos Clientes'!$C:$C,MATCH(C428,'Infos Clientes'!$H:$H,0))),'Infos Clientes'!$W$2:$CZ$2,"&gt;"&amp;$R428-365,'Infos Clientes'!$W$2:$CZ$2,"&lt;="&amp;$R428)/
COUNTIFS(INDIRECT("'Infos Clientes'!$W"&amp;INDEX('Infos Clientes'!$C:$C,MATCH(C428,'Infos Clientes'!$H:$H,0))&amp;":$CZ"&amp;INDEX('Infos Clientes'!$C:$C,MATCH(C428,'Infos Clientes'!$H:$H,0))),"&gt;="&amp;0,'Infos Clientes'!$W$2:$CZ$2,"&gt;"&amp;$R428-365,'Infos Clientes'!$W$2:$CZ$2,"&lt;="&amp;$R428),""),"")</f>
        <v>269.83333333333331</v>
      </c>
      <c r="CB428" s="87">
        <f>VLOOKUP(C428,'Infos Clientes'!B:L,11,0)</f>
        <v>0</v>
      </c>
      <c r="CC428" s="88" t="str">
        <f t="shared" si="263"/>
        <v>A Unidade Consumidora 10/109074-5 economizou R$58,44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28" s="40" t="s">
        <v>27</v>
      </c>
      <c r="CE428" s="18">
        <v>162.4</v>
      </c>
      <c r="CF428" s="115">
        <f t="shared" si="264"/>
        <v>-8.0000000082236511E-6</v>
      </c>
    </row>
    <row r="429" spans="1:84" ht="16.2" hidden="1" customHeight="1" x14ac:dyDescent="0.3">
      <c r="A429" s="105" t="str">
        <f>INDEX('Infos Clientes'!$D:$D,MATCH('Detalhe Por UC'!C429,'Infos Clientes'!B:B,0))</f>
        <v>IGREJA DO EVANGELHO QUADRANGULAR</v>
      </c>
      <c r="B429" s="106" t="str">
        <f>INDEX('Infos Clientes'!$F:$F,MATCH('Detalhe Por UC'!C429,'Infos Clientes'!B:B,0))</f>
        <v>62.955.505/0408-94</v>
      </c>
      <c r="C429" s="107" t="s">
        <v>144</v>
      </c>
      <c r="D429" t="s">
        <v>351</v>
      </c>
      <c r="E429" s="1" t="s">
        <v>352</v>
      </c>
      <c r="F429" s="56" t="str">
        <f>INDEX('Infos Clientes'!$I:$I,MATCH('Detalhe Por UC'!C429,'Infos Clientes'!B:B,0))</f>
        <v>BT</v>
      </c>
      <c r="G429" s="56" t="str">
        <f>INDEX('Infos Clientes'!$J:$J,MATCH('Detalhe Por UC'!C429,'Infos Clientes'!B:B,0))</f>
        <v>bifasico</v>
      </c>
      <c r="H429" s="108" t="s">
        <v>138</v>
      </c>
      <c r="I429" s="58">
        <f>IFERROR(VLOOKUP(C429,'Infos Clientes'!B:E,4,),"")</f>
        <v>371</v>
      </c>
      <c r="J429" s="109">
        <v>0.25</v>
      </c>
      <c r="K429" s="59">
        <f>INDEX('Infos Clientes'!$M:$M,MATCH('Detalhe Por UC'!C429,'Infos Clientes'!B:B,0))</f>
        <v>0.25</v>
      </c>
      <c r="L429" s="125">
        <v>0</v>
      </c>
      <c r="M429" s="56">
        <f>INDEX('Infos Clientes'!$N:$N,MATCH('Detalhe Por UC'!C429,'Infos Clientes'!B:B,0))</f>
        <v>0</v>
      </c>
      <c r="N429" s="56">
        <f t="shared" si="229"/>
        <v>0</v>
      </c>
      <c r="O429" s="56">
        <f t="shared" si="230"/>
        <v>9</v>
      </c>
      <c r="P429" s="56">
        <f t="shared" si="265"/>
        <v>0</v>
      </c>
      <c r="Q429" s="61">
        <f>IFERROR(IFERROR(INDEX('Infos Clientes'!$A$2:$V$9884,MATCH($C429,'Infos Clientes'!$B$2:$B$9884,0),MATCH(Q$8,'Infos Clientes'!$A$2:$V$2,0)),"")
+IF(OR(INDEX('Infos Clientes'!$A$2:$V$9884,MATCH($C429,'Infos Clientes'!$B$2:$B$9884,0),MATCH("Tempo de Fidelidade (meses)",'Infos Clientes'!$A$2:$V$2,0))=0,R429&gt;=MAX(R:R)),0,
ROUND((MAX(R:R)-R429)/(365/12),0)),"")</f>
        <v>0</v>
      </c>
      <c r="R429" s="111">
        <v>45748</v>
      </c>
      <c r="S429" s="63">
        <v>0.01</v>
      </c>
      <c r="T429" s="113" t="str">
        <f>IF($H429="GIROSSOL II",AP429/INDEX('Resumo Operacional'!$A$1:$P$1103,17,MATCH('Detalhe Por UC'!$R429,'Resumo Operacional'!$A$1:$P$1,0)),
IF($H429="GIROSSOL II e III",AP429/INDEX('Resumo Operacional'!$A$1:$P$1103,17,MATCH('Detalhe Por UC'!$R429,'Resumo Operacional'!$A$1:$P$1,0)),
""))</f>
        <v/>
      </c>
      <c r="U429" s="113">
        <f>IF($H429="GIROSSOL III",AP429/INDEX('Resumo Operacional'!$A$1:$P$1103,53,MATCH('Detalhe Por UC'!$R429,'Resumo Operacional'!$A$1:$P$1,0)),
IF($H429="GIROSSOL II e III",AP429/INDEX('Resumo Operacional'!$A$1:$P$1103,53,MATCH('Detalhe Por UC'!$R429,'Resumo Operacional'!$A$1:$P$1,0)),
""))</f>
        <v>9.9603519969055209E-3</v>
      </c>
      <c r="V429" s="45"/>
      <c r="W429" s="18"/>
      <c r="X429" s="18">
        <v>1.1222553191489362</v>
      </c>
      <c r="Y429" s="18"/>
      <c r="Z429" s="18">
        <v>0.97135922330097102</v>
      </c>
      <c r="AA429" s="18"/>
      <c r="AB429" s="18">
        <v>235</v>
      </c>
      <c r="AC429" s="18"/>
      <c r="AD429" s="18">
        <v>103</v>
      </c>
      <c r="AE429" s="35"/>
      <c r="AF429" s="18">
        <v>0</v>
      </c>
      <c r="AG429" s="18">
        <v>0</v>
      </c>
      <c r="AH429" s="18">
        <v>17.82</v>
      </c>
      <c r="AI429" s="18">
        <v>0</v>
      </c>
      <c r="AJ429" s="18">
        <v>0</v>
      </c>
      <c r="AN429" s="71">
        <f t="shared" si="231"/>
        <v>0</v>
      </c>
      <c r="AO429" s="71">
        <f t="shared" si="232"/>
        <v>0</v>
      </c>
      <c r="AP429" s="71">
        <f t="shared" si="233"/>
        <v>103</v>
      </c>
      <c r="AQ429" s="72">
        <f>IF(OR($H429="GIROSSOL II",$H429="GIROSSOL II e III"),INDEX('Resumo Operacional'!$A$1:$P$1103,MATCH("Energia Injetada prevista total Fatura da Usina (TUSD)",'Resumo Operacional'!$B$1:$B$1103,0),MATCH('Detalhe Por UC'!$R429,'Resumo Operacional'!$A$1:$P$1,0))*$S429,INDEX('Resumo Operacional'!$A$1:$P$1103,53,MATCH('Detalhe Por UC'!$R429,'Resumo Operacional'!$A$1:$P$1,0))*$S429)</f>
        <v>103.41</v>
      </c>
      <c r="AR429" s="71">
        <f t="shared" si="234"/>
        <v>-0.40999999999999659</v>
      </c>
      <c r="AS429" s="73">
        <f t="shared" si="235"/>
        <v>181.5</v>
      </c>
      <c r="AT429" s="74">
        <f t="shared" si="236"/>
        <v>181.5</v>
      </c>
      <c r="AU429" s="74">
        <f t="shared" si="237"/>
        <v>0.82046312745300587</v>
      </c>
      <c r="AV429" s="74">
        <f t="shared" si="238"/>
        <v>75.037500000000009</v>
      </c>
      <c r="AW429" s="74">
        <f t="shared" si="239"/>
        <v>0</v>
      </c>
      <c r="AX429" s="74">
        <f t="shared" si="240"/>
        <v>100.05000000000001</v>
      </c>
      <c r="AY429" s="74">
        <f t="shared" si="241"/>
        <v>75.040000000000006</v>
      </c>
      <c r="AZ429" s="117">
        <v>75.040000000000006</v>
      </c>
      <c r="BA429" s="117">
        <v>75.040000000000006</v>
      </c>
      <c r="BB429" s="49">
        <v>75.040000000000006</v>
      </c>
      <c r="BC429" s="73" t="str">
        <f t="shared" si="242"/>
        <v/>
      </c>
      <c r="BD429" s="73">
        <f t="shared" si="243"/>
        <v>281.55</v>
      </c>
      <c r="BE429" s="73">
        <f t="shared" si="244"/>
        <v>256.53750000000002</v>
      </c>
      <c r="BF429" s="77">
        <f t="shared" si="245"/>
        <v>25.01</v>
      </c>
      <c r="BG429" s="77">
        <f t="shared" si="246"/>
        <v>7.5030000000000001</v>
      </c>
      <c r="BH429" s="77">
        <f t="shared" si="247"/>
        <v>100.05000000000001</v>
      </c>
      <c r="BI429" s="78">
        <f t="shared" si="248"/>
        <v>0.25</v>
      </c>
      <c r="BJ429" s="79">
        <f t="shared" si="249"/>
        <v>8.8829692772154148E-2</v>
      </c>
      <c r="BK429" s="80">
        <f t="shared" si="250"/>
        <v>256.54000000000002</v>
      </c>
      <c r="BL429" s="80">
        <f t="shared" si="251"/>
        <v>25.009999999999991</v>
      </c>
      <c r="BM429" s="79">
        <f t="shared" si="252"/>
        <v>8.8829692772154106E-2</v>
      </c>
      <c r="BN429" s="81">
        <f t="shared" si="253"/>
        <v>0.72854368932038838</v>
      </c>
      <c r="BO429" s="82">
        <f t="shared" si="254"/>
        <v>75.040000000000006</v>
      </c>
      <c r="BP429" s="81">
        <f t="shared" si="255"/>
        <v>0.72854368932038838</v>
      </c>
      <c r="BQ429" s="81">
        <f t="shared" si="256"/>
        <v>0.87943978516835353</v>
      </c>
      <c r="BR429" s="81">
        <f t="shared" si="257"/>
        <v>1.1222553191489362</v>
      </c>
      <c r="BS429" s="82">
        <f t="shared" si="258"/>
        <v>103</v>
      </c>
      <c r="BT429" s="82">
        <f t="shared" si="259"/>
        <v>115.59229787234042</v>
      </c>
      <c r="BU429" s="82">
        <f t="shared" si="260"/>
        <v>100.05000000000001</v>
      </c>
      <c r="BW429" s="82">
        <f>IFERROR(INDEX('Infos Clientes'!$T:$T,MATCH('Detalhe Por UC'!$C429,'Infos Clientes'!B:B,0)),"")</f>
        <v>238.54545454545453</v>
      </c>
      <c r="BX429" s="83">
        <f t="shared" si="261"/>
        <v>0</v>
      </c>
      <c r="BY429" s="84">
        <f t="shared" si="262"/>
        <v>0.21636389673316239</v>
      </c>
      <c r="BZ429" s="85">
        <f>IF(_xlfn.MINIFS('Detalhe Por UC'!R:R,'Detalhe Por UC'!C:C,C429,'Detalhe Por UC'!AD:AD,"&gt;"&amp;0)=0,"",_xlfn.MINIFS('Detalhe Por UC'!R:R,'Detalhe Por UC'!C:C,C429,'Detalhe Por UC'!AD:AD,"&gt;"&amp;0))</f>
        <v>45658</v>
      </c>
      <c r="CA429" s="114">
        <f ca="1">IF(OR(S429&gt;0,AD429&gt;0),IFERROR(
SUMIFS(INDIRECT("'Infos Clientes'!$W"&amp;INDEX('Infos Clientes'!$C:$C,MATCH(C429,'Infos Clientes'!$H:$H,0))&amp;":$CZ"&amp;INDEX('Infos Clientes'!$C:$C,MATCH(C429,'Infos Clientes'!$H:$H,0))),'Infos Clientes'!$W$2:$CZ$2,"&gt;"&amp;$R429-365,'Infos Clientes'!$W$2:$CZ$2,"&lt;="&amp;$R429)/
COUNTIFS(INDIRECT("'Infos Clientes'!$W"&amp;INDEX('Infos Clientes'!$C:$C,MATCH(C429,'Infos Clientes'!$H:$H,0))&amp;":$CZ"&amp;INDEX('Infos Clientes'!$C:$C,MATCH(C429,'Infos Clientes'!$H:$H,0))),"&gt;="&amp;0,'Infos Clientes'!$W$2:$CZ$2,"&gt;"&amp;$R429-365,'Infos Clientes'!$W$2:$CZ$2,"&lt;="&amp;$R429),""),"")</f>
        <v>218</v>
      </c>
      <c r="CB429" s="87">
        <f>VLOOKUP(C429,'Infos Clientes'!B:L,11,0)</f>
        <v>0</v>
      </c>
      <c r="CC429" s="88" t="str">
        <f t="shared" si="263"/>
        <v>A Unidade Consumidora 10/1130988-7 economizou R$25,01 na fatura referente à abr/2025  consumindo 103 kWh em créditos de energia renovável conforme fatura de energia. A economia foi de 25% em relação ao que seria pago para a Energisa considerando os créditos consumidos. Atenção: Mantenha as contas da Energisa em dia para evitar cortes.</v>
      </c>
      <c r="CD429" s="40" t="s">
        <v>31</v>
      </c>
      <c r="CE429" s="18">
        <v>181.5</v>
      </c>
      <c r="CF429" s="115">
        <f t="shared" si="264"/>
        <v>0</v>
      </c>
    </row>
    <row r="430" spans="1:84" ht="16.2" hidden="1" customHeight="1" x14ac:dyDescent="0.3">
      <c r="A430" s="105" t="str">
        <f>INDEX('Infos Clientes'!$D:$D,MATCH('Detalhe Por UC'!C430,'Infos Clientes'!B:B,0))</f>
        <v>IGREJA DO EVANGELHO QUADRANGULAR</v>
      </c>
      <c r="B430" s="106" t="str">
        <f>INDEX('Infos Clientes'!$F:$F,MATCH('Detalhe Por UC'!C430,'Infos Clientes'!B:B,0))</f>
        <v>62.955.505/0168-37</v>
      </c>
      <c r="C430" s="54" t="s">
        <v>228</v>
      </c>
      <c r="D430" t="s">
        <v>351</v>
      </c>
      <c r="E430" s="1" t="s">
        <v>352</v>
      </c>
      <c r="F430" s="56" t="str">
        <f>INDEX('Infos Clientes'!$I:$I,MATCH('Detalhe Por UC'!C430,'Infos Clientes'!B:B,0))</f>
        <v>BT</v>
      </c>
      <c r="G430" s="56" t="str">
        <f>INDEX('Infos Clientes'!$J:$J,MATCH('Detalhe Por UC'!C430,'Infos Clientes'!B:B,0))</f>
        <v>trifasico</v>
      </c>
      <c r="H430" s="108" t="s">
        <v>138</v>
      </c>
      <c r="I430" s="58">
        <f>IFERROR(VLOOKUP(C430,'Infos Clientes'!B:E,4,),"")</f>
        <v>302</v>
      </c>
      <c r="J430" s="109">
        <v>0.25</v>
      </c>
      <c r="K430" s="59">
        <f>INDEX('Infos Clientes'!$M:$M,MATCH('Detalhe Por UC'!C430,'Infos Clientes'!B:B,0))</f>
        <v>0.25</v>
      </c>
      <c r="L430" s="125">
        <v>0</v>
      </c>
      <c r="M430" s="56">
        <f>INDEX('Infos Clientes'!$N:$N,MATCH('Detalhe Por UC'!C430,'Infos Clientes'!B:B,0))</f>
        <v>0</v>
      </c>
      <c r="N430" s="56">
        <f t="shared" si="229"/>
        <v>0</v>
      </c>
      <c r="O430" s="56">
        <f t="shared" si="230"/>
        <v>9</v>
      </c>
      <c r="P430" s="56">
        <f t="shared" si="265"/>
        <v>0</v>
      </c>
      <c r="Q430" s="61">
        <f>IFERROR(IFERROR(INDEX('Infos Clientes'!$A$2:$V$9884,MATCH($C430,'Infos Clientes'!$B$2:$B$9884,0),MATCH(Q$8,'Infos Clientes'!$A$2:$V$2,0)),"")
+IF(OR(INDEX('Infos Clientes'!$A$2:$V$9884,MATCH($C430,'Infos Clientes'!$B$2:$B$9884,0),MATCH("Tempo de Fidelidade (meses)",'Infos Clientes'!$A$2:$V$2,0))=0,R430&gt;=MAX(R:R)),0,
ROUND((MAX(R:R)-R430)/(365/12),0)),"")</f>
        <v>0</v>
      </c>
      <c r="R430" s="111">
        <v>45748</v>
      </c>
      <c r="S430" s="63">
        <v>0.02</v>
      </c>
      <c r="T430" s="113" t="str">
        <f>IF($H430="GIROSSOL II",AP430/INDEX('Resumo Operacional'!$A$1:$P$1103,17,MATCH('Detalhe Por UC'!$R430,'Resumo Operacional'!$A$1:$P$1,0)),
IF($H430="GIROSSOL II e III",AP430/INDEX('Resumo Operacional'!$A$1:$P$1103,17,MATCH('Detalhe Por UC'!$R430,'Resumo Operacional'!$A$1:$P$1,0)),
""))</f>
        <v/>
      </c>
      <c r="U430" s="113">
        <f>IF($H430="GIROSSOL III",AP430/INDEX('Resumo Operacional'!$A$1:$P$1103,53,MATCH('Detalhe Por UC'!$R430,'Resumo Operacional'!$A$1:$P$1,0)),
IF($H430="GIROSSOL II e III",AP430/INDEX('Resumo Operacional'!$A$1:$P$1103,53,MATCH('Detalhe Por UC'!$R430,'Resumo Operacional'!$A$1:$P$1,0)),
""))</f>
        <v>2.3208587177255584E-2</v>
      </c>
      <c r="V430" s="45"/>
      <c r="W430" s="18"/>
      <c r="X430" s="18">
        <v>1.1171955719557196</v>
      </c>
      <c r="Y430" s="18"/>
      <c r="Z430" s="18">
        <v>0.97352941176470587</v>
      </c>
      <c r="AA430" s="18"/>
      <c r="AB430" s="18">
        <v>271</v>
      </c>
      <c r="AC430" s="18"/>
      <c r="AD430" s="18">
        <v>204</v>
      </c>
      <c r="AE430" s="35"/>
      <c r="AF430" s="18">
        <v>36</v>
      </c>
      <c r="AG430" s="18">
        <v>0</v>
      </c>
      <c r="AH430" s="18">
        <v>53.44</v>
      </c>
      <c r="AI430" s="18">
        <v>0</v>
      </c>
      <c r="AJ430" s="18">
        <v>0</v>
      </c>
      <c r="AN430" s="71">
        <f t="shared" si="231"/>
        <v>36</v>
      </c>
      <c r="AO430" s="71">
        <f t="shared" si="232"/>
        <v>0</v>
      </c>
      <c r="AP430" s="71">
        <f t="shared" si="233"/>
        <v>240</v>
      </c>
      <c r="AQ430" s="72">
        <f>IF(OR($H430="GIROSSOL II",$H430="GIROSSOL II e III"),INDEX('Resumo Operacional'!$A$1:$P$1103,MATCH("Energia Injetada prevista total Fatura da Usina (TUSD)",'Resumo Operacional'!$B$1:$B$1103,0),MATCH('Detalhe Por UC'!$R430,'Resumo Operacional'!$A$1:$P$1,0))*$S430,INDEX('Resumo Operacional'!$A$1:$P$1103,53,MATCH('Detalhe Por UC'!$R430,'Resumo Operacional'!$A$1:$P$1,0))*$S430)</f>
        <v>206.82</v>
      </c>
      <c r="AR430" s="71">
        <f t="shared" si="234"/>
        <v>33.180000000000007</v>
      </c>
      <c r="AS430" s="73">
        <f t="shared" si="235"/>
        <v>157.6</v>
      </c>
      <c r="AT430" s="74">
        <f t="shared" si="236"/>
        <v>157.6</v>
      </c>
      <c r="AU430" s="74">
        <f t="shared" si="237"/>
        <v>0.82986325157369212</v>
      </c>
      <c r="AV430" s="74">
        <f t="shared" si="238"/>
        <v>148.94999999999999</v>
      </c>
      <c r="AW430" s="74">
        <f t="shared" si="239"/>
        <v>0</v>
      </c>
      <c r="AX430" s="74">
        <f t="shared" si="240"/>
        <v>198.6</v>
      </c>
      <c r="AY430" s="74">
        <f t="shared" si="241"/>
        <v>148.94999999999999</v>
      </c>
      <c r="AZ430" s="117">
        <v>148.94999999999999</v>
      </c>
      <c r="BA430" s="117">
        <v>148.94999999999999</v>
      </c>
      <c r="BB430" s="49">
        <v>148.94999999999999</v>
      </c>
      <c r="BC430" s="73" t="str">
        <f t="shared" si="242"/>
        <v/>
      </c>
      <c r="BD430" s="73">
        <f t="shared" si="243"/>
        <v>356.2</v>
      </c>
      <c r="BE430" s="73">
        <f t="shared" si="244"/>
        <v>306.54999999999995</v>
      </c>
      <c r="BF430" s="77">
        <f t="shared" si="245"/>
        <v>49.65</v>
      </c>
      <c r="BG430" s="77">
        <f t="shared" si="246"/>
        <v>14.895</v>
      </c>
      <c r="BH430" s="77">
        <f t="shared" si="247"/>
        <v>198.6</v>
      </c>
      <c r="BI430" s="78">
        <f t="shared" si="248"/>
        <v>0.25</v>
      </c>
      <c r="BJ430" s="79">
        <f t="shared" si="249"/>
        <v>0.13938798427849522</v>
      </c>
      <c r="BK430" s="80">
        <f t="shared" si="250"/>
        <v>306.54999999999995</v>
      </c>
      <c r="BL430" s="80">
        <f t="shared" si="251"/>
        <v>49.650000000000034</v>
      </c>
      <c r="BM430" s="79">
        <f t="shared" si="252"/>
        <v>0.13938798427849533</v>
      </c>
      <c r="BN430" s="81">
        <f t="shared" si="253"/>
        <v>0.73014705882352937</v>
      </c>
      <c r="BO430" s="82">
        <f t="shared" si="254"/>
        <v>148.94999999999999</v>
      </c>
      <c r="BP430" s="81">
        <f t="shared" si="255"/>
        <v>0.73014705882352937</v>
      </c>
      <c r="BQ430" s="81">
        <f t="shared" si="256"/>
        <v>0.87381321901454312</v>
      </c>
      <c r="BR430" s="81">
        <f t="shared" si="257"/>
        <v>1.1171955719557196</v>
      </c>
      <c r="BS430" s="82">
        <f t="shared" si="258"/>
        <v>204</v>
      </c>
      <c r="BT430" s="82">
        <f t="shared" si="259"/>
        <v>227.90789667896681</v>
      </c>
      <c r="BU430" s="82">
        <f t="shared" si="260"/>
        <v>198.6</v>
      </c>
      <c r="BW430" s="82">
        <f>IFERROR(INDEX('Infos Clientes'!$T:$T,MATCH('Detalhe Por UC'!$C430,'Infos Clientes'!B:B,0)),"")</f>
        <v>286.18181818181819</v>
      </c>
      <c r="BX430" s="83">
        <f t="shared" si="261"/>
        <v>0</v>
      </c>
      <c r="BY430" s="84">
        <f t="shared" si="262"/>
        <v>0.21785116147132655</v>
      </c>
      <c r="BZ430" s="85">
        <f>IF(_xlfn.MINIFS('Detalhe Por UC'!R:R,'Detalhe Por UC'!C:C,C430,'Detalhe Por UC'!AD:AD,"&gt;"&amp;0)=0,"",_xlfn.MINIFS('Detalhe Por UC'!R:R,'Detalhe Por UC'!C:C,C430,'Detalhe Por UC'!AD:AD,"&gt;"&amp;0))</f>
        <v>45658</v>
      </c>
      <c r="CA430" s="114">
        <f ca="1">IF(OR(S430&gt;0,AD430&gt;0),IFERROR(
SUMIFS(INDIRECT("'Infos Clientes'!$W"&amp;INDEX('Infos Clientes'!$C:$C,MATCH(C430,'Infos Clientes'!$H:$H,0))&amp;":$CZ"&amp;INDEX('Infos Clientes'!$C:$C,MATCH(C430,'Infos Clientes'!$H:$H,0))),'Infos Clientes'!$W$2:$CZ$2,"&gt;"&amp;$R430-365,'Infos Clientes'!$W$2:$CZ$2,"&lt;="&amp;$R430)/
COUNTIFS(INDIRECT("'Infos Clientes'!$W"&amp;INDEX('Infos Clientes'!$C:$C,MATCH(C430,'Infos Clientes'!$H:$H,0))&amp;":$CZ"&amp;INDEX('Infos Clientes'!$C:$C,MATCH(C430,'Infos Clientes'!$H:$H,0))),"&gt;="&amp;0,'Infos Clientes'!$W$2:$CZ$2,"&gt;"&amp;$R430-365,'Infos Clientes'!$W$2:$CZ$2,"&lt;="&amp;$R430),""),"")</f>
        <v>270.5</v>
      </c>
      <c r="CB430" s="87">
        <f>VLOOKUP(C430,'Infos Clientes'!B:L,11,0)</f>
        <v>0</v>
      </c>
      <c r="CC430" s="88" t="str">
        <f t="shared" si="263"/>
        <v>A Unidade Consumidora 10/78338-1 economizou R$49,65 na fatura referente à abr/2025  consumindo 204 kWh em créditos de energia renovável conforme fatura de energia. A economia foi de 25% em relação ao que seria pago para a Energisa considerando os créditos consumidos. Atenção: Mantenha as contas da Energisa em dia para evitar cortes.</v>
      </c>
      <c r="CD430" s="40" t="s">
        <v>249</v>
      </c>
      <c r="CE430" s="18">
        <v>157.6</v>
      </c>
      <c r="CF430" s="115">
        <f t="shared" si="264"/>
        <v>0</v>
      </c>
    </row>
    <row r="431" spans="1:84" ht="16.2" hidden="1" customHeight="1" x14ac:dyDescent="0.3">
      <c r="A431" s="105" t="str">
        <f>INDEX('Infos Clientes'!$D:$D,MATCH('Detalhe Por UC'!C431,'Infos Clientes'!B:B,0))</f>
        <v>IGREJA DO EVANGELHO QUADRANGULAR</v>
      </c>
      <c r="B431" s="106" t="str">
        <f>INDEX('Infos Clientes'!$F:$F,MATCH('Detalhe Por UC'!C431,'Infos Clientes'!B:B,0))</f>
        <v>62.955.505/3671-17</v>
      </c>
      <c r="C431" s="31" t="s">
        <v>217</v>
      </c>
      <c r="D431" t="s">
        <v>351</v>
      </c>
      <c r="E431" s="1" t="s">
        <v>352</v>
      </c>
      <c r="F431" s="56" t="str">
        <f>INDEX('Infos Clientes'!$I:$I,MATCH('Detalhe Por UC'!C431,'Infos Clientes'!B:B,0))</f>
        <v>BT</v>
      </c>
      <c r="G431" s="56" t="str">
        <f>INDEX('Infos Clientes'!$J:$J,MATCH('Detalhe Por UC'!C431,'Infos Clientes'!B:B,0))</f>
        <v>bifasico</v>
      </c>
      <c r="H431" s="108" t="s">
        <v>138</v>
      </c>
      <c r="I431" s="58">
        <f>IFERROR(VLOOKUP(C431,'Infos Clientes'!B:E,4,),"")</f>
        <v>362</v>
      </c>
      <c r="J431" s="109">
        <v>0.25</v>
      </c>
      <c r="K431" s="59">
        <f>INDEX('Infos Clientes'!$M:$M,MATCH('Detalhe Por UC'!C431,'Infos Clientes'!B:B,0))</f>
        <v>0.25</v>
      </c>
      <c r="M431" s="56">
        <f>INDEX('Infos Clientes'!$N:$N,MATCH('Detalhe Por UC'!C431,'Infos Clientes'!B:B,0))</f>
        <v>0</v>
      </c>
      <c r="N431" s="56">
        <f t="shared" si="229"/>
        <v>0</v>
      </c>
      <c r="O431" s="56">
        <f t="shared" si="230"/>
        <v>8</v>
      </c>
      <c r="P431" s="56">
        <f t="shared" si="265"/>
        <v>0</v>
      </c>
      <c r="Q431" s="61">
        <f>IFERROR(IFERROR(INDEX('Infos Clientes'!$A$2:$V$9884,MATCH($C431,'Infos Clientes'!$B$2:$B$9884,0),MATCH(Q$8,'Infos Clientes'!$A$2:$V$2,0)),"")
+IF(OR(INDEX('Infos Clientes'!$A$2:$V$9884,MATCH($C431,'Infos Clientes'!$B$2:$B$9884,0),MATCH("Tempo de Fidelidade (meses)",'Infos Clientes'!$A$2:$V$2,0))=0,R431&gt;=MAX(R:R)),0,
ROUND((MAX(R:R)-R431)/(365/12),0)),"")</f>
        <v>0</v>
      </c>
      <c r="R431" s="111">
        <v>45748</v>
      </c>
      <c r="S431" s="63">
        <v>0.01</v>
      </c>
      <c r="T431" s="113" t="str">
        <f>IF($H431="GIROSSOL II",AP431/INDEX('Resumo Operacional'!$A$1:$P$1103,17,MATCH('Detalhe Por UC'!$R431,'Resumo Operacional'!$A$1:$P$1,0)),
IF($H431="GIROSSOL II e III",AP431/INDEX('Resumo Operacional'!$A$1:$P$1103,17,MATCH('Detalhe Por UC'!$R431,'Resumo Operacional'!$A$1:$P$1,0)),
""))</f>
        <v/>
      </c>
      <c r="U431" s="113">
        <f>IF($H431="GIROSSOL III",AP431/INDEX('Resumo Operacional'!$A$1:$P$1103,53,MATCH('Detalhe Por UC'!$R431,'Resumo Operacional'!$A$1:$P$1,0)),
IF($H431="GIROSSOL II e III",AP431/INDEX('Resumo Operacional'!$A$1:$P$1103,53,MATCH('Detalhe Por UC'!$R431,'Resumo Operacional'!$A$1:$P$1,0)),
""))</f>
        <v>1.1604293588627792E-2</v>
      </c>
      <c r="V431" s="45"/>
      <c r="W431" s="18"/>
      <c r="X431" s="18">
        <v>1.1162631578947368</v>
      </c>
      <c r="Y431" s="18"/>
      <c r="Z431" s="18">
        <v>0.97408333333333319</v>
      </c>
      <c r="AA431" s="18"/>
      <c r="AB431" s="18">
        <v>190</v>
      </c>
      <c r="AC431" s="18"/>
      <c r="AD431" s="18">
        <v>120</v>
      </c>
      <c r="AE431" s="35"/>
      <c r="AF431" s="18">
        <v>0</v>
      </c>
      <c r="AG431" s="18">
        <v>0</v>
      </c>
      <c r="AH431" s="18">
        <v>37.65</v>
      </c>
      <c r="AI431" s="18">
        <v>0</v>
      </c>
      <c r="AJ431" s="18">
        <v>0</v>
      </c>
      <c r="AN431" s="71">
        <f t="shared" si="231"/>
        <v>0</v>
      </c>
      <c r="AO431" s="71">
        <f t="shared" si="232"/>
        <v>0</v>
      </c>
      <c r="AP431" s="71">
        <f t="shared" si="233"/>
        <v>120</v>
      </c>
      <c r="AQ431" s="72">
        <f>IF(OR($H431="GIROSSOL II",$H431="GIROSSOL II e III"),INDEX('Resumo Operacional'!$A$1:$P$1103,MATCH("Energia Injetada prevista total Fatura da Usina (TUSD)",'Resumo Operacional'!$B$1:$B$1103,0),MATCH('Detalhe Por UC'!$R431,'Resumo Operacional'!$A$1:$P$1,0))*$S431,INDEX('Resumo Operacional'!$A$1:$P$1103,53,MATCH('Detalhe Por UC'!$R431,'Resumo Operacional'!$A$1:$P$1,0))*$S431)</f>
        <v>103.41</v>
      </c>
      <c r="AR431" s="71">
        <f t="shared" si="234"/>
        <v>16.590000000000003</v>
      </c>
      <c r="AS431" s="73">
        <f t="shared" si="235"/>
        <v>132.85000000000002</v>
      </c>
      <c r="AT431" s="74">
        <f t="shared" si="236"/>
        <v>132.85000000000002</v>
      </c>
      <c r="AU431" s="74">
        <f t="shared" si="237"/>
        <v>0.83190350877192953</v>
      </c>
      <c r="AV431" s="74">
        <f t="shared" si="238"/>
        <v>87.66749999999999</v>
      </c>
      <c r="AW431" s="74">
        <f t="shared" si="239"/>
        <v>0</v>
      </c>
      <c r="AX431" s="74">
        <f t="shared" si="240"/>
        <v>116.88999999999999</v>
      </c>
      <c r="AY431" s="74">
        <f t="shared" si="241"/>
        <v>87.67</v>
      </c>
      <c r="AZ431" s="117">
        <v>87.67</v>
      </c>
      <c r="BA431" s="117">
        <v>87.67</v>
      </c>
      <c r="BB431" s="49">
        <v>87.67</v>
      </c>
      <c r="BC431" s="73" t="str">
        <f t="shared" si="242"/>
        <v/>
      </c>
      <c r="BD431" s="73">
        <f t="shared" si="243"/>
        <v>249.74</v>
      </c>
      <c r="BE431" s="73">
        <f t="shared" si="244"/>
        <v>220.51750000000001</v>
      </c>
      <c r="BF431" s="77">
        <f t="shared" si="245"/>
        <v>29.22</v>
      </c>
      <c r="BG431" s="77">
        <f t="shared" si="246"/>
        <v>8.766</v>
      </c>
      <c r="BH431" s="77">
        <f t="shared" si="247"/>
        <v>116.88999999999999</v>
      </c>
      <c r="BI431" s="78">
        <f t="shared" si="248"/>
        <v>0.25</v>
      </c>
      <c r="BJ431" s="79">
        <f t="shared" si="249"/>
        <v>0.11700168174901897</v>
      </c>
      <c r="BK431" s="80">
        <f t="shared" si="250"/>
        <v>220.52000000000004</v>
      </c>
      <c r="BL431" s="80">
        <f t="shared" si="251"/>
        <v>29.21999999999997</v>
      </c>
      <c r="BM431" s="79">
        <f t="shared" si="252"/>
        <v>0.11700168174901886</v>
      </c>
      <c r="BN431" s="81">
        <f t="shared" si="253"/>
        <v>0.73058333333333336</v>
      </c>
      <c r="BO431" s="82">
        <f t="shared" si="254"/>
        <v>87.67</v>
      </c>
      <c r="BP431" s="81">
        <f t="shared" si="255"/>
        <v>0.73058333333333336</v>
      </c>
      <c r="BQ431" s="81">
        <f t="shared" si="256"/>
        <v>0.87276315789473702</v>
      </c>
      <c r="BR431" s="81">
        <f t="shared" si="257"/>
        <v>1.1162631578947368</v>
      </c>
      <c r="BS431" s="82">
        <f t="shared" si="258"/>
        <v>120</v>
      </c>
      <c r="BT431" s="82">
        <f t="shared" si="259"/>
        <v>133.95157894736843</v>
      </c>
      <c r="BU431" s="82">
        <f t="shared" si="260"/>
        <v>116.88999999999999</v>
      </c>
      <c r="BW431" s="82">
        <f>IFERROR(INDEX('Infos Clientes'!$T:$T,MATCH('Detalhe Por UC'!$C431,'Infos Clientes'!B:B,0)),"")</f>
        <v>122.45454545454545</v>
      </c>
      <c r="BX431" s="83">
        <f t="shared" si="261"/>
        <v>0</v>
      </c>
      <c r="BY431" s="84">
        <f t="shared" si="262"/>
        <v>0.21813852609741133</v>
      </c>
      <c r="BZ431" s="85">
        <f>IF(_xlfn.MINIFS('Detalhe Por UC'!R:R,'Detalhe Por UC'!C:C,C431,'Detalhe Por UC'!AD:AD,"&gt;"&amp;0)=0,"",_xlfn.MINIFS('Detalhe Por UC'!R:R,'Detalhe Por UC'!C:C,C431,'Detalhe Por UC'!AD:AD,"&gt;"&amp;0))</f>
        <v>45658</v>
      </c>
      <c r="CA431" s="114">
        <f ca="1">IF(OR(S431&gt;0,AD431&gt;0),IFERROR(
SUMIFS(INDIRECT("'Infos Clientes'!$W"&amp;INDEX('Infos Clientes'!$C:$C,MATCH(C431,'Infos Clientes'!$H:$H,0))&amp;":$CZ"&amp;INDEX('Infos Clientes'!$C:$C,MATCH(C431,'Infos Clientes'!$H:$H,0))),'Infos Clientes'!$W$2:$CZ$2,"&gt;"&amp;$R431-365,'Infos Clientes'!$W$2:$CZ$2,"&lt;="&amp;$R431)/
COUNTIFS(INDIRECT("'Infos Clientes'!$W"&amp;INDEX('Infos Clientes'!$C:$C,MATCH(C431,'Infos Clientes'!$H:$H,0))&amp;":$CZ"&amp;INDEX('Infos Clientes'!$C:$C,MATCH(C431,'Infos Clientes'!$H:$H,0))),"&gt;="&amp;0,'Infos Clientes'!$W$2:$CZ$2,"&gt;"&amp;$R431-365,'Infos Clientes'!$W$2:$CZ$2,"&lt;="&amp;$R431),""),"")</f>
        <v>130.33333333333334</v>
      </c>
      <c r="CB431" s="87">
        <f>VLOOKUP(C431,'Infos Clientes'!B:L,11,0)</f>
        <v>0</v>
      </c>
      <c r="CC431" s="88" t="str">
        <f t="shared" si="263"/>
        <v>A Unidade Consumidora 10/530195-7 economizou R$29,22 na fatura referente à abr/2025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431" s="40" t="s">
        <v>249</v>
      </c>
      <c r="CE431" s="18">
        <v>132.85</v>
      </c>
      <c r="CF431" s="115">
        <f t="shared" si="264"/>
        <v>0</v>
      </c>
    </row>
    <row r="432" spans="1:84" ht="16.2" hidden="1" customHeight="1" x14ac:dyDescent="0.3">
      <c r="A432" s="105" t="str">
        <f>INDEX('Infos Clientes'!$D:$D,MATCH('Detalhe Por UC'!C432,'Infos Clientes'!B:B,0))</f>
        <v>IGREJA DO EVANGELHO QUADRANGULAR</v>
      </c>
      <c r="B432" s="106" t="str">
        <f>INDEX('Infos Clientes'!$F:$F,MATCH('Detalhe Por UC'!C432,'Infos Clientes'!B:B,0))</f>
        <v>62.955.505/0154-31</v>
      </c>
      <c r="C432" s="107" t="s">
        <v>183</v>
      </c>
      <c r="D432" t="s">
        <v>351</v>
      </c>
      <c r="E432" s="1" t="s">
        <v>352</v>
      </c>
      <c r="F432" s="56" t="str">
        <f>INDEX('Infos Clientes'!$I:$I,MATCH('Detalhe Por UC'!C432,'Infos Clientes'!B:B,0))</f>
        <v>BT</v>
      </c>
      <c r="G432" s="56" t="str">
        <f>INDEX('Infos Clientes'!$J:$J,MATCH('Detalhe Por UC'!C432,'Infos Clientes'!B:B,0))</f>
        <v>bifasico</v>
      </c>
      <c r="H432" s="108" t="s">
        <v>138</v>
      </c>
      <c r="I432" s="58">
        <f>IFERROR(VLOOKUP(C432,'Infos Clientes'!B:E,4,),"")</f>
        <v>319</v>
      </c>
      <c r="J432" s="109">
        <v>0.25</v>
      </c>
      <c r="K432" s="59">
        <f>INDEX('Infos Clientes'!$M:$M,MATCH('Detalhe Por UC'!C432,'Infos Clientes'!B:B,0))</f>
        <v>0.25</v>
      </c>
      <c r="L432" s="125">
        <v>0</v>
      </c>
      <c r="M432" s="56">
        <f>INDEX('Infos Clientes'!$N:$N,MATCH('Detalhe Por UC'!C432,'Infos Clientes'!B:B,0))</f>
        <v>0</v>
      </c>
      <c r="N432" s="56">
        <f t="shared" si="229"/>
        <v>0</v>
      </c>
      <c r="O432" s="56">
        <f t="shared" si="230"/>
        <v>9</v>
      </c>
      <c r="P432" s="56">
        <f t="shared" si="265"/>
        <v>0</v>
      </c>
      <c r="Q432" s="61">
        <f>IFERROR(IFERROR(INDEX('Infos Clientes'!$A$2:$V$9884,MATCH($C432,'Infos Clientes'!$B$2:$B$9884,0),MATCH(Q$8,'Infos Clientes'!$A$2:$V$2,0)),"")
+IF(OR(INDEX('Infos Clientes'!$A$2:$V$9884,MATCH($C432,'Infos Clientes'!$B$2:$B$9884,0),MATCH("Tempo de Fidelidade (meses)",'Infos Clientes'!$A$2:$V$2,0))=0,R432&gt;=MAX(R:R)),0,
ROUND((MAX(R:R)-R432)/(365/12),0)),"")</f>
        <v>0</v>
      </c>
      <c r="R432" s="111">
        <v>45748</v>
      </c>
      <c r="S432" s="63">
        <v>0.02</v>
      </c>
      <c r="T432" s="113" t="str">
        <f>IF($H432="GIROSSOL II",AP432/INDEX('Resumo Operacional'!$A$1:$P$1103,17,MATCH('Detalhe Por UC'!$R432,'Resumo Operacional'!$A$1:$P$1,0)),
IF($H432="GIROSSOL II e III",AP432/INDEX('Resumo Operacional'!$A$1:$P$1103,17,MATCH('Detalhe Por UC'!$R432,'Resumo Operacional'!$A$1:$P$1,0)),
""))</f>
        <v/>
      </c>
      <c r="U432" s="113">
        <f>IF($H432="GIROSSOL III",AP432/INDEX('Resumo Operacional'!$A$1:$P$1103,53,MATCH('Detalhe Por UC'!$R432,'Resumo Operacional'!$A$1:$P$1,0)),
IF($H432="GIROSSOL II e III",AP432/INDEX('Resumo Operacional'!$A$1:$P$1103,53,MATCH('Detalhe Por UC'!$R432,'Resumo Operacional'!$A$1:$P$1,0)),
""))</f>
        <v>1.9920703993811042E-2</v>
      </c>
      <c r="V432" s="45"/>
      <c r="W432" s="18"/>
      <c r="X432" s="18">
        <v>1.1215625</v>
      </c>
      <c r="Y432" s="18"/>
      <c r="Z432" s="18">
        <v>0.97160194174757275</v>
      </c>
      <c r="AA432" s="18"/>
      <c r="AB432" s="18">
        <v>352</v>
      </c>
      <c r="AC432" s="18"/>
      <c r="AD432" s="18">
        <v>206</v>
      </c>
      <c r="AE432" s="35"/>
      <c r="AF432" s="18">
        <v>0</v>
      </c>
      <c r="AG432" s="18">
        <v>0</v>
      </c>
      <c r="AH432" s="18">
        <v>65.150000000000006</v>
      </c>
      <c r="AI432" s="18">
        <v>0</v>
      </c>
      <c r="AJ432" s="18">
        <v>0</v>
      </c>
      <c r="AN432" s="71">
        <f t="shared" si="231"/>
        <v>0</v>
      </c>
      <c r="AO432" s="71">
        <f t="shared" si="232"/>
        <v>0</v>
      </c>
      <c r="AP432" s="71">
        <f t="shared" si="233"/>
        <v>206</v>
      </c>
      <c r="AQ432" s="72">
        <f>IF(OR($H432="GIROSSOL II",$H432="GIROSSOL II e III"),INDEX('Resumo Operacional'!$A$1:$P$1103,MATCH("Energia Injetada prevista total Fatura da Usina (TUSD)",'Resumo Operacional'!$B$1:$B$1103,0),MATCH('Detalhe Por UC'!$R432,'Resumo Operacional'!$A$1:$P$1,0))*$S432,INDEX('Resumo Operacional'!$A$1:$P$1103,53,MATCH('Detalhe Por UC'!$R432,'Resumo Operacional'!$A$1:$P$1,0))*$S432)</f>
        <v>206.82</v>
      </c>
      <c r="AR432" s="71">
        <f t="shared" si="234"/>
        <v>-0.81999999999999318</v>
      </c>
      <c r="AS432" s="73">
        <f t="shared" si="235"/>
        <v>259.79000000000008</v>
      </c>
      <c r="AT432" s="74">
        <f t="shared" si="236"/>
        <v>259.79000000000008</v>
      </c>
      <c r="AU432" s="74">
        <f t="shared" si="237"/>
        <v>0.82164138349514548</v>
      </c>
      <c r="AV432" s="74">
        <f t="shared" si="238"/>
        <v>150.11249999999998</v>
      </c>
      <c r="AW432" s="74">
        <f t="shared" si="239"/>
        <v>0</v>
      </c>
      <c r="AX432" s="74">
        <f t="shared" si="240"/>
        <v>200.14999999999998</v>
      </c>
      <c r="AY432" s="74">
        <f t="shared" si="241"/>
        <v>150.11000000000001</v>
      </c>
      <c r="AZ432" s="117">
        <v>150.11000000000001</v>
      </c>
      <c r="BA432" s="117">
        <v>150.11000000000001</v>
      </c>
      <c r="BB432" s="49">
        <v>150.11000000000001</v>
      </c>
      <c r="BC432" s="73" t="str">
        <f t="shared" si="242"/>
        <v/>
      </c>
      <c r="BD432" s="73">
        <f t="shared" si="243"/>
        <v>459.94000000000005</v>
      </c>
      <c r="BE432" s="73">
        <f t="shared" si="244"/>
        <v>409.90250000000003</v>
      </c>
      <c r="BF432" s="77">
        <f t="shared" si="245"/>
        <v>50.04</v>
      </c>
      <c r="BG432" s="77">
        <f t="shared" si="246"/>
        <v>15.011999999999999</v>
      </c>
      <c r="BH432" s="77">
        <f t="shared" si="247"/>
        <v>200.14999999999998</v>
      </c>
      <c r="BI432" s="78">
        <f t="shared" si="248"/>
        <v>0.25</v>
      </c>
      <c r="BJ432" s="79">
        <f t="shared" si="249"/>
        <v>0.10879679958255423</v>
      </c>
      <c r="BK432" s="80">
        <f t="shared" si="250"/>
        <v>409.90000000000009</v>
      </c>
      <c r="BL432" s="80">
        <f t="shared" si="251"/>
        <v>50.039999999999964</v>
      </c>
      <c r="BM432" s="79">
        <f t="shared" si="252"/>
        <v>0.10879679958255416</v>
      </c>
      <c r="BN432" s="81">
        <f t="shared" si="253"/>
        <v>0.72868932038834955</v>
      </c>
      <c r="BO432" s="82">
        <f t="shared" si="254"/>
        <v>150.11000000000001</v>
      </c>
      <c r="BP432" s="81">
        <f t="shared" si="255"/>
        <v>0.72868932038834955</v>
      </c>
      <c r="BQ432" s="81">
        <f t="shared" si="256"/>
        <v>0.87864987864077682</v>
      </c>
      <c r="BR432" s="81">
        <f t="shared" si="257"/>
        <v>1.1215625</v>
      </c>
      <c r="BS432" s="82">
        <f t="shared" si="258"/>
        <v>206</v>
      </c>
      <c r="BT432" s="82">
        <f t="shared" si="259"/>
        <v>231.041875</v>
      </c>
      <c r="BU432" s="82">
        <f t="shared" si="260"/>
        <v>200.14999999999998</v>
      </c>
      <c r="BW432" s="82">
        <f>IFERROR(INDEX('Infos Clientes'!$T:$T,MATCH('Detalhe Por UC'!$C432,'Infos Clientes'!B:B,0)),"")</f>
        <v>250.27272727272728</v>
      </c>
      <c r="BX432" s="83">
        <f t="shared" si="261"/>
        <v>0</v>
      </c>
      <c r="BY432" s="84">
        <f t="shared" si="262"/>
        <v>0.21658411489259244</v>
      </c>
      <c r="BZ432" s="85">
        <f>IF(_xlfn.MINIFS('Detalhe Por UC'!R:R,'Detalhe Por UC'!C:C,C432,'Detalhe Por UC'!AD:AD,"&gt;"&amp;0)=0,"",_xlfn.MINIFS('Detalhe Por UC'!R:R,'Detalhe Por UC'!C:C,C432,'Detalhe Por UC'!AD:AD,"&gt;"&amp;0))</f>
        <v>45658</v>
      </c>
      <c r="CA432" s="114">
        <f ca="1">IF(OR(S432&gt;0,AD432&gt;0),IFERROR(
SUMIFS(INDIRECT("'Infos Clientes'!$W"&amp;INDEX('Infos Clientes'!$C:$C,MATCH(C432,'Infos Clientes'!$H:$H,0))&amp;":$CZ"&amp;INDEX('Infos Clientes'!$C:$C,MATCH(C432,'Infos Clientes'!$H:$H,0))),'Infos Clientes'!$W$2:$CZ$2,"&gt;"&amp;$R432-365,'Infos Clientes'!$W$2:$CZ$2,"&lt;="&amp;$R432)/
COUNTIFS(INDIRECT("'Infos Clientes'!$W"&amp;INDEX('Infos Clientes'!$C:$C,MATCH(C432,'Infos Clientes'!$H:$H,0))&amp;":$CZ"&amp;INDEX('Infos Clientes'!$C:$C,MATCH(C432,'Infos Clientes'!$H:$H,0))),"&gt;="&amp;0,'Infos Clientes'!$W$2:$CZ$2,"&gt;"&amp;$R432-365,'Infos Clientes'!$W$2:$CZ$2,"&lt;="&amp;$R432),""),"")</f>
        <v>249.41666666666666</v>
      </c>
      <c r="CB432" s="87">
        <f>VLOOKUP(C432,'Infos Clientes'!B:L,11,0)</f>
        <v>0</v>
      </c>
      <c r="CC432" s="88" t="str">
        <f t="shared" si="263"/>
        <v>A Unidade Consumidora 10/3040565-8 economizou R$50,04 na fatura referente à abr/2025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432" s="40" t="s">
        <v>27</v>
      </c>
      <c r="CE432" s="18">
        <v>259.79000000000002</v>
      </c>
      <c r="CF432" s="115">
        <f t="shared" si="264"/>
        <v>0</v>
      </c>
    </row>
    <row r="433" spans="1:85" ht="16.2" hidden="1" customHeight="1" x14ac:dyDescent="0.3">
      <c r="A433" s="105" t="str">
        <f>INDEX('Infos Clientes'!$D:$D,MATCH('Detalhe Por UC'!C433,'Infos Clientes'!B:B,0))</f>
        <v>IGREJA DO EVANGELHO QUADRANGULAR</v>
      </c>
      <c r="B433" s="106" t="str">
        <f>INDEX('Infos Clientes'!$F:$F,MATCH('Detalhe Por UC'!C433,'Infos Clientes'!B:B,0))</f>
        <v>62.955.505/2488-86</v>
      </c>
      <c r="C433" s="31" t="s">
        <v>195</v>
      </c>
      <c r="D433" t="s">
        <v>351</v>
      </c>
      <c r="E433" s="1" t="s">
        <v>352</v>
      </c>
      <c r="F433" s="56" t="str">
        <f>INDEX('Infos Clientes'!$I:$I,MATCH('Detalhe Por UC'!C433,'Infos Clientes'!B:B,0))</f>
        <v>BT</v>
      </c>
      <c r="G433" s="56" t="str">
        <f>INDEX('Infos Clientes'!$J:$J,MATCH('Detalhe Por UC'!C433,'Infos Clientes'!B:B,0))</f>
        <v>trifasico</v>
      </c>
      <c r="H433" s="108" t="s">
        <v>138</v>
      </c>
      <c r="I433" s="58">
        <f>IFERROR(VLOOKUP(C433,'Infos Clientes'!B:E,4,),"")</f>
        <v>306</v>
      </c>
      <c r="J433" s="109">
        <v>0.25</v>
      </c>
      <c r="K433" s="59">
        <f>INDEX('Infos Clientes'!$M:$M,MATCH('Detalhe Por UC'!C433,'Infos Clientes'!B:B,0))</f>
        <v>0.25</v>
      </c>
      <c r="L433" s="125">
        <v>0</v>
      </c>
      <c r="M433" s="56">
        <f>INDEX('Infos Clientes'!$N:$N,MATCH('Detalhe Por UC'!C433,'Infos Clientes'!B:B,0))</f>
        <v>0</v>
      </c>
      <c r="N433" s="56">
        <f t="shared" si="229"/>
        <v>0</v>
      </c>
      <c r="O433" s="56">
        <f t="shared" si="230"/>
        <v>9</v>
      </c>
      <c r="P433" s="56">
        <f t="shared" si="265"/>
        <v>0</v>
      </c>
      <c r="Q433" s="61">
        <f>IFERROR(IFERROR(INDEX('Infos Clientes'!$A$2:$V$9884,MATCH($C433,'Infos Clientes'!$B$2:$B$9884,0),MATCH(Q$8,'Infos Clientes'!$A$2:$V$2,0)),"")
+IF(OR(INDEX('Infos Clientes'!$A$2:$V$9884,MATCH($C433,'Infos Clientes'!$B$2:$B$9884,0),MATCH("Tempo de Fidelidade (meses)",'Infos Clientes'!$A$2:$V$2,0))=0,R433&gt;=MAX(R:R)),0,
ROUND((MAX(R:R)-R433)/(365/12),0)),"")</f>
        <v>0</v>
      </c>
      <c r="R433" s="111">
        <v>45748</v>
      </c>
      <c r="S433" s="63">
        <v>0.02</v>
      </c>
      <c r="T433" s="113" t="str">
        <f>IF($H433="GIROSSOL II",AP433/INDEX('Resumo Operacional'!$A$1:$P$1103,17,MATCH('Detalhe Por UC'!$R433,'Resumo Operacional'!$A$1:$P$1,0)),
IF($H433="GIROSSOL II e III",AP433/INDEX('Resumo Operacional'!$A$1:$P$1103,17,MATCH('Detalhe Por UC'!$R433,'Resumo Operacional'!$A$1:$P$1,0)),
""))</f>
        <v/>
      </c>
      <c r="U433" s="113">
        <f>IF($H433="GIROSSOL III",AP433/INDEX('Resumo Operacional'!$A$1:$P$1103,53,MATCH('Detalhe Por UC'!$R433,'Resumo Operacional'!$A$1:$P$1,0)),
IF($H433="GIROSSOL II e III",AP433/INDEX('Resumo Operacional'!$A$1:$P$1103,53,MATCH('Detalhe Por UC'!$R433,'Resumo Operacional'!$A$1:$P$1,0)),
""))</f>
        <v>2.3208587177255584E-2</v>
      </c>
      <c r="V433" s="45"/>
      <c r="W433" s="18"/>
      <c r="X433" s="18">
        <v>1.1190522875816993</v>
      </c>
      <c r="Y433" s="18"/>
      <c r="Z433" s="18">
        <v>0.97270833333333329</v>
      </c>
      <c r="AA433" s="18"/>
      <c r="AB433" s="18">
        <v>306</v>
      </c>
      <c r="AC433" s="18"/>
      <c r="AD433" s="18">
        <v>240</v>
      </c>
      <c r="AE433" s="35"/>
      <c r="AF433" s="18">
        <v>0</v>
      </c>
      <c r="AG433" s="18">
        <v>0</v>
      </c>
      <c r="AH433" s="18">
        <v>0</v>
      </c>
      <c r="AI433" s="18">
        <v>0</v>
      </c>
      <c r="AJ433" s="18">
        <v>0</v>
      </c>
      <c r="AN433" s="71">
        <f t="shared" si="231"/>
        <v>0</v>
      </c>
      <c r="AO433" s="71">
        <f t="shared" si="232"/>
        <v>0</v>
      </c>
      <c r="AP433" s="71">
        <f t="shared" si="233"/>
        <v>240</v>
      </c>
      <c r="AQ433" s="72">
        <f>IF(OR($H433="GIROSSOL II",$H433="GIROSSOL II e III"),INDEX('Resumo Operacional'!$A$1:$P$1103,MATCH("Energia Injetada prevista total Fatura da Usina (TUSD)",'Resumo Operacional'!$B$1:$B$1103,0),MATCH('Detalhe Por UC'!$R433,'Resumo Operacional'!$A$1:$P$1,0))*$S433,INDEX('Resumo Operacional'!$A$1:$P$1103,53,MATCH('Detalhe Por UC'!$R433,'Resumo Operacional'!$A$1:$P$1,0))*$S433)</f>
        <v>206.82</v>
      </c>
      <c r="AR433" s="71">
        <f t="shared" si="234"/>
        <v>33.180000000000007</v>
      </c>
      <c r="AS433" s="73">
        <f t="shared" si="235"/>
        <v>108.98000000000002</v>
      </c>
      <c r="AT433" s="74">
        <f t="shared" si="236"/>
        <v>108.98000000000002</v>
      </c>
      <c r="AU433" s="74">
        <f t="shared" si="237"/>
        <v>0.82636437908496729</v>
      </c>
      <c r="AV433" s="74">
        <f t="shared" si="238"/>
        <v>175.08749999999998</v>
      </c>
      <c r="AW433" s="74">
        <f t="shared" si="239"/>
        <v>0</v>
      </c>
      <c r="AX433" s="74">
        <f t="shared" si="240"/>
        <v>233.45</v>
      </c>
      <c r="AY433" s="74">
        <f t="shared" si="241"/>
        <v>175.09</v>
      </c>
      <c r="AZ433" s="117">
        <v>175.09</v>
      </c>
      <c r="BA433" s="117">
        <v>175.09</v>
      </c>
      <c r="BB433" s="49">
        <v>233.45</v>
      </c>
      <c r="BC433" s="73">
        <f t="shared" si="242"/>
        <v>58.359999999999985</v>
      </c>
      <c r="BD433" s="73">
        <f t="shared" si="243"/>
        <v>342.43</v>
      </c>
      <c r="BE433" s="73">
        <f t="shared" si="244"/>
        <v>284.0675</v>
      </c>
      <c r="BF433" s="77">
        <f t="shared" si="245"/>
        <v>58.36</v>
      </c>
      <c r="BG433" s="77">
        <f t="shared" si="246"/>
        <v>17.507999999999999</v>
      </c>
      <c r="BH433" s="77">
        <f t="shared" si="247"/>
        <v>233.45</v>
      </c>
      <c r="BI433" s="78">
        <f t="shared" si="248"/>
        <v>0.25</v>
      </c>
      <c r="BJ433" s="79">
        <f t="shared" si="249"/>
        <v>0.17042899278684695</v>
      </c>
      <c r="BK433" s="80">
        <f t="shared" si="250"/>
        <v>284.07000000000005</v>
      </c>
      <c r="BL433" s="80">
        <f t="shared" si="251"/>
        <v>58.359999999999957</v>
      </c>
      <c r="BM433" s="79">
        <f t="shared" si="252"/>
        <v>0.17042899278684681</v>
      </c>
      <c r="BN433" s="81">
        <f t="shared" si="253"/>
        <v>0.72954166666666664</v>
      </c>
      <c r="BO433" s="82">
        <f t="shared" si="254"/>
        <v>175.09</v>
      </c>
      <c r="BP433" s="81">
        <f t="shared" si="255"/>
        <v>0.72954166666666664</v>
      </c>
      <c r="BQ433" s="81">
        <f t="shared" si="256"/>
        <v>0.87588562091503264</v>
      </c>
      <c r="BR433" s="81">
        <f t="shared" si="257"/>
        <v>1.1190522875816993</v>
      </c>
      <c r="BS433" s="82">
        <f t="shared" si="258"/>
        <v>240</v>
      </c>
      <c r="BT433" s="82">
        <f t="shared" si="259"/>
        <v>268.57254901960783</v>
      </c>
      <c r="BU433" s="82">
        <f t="shared" si="260"/>
        <v>233.45</v>
      </c>
      <c r="BW433" s="82">
        <f>IFERROR(INDEX('Infos Clientes'!$T:$T,MATCH('Detalhe Por UC'!$C433,'Infos Clientes'!B:B,0)),"")</f>
        <v>249.81818181818181</v>
      </c>
      <c r="BX433" s="83">
        <f t="shared" si="261"/>
        <v>0</v>
      </c>
      <c r="BY433" s="84">
        <f t="shared" si="262"/>
        <v>0.21729696580322985</v>
      </c>
      <c r="BZ433" s="85">
        <f>IF(_xlfn.MINIFS('Detalhe Por UC'!R:R,'Detalhe Por UC'!C:C,C433,'Detalhe Por UC'!AD:AD,"&gt;"&amp;0)=0,"",_xlfn.MINIFS('Detalhe Por UC'!R:R,'Detalhe Por UC'!C:C,C433,'Detalhe Por UC'!AD:AD,"&gt;"&amp;0))</f>
        <v>45658</v>
      </c>
      <c r="CA433" s="114">
        <f ca="1">IF(OR(S433&gt;0,AD433&gt;0),IFERROR(
SUMIFS(INDIRECT("'Infos Clientes'!$W"&amp;INDEX('Infos Clientes'!$C:$C,MATCH(C433,'Infos Clientes'!$H:$H,0))&amp;":$CZ"&amp;INDEX('Infos Clientes'!$C:$C,MATCH(C433,'Infos Clientes'!$H:$H,0))),'Infos Clientes'!$W$2:$CZ$2,"&gt;"&amp;$R433-365,'Infos Clientes'!$W$2:$CZ$2,"&lt;="&amp;$R433)/
COUNTIFS(INDIRECT("'Infos Clientes'!$W"&amp;INDEX('Infos Clientes'!$C:$C,MATCH(C433,'Infos Clientes'!$H:$H,0))&amp;":$CZ"&amp;INDEX('Infos Clientes'!$C:$C,MATCH(C433,'Infos Clientes'!$H:$H,0))),"&gt;="&amp;0,'Infos Clientes'!$W$2:$CZ$2,"&gt;"&amp;$R433-365,'Infos Clientes'!$W$2:$CZ$2,"&lt;="&amp;$R433),""),"")</f>
        <v>263.41666666666669</v>
      </c>
      <c r="CB433" s="87">
        <f>VLOOKUP(C433,'Infos Clientes'!B:L,11,0)</f>
        <v>0</v>
      </c>
      <c r="CC433" s="88" t="str">
        <f t="shared" si="263"/>
        <v>A Unidade Consumidora 10/395471-6 economizou R$58,36 na fatura referente à abr/2025  consumindo 240 kWh em créditos de energia renovável conforme fatura de energia. A economia foi de 25% em relação ao que seria pago para a Energisa considerando os créditos consumidos. Atenção: Mantenha as contas da Energisa em dia para evitar cortes.</v>
      </c>
      <c r="CD433" s="40" t="s">
        <v>249</v>
      </c>
      <c r="CE433" s="18">
        <v>108.98</v>
      </c>
      <c r="CF433" s="115">
        <f t="shared" si="264"/>
        <v>0</v>
      </c>
    </row>
    <row r="434" spans="1:85" ht="16.2" hidden="1" customHeight="1" x14ac:dyDescent="0.3">
      <c r="A434" s="105" t="str">
        <f>INDEX('Infos Clientes'!$D:$D,MATCH('Detalhe Por UC'!C434,'Infos Clientes'!B:B,0))</f>
        <v>IGREJA DO EVANGELHO QUADRANGULAR</v>
      </c>
      <c r="B434" s="106" t="str">
        <f>INDEX('Infos Clientes'!$F:$F,MATCH('Detalhe Por UC'!C434,'Infos Clientes'!B:B,0))</f>
        <v>62.955.505/0155-12</v>
      </c>
      <c r="C434" s="31" t="s">
        <v>189</v>
      </c>
      <c r="D434" t="s">
        <v>351</v>
      </c>
      <c r="E434" s="1" t="s">
        <v>352</v>
      </c>
      <c r="F434" s="56" t="str">
        <f>INDEX('Infos Clientes'!$I:$I,MATCH('Detalhe Por UC'!C434,'Infos Clientes'!B:B,0))</f>
        <v>BT</v>
      </c>
      <c r="G434" s="56" t="str">
        <f>INDEX('Infos Clientes'!$J:$J,MATCH('Detalhe Por UC'!C434,'Infos Clientes'!B:B,0))</f>
        <v>bifasico</v>
      </c>
      <c r="H434" s="108" t="s">
        <v>138</v>
      </c>
      <c r="I434" s="58">
        <f>IFERROR(VLOOKUP(C434,'Infos Clientes'!B:E,4,),"")</f>
        <v>358</v>
      </c>
      <c r="J434" s="109">
        <v>0.25</v>
      </c>
      <c r="K434" s="59">
        <f>INDEX('Infos Clientes'!$M:$M,MATCH('Detalhe Por UC'!C434,'Infos Clientes'!B:B,0))</f>
        <v>0.25</v>
      </c>
      <c r="L434" s="125">
        <v>0</v>
      </c>
      <c r="M434" s="56">
        <f>INDEX('Infos Clientes'!$N:$N,MATCH('Detalhe Por UC'!C434,'Infos Clientes'!B:B,0))</f>
        <v>0</v>
      </c>
      <c r="N434" s="56">
        <f t="shared" si="229"/>
        <v>0</v>
      </c>
      <c r="O434" s="56">
        <f t="shared" si="230"/>
        <v>8</v>
      </c>
      <c r="P434" s="56">
        <f t="shared" si="265"/>
        <v>0</v>
      </c>
      <c r="Q434" s="61">
        <f>IFERROR(IFERROR(INDEX('Infos Clientes'!$A$2:$V$9884,MATCH($C434,'Infos Clientes'!$B$2:$B$9884,0),MATCH(Q$8,'Infos Clientes'!$A$2:$V$2,0)),"")
+IF(OR(INDEX('Infos Clientes'!$A$2:$V$9884,MATCH($C434,'Infos Clientes'!$B$2:$B$9884,0),MATCH("Tempo de Fidelidade (meses)",'Infos Clientes'!$A$2:$V$2,0))=0,R434&gt;=MAX(R:R)),0,
ROUND((MAX(R:R)-R434)/(365/12),0)),"")</f>
        <v>0</v>
      </c>
      <c r="R434" s="111">
        <v>45748</v>
      </c>
      <c r="S434" s="63">
        <v>0.01</v>
      </c>
      <c r="T434" s="113" t="str">
        <f>IF($H434="GIROSSOL II",AP434/INDEX('Resumo Operacional'!$A$1:$P$1103,17,MATCH('Detalhe Por UC'!$R434,'Resumo Operacional'!$A$1:$P$1,0)),
IF($H434="GIROSSOL II e III",AP434/INDEX('Resumo Operacional'!$A$1:$P$1103,17,MATCH('Detalhe Por UC'!$R434,'Resumo Operacional'!$A$1:$P$1,0)),
""))</f>
        <v/>
      </c>
      <c r="U434" s="113">
        <f>IF($H434="GIROSSOL III",AP434/INDEX('Resumo Operacional'!$A$1:$P$1103,53,MATCH('Detalhe Por UC'!$R434,'Resumo Operacional'!$A$1:$P$1,0)),
IF($H434="GIROSSOL II e III",AP434/INDEX('Resumo Operacional'!$A$1:$P$1103,53,MATCH('Detalhe Por UC'!$R434,'Resumo Operacional'!$A$1:$P$1,0)),
""))</f>
        <v>1.1604293588627792E-2</v>
      </c>
      <c r="V434" s="45"/>
      <c r="W434" s="18"/>
      <c r="X434" s="18">
        <v>1.117171717171717</v>
      </c>
      <c r="Y434" s="18"/>
      <c r="Z434" s="18">
        <v>0.97350000000000003</v>
      </c>
      <c r="AA434" s="18"/>
      <c r="AB434" s="18">
        <v>198</v>
      </c>
      <c r="AC434" s="18"/>
      <c r="AD434" s="18">
        <v>120</v>
      </c>
      <c r="AE434" s="35"/>
      <c r="AF434" s="18">
        <v>0</v>
      </c>
      <c r="AG434" s="18">
        <v>0</v>
      </c>
      <c r="AH434" s="18">
        <v>79.540000000000006</v>
      </c>
      <c r="AI434" s="18">
        <v>0</v>
      </c>
      <c r="AJ434" s="18">
        <v>0</v>
      </c>
      <c r="AN434" s="71">
        <f t="shared" si="231"/>
        <v>0</v>
      </c>
      <c r="AO434" s="71">
        <f t="shared" si="232"/>
        <v>0</v>
      </c>
      <c r="AP434" s="71">
        <f t="shared" si="233"/>
        <v>120</v>
      </c>
      <c r="AQ434" s="72">
        <f>IF(OR($H434="GIROSSOL II",$H434="GIROSSOL II e III"),INDEX('Resumo Operacional'!$A$1:$P$1103,MATCH("Energia Injetada prevista total Fatura da Usina (TUSD)",'Resumo Operacional'!$B$1:$B$1103,0),MATCH('Detalhe Por UC'!$R434,'Resumo Operacional'!$A$1:$P$1,0))*$S434,INDEX('Resumo Operacional'!$A$1:$P$1103,53,MATCH('Detalhe Por UC'!$R434,'Resumo Operacional'!$A$1:$P$1,0))*$S434)</f>
        <v>103.41</v>
      </c>
      <c r="AR434" s="71">
        <f t="shared" si="234"/>
        <v>16.590000000000003</v>
      </c>
      <c r="AS434" s="73">
        <f t="shared" si="235"/>
        <v>183.91999999999996</v>
      </c>
      <c r="AT434" s="74">
        <f t="shared" si="236"/>
        <v>183.91999999999996</v>
      </c>
      <c r="AU434" s="74">
        <f t="shared" si="237"/>
        <v>0.82982828282828303</v>
      </c>
      <c r="AV434" s="74">
        <f t="shared" si="238"/>
        <v>87.615000000000009</v>
      </c>
      <c r="AW434" s="74">
        <f t="shared" si="239"/>
        <v>0</v>
      </c>
      <c r="AX434" s="74">
        <f t="shared" si="240"/>
        <v>116.82000000000001</v>
      </c>
      <c r="AY434" s="74">
        <f t="shared" si="241"/>
        <v>87.62</v>
      </c>
      <c r="AZ434" s="117">
        <v>87.62</v>
      </c>
      <c r="BA434" s="117">
        <v>87.62</v>
      </c>
      <c r="BB434" s="49">
        <v>87.62</v>
      </c>
      <c r="BC434" s="73" t="str">
        <f t="shared" si="242"/>
        <v/>
      </c>
      <c r="BD434" s="73">
        <f t="shared" si="243"/>
        <v>300.73999999999995</v>
      </c>
      <c r="BE434" s="73">
        <f t="shared" si="244"/>
        <v>271.53499999999997</v>
      </c>
      <c r="BF434" s="77">
        <f t="shared" si="245"/>
        <v>29.21</v>
      </c>
      <c r="BG434" s="77">
        <f t="shared" si="246"/>
        <v>8.7629999999999999</v>
      </c>
      <c r="BH434" s="77">
        <f t="shared" si="247"/>
        <v>116.82</v>
      </c>
      <c r="BI434" s="78">
        <f t="shared" si="248"/>
        <v>0.25</v>
      </c>
      <c r="BJ434" s="79">
        <f t="shared" si="249"/>
        <v>9.7127086519917555E-2</v>
      </c>
      <c r="BK434" s="80">
        <f t="shared" si="250"/>
        <v>271.53999999999996</v>
      </c>
      <c r="BL434" s="80">
        <f t="shared" si="251"/>
        <v>29.199999999999989</v>
      </c>
      <c r="BM434" s="79">
        <f t="shared" si="252"/>
        <v>9.7093835206490633E-2</v>
      </c>
      <c r="BN434" s="81">
        <f t="shared" si="253"/>
        <v>0.73016666666666674</v>
      </c>
      <c r="BO434" s="82">
        <f t="shared" si="254"/>
        <v>87.62</v>
      </c>
      <c r="BP434" s="81">
        <f t="shared" si="255"/>
        <v>0.73016666666666674</v>
      </c>
      <c r="BQ434" s="81">
        <f t="shared" si="256"/>
        <v>0.87383838383838375</v>
      </c>
      <c r="BR434" s="81">
        <f t="shared" si="257"/>
        <v>1.117171717171717</v>
      </c>
      <c r="BS434" s="82">
        <f t="shared" si="258"/>
        <v>120</v>
      </c>
      <c r="BT434" s="82">
        <f t="shared" si="259"/>
        <v>134.06060606060603</v>
      </c>
      <c r="BU434" s="82">
        <f t="shared" si="260"/>
        <v>116.82000000000001</v>
      </c>
      <c r="BW434" s="82">
        <f>IFERROR(INDEX('Infos Clientes'!$T:$T,MATCH('Detalhe Por UC'!$C434,'Infos Clientes'!B:B,0)),"")</f>
        <v>164.36363636363637</v>
      </c>
      <c r="BX434" s="83">
        <f t="shared" si="261"/>
        <v>0</v>
      </c>
      <c r="BY434" s="84">
        <f t="shared" si="262"/>
        <v>0.21781193490054249</v>
      </c>
      <c r="BZ434" s="85">
        <f>IF(_xlfn.MINIFS('Detalhe Por UC'!R:R,'Detalhe Por UC'!C:C,C434,'Detalhe Por UC'!AD:AD,"&gt;"&amp;0)=0,"",_xlfn.MINIFS('Detalhe Por UC'!R:R,'Detalhe Por UC'!C:C,C434,'Detalhe Por UC'!AD:AD,"&gt;"&amp;0))</f>
        <v>45658</v>
      </c>
      <c r="CA434" s="114">
        <f ca="1">IF(OR(S434&gt;0,AD434&gt;0),IFERROR(
SUMIFS(INDIRECT("'Infos Clientes'!$W"&amp;INDEX('Infos Clientes'!$C:$C,MATCH(C434,'Infos Clientes'!$H:$H,0))&amp;":$CZ"&amp;INDEX('Infos Clientes'!$C:$C,MATCH(C434,'Infos Clientes'!$H:$H,0))),'Infos Clientes'!$W$2:$CZ$2,"&gt;"&amp;$R434-365,'Infos Clientes'!$W$2:$CZ$2,"&lt;="&amp;$R434)/
COUNTIFS(INDIRECT("'Infos Clientes'!$W"&amp;INDEX('Infos Clientes'!$C:$C,MATCH(C434,'Infos Clientes'!$H:$H,0))&amp;":$CZ"&amp;INDEX('Infos Clientes'!$C:$C,MATCH(C434,'Infos Clientes'!$H:$H,0))),"&gt;="&amp;0,'Infos Clientes'!$W$2:$CZ$2,"&gt;"&amp;$R434-365,'Infos Clientes'!$W$2:$CZ$2,"&lt;="&amp;$R434),""),"")</f>
        <v>161.91666666666666</v>
      </c>
      <c r="CB434" s="87">
        <f>VLOOKUP(C434,'Infos Clientes'!B:L,11,0)</f>
        <v>0</v>
      </c>
      <c r="CC434" s="88" t="str">
        <f t="shared" si="263"/>
        <v>A Unidade Consumidora 10/3125732-2 economizou R$29,21 na fatura referente à abr/2025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434" s="40" t="s">
        <v>159</v>
      </c>
      <c r="CE434" s="18">
        <v>183.92</v>
      </c>
      <c r="CF434" s="115">
        <f t="shared" si="264"/>
        <v>0</v>
      </c>
    </row>
    <row r="435" spans="1:85" ht="16.2" hidden="1" customHeight="1" x14ac:dyDescent="0.3">
      <c r="A435" s="105" t="str">
        <f>INDEX('Infos Clientes'!$D:$D,MATCH('Detalhe Por UC'!C435,'Infos Clientes'!B:B,0))</f>
        <v>IGREJA DO EVANGELHO QUADRANGULAR</v>
      </c>
      <c r="B435" s="106" t="str">
        <f>INDEX('Infos Clientes'!$F:$F,MATCH('Detalhe Por UC'!C435,'Infos Clientes'!B:B,0))</f>
        <v>62.955.505/1355-00</v>
      </c>
      <c r="C435" s="107" t="s">
        <v>245</v>
      </c>
      <c r="D435" t="s">
        <v>351</v>
      </c>
      <c r="E435" s="1" t="s">
        <v>352</v>
      </c>
      <c r="F435" s="56" t="str">
        <f>INDEX('Infos Clientes'!$I:$I,MATCH('Detalhe Por UC'!C435,'Infos Clientes'!B:B,0))</f>
        <v>BT</v>
      </c>
      <c r="G435" s="56">
        <f>INDEX('Infos Clientes'!$J:$J,MATCH('Detalhe Por UC'!C435,'Infos Clientes'!B:B,0))</f>
        <v>0</v>
      </c>
      <c r="H435" s="108" t="s">
        <v>138</v>
      </c>
      <c r="I435" s="58">
        <f>IFERROR(VLOOKUP(C435,'Infos Clientes'!B:E,4,),"")</f>
        <v>0</v>
      </c>
      <c r="J435" s="109">
        <v>0.25</v>
      </c>
      <c r="K435" s="59">
        <f>INDEX('Infos Clientes'!$M:$M,MATCH('Detalhe Por UC'!C435,'Infos Clientes'!B:B,0))</f>
        <v>0.25</v>
      </c>
      <c r="L435" s="125">
        <v>0</v>
      </c>
      <c r="M435" s="56">
        <f>INDEX('Infos Clientes'!$N:$N,MATCH('Detalhe Por UC'!C435,'Infos Clientes'!B:B,0))</f>
        <v>0</v>
      </c>
      <c r="N435" s="56">
        <f t="shared" si="229"/>
        <v>0</v>
      </c>
      <c r="O435" s="56">
        <f t="shared" si="230"/>
        <v>0</v>
      </c>
      <c r="P435" s="56">
        <f t="shared" si="265"/>
        <v>0</v>
      </c>
      <c r="Q435" s="61">
        <f>IFERROR(IFERROR(INDEX('Infos Clientes'!$A$2:$V$9884,MATCH($C435,'Infos Clientes'!$B$2:$B$9884,0),MATCH(Q$8,'Infos Clientes'!$A$2:$V$2,0)),"")
+IF(OR(INDEX('Infos Clientes'!$A$2:$V$9884,MATCH($C435,'Infos Clientes'!$B$2:$B$9884,0),MATCH("Tempo de Fidelidade (meses)",'Infos Clientes'!$A$2:$V$2,0))=0,R435&gt;=MAX(R:R)),0,
ROUND((MAX(R:R)-R435)/(365/12),0)),"")</f>
        <v>0</v>
      </c>
      <c r="R435" s="111">
        <v>45748</v>
      </c>
      <c r="S435" s="63">
        <v>0</v>
      </c>
      <c r="T435" s="113" t="str">
        <f>IF($H435="GIROSSOL II",AP435/INDEX('Resumo Operacional'!$A$1:$P$1103,17,MATCH('Detalhe Por UC'!$R435,'Resumo Operacional'!$A$1:$P$1,0)),
IF($H435="GIROSSOL II e III",AP435/INDEX('Resumo Operacional'!$A$1:$P$1103,17,MATCH('Detalhe Por UC'!$R435,'Resumo Operacional'!$A$1:$P$1,0)),
""))</f>
        <v/>
      </c>
      <c r="U435" s="113">
        <f>IF($H435="GIROSSOL III",AP435/INDEX('Resumo Operacional'!$A$1:$P$1103,53,MATCH('Detalhe Por UC'!$R435,'Resumo Operacional'!$A$1:$P$1,0)),
IF($H435="GIROSSOL II e III",AP435/INDEX('Resumo Operacional'!$A$1:$P$1103,53,MATCH('Detalhe Por UC'!$R435,'Resumo Operacional'!$A$1:$P$1,0)),
""))</f>
        <v>0</v>
      </c>
      <c r="V435" s="45"/>
      <c r="W435" s="18"/>
      <c r="X435" s="18"/>
      <c r="Y435" s="18"/>
      <c r="Z435" s="18"/>
      <c r="AA435" s="18"/>
      <c r="AB435" s="18"/>
      <c r="AC435" s="18"/>
      <c r="AD435" s="18"/>
      <c r="AE435" s="35"/>
      <c r="AF435" s="18"/>
      <c r="AG435" s="18"/>
      <c r="AH435" s="18"/>
      <c r="AI435" s="18"/>
      <c r="AJ435" s="18"/>
      <c r="AN435" s="71" t="str">
        <f t="shared" si="231"/>
        <v/>
      </c>
      <c r="AO435" s="71" t="str">
        <f t="shared" si="232"/>
        <v/>
      </c>
      <c r="AP435" s="71">
        <f t="shared" si="233"/>
        <v>0</v>
      </c>
      <c r="AQ435" s="72">
        <f>IF(OR($H435="GIROSSOL II",$H435="GIROSSOL II e III"),INDEX('Resumo Operacional'!$A$1:$P$1103,MATCH("Energia Injetada prevista total Fatura da Usina (TUSD)",'Resumo Operacional'!$B$1:$B$1103,0),MATCH('Detalhe Por UC'!$R435,'Resumo Operacional'!$A$1:$P$1,0))*$S435,INDEX('Resumo Operacional'!$A$1:$P$1103,53,MATCH('Detalhe Por UC'!$R435,'Resumo Operacional'!$A$1:$P$1,0))*$S435)</f>
        <v>0</v>
      </c>
      <c r="AR435" s="71" t="str">
        <f t="shared" si="234"/>
        <v/>
      </c>
      <c r="AS435" s="73">
        <f t="shared" si="235"/>
        <v>0</v>
      </c>
      <c r="AT435" s="74">
        <f t="shared" si="236"/>
        <v>0</v>
      </c>
      <c r="AU435" s="74" t="str">
        <f t="shared" si="237"/>
        <v/>
      </c>
      <c r="AV435" s="74">
        <f t="shared" si="238"/>
        <v>0</v>
      </c>
      <c r="AW435" s="74">
        <f t="shared" si="239"/>
        <v>0</v>
      </c>
      <c r="AX435" s="74">
        <f t="shared" si="240"/>
        <v>0</v>
      </c>
      <c r="AY435" s="74" t="str">
        <f t="shared" si="241"/>
        <v/>
      </c>
      <c r="AZ435" s="142"/>
      <c r="BA435" s="117">
        <v>0</v>
      </c>
      <c r="BB435" s="49">
        <v>91.55117647058826</v>
      </c>
      <c r="BC435" s="73">
        <f t="shared" si="242"/>
        <v>91.55117647058826</v>
      </c>
      <c r="BD435" s="73">
        <f t="shared" si="243"/>
        <v>0</v>
      </c>
      <c r="BE435" s="73">
        <f t="shared" si="244"/>
        <v>0</v>
      </c>
      <c r="BF435" s="77">
        <f t="shared" si="245"/>
        <v>0</v>
      </c>
      <c r="BG435" s="77">
        <f t="shared" si="246"/>
        <v>0</v>
      </c>
      <c r="BH435" s="77">
        <f t="shared" si="247"/>
        <v>0</v>
      </c>
      <c r="BI435" s="78" t="str">
        <f t="shared" si="248"/>
        <v/>
      </c>
      <c r="BJ435" s="79" t="str">
        <f t="shared" si="249"/>
        <v/>
      </c>
      <c r="BK435" s="80" t="str">
        <f t="shared" si="250"/>
        <v/>
      </c>
      <c r="BL435" s="80" t="str">
        <f t="shared" si="251"/>
        <v/>
      </c>
      <c r="BM435" s="79" t="str">
        <f t="shared" si="252"/>
        <v/>
      </c>
      <c r="BN435" s="81" t="str">
        <f t="shared" si="253"/>
        <v/>
      </c>
      <c r="BO435" s="82" t="str">
        <f t="shared" si="254"/>
        <v/>
      </c>
      <c r="BP435" s="81" t="str">
        <f t="shared" si="255"/>
        <v/>
      </c>
      <c r="BQ435" s="81" t="str">
        <f t="shared" si="256"/>
        <v/>
      </c>
      <c r="BR435" s="81" t="str">
        <f t="shared" si="257"/>
        <v/>
      </c>
      <c r="BS435" s="82">
        <f t="shared" si="258"/>
        <v>0</v>
      </c>
      <c r="BT435" s="82" t="str">
        <f t="shared" si="259"/>
        <v/>
      </c>
      <c r="BU435" s="82">
        <f t="shared" si="260"/>
        <v>0</v>
      </c>
      <c r="BW435" s="82">
        <f>IFERROR(INDEX('Infos Clientes'!$T:$T,MATCH('Detalhe Por UC'!$C435,'Infos Clientes'!B:B,0)),"")</f>
        <v>0</v>
      </c>
      <c r="BX435" s="83">
        <f t="shared" si="261"/>
        <v>0</v>
      </c>
      <c r="BY435" s="84" t="str">
        <f t="shared" si="262"/>
        <v/>
      </c>
      <c r="BZ435" s="85" t="str">
        <f>IF(_xlfn.MINIFS('Detalhe Por UC'!R:R,'Detalhe Por UC'!C:C,C435,'Detalhe Por UC'!AD:AD,"&gt;"&amp;0)=0,"",_xlfn.MINIFS('Detalhe Por UC'!R:R,'Detalhe Por UC'!C:C,C435,'Detalhe Por UC'!AD:AD,"&gt;"&amp;0))</f>
        <v/>
      </c>
      <c r="CA435" s="114" t="str">
        <f ca="1">IF(OR(S435&gt;0,AD435&gt;0),IFERROR(
SUMIFS(INDIRECT("'Infos Clientes'!$W"&amp;INDEX('Infos Clientes'!$C:$C,MATCH(C435,'Infos Clientes'!$H:$H,0))&amp;":$CZ"&amp;INDEX('Infos Clientes'!$C:$C,MATCH(C435,'Infos Clientes'!$H:$H,0))),'Infos Clientes'!$W$2:$CZ$2,"&gt;"&amp;$R435-365,'Infos Clientes'!$W$2:$CZ$2,"&lt;="&amp;$R435)/
COUNTIFS(INDIRECT("'Infos Clientes'!$W"&amp;INDEX('Infos Clientes'!$C:$C,MATCH(C435,'Infos Clientes'!$H:$H,0))&amp;":$CZ"&amp;INDEX('Infos Clientes'!$C:$C,MATCH(C435,'Infos Clientes'!$H:$H,0))),"&gt;="&amp;0,'Infos Clientes'!$W$2:$CZ$2,"&gt;"&amp;$R435-365,'Infos Clientes'!$W$2:$CZ$2,"&lt;="&amp;$R435),""),"")</f>
        <v/>
      </c>
      <c r="CB435" s="87">
        <f>VLOOKUP(C435,'Infos Clientes'!B:L,11,0)</f>
        <v>0</v>
      </c>
      <c r="CC435" s="88" t="str">
        <f t="shared" si="263"/>
        <v>A Unidade Consumidora 10/2344751-9 economizou R$0 na fatura referente à abr/2025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E435" s="18" t="e">
        <v>#N/A</v>
      </c>
      <c r="CF435" s="115" t="e">
        <f t="shared" si="264"/>
        <v>#N/A</v>
      </c>
    </row>
    <row r="436" spans="1:85" ht="16.2" hidden="1" customHeight="1" x14ac:dyDescent="0.3">
      <c r="A436" s="105" t="str">
        <f>INDEX('Infos Clientes'!$D:$D,MATCH('Detalhe Por UC'!C436,'Infos Clientes'!B:B,0))</f>
        <v>IGREJA DO EVANGELHO QUADRANGULAR</v>
      </c>
      <c r="B436" s="106" t="str">
        <f>INDEX('Infos Clientes'!$F:$F,MATCH('Detalhe Por UC'!C436,'Infos Clientes'!B:B,0))</f>
        <v>62.955.505/0160-80</v>
      </c>
      <c r="C436" s="31" t="s">
        <v>190</v>
      </c>
      <c r="D436" t="s">
        <v>351</v>
      </c>
      <c r="E436" s="1" t="s">
        <v>352</v>
      </c>
      <c r="F436" s="56" t="str">
        <f>INDEX('Infos Clientes'!$I:$I,MATCH('Detalhe Por UC'!C436,'Infos Clientes'!B:B,0))</f>
        <v>BT</v>
      </c>
      <c r="G436" s="56" t="str">
        <f>INDEX('Infos Clientes'!$J:$J,MATCH('Detalhe Por UC'!C436,'Infos Clientes'!B:B,0))</f>
        <v>bifasico</v>
      </c>
      <c r="H436" s="108" t="s">
        <v>138</v>
      </c>
      <c r="I436" s="58">
        <f>IFERROR(VLOOKUP(C436,'Infos Clientes'!B:E,4,),"")</f>
        <v>357</v>
      </c>
      <c r="J436" s="109">
        <v>0.25</v>
      </c>
      <c r="K436" s="59">
        <f>INDEX('Infos Clientes'!$M:$M,MATCH('Detalhe Por UC'!C436,'Infos Clientes'!B:B,0))</f>
        <v>0.25</v>
      </c>
      <c r="M436" s="56">
        <f>INDEX('Infos Clientes'!$N:$N,MATCH('Detalhe Por UC'!C436,'Infos Clientes'!B:B,0))</f>
        <v>0</v>
      </c>
      <c r="N436" s="56">
        <f t="shared" si="229"/>
        <v>0</v>
      </c>
      <c r="O436" s="56">
        <f t="shared" si="230"/>
        <v>3</v>
      </c>
      <c r="P436" s="56">
        <f t="shared" si="265"/>
        <v>0</v>
      </c>
      <c r="Q436" s="61">
        <f>IFERROR(IFERROR(INDEX('Infos Clientes'!$A$2:$V$9884,MATCH($C436,'Infos Clientes'!$B$2:$B$9884,0),MATCH(Q$8,'Infos Clientes'!$A$2:$V$2,0)),"")
+IF(OR(INDEX('Infos Clientes'!$A$2:$V$9884,MATCH($C436,'Infos Clientes'!$B$2:$B$9884,0),MATCH("Tempo de Fidelidade (meses)",'Infos Clientes'!$A$2:$V$2,0))=0,R436&gt;=MAX(R:R)),0,
ROUND((MAX(R:R)-R436)/(365/12),0)),"")</f>
        <v>0</v>
      </c>
      <c r="R436" s="111">
        <v>45748</v>
      </c>
      <c r="S436" s="63">
        <v>0.01</v>
      </c>
      <c r="T436" s="113" t="str">
        <f>IF($H436="GIROSSOL II",AP436/INDEX('Resumo Operacional'!$A$1:$P$1103,17,MATCH('Detalhe Por UC'!$R436,'Resumo Operacional'!$A$1:$P$1,0)),
IF($H436="GIROSSOL II e III",AP436/INDEX('Resumo Operacional'!$A$1:$P$1103,17,MATCH('Detalhe Por UC'!$R436,'Resumo Operacional'!$A$1:$P$1,0)),
""))</f>
        <v/>
      </c>
      <c r="U436" s="113">
        <f>IF($H436="GIROSSOL III",AP436/INDEX('Resumo Operacional'!$A$1:$P$1103,53,MATCH('Detalhe Por UC'!$R436,'Resumo Operacional'!$A$1:$P$1,0)),
IF($H436="GIROSSOL II e III",AP436/INDEX('Resumo Operacional'!$A$1:$P$1103,53,MATCH('Detalhe Por UC'!$R436,'Resumo Operacional'!$A$1:$P$1,0)),
""))</f>
        <v>1.1604293588627792E-2</v>
      </c>
      <c r="V436" s="45"/>
      <c r="W436" s="18"/>
      <c r="X436" s="18">
        <v>1.1162111801242236</v>
      </c>
      <c r="Y436" s="18"/>
      <c r="Z436" s="18">
        <v>0.97408333333333319</v>
      </c>
      <c r="AA436" s="18"/>
      <c r="AB436" s="18">
        <v>161</v>
      </c>
      <c r="AC436" s="18"/>
      <c r="AD436" s="18">
        <v>120</v>
      </c>
      <c r="AE436" s="35"/>
      <c r="AF436" s="18">
        <v>0</v>
      </c>
      <c r="AG436" s="18">
        <v>0</v>
      </c>
      <c r="AH436" s="18">
        <v>49.03</v>
      </c>
      <c r="AI436" s="18">
        <v>0</v>
      </c>
      <c r="AJ436" s="18">
        <v>0</v>
      </c>
      <c r="AN436" s="71">
        <f t="shared" si="231"/>
        <v>0</v>
      </c>
      <c r="AO436" s="71">
        <f t="shared" si="232"/>
        <v>0</v>
      </c>
      <c r="AP436" s="71">
        <f t="shared" si="233"/>
        <v>120</v>
      </c>
      <c r="AQ436" s="72">
        <f>IF(OR($H436="GIROSSOL II",$H436="GIROSSOL II e III"),INDEX('Resumo Operacional'!$A$1:$P$1103,MATCH("Energia Injetada prevista total Fatura da Usina (TUSD)",'Resumo Operacional'!$B$1:$B$1103,0),MATCH('Detalhe Por UC'!$R436,'Resumo Operacional'!$A$1:$P$1,0))*$S436,INDEX('Resumo Operacional'!$A$1:$P$1103,53,MATCH('Detalhe Por UC'!$R436,'Resumo Operacional'!$A$1:$P$1,0))*$S436)</f>
        <v>103.41</v>
      </c>
      <c r="AR436" s="71">
        <f t="shared" si="234"/>
        <v>16.590000000000003</v>
      </c>
      <c r="AS436" s="73">
        <f t="shared" si="235"/>
        <v>111.85000000000002</v>
      </c>
      <c r="AT436" s="74">
        <f t="shared" si="236"/>
        <v>111.85000000000002</v>
      </c>
      <c r="AU436" s="74">
        <f t="shared" si="237"/>
        <v>0.83195548654244278</v>
      </c>
      <c r="AV436" s="74">
        <f t="shared" si="238"/>
        <v>87.66749999999999</v>
      </c>
      <c r="AW436" s="74">
        <f t="shared" si="239"/>
        <v>0</v>
      </c>
      <c r="AX436" s="74">
        <f t="shared" si="240"/>
        <v>116.88999999999999</v>
      </c>
      <c r="AY436" s="74">
        <f t="shared" si="241"/>
        <v>87.67</v>
      </c>
      <c r="AZ436" s="117">
        <v>87.67</v>
      </c>
      <c r="BA436" s="117">
        <v>87.67</v>
      </c>
      <c r="BB436" s="49">
        <v>87.67</v>
      </c>
      <c r="BC436" s="73" t="str">
        <f t="shared" si="242"/>
        <v/>
      </c>
      <c r="BD436" s="73">
        <f t="shared" si="243"/>
        <v>228.74</v>
      </c>
      <c r="BE436" s="73">
        <f t="shared" si="244"/>
        <v>199.51750000000001</v>
      </c>
      <c r="BF436" s="77">
        <f t="shared" si="245"/>
        <v>29.22</v>
      </c>
      <c r="BG436" s="77">
        <f t="shared" si="246"/>
        <v>8.766</v>
      </c>
      <c r="BH436" s="77">
        <f t="shared" si="247"/>
        <v>116.88999999999997</v>
      </c>
      <c r="BI436" s="78">
        <f t="shared" si="248"/>
        <v>0.25</v>
      </c>
      <c r="BJ436" s="79">
        <f t="shared" si="249"/>
        <v>0.12774328932412346</v>
      </c>
      <c r="BK436" s="80">
        <f t="shared" si="250"/>
        <v>199.52000000000004</v>
      </c>
      <c r="BL436" s="80">
        <f t="shared" si="251"/>
        <v>29.21999999999997</v>
      </c>
      <c r="BM436" s="79">
        <f t="shared" si="252"/>
        <v>0.12774328932412332</v>
      </c>
      <c r="BN436" s="81">
        <f t="shared" si="253"/>
        <v>0.73058333333333336</v>
      </c>
      <c r="BO436" s="82">
        <f t="shared" si="254"/>
        <v>87.67</v>
      </c>
      <c r="BP436" s="81">
        <f t="shared" si="255"/>
        <v>0.73058333333333336</v>
      </c>
      <c r="BQ436" s="81">
        <f t="shared" si="256"/>
        <v>0.87271118012422377</v>
      </c>
      <c r="BR436" s="81">
        <f t="shared" si="257"/>
        <v>1.1162111801242236</v>
      </c>
      <c r="BS436" s="82">
        <f t="shared" si="258"/>
        <v>120</v>
      </c>
      <c r="BT436" s="82">
        <f t="shared" si="259"/>
        <v>133.94534161490682</v>
      </c>
      <c r="BU436" s="82">
        <f t="shared" si="260"/>
        <v>116.88999999999999</v>
      </c>
      <c r="BW436" s="82">
        <f>IFERROR(INDEX('Infos Clientes'!$T:$T,MATCH('Detalhe Por UC'!$C436,'Infos Clientes'!B:B,0)),"")</f>
        <v>167.54545454545453</v>
      </c>
      <c r="BX436" s="83">
        <f t="shared" si="261"/>
        <v>0</v>
      </c>
      <c r="BY436" s="84">
        <f t="shared" si="262"/>
        <v>0.21814868399087403</v>
      </c>
      <c r="BZ436" s="85">
        <f>IF(_xlfn.MINIFS('Detalhe Por UC'!R:R,'Detalhe Por UC'!C:C,C436,'Detalhe Por UC'!AD:AD,"&gt;"&amp;0)=0,"",_xlfn.MINIFS('Detalhe Por UC'!R:R,'Detalhe Por UC'!C:C,C436,'Detalhe Por UC'!AD:AD,"&gt;"&amp;0))</f>
        <v>45658</v>
      </c>
      <c r="CA436" s="114">
        <f ca="1">IF(OR(S436&gt;0,AD436&gt;0),IFERROR(
SUMIFS(INDIRECT("'Infos Clientes'!$W"&amp;INDEX('Infos Clientes'!$C:$C,MATCH(C436,'Infos Clientes'!$H:$H,0))&amp;":$CZ"&amp;INDEX('Infos Clientes'!$C:$C,MATCH(C436,'Infos Clientes'!$H:$H,0))),'Infos Clientes'!$W$2:$CZ$2,"&gt;"&amp;$R436-365,'Infos Clientes'!$W$2:$CZ$2,"&lt;="&amp;$R436)/
COUNTIFS(INDIRECT("'Infos Clientes'!$W"&amp;INDEX('Infos Clientes'!$C:$C,MATCH(C436,'Infos Clientes'!$H:$H,0))&amp;":$CZ"&amp;INDEX('Infos Clientes'!$C:$C,MATCH(C436,'Infos Clientes'!$H:$H,0))),"&gt;="&amp;0,'Infos Clientes'!$W$2:$CZ$2,"&gt;"&amp;$R436-365,'Infos Clientes'!$W$2:$CZ$2,"&lt;="&amp;$R436),""),"")</f>
        <v>355</v>
      </c>
      <c r="CB436" s="87">
        <f>VLOOKUP(C436,'Infos Clientes'!B:L,11,0)</f>
        <v>0</v>
      </c>
      <c r="CC436" s="88" t="str">
        <f t="shared" si="263"/>
        <v>A Unidade Consumidora 10/31292-6 economizou R$29,22 na fatura referente à abr/2025  consumindo 120 kWh em créditos de energia renovável conforme fatura de energia. A economia foi de 25% em relação ao que seria pago para a Energisa considerando os créditos consumidos. Atenção: Mantenha as contas da Energisa em dia para evitar cortes.</v>
      </c>
      <c r="CD436" s="40"/>
      <c r="CE436" s="18">
        <v>111.85</v>
      </c>
      <c r="CF436" s="115">
        <f t="shared" si="264"/>
        <v>0</v>
      </c>
    </row>
    <row r="437" spans="1:85" ht="16.2" hidden="1" customHeight="1" x14ac:dyDescent="0.3">
      <c r="A437" s="105" t="str">
        <f>INDEX('Infos Clientes'!$D:$D,MATCH('Detalhe Por UC'!C437,'Infos Clientes'!B:B,0))</f>
        <v>IGREJA DO EVANGELHO QUADRANGULAR</v>
      </c>
      <c r="B437" s="106" t="str">
        <f>INDEX('Infos Clientes'!$F:$F,MATCH('Detalhe Por UC'!C437,'Infos Clientes'!B:B,0))</f>
        <v>62.955.505/0155-12</v>
      </c>
      <c r="C437" s="31" t="s">
        <v>205</v>
      </c>
      <c r="D437" t="s">
        <v>351</v>
      </c>
      <c r="E437" s="1" t="s">
        <v>352</v>
      </c>
      <c r="F437" s="56" t="str">
        <f>INDEX('Infos Clientes'!$I:$I,MATCH('Detalhe Por UC'!C437,'Infos Clientes'!B:B,0))</f>
        <v>BT</v>
      </c>
      <c r="G437" s="56" t="str">
        <f>INDEX('Infos Clientes'!$J:$J,MATCH('Detalhe Por UC'!C437,'Infos Clientes'!B:B,0))</f>
        <v>bifasico</v>
      </c>
      <c r="H437" s="108" t="s">
        <v>138</v>
      </c>
      <c r="I437" s="58">
        <f>IFERROR(VLOOKUP(C437,'Infos Clientes'!B:E,4,),"")</f>
        <v>358</v>
      </c>
      <c r="J437" s="109">
        <v>0.25</v>
      </c>
      <c r="K437" s="59">
        <f>INDEX('Infos Clientes'!$M:$M,MATCH('Detalhe Por UC'!C437,'Infos Clientes'!B:B,0))</f>
        <v>0.25</v>
      </c>
      <c r="L437" s="125">
        <v>0</v>
      </c>
      <c r="M437" s="56">
        <f>INDEX('Infos Clientes'!$N:$N,MATCH('Detalhe Por UC'!C437,'Infos Clientes'!B:B,0))</f>
        <v>0</v>
      </c>
      <c r="N437" s="56">
        <f t="shared" si="229"/>
        <v>0</v>
      </c>
      <c r="O437" s="56">
        <f t="shared" si="230"/>
        <v>10</v>
      </c>
      <c r="P437" s="56">
        <f t="shared" si="265"/>
        <v>0</v>
      </c>
      <c r="Q437" s="61">
        <f>IFERROR(IFERROR(INDEX('Infos Clientes'!$A$2:$V$9884,MATCH($C437,'Infos Clientes'!$B$2:$B$9884,0),MATCH(Q$8,'Infos Clientes'!$A$2:$V$2,0)),"")
+IF(OR(INDEX('Infos Clientes'!$A$2:$V$9884,MATCH($C437,'Infos Clientes'!$B$2:$B$9884,0),MATCH("Tempo de Fidelidade (meses)",'Infos Clientes'!$A$2:$V$2,0))=0,R437&gt;=MAX(R:R)),0,
ROUND((MAX(R:R)-R437)/(365/12),0)),"")</f>
        <v>0</v>
      </c>
      <c r="R437" s="111">
        <v>45748</v>
      </c>
      <c r="S437" s="63">
        <v>0.01</v>
      </c>
      <c r="T437" s="113" t="str">
        <f>IF($H437="GIROSSOL II",AP437/INDEX('Resumo Operacional'!$A$1:$P$1103,17,MATCH('Detalhe Por UC'!$R437,'Resumo Operacional'!$A$1:$P$1,0)),
IF($H437="GIROSSOL II e III",AP437/INDEX('Resumo Operacional'!$A$1:$P$1103,17,MATCH('Detalhe Por UC'!$R437,'Resumo Operacional'!$A$1:$P$1,0)),
""))</f>
        <v/>
      </c>
      <c r="U437" s="113">
        <f>IF($H437="GIROSSOL III",AP437/INDEX('Resumo Operacional'!$A$1:$P$1103,53,MATCH('Detalhe Por UC'!$R437,'Resumo Operacional'!$A$1:$P$1,0)),
IF($H437="GIROSSOL II e III",AP437/INDEX('Resumo Operacional'!$A$1:$P$1103,53,MATCH('Detalhe Por UC'!$R437,'Resumo Operacional'!$A$1:$P$1,0)),
""))</f>
        <v>1.4408664539212843E-2</v>
      </c>
      <c r="V437" s="45"/>
      <c r="W437" s="18"/>
      <c r="X437" s="18">
        <v>1.1162424242424243</v>
      </c>
      <c r="Y437" s="18"/>
      <c r="Z437" s="18">
        <v>0.97401459854014594</v>
      </c>
      <c r="AA437" s="18"/>
      <c r="AB437" s="18">
        <v>165</v>
      </c>
      <c r="AC437" s="18"/>
      <c r="AD437" s="18">
        <v>137</v>
      </c>
      <c r="AE437" s="35"/>
      <c r="AF437" s="18">
        <v>12</v>
      </c>
      <c r="AG437" s="18">
        <v>0</v>
      </c>
      <c r="AH437" s="18">
        <v>51.68</v>
      </c>
      <c r="AI437" s="18">
        <v>0</v>
      </c>
      <c r="AJ437" s="18">
        <v>0</v>
      </c>
      <c r="AN437" s="71">
        <f t="shared" si="231"/>
        <v>12</v>
      </c>
      <c r="AO437" s="71">
        <f t="shared" si="232"/>
        <v>0</v>
      </c>
      <c r="AP437" s="71">
        <f t="shared" si="233"/>
        <v>149</v>
      </c>
      <c r="AQ437" s="72">
        <f>IF(OR($H437="GIROSSOL II",$H437="GIROSSOL II e III"),INDEX('Resumo Operacional'!$A$1:$P$1103,MATCH("Energia Injetada prevista total Fatura da Usina (TUSD)",'Resumo Operacional'!$B$1:$B$1103,0),MATCH('Detalhe Por UC'!$R437,'Resumo Operacional'!$A$1:$P$1,0))*$S437,INDEX('Resumo Operacional'!$A$1:$P$1103,53,MATCH('Detalhe Por UC'!$R437,'Resumo Operacional'!$A$1:$P$1,0))*$S437)</f>
        <v>103.41</v>
      </c>
      <c r="AR437" s="71">
        <f t="shared" si="234"/>
        <v>45.59</v>
      </c>
      <c r="AS437" s="73">
        <f t="shared" si="235"/>
        <v>102.42000000000002</v>
      </c>
      <c r="AT437" s="74">
        <f t="shared" si="236"/>
        <v>102.42000000000002</v>
      </c>
      <c r="AU437" s="74">
        <f t="shared" si="237"/>
        <v>0.83178677283786762</v>
      </c>
      <c r="AV437" s="74">
        <f t="shared" si="238"/>
        <v>100.08</v>
      </c>
      <c r="AW437" s="74">
        <f t="shared" si="239"/>
        <v>0</v>
      </c>
      <c r="AX437" s="74">
        <f t="shared" si="240"/>
        <v>133.44</v>
      </c>
      <c r="AY437" s="74">
        <f t="shared" si="241"/>
        <v>100.08</v>
      </c>
      <c r="AZ437" s="117">
        <v>100.08</v>
      </c>
      <c r="BA437" s="117">
        <v>100.08</v>
      </c>
      <c r="BB437" s="49">
        <v>100.08</v>
      </c>
      <c r="BC437" s="73" t="str">
        <f t="shared" si="242"/>
        <v/>
      </c>
      <c r="BD437" s="73">
        <f t="shared" si="243"/>
        <v>235.86</v>
      </c>
      <c r="BE437" s="73">
        <f t="shared" si="244"/>
        <v>202.5</v>
      </c>
      <c r="BF437" s="77">
        <f t="shared" si="245"/>
        <v>33.36</v>
      </c>
      <c r="BG437" s="77">
        <f t="shared" si="246"/>
        <v>10.007999999999999</v>
      </c>
      <c r="BH437" s="77">
        <f t="shared" si="247"/>
        <v>133.44</v>
      </c>
      <c r="BI437" s="78">
        <f t="shared" si="248"/>
        <v>0.25</v>
      </c>
      <c r="BJ437" s="79">
        <f t="shared" si="249"/>
        <v>0.14143983719155431</v>
      </c>
      <c r="BK437" s="80">
        <f t="shared" si="250"/>
        <v>202.5</v>
      </c>
      <c r="BL437" s="80">
        <f t="shared" si="251"/>
        <v>33.360000000000014</v>
      </c>
      <c r="BM437" s="79">
        <f t="shared" si="252"/>
        <v>0.14143983719155437</v>
      </c>
      <c r="BN437" s="81">
        <f t="shared" si="253"/>
        <v>0.73051094890510948</v>
      </c>
      <c r="BO437" s="82">
        <f t="shared" si="254"/>
        <v>100.08</v>
      </c>
      <c r="BP437" s="81">
        <f t="shared" si="255"/>
        <v>0.73051094890510948</v>
      </c>
      <c r="BQ437" s="81">
        <f t="shared" si="256"/>
        <v>0.8727387746073878</v>
      </c>
      <c r="BR437" s="81">
        <f t="shared" si="257"/>
        <v>1.1162424242424243</v>
      </c>
      <c r="BS437" s="82">
        <f t="shared" si="258"/>
        <v>137</v>
      </c>
      <c r="BT437" s="82">
        <f t="shared" si="259"/>
        <v>152.92521212121213</v>
      </c>
      <c r="BU437" s="82">
        <f t="shared" si="260"/>
        <v>133.44</v>
      </c>
      <c r="BW437" s="82">
        <f>IFERROR(INDEX('Infos Clientes'!$T:$T,MATCH('Detalhe Por UC'!$C437,'Infos Clientes'!B:B,0)),"")</f>
        <v>178</v>
      </c>
      <c r="BX437" s="83">
        <f t="shared" si="261"/>
        <v>0</v>
      </c>
      <c r="BY437" s="84">
        <f t="shared" si="262"/>
        <v>0.21814584748496588</v>
      </c>
      <c r="BZ437" s="85">
        <f>IF(_xlfn.MINIFS('Detalhe Por UC'!R:R,'Detalhe Por UC'!C:C,C437,'Detalhe Por UC'!AD:AD,"&gt;"&amp;0)=0,"",_xlfn.MINIFS('Detalhe Por UC'!R:R,'Detalhe Por UC'!C:C,C437,'Detalhe Por UC'!AD:AD,"&gt;"&amp;0))</f>
        <v>45658</v>
      </c>
      <c r="CA437" s="114">
        <f ca="1">IF(OR(S437&gt;0,AD437&gt;0),IFERROR(
SUMIFS(INDIRECT("'Infos Clientes'!$W"&amp;INDEX('Infos Clientes'!$C:$C,MATCH(C437,'Infos Clientes'!$H:$H,0))&amp;":$CZ"&amp;INDEX('Infos Clientes'!$C:$C,MATCH(C437,'Infos Clientes'!$H:$H,0))),'Infos Clientes'!$W$2:$CZ$2,"&gt;"&amp;$R437-365,'Infos Clientes'!$W$2:$CZ$2,"&lt;="&amp;$R437)/
COUNTIFS(INDIRECT("'Infos Clientes'!$W"&amp;INDEX('Infos Clientes'!$C:$C,MATCH(C437,'Infos Clientes'!$H:$H,0))&amp;":$CZ"&amp;INDEX('Infos Clientes'!$C:$C,MATCH(C437,'Infos Clientes'!$H:$H,0))),"&gt;="&amp;0,'Infos Clientes'!$W$2:$CZ$2,"&gt;"&amp;$R437-365,'Infos Clientes'!$W$2:$CZ$2,"&lt;="&amp;$R437),""),"")</f>
        <v>153.83333333333334</v>
      </c>
      <c r="CB437" s="87">
        <f>VLOOKUP(C437,'Infos Clientes'!B:L,11,0)</f>
        <v>0</v>
      </c>
      <c r="CC437" s="88" t="str">
        <f t="shared" si="263"/>
        <v>A Unidade Consumidora 10/466560-0 economizou R$33,36 na fatura referente à abr/2025  consumindo 137 kWh em créditos de energia renovável conforme fatura de energia. A economia foi de 25% em relação ao que seria pago para a Energisa considerando os créditos consumidos. Atenção: Mantenha as contas da Energisa em dia para evitar cortes.</v>
      </c>
      <c r="CD437" s="40" t="s">
        <v>249</v>
      </c>
      <c r="CE437" s="18">
        <v>102.42</v>
      </c>
      <c r="CF437" s="115">
        <f t="shared" si="264"/>
        <v>0</v>
      </c>
    </row>
    <row r="438" spans="1:85" ht="16.2" hidden="1" customHeight="1" x14ac:dyDescent="0.3">
      <c r="A438" s="105" t="str">
        <f>INDEX('Infos Clientes'!$D:$D,MATCH('Detalhe Por UC'!C438,'Infos Clientes'!B:B,0))</f>
        <v>IGREJA DO EVANGELHO QUADRANGULAR</v>
      </c>
      <c r="B438" s="106" t="str">
        <f>INDEX('Infos Clientes'!$F:$F,MATCH('Detalhe Por UC'!C438,'Infos Clientes'!B:B,0))</f>
        <v>62.955.505/0001-67</v>
      </c>
      <c r="C438" s="31" t="s">
        <v>240</v>
      </c>
      <c r="D438" t="s">
        <v>351</v>
      </c>
      <c r="E438" s="1" t="s">
        <v>352</v>
      </c>
      <c r="F438" s="56" t="str">
        <f>INDEX('Infos Clientes'!$I:$I,MATCH('Detalhe Por UC'!C438,'Infos Clientes'!B:B,0))</f>
        <v>BT</v>
      </c>
      <c r="G438" s="56" t="str">
        <f>INDEX('Infos Clientes'!$J:$J,MATCH('Detalhe Por UC'!C438,'Infos Clientes'!B:B,0))</f>
        <v>trifasico</v>
      </c>
      <c r="H438" s="108" t="s">
        <v>138</v>
      </c>
      <c r="I438" s="58">
        <f>IFERROR(VLOOKUP(C438,'Infos Clientes'!B:E,4,),"")</f>
        <v>360</v>
      </c>
      <c r="J438" s="109">
        <v>0.25</v>
      </c>
      <c r="K438" s="59">
        <f>INDEX('Infos Clientes'!$M:$M,MATCH('Detalhe Por UC'!C438,'Infos Clientes'!B:B,0))</f>
        <v>0.25</v>
      </c>
      <c r="L438" s="125">
        <v>0</v>
      </c>
      <c r="M438" s="56">
        <f>INDEX('Infos Clientes'!$N:$N,MATCH('Detalhe Por UC'!C438,'Infos Clientes'!B:B,0))</f>
        <v>0</v>
      </c>
      <c r="N438" s="56">
        <f t="shared" si="229"/>
        <v>0</v>
      </c>
      <c r="O438" s="56">
        <f t="shared" si="230"/>
        <v>10</v>
      </c>
      <c r="P438" s="56">
        <f t="shared" si="265"/>
        <v>0</v>
      </c>
      <c r="Q438" s="61">
        <f>IFERROR(IFERROR(INDEX('Infos Clientes'!$A$2:$V$9884,MATCH($C438,'Infos Clientes'!$B$2:$B$9884,0),MATCH(Q$8,'Infos Clientes'!$A$2:$V$2,0)),"")
+IF(OR(INDEX('Infos Clientes'!$A$2:$V$9884,MATCH($C438,'Infos Clientes'!$B$2:$B$9884,0),MATCH("Tempo de Fidelidade (meses)",'Infos Clientes'!$A$2:$V$2,0))=0,R438&gt;=MAX(R:R)),0,
ROUND((MAX(R:R)-R438)/(365/12),0)),"")</f>
        <v>0</v>
      </c>
      <c r="R438" s="111">
        <v>45748</v>
      </c>
      <c r="S438" s="63">
        <v>0.02</v>
      </c>
      <c r="T438" s="113" t="str">
        <f>IF($H438="GIROSSOL II",AP438/INDEX('Resumo Operacional'!$A$1:$P$1103,17,MATCH('Detalhe Por UC'!$R438,'Resumo Operacional'!$A$1:$P$1,0)),
IF($H438="GIROSSOL II e III",AP438/INDEX('Resumo Operacional'!$A$1:$P$1103,17,MATCH('Detalhe Por UC'!$R438,'Resumo Operacional'!$A$1:$P$1,0)),
""))</f>
        <v/>
      </c>
      <c r="U438" s="113">
        <f>IF($H438="GIROSSOL III",AP438/INDEX('Resumo Operacional'!$A$1:$P$1103,53,MATCH('Detalhe Por UC'!$R438,'Resumo Operacional'!$A$1:$P$1,0)),
IF($H438="GIROSSOL II e III",AP438/INDEX('Resumo Operacional'!$A$1:$P$1103,53,MATCH('Detalhe Por UC'!$R438,'Resumo Operacional'!$A$1:$P$1,0)),
""))</f>
        <v>2.3208587177255584E-2</v>
      </c>
      <c r="V438" s="45"/>
      <c r="W438" s="18"/>
      <c r="X438" s="18">
        <v>1.1179166666666667</v>
      </c>
      <c r="Y438" s="18"/>
      <c r="Z438" s="18">
        <v>0.97324390000000005</v>
      </c>
      <c r="AA438" s="18"/>
      <c r="AB438" s="18">
        <v>432</v>
      </c>
      <c r="AC438" s="18"/>
      <c r="AD438" s="18">
        <v>373</v>
      </c>
      <c r="AE438" s="35"/>
      <c r="AF438" s="18">
        <v>0</v>
      </c>
      <c r="AG438" s="18">
        <v>0</v>
      </c>
      <c r="AH438" s="18">
        <v>145.85999999999999</v>
      </c>
      <c r="AI438" s="18">
        <v>0</v>
      </c>
      <c r="AJ438" s="18">
        <v>0</v>
      </c>
      <c r="AN438" s="71">
        <f t="shared" si="231"/>
        <v>-133</v>
      </c>
      <c r="AO438" s="71">
        <f t="shared" si="232"/>
        <v>0</v>
      </c>
      <c r="AP438" s="71">
        <f t="shared" si="233"/>
        <v>240</v>
      </c>
      <c r="AQ438" s="72">
        <f>IF(OR($H438="GIROSSOL II",$H438="GIROSSOL II e III"),INDEX('Resumo Operacional'!$A$1:$P$1103,MATCH("Energia Injetada prevista total Fatura da Usina (TUSD)",'Resumo Operacional'!$B$1:$B$1103,0),MATCH('Detalhe Por UC'!$R438,'Resumo Operacional'!$A$1:$P$1,0))*$S438,INDEX('Resumo Operacional'!$A$1:$P$1103,53,MATCH('Detalhe Por UC'!$R438,'Resumo Operacional'!$A$1:$P$1,0))*$S438)</f>
        <v>206.82</v>
      </c>
      <c r="AR438" s="71">
        <f t="shared" si="234"/>
        <v>33.180000000000007</v>
      </c>
      <c r="AS438" s="73">
        <f t="shared" si="235"/>
        <v>265.78002529999992</v>
      </c>
      <c r="AT438" s="74">
        <f t="shared" si="236"/>
        <v>265.78002529999992</v>
      </c>
      <c r="AU438" s="74">
        <f t="shared" si="237"/>
        <v>0.82857113333333343</v>
      </c>
      <c r="AV438" s="74">
        <f t="shared" si="238"/>
        <v>272.264981025</v>
      </c>
      <c r="AW438" s="74">
        <f t="shared" si="239"/>
        <v>366.74</v>
      </c>
      <c r="AX438" s="74">
        <f t="shared" si="240"/>
        <v>729.75997470000004</v>
      </c>
      <c r="AY438" s="74">
        <f t="shared" si="241"/>
        <v>272.26</v>
      </c>
      <c r="AZ438" s="117">
        <v>272.26</v>
      </c>
      <c r="BA438" s="117">
        <v>272.26</v>
      </c>
      <c r="BB438" s="49">
        <v>272.26</v>
      </c>
      <c r="BC438" s="73" t="str">
        <f t="shared" si="242"/>
        <v/>
      </c>
      <c r="BD438" s="73">
        <f t="shared" si="243"/>
        <v>628.79999999999995</v>
      </c>
      <c r="BE438" s="73">
        <f t="shared" si="244"/>
        <v>538.04500632499992</v>
      </c>
      <c r="BF438" s="77">
        <f t="shared" si="245"/>
        <v>90.75</v>
      </c>
      <c r="BG438" s="77">
        <f t="shared" si="246"/>
        <v>27.224999999999998</v>
      </c>
      <c r="BH438" s="77">
        <f t="shared" si="247"/>
        <v>363.01997470000003</v>
      </c>
      <c r="BI438" s="78">
        <f t="shared" si="248"/>
        <v>0.25</v>
      </c>
      <c r="BJ438" s="79">
        <f t="shared" si="249"/>
        <v>0.14432251908396948</v>
      </c>
      <c r="BK438" s="80">
        <f t="shared" si="250"/>
        <v>538.04002529999991</v>
      </c>
      <c r="BL438" s="80">
        <f t="shared" si="251"/>
        <v>90.759974700000043</v>
      </c>
      <c r="BM438" s="79">
        <f t="shared" si="252"/>
        <v>0.14433838215648864</v>
      </c>
      <c r="BN438" s="81">
        <f t="shared" si="253"/>
        <v>0.72991957104557637</v>
      </c>
      <c r="BO438" s="82">
        <f t="shared" si="254"/>
        <v>272.26</v>
      </c>
      <c r="BP438" s="81">
        <f t="shared" si="255"/>
        <v>0.72991957104557637</v>
      </c>
      <c r="BQ438" s="81">
        <f t="shared" si="256"/>
        <v>0.87459233771224298</v>
      </c>
      <c r="BR438" s="81">
        <f t="shared" si="257"/>
        <v>1.1179166666666667</v>
      </c>
      <c r="BS438" s="82">
        <f t="shared" si="258"/>
        <v>373</v>
      </c>
      <c r="BT438" s="82">
        <f t="shared" si="259"/>
        <v>416.98291666666665</v>
      </c>
      <c r="BU438" s="82">
        <f t="shared" si="260"/>
        <v>363.01997470000003</v>
      </c>
      <c r="BW438" s="82">
        <f>IFERROR(INDEX('Infos Clientes'!$T:$T,MATCH('Detalhe Por UC'!$C438,'Infos Clientes'!B:B,0)),"")</f>
        <v>413.36363636363637</v>
      </c>
      <c r="BX438" s="83">
        <f t="shared" si="261"/>
        <v>0</v>
      </c>
      <c r="BY438" s="84">
        <f t="shared" si="262"/>
        <v>0.21765873629914903</v>
      </c>
      <c r="BZ438" s="85">
        <f>IF(_xlfn.MINIFS('Detalhe Por UC'!R:R,'Detalhe Por UC'!C:C,C438,'Detalhe Por UC'!AD:AD,"&gt;"&amp;0)=0,"",_xlfn.MINIFS('Detalhe Por UC'!R:R,'Detalhe Por UC'!C:C,C438,'Detalhe Por UC'!AD:AD,"&gt;"&amp;0))</f>
        <v>45658</v>
      </c>
      <c r="CA438" s="114">
        <f ca="1">IF(OR(S438&gt;0,AD438&gt;0),IFERROR(
SUMIFS(INDIRECT("'Infos Clientes'!$W"&amp;INDEX('Infos Clientes'!$C:$C,MATCH(C438,'Infos Clientes'!$H:$H,0))&amp;":$CZ"&amp;INDEX('Infos Clientes'!$C:$C,MATCH(C438,'Infos Clientes'!$H:$H,0))),'Infos Clientes'!$W$2:$CZ$2,"&gt;"&amp;$R438-365,'Infos Clientes'!$W$2:$CZ$2,"&lt;="&amp;$R438)/
COUNTIFS(INDIRECT("'Infos Clientes'!$W"&amp;INDEX('Infos Clientes'!$C:$C,MATCH(C438,'Infos Clientes'!$H:$H,0))&amp;":$CZ"&amp;INDEX('Infos Clientes'!$C:$C,MATCH(C438,'Infos Clientes'!$H:$H,0))),"&gt;="&amp;0,'Infos Clientes'!$W$2:$CZ$2,"&gt;"&amp;$R438-365,'Infos Clientes'!$W$2:$CZ$2,"&lt;="&amp;$R438),""),"")</f>
        <v>357.5</v>
      </c>
      <c r="CB438" s="87">
        <f>VLOOKUP(C438,'Infos Clientes'!B:L,11,0)</f>
        <v>0</v>
      </c>
      <c r="CC438" s="88" t="str">
        <f t="shared" si="263"/>
        <v>A Unidade Consumidora 10/260761-2 economizou R$90,75 na fatura referente à abr/2025  consumindo 373 kWh em créditos de energia renovável conforme fatura de energia. A economia foi de 25% em relação ao que seria pago para a Energisa considerando os créditos consumidos. Atenção: Mantenha as contas da Energisa em dia para evitar cortes.</v>
      </c>
      <c r="CD438" s="40" t="s">
        <v>56</v>
      </c>
      <c r="CE438" s="18">
        <v>265.77999999999997</v>
      </c>
      <c r="CF438" s="115">
        <f t="shared" si="264"/>
        <v>-2.5299999947492324E-5</v>
      </c>
    </row>
    <row r="439" spans="1:85" ht="16.2" hidden="1" customHeight="1" x14ac:dyDescent="0.3">
      <c r="A439" s="105" t="str">
        <f>INDEX('Infos Clientes'!$D:$D,MATCH('Detalhe Por UC'!C439,'Infos Clientes'!B:B,0))</f>
        <v>IGREJA DO EVANGELHO QUADRANGULAR</v>
      </c>
      <c r="B439" s="106" t="str">
        <f>INDEX('Infos Clientes'!$F:$F,MATCH('Detalhe Por UC'!C439,'Infos Clientes'!B:B,0))</f>
        <v>62.955.505/3586-30</v>
      </c>
      <c r="C439" s="31" t="s">
        <v>242</v>
      </c>
      <c r="D439" t="s">
        <v>351</v>
      </c>
      <c r="E439" s="1" t="s">
        <v>352</v>
      </c>
      <c r="F439" s="56" t="str">
        <f>INDEX('Infos Clientes'!$I:$I,MATCH('Detalhe Por UC'!C439,'Infos Clientes'!B:B,0))</f>
        <v>BT</v>
      </c>
      <c r="G439" s="56" t="str">
        <f>INDEX('Infos Clientes'!$J:$J,MATCH('Detalhe Por UC'!C439,'Infos Clientes'!B:B,0))</f>
        <v>trifasico</v>
      </c>
      <c r="H439" s="108" t="s">
        <v>138</v>
      </c>
      <c r="I439" s="58">
        <f>IFERROR(VLOOKUP(C439,'Infos Clientes'!B:E,4,),"")</f>
        <v>371</v>
      </c>
      <c r="J439" s="109">
        <v>0.25</v>
      </c>
      <c r="K439" s="59">
        <f>INDEX('Infos Clientes'!$M:$M,MATCH('Detalhe Por UC'!C439,'Infos Clientes'!B:B,0))</f>
        <v>0.25</v>
      </c>
      <c r="L439" s="125">
        <v>0</v>
      </c>
      <c r="M439" s="56">
        <f>INDEX('Infos Clientes'!$N:$N,MATCH('Detalhe Por UC'!C439,'Infos Clientes'!B:B,0))</f>
        <v>0</v>
      </c>
      <c r="N439" s="56">
        <f t="shared" si="229"/>
        <v>0</v>
      </c>
      <c r="O439" s="56">
        <f t="shared" si="230"/>
        <v>7</v>
      </c>
      <c r="P439" s="56">
        <f t="shared" si="265"/>
        <v>0</v>
      </c>
      <c r="Q439" s="61">
        <f>IFERROR(IFERROR(INDEX('Infos Clientes'!$A$2:$V$9884,MATCH($C439,'Infos Clientes'!$B$2:$B$9884,0),MATCH(Q$8,'Infos Clientes'!$A$2:$V$2,0)),"")
+IF(OR(INDEX('Infos Clientes'!$A$2:$V$9884,MATCH($C439,'Infos Clientes'!$B$2:$B$9884,0),MATCH("Tempo de Fidelidade (meses)",'Infos Clientes'!$A$2:$V$2,0))=0,R439&gt;=MAX(R:R)),0,
ROUND((MAX(R:R)-R439)/(365/12),0)),"")</f>
        <v>0</v>
      </c>
      <c r="R439" s="111">
        <v>45748</v>
      </c>
      <c r="S439" s="63">
        <v>0.01</v>
      </c>
      <c r="T439" s="113" t="str">
        <f>IF($H439="GIROSSOL II",AP439/INDEX('Resumo Operacional'!$A$1:$P$1103,17,MATCH('Detalhe Por UC'!$R439,'Resumo Operacional'!$A$1:$P$1,0)),
IF($H439="GIROSSOL II e III",AP439/INDEX('Resumo Operacional'!$A$1:$P$1103,17,MATCH('Detalhe Por UC'!$R439,'Resumo Operacional'!$A$1:$P$1,0)),
""))</f>
        <v/>
      </c>
      <c r="U439" s="113">
        <f>IF($H439="GIROSSOL III",AP439/INDEX('Resumo Operacional'!$A$1:$P$1103,53,MATCH('Detalhe Por UC'!$R439,'Resumo Operacional'!$A$1:$P$1,0)),
IF($H439="GIROSSOL II e III",AP439/INDEX('Resumo Operacional'!$A$1:$P$1103,53,MATCH('Detalhe Por UC'!$R439,'Resumo Operacional'!$A$1:$P$1,0)),
""))</f>
        <v>1.1604293588627792E-2</v>
      </c>
      <c r="V439" s="45"/>
      <c r="W439" s="18"/>
      <c r="X439" s="18">
        <v>1.1190476190476191</v>
      </c>
      <c r="Y439" s="18"/>
      <c r="Z439" s="18">
        <v>0.9729032258064515</v>
      </c>
      <c r="AA439" s="18"/>
      <c r="AB439" s="18">
        <v>126</v>
      </c>
      <c r="AC439" s="18"/>
      <c r="AD439" s="18">
        <v>31</v>
      </c>
      <c r="AE439" s="35"/>
      <c r="AF439" s="18">
        <v>89</v>
      </c>
      <c r="AG439" s="18">
        <v>0</v>
      </c>
      <c r="AH439" s="18">
        <v>26.21</v>
      </c>
      <c r="AI439" s="18">
        <v>0</v>
      </c>
      <c r="AJ439" s="18">
        <v>0</v>
      </c>
      <c r="AN439" s="71">
        <f t="shared" si="231"/>
        <v>89</v>
      </c>
      <c r="AO439" s="71">
        <f t="shared" si="232"/>
        <v>0</v>
      </c>
      <c r="AP439" s="71">
        <f t="shared" si="233"/>
        <v>120</v>
      </c>
      <c r="AQ439" s="72">
        <f>IF(OR($H439="GIROSSOL II",$H439="GIROSSOL II e III"),INDEX('Resumo Operacional'!$A$1:$P$1103,MATCH("Energia Injetada prevista total Fatura da Usina (TUSD)",'Resumo Operacional'!$B$1:$B$1103,0),MATCH('Detalhe Por UC'!$R439,'Resumo Operacional'!$A$1:$P$1,0))*$S439,INDEX('Resumo Operacional'!$A$1:$P$1103,53,MATCH('Detalhe Por UC'!$R439,'Resumo Operacional'!$A$1:$P$1,0))*$S439)</f>
        <v>103.41</v>
      </c>
      <c r="AR439" s="71">
        <f t="shared" si="234"/>
        <v>16.590000000000003</v>
      </c>
      <c r="AS439" s="73">
        <f t="shared" si="235"/>
        <v>137.05000000000001</v>
      </c>
      <c r="AT439" s="74">
        <f t="shared" si="236"/>
        <v>137.05000000000001</v>
      </c>
      <c r="AU439" s="74">
        <f t="shared" si="237"/>
        <v>0.82675883256528393</v>
      </c>
      <c r="AV439" s="74">
        <f t="shared" si="238"/>
        <v>22.619999999999997</v>
      </c>
      <c r="AW439" s="74">
        <f t="shared" si="239"/>
        <v>0</v>
      </c>
      <c r="AX439" s="74">
        <f t="shared" si="240"/>
        <v>30.159999999999997</v>
      </c>
      <c r="AY439" s="74">
        <f t="shared" si="241"/>
        <v>22.62</v>
      </c>
      <c r="AZ439" s="117">
        <v>22.62</v>
      </c>
      <c r="BA439" s="117">
        <v>22.62</v>
      </c>
      <c r="BB439" s="49">
        <v>22.62</v>
      </c>
      <c r="BC439" s="73" t="str">
        <f t="shared" si="242"/>
        <v/>
      </c>
      <c r="BD439" s="73">
        <f t="shared" si="243"/>
        <v>167.21</v>
      </c>
      <c r="BE439" s="73">
        <f t="shared" si="244"/>
        <v>159.67000000000002</v>
      </c>
      <c r="BF439" s="77">
        <f t="shared" si="245"/>
        <v>7.54</v>
      </c>
      <c r="BG439" s="77">
        <f t="shared" si="246"/>
        <v>2.262</v>
      </c>
      <c r="BH439" s="77">
        <f t="shared" si="247"/>
        <v>30.159999999999997</v>
      </c>
      <c r="BI439" s="78">
        <f t="shared" si="248"/>
        <v>0.25</v>
      </c>
      <c r="BJ439" s="79">
        <f t="shared" si="249"/>
        <v>4.5092996830333111E-2</v>
      </c>
      <c r="BK439" s="80">
        <f t="shared" si="250"/>
        <v>159.67000000000002</v>
      </c>
      <c r="BL439" s="80">
        <f t="shared" si="251"/>
        <v>7.539999999999992</v>
      </c>
      <c r="BM439" s="79">
        <f t="shared" si="252"/>
        <v>4.5092996830333062E-2</v>
      </c>
      <c r="BN439" s="81">
        <f t="shared" si="253"/>
        <v>0.72967741935483876</v>
      </c>
      <c r="BO439" s="82">
        <f t="shared" si="254"/>
        <v>22.62</v>
      </c>
      <c r="BP439" s="81">
        <f t="shared" si="255"/>
        <v>0.72967741935483876</v>
      </c>
      <c r="BQ439" s="81">
        <f t="shared" si="256"/>
        <v>0.87582181259600633</v>
      </c>
      <c r="BR439" s="81">
        <f t="shared" si="257"/>
        <v>1.1190476190476191</v>
      </c>
      <c r="BS439" s="82">
        <f t="shared" si="258"/>
        <v>31</v>
      </c>
      <c r="BT439" s="82">
        <f t="shared" si="259"/>
        <v>34.69047619047619</v>
      </c>
      <c r="BU439" s="82">
        <f t="shared" si="260"/>
        <v>30.159999999999997</v>
      </c>
      <c r="BW439" s="82">
        <f>IFERROR(INDEX('Infos Clientes'!$T:$T,MATCH('Detalhe Por UC'!$C439,'Infos Clientes'!B:B,0)),"")</f>
        <v>175.90909090909091</v>
      </c>
      <c r="BX439" s="83">
        <f t="shared" si="261"/>
        <v>0</v>
      </c>
      <c r="BY439" s="84">
        <f t="shared" si="262"/>
        <v>0.21735072065888797</v>
      </c>
      <c r="BZ439" s="85">
        <f>IF(_xlfn.MINIFS('Detalhe Por UC'!R:R,'Detalhe Por UC'!C:C,C439,'Detalhe Por UC'!AD:AD,"&gt;"&amp;0)=0,"",_xlfn.MINIFS('Detalhe Por UC'!R:R,'Detalhe Por UC'!C:C,C439,'Detalhe Por UC'!AD:AD,"&gt;"&amp;0))</f>
        <v>45658</v>
      </c>
      <c r="CA439" s="114">
        <f ca="1">IF(OR(S439&gt;0,AD439&gt;0),IFERROR(
SUMIFS(INDIRECT("'Infos Clientes'!$W"&amp;INDEX('Infos Clientes'!$C:$C,MATCH(C439,'Infos Clientes'!$H:$H,0))&amp;":$CZ"&amp;INDEX('Infos Clientes'!$C:$C,MATCH(C439,'Infos Clientes'!$H:$H,0))),'Infos Clientes'!$W$2:$CZ$2,"&gt;"&amp;$R439-365,'Infos Clientes'!$W$2:$CZ$2,"&lt;="&amp;$R439)/
COUNTIFS(INDIRECT("'Infos Clientes'!$W"&amp;INDEX('Infos Clientes'!$C:$C,MATCH(C439,'Infos Clientes'!$H:$H,0))&amp;":$CZ"&amp;INDEX('Infos Clientes'!$C:$C,MATCH(C439,'Infos Clientes'!$H:$H,0))),"&gt;="&amp;0,'Infos Clientes'!$W$2:$CZ$2,"&gt;"&amp;$R439-365,'Infos Clientes'!$W$2:$CZ$2,"&lt;="&amp;$R439),""),"")</f>
        <v>147.91666666666666</v>
      </c>
      <c r="CB439" s="87">
        <f>VLOOKUP(C439,'Infos Clientes'!B:L,11,0)</f>
        <v>0</v>
      </c>
      <c r="CC439" s="88" t="str">
        <f t="shared" si="263"/>
        <v>A Unidade Consumidora 10/908866-7 economizou R$7,54 na fatura referente à abr/2025  consumindo 31 kWh em créditos de energia renovável conforme fatura de energia. A economia foi de 25% em relação ao que seria pago para a Energisa considerando os créditos consumidos. Atenção: Mantenha as contas da Energisa em dia para evitar cortes.</v>
      </c>
      <c r="CD439" s="40" t="s">
        <v>249</v>
      </c>
      <c r="CE439" s="18">
        <v>137.05000000000001</v>
      </c>
      <c r="CF439" s="115">
        <f t="shared" si="264"/>
        <v>0</v>
      </c>
    </row>
    <row r="440" spans="1:85" ht="16.2" hidden="1" customHeight="1" x14ac:dyDescent="0.3">
      <c r="A440" s="105" t="str">
        <f>INDEX('Infos Clientes'!$D:$D,MATCH('Detalhe Por UC'!C440,'Infos Clientes'!B:B,0))</f>
        <v>IGREJA DO EVANGELHO QUADRANGULAR</v>
      </c>
      <c r="B440" s="106" t="str">
        <f>INDEX('Infos Clientes'!$F:$F,MATCH('Detalhe Por UC'!C440,'Infos Clientes'!B:B,0))</f>
        <v>62.955.505/0151-99</v>
      </c>
      <c r="C440" s="44" t="s">
        <v>102</v>
      </c>
      <c r="D440" t="s">
        <v>351</v>
      </c>
      <c r="E440" s="1" t="s">
        <v>352</v>
      </c>
      <c r="F440" s="56" t="str">
        <f>INDEX('Infos Clientes'!$I:$I,MATCH('Detalhe Por UC'!C440,'Infos Clientes'!B:B,0))</f>
        <v>BT</v>
      </c>
      <c r="G440" s="56" t="str">
        <f>INDEX('Infos Clientes'!$J:$J,MATCH('Detalhe Por UC'!C440,'Infos Clientes'!B:B,0))</f>
        <v>trifasico</v>
      </c>
      <c r="H440" s="47" t="str">
        <f>HYPERLINK("https://geraebcsp.sharepoint.com/sites/gestao.gdc/Shared Documents/EGS/2- Faturas/"&amp; TEXT($R440,"AAA") &amp;"/"&amp; TEXT($R440,"MM") &amp;"."&amp; TEXT($R440,"AAA") &amp;"/"&amp;"_10-"&amp; RIGHT($C440,LEN($C440)-3) &amp;"_" &amp; TEXT($R440,"AAAA") &amp;"-"&amp; TEXT($R440,"MM") &amp;".pdf","GIROSSOL II")</f>
        <v>GIROSSOL II</v>
      </c>
      <c r="I440" s="58">
        <f>IFERROR(VLOOKUP(C440,'Infos Clientes'!B:E,4,),"")</f>
        <v>306</v>
      </c>
      <c r="J440" s="109">
        <v>0.25</v>
      </c>
      <c r="K440" s="59">
        <f>INDEX('Infos Clientes'!$M:$M,MATCH('Detalhe Por UC'!C440,'Infos Clientes'!B:B,0))</f>
        <v>0.25</v>
      </c>
      <c r="L440" s="125">
        <v>0</v>
      </c>
      <c r="M440" s="56">
        <f>INDEX('Infos Clientes'!$N:$N,MATCH('Detalhe Por UC'!C440,'Infos Clientes'!B:B,0))</f>
        <v>0</v>
      </c>
      <c r="N440" s="56">
        <f t="shared" si="229"/>
        <v>0</v>
      </c>
      <c r="O440" s="56">
        <f t="shared" si="230"/>
        <v>12</v>
      </c>
      <c r="P440" s="56">
        <f t="shared" si="265"/>
        <v>0</v>
      </c>
      <c r="Q440" s="61">
        <f>IFERROR(IFERROR(INDEX('Infos Clientes'!$A$2:$V$9884,MATCH($C440,'Infos Clientes'!$B$2:$B$9884,0),MATCH(Q$8,'Infos Clientes'!$A$2:$V$2,0)),"")
+IF(OR(INDEX('Infos Clientes'!$A$2:$V$9884,MATCH($C440,'Infos Clientes'!$B$2:$B$9884,0),MATCH("Tempo de Fidelidade (meses)",'Infos Clientes'!$A$2:$V$2,0))=0,R440&gt;=MAX(R:R)),0,
ROUND((MAX(R:R)-R440)/(365/12),0)),"")</f>
        <v>0</v>
      </c>
      <c r="R440" s="111">
        <v>45778</v>
      </c>
      <c r="S440" s="17">
        <v>0.21</v>
      </c>
      <c r="T440" s="113">
        <f>IF($H440="GIROSSOL II",AP440/INDEX('Resumo Operacional'!$A$1:$P$1103,17,MATCH('Detalhe Por UC'!$R440,'Resumo Operacional'!$A$1:$P$1,0)),
IF($H440="GIROSSOL II e III",AP440/INDEX('Resumo Operacional'!$A$1:$P$1103,17,MATCH('Detalhe Por UC'!$R440,'Resumo Operacional'!$A$1:$P$1,0)),
""))</f>
        <v>0.29699151452815636</v>
      </c>
      <c r="U440" s="113" t="str">
        <f>IF($H440="GIROSSOL III",AP440/INDEX('Resumo Operacional'!$A$1:$P$1103,53,MATCH('Detalhe Por UC'!$R440,'Resumo Operacional'!$A$1:$P$1,0)),
IF($H440="GIROSSOL II e III",AP440/INDEX('Resumo Operacional'!$A$1:$P$1103,53,MATCH('Detalhe Por UC'!$R440,'Resumo Operacional'!$A$1:$P$1,0)),
""))</f>
        <v/>
      </c>
      <c r="V440" s="45"/>
      <c r="X440" s="18">
        <v>1.1216246709289206</v>
      </c>
      <c r="Y440" s="18">
        <v>0</v>
      </c>
      <c r="Z440" s="18">
        <v>1.036066190297104</v>
      </c>
      <c r="AA440" s="18">
        <v>0</v>
      </c>
      <c r="AB440" s="143">
        <v>2659</v>
      </c>
      <c r="AC440" s="143">
        <v>0</v>
      </c>
      <c r="AD440" s="143">
        <v>2659</v>
      </c>
      <c r="AE440" s="35"/>
      <c r="AF440" s="143">
        <v>5884</v>
      </c>
      <c r="AG440" s="143">
        <v>0</v>
      </c>
      <c r="AH440" s="48">
        <v>4.41</v>
      </c>
      <c r="AI440" s="143">
        <v>0</v>
      </c>
      <c r="AJ440" s="143">
        <v>0</v>
      </c>
      <c r="AN440" s="71">
        <f t="shared" si="231"/>
        <v>-349</v>
      </c>
      <c r="AO440" s="71">
        <f t="shared" si="232"/>
        <v>0</v>
      </c>
      <c r="AP440" s="71">
        <f t="shared" si="233"/>
        <v>2310</v>
      </c>
      <c r="AQ440" s="72">
        <f>IF(OR($H440="GIROSSOL II",$H440="GIROSSOL II e III"),INDEX('Resumo Operacional'!$A$1:$P$1103,MATCH("Energia Injetada prevista total Fatura da Usina (TUSD)",'Resumo Operacional'!$B$1:$B$1103,0),MATCH('Detalhe Por UC'!$R440,'Resumo Operacional'!$A$1:$P$1,0))*$S440,INDEX('Resumo Operacional'!$A$1:$P$1103,53,MATCH('Detalhe Por UC'!$R440,'Resumo Operacional'!$A$1:$P$1,0))*$S440)</f>
        <v>1633.3799999999999</v>
      </c>
      <c r="AR440" s="71">
        <f t="shared" si="234"/>
        <v>676.62000000000012</v>
      </c>
      <c r="AS440" s="73">
        <f t="shared" si="235"/>
        <v>231.91000000000045</v>
      </c>
      <c r="AT440" s="74">
        <f t="shared" si="236"/>
        <v>231.91000000000045</v>
      </c>
      <c r="AU440" s="74">
        <f t="shared" si="237"/>
        <v>0.95050770966528741</v>
      </c>
      <c r="AV440" s="74">
        <f t="shared" si="238"/>
        <v>2066.1749999999997</v>
      </c>
      <c r="AW440" s="74">
        <f t="shared" si="239"/>
        <v>0</v>
      </c>
      <c r="AX440" s="74">
        <f t="shared" si="240"/>
        <v>2754.8999999999996</v>
      </c>
      <c r="AY440" s="74">
        <f t="shared" si="241"/>
        <v>2066.1799999999998</v>
      </c>
      <c r="AZ440" s="49">
        <v>2066.1799999999998</v>
      </c>
      <c r="BA440" s="49">
        <v>2066.1799999999998</v>
      </c>
      <c r="BC440" s="73" t="str">
        <f t="shared" si="242"/>
        <v/>
      </c>
      <c r="BD440" s="73">
        <f t="shared" si="243"/>
        <v>2986.81</v>
      </c>
      <c r="BE440" s="73">
        <f t="shared" si="244"/>
        <v>2298.085</v>
      </c>
      <c r="BF440" s="77">
        <f t="shared" si="245"/>
        <v>688.73</v>
      </c>
      <c r="BG440" s="77">
        <f t="shared" si="246"/>
        <v>206.619</v>
      </c>
      <c r="BH440" s="77">
        <f t="shared" si="247"/>
        <v>2754.8999999999996</v>
      </c>
      <c r="BI440" s="78">
        <f t="shared" si="248"/>
        <v>0.25</v>
      </c>
      <c r="BJ440" s="79">
        <f t="shared" si="249"/>
        <v>0.23059049621502539</v>
      </c>
      <c r="BK440" s="80">
        <f t="shared" si="250"/>
        <v>2298.09</v>
      </c>
      <c r="BL440" s="80">
        <f t="shared" si="251"/>
        <v>688.7199999999998</v>
      </c>
      <c r="BM440" s="79">
        <f t="shared" si="252"/>
        <v>0.23058714816141629</v>
      </c>
      <c r="BN440" s="81">
        <f t="shared" si="253"/>
        <v>0.77705152312899584</v>
      </c>
      <c r="BO440" s="82">
        <f t="shared" si="254"/>
        <v>2066.1799999999998</v>
      </c>
      <c r="BP440" s="81">
        <f t="shared" si="255"/>
        <v>0.77705152312899584</v>
      </c>
      <c r="BQ440" s="81">
        <f t="shared" si="256"/>
        <v>0.86261000376081243</v>
      </c>
      <c r="BR440" s="81">
        <f t="shared" si="257"/>
        <v>1.1216246709289206</v>
      </c>
      <c r="BS440" s="82">
        <f t="shared" si="258"/>
        <v>2659</v>
      </c>
      <c r="BT440" s="82">
        <f t="shared" si="259"/>
        <v>2982.4</v>
      </c>
      <c r="BU440" s="82">
        <f t="shared" si="260"/>
        <v>2754.8999999999996</v>
      </c>
      <c r="BW440" s="82">
        <f>IFERROR(INDEX('Infos Clientes'!$T:$T,MATCH('Detalhe Por UC'!$C440,'Infos Clientes'!B:B,0)),"")</f>
        <v>2675.750833333333</v>
      </c>
      <c r="BX440" s="83">
        <f t="shared" si="261"/>
        <v>0</v>
      </c>
      <c r="BY440" s="84">
        <f t="shared" si="262"/>
        <v>0.23092811158798271</v>
      </c>
      <c r="BZ440" s="85">
        <f>IF(_xlfn.MINIFS('Detalhe Por UC'!R:R,'Detalhe Por UC'!C:C,C440,'Detalhe Por UC'!AD:AD,"&gt;"&amp;0)=0,"",_xlfn.MINIFS('Detalhe Por UC'!R:R,'Detalhe Por UC'!C:C,C440,'Detalhe Por UC'!AD:AD,"&gt;"&amp;0))</f>
        <v>45627</v>
      </c>
      <c r="CA440" s="114">
        <f ca="1">IF(OR(S440&gt;0,AD440&gt;0),IFERROR(
SUMIFS(INDIRECT("'Infos Clientes'!$W"&amp;INDEX('Infos Clientes'!$C:$C,MATCH(C440,'Infos Clientes'!$H:$H,0))&amp;":$CZ"&amp;INDEX('Infos Clientes'!$C:$C,MATCH(C440,'Infos Clientes'!$H:$H,0))),'Infos Clientes'!$W$2:$CZ$2,"&gt;"&amp;$R440-365,'Infos Clientes'!$W$2:$CZ$2,"&lt;="&amp;$R440)/
COUNTIFS(INDIRECT("'Infos Clientes'!$W"&amp;INDEX('Infos Clientes'!$C:$C,MATCH(C440,'Infos Clientes'!$H:$H,0))&amp;":$CZ"&amp;INDEX('Infos Clientes'!$C:$C,MATCH(C440,'Infos Clientes'!$H:$H,0))),"&gt;="&amp;0,'Infos Clientes'!$W$2:$CZ$2,"&gt;"&amp;$R440-365,'Infos Clientes'!$W$2:$CZ$2,"&lt;="&amp;$R440),""),"")</f>
        <v>2580.0758333333333</v>
      </c>
      <c r="CB440" s="87">
        <f>VLOOKUP(C440,'Infos Clientes'!B:L,11,0)</f>
        <v>0</v>
      </c>
      <c r="CC440" s="88" t="str">
        <f t="shared" si="263"/>
        <v>A Unidade Consumidora 10/364440-8 economizou R$688,73 na fatura referente à mai/2025  consumindo 2659 kWh em créditos de energia renovável conforme fatura de energia. A economia foi de 25% em relação ao que seria pago para a Energisa considerando os créditos consumidos. Atenção: Mantenha as contas da Energisa em dia para evitar cortes.</v>
      </c>
      <c r="CD440" s="40" t="s">
        <v>249</v>
      </c>
      <c r="CE440" s="18">
        <v>231.91</v>
      </c>
      <c r="CF440" s="115">
        <f t="shared" si="264"/>
        <v>-4.5474735088646412E-13</v>
      </c>
    </row>
    <row r="441" spans="1:85" ht="16.2" hidden="1" customHeight="1" x14ac:dyDescent="0.3">
      <c r="A441" s="105" t="str">
        <f>INDEX('Infos Clientes'!$D:$D,MATCH('Detalhe Por UC'!C441,'Infos Clientes'!B:B,0))</f>
        <v>IGREJA DO EVANGELHO QUADRANGULAR</v>
      </c>
      <c r="B441" s="106" t="str">
        <f>INDEX('Infos Clientes'!$F:$F,MATCH('Detalhe Por UC'!C441,'Infos Clientes'!B:B,0))</f>
        <v>62.955.505/3932-07</v>
      </c>
      <c r="C441" s="44" t="s">
        <v>119</v>
      </c>
      <c r="D441" t="s">
        <v>351</v>
      </c>
      <c r="E441" s="1" t="s">
        <v>352</v>
      </c>
      <c r="F441" s="56" t="str">
        <f>INDEX('Infos Clientes'!$I:$I,MATCH('Detalhe Por UC'!C441,'Infos Clientes'!B:B,0))</f>
        <v>BT</v>
      </c>
      <c r="G441" s="56" t="str">
        <f>INDEX('Infos Clientes'!$J:$J,MATCH('Detalhe Por UC'!C441,'Infos Clientes'!B:B,0))</f>
        <v>trifasico</v>
      </c>
      <c r="H441" s="47" t="str">
        <f>HYPERLINK("https://geraebcsp.sharepoint.com/sites/gestao.gdc/Shared Documents/EGS/2- Faturas/"&amp; TEXT($R441,"AAA") &amp;"/"&amp; TEXT($R441,"MM") &amp;"."&amp; TEXT($R441,"AAA") &amp;"/"&amp;"_10-"&amp; RIGHT($C441,LEN($C441)-3) &amp;"_" &amp; TEXT($R441,"AAAA") &amp;"-"&amp; TEXT($R441,"MM") &amp;".pdf","GIROSSOL II")</f>
        <v>GIROSSOL II</v>
      </c>
      <c r="I441" s="58">
        <f>IFERROR(VLOOKUP(C441,'Infos Clientes'!B:E,4,),"")</f>
        <v>302</v>
      </c>
      <c r="J441" s="109">
        <v>0.25</v>
      </c>
      <c r="K441" s="59">
        <f>INDEX('Infos Clientes'!$M:$M,MATCH('Detalhe Por UC'!C441,'Infos Clientes'!B:B,0))</f>
        <v>0.25</v>
      </c>
      <c r="L441" s="125">
        <v>0</v>
      </c>
      <c r="M441" s="56">
        <f>INDEX('Infos Clientes'!$N:$N,MATCH('Detalhe Por UC'!C441,'Infos Clientes'!B:B,0))</f>
        <v>0</v>
      </c>
      <c r="N441" s="56">
        <f t="shared" si="229"/>
        <v>0</v>
      </c>
      <c r="O441" s="56">
        <f t="shared" si="230"/>
        <v>12</v>
      </c>
      <c r="P441" s="56">
        <f t="shared" si="265"/>
        <v>0</v>
      </c>
      <c r="Q441" s="61">
        <f>IFERROR(IFERROR(INDEX('Infos Clientes'!$A$2:$V$9884,MATCH($C441,'Infos Clientes'!$B$2:$B$9884,0),MATCH(Q$8,'Infos Clientes'!$A$2:$V$2,0)),"")
+IF(OR(INDEX('Infos Clientes'!$A$2:$V$9884,MATCH($C441,'Infos Clientes'!$B$2:$B$9884,0),MATCH("Tempo de Fidelidade (meses)",'Infos Clientes'!$A$2:$V$2,0))=0,R441&gt;=MAX(R:R)),0,
ROUND((MAX(R:R)-R441)/(365/12),0)),"")</f>
        <v>0</v>
      </c>
      <c r="R441" s="111">
        <v>45778</v>
      </c>
      <c r="S441" s="17">
        <v>0.1</v>
      </c>
      <c r="T441" s="113">
        <f>IF($H441="GIROSSOL II",AP441/INDEX('Resumo Operacional'!$A$1:$P$1103,17,MATCH('Detalhe Por UC'!$R441,'Resumo Operacional'!$A$1:$P$1,0)),
IF($H441="GIROSSOL II e III",AP441/INDEX('Resumo Operacional'!$A$1:$P$1103,17,MATCH('Detalhe Por UC'!$R441,'Resumo Operacional'!$A$1:$P$1,0)),
""))</f>
        <v>0.14039598868603753</v>
      </c>
      <c r="U441" s="113" t="str">
        <f>IF($H441="GIROSSOL III",AP441/INDEX('Resumo Operacional'!$A$1:$P$1103,53,MATCH('Detalhe Por UC'!$R441,'Resumo Operacional'!$A$1:$P$1,0)),
IF($H441="GIROSSOL II e III",AP441/INDEX('Resumo Operacional'!$A$1:$P$1103,53,MATCH('Detalhe Por UC'!$R441,'Resumo Operacional'!$A$1:$P$1,0)),
""))</f>
        <v/>
      </c>
      <c r="V441" s="45"/>
      <c r="X441" s="18">
        <v>1.1288591868423463</v>
      </c>
      <c r="Y441" s="18">
        <v>0</v>
      </c>
      <c r="Z441" s="18">
        <v>1.128851091206482</v>
      </c>
      <c r="AA441" s="18">
        <v>0</v>
      </c>
      <c r="AB441" s="143">
        <v>1738.68</v>
      </c>
      <c r="AC441" s="143">
        <v>0</v>
      </c>
      <c r="AD441" s="143">
        <v>1458</v>
      </c>
      <c r="AE441" s="35"/>
      <c r="AF441" s="143">
        <v>0</v>
      </c>
      <c r="AG441" s="143">
        <v>0</v>
      </c>
      <c r="AH441" s="48">
        <v>259.04000000000002</v>
      </c>
      <c r="AI441" s="143">
        <v>0</v>
      </c>
      <c r="AJ441" s="143">
        <v>0</v>
      </c>
      <c r="AN441" s="71">
        <f t="shared" si="231"/>
        <v>-366</v>
      </c>
      <c r="AO441" s="71">
        <f t="shared" si="232"/>
        <v>0</v>
      </c>
      <c r="AP441" s="71">
        <f t="shared" si="233"/>
        <v>1092</v>
      </c>
      <c r="AQ441" s="72">
        <f>IF(OR($H441="GIROSSOL II",$H441="GIROSSOL II e III"),INDEX('Resumo Operacional'!$A$1:$P$1103,MATCH("Energia Injetada prevista total Fatura da Usina (TUSD)",'Resumo Operacional'!$B$1:$B$1103,0),MATCH('Detalhe Por UC'!$R441,'Resumo Operacional'!$A$1:$P$1,0))*$S441,INDEX('Resumo Operacional'!$A$1:$P$1103,53,MATCH('Detalhe Por UC'!$R441,'Resumo Operacional'!$A$1:$P$1,0))*$S441)</f>
        <v>777.80000000000007</v>
      </c>
      <c r="AR441" s="71">
        <f t="shared" si="234"/>
        <v>314.19999999999993</v>
      </c>
      <c r="AS441" s="73">
        <f t="shared" si="235"/>
        <v>575.90000000000009</v>
      </c>
      <c r="AT441" s="74">
        <f t="shared" si="236"/>
        <v>575.90000000000009</v>
      </c>
      <c r="AU441" s="74">
        <f t="shared" si="237"/>
        <v>1.1288429955706176</v>
      </c>
      <c r="AV441" s="74">
        <f t="shared" si="238"/>
        <v>1234.3986682342879</v>
      </c>
      <c r="AW441" s="74">
        <f t="shared" si="239"/>
        <v>0</v>
      </c>
      <c r="AX441" s="74">
        <f t="shared" si="240"/>
        <v>1645.8648909790506</v>
      </c>
      <c r="AY441" s="74">
        <f t="shared" si="241"/>
        <v>1234.4000000000001</v>
      </c>
      <c r="AZ441" s="49">
        <v>1234.4000000000001</v>
      </c>
      <c r="BA441" s="49">
        <v>1234.4000000000001</v>
      </c>
      <c r="BB441" s="117">
        <v>1234.4000000000001</v>
      </c>
      <c r="BC441" s="73" t="str">
        <f t="shared" si="242"/>
        <v/>
      </c>
      <c r="BD441" s="73">
        <f t="shared" si="243"/>
        <v>2221.764890979051</v>
      </c>
      <c r="BE441" s="73">
        <f t="shared" si="244"/>
        <v>1810.298668234288</v>
      </c>
      <c r="BF441" s="77">
        <f t="shared" si="245"/>
        <v>411.47</v>
      </c>
      <c r="BG441" s="77">
        <f t="shared" si="246"/>
        <v>123.441</v>
      </c>
      <c r="BH441" s="77">
        <f t="shared" si="247"/>
        <v>1645.8648909790506</v>
      </c>
      <c r="BI441" s="78">
        <f t="shared" si="248"/>
        <v>0.25</v>
      </c>
      <c r="BJ441" s="79">
        <f t="shared" si="249"/>
        <v>0.1851996139063482</v>
      </c>
      <c r="BK441" s="80">
        <f t="shared" si="250"/>
        <v>1810.3000000000002</v>
      </c>
      <c r="BL441" s="80">
        <f t="shared" si="251"/>
        <v>411.46489097905078</v>
      </c>
      <c r="BM441" s="79">
        <f t="shared" si="252"/>
        <v>0.18519731437367937</v>
      </c>
      <c r="BN441" s="81">
        <f t="shared" si="253"/>
        <v>0.84663923182441703</v>
      </c>
      <c r="BO441" s="82">
        <f t="shared" si="254"/>
        <v>1234.4000000000001</v>
      </c>
      <c r="BP441" s="81">
        <f t="shared" si="255"/>
        <v>0.84663923182441703</v>
      </c>
      <c r="BQ441" s="81">
        <f t="shared" si="256"/>
        <v>0.84664732746028137</v>
      </c>
      <c r="BR441" s="81">
        <f t="shared" si="257"/>
        <v>1.1288591868423463</v>
      </c>
      <c r="BS441" s="82">
        <f t="shared" si="258"/>
        <v>1458</v>
      </c>
      <c r="BT441" s="82">
        <f t="shared" si="259"/>
        <v>1645.8766944161409</v>
      </c>
      <c r="BU441" s="82">
        <f t="shared" si="260"/>
        <v>1645.8648909790506</v>
      </c>
      <c r="BW441" s="82">
        <f>IFERROR(INDEX('Infos Clientes'!$T:$T,MATCH('Detalhe Por UC'!$C441,'Infos Clientes'!B:B,0)),"")</f>
        <v>1810.6008333333332</v>
      </c>
      <c r="BX441" s="83">
        <f t="shared" si="261"/>
        <v>0</v>
      </c>
      <c r="BY441" s="84">
        <f t="shared" si="262"/>
        <v>0.24999739796729664</v>
      </c>
      <c r="BZ441" s="85">
        <f>IF(_xlfn.MINIFS('Detalhe Por UC'!R:R,'Detalhe Por UC'!C:C,C441,'Detalhe Por UC'!AD:AD,"&gt;"&amp;0)=0,"",_xlfn.MINIFS('Detalhe Por UC'!R:R,'Detalhe Por UC'!C:C,C441,'Detalhe Por UC'!AD:AD,"&gt;"&amp;0))</f>
        <v>45627</v>
      </c>
      <c r="CA441" s="114">
        <f ca="1">IF(OR(S441&gt;0,AD441&gt;0),IFERROR(
SUMIFS(INDIRECT("'Infos Clientes'!$W"&amp;INDEX('Infos Clientes'!$C:$C,MATCH(C441,'Infos Clientes'!$H:$H,0))&amp;":$CZ"&amp;INDEX('Infos Clientes'!$C:$C,MATCH(C441,'Infos Clientes'!$H:$H,0))),'Infos Clientes'!$W$2:$CZ$2,"&gt;"&amp;$R441-365,'Infos Clientes'!$W$2:$CZ$2,"&lt;="&amp;$R441)/
COUNTIFS(INDIRECT("'Infos Clientes'!$W"&amp;INDEX('Infos Clientes'!$C:$C,MATCH(C441,'Infos Clientes'!$H:$H,0))&amp;":$CZ"&amp;INDEX('Infos Clientes'!$C:$C,MATCH(C441,'Infos Clientes'!$H:$H,0))),"&gt;="&amp;0,'Infos Clientes'!$W$2:$CZ$2,"&gt;"&amp;$R441-365,'Infos Clientes'!$W$2:$CZ$2,"&lt;="&amp;$R441),""),"")</f>
        <v>1785.4216666666669</v>
      </c>
      <c r="CB441" s="87">
        <f>VLOOKUP(C441,'Infos Clientes'!B:L,11,0)</f>
        <v>0</v>
      </c>
      <c r="CC441" s="88" t="str">
        <f t="shared" si="263"/>
        <v>A Unidade Consumidora 10/5202-7 economizou R$411,47 na fatura referente à mai/2025  consumindo 1458 kWh em créditos de energia renovável conforme fatura de energia. A economia foi de 25% em relação ao que seria pago para a Energisa considerando os créditos consumidos. Atenção: Mantenha as contas da Energisa em dia para evitar cortes.</v>
      </c>
      <c r="CD441" s="40" t="s">
        <v>249</v>
      </c>
      <c r="CE441" s="18">
        <v>575.9</v>
      </c>
      <c r="CF441" s="115">
        <f t="shared" si="264"/>
        <v>0</v>
      </c>
      <c r="CG441" t="s">
        <v>357</v>
      </c>
    </row>
    <row r="442" spans="1:85" ht="16.2" hidden="1" customHeight="1" x14ac:dyDescent="0.3">
      <c r="A442" s="105" t="str">
        <f>INDEX('Infos Clientes'!$D:$D,MATCH('Detalhe Por UC'!C442,'Infos Clientes'!B:B,0))</f>
        <v>IGREJA DO EVANGELHO QUADRANGULAR</v>
      </c>
      <c r="B442" s="106" t="str">
        <f>INDEX('Infos Clientes'!$F:$F,MATCH('Detalhe Por UC'!C442,'Infos Clientes'!B:B,0))</f>
        <v>62.955.505/0172-13</v>
      </c>
      <c r="C442" s="44" t="s">
        <v>54</v>
      </c>
      <c r="D442" t="s">
        <v>351</v>
      </c>
      <c r="E442" s="1" t="s">
        <v>352</v>
      </c>
      <c r="F442" s="56" t="str">
        <f>INDEX('Infos Clientes'!$I:$I,MATCH('Detalhe Por UC'!C442,'Infos Clientes'!B:B,0))</f>
        <v>BT</v>
      </c>
      <c r="G442" s="56" t="str">
        <f>INDEX('Infos Clientes'!$J:$J,MATCH('Detalhe Por UC'!C442,'Infos Clientes'!B:B,0))</f>
        <v>trifasico</v>
      </c>
      <c r="H442" s="47" t="str">
        <f>HYPERLINK("https://geraebcsp.sharepoint.com/sites/gestao.gdc/Shared Documents/EGS/2- Faturas/"&amp; TEXT($R442,"AAA") &amp;"/"&amp; TEXT($R442,"MM") &amp;"."&amp; TEXT($R442,"AAA") &amp;"/"&amp;"_10-"&amp; RIGHT($C442,LEN($C442)-3) &amp;"_" &amp; TEXT($R442,"AAAA") &amp;"-"&amp; TEXT($R442,"MM") &amp;".pdf","GIROSSOL II")</f>
        <v>GIROSSOL II</v>
      </c>
      <c r="I442" s="58">
        <f>IFERROR(VLOOKUP(C442,'Infos Clientes'!B:E,4,),"")</f>
        <v>371</v>
      </c>
      <c r="J442" s="109">
        <v>0.25</v>
      </c>
      <c r="K442" s="59">
        <f>INDEX('Infos Clientes'!$M:$M,MATCH('Detalhe Por UC'!C442,'Infos Clientes'!B:B,0))</f>
        <v>0.25</v>
      </c>
      <c r="L442" s="125">
        <v>0</v>
      </c>
      <c r="M442" s="56">
        <f>INDEX('Infos Clientes'!$N:$N,MATCH('Detalhe Por UC'!C442,'Infos Clientes'!B:B,0))</f>
        <v>0</v>
      </c>
      <c r="N442" s="56">
        <f t="shared" si="229"/>
        <v>0</v>
      </c>
      <c r="O442" s="56">
        <f t="shared" si="230"/>
        <v>12</v>
      </c>
      <c r="P442" s="56">
        <f t="shared" si="265"/>
        <v>0</v>
      </c>
      <c r="Q442" s="61">
        <f>IFERROR(IFERROR(INDEX('Infos Clientes'!$A$2:$V$9884,MATCH($C442,'Infos Clientes'!$B$2:$B$9884,0),MATCH(Q$8,'Infos Clientes'!$A$2:$V$2,0)),"")
+IF(OR(INDEX('Infos Clientes'!$A$2:$V$9884,MATCH($C442,'Infos Clientes'!$B$2:$B$9884,0),MATCH("Tempo de Fidelidade (meses)",'Infos Clientes'!$A$2:$V$2,0))=0,R442&gt;=MAX(R:R)),0,
ROUND((MAX(R:R)-R442)/(365/12),0)),"")</f>
        <v>0</v>
      </c>
      <c r="R442" s="111">
        <v>45778</v>
      </c>
      <c r="S442" s="17">
        <v>5.0000000000000001E-3</v>
      </c>
      <c r="T442" s="113">
        <f>IF($H442="GIROSSOL II",AP442/INDEX('Resumo Operacional'!$A$1:$P$1103,17,MATCH('Detalhe Por UC'!$R442,'Resumo Operacional'!$A$1:$P$1,0)),
IF($H442="GIROSSOL II e III",AP442/INDEX('Resumo Operacional'!$A$1:$P$1103,17,MATCH('Detalhe Por UC'!$R442,'Resumo Operacional'!$A$1:$P$1,0)),
""))</f>
        <v>1.1828233479043456E-2</v>
      </c>
      <c r="U442" s="113" t="str">
        <f>IF($H442="GIROSSOL III",AP442/INDEX('Resumo Operacional'!$A$1:$P$1103,53,MATCH('Detalhe Por UC'!$R442,'Resumo Operacional'!$A$1:$P$1,0)),
IF($H442="GIROSSOL II e III",AP442/INDEX('Resumo Operacional'!$A$1:$P$1103,53,MATCH('Detalhe Por UC'!$R442,'Resumo Operacional'!$A$1:$P$1,0)),
""))</f>
        <v/>
      </c>
      <c r="V442" s="45"/>
      <c r="X442" s="18">
        <v>1.1315228070175438</v>
      </c>
      <c r="Y442" s="18">
        <v>0</v>
      </c>
      <c r="Z442" s="18">
        <v>1.1315011235955057</v>
      </c>
      <c r="AA442" s="18">
        <v>0</v>
      </c>
      <c r="AB442" s="143">
        <v>456</v>
      </c>
      <c r="AC442" s="143">
        <v>0</v>
      </c>
      <c r="AD442" s="143">
        <v>356</v>
      </c>
      <c r="AE442" s="35"/>
      <c r="AF442" s="143">
        <v>2789</v>
      </c>
      <c r="AG442" s="143">
        <v>0</v>
      </c>
      <c r="AH442" s="48">
        <v>55.51</v>
      </c>
      <c r="AI442" s="143">
        <v>0</v>
      </c>
      <c r="AJ442" s="143">
        <v>0</v>
      </c>
      <c r="AN442" s="71">
        <f t="shared" si="231"/>
        <v>-264</v>
      </c>
      <c r="AO442" s="71">
        <f t="shared" si="232"/>
        <v>0</v>
      </c>
      <c r="AP442" s="71">
        <f t="shared" si="233"/>
        <v>92</v>
      </c>
      <c r="AQ442" s="72">
        <f>IF(OR($H442="GIROSSOL II",$H442="GIROSSOL II e III"),INDEX('Resumo Operacional'!$A$1:$P$1103,MATCH("Energia Injetada prevista total Fatura da Usina (TUSD)",'Resumo Operacional'!$B$1:$B$1103,0),MATCH('Detalhe Por UC'!$R442,'Resumo Operacional'!$A$1:$P$1,0))*$S442,INDEX('Resumo Operacional'!$A$1:$P$1103,53,MATCH('Detalhe Por UC'!$R442,'Resumo Operacional'!$A$1:$P$1,0))*$S442)</f>
        <v>38.89</v>
      </c>
      <c r="AR442" s="71">
        <f t="shared" si="234"/>
        <v>53.11</v>
      </c>
      <c r="AS442" s="73">
        <f t="shared" si="235"/>
        <v>168.6699999999999</v>
      </c>
      <c r="AT442" s="74">
        <f t="shared" si="236"/>
        <v>168.6699999999999</v>
      </c>
      <c r="AU442" s="74">
        <f t="shared" si="237"/>
        <v>1.1314794401734676</v>
      </c>
      <c r="AV442" s="74">
        <f t="shared" si="238"/>
        <v>302.11080000000004</v>
      </c>
      <c r="AW442" s="74">
        <f t="shared" si="239"/>
        <v>0</v>
      </c>
      <c r="AX442" s="74">
        <f t="shared" si="240"/>
        <v>402.81440000000003</v>
      </c>
      <c r="AY442" s="74">
        <f t="shared" si="241"/>
        <v>302.11</v>
      </c>
      <c r="AZ442" s="49">
        <v>302.11</v>
      </c>
      <c r="BA442" s="49">
        <v>302.11</v>
      </c>
      <c r="BB442" s="117">
        <v>302.11</v>
      </c>
      <c r="BC442" s="73" t="str">
        <f t="shared" si="242"/>
        <v/>
      </c>
      <c r="BD442" s="73">
        <f t="shared" si="243"/>
        <v>571.48439999999994</v>
      </c>
      <c r="BE442" s="73">
        <f t="shared" si="244"/>
        <v>470.78079999999994</v>
      </c>
      <c r="BF442" s="77">
        <f t="shared" si="245"/>
        <v>100.7</v>
      </c>
      <c r="BG442" s="77">
        <f t="shared" si="246"/>
        <v>30.21</v>
      </c>
      <c r="BH442" s="77">
        <f t="shared" si="247"/>
        <v>402.81440000000003</v>
      </c>
      <c r="BI442" s="78">
        <f t="shared" si="248"/>
        <v>0.25</v>
      </c>
      <c r="BJ442" s="79">
        <f t="shared" si="249"/>
        <v>0.17620778449945443</v>
      </c>
      <c r="BK442" s="80">
        <f t="shared" si="250"/>
        <v>470.77999999999992</v>
      </c>
      <c r="BL442" s="80">
        <f t="shared" si="251"/>
        <v>100.70440000000002</v>
      </c>
      <c r="BM442" s="79">
        <f t="shared" si="252"/>
        <v>0.17621548374723794</v>
      </c>
      <c r="BN442" s="81">
        <f t="shared" si="253"/>
        <v>0.84862359550561806</v>
      </c>
      <c r="BO442" s="82">
        <f t="shared" si="254"/>
        <v>302.11</v>
      </c>
      <c r="BP442" s="81">
        <f t="shared" si="255"/>
        <v>0.84862359550561806</v>
      </c>
      <c r="BQ442" s="81">
        <f t="shared" si="256"/>
        <v>0.84864527892765618</v>
      </c>
      <c r="BR442" s="81">
        <f t="shared" si="257"/>
        <v>1.1315228070175438</v>
      </c>
      <c r="BS442" s="82">
        <f t="shared" si="258"/>
        <v>356</v>
      </c>
      <c r="BT442" s="82">
        <f t="shared" si="259"/>
        <v>402.82211929824558</v>
      </c>
      <c r="BU442" s="82">
        <f t="shared" si="260"/>
        <v>402.81440000000003</v>
      </c>
      <c r="BW442" s="82">
        <f>IFERROR(INDEX('Infos Clientes'!$T:$T,MATCH('Detalhe Por UC'!$C442,'Infos Clientes'!B:B,0)),"")</f>
        <v>418.16666666666669</v>
      </c>
      <c r="BX442" s="83">
        <f t="shared" si="261"/>
        <v>0</v>
      </c>
      <c r="BY442" s="84">
        <f t="shared" si="262"/>
        <v>0.24999719522710578</v>
      </c>
      <c r="BZ442" s="85">
        <f>IF(_xlfn.MINIFS('Detalhe Por UC'!R:R,'Detalhe Por UC'!C:C,C442,'Detalhe Por UC'!AD:AD,"&gt;"&amp;0)=0,"",_xlfn.MINIFS('Detalhe Por UC'!R:R,'Detalhe Por UC'!C:C,C442,'Detalhe Por UC'!AD:AD,"&gt;"&amp;0))</f>
        <v>45627</v>
      </c>
      <c r="CA442" s="114">
        <f ca="1">IF(OR(S442&gt;0,AD442&gt;0),IFERROR(
SUMIFS(INDIRECT("'Infos Clientes'!$W"&amp;INDEX('Infos Clientes'!$C:$C,MATCH(C442,'Infos Clientes'!$H:$H,0))&amp;":$CZ"&amp;INDEX('Infos Clientes'!$C:$C,MATCH(C442,'Infos Clientes'!$H:$H,0))),'Infos Clientes'!$W$2:$CZ$2,"&gt;"&amp;$R442-365,'Infos Clientes'!$W$2:$CZ$2,"&lt;="&amp;$R442)/
COUNTIFS(INDIRECT("'Infos Clientes'!$W"&amp;INDEX('Infos Clientes'!$C:$C,MATCH(C442,'Infos Clientes'!$H:$H,0))&amp;":$CZ"&amp;INDEX('Infos Clientes'!$C:$C,MATCH(C442,'Infos Clientes'!$H:$H,0))),"&gt;="&amp;0,'Infos Clientes'!$W$2:$CZ$2,"&gt;"&amp;$R442-365,'Infos Clientes'!$W$2:$CZ$2,"&lt;="&amp;$R442),""),"")</f>
        <v>372.41666666666669</v>
      </c>
      <c r="CB442" s="87">
        <f>VLOOKUP(C442,'Infos Clientes'!B:L,11,0)</f>
        <v>0</v>
      </c>
      <c r="CC442" s="88" t="str">
        <f t="shared" si="263"/>
        <v>A Unidade Consumidora 10/1672452-8 economizou R$100,7 na fatura referente à mai/2025  consumindo 356 kWh em créditos de energia renovável conforme fatura de energia. A economia foi de 25% em relação ao que seria pago para a Energisa considerando os créditos consumidos. Atenção: Mantenha as contas da Energisa em dia para evitar cortes.</v>
      </c>
      <c r="CD442" s="40" t="s">
        <v>56</v>
      </c>
      <c r="CE442" s="18">
        <v>168.67</v>
      </c>
      <c r="CF442" s="115">
        <f t="shared" si="264"/>
        <v>0</v>
      </c>
      <c r="CG442" t="s">
        <v>358</v>
      </c>
    </row>
    <row r="443" spans="1:85" ht="16.2" hidden="1" customHeight="1" x14ac:dyDescent="0.3">
      <c r="A443" s="105" t="str">
        <f>INDEX('Infos Clientes'!$D:$D,MATCH('Detalhe Por UC'!C443,'Infos Clientes'!B:B,0))</f>
        <v>IGREJA DO EVANGELHO QUADRANGULAR</v>
      </c>
      <c r="B443" s="106" t="str">
        <f>INDEX('Infos Clientes'!$F:$F,MATCH('Detalhe Por UC'!C443,'Infos Clientes'!B:B,0))</f>
        <v>62.955.505/0160-80</v>
      </c>
      <c r="C443" s="44" t="s">
        <v>61</v>
      </c>
      <c r="D443" t="s">
        <v>351</v>
      </c>
      <c r="E443" s="1" t="s">
        <v>352</v>
      </c>
      <c r="F443" s="56" t="str">
        <f>INDEX('Infos Clientes'!$I:$I,MATCH('Detalhe Por UC'!C443,'Infos Clientes'!B:B,0))</f>
        <v>BT</v>
      </c>
      <c r="G443" s="56" t="str">
        <f>INDEX('Infos Clientes'!$J:$J,MATCH('Detalhe Por UC'!C443,'Infos Clientes'!B:B,0))</f>
        <v>trifasico</v>
      </c>
      <c r="H443" s="108" t="s">
        <v>24</v>
      </c>
      <c r="I443" s="58">
        <f>IFERROR(VLOOKUP(C443,'Infos Clientes'!B:E,4,),"")</f>
        <v>357</v>
      </c>
      <c r="J443" s="109">
        <v>0.25</v>
      </c>
      <c r="K443" s="59">
        <f>INDEX('Infos Clientes'!$M:$M,MATCH('Detalhe Por UC'!C443,'Infos Clientes'!B:B,0))</f>
        <v>0.25</v>
      </c>
      <c r="L443" s="125">
        <v>0</v>
      </c>
      <c r="M443" s="56">
        <f>INDEX('Infos Clientes'!$N:$N,MATCH('Detalhe Por UC'!C443,'Infos Clientes'!B:B,0))</f>
        <v>0</v>
      </c>
      <c r="N443" s="56">
        <f t="shared" si="229"/>
        <v>0</v>
      </c>
      <c r="O443" s="56">
        <f t="shared" si="230"/>
        <v>11</v>
      </c>
      <c r="P443" s="56">
        <f t="shared" si="265"/>
        <v>0</v>
      </c>
      <c r="Q443" s="61">
        <f>IFERROR(IFERROR(INDEX('Infos Clientes'!$A$2:$V$9884,MATCH($C443,'Infos Clientes'!$B$2:$B$9884,0),MATCH(Q$8,'Infos Clientes'!$A$2:$V$2,0)),"")
+IF(OR(INDEX('Infos Clientes'!$A$2:$V$9884,MATCH($C443,'Infos Clientes'!$B$2:$B$9884,0),MATCH("Tempo de Fidelidade (meses)",'Infos Clientes'!$A$2:$V$2,0))=0,R443&gt;=MAX(R:R)),0,
ROUND((MAX(R:R)-R443)/(365/12),0)),"")</f>
        <v>0</v>
      </c>
      <c r="R443" s="111">
        <v>45778</v>
      </c>
      <c r="S443" s="17">
        <v>0.02</v>
      </c>
      <c r="T443" s="113">
        <f>IF($H443="GIROSSOL II",AP443/INDEX('Resumo Operacional'!$A$1:$P$1103,17,MATCH('Detalhe Por UC'!$R443,'Resumo Operacional'!$A$1:$P$1,0)),
IF($H443="GIROSSOL II e III",AP443/INDEX('Resumo Operacional'!$A$1:$P$1103,17,MATCH('Detalhe Por UC'!$R443,'Resumo Operacional'!$A$1:$P$1,0)),
""))</f>
        <v>1.9928002057084084E-2</v>
      </c>
      <c r="U443" s="113" t="str">
        <f>IF($H443="GIROSSOL III",AP443/INDEX('Resumo Operacional'!$A$1:$P$1103,53,MATCH('Detalhe Por UC'!$R443,'Resumo Operacional'!$A$1:$P$1,0)),
IF($H443="GIROSSOL II e III",AP443/INDEX('Resumo Operacional'!$A$1:$P$1103,53,MATCH('Detalhe Por UC'!$R443,'Resumo Operacional'!$A$1:$P$1,0)),
""))</f>
        <v/>
      </c>
      <c r="V443" s="45"/>
      <c r="X443" s="18">
        <v>1.140075268817204</v>
      </c>
      <c r="Y443" s="18">
        <v>0</v>
      </c>
      <c r="Z443" s="18">
        <v>1.1400645161290321</v>
      </c>
      <c r="AA443" s="18">
        <v>0</v>
      </c>
      <c r="AB443" s="143">
        <v>930</v>
      </c>
      <c r="AC443" s="143">
        <v>0</v>
      </c>
      <c r="AD443" s="143">
        <v>155</v>
      </c>
      <c r="AE443" s="35"/>
      <c r="AF443" s="143">
        <v>0</v>
      </c>
      <c r="AG443" s="143">
        <v>0</v>
      </c>
      <c r="AH443" s="48">
        <v>0</v>
      </c>
      <c r="AI443" s="143">
        <v>0</v>
      </c>
      <c r="AJ443" s="143">
        <v>0</v>
      </c>
      <c r="AN443" s="71">
        <f t="shared" si="231"/>
        <v>0</v>
      </c>
      <c r="AO443" s="71">
        <f t="shared" si="232"/>
        <v>0</v>
      </c>
      <c r="AP443" s="71">
        <f t="shared" si="233"/>
        <v>155</v>
      </c>
      <c r="AQ443" s="72">
        <f>IF(OR($H443="GIROSSOL II",$H443="GIROSSOL II e III"),INDEX('Resumo Operacional'!$A$1:$P$1103,MATCH("Energia Injetada prevista total Fatura da Usina (TUSD)",'Resumo Operacional'!$B$1:$B$1103,0),MATCH('Detalhe Por UC'!$R443,'Resumo Operacional'!$A$1:$P$1,0))*$S443,INDEX('Resumo Operacional'!$A$1:$P$1103,53,MATCH('Detalhe Por UC'!$R443,'Resumo Operacional'!$A$1:$P$1,0))*$S443)</f>
        <v>155.56</v>
      </c>
      <c r="AR443" s="71">
        <f t="shared" si="234"/>
        <v>-0.56000000000000227</v>
      </c>
      <c r="AS443" s="73">
        <f t="shared" si="235"/>
        <v>883.55999999999972</v>
      </c>
      <c r="AT443" s="74">
        <f t="shared" si="236"/>
        <v>883.55999999999972</v>
      </c>
      <c r="AU443" s="74">
        <f t="shared" si="237"/>
        <v>1.1400537634408603</v>
      </c>
      <c r="AV443" s="74">
        <f t="shared" si="238"/>
        <v>132.5325</v>
      </c>
      <c r="AW443" s="74">
        <f t="shared" si="239"/>
        <v>0</v>
      </c>
      <c r="AX443" s="74">
        <f t="shared" si="240"/>
        <v>176.70999999999998</v>
      </c>
      <c r="AY443" s="74">
        <f t="shared" si="241"/>
        <v>132.53</v>
      </c>
      <c r="AZ443" s="49">
        <v>132.53</v>
      </c>
      <c r="BA443" s="49">
        <v>132.53</v>
      </c>
      <c r="BC443" s="73" t="str">
        <f t="shared" si="242"/>
        <v/>
      </c>
      <c r="BD443" s="73">
        <f t="shared" si="243"/>
        <v>1060.2699999999998</v>
      </c>
      <c r="BE443" s="73">
        <f t="shared" si="244"/>
        <v>1016.0924999999997</v>
      </c>
      <c r="BF443" s="77">
        <f t="shared" si="245"/>
        <v>44.18</v>
      </c>
      <c r="BG443" s="77">
        <f t="shared" si="246"/>
        <v>13.254</v>
      </c>
      <c r="BH443" s="77">
        <f t="shared" si="247"/>
        <v>176.70999999999998</v>
      </c>
      <c r="BI443" s="78">
        <f t="shared" si="248"/>
        <v>0.25</v>
      </c>
      <c r="BJ443" s="79">
        <f t="shared" si="249"/>
        <v>4.1668631574976196E-2</v>
      </c>
      <c r="BK443" s="80">
        <f t="shared" si="250"/>
        <v>1016.0899999999997</v>
      </c>
      <c r="BL443" s="80">
        <f t="shared" si="251"/>
        <v>44.180000000000064</v>
      </c>
      <c r="BM443" s="79">
        <f t="shared" si="252"/>
        <v>4.1668631574976252E-2</v>
      </c>
      <c r="BN443" s="81">
        <f t="shared" si="253"/>
        <v>0.8550322580645161</v>
      </c>
      <c r="BO443" s="82">
        <f t="shared" si="254"/>
        <v>132.53</v>
      </c>
      <c r="BP443" s="81">
        <f t="shared" si="255"/>
        <v>0.8550322580645161</v>
      </c>
      <c r="BQ443" s="81">
        <f t="shared" si="256"/>
        <v>0.85504301075268796</v>
      </c>
      <c r="BR443" s="81">
        <f t="shared" si="257"/>
        <v>1.140075268817204</v>
      </c>
      <c r="BS443" s="82">
        <f t="shared" si="258"/>
        <v>155</v>
      </c>
      <c r="BT443" s="82">
        <f t="shared" si="259"/>
        <v>176.71166666666662</v>
      </c>
      <c r="BU443" s="82">
        <f t="shared" si="260"/>
        <v>176.70999999999998</v>
      </c>
      <c r="BW443" s="82">
        <f>IFERROR(INDEX('Infos Clientes'!$T:$T,MATCH('Detalhe Por UC'!$C443,'Infos Clientes'!B:B,0)),"")</f>
        <v>958.25</v>
      </c>
      <c r="BX443" s="83">
        <f t="shared" si="261"/>
        <v>0</v>
      </c>
      <c r="BY443" s="84">
        <f t="shared" si="262"/>
        <v>0.25001178944985708</v>
      </c>
      <c r="BZ443" s="85">
        <f>IF(_xlfn.MINIFS('Detalhe Por UC'!R:R,'Detalhe Por UC'!C:C,C443,'Detalhe Por UC'!AD:AD,"&gt;"&amp;0)=0,"",_xlfn.MINIFS('Detalhe Por UC'!R:R,'Detalhe Por UC'!C:C,C443,'Detalhe Por UC'!AD:AD,"&gt;"&amp;0))</f>
        <v>45627</v>
      </c>
      <c r="CA443" s="114">
        <f ca="1">IF(OR(S443&gt;0,AD443&gt;0),IFERROR(
SUMIFS(INDIRECT("'Infos Clientes'!$W"&amp;INDEX('Infos Clientes'!$C:$C,MATCH(C443,'Infos Clientes'!$H:$H,0))&amp;":$CZ"&amp;INDEX('Infos Clientes'!$C:$C,MATCH(C443,'Infos Clientes'!$H:$H,0))),'Infos Clientes'!$W$2:$CZ$2,"&gt;"&amp;$R443-365,'Infos Clientes'!$W$2:$CZ$2,"&lt;="&amp;$R443)/
COUNTIFS(INDIRECT("'Infos Clientes'!$W"&amp;INDEX('Infos Clientes'!$C:$C,MATCH(C443,'Infos Clientes'!$H:$H,0))&amp;":$CZ"&amp;INDEX('Infos Clientes'!$C:$C,MATCH(C443,'Infos Clientes'!$H:$H,0))),"&gt;="&amp;0,'Infos Clientes'!$W$2:$CZ$2,"&gt;"&amp;$R443-365,'Infos Clientes'!$W$2:$CZ$2,"&lt;="&amp;$R443),""),"")</f>
        <v>948.08333333333337</v>
      </c>
      <c r="CB443" s="87">
        <f>VLOOKUP(C443,'Infos Clientes'!B:L,11,0)</f>
        <v>0</v>
      </c>
      <c r="CC443" s="88" t="str">
        <f t="shared" si="263"/>
        <v>A Unidade Consumidora 10/18015-8 economizou R$44,18 na fatura referente à mai/2025  consumindo 155 kWh em créditos de energia renovável conforme fatura de energia. A economia foi de 25% em relação ao que seria pago para a Energisa considerando os créditos consumidos. Atenção: Mantenha as contas da Energisa em dia para evitar cortes.</v>
      </c>
      <c r="CD443" s="40" t="s">
        <v>63</v>
      </c>
      <c r="CE443" s="18">
        <v>883.56</v>
      </c>
      <c r="CF443" s="115">
        <f t="shared" si="264"/>
        <v>0</v>
      </c>
      <c r="CG443" t="s">
        <v>359</v>
      </c>
    </row>
    <row r="444" spans="1:85" ht="16.2" hidden="1" customHeight="1" x14ac:dyDescent="0.3">
      <c r="A444" s="105" t="str">
        <f>INDEX('Infos Clientes'!$D:$D,MATCH('Detalhe Por UC'!C444,'Infos Clientes'!B:B,0))</f>
        <v>IGREJA DO EVANGELHO QUADRANGULAR</v>
      </c>
      <c r="B444" s="106" t="str">
        <f>INDEX('Infos Clientes'!$F:$F,MATCH('Detalhe Por UC'!C444,'Infos Clientes'!B:B,0))</f>
        <v>62.955.505/0676-60</v>
      </c>
      <c r="C444" s="44" t="s">
        <v>91</v>
      </c>
      <c r="D444" t="s">
        <v>351</v>
      </c>
      <c r="E444" s="1" t="s">
        <v>352</v>
      </c>
      <c r="F444" s="56" t="str">
        <f>INDEX('Infos Clientes'!$I:$I,MATCH('Detalhe Por UC'!C444,'Infos Clientes'!B:B,0))</f>
        <v>BT</v>
      </c>
      <c r="G444" s="56" t="str">
        <f>INDEX('Infos Clientes'!$J:$J,MATCH('Detalhe Por UC'!C444,'Infos Clientes'!B:B,0))</f>
        <v>trifasico</v>
      </c>
      <c r="H444" s="47" t="str">
        <f>HYPERLINK("https://geraebcsp.sharepoint.com/sites/gestao.gdc/Shared Documents/EGS/2- Faturas/"&amp; TEXT($R444,"AAA") &amp;"/"&amp; TEXT($R444,"MM") &amp;"."&amp; TEXT($R444,"AAA") &amp;"/"&amp;"_10-"&amp; RIGHT($C444,LEN($C444)-3) &amp;"_" &amp; TEXT($R444,"AAAA") &amp;"-"&amp; TEXT($R444,"MM") &amp;".pdf","GIROSSOL II")</f>
        <v>GIROSSOL II</v>
      </c>
      <c r="I444" s="58">
        <f>IFERROR(VLOOKUP(C444,'Infos Clientes'!B:E,4,),"")</f>
        <v>357</v>
      </c>
      <c r="J444" s="109">
        <v>0.25</v>
      </c>
      <c r="K444" s="59">
        <f>INDEX('Infos Clientes'!$M:$M,MATCH('Detalhe Por UC'!C444,'Infos Clientes'!B:B,0))</f>
        <v>0.25</v>
      </c>
      <c r="L444" s="125">
        <v>0</v>
      </c>
      <c r="M444" s="56">
        <f>INDEX('Infos Clientes'!$N:$N,MATCH('Detalhe Por UC'!C444,'Infos Clientes'!B:B,0))</f>
        <v>0</v>
      </c>
      <c r="N444" s="56">
        <f t="shared" si="229"/>
        <v>0</v>
      </c>
      <c r="O444" s="56">
        <f t="shared" si="230"/>
        <v>12</v>
      </c>
      <c r="P444" s="56">
        <f t="shared" si="265"/>
        <v>0</v>
      </c>
      <c r="Q444" s="61">
        <f>IFERROR(IFERROR(INDEX('Infos Clientes'!$A$2:$V$9884,MATCH($C444,'Infos Clientes'!$B$2:$B$9884,0),MATCH(Q$8,'Infos Clientes'!$A$2:$V$2,0)),"")
+IF(OR(INDEX('Infos Clientes'!$A$2:$V$9884,MATCH($C444,'Infos Clientes'!$B$2:$B$9884,0),MATCH("Tempo de Fidelidade (meses)",'Infos Clientes'!$A$2:$V$2,0))=0,R444&gt;=MAX(R:R)),0,
ROUND((MAX(R:R)-R444)/(365/12),0)),"")</f>
        <v>0</v>
      </c>
      <c r="R444" s="111">
        <v>45778</v>
      </c>
      <c r="S444" s="17">
        <v>0.04</v>
      </c>
      <c r="T444" s="113">
        <f>IF($H444="GIROSSOL II",AP444/INDEX('Resumo Operacional'!$A$1:$P$1103,17,MATCH('Detalhe Por UC'!$R444,'Resumo Operacional'!$A$1:$P$1,0)),
IF($H444="GIROSSOL II e III",AP444/INDEX('Resumo Operacional'!$A$1:$P$1103,17,MATCH('Detalhe Por UC'!$R444,'Resumo Operacional'!$A$1:$P$1,0)),
""))</f>
        <v>9.6040113139624586E-2</v>
      </c>
      <c r="U444" s="113" t="str">
        <f>IF($H444="GIROSSOL III",AP444/INDEX('Resumo Operacional'!$A$1:$P$1103,53,MATCH('Detalhe Por UC'!$R444,'Resumo Operacional'!$A$1:$P$1,0)),
IF($H444="GIROSSOL II e III",AP444/INDEX('Resumo Operacional'!$A$1:$P$1103,53,MATCH('Detalhe Por UC'!$R444,'Resumo Operacional'!$A$1:$P$1,0)),
""))</f>
        <v/>
      </c>
      <c r="V444" s="45"/>
      <c r="X444" s="18">
        <v>1.1320321996637785</v>
      </c>
      <c r="Y444" s="18">
        <v>0</v>
      </c>
      <c r="Z444" s="18">
        <v>1.1011271901823083</v>
      </c>
      <c r="AA444" s="18">
        <v>0</v>
      </c>
      <c r="AB444" s="143">
        <v>836</v>
      </c>
      <c r="AC444" s="143">
        <v>0</v>
      </c>
      <c r="AD444" s="143">
        <v>762</v>
      </c>
      <c r="AE444" s="35"/>
      <c r="AF444" s="143">
        <v>754</v>
      </c>
      <c r="AG444" s="143">
        <v>0</v>
      </c>
      <c r="AH444" s="48">
        <v>2.13</v>
      </c>
      <c r="AI444" s="143">
        <v>0</v>
      </c>
      <c r="AJ444" s="143">
        <v>0</v>
      </c>
      <c r="AN444" s="71">
        <f t="shared" si="231"/>
        <v>-15</v>
      </c>
      <c r="AO444" s="71">
        <f t="shared" si="232"/>
        <v>0</v>
      </c>
      <c r="AP444" s="71">
        <f t="shared" si="233"/>
        <v>747</v>
      </c>
      <c r="AQ444" s="72">
        <f>IF(OR($H444="GIROSSOL II",$H444="GIROSSOL II e III"),INDEX('Resumo Operacional'!$A$1:$P$1103,MATCH("Energia Injetada prevista total Fatura da Usina (TUSD)",'Resumo Operacional'!$B$1:$B$1103,0),MATCH('Detalhe Por UC'!$R444,'Resumo Operacional'!$A$1:$P$1,0))*$S444,INDEX('Resumo Operacional'!$A$1:$P$1103,53,MATCH('Detalhe Por UC'!$R444,'Resumo Operacional'!$A$1:$P$1,0))*$S444)</f>
        <v>311.12</v>
      </c>
      <c r="AR444" s="71">
        <f t="shared" si="234"/>
        <v>435.88</v>
      </c>
      <c r="AS444" s="73">
        <f t="shared" si="235"/>
        <v>109.44999999999993</v>
      </c>
      <c r="AT444" s="74">
        <f t="shared" si="236"/>
        <v>109.44999999999993</v>
      </c>
      <c r="AU444" s="74">
        <f t="shared" si="237"/>
        <v>1.0702221807008381</v>
      </c>
      <c r="AV444" s="74">
        <f t="shared" si="238"/>
        <v>629.2941891891893</v>
      </c>
      <c r="AW444" s="74">
        <f t="shared" si="239"/>
        <v>0</v>
      </c>
      <c r="AX444" s="74">
        <f t="shared" si="240"/>
        <v>839.05891891891895</v>
      </c>
      <c r="AY444" s="74">
        <f t="shared" si="241"/>
        <v>629.29</v>
      </c>
      <c r="AZ444" s="49">
        <v>629.29</v>
      </c>
      <c r="BA444" s="49">
        <v>629.29</v>
      </c>
      <c r="BB444" s="117">
        <v>629.29</v>
      </c>
      <c r="BC444" s="73" t="str">
        <f t="shared" si="242"/>
        <v/>
      </c>
      <c r="BD444" s="73">
        <f t="shared" si="243"/>
        <v>948.50891891891888</v>
      </c>
      <c r="BE444" s="73">
        <f t="shared" si="244"/>
        <v>738.74418918918923</v>
      </c>
      <c r="BF444" s="77">
        <f t="shared" si="245"/>
        <v>209.76</v>
      </c>
      <c r="BG444" s="77">
        <f t="shared" si="246"/>
        <v>62.927999999999997</v>
      </c>
      <c r="BH444" s="77">
        <f t="shared" si="247"/>
        <v>839.05891891891895</v>
      </c>
      <c r="BI444" s="78">
        <f t="shared" si="248"/>
        <v>0.25</v>
      </c>
      <c r="BJ444" s="79">
        <f t="shared" si="249"/>
        <v>0.22114710343375363</v>
      </c>
      <c r="BK444" s="80">
        <f t="shared" si="250"/>
        <v>738.7399999999999</v>
      </c>
      <c r="BL444" s="80">
        <f t="shared" si="251"/>
        <v>209.76891891891898</v>
      </c>
      <c r="BM444" s="79">
        <f t="shared" si="252"/>
        <v>0.22115650652816962</v>
      </c>
      <c r="BN444" s="81">
        <f t="shared" si="253"/>
        <v>0.82583989501312327</v>
      </c>
      <c r="BO444" s="82">
        <f t="shared" si="254"/>
        <v>629.29</v>
      </c>
      <c r="BP444" s="81">
        <f t="shared" si="255"/>
        <v>0.82583989501312327</v>
      </c>
      <c r="BQ444" s="81">
        <f t="shared" si="256"/>
        <v>0.85674490449459351</v>
      </c>
      <c r="BR444" s="81">
        <f t="shared" si="257"/>
        <v>1.1320321996637785</v>
      </c>
      <c r="BS444" s="82">
        <f t="shared" si="258"/>
        <v>762</v>
      </c>
      <c r="BT444" s="82">
        <f t="shared" si="259"/>
        <v>862.60853614379926</v>
      </c>
      <c r="BU444" s="82">
        <f t="shared" si="260"/>
        <v>839.05891891891895</v>
      </c>
      <c r="BW444" s="82">
        <f>IFERROR(INDEX('Infos Clientes'!$T:$T,MATCH('Detalhe Por UC'!$C444,'Infos Clientes'!B:B,0)),"")</f>
        <v>708</v>
      </c>
      <c r="BX444" s="83">
        <f t="shared" si="261"/>
        <v>0</v>
      </c>
      <c r="BY444" s="84">
        <f t="shared" si="262"/>
        <v>0.24317973927857112</v>
      </c>
      <c r="BZ444" s="85">
        <f>IF(_xlfn.MINIFS('Detalhe Por UC'!R:R,'Detalhe Por UC'!C:C,C444,'Detalhe Por UC'!AD:AD,"&gt;"&amp;0)=0,"",_xlfn.MINIFS('Detalhe Por UC'!R:R,'Detalhe Por UC'!C:C,C444,'Detalhe Por UC'!AD:AD,"&gt;"&amp;0))</f>
        <v>45627</v>
      </c>
      <c r="CA444" s="114">
        <f ca="1">IF(OR(S444&gt;0,AD444&gt;0),IFERROR(
SUMIFS(INDIRECT("'Infos Clientes'!$W"&amp;INDEX('Infos Clientes'!$C:$C,MATCH(C444,'Infos Clientes'!$H:$H,0))&amp;":$CZ"&amp;INDEX('Infos Clientes'!$C:$C,MATCH(C444,'Infos Clientes'!$H:$H,0))),'Infos Clientes'!$W$2:$CZ$2,"&gt;"&amp;$R444-365,'Infos Clientes'!$W$2:$CZ$2,"&lt;="&amp;$R444)/
COUNTIFS(INDIRECT("'Infos Clientes'!$W"&amp;INDEX('Infos Clientes'!$C:$C,MATCH(C444,'Infos Clientes'!$H:$H,0))&amp;":$CZ"&amp;INDEX('Infos Clientes'!$C:$C,MATCH(C444,'Infos Clientes'!$H:$H,0))),"&gt;="&amp;0,'Infos Clientes'!$W$2:$CZ$2,"&gt;"&amp;$R444-365,'Infos Clientes'!$W$2:$CZ$2,"&lt;="&amp;$R444),""),"")</f>
        <v>653.66666666666663</v>
      </c>
      <c r="CB444" s="87">
        <f>VLOOKUP(C444,'Infos Clientes'!B:L,11,0)</f>
        <v>0</v>
      </c>
      <c r="CC444" s="88" t="str">
        <f t="shared" si="263"/>
        <v>A Unidade Consumidora 10/29964-4 economizou R$209,76 na fatura referente à mai/2025  consumindo 762 kWh em créditos de energia renovável conforme fatura de energia. A economia foi de 25% em relação ao que seria pago para a Energisa considerando os créditos consumidos. Atenção: Mantenha as contas da Energisa em dia para evitar cortes.</v>
      </c>
      <c r="CD444" s="40" t="s">
        <v>93</v>
      </c>
      <c r="CE444" s="18">
        <v>109.45</v>
      </c>
      <c r="CF444" s="115">
        <f t="shared" si="264"/>
        <v>0</v>
      </c>
      <c r="CG444" t="s">
        <v>358</v>
      </c>
    </row>
    <row r="445" spans="1:85" ht="16.2" hidden="1" customHeight="1" x14ac:dyDescent="0.3">
      <c r="A445" s="105" t="str">
        <f>INDEX('Infos Clientes'!$D:$D,MATCH('Detalhe Por UC'!C445,'Infos Clientes'!B:B,0))</f>
        <v>IGREJA DO EVANGELHO QUADRANGULAR</v>
      </c>
      <c r="B445" s="106" t="str">
        <f>INDEX('Infos Clientes'!$F:$F,MATCH('Detalhe Por UC'!C445,'Infos Clientes'!B:B,0))</f>
        <v>62.955.505/2157-91</v>
      </c>
      <c r="C445" s="44" t="s">
        <v>64</v>
      </c>
      <c r="D445" t="s">
        <v>351</v>
      </c>
      <c r="E445" s="1" t="s">
        <v>352</v>
      </c>
      <c r="F445" s="56" t="str">
        <f>INDEX('Infos Clientes'!$I:$I,MATCH('Detalhe Por UC'!C445,'Infos Clientes'!B:B,0))</f>
        <v>BT</v>
      </c>
      <c r="G445" s="56" t="str">
        <f>INDEX('Infos Clientes'!$J:$J,MATCH('Detalhe Por UC'!C445,'Infos Clientes'!B:B,0))</f>
        <v>trifasico</v>
      </c>
      <c r="H445" s="108" t="s">
        <v>24</v>
      </c>
      <c r="I445" s="58">
        <f>IFERROR(VLOOKUP(C445,'Infos Clientes'!B:E,4,),"")</f>
        <v>349</v>
      </c>
      <c r="J445" s="109">
        <v>0.25</v>
      </c>
      <c r="K445" s="59">
        <f>INDEX('Infos Clientes'!$M:$M,MATCH('Detalhe Por UC'!C445,'Infos Clientes'!B:B,0))</f>
        <v>0.25</v>
      </c>
      <c r="L445" s="125">
        <v>0</v>
      </c>
      <c r="M445" s="56">
        <f>INDEX('Infos Clientes'!$N:$N,MATCH('Detalhe Por UC'!C445,'Infos Clientes'!B:B,0))</f>
        <v>0</v>
      </c>
      <c r="N445" s="56">
        <f t="shared" si="229"/>
        <v>0</v>
      </c>
      <c r="O445" s="56">
        <f t="shared" si="230"/>
        <v>12</v>
      </c>
      <c r="P445" s="56">
        <f t="shared" si="265"/>
        <v>0</v>
      </c>
      <c r="Q445" s="61">
        <f>IFERROR(IFERROR(INDEX('Infos Clientes'!$A$2:$V$9884,MATCH($C445,'Infos Clientes'!$B$2:$B$9884,0),MATCH(Q$8,'Infos Clientes'!$A$2:$V$2,0)),"")
+IF(OR(INDEX('Infos Clientes'!$A$2:$V$9884,MATCH($C445,'Infos Clientes'!$B$2:$B$9884,0),MATCH("Tempo de Fidelidade (meses)",'Infos Clientes'!$A$2:$V$2,0))=0,R445&gt;=MAX(R:R)),0,
ROUND((MAX(R:R)-R445)/(365/12),0)),"")</f>
        <v>0</v>
      </c>
      <c r="R445" s="111">
        <v>45778</v>
      </c>
      <c r="S445" s="17">
        <v>0.01</v>
      </c>
      <c r="T445" s="113">
        <f>IF($H445="GIROSSOL II",AP445/INDEX('Resumo Operacional'!$A$1:$P$1103,17,MATCH('Detalhe Por UC'!$R445,'Resumo Operacional'!$A$1:$P$1,0)),
IF($H445="GIROSSOL II e III",AP445/INDEX('Resumo Operacional'!$A$1:$P$1103,17,MATCH('Detalhe Por UC'!$R445,'Resumo Operacional'!$A$1:$P$1,0)),
""))</f>
        <v>9.8997171509385452E-3</v>
      </c>
      <c r="U445" s="113" t="str">
        <f>IF($H445="GIROSSOL III",AP445/INDEX('Resumo Operacional'!$A$1:$P$1103,53,MATCH('Detalhe Por UC'!$R445,'Resumo Operacional'!$A$1:$P$1,0)),
IF($H445="GIROSSOL II e III",AP445/INDEX('Resumo Operacional'!$A$1:$P$1103,53,MATCH('Detalhe Por UC'!$R445,'Resumo Operacional'!$A$1:$P$1,0)),
""))</f>
        <v/>
      </c>
      <c r="V445" s="45"/>
      <c r="X445" s="18">
        <v>1.1419540694415764</v>
      </c>
      <c r="Y445" s="18">
        <v>0</v>
      </c>
      <c r="Z445" s="18">
        <v>1.1418887167877994</v>
      </c>
      <c r="AA445" s="18">
        <v>0</v>
      </c>
      <c r="AB445" s="143">
        <v>622</v>
      </c>
      <c r="AC445" s="143">
        <v>0</v>
      </c>
      <c r="AD445" s="143">
        <v>77</v>
      </c>
      <c r="AE445" s="35"/>
      <c r="AF445" s="143">
        <v>0</v>
      </c>
      <c r="AG445" s="143">
        <v>0</v>
      </c>
      <c r="AH445" s="48">
        <v>138.54</v>
      </c>
      <c r="AI445" s="143">
        <v>0</v>
      </c>
      <c r="AJ445" s="143">
        <v>0</v>
      </c>
      <c r="AN445" s="71">
        <f t="shared" si="231"/>
        <v>0</v>
      </c>
      <c r="AO445" s="71">
        <f t="shared" si="232"/>
        <v>0</v>
      </c>
      <c r="AP445" s="71">
        <f t="shared" si="233"/>
        <v>77</v>
      </c>
      <c r="AQ445" s="72">
        <f>IF(OR($H445="GIROSSOL II",$H445="GIROSSOL II e III"),INDEX('Resumo Operacional'!$A$1:$P$1103,MATCH("Energia Injetada prevista total Fatura da Usina (TUSD)",'Resumo Operacional'!$B$1:$B$1103,0),MATCH('Detalhe Por UC'!$R445,'Resumo Operacional'!$A$1:$P$1,0))*$S445,INDEX('Resumo Operacional'!$A$1:$P$1103,53,MATCH('Detalhe Por UC'!$R445,'Resumo Operacional'!$A$1:$P$1,0))*$S445)</f>
        <v>77.78</v>
      </c>
      <c r="AR445" s="71">
        <f t="shared" si="234"/>
        <v>-0.78000000000000114</v>
      </c>
      <c r="AS445" s="73">
        <f t="shared" si="235"/>
        <v>760.91</v>
      </c>
      <c r="AT445" s="74">
        <f t="shared" si="236"/>
        <v>760.91</v>
      </c>
      <c r="AU445" s="74">
        <f t="shared" si="237"/>
        <v>1.1418233641340223</v>
      </c>
      <c r="AV445" s="74">
        <f t="shared" si="238"/>
        <v>65.944073394495405</v>
      </c>
      <c r="AW445" s="74">
        <f t="shared" si="239"/>
        <v>0</v>
      </c>
      <c r="AX445" s="74">
        <f t="shared" si="240"/>
        <v>87.925431192660554</v>
      </c>
      <c r="AY445" s="74">
        <f t="shared" si="241"/>
        <v>65.94</v>
      </c>
      <c r="AZ445" s="49">
        <v>65.94</v>
      </c>
      <c r="BA445" s="49">
        <v>65.94</v>
      </c>
      <c r="BB445" s="117">
        <v>65.94</v>
      </c>
      <c r="BC445" s="73" t="str">
        <f t="shared" si="242"/>
        <v/>
      </c>
      <c r="BD445" s="73">
        <f t="shared" si="243"/>
        <v>848.83543119266051</v>
      </c>
      <c r="BE445" s="73">
        <f t="shared" si="244"/>
        <v>826.85407339449534</v>
      </c>
      <c r="BF445" s="77">
        <f t="shared" si="245"/>
        <v>21.98</v>
      </c>
      <c r="BG445" s="77">
        <f t="shared" si="246"/>
        <v>6.5940000000000003</v>
      </c>
      <c r="BH445" s="77">
        <f t="shared" si="247"/>
        <v>87.92543119266054</v>
      </c>
      <c r="BI445" s="78">
        <f t="shared" si="248"/>
        <v>0.25</v>
      </c>
      <c r="BJ445" s="79">
        <f t="shared" si="249"/>
        <v>2.5894300817670735E-2</v>
      </c>
      <c r="BK445" s="80">
        <f t="shared" si="250"/>
        <v>826.84999999999991</v>
      </c>
      <c r="BL445" s="80">
        <f t="shared" si="251"/>
        <v>21.985431192660599</v>
      </c>
      <c r="BM445" s="79">
        <f t="shared" si="252"/>
        <v>2.5900699222427437E-2</v>
      </c>
      <c r="BN445" s="81">
        <f t="shared" si="253"/>
        <v>0.85636363636363633</v>
      </c>
      <c r="BO445" s="82">
        <f t="shared" si="254"/>
        <v>65.94</v>
      </c>
      <c r="BP445" s="81">
        <f t="shared" si="255"/>
        <v>0.85636363636363633</v>
      </c>
      <c r="BQ445" s="81">
        <f t="shared" si="256"/>
        <v>0.85642898901741338</v>
      </c>
      <c r="BR445" s="81">
        <f t="shared" si="257"/>
        <v>1.1419540694415764</v>
      </c>
      <c r="BS445" s="82">
        <f t="shared" si="258"/>
        <v>77</v>
      </c>
      <c r="BT445" s="82">
        <f t="shared" si="259"/>
        <v>87.930463347001378</v>
      </c>
      <c r="BU445" s="82">
        <f t="shared" si="260"/>
        <v>87.925431192660554</v>
      </c>
      <c r="BW445" s="82">
        <f>IFERROR(INDEX('Infos Clientes'!$T:$T,MATCH('Detalhe Por UC'!$C445,'Infos Clientes'!B:B,0)),"")</f>
        <v>802.5</v>
      </c>
      <c r="BX445" s="83">
        <f t="shared" si="261"/>
        <v>0</v>
      </c>
      <c r="BY445" s="84">
        <f t="shared" si="262"/>
        <v>0.25003201798106189</v>
      </c>
      <c r="BZ445" s="85">
        <f>IF(_xlfn.MINIFS('Detalhe Por UC'!R:R,'Detalhe Por UC'!C:C,C445,'Detalhe Por UC'!AD:AD,"&gt;"&amp;0)=0,"",_xlfn.MINIFS('Detalhe Por UC'!R:R,'Detalhe Por UC'!C:C,C445,'Detalhe Por UC'!AD:AD,"&gt;"&amp;0))</f>
        <v>45627</v>
      </c>
      <c r="CA445" s="114">
        <f ca="1">IF(OR(S445&gt;0,AD445&gt;0),IFERROR(
SUMIFS(INDIRECT("'Infos Clientes'!$W"&amp;INDEX('Infos Clientes'!$C:$C,MATCH(C445,'Infos Clientes'!$H:$H,0))&amp;":$CZ"&amp;INDEX('Infos Clientes'!$C:$C,MATCH(C445,'Infos Clientes'!$H:$H,0))),'Infos Clientes'!$W$2:$CZ$2,"&gt;"&amp;$R445-365,'Infos Clientes'!$W$2:$CZ$2,"&lt;="&amp;$R445)/
COUNTIFS(INDIRECT("'Infos Clientes'!$W"&amp;INDEX('Infos Clientes'!$C:$C,MATCH(C445,'Infos Clientes'!$H:$H,0))&amp;":$CZ"&amp;INDEX('Infos Clientes'!$C:$C,MATCH(C445,'Infos Clientes'!$H:$H,0))),"&gt;="&amp;0,'Infos Clientes'!$W$2:$CZ$2,"&gt;"&amp;$R445-365,'Infos Clientes'!$W$2:$CZ$2,"&lt;="&amp;$R445),""),"")</f>
        <v>748.41666666666663</v>
      </c>
      <c r="CB445" s="87">
        <f>VLOOKUP(C445,'Infos Clientes'!B:L,11,0)</f>
        <v>0</v>
      </c>
      <c r="CC445" s="88" t="str">
        <f t="shared" si="263"/>
        <v>A Unidade Consumidora 10/191945-5 economizou R$21,98 na fatura referente à mai/2025  consumindo 77 kWh em créditos de energia renovável conforme fatura de energia. A economia foi de 25% em relação ao que seria pago para a Energisa considerando os créditos consumidos. Atenção: Mantenha as contas da Energisa em dia para evitar cortes.</v>
      </c>
      <c r="CD445" s="40" t="s">
        <v>66</v>
      </c>
      <c r="CE445" s="18">
        <v>760.91</v>
      </c>
      <c r="CF445" s="115">
        <f t="shared" si="264"/>
        <v>0</v>
      </c>
      <c r="CG445" t="s">
        <v>359</v>
      </c>
    </row>
    <row r="446" spans="1:85" ht="16.2" hidden="1" customHeight="1" x14ac:dyDescent="0.3">
      <c r="A446" s="105" t="str">
        <f>INDEX('Infos Clientes'!$D:$D,MATCH('Detalhe Por UC'!C446,'Infos Clientes'!B:B,0))</f>
        <v>IGREJA DO EVANGELHO QUADRANGULAR</v>
      </c>
      <c r="B446" s="106" t="str">
        <f>INDEX('Infos Clientes'!$F:$F,MATCH('Detalhe Por UC'!C446,'Infos Clientes'!B:B,0))</f>
        <v>62.955.505/3216-30</v>
      </c>
      <c r="C446" s="44" t="s">
        <v>116</v>
      </c>
      <c r="D446" t="s">
        <v>351</v>
      </c>
      <c r="E446" s="1" t="s">
        <v>352</v>
      </c>
      <c r="F446" s="56" t="str">
        <f>INDEX('Infos Clientes'!$I:$I,MATCH('Detalhe Por UC'!C446,'Infos Clientes'!B:B,0))</f>
        <v>BT</v>
      </c>
      <c r="G446" s="56" t="str">
        <f>INDEX('Infos Clientes'!$J:$J,MATCH('Detalhe Por UC'!C446,'Infos Clientes'!B:B,0))</f>
        <v>trifasico</v>
      </c>
      <c r="H446" s="108" t="s">
        <v>24</v>
      </c>
      <c r="I446" s="58">
        <f>IFERROR(VLOOKUP(C446,'Infos Clientes'!B:E,4,),"")</f>
        <v>371</v>
      </c>
      <c r="J446" s="109">
        <v>0.25</v>
      </c>
      <c r="K446" s="59">
        <f>INDEX('Infos Clientes'!$M:$M,MATCH('Detalhe Por UC'!C446,'Infos Clientes'!B:B,0))</f>
        <v>0.25</v>
      </c>
      <c r="L446" s="125">
        <v>0</v>
      </c>
      <c r="M446" s="56">
        <f>INDEX('Infos Clientes'!$N:$N,MATCH('Detalhe Por UC'!C446,'Infos Clientes'!B:B,0))</f>
        <v>0</v>
      </c>
      <c r="N446" s="56">
        <f t="shared" si="229"/>
        <v>0</v>
      </c>
      <c r="O446" s="56">
        <f t="shared" si="230"/>
        <v>9</v>
      </c>
      <c r="P446" s="56">
        <f t="shared" si="265"/>
        <v>0</v>
      </c>
      <c r="Q446" s="61">
        <f>IFERROR(IFERROR(INDEX('Infos Clientes'!$A$2:$V$9884,MATCH($C446,'Infos Clientes'!$B$2:$B$9884,0),MATCH(Q$8,'Infos Clientes'!$A$2:$V$2,0)),"")
+IF(OR(INDEX('Infos Clientes'!$A$2:$V$9884,MATCH($C446,'Infos Clientes'!$B$2:$B$9884,0),MATCH("Tempo de Fidelidade (meses)",'Infos Clientes'!$A$2:$V$2,0))=0,R446&gt;=MAX(R:R)),0,
ROUND((MAX(R:R)-R446)/(365/12),0)),"")</f>
        <v>0</v>
      </c>
      <c r="R446" s="111">
        <v>45778</v>
      </c>
      <c r="S446" s="17">
        <v>0</v>
      </c>
      <c r="T446" s="113">
        <f>IF($H446="GIROSSOL II",AP446/INDEX('Resumo Operacional'!$A$1:$P$1103,17,MATCH('Detalhe Por UC'!$R446,'Resumo Operacional'!$A$1:$P$1,0)),
IF($H446="GIROSSOL II e III",AP446/INDEX('Resumo Operacional'!$A$1:$P$1103,17,MATCH('Detalhe Por UC'!$R446,'Resumo Operacional'!$A$1:$P$1,0)),
""))</f>
        <v>0</v>
      </c>
      <c r="U446" s="113" t="str">
        <f>IF($H446="GIROSSOL III",AP446/INDEX('Resumo Operacional'!$A$1:$P$1103,53,MATCH('Detalhe Por UC'!$R446,'Resumo Operacional'!$A$1:$P$1,0)),
IF($H446="GIROSSOL II e III",AP446/INDEX('Resumo Operacional'!$A$1:$P$1103,53,MATCH('Detalhe Por UC'!$R446,'Resumo Operacional'!$A$1:$P$1,0)),
""))</f>
        <v/>
      </c>
      <c r="V446" s="45"/>
      <c r="X446" s="18">
        <v>1.124650655021834</v>
      </c>
      <c r="Y446" s="18">
        <v>0</v>
      </c>
      <c r="Z446" s="18">
        <v>0</v>
      </c>
      <c r="AA446" s="18">
        <v>0</v>
      </c>
      <c r="AB446" s="143">
        <v>458</v>
      </c>
      <c r="AC446" s="143">
        <v>0</v>
      </c>
      <c r="AD446" s="143">
        <v>0</v>
      </c>
      <c r="AE446" s="35"/>
      <c r="AF446" s="143">
        <v>0</v>
      </c>
      <c r="AG446" s="143">
        <v>0</v>
      </c>
      <c r="AH446" s="48">
        <v>92.51</v>
      </c>
      <c r="AI446" s="143">
        <v>0</v>
      </c>
      <c r="AJ446" s="143">
        <v>0</v>
      </c>
      <c r="AN446" s="71">
        <f t="shared" si="231"/>
        <v>0</v>
      </c>
      <c r="AO446" s="71">
        <f t="shared" si="232"/>
        <v>0</v>
      </c>
      <c r="AP446" s="71">
        <f t="shared" si="233"/>
        <v>0</v>
      </c>
      <c r="AQ446" s="72">
        <f>IF(OR($H446="GIROSSOL II",$H446="GIROSSOL II e III"),INDEX('Resumo Operacional'!$A$1:$P$1103,MATCH("Energia Injetada prevista total Fatura da Usina (TUSD)",'Resumo Operacional'!$B$1:$B$1103,0),MATCH('Detalhe Por UC'!$R446,'Resumo Operacional'!$A$1:$P$1,0))*$S446,INDEX('Resumo Operacional'!$A$1:$P$1103,53,MATCH('Detalhe Por UC'!$R446,'Resumo Operacional'!$A$1:$P$1,0))*$S446)</f>
        <v>0</v>
      </c>
      <c r="AR446" s="71">
        <f t="shared" si="234"/>
        <v>0</v>
      </c>
      <c r="AS446" s="73">
        <f t="shared" si="235"/>
        <v>607.6</v>
      </c>
      <c r="AT446" s="74">
        <f t="shared" si="236"/>
        <v>607.6</v>
      </c>
      <c r="AU446" s="74" t="str">
        <f t="shared" si="237"/>
        <v/>
      </c>
      <c r="AV446" s="74">
        <f t="shared" si="238"/>
        <v>0</v>
      </c>
      <c r="AW446" s="74">
        <f t="shared" si="239"/>
        <v>0</v>
      </c>
      <c r="AX446" s="74">
        <f t="shared" si="240"/>
        <v>0</v>
      </c>
      <c r="AY446" s="74" t="str">
        <f t="shared" si="241"/>
        <v/>
      </c>
      <c r="AZ446" s="49" t="s">
        <v>354</v>
      </c>
      <c r="BA446" s="49" t="s">
        <v>354</v>
      </c>
      <c r="BC446" s="73" t="str">
        <f t="shared" si="242"/>
        <v/>
      </c>
      <c r="BD446" s="73">
        <f t="shared" si="243"/>
        <v>607.6</v>
      </c>
      <c r="BE446" s="73">
        <f t="shared" si="244"/>
        <v>607.6</v>
      </c>
      <c r="BF446" s="77">
        <f t="shared" si="245"/>
        <v>0</v>
      </c>
      <c r="BG446" s="77">
        <f t="shared" si="246"/>
        <v>0</v>
      </c>
      <c r="BH446" s="77">
        <f t="shared" si="247"/>
        <v>0</v>
      </c>
      <c r="BI446" s="78" t="str">
        <f t="shared" si="248"/>
        <v/>
      </c>
      <c r="BJ446" s="79">
        <f t="shared" si="249"/>
        <v>0</v>
      </c>
      <c r="BK446" s="80" t="str">
        <f t="shared" si="250"/>
        <v/>
      </c>
      <c r="BL446" s="80" t="str">
        <f t="shared" si="251"/>
        <v/>
      </c>
      <c r="BM446" s="79" t="str">
        <f t="shared" si="252"/>
        <v/>
      </c>
      <c r="BN446" s="81" t="str">
        <f t="shared" si="253"/>
        <v/>
      </c>
      <c r="BO446" s="82" t="str">
        <f t="shared" si="254"/>
        <v/>
      </c>
      <c r="BP446" s="81" t="str">
        <f t="shared" si="255"/>
        <v/>
      </c>
      <c r="BQ446" s="81" t="str">
        <f t="shared" si="256"/>
        <v/>
      </c>
      <c r="BR446" s="81" t="str">
        <f t="shared" si="257"/>
        <v/>
      </c>
      <c r="BS446" s="82">
        <f t="shared" si="258"/>
        <v>0</v>
      </c>
      <c r="BT446" s="82" t="str">
        <f t="shared" si="259"/>
        <v/>
      </c>
      <c r="BU446" s="82">
        <f t="shared" si="260"/>
        <v>0</v>
      </c>
      <c r="BW446" s="82">
        <f>IFERROR(INDEX('Infos Clientes'!$T:$T,MATCH('Detalhe Por UC'!$C446,'Infos Clientes'!B:B,0)),"")</f>
        <v>513.41666666666663</v>
      </c>
      <c r="BX446" s="83">
        <f t="shared" si="261"/>
        <v>0</v>
      </c>
      <c r="BY446" s="84" t="str">
        <f t="shared" si="262"/>
        <v/>
      </c>
      <c r="BZ446" s="85">
        <f>IF(_xlfn.MINIFS('Detalhe Por UC'!R:R,'Detalhe Por UC'!C:C,C446,'Detalhe Por UC'!AD:AD,"&gt;"&amp;0)=0,"",_xlfn.MINIFS('Detalhe Por UC'!R:R,'Detalhe Por UC'!C:C,C446,'Detalhe Por UC'!AD:AD,"&gt;"&amp;0))</f>
        <v>45627</v>
      </c>
      <c r="CA446" s="114" t="str">
        <f ca="1">IF(OR(S446&gt;0,AD446&gt;0),IFERROR(
SUMIFS(INDIRECT("'Infos Clientes'!$W"&amp;INDEX('Infos Clientes'!$C:$C,MATCH(C446,'Infos Clientes'!$H:$H,0))&amp;":$CZ"&amp;INDEX('Infos Clientes'!$C:$C,MATCH(C446,'Infos Clientes'!$H:$H,0))),'Infos Clientes'!$W$2:$CZ$2,"&gt;"&amp;$R446-365,'Infos Clientes'!$W$2:$CZ$2,"&lt;="&amp;$R446)/
COUNTIFS(INDIRECT("'Infos Clientes'!$W"&amp;INDEX('Infos Clientes'!$C:$C,MATCH(C446,'Infos Clientes'!$H:$H,0))&amp;":$CZ"&amp;INDEX('Infos Clientes'!$C:$C,MATCH(C446,'Infos Clientes'!$H:$H,0))),"&gt;="&amp;0,'Infos Clientes'!$W$2:$CZ$2,"&gt;"&amp;$R446-365,'Infos Clientes'!$W$2:$CZ$2,"&lt;="&amp;$R446),""),"")</f>
        <v/>
      </c>
      <c r="CB446" s="87">
        <f>VLOOKUP(C446,'Infos Clientes'!B:L,11,0)</f>
        <v>0</v>
      </c>
      <c r="CC446" s="88" t="str">
        <f t="shared" si="263"/>
        <v>A Unidade Consumidora 10/513413-5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46" s="40" t="s">
        <v>249</v>
      </c>
      <c r="CE446" s="18">
        <v>607.6</v>
      </c>
      <c r="CF446" s="115">
        <f t="shared" si="264"/>
        <v>0</v>
      </c>
      <c r="CG446" t="s">
        <v>357</v>
      </c>
    </row>
    <row r="447" spans="1:85" ht="16.2" hidden="1" customHeight="1" x14ac:dyDescent="0.3">
      <c r="A447" s="105" t="str">
        <f>INDEX('Infos Clientes'!$D:$D,MATCH('Detalhe Por UC'!C447,'Infos Clientes'!B:B,0))</f>
        <v>IGREJA DO EVANGELHO QUADRANGULAR</v>
      </c>
      <c r="B447" s="106" t="str">
        <f>INDEX('Infos Clientes'!$F:$F,MATCH('Detalhe Por UC'!C447,'Infos Clientes'!B:B,0))</f>
        <v>62.955.505/3671-17</v>
      </c>
      <c r="C447" s="44" t="s">
        <v>111</v>
      </c>
      <c r="D447" t="s">
        <v>351</v>
      </c>
      <c r="E447" s="1" t="s">
        <v>352</v>
      </c>
      <c r="F447" s="56" t="str">
        <f>INDEX('Infos Clientes'!$I:$I,MATCH('Detalhe Por UC'!C447,'Infos Clientes'!B:B,0))</f>
        <v>BT</v>
      </c>
      <c r="G447" s="56" t="str">
        <f>INDEX('Infos Clientes'!$J:$J,MATCH('Detalhe Por UC'!C447,'Infos Clientes'!B:B,0))</f>
        <v>trifasico</v>
      </c>
      <c r="H447" s="108" t="s">
        <v>24</v>
      </c>
      <c r="I447" s="58">
        <f>IFERROR(VLOOKUP(C447,'Infos Clientes'!B:E,4,),"")</f>
        <v>358</v>
      </c>
      <c r="J447" s="109">
        <v>0.25</v>
      </c>
      <c r="K447" s="59">
        <f>INDEX('Infos Clientes'!$M:$M,MATCH('Detalhe Por UC'!C447,'Infos Clientes'!B:B,0))</f>
        <v>0.25</v>
      </c>
      <c r="L447" s="125">
        <v>0</v>
      </c>
      <c r="M447" s="56">
        <f>INDEX('Infos Clientes'!$N:$N,MATCH('Detalhe Por UC'!C447,'Infos Clientes'!B:B,0))</f>
        <v>0</v>
      </c>
      <c r="N447" s="56">
        <f t="shared" si="229"/>
        <v>0</v>
      </c>
      <c r="O447" s="56">
        <f t="shared" si="230"/>
        <v>12</v>
      </c>
      <c r="P447" s="56">
        <f t="shared" si="265"/>
        <v>0</v>
      </c>
      <c r="Q447" s="61">
        <f>IFERROR(IFERROR(INDEX('Infos Clientes'!$A$2:$V$9884,MATCH($C447,'Infos Clientes'!$B$2:$B$9884,0),MATCH(Q$8,'Infos Clientes'!$A$2:$V$2,0)),"")
+IF(OR(INDEX('Infos Clientes'!$A$2:$V$9884,MATCH($C447,'Infos Clientes'!$B$2:$B$9884,0),MATCH("Tempo de Fidelidade (meses)",'Infos Clientes'!$A$2:$V$2,0))=0,R447&gt;=MAX(R:R)),0,
ROUND((MAX(R:R)-R447)/(365/12),0)),"")</f>
        <v>0</v>
      </c>
      <c r="R447" s="111">
        <v>45778</v>
      </c>
      <c r="S447" s="17">
        <v>0.02</v>
      </c>
      <c r="T447" s="113">
        <f>IF($H447="GIROSSOL II",AP447/INDEX('Resumo Operacional'!$A$1:$P$1103,17,MATCH('Detalhe Por UC'!$R447,'Resumo Operacional'!$A$1:$P$1,0)),
IF($H447="GIROSSOL II e III",AP447/INDEX('Resumo Operacional'!$A$1:$P$1103,17,MATCH('Detalhe Por UC'!$R447,'Resumo Operacional'!$A$1:$P$1,0)),
""))</f>
        <v>4.7955772692208791E-2</v>
      </c>
      <c r="U447" s="113" t="str">
        <f>IF($H447="GIROSSOL III",AP447/INDEX('Resumo Operacional'!$A$1:$P$1103,53,MATCH('Detalhe Por UC'!$R447,'Resumo Operacional'!$A$1:$P$1,0)),
IF($H447="GIROSSOL II e III",AP447/INDEX('Resumo Operacional'!$A$1:$P$1103,53,MATCH('Detalhe Por UC'!$R447,'Resumo Operacional'!$A$1:$P$1,0)),
""))</f>
        <v/>
      </c>
      <c r="V447" s="45"/>
      <c r="X447" s="18">
        <v>1.1333197183098591</v>
      </c>
      <c r="Y447" s="18">
        <v>0</v>
      </c>
      <c r="Z447" s="18">
        <v>1.1332950920245399</v>
      </c>
      <c r="AA447" s="18">
        <v>0</v>
      </c>
      <c r="AB447" s="143">
        <v>426</v>
      </c>
      <c r="AC447" s="143">
        <v>0</v>
      </c>
      <c r="AD447" s="143">
        <v>326</v>
      </c>
      <c r="AE447" s="35"/>
      <c r="AF447" s="143">
        <v>47</v>
      </c>
      <c r="AG447" s="143">
        <v>0</v>
      </c>
      <c r="AH447" s="48">
        <v>81.87</v>
      </c>
      <c r="AI447" s="143">
        <v>0</v>
      </c>
      <c r="AJ447" s="143">
        <v>0</v>
      </c>
      <c r="AN447" s="71">
        <f t="shared" si="231"/>
        <v>47</v>
      </c>
      <c r="AO447" s="71">
        <f t="shared" si="232"/>
        <v>0</v>
      </c>
      <c r="AP447" s="71">
        <f t="shared" si="233"/>
        <v>373</v>
      </c>
      <c r="AQ447" s="72">
        <f>IF(OR($H447="GIROSSOL II",$H447="GIROSSOL II e III"),INDEX('Resumo Operacional'!$A$1:$P$1103,MATCH("Energia Injetada prevista total Fatura da Usina (TUSD)",'Resumo Operacional'!$B$1:$B$1103,0),MATCH('Detalhe Por UC'!$R447,'Resumo Operacional'!$A$1:$P$1,0))*$S447,INDEX('Resumo Operacional'!$A$1:$P$1103,53,MATCH('Detalhe Por UC'!$R447,'Resumo Operacional'!$A$1:$P$1,0))*$S447)</f>
        <v>155.56</v>
      </c>
      <c r="AR447" s="71">
        <f t="shared" si="234"/>
        <v>217.44</v>
      </c>
      <c r="AS447" s="73">
        <f t="shared" si="235"/>
        <v>195.20999999999998</v>
      </c>
      <c r="AT447" s="74">
        <f t="shared" si="236"/>
        <v>195.20999999999998</v>
      </c>
      <c r="AU447" s="74">
        <f t="shared" si="237"/>
        <v>1.1332704657392207</v>
      </c>
      <c r="AV447" s="74">
        <f t="shared" si="238"/>
        <v>277.09065000000004</v>
      </c>
      <c r="AW447" s="74">
        <f t="shared" si="239"/>
        <v>0</v>
      </c>
      <c r="AX447" s="74">
        <f t="shared" si="240"/>
        <v>369.45420000000001</v>
      </c>
      <c r="AY447" s="74">
        <f t="shared" si="241"/>
        <v>277.08999999999997</v>
      </c>
      <c r="AZ447" s="49">
        <v>277.08999999999997</v>
      </c>
      <c r="BA447" s="49">
        <v>277.08999999999997</v>
      </c>
      <c r="BB447" s="117">
        <v>277.08999999999997</v>
      </c>
      <c r="BC447" s="73" t="str">
        <f t="shared" si="242"/>
        <v/>
      </c>
      <c r="BD447" s="73">
        <f t="shared" si="243"/>
        <v>564.66419999999994</v>
      </c>
      <c r="BE447" s="73">
        <f t="shared" si="244"/>
        <v>472.30065000000002</v>
      </c>
      <c r="BF447" s="77">
        <f t="shared" si="245"/>
        <v>92.36</v>
      </c>
      <c r="BG447" s="77">
        <f t="shared" si="246"/>
        <v>27.707999999999998</v>
      </c>
      <c r="BH447" s="77">
        <f t="shared" si="247"/>
        <v>369.45420000000001</v>
      </c>
      <c r="BI447" s="78">
        <f t="shared" si="248"/>
        <v>0.25</v>
      </c>
      <c r="BJ447" s="79">
        <f t="shared" si="249"/>
        <v>0.16356623989974928</v>
      </c>
      <c r="BK447" s="80">
        <f t="shared" si="250"/>
        <v>472.29999999999995</v>
      </c>
      <c r="BL447" s="80">
        <f t="shared" si="251"/>
        <v>92.364199999999983</v>
      </c>
      <c r="BM447" s="79">
        <f t="shared" si="252"/>
        <v>0.16357367794877026</v>
      </c>
      <c r="BN447" s="81">
        <f t="shared" si="253"/>
        <v>0.8499693251533742</v>
      </c>
      <c r="BO447" s="82">
        <f t="shared" si="254"/>
        <v>277.08999999999997</v>
      </c>
      <c r="BP447" s="81">
        <f t="shared" si="255"/>
        <v>0.8499693251533742</v>
      </c>
      <c r="BQ447" s="81">
        <f t="shared" si="256"/>
        <v>0.84999395143869338</v>
      </c>
      <c r="BR447" s="81">
        <f t="shared" si="257"/>
        <v>1.1333197183098591</v>
      </c>
      <c r="BS447" s="82">
        <f t="shared" si="258"/>
        <v>326</v>
      </c>
      <c r="BT447" s="82">
        <f t="shared" si="259"/>
        <v>369.46222816901405</v>
      </c>
      <c r="BU447" s="82">
        <f t="shared" si="260"/>
        <v>369.45420000000001</v>
      </c>
      <c r="BW447" s="82">
        <f>IFERROR(INDEX('Infos Clientes'!$T:$T,MATCH('Detalhe Por UC'!$C447,'Infos Clientes'!B:B,0)),"")</f>
        <v>586</v>
      </c>
      <c r="BX447" s="83">
        <f t="shared" si="261"/>
        <v>0</v>
      </c>
      <c r="BY447" s="84">
        <f t="shared" si="262"/>
        <v>0.24999632697972884</v>
      </c>
      <c r="BZ447" s="85">
        <f>IF(_xlfn.MINIFS('Detalhe Por UC'!R:R,'Detalhe Por UC'!C:C,C447,'Detalhe Por UC'!AD:AD,"&gt;"&amp;0)=0,"",_xlfn.MINIFS('Detalhe Por UC'!R:R,'Detalhe Por UC'!C:C,C447,'Detalhe Por UC'!AD:AD,"&gt;"&amp;0))</f>
        <v>45627</v>
      </c>
      <c r="CA447" s="114">
        <f ca="1">IF(OR(S447&gt;0,AD447&gt;0),IFERROR(
SUMIFS(INDIRECT("'Infos Clientes'!$W"&amp;INDEX('Infos Clientes'!$C:$C,MATCH(C447,'Infos Clientes'!$H:$H,0))&amp;":$CZ"&amp;INDEX('Infos Clientes'!$C:$C,MATCH(C447,'Infos Clientes'!$H:$H,0))),'Infos Clientes'!$W$2:$CZ$2,"&gt;"&amp;$R447-365,'Infos Clientes'!$W$2:$CZ$2,"&lt;="&amp;$R447)/
COUNTIFS(INDIRECT("'Infos Clientes'!$W"&amp;INDEX('Infos Clientes'!$C:$C,MATCH(C447,'Infos Clientes'!$H:$H,0))&amp;":$CZ"&amp;INDEX('Infos Clientes'!$C:$C,MATCH(C447,'Infos Clientes'!$H:$H,0))),"&gt;="&amp;0,'Infos Clientes'!$W$2:$CZ$2,"&gt;"&amp;$R447-365,'Infos Clientes'!$W$2:$CZ$2,"&lt;="&amp;$R447),""),"")</f>
        <v>587.33333333333337</v>
      </c>
      <c r="CB447" s="87">
        <f>VLOOKUP(C447,'Infos Clientes'!B:L,11,0)</f>
        <v>0</v>
      </c>
      <c r="CC447" s="88" t="str">
        <f t="shared" si="263"/>
        <v>A Unidade Consumidora 10/510330-4 economizou R$92,36 na fatura referente à mai/2025  consumindo 326 kWh em créditos de energia renovável conforme fatura de energia. A economia foi de 25% em relação ao que seria pago para a Energisa considerando os créditos consumidos. Atenção: Mantenha as contas da Energisa em dia para evitar cortes.</v>
      </c>
      <c r="CD447" s="40" t="s">
        <v>249</v>
      </c>
      <c r="CE447" s="18">
        <v>195.21</v>
      </c>
      <c r="CF447" s="115">
        <f t="shared" si="264"/>
        <v>0</v>
      </c>
      <c r="CG447" t="s">
        <v>358</v>
      </c>
    </row>
    <row r="448" spans="1:85" ht="16.2" hidden="1" customHeight="1" x14ac:dyDescent="0.3">
      <c r="A448" s="105" t="str">
        <f>INDEX('Infos Clientes'!$D:$D,MATCH('Detalhe Por UC'!C448,'Infos Clientes'!B:B,0))</f>
        <v>IGREJA DO EVANGELHO QUADRANGULAR</v>
      </c>
      <c r="B448" s="106" t="str">
        <f>INDEX('Infos Clientes'!$F:$F,MATCH('Detalhe Por UC'!C448,'Infos Clientes'!B:B,0))</f>
        <v>62.955.505/0160-80</v>
      </c>
      <c r="C448" s="44" t="s">
        <v>97</v>
      </c>
      <c r="D448" t="s">
        <v>351</v>
      </c>
      <c r="E448" s="1" t="s">
        <v>352</v>
      </c>
      <c r="F448" s="56" t="str">
        <f>INDEX('Infos Clientes'!$I:$I,MATCH('Detalhe Por UC'!C448,'Infos Clientes'!B:B,0))</f>
        <v>BT</v>
      </c>
      <c r="G448" s="56" t="str">
        <f>INDEX('Infos Clientes'!$J:$J,MATCH('Detalhe Por UC'!C448,'Infos Clientes'!B:B,0))</f>
        <v>trifasico</v>
      </c>
      <c r="H448" s="47" t="str">
        <f>HYPERLINK("https://geraebcsp.sharepoint.com/sites/gestao.gdc/Shared Documents/EGS/2- Faturas/"&amp; TEXT($R448,"AAA") &amp;"/"&amp; TEXT($R448,"MM") &amp;"."&amp; TEXT($R448,"AAA") &amp;"/"&amp;"_10-"&amp; RIGHT($C448,LEN($C448)-3) &amp;"_" &amp; TEXT($R448,"AAAA") &amp;"-"&amp; TEXT($R448,"MM") &amp;".pdf","GIROSSOL II")</f>
        <v>GIROSSOL II</v>
      </c>
      <c r="I448" s="58">
        <f>IFERROR(VLOOKUP(C448,'Infos Clientes'!B:E,4,),"")</f>
        <v>357</v>
      </c>
      <c r="J448" s="109">
        <v>0.25</v>
      </c>
      <c r="K448" s="59">
        <f>INDEX('Infos Clientes'!$M:$M,MATCH('Detalhe Por UC'!C448,'Infos Clientes'!B:B,0))</f>
        <v>0.25</v>
      </c>
      <c r="L448" s="125">
        <v>0</v>
      </c>
      <c r="M448" s="56">
        <f>INDEX('Infos Clientes'!$N:$N,MATCH('Detalhe Por UC'!C448,'Infos Clientes'!B:B,0))</f>
        <v>0</v>
      </c>
      <c r="N448" s="56">
        <f t="shared" si="229"/>
        <v>0</v>
      </c>
      <c r="O448" s="56">
        <f t="shared" si="230"/>
        <v>11</v>
      </c>
      <c r="P448" s="56">
        <f t="shared" si="265"/>
        <v>0</v>
      </c>
      <c r="Q448" s="61">
        <f>IFERROR(IFERROR(INDEX('Infos Clientes'!$A$2:$V$9884,MATCH($C448,'Infos Clientes'!$B$2:$B$9884,0),MATCH(Q$8,'Infos Clientes'!$A$2:$V$2,0)),"")
+IF(OR(INDEX('Infos Clientes'!$A$2:$V$9884,MATCH($C448,'Infos Clientes'!$B$2:$B$9884,0),MATCH("Tempo de Fidelidade (meses)",'Infos Clientes'!$A$2:$V$2,0))=0,R448&gt;=MAX(R:R)),0,
ROUND((MAX(R:R)-R448)/(365/12),0)),"")</f>
        <v>0</v>
      </c>
      <c r="R448" s="111">
        <v>45778</v>
      </c>
      <c r="S448" s="17">
        <v>0.02</v>
      </c>
      <c r="T448" s="113">
        <f>IF($H448="GIROSSOL II",AP448/INDEX('Resumo Operacional'!$A$1:$P$1103,17,MATCH('Detalhe Por UC'!$R448,'Resumo Operacional'!$A$1:$P$1,0)),
IF($H448="GIROSSOL II e III",AP448/INDEX('Resumo Operacional'!$A$1:$P$1103,17,MATCH('Detalhe Por UC'!$R448,'Resumo Operacional'!$A$1:$P$1,0)),
""))</f>
        <v>2.802777063512471E-2</v>
      </c>
      <c r="U448" s="113" t="str">
        <f>IF($H448="GIROSSOL III",AP448/INDEX('Resumo Operacional'!$A$1:$P$1103,53,MATCH('Detalhe Por UC'!$R448,'Resumo Operacional'!$A$1:$P$1,0)),
IF($H448="GIROSSOL II e III",AP448/INDEX('Resumo Operacional'!$A$1:$P$1103,53,MATCH('Detalhe Por UC'!$R448,'Resumo Operacional'!$A$1:$P$1,0)),
""))</f>
        <v/>
      </c>
      <c r="V448" s="45"/>
      <c r="X448" s="18">
        <v>1.1210728643216081</v>
      </c>
      <c r="Y448" s="18">
        <v>0</v>
      </c>
      <c r="Z448" s="18">
        <v>1.1210302013422819</v>
      </c>
      <c r="AA448" s="18">
        <v>0</v>
      </c>
      <c r="AB448" s="143">
        <v>398</v>
      </c>
      <c r="AC448" s="143">
        <v>0</v>
      </c>
      <c r="AD448" s="143">
        <v>298</v>
      </c>
      <c r="AE448" s="35"/>
      <c r="AF448" s="143">
        <v>21</v>
      </c>
      <c r="AG448" s="143">
        <v>0</v>
      </c>
      <c r="AH448" s="48">
        <v>64.33</v>
      </c>
      <c r="AI448" s="143">
        <v>0</v>
      </c>
      <c r="AJ448" s="143">
        <v>0</v>
      </c>
      <c r="AN448" s="71">
        <f t="shared" si="231"/>
        <v>-80</v>
      </c>
      <c r="AO448" s="71">
        <f t="shared" si="232"/>
        <v>0</v>
      </c>
      <c r="AP448" s="71">
        <f t="shared" si="233"/>
        <v>218</v>
      </c>
      <c r="AQ448" s="72">
        <f>IF(OR($H448="GIROSSOL II",$H448="GIROSSOL II e III"),INDEX('Resumo Operacional'!$A$1:$P$1103,MATCH("Energia Injetada prevista total Fatura da Usina (TUSD)",'Resumo Operacional'!$B$1:$B$1103,0),MATCH('Detalhe Por UC'!$R448,'Resumo Operacional'!$A$1:$P$1,0))*$S448,INDEX('Resumo Operacional'!$A$1:$P$1103,53,MATCH('Detalhe Por UC'!$R448,'Resumo Operacional'!$A$1:$P$1,0))*$S448)</f>
        <v>155.56</v>
      </c>
      <c r="AR448" s="71">
        <f t="shared" si="234"/>
        <v>62.44</v>
      </c>
      <c r="AS448" s="73">
        <f t="shared" si="235"/>
        <v>176.45</v>
      </c>
      <c r="AT448" s="74">
        <f t="shared" si="236"/>
        <v>176.45</v>
      </c>
      <c r="AU448" s="74">
        <f t="shared" si="237"/>
        <v>1.1209875383629557</v>
      </c>
      <c r="AV448" s="74">
        <f t="shared" si="238"/>
        <v>250.55025000000003</v>
      </c>
      <c r="AW448" s="74">
        <f t="shared" si="239"/>
        <v>0</v>
      </c>
      <c r="AX448" s="74">
        <f t="shared" si="240"/>
        <v>334.06700000000001</v>
      </c>
      <c r="AY448" s="74">
        <f t="shared" si="241"/>
        <v>250.55</v>
      </c>
      <c r="AZ448" s="49">
        <v>250.55</v>
      </c>
      <c r="BA448" s="49">
        <v>250.55</v>
      </c>
      <c r="BB448" s="117">
        <v>250.55</v>
      </c>
      <c r="BC448" s="73" t="str">
        <f t="shared" si="242"/>
        <v/>
      </c>
      <c r="BD448" s="73">
        <f t="shared" si="243"/>
        <v>510.517</v>
      </c>
      <c r="BE448" s="73">
        <f t="shared" si="244"/>
        <v>427.00025000000005</v>
      </c>
      <c r="BF448" s="77">
        <f t="shared" si="245"/>
        <v>83.52</v>
      </c>
      <c r="BG448" s="77">
        <f t="shared" si="246"/>
        <v>25.055999999999997</v>
      </c>
      <c r="BH448" s="77">
        <f t="shared" si="247"/>
        <v>334.06700000000001</v>
      </c>
      <c r="BI448" s="78">
        <f t="shared" si="248"/>
        <v>0.25</v>
      </c>
      <c r="BJ448" s="79">
        <f t="shared" si="249"/>
        <v>0.16359886154623646</v>
      </c>
      <c r="BK448" s="80">
        <f t="shared" si="250"/>
        <v>427</v>
      </c>
      <c r="BL448" s="80">
        <f t="shared" si="251"/>
        <v>83.516999999999996</v>
      </c>
      <c r="BM448" s="79">
        <f t="shared" si="252"/>
        <v>0.16359298515034759</v>
      </c>
      <c r="BN448" s="81">
        <f t="shared" si="253"/>
        <v>0.84077181208053697</v>
      </c>
      <c r="BO448" s="82">
        <f t="shared" si="254"/>
        <v>250.55</v>
      </c>
      <c r="BP448" s="81">
        <f t="shared" si="255"/>
        <v>0.84077181208053697</v>
      </c>
      <c r="BQ448" s="81">
        <f t="shared" si="256"/>
        <v>0.84081447505986318</v>
      </c>
      <c r="BR448" s="81">
        <f t="shared" si="257"/>
        <v>1.1210728643216081</v>
      </c>
      <c r="BS448" s="82">
        <f t="shared" si="258"/>
        <v>298</v>
      </c>
      <c r="BT448" s="82">
        <f t="shared" si="259"/>
        <v>334.07971356783924</v>
      </c>
      <c r="BU448" s="82">
        <f t="shared" si="260"/>
        <v>334.06700000000001</v>
      </c>
      <c r="BW448" s="82">
        <f>IFERROR(INDEX('Infos Clientes'!$T:$T,MATCH('Detalhe Por UC'!$C448,'Infos Clientes'!B:B,0)),"")</f>
        <v>468.66666666666669</v>
      </c>
      <c r="BX448" s="83">
        <f t="shared" si="261"/>
        <v>0</v>
      </c>
      <c r="BY448" s="84">
        <f t="shared" si="262"/>
        <v>0.24999123445141719</v>
      </c>
      <c r="BZ448" s="85">
        <f>IF(_xlfn.MINIFS('Detalhe Por UC'!R:R,'Detalhe Por UC'!C:C,C448,'Detalhe Por UC'!AD:AD,"&gt;"&amp;0)=0,"",_xlfn.MINIFS('Detalhe Por UC'!R:R,'Detalhe Por UC'!C:C,C448,'Detalhe Por UC'!AD:AD,"&gt;"&amp;0))</f>
        <v>45627</v>
      </c>
      <c r="CA448" s="114">
        <f ca="1">IF(OR(S448&gt;0,AD448&gt;0),IFERROR(
SUMIFS(INDIRECT("'Infos Clientes'!$W"&amp;INDEX('Infos Clientes'!$C:$C,MATCH(C448,'Infos Clientes'!$H:$H,0))&amp;":$CZ"&amp;INDEX('Infos Clientes'!$C:$C,MATCH(C448,'Infos Clientes'!$H:$H,0))),'Infos Clientes'!$W$2:$CZ$2,"&gt;"&amp;$R448-365,'Infos Clientes'!$W$2:$CZ$2,"&lt;="&amp;$R448)/
COUNTIFS(INDIRECT("'Infos Clientes'!$W"&amp;INDEX('Infos Clientes'!$C:$C,MATCH(C448,'Infos Clientes'!$H:$H,0))&amp;":$CZ"&amp;INDEX('Infos Clientes'!$C:$C,MATCH(C448,'Infos Clientes'!$H:$H,0))),"&gt;="&amp;0,'Infos Clientes'!$W$2:$CZ$2,"&gt;"&amp;$R448-365,'Infos Clientes'!$W$2:$CZ$2,"&lt;="&amp;$R448),""),"")</f>
        <v>462.66666666666669</v>
      </c>
      <c r="CB448" s="87">
        <f>VLOOKUP(C448,'Infos Clientes'!B:L,11,0)</f>
        <v>0</v>
      </c>
      <c r="CC448" s="88" t="str">
        <f t="shared" si="263"/>
        <v>A Unidade Consumidora 10/3030784-7 economizou R$83,52 na fatura referente à mai/2025  consumindo 298 kWh em créditos de energia renovável conforme fatura de energia. A economia foi de 25% em relação ao que seria pago para a Energisa considerando os créditos consumidos. Atenção: Mantenha as contas da Energisa em dia para evitar cortes.</v>
      </c>
      <c r="CD448" s="40" t="s">
        <v>98</v>
      </c>
      <c r="CE448" s="18">
        <v>176.45</v>
      </c>
      <c r="CF448" s="115">
        <f t="shared" si="264"/>
        <v>0</v>
      </c>
      <c r="CG448" t="s">
        <v>357</v>
      </c>
    </row>
    <row r="449" spans="1:85" ht="16.2" hidden="1" customHeight="1" x14ac:dyDescent="0.3">
      <c r="A449" s="105" t="str">
        <f>INDEX('Infos Clientes'!$D:$D,MATCH('Detalhe Por UC'!C449,'Infos Clientes'!B:B,0))</f>
        <v>IGREJA DO EVANGELHO QUADRANGULAR</v>
      </c>
      <c r="B449" s="106" t="str">
        <f>INDEX('Infos Clientes'!$F:$F,MATCH('Detalhe Por UC'!C449,'Infos Clientes'!B:B,0))</f>
        <v>62.955.505/4194-43</v>
      </c>
      <c r="C449" s="44" t="s">
        <v>99</v>
      </c>
      <c r="D449" t="s">
        <v>351</v>
      </c>
      <c r="E449" s="1" t="s">
        <v>352</v>
      </c>
      <c r="F449" s="56" t="str">
        <f>INDEX('Infos Clientes'!$I:$I,MATCH('Detalhe Por UC'!C449,'Infos Clientes'!B:B,0))</f>
        <v>BT</v>
      </c>
      <c r="G449" s="56" t="str">
        <f>INDEX('Infos Clientes'!$J:$J,MATCH('Detalhe Por UC'!C449,'Infos Clientes'!B:B,0))</f>
        <v>trifasico</v>
      </c>
      <c r="H449" s="108" t="s">
        <v>24</v>
      </c>
      <c r="I449" s="58">
        <f>IFERROR(VLOOKUP(C449,'Infos Clientes'!B:E,4,),"")</f>
        <v>331</v>
      </c>
      <c r="J449" s="109">
        <v>0.25</v>
      </c>
      <c r="K449" s="59">
        <f>INDEX('Infos Clientes'!$M:$M,MATCH('Detalhe Por UC'!C449,'Infos Clientes'!B:B,0))</f>
        <v>0.25</v>
      </c>
      <c r="L449" s="125">
        <v>0</v>
      </c>
      <c r="M449" s="56">
        <f>INDEX('Infos Clientes'!$N:$N,MATCH('Detalhe Por UC'!C449,'Infos Clientes'!B:B,0))</f>
        <v>0</v>
      </c>
      <c r="N449" s="56">
        <f t="shared" si="229"/>
        <v>0</v>
      </c>
      <c r="O449" s="56">
        <f t="shared" si="230"/>
        <v>12</v>
      </c>
      <c r="P449" s="56">
        <f t="shared" si="265"/>
        <v>0</v>
      </c>
      <c r="Q449" s="61">
        <f>IFERROR(IFERROR(INDEX('Infos Clientes'!$A$2:$V$9884,MATCH($C449,'Infos Clientes'!$B$2:$B$9884,0),MATCH(Q$8,'Infos Clientes'!$A$2:$V$2,0)),"")
+IF(OR(INDEX('Infos Clientes'!$A$2:$V$9884,MATCH($C449,'Infos Clientes'!$B$2:$B$9884,0),MATCH("Tempo de Fidelidade (meses)",'Infos Clientes'!$A$2:$V$2,0))=0,R449&gt;=MAX(R:R)),0,
ROUND((MAX(R:R)-R449)/(365/12),0)),"")</f>
        <v>0</v>
      </c>
      <c r="R449" s="111">
        <v>45778</v>
      </c>
      <c r="S449" s="17">
        <v>0.02</v>
      </c>
      <c r="T449" s="113">
        <f>IF($H449="GIROSSOL II",AP449/INDEX('Resumo Operacional'!$A$1:$P$1103,17,MATCH('Detalhe Por UC'!$R449,'Resumo Operacional'!$A$1:$P$1,0)),
IF($H449="GIROSSOL II e III",AP449/INDEX('Resumo Operacional'!$A$1:$P$1103,17,MATCH('Detalhe Por UC'!$R449,'Resumo Operacional'!$A$1:$P$1,0)),
""))</f>
        <v>4.7955772692208791E-2</v>
      </c>
      <c r="U449" s="113" t="str">
        <f>IF($H449="GIROSSOL III",AP449/INDEX('Resumo Operacional'!$A$1:$P$1103,53,MATCH('Detalhe Por UC'!$R449,'Resumo Operacional'!$A$1:$P$1,0)),
IF($H449="GIROSSOL II e III",AP449/INDEX('Resumo Operacional'!$A$1:$P$1103,53,MATCH('Detalhe Por UC'!$R449,'Resumo Operacional'!$A$1:$P$1,0)),
""))</f>
        <v/>
      </c>
      <c r="V449" s="45"/>
      <c r="X449" s="18">
        <v>1.13562109375</v>
      </c>
      <c r="Y449" s="18">
        <v>0</v>
      </c>
      <c r="Z449" s="18">
        <v>1.1356019417475729</v>
      </c>
      <c r="AA449" s="18">
        <v>0</v>
      </c>
      <c r="AB449" s="143">
        <v>512</v>
      </c>
      <c r="AC449" s="143">
        <v>0</v>
      </c>
      <c r="AD449" s="143">
        <v>412</v>
      </c>
      <c r="AE449" s="35"/>
      <c r="AF449" s="143">
        <v>64</v>
      </c>
      <c r="AG449" s="143">
        <v>0</v>
      </c>
      <c r="AH449" s="48">
        <v>0</v>
      </c>
      <c r="AI449" s="143">
        <v>0</v>
      </c>
      <c r="AJ449" s="143">
        <v>0</v>
      </c>
      <c r="AN449" s="71">
        <f t="shared" si="231"/>
        <v>-39</v>
      </c>
      <c r="AO449" s="71">
        <f t="shared" si="232"/>
        <v>0</v>
      </c>
      <c r="AP449" s="71">
        <f t="shared" si="233"/>
        <v>373</v>
      </c>
      <c r="AQ449" s="72">
        <f>IF(OR($H449="GIROSSOL II",$H449="GIROSSOL II e III"),INDEX('Resumo Operacional'!$A$1:$P$1103,MATCH("Energia Injetada prevista total Fatura da Usina (TUSD)",'Resumo Operacional'!$B$1:$B$1103,0),MATCH('Detalhe Por UC'!$R449,'Resumo Operacional'!$A$1:$P$1,0))*$S449,INDEX('Resumo Operacional'!$A$1:$P$1103,53,MATCH('Detalhe Por UC'!$R449,'Resumo Operacional'!$A$1:$P$1,0))*$S449)</f>
        <v>155.56</v>
      </c>
      <c r="AR449" s="71">
        <f t="shared" si="234"/>
        <v>217.44</v>
      </c>
      <c r="AS449" s="73">
        <f t="shared" si="235"/>
        <v>113.56999999999994</v>
      </c>
      <c r="AT449" s="74">
        <f t="shared" si="236"/>
        <v>113.56999999999994</v>
      </c>
      <c r="AU449" s="74">
        <f t="shared" si="237"/>
        <v>1.1355827897451458</v>
      </c>
      <c r="AV449" s="74">
        <f t="shared" si="238"/>
        <v>350.90100000000007</v>
      </c>
      <c r="AW449" s="74">
        <f t="shared" si="239"/>
        <v>0</v>
      </c>
      <c r="AX449" s="74">
        <f t="shared" si="240"/>
        <v>467.86800000000005</v>
      </c>
      <c r="AY449" s="74">
        <f t="shared" si="241"/>
        <v>350.9</v>
      </c>
      <c r="AZ449" s="49">
        <v>350.9</v>
      </c>
      <c r="BA449" s="49">
        <v>350.9</v>
      </c>
      <c r="BB449" s="117">
        <v>350.9</v>
      </c>
      <c r="BC449" s="73" t="str">
        <f t="shared" si="242"/>
        <v/>
      </c>
      <c r="BD449" s="73">
        <f t="shared" si="243"/>
        <v>581.43799999999999</v>
      </c>
      <c r="BE449" s="73">
        <f t="shared" si="244"/>
        <v>464.471</v>
      </c>
      <c r="BF449" s="77">
        <f t="shared" si="245"/>
        <v>116.97</v>
      </c>
      <c r="BG449" s="77">
        <f t="shared" si="246"/>
        <v>35.091000000000001</v>
      </c>
      <c r="BH449" s="77">
        <f t="shared" si="247"/>
        <v>467.86800000000005</v>
      </c>
      <c r="BI449" s="78">
        <f t="shared" si="248"/>
        <v>0.25</v>
      </c>
      <c r="BJ449" s="79">
        <f t="shared" si="249"/>
        <v>0.20117364190163009</v>
      </c>
      <c r="BK449" s="80">
        <f t="shared" si="250"/>
        <v>464.46999999999991</v>
      </c>
      <c r="BL449" s="80">
        <f t="shared" si="251"/>
        <v>116.96800000000007</v>
      </c>
      <c r="BM449" s="79">
        <f t="shared" si="252"/>
        <v>0.20117020215397011</v>
      </c>
      <c r="BN449" s="81">
        <f t="shared" si="253"/>
        <v>0.85169902912621354</v>
      </c>
      <c r="BO449" s="82">
        <f t="shared" si="254"/>
        <v>350.9</v>
      </c>
      <c r="BP449" s="81">
        <f t="shared" si="255"/>
        <v>0.85169902912621354</v>
      </c>
      <c r="BQ449" s="81">
        <f t="shared" si="256"/>
        <v>0.85171818112864062</v>
      </c>
      <c r="BR449" s="81">
        <f t="shared" si="257"/>
        <v>1.13562109375</v>
      </c>
      <c r="BS449" s="82">
        <f t="shared" si="258"/>
        <v>412</v>
      </c>
      <c r="BT449" s="82">
        <f t="shared" si="259"/>
        <v>467.87589062500001</v>
      </c>
      <c r="BU449" s="82">
        <f t="shared" si="260"/>
        <v>467.86800000000005</v>
      </c>
      <c r="BW449" s="82">
        <f>IFERROR(INDEX('Infos Clientes'!$T:$T,MATCH('Detalhe Por UC'!$C449,'Infos Clientes'!B:B,0)),"")</f>
        <v>433.16666666666669</v>
      </c>
      <c r="BX449" s="83">
        <f t="shared" si="261"/>
        <v>0</v>
      </c>
      <c r="BY449" s="84">
        <f t="shared" si="262"/>
        <v>0.24999792112338029</v>
      </c>
      <c r="BZ449" s="85">
        <f>IF(_xlfn.MINIFS('Detalhe Por UC'!R:R,'Detalhe Por UC'!C:C,C449,'Detalhe Por UC'!AD:AD,"&gt;"&amp;0)=0,"",_xlfn.MINIFS('Detalhe Por UC'!R:R,'Detalhe Por UC'!C:C,C449,'Detalhe Por UC'!AD:AD,"&gt;"&amp;0))</f>
        <v>45627</v>
      </c>
      <c r="CA449" s="114">
        <f ca="1">IF(OR(S449&gt;0,AD449&gt;0),IFERROR(
SUMIFS(INDIRECT("'Infos Clientes'!$W"&amp;INDEX('Infos Clientes'!$C:$C,MATCH(C449,'Infos Clientes'!$H:$H,0))&amp;":$CZ"&amp;INDEX('Infos Clientes'!$C:$C,MATCH(C449,'Infos Clientes'!$H:$H,0))),'Infos Clientes'!$W$2:$CZ$2,"&gt;"&amp;$R449-365,'Infos Clientes'!$W$2:$CZ$2,"&lt;="&amp;$R449)/
COUNTIFS(INDIRECT("'Infos Clientes'!$W"&amp;INDEX('Infos Clientes'!$C:$C,MATCH(C449,'Infos Clientes'!$H:$H,0))&amp;":$CZ"&amp;INDEX('Infos Clientes'!$C:$C,MATCH(C449,'Infos Clientes'!$H:$H,0))),"&gt;="&amp;0,'Infos Clientes'!$W$2:$CZ$2,"&gt;"&amp;$R449-365,'Infos Clientes'!$W$2:$CZ$2,"&lt;="&amp;$R449),""),"")</f>
        <v>403.41666666666669</v>
      </c>
      <c r="CB449" s="87">
        <f>VLOOKUP(C449,'Infos Clientes'!B:L,11,0)</f>
        <v>0</v>
      </c>
      <c r="CC449" s="88" t="str">
        <f t="shared" si="263"/>
        <v>A Unidade Consumidora 10/3092868-3 economizou R$116,97 na fatura referente à mai/2025  consumindo 412 kWh em créditos de energia renovável conforme fatura de energia. A economia foi de 25% em relação ao que seria pago para a Energisa considerando os créditos consumidos. Atenção: Mantenha as contas da Energisa em dia para evitar cortes.</v>
      </c>
      <c r="CD449" s="40" t="s">
        <v>100</v>
      </c>
      <c r="CE449" s="18">
        <v>113.57</v>
      </c>
      <c r="CF449" s="115">
        <f t="shared" si="264"/>
        <v>0</v>
      </c>
      <c r="CG449" t="s">
        <v>358</v>
      </c>
    </row>
    <row r="450" spans="1:85" ht="16.2" hidden="1" customHeight="1" x14ac:dyDescent="0.3">
      <c r="A450" s="105" t="str">
        <f>INDEX('Infos Clientes'!$D:$D,MATCH('Detalhe Por UC'!C450,'Infos Clientes'!B:B,0))</f>
        <v>IGREJA DO EVANGELHO QUADRANGULAR</v>
      </c>
      <c r="B450" s="106" t="str">
        <f>INDEX('Infos Clientes'!$F:$F,MATCH('Detalhe Por UC'!C450,'Infos Clientes'!B:B,0))</f>
        <v>62.955.505/0884-04</v>
      </c>
      <c r="C450" s="44" t="s">
        <v>88</v>
      </c>
      <c r="D450" t="s">
        <v>351</v>
      </c>
      <c r="E450" s="1" t="s">
        <v>352</v>
      </c>
      <c r="F450" s="56" t="str">
        <f>INDEX('Infos Clientes'!$I:$I,MATCH('Detalhe Por UC'!C450,'Infos Clientes'!B:B,0))</f>
        <v>BT</v>
      </c>
      <c r="G450" s="56" t="str">
        <f>INDEX('Infos Clientes'!$J:$J,MATCH('Detalhe Por UC'!C450,'Infos Clientes'!B:B,0))</f>
        <v>trifasico</v>
      </c>
      <c r="H450" s="47" t="str">
        <f>HYPERLINK("https://geraebcsp.sharepoint.com/sites/gestao.gdc/Shared Documents/EGS/2- Faturas/"&amp; TEXT($R450,"AAA") &amp;"/"&amp; TEXT($R450,"MM") &amp;"."&amp; TEXT($R450,"AAA") &amp;"/"&amp;"_10-"&amp; RIGHT($C450,LEN($C450)-3) &amp;"_" &amp; TEXT($R450,"AAAA") &amp;"-"&amp; TEXT($R450,"MM") &amp;".pdf","GIROSSOL II")</f>
        <v>GIROSSOL II</v>
      </c>
      <c r="I450" s="58">
        <f>IFERROR(VLOOKUP(C450,'Infos Clientes'!B:E,4,),"")</f>
        <v>994</v>
      </c>
      <c r="J450" s="109">
        <v>0.25</v>
      </c>
      <c r="K450" s="59">
        <f>INDEX('Infos Clientes'!$M:$M,MATCH('Detalhe Por UC'!C450,'Infos Clientes'!B:B,0))</f>
        <v>0.25</v>
      </c>
      <c r="L450" s="125">
        <v>0</v>
      </c>
      <c r="M450" s="56">
        <f>INDEX('Infos Clientes'!$N:$N,MATCH('Detalhe Por UC'!C450,'Infos Clientes'!B:B,0))</f>
        <v>0</v>
      </c>
      <c r="N450" s="56">
        <f t="shared" si="229"/>
        <v>0</v>
      </c>
      <c r="O450" s="56">
        <f t="shared" si="230"/>
        <v>12</v>
      </c>
      <c r="P450" s="56">
        <f t="shared" si="265"/>
        <v>0</v>
      </c>
      <c r="Q450" s="61">
        <f>IFERROR(IFERROR(INDEX('Infos Clientes'!$A$2:$V$9884,MATCH($C450,'Infos Clientes'!$B$2:$B$9884,0),MATCH(Q$8,'Infos Clientes'!$A$2:$V$2,0)),"")
+IF(OR(INDEX('Infos Clientes'!$A$2:$V$9884,MATCH($C450,'Infos Clientes'!$B$2:$B$9884,0),MATCH("Tempo de Fidelidade (meses)",'Infos Clientes'!$A$2:$V$2,0))=0,R450&gt;=MAX(R:R)),0,
ROUND((MAX(R:R)-R450)/(365/12),0)),"")</f>
        <v>0</v>
      </c>
      <c r="R450" s="111">
        <v>45778</v>
      </c>
      <c r="S450" s="17">
        <v>0.02</v>
      </c>
      <c r="T450" s="113">
        <f>IF($H450="GIROSSOL II",AP450/INDEX('Resumo Operacional'!$A$1:$P$1103,17,MATCH('Detalhe Por UC'!$R450,'Resumo Operacional'!$A$1:$P$1,0)),
IF($H450="GIROSSOL II e III",AP450/INDEX('Resumo Operacional'!$A$1:$P$1103,17,MATCH('Detalhe Por UC'!$R450,'Resumo Operacional'!$A$1:$P$1,0)),
""))</f>
        <v>1.9928002057084084E-2</v>
      </c>
      <c r="U450" s="113" t="str">
        <f>IF($H450="GIROSSOL III",AP450/INDEX('Resumo Operacional'!$A$1:$P$1103,53,MATCH('Detalhe Por UC'!$R450,'Resumo Operacional'!$A$1:$P$1,0)),
IF($H450="GIROSSOL II e III",AP450/INDEX('Resumo Operacional'!$A$1:$P$1103,53,MATCH('Detalhe Por UC'!$R450,'Resumo Operacional'!$A$1:$P$1,0)),
""))</f>
        <v/>
      </c>
      <c r="V450" s="45"/>
      <c r="X450" s="18">
        <v>1.1411083916083915</v>
      </c>
      <c r="Y450" s="18">
        <v>0</v>
      </c>
      <c r="Z450" s="18">
        <v>1.1411129032258065</v>
      </c>
      <c r="AA450" s="18">
        <v>0</v>
      </c>
      <c r="AB450" s="143">
        <v>286</v>
      </c>
      <c r="AC450" s="143">
        <v>0</v>
      </c>
      <c r="AD450" s="143">
        <v>186</v>
      </c>
      <c r="AE450" s="35"/>
      <c r="AF450" s="143">
        <v>922</v>
      </c>
      <c r="AG450" s="143">
        <v>0</v>
      </c>
      <c r="AH450" s="48">
        <v>43.17</v>
      </c>
      <c r="AI450" s="143">
        <v>0</v>
      </c>
      <c r="AJ450" s="143">
        <v>0</v>
      </c>
      <c r="AN450" s="71">
        <f t="shared" si="231"/>
        <v>-31</v>
      </c>
      <c r="AO450" s="71">
        <f t="shared" si="232"/>
        <v>0</v>
      </c>
      <c r="AP450" s="71">
        <f t="shared" si="233"/>
        <v>155</v>
      </c>
      <c r="AQ450" s="72">
        <f>IF(OR($H450="GIROSSOL II",$H450="GIROSSOL II e III"),INDEX('Resumo Operacional'!$A$1:$P$1103,MATCH("Energia Injetada prevista total Fatura da Usina (TUSD)",'Resumo Operacional'!$B$1:$B$1103,0),MATCH('Detalhe Por UC'!$R450,'Resumo Operacional'!$A$1:$P$1,0))*$S450,INDEX('Resumo Operacional'!$A$1:$P$1103,53,MATCH('Detalhe Por UC'!$R450,'Resumo Operacional'!$A$1:$P$1,0))*$S450)</f>
        <v>155.56</v>
      </c>
      <c r="AR450" s="71">
        <f t="shared" si="234"/>
        <v>-0.56000000000000227</v>
      </c>
      <c r="AS450" s="73">
        <f t="shared" si="235"/>
        <v>157.27999999999997</v>
      </c>
      <c r="AT450" s="74">
        <f t="shared" si="236"/>
        <v>157.27999999999997</v>
      </c>
      <c r="AU450" s="74">
        <f t="shared" si="237"/>
        <v>1.1411174148432215</v>
      </c>
      <c r="AV450" s="74">
        <f t="shared" si="238"/>
        <v>159.18525</v>
      </c>
      <c r="AW450" s="74">
        <f t="shared" si="239"/>
        <v>0</v>
      </c>
      <c r="AX450" s="74">
        <f t="shared" si="240"/>
        <v>212.24700000000001</v>
      </c>
      <c r="AY450" s="74">
        <f t="shared" si="241"/>
        <v>159.19</v>
      </c>
      <c r="AZ450" s="49">
        <v>159.19</v>
      </c>
      <c r="BA450" s="49">
        <v>159.19</v>
      </c>
      <c r="BB450" s="117">
        <v>159.19</v>
      </c>
      <c r="BC450" s="73" t="str">
        <f t="shared" si="242"/>
        <v/>
      </c>
      <c r="BD450" s="73">
        <f t="shared" si="243"/>
        <v>369.52699999999999</v>
      </c>
      <c r="BE450" s="73">
        <f t="shared" si="244"/>
        <v>316.46524999999997</v>
      </c>
      <c r="BF450" s="77">
        <f t="shared" si="245"/>
        <v>53.06</v>
      </c>
      <c r="BG450" s="77">
        <f t="shared" si="246"/>
        <v>15.917999999999999</v>
      </c>
      <c r="BH450" s="77">
        <f t="shared" si="247"/>
        <v>212.24699999999999</v>
      </c>
      <c r="BI450" s="78">
        <f t="shared" si="248"/>
        <v>0.25</v>
      </c>
      <c r="BJ450" s="79">
        <f t="shared" si="249"/>
        <v>0.14358896643547023</v>
      </c>
      <c r="BK450" s="80">
        <f t="shared" si="250"/>
        <v>316.46999999999997</v>
      </c>
      <c r="BL450" s="80">
        <f t="shared" si="251"/>
        <v>53.057000000000016</v>
      </c>
      <c r="BM450" s="79">
        <f t="shared" si="252"/>
        <v>0.14358084794886442</v>
      </c>
      <c r="BN450" s="81">
        <f t="shared" si="253"/>
        <v>0.85586021505376342</v>
      </c>
      <c r="BO450" s="82">
        <f t="shared" si="254"/>
        <v>159.19</v>
      </c>
      <c r="BP450" s="81">
        <f t="shared" si="255"/>
        <v>0.85586021505376342</v>
      </c>
      <c r="BQ450" s="81">
        <f t="shared" si="256"/>
        <v>0.85585570343634843</v>
      </c>
      <c r="BR450" s="81">
        <f t="shared" si="257"/>
        <v>1.1411083916083915</v>
      </c>
      <c r="BS450" s="82">
        <f t="shared" si="258"/>
        <v>186</v>
      </c>
      <c r="BT450" s="82">
        <f t="shared" si="259"/>
        <v>212.24616083916081</v>
      </c>
      <c r="BU450" s="82">
        <f t="shared" si="260"/>
        <v>212.24700000000001</v>
      </c>
      <c r="BW450" s="82">
        <f>IFERROR(INDEX('Infos Clientes'!$T:$T,MATCH('Detalhe Por UC'!$C450,'Infos Clientes'!B:B,0)),"")</f>
        <v>335.75</v>
      </c>
      <c r="BX450" s="83">
        <f t="shared" si="261"/>
        <v>0</v>
      </c>
      <c r="BY450" s="84">
        <f t="shared" si="262"/>
        <v>0.24997860875423028</v>
      </c>
      <c r="BZ450" s="85">
        <f>IF(_xlfn.MINIFS('Detalhe Por UC'!R:R,'Detalhe Por UC'!C:C,C450,'Detalhe Por UC'!AD:AD,"&gt;"&amp;0)=0,"",_xlfn.MINIFS('Detalhe Por UC'!R:R,'Detalhe Por UC'!C:C,C450,'Detalhe Por UC'!AD:AD,"&gt;"&amp;0))</f>
        <v>45627</v>
      </c>
      <c r="CA450" s="114">
        <f ca="1">IF(OR(S450&gt;0,AD450&gt;0),IFERROR(
SUMIFS(INDIRECT("'Infos Clientes'!$W"&amp;INDEX('Infos Clientes'!$C:$C,MATCH(C450,'Infos Clientes'!$H:$H,0))&amp;":$CZ"&amp;INDEX('Infos Clientes'!$C:$C,MATCH(C450,'Infos Clientes'!$H:$H,0))),'Infos Clientes'!$W$2:$CZ$2,"&gt;"&amp;$R450-365,'Infos Clientes'!$W$2:$CZ$2,"&lt;="&amp;$R450)/
COUNTIFS(INDIRECT("'Infos Clientes'!$W"&amp;INDEX('Infos Clientes'!$C:$C,MATCH(C450,'Infos Clientes'!$H:$H,0))&amp;":$CZ"&amp;INDEX('Infos Clientes'!$C:$C,MATCH(C450,'Infos Clientes'!$H:$H,0))),"&gt;="&amp;0,'Infos Clientes'!$W$2:$CZ$2,"&gt;"&amp;$R450-365,'Infos Clientes'!$W$2:$CZ$2,"&lt;="&amp;$R450),""),"")</f>
        <v>337.5</v>
      </c>
      <c r="CB450" s="87">
        <f>VLOOKUP(C450,'Infos Clientes'!B:L,11,0)</f>
        <v>0</v>
      </c>
      <c r="CC450" s="88" t="str">
        <f t="shared" si="263"/>
        <v>A Unidade Consumidora 10/276283-9 economizou R$53,06 na fatura referente à mai/2025  consumindo 186 kWh em créditos de energia renovável conforme fatura de energia. A economia foi de 25% em relação ao que seria pago para a Energisa considerando os créditos consumidos. Atenção: Mantenha as contas da Energisa em dia para evitar cortes.</v>
      </c>
      <c r="CD450" s="40" t="s">
        <v>90</v>
      </c>
      <c r="CE450" s="18">
        <v>157.28</v>
      </c>
      <c r="CF450" s="115">
        <f t="shared" si="264"/>
        <v>0</v>
      </c>
      <c r="CG450" t="s">
        <v>359</v>
      </c>
    </row>
    <row r="451" spans="1:85" ht="16.2" hidden="1" customHeight="1" x14ac:dyDescent="0.3">
      <c r="A451" s="105" t="str">
        <f>INDEX('Infos Clientes'!$D:$D,MATCH('Detalhe Por UC'!C451,'Infos Clientes'!B:B,0))</f>
        <v>IGREJA DO EVANGELHO QUADRANGULAR</v>
      </c>
      <c r="B451" s="106" t="str">
        <f>INDEX('Infos Clientes'!$F:$F,MATCH('Detalhe Por UC'!C451,'Infos Clientes'!B:B,0))</f>
        <v>62.955.505/3593-60</v>
      </c>
      <c r="C451" s="44" t="s">
        <v>123</v>
      </c>
      <c r="D451" t="s">
        <v>351</v>
      </c>
      <c r="E451" s="1" t="s">
        <v>352</v>
      </c>
      <c r="F451" s="56" t="str">
        <f>INDEX('Infos Clientes'!$I:$I,MATCH('Detalhe Por UC'!C451,'Infos Clientes'!B:B,0))</f>
        <v>BT</v>
      </c>
      <c r="G451" s="56" t="str">
        <f>INDEX('Infos Clientes'!$J:$J,MATCH('Detalhe Por UC'!C451,'Infos Clientes'!B:B,0))</f>
        <v>trifasico</v>
      </c>
      <c r="H451" s="108" t="s">
        <v>24</v>
      </c>
      <c r="I451" s="58">
        <f>IFERROR(VLOOKUP(C451,'Infos Clientes'!B:E,4,),"")</f>
        <v>351</v>
      </c>
      <c r="J451" s="109">
        <v>0.25</v>
      </c>
      <c r="K451" s="59">
        <f>INDEX('Infos Clientes'!$M:$M,MATCH('Detalhe Por UC'!C451,'Infos Clientes'!B:B,0))</f>
        <v>0.25</v>
      </c>
      <c r="L451" s="125">
        <v>0</v>
      </c>
      <c r="M451" s="56">
        <f>INDEX('Infos Clientes'!$N:$N,MATCH('Detalhe Por UC'!C451,'Infos Clientes'!B:B,0))</f>
        <v>0</v>
      </c>
      <c r="N451" s="56">
        <f t="shared" si="229"/>
        <v>0</v>
      </c>
      <c r="O451" s="56">
        <f t="shared" si="230"/>
        <v>12</v>
      </c>
      <c r="P451" s="56">
        <f t="shared" si="265"/>
        <v>0</v>
      </c>
      <c r="Q451" s="61">
        <f>IFERROR(IFERROR(INDEX('Infos Clientes'!$A$2:$V$9884,MATCH($C451,'Infos Clientes'!$B$2:$B$9884,0),MATCH(Q$8,'Infos Clientes'!$A$2:$V$2,0)),"")
+IF(OR(INDEX('Infos Clientes'!$A$2:$V$9884,MATCH($C451,'Infos Clientes'!$B$2:$B$9884,0),MATCH("Tempo de Fidelidade (meses)",'Infos Clientes'!$A$2:$V$2,0))=0,R451&gt;=MAX(R:R)),0,
ROUND((MAX(R:R)-R451)/(365/12),0)),"")</f>
        <v>0</v>
      </c>
      <c r="R451" s="111">
        <v>45778</v>
      </c>
      <c r="S451" s="17">
        <v>0.04</v>
      </c>
      <c r="T451" s="113">
        <f>IF($H451="GIROSSOL II",AP451/INDEX('Resumo Operacional'!$A$1:$P$1103,17,MATCH('Detalhe Por UC'!$R451,'Resumo Operacional'!$A$1:$P$1,0)),
IF($H451="GIROSSOL II e III",AP451/INDEX('Resumo Operacional'!$A$1:$P$1103,17,MATCH('Detalhe Por UC'!$R451,'Resumo Operacional'!$A$1:$P$1,0)),
""))</f>
        <v>3.9984571869375159E-2</v>
      </c>
      <c r="U451" s="113" t="str">
        <f>IF($H451="GIROSSOL III",AP451/INDEX('Resumo Operacional'!$A$1:$P$1103,53,MATCH('Detalhe Por UC'!$R451,'Resumo Operacional'!$A$1:$P$1,0)),
IF($H451="GIROSSOL II e III",AP451/INDEX('Resumo Operacional'!$A$1:$P$1103,53,MATCH('Detalhe Por UC'!$R451,'Resumo Operacional'!$A$1:$P$1,0)),
""))</f>
        <v/>
      </c>
      <c r="V451" s="45"/>
      <c r="X451" s="18">
        <v>1.1411066481994461</v>
      </c>
      <c r="Y451" s="18">
        <v>0</v>
      </c>
      <c r="Z451" s="18">
        <v>1.1411091954022989</v>
      </c>
      <c r="AA451" s="18">
        <v>0</v>
      </c>
      <c r="AB451" s="143">
        <v>361</v>
      </c>
      <c r="AC451" s="143">
        <v>0</v>
      </c>
      <c r="AD451" s="143">
        <v>261</v>
      </c>
      <c r="AE451" s="35"/>
      <c r="AF451" s="143">
        <v>1337</v>
      </c>
      <c r="AG451" s="143">
        <v>0</v>
      </c>
      <c r="AH451" s="48">
        <v>71.97</v>
      </c>
      <c r="AI451" s="143">
        <v>0</v>
      </c>
      <c r="AJ451" s="143">
        <v>0</v>
      </c>
      <c r="AN451" s="71">
        <f t="shared" si="231"/>
        <v>50</v>
      </c>
      <c r="AO451" s="71">
        <f t="shared" si="232"/>
        <v>0</v>
      </c>
      <c r="AP451" s="71">
        <f t="shared" si="233"/>
        <v>311</v>
      </c>
      <c r="AQ451" s="72">
        <f>IF(OR($H451="GIROSSOL II",$H451="GIROSSOL II e III"),INDEX('Resumo Operacional'!$A$1:$P$1103,MATCH("Energia Injetada prevista total Fatura da Usina (TUSD)",'Resumo Operacional'!$B$1:$B$1103,0),MATCH('Detalhe Por UC'!$R451,'Resumo Operacional'!$A$1:$P$1,0))*$S451,INDEX('Resumo Operacional'!$A$1:$P$1103,53,MATCH('Detalhe Por UC'!$R451,'Resumo Operacional'!$A$1:$P$1,0))*$S451)</f>
        <v>311.12</v>
      </c>
      <c r="AR451" s="71">
        <f t="shared" si="234"/>
        <v>-0.12000000000000455</v>
      </c>
      <c r="AS451" s="73">
        <f t="shared" si="235"/>
        <v>186.08</v>
      </c>
      <c r="AT451" s="74">
        <f t="shared" si="236"/>
        <v>186.08</v>
      </c>
      <c r="AU451" s="74">
        <f t="shared" si="237"/>
        <v>1.1411117426051518</v>
      </c>
      <c r="AV451" s="74">
        <f t="shared" si="238"/>
        <v>223.37212500000001</v>
      </c>
      <c r="AW451" s="74">
        <f t="shared" si="239"/>
        <v>0</v>
      </c>
      <c r="AX451" s="74">
        <f t="shared" si="240"/>
        <v>297.8295</v>
      </c>
      <c r="AY451" s="74">
        <f t="shared" si="241"/>
        <v>223.37</v>
      </c>
      <c r="AZ451" s="49">
        <v>223.37</v>
      </c>
      <c r="BA451" s="49">
        <v>223.37</v>
      </c>
      <c r="BB451" s="117">
        <v>223.37</v>
      </c>
      <c r="BC451" s="73" t="str">
        <f t="shared" si="242"/>
        <v/>
      </c>
      <c r="BD451" s="73">
        <f t="shared" si="243"/>
        <v>483.90949999999998</v>
      </c>
      <c r="BE451" s="73">
        <f t="shared" si="244"/>
        <v>409.45212500000002</v>
      </c>
      <c r="BF451" s="77">
        <f t="shared" si="245"/>
        <v>74.459999999999994</v>
      </c>
      <c r="BG451" s="77">
        <f t="shared" si="246"/>
        <v>22.337999999999997</v>
      </c>
      <c r="BH451" s="77">
        <f t="shared" si="247"/>
        <v>297.8295</v>
      </c>
      <c r="BI451" s="78">
        <f t="shared" si="248"/>
        <v>0.25</v>
      </c>
      <c r="BJ451" s="79">
        <f t="shared" si="249"/>
        <v>0.15387174667990605</v>
      </c>
      <c r="BK451" s="80">
        <f t="shared" si="250"/>
        <v>409.45000000000005</v>
      </c>
      <c r="BL451" s="80">
        <f t="shared" si="251"/>
        <v>74.459499999999935</v>
      </c>
      <c r="BM451" s="79">
        <f t="shared" si="252"/>
        <v>0.15387071342885383</v>
      </c>
      <c r="BN451" s="81">
        <f t="shared" si="253"/>
        <v>0.85582375478927208</v>
      </c>
      <c r="BO451" s="82">
        <f t="shared" si="254"/>
        <v>223.37</v>
      </c>
      <c r="BP451" s="81">
        <f t="shared" si="255"/>
        <v>0.85582375478927208</v>
      </c>
      <c r="BQ451" s="81">
        <f t="shared" si="256"/>
        <v>0.85582120758641922</v>
      </c>
      <c r="BR451" s="81">
        <f t="shared" si="257"/>
        <v>1.1411066481994461</v>
      </c>
      <c r="BS451" s="82">
        <f t="shared" si="258"/>
        <v>261</v>
      </c>
      <c r="BT451" s="82">
        <f t="shared" si="259"/>
        <v>297.82883518005542</v>
      </c>
      <c r="BU451" s="82">
        <f t="shared" si="260"/>
        <v>297.8295</v>
      </c>
      <c r="BW451" s="82">
        <f>IFERROR(INDEX('Infos Clientes'!$T:$T,MATCH('Detalhe Por UC'!$C451,'Infos Clientes'!B:B,0)),"")</f>
        <v>409.33333333333331</v>
      </c>
      <c r="BX451" s="83">
        <f t="shared" si="261"/>
        <v>0</v>
      </c>
      <c r="BY451" s="84">
        <f t="shared" si="262"/>
        <v>0.25000769302604553</v>
      </c>
      <c r="BZ451" s="85">
        <f>IF(_xlfn.MINIFS('Detalhe Por UC'!R:R,'Detalhe Por UC'!C:C,C451,'Detalhe Por UC'!AD:AD,"&gt;"&amp;0)=0,"",_xlfn.MINIFS('Detalhe Por UC'!R:R,'Detalhe Por UC'!C:C,C451,'Detalhe Por UC'!AD:AD,"&gt;"&amp;0))</f>
        <v>45627</v>
      </c>
      <c r="CA451" s="114">
        <f ca="1">IF(OR(S451&gt;0,AD451&gt;0),IFERROR(
SUMIFS(INDIRECT("'Infos Clientes'!$W"&amp;INDEX('Infos Clientes'!$C:$C,MATCH(C451,'Infos Clientes'!$H:$H,0))&amp;":$CZ"&amp;INDEX('Infos Clientes'!$C:$C,MATCH(C451,'Infos Clientes'!$H:$H,0))),'Infos Clientes'!$W$2:$CZ$2,"&gt;"&amp;$R451-365,'Infos Clientes'!$W$2:$CZ$2,"&lt;="&amp;$R451)/
COUNTIFS(INDIRECT("'Infos Clientes'!$W"&amp;INDEX('Infos Clientes'!$C:$C,MATCH(C451,'Infos Clientes'!$H:$H,0))&amp;":$CZ"&amp;INDEX('Infos Clientes'!$C:$C,MATCH(C451,'Infos Clientes'!$H:$H,0))),"&gt;="&amp;0,'Infos Clientes'!$W$2:$CZ$2,"&gt;"&amp;$R451-365,'Infos Clientes'!$W$2:$CZ$2,"&lt;="&amp;$R451),""),"")</f>
        <v>400.91666666666669</v>
      </c>
      <c r="CB451" s="87">
        <f>VLOOKUP(C451,'Infos Clientes'!B:L,11,0)</f>
        <v>0</v>
      </c>
      <c r="CC451" s="88" t="str">
        <f t="shared" si="263"/>
        <v>A Unidade Consumidora 10/532723-4 economizou R$74,46 na fatura referente à mai/2025  consumindo 261 kWh em créditos de energia renovável conforme fatura de energia. A economia foi de 25% em relação ao que seria pago para a Energisa considerando os créditos consumidos. Atenção: Mantenha as contas da Energisa em dia para evitar cortes.</v>
      </c>
      <c r="CD451" s="40" t="s">
        <v>249</v>
      </c>
      <c r="CE451" s="18">
        <v>186.08</v>
      </c>
      <c r="CF451" s="115">
        <f t="shared" si="264"/>
        <v>0</v>
      </c>
      <c r="CG451" t="s">
        <v>359</v>
      </c>
    </row>
    <row r="452" spans="1:85" ht="16.2" hidden="1" customHeight="1" x14ac:dyDescent="0.3">
      <c r="A452" s="105" t="str">
        <f>INDEX('Infos Clientes'!$D:$D,MATCH('Detalhe Por UC'!C452,'Infos Clientes'!B:B,0))</f>
        <v>IGREJA DO EVANGELHO QUADRANGULAR</v>
      </c>
      <c r="B452" s="106" t="str">
        <f>INDEX('Infos Clientes'!$F:$F,MATCH('Detalhe Por UC'!C452,'Infos Clientes'!B:B,0))</f>
        <v>62.955.505/1822-57</v>
      </c>
      <c r="C452" s="44" t="s">
        <v>25</v>
      </c>
      <c r="D452" t="s">
        <v>351</v>
      </c>
      <c r="E452" s="1" t="s">
        <v>352</v>
      </c>
      <c r="F452" s="56" t="str">
        <f>INDEX('Infos Clientes'!$I:$I,MATCH('Detalhe Por UC'!C452,'Infos Clientes'!B:B,0))</f>
        <v>BT</v>
      </c>
      <c r="G452" s="56" t="str">
        <f>INDEX('Infos Clientes'!$J:$J,MATCH('Detalhe Por UC'!C452,'Infos Clientes'!B:B,0))</f>
        <v>trifasico</v>
      </c>
      <c r="H452" s="108" t="s">
        <v>24</v>
      </c>
      <c r="I452" s="58">
        <f>IFERROR(VLOOKUP(C452,'Infos Clientes'!B:E,4,),"")</f>
        <v>319</v>
      </c>
      <c r="J452" s="109">
        <v>0.25</v>
      </c>
      <c r="K452" s="59">
        <f>INDEX('Infos Clientes'!$M:$M,MATCH('Detalhe Por UC'!C452,'Infos Clientes'!B:B,0))</f>
        <v>0.25</v>
      </c>
      <c r="L452" s="125">
        <v>0</v>
      </c>
      <c r="M452" s="56">
        <f>INDEX('Infos Clientes'!$N:$N,MATCH('Detalhe Por UC'!C452,'Infos Clientes'!B:B,0))</f>
        <v>0</v>
      </c>
      <c r="N452" s="56">
        <f t="shared" si="229"/>
        <v>0</v>
      </c>
      <c r="O452" s="56">
        <f t="shared" si="230"/>
        <v>12</v>
      </c>
      <c r="P452" s="56">
        <f t="shared" si="265"/>
        <v>0</v>
      </c>
      <c r="Q452" s="61">
        <f>IFERROR(IFERROR(INDEX('Infos Clientes'!$A$2:$V$9884,MATCH($C452,'Infos Clientes'!$B$2:$B$9884,0),MATCH(Q$8,'Infos Clientes'!$A$2:$V$2,0)),"")
+IF(OR(INDEX('Infos Clientes'!$A$2:$V$9884,MATCH($C452,'Infos Clientes'!$B$2:$B$9884,0),MATCH("Tempo de Fidelidade (meses)",'Infos Clientes'!$A$2:$V$2,0))=0,R452&gt;=MAX(R:R)),0,
ROUND((MAX(R:R)-R452)/(365/12),0)),"")</f>
        <v>0</v>
      </c>
      <c r="R452" s="111">
        <v>45778</v>
      </c>
      <c r="S452" s="17">
        <v>0.06</v>
      </c>
      <c r="T452" s="113">
        <f>IF($H452="GIROSSOL II",AP452/INDEX('Resumo Operacional'!$A$1:$P$1103,17,MATCH('Detalhe Por UC'!$R452,'Resumo Operacional'!$A$1:$P$1,0)),
IF($H452="GIROSSOL II e III",AP452/INDEX('Resumo Operacional'!$A$1:$P$1103,17,MATCH('Detalhe Por UC'!$R452,'Resumo Operacional'!$A$1:$P$1,0)),
""))</f>
        <v>5.9912573926459246E-2</v>
      </c>
      <c r="U452" s="113" t="str">
        <f>IF($H452="GIROSSOL III",AP452/INDEX('Resumo Operacional'!$A$1:$P$1103,53,MATCH('Detalhe Por UC'!$R452,'Resumo Operacional'!$A$1:$P$1,0)),
IF($H452="GIROSSOL II e III",AP452/INDEX('Resumo Operacional'!$A$1:$P$1103,53,MATCH('Detalhe Por UC'!$R452,'Resumo Operacional'!$A$1:$P$1,0)),
""))</f>
        <v/>
      </c>
      <c r="V452" s="45"/>
      <c r="X452" s="18">
        <v>1.1402216216216217</v>
      </c>
      <c r="Y452" s="18">
        <v>0</v>
      </c>
      <c r="Z452" s="18">
        <v>1.1401723270440252</v>
      </c>
      <c r="AA452" s="18">
        <v>0</v>
      </c>
      <c r="AB452" s="143">
        <v>259</v>
      </c>
      <c r="AC452" s="143">
        <v>0</v>
      </c>
      <c r="AD452" s="143">
        <v>159</v>
      </c>
      <c r="AE452" s="35"/>
      <c r="AF452" s="143">
        <v>2473</v>
      </c>
      <c r="AG452" s="143">
        <v>0</v>
      </c>
      <c r="AH452" s="48">
        <v>59.51</v>
      </c>
      <c r="AI452" s="143">
        <v>0</v>
      </c>
      <c r="AJ452" s="143">
        <v>0</v>
      </c>
      <c r="AN452" s="71">
        <f t="shared" si="231"/>
        <v>307</v>
      </c>
      <c r="AO452" s="71">
        <f t="shared" si="232"/>
        <v>0</v>
      </c>
      <c r="AP452" s="71">
        <f t="shared" si="233"/>
        <v>466</v>
      </c>
      <c r="AQ452" s="72">
        <f>IF(OR($H452="GIROSSOL II",$H452="GIROSSOL II e III"),INDEX('Resumo Operacional'!$A$1:$P$1103,MATCH("Energia Injetada prevista total Fatura da Usina (TUSD)",'Resumo Operacional'!$B$1:$B$1103,0),MATCH('Detalhe Por UC'!$R452,'Resumo Operacional'!$A$1:$P$1,0))*$S452,INDEX('Resumo Operacional'!$A$1:$P$1103,53,MATCH('Detalhe Por UC'!$R452,'Resumo Operacional'!$A$1:$P$1,0))*$S452)</f>
        <v>466.68</v>
      </c>
      <c r="AR452" s="71">
        <f t="shared" si="234"/>
        <v>-0.68000000000000682</v>
      </c>
      <c r="AS452" s="73">
        <f t="shared" si="235"/>
        <v>173.54000000000002</v>
      </c>
      <c r="AT452" s="74">
        <f t="shared" si="236"/>
        <v>173.54000000000002</v>
      </c>
      <c r="AU452" s="74">
        <f t="shared" si="237"/>
        <v>1.1401230324664287</v>
      </c>
      <c r="AV452" s="74">
        <f t="shared" si="238"/>
        <v>135.96554999999998</v>
      </c>
      <c r="AW452" s="74">
        <f t="shared" si="239"/>
        <v>0</v>
      </c>
      <c r="AX452" s="74">
        <f t="shared" si="240"/>
        <v>181.28739999999999</v>
      </c>
      <c r="AY452" s="74">
        <f t="shared" si="241"/>
        <v>135.97</v>
      </c>
      <c r="AZ452" s="49">
        <v>135.97</v>
      </c>
      <c r="BA452" s="49">
        <v>135.97</v>
      </c>
      <c r="BC452" s="73" t="str">
        <f t="shared" si="242"/>
        <v/>
      </c>
      <c r="BD452" s="73">
        <f t="shared" si="243"/>
        <v>354.82740000000001</v>
      </c>
      <c r="BE452" s="73">
        <f t="shared" si="244"/>
        <v>309.50554999999997</v>
      </c>
      <c r="BF452" s="77">
        <f t="shared" si="245"/>
        <v>45.32</v>
      </c>
      <c r="BG452" s="77">
        <f t="shared" si="246"/>
        <v>13.596</v>
      </c>
      <c r="BH452" s="77">
        <f t="shared" si="247"/>
        <v>181.28739999999999</v>
      </c>
      <c r="BI452" s="78">
        <f t="shared" si="248"/>
        <v>0.25</v>
      </c>
      <c r="BJ452" s="79">
        <f t="shared" si="249"/>
        <v>0.1277240709144784</v>
      </c>
      <c r="BK452" s="80">
        <f t="shared" si="250"/>
        <v>309.51</v>
      </c>
      <c r="BL452" s="80">
        <f t="shared" si="251"/>
        <v>45.317400000000021</v>
      </c>
      <c r="BM452" s="79">
        <f t="shared" si="252"/>
        <v>0.1277167434082036</v>
      </c>
      <c r="BN452" s="81">
        <f t="shared" si="253"/>
        <v>0.85515723270440247</v>
      </c>
      <c r="BO452" s="82">
        <f t="shared" si="254"/>
        <v>135.97</v>
      </c>
      <c r="BP452" s="81">
        <f t="shared" si="255"/>
        <v>0.85515723270440247</v>
      </c>
      <c r="BQ452" s="81">
        <f t="shared" si="256"/>
        <v>0.85520652728199897</v>
      </c>
      <c r="BR452" s="81">
        <f t="shared" si="257"/>
        <v>1.1402216216216217</v>
      </c>
      <c r="BS452" s="82">
        <f t="shared" si="258"/>
        <v>159</v>
      </c>
      <c r="BT452" s="82">
        <f t="shared" si="259"/>
        <v>181.29523783783785</v>
      </c>
      <c r="BU452" s="82">
        <f t="shared" si="260"/>
        <v>181.28739999999999</v>
      </c>
      <c r="BW452" s="82">
        <f>IFERROR(INDEX('Infos Clientes'!$T:$T,MATCH('Detalhe Por UC'!$C452,'Infos Clientes'!B:B,0)),"")</f>
        <v>453.58333333333331</v>
      </c>
      <c r="BX452" s="83">
        <f t="shared" si="261"/>
        <v>0</v>
      </c>
      <c r="BY452" s="84">
        <f t="shared" si="262"/>
        <v>0.24996464628891585</v>
      </c>
      <c r="BZ452" s="85">
        <f>IF(_xlfn.MINIFS('Detalhe Por UC'!R:R,'Detalhe Por UC'!C:C,C452,'Detalhe Por UC'!AD:AD,"&gt;"&amp;0)=0,"",_xlfn.MINIFS('Detalhe Por UC'!R:R,'Detalhe Por UC'!C:C,C452,'Detalhe Por UC'!AD:AD,"&gt;"&amp;0))</f>
        <v>45627</v>
      </c>
      <c r="CA452" s="114">
        <f ca="1">IF(OR(S452&gt;0,AD452&gt;0),IFERROR(
SUMIFS(INDIRECT("'Infos Clientes'!$W"&amp;INDEX('Infos Clientes'!$C:$C,MATCH(C452,'Infos Clientes'!$H:$H,0))&amp;":$CZ"&amp;INDEX('Infos Clientes'!$C:$C,MATCH(C452,'Infos Clientes'!$H:$H,0))),'Infos Clientes'!$W$2:$CZ$2,"&gt;"&amp;$R452-365,'Infos Clientes'!$W$2:$CZ$2,"&lt;="&amp;$R452)/
COUNTIFS(INDIRECT("'Infos Clientes'!$W"&amp;INDEX('Infos Clientes'!$C:$C,MATCH(C452,'Infos Clientes'!$H:$H,0))&amp;":$CZ"&amp;INDEX('Infos Clientes'!$C:$C,MATCH(C452,'Infos Clientes'!$H:$H,0))),"&gt;="&amp;0,'Infos Clientes'!$W$2:$CZ$2,"&gt;"&amp;$R452-365,'Infos Clientes'!$W$2:$CZ$2,"&lt;="&amp;$R452),""),"")</f>
        <v>410.33333333333331</v>
      </c>
      <c r="CB452" s="87">
        <f>VLOOKUP(C452,'Infos Clientes'!B:L,11,0)</f>
        <v>0</v>
      </c>
      <c r="CC452" s="88" t="str">
        <f t="shared" si="263"/>
        <v>A Unidade Consumidora 10/1035655-8 economizou R$45,32 na fatura referente à mai/2025  consumindo 159 kWh em créditos de energia renovável conforme fatura de energia. A economia foi de 25% em relação ao que seria pago para a Energisa considerando os créditos consumidos. Atenção: Mantenha as contas da Energisa em dia para evitar cortes.</v>
      </c>
      <c r="CD452" s="40" t="s">
        <v>27</v>
      </c>
      <c r="CE452" s="18">
        <v>173.54</v>
      </c>
      <c r="CF452" s="115">
        <f t="shared" si="264"/>
        <v>0</v>
      </c>
      <c r="CG452" t="s">
        <v>359</v>
      </c>
    </row>
    <row r="453" spans="1:85" ht="16.2" hidden="1" customHeight="1" x14ac:dyDescent="0.3">
      <c r="A453" s="105" t="str">
        <f>INDEX('Infos Clientes'!$D:$D,MATCH('Detalhe Por UC'!C453,'Infos Clientes'!B:B,0))</f>
        <v>IGREJA DO EVANGELHO QUADRANGULAR</v>
      </c>
      <c r="B453" s="106" t="str">
        <f>INDEX('Infos Clientes'!$F:$F,MATCH('Detalhe Por UC'!C453,'Infos Clientes'!B:B,0))</f>
        <v>62.955.505/1935-34</v>
      </c>
      <c r="C453" s="44" t="s">
        <v>120</v>
      </c>
      <c r="D453" t="s">
        <v>351</v>
      </c>
      <c r="E453" s="1" t="s">
        <v>352</v>
      </c>
      <c r="F453" s="56" t="str">
        <f>INDEX('Infos Clientes'!$I:$I,MATCH('Detalhe Por UC'!C453,'Infos Clientes'!B:B,0))</f>
        <v>BT</v>
      </c>
      <c r="G453" s="56" t="str">
        <f>INDEX('Infos Clientes'!$J:$J,MATCH('Detalhe Por UC'!C453,'Infos Clientes'!B:B,0))</f>
        <v>trifasico</v>
      </c>
      <c r="H453" s="108" t="s">
        <v>24</v>
      </c>
      <c r="I453" s="58">
        <f>IFERROR(VLOOKUP(C453,'Infos Clientes'!B:E,4,),"")</f>
        <v>994</v>
      </c>
      <c r="J453" s="109">
        <v>0.25</v>
      </c>
      <c r="K453" s="59">
        <f>INDEX('Infos Clientes'!$M:$M,MATCH('Detalhe Por UC'!C453,'Infos Clientes'!B:B,0))</f>
        <v>0.25</v>
      </c>
      <c r="L453" s="125">
        <v>0</v>
      </c>
      <c r="M453" s="56">
        <f>INDEX('Infos Clientes'!$N:$N,MATCH('Detalhe Por UC'!C453,'Infos Clientes'!B:B,0))</f>
        <v>0</v>
      </c>
      <c r="N453" s="56">
        <f t="shared" si="229"/>
        <v>0</v>
      </c>
      <c r="O453" s="56">
        <f t="shared" si="230"/>
        <v>12</v>
      </c>
      <c r="P453" s="56">
        <f t="shared" si="265"/>
        <v>0</v>
      </c>
      <c r="Q453" s="61">
        <f>IFERROR(IFERROR(INDEX('Infos Clientes'!$A$2:$V$9884,MATCH($C453,'Infos Clientes'!$B$2:$B$9884,0),MATCH(Q$8,'Infos Clientes'!$A$2:$V$2,0)),"")
+IF(OR(INDEX('Infos Clientes'!$A$2:$V$9884,MATCH($C453,'Infos Clientes'!$B$2:$B$9884,0),MATCH("Tempo de Fidelidade (meses)",'Infos Clientes'!$A$2:$V$2,0))=0,R453&gt;=MAX(R:R)),0,
ROUND((MAX(R:R)-R453)/(365/12),0)),"")</f>
        <v>0</v>
      </c>
      <c r="R453" s="111">
        <v>45778</v>
      </c>
      <c r="S453" s="17">
        <v>0.01</v>
      </c>
      <c r="T453" s="113">
        <f>IF($H453="GIROSSOL II",AP453/INDEX('Resumo Operacional'!$A$1:$P$1103,17,MATCH('Detalhe Por UC'!$R453,'Resumo Operacional'!$A$1:$P$1,0)),
IF($H453="GIROSSOL II e III",AP453/INDEX('Resumo Operacional'!$A$1:$P$1103,17,MATCH('Detalhe Por UC'!$R453,'Resumo Operacional'!$A$1:$P$1,0)),
""))</f>
        <v>1.4013885317562355E-2</v>
      </c>
      <c r="U453" s="113" t="str">
        <f>IF($H453="GIROSSOL III",AP453/INDEX('Resumo Operacional'!$A$1:$P$1103,53,MATCH('Detalhe Por UC'!$R453,'Resumo Operacional'!$A$1:$P$1,0)),
IF($H453="GIROSSOL II e III",AP453/INDEX('Resumo Operacional'!$A$1:$P$1103,53,MATCH('Detalhe Por UC'!$R453,'Resumo Operacional'!$A$1:$P$1,0)),
""))</f>
        <v/>
      </c>
      <c r="V453" s="45"/>
      <c r="X453" s="18">
        <v>1.1287375776397515</v>
      </c>
      <c r="Y453" s="18">
        <v>0</v>
      </c>
      <c r="Z453" s="18">
        <v>1.1286900678101317</v>
      </c>
      <c r="AA453" s="18">
        <v>0</v>
      </c>
      <c r="AB453" s="143">
        <v>224</v>
      </c>
      <c r="AC453" s="143">
        <v>0</v>
      </c>
      <c r="AD453" s="143">
        <v>109</v>
      </c>
      <c r="AE453" s="35"/>
      <c r="AF453" s="143">
        <v>0</v>
      </c>
      <c r="AG453" s="143">
        <v>0</v>
      </c>
      <c r="AH453" s="48">
        <v>52.13</v>
      </c>
      <c r="AI453" s="143">
        <v>0</v>
      </c>
      <c r="AJ453" s="143">
        <v>0</v>
      </c>
      <c r="AN453" s="71">
        <f t="shared" si="231"/>
        <v>0</v>
      </c>
      <c r="AO453" s="71">
        <f t="shared" si="232"/>
        <v>0</v>
      </c>
      <c r="AP453" s="71">
        <f t="shared" si="233"/>
        <v>109</v>
      </c>
      <c r="AQ453" s="72">
        <f>IF(OR($H453="GIROSSOL II",$H453="GIROSSOL II e III"),INDEX('Resumo Operacional'!$A$1:$P$1103,MATCH("Energia Injetada prevista total Fatura da Usina (TUSD)",'Resumo Operacional'!$B$1:$B$1103,0),MATCH('Detalhe Por UC'!$R453,'Resumo Operacional'!$A$1:$P$1,0))*$S453,INDEX('Resumo Operacional'!$A$1:$P$1103,53,MATCH('Detalhe Por UC'!$R453,'Resumo Operacional'!$A$1:$P$1,0))*$S453)</f>
        <v>77.78</v>
      </c>
      <c r="AR453" s="71">
        <f t="shared" si="234"/>
        <v>31.22</v>
      </c>
      <c r="AS453" s="73">
        <f t="shared" si="235"/>
        <v>181.93999999999997</v>
      </c>
      <c r="AT453" s="74">
        <f t="shared" si="236"/>
        <v>181.93999999999997</v>
      </c>
      <c r="AU453" s="74">
        <f t="shared" si="237"/>
        <v>1.1286425579805119</v>
      </c>
      <c r="AV453" s="74">
        <f t="shared" si="238"/>
        <v>92.270413043478271</v>
      </c>
      <c r="AW453" s="74">
        <f t="shared" si="239"/>
        <v>0</v>
      </c>
      <c r="AX453" s="74">
        <f t="shared" si="240"/>
        <v>123.02721739130436</v>
      </c>
      <c r="AY453" s="74">
        <f t="shared" si="241"/>
        <v>92.27</v>
      </c>
      <c r="AZ453" s="49">
        <v>92.27</v>
      </c>
      <c r="BA453" s="49">
        <v>92.27</v>
      </c>
      <c r="BB453" s="117">
        <v>92.27</v>
      </c>
      <c r="BC453" s="73" t="str">
        <f t="shared" si="242"/>
        <v/>
      </c>
      <c r="BD453" s="73">
        <f t="shared" si="243"/>
        <v>304.96721739130436</v>
      </c>
      <c r="BE453" s="73">
        <f t="shared" si="244"/>
        <v>274.21041304347824</v>
      </c>
      <c r="BF453" s="77">
        <f t="shared" si="245"/>
        <v>30.76</v>
      </c>
      <c r="BG453" s="77">
        <f t="shared" si="246"/>
        <v>9.2279999999999998</v>
      </c>
      <c r="BH453" s="77">
        <f t="shared" si="247"/>
        <v>123.02721739130435</v>
      </c>
      <c r="BI453" s="78">
        <f t="shared" si="248"/>
        <v>0.25</v>
      </c>
      <c r="BJ453" s="79">
        <f t="shared" si="249"/>
        <v>0.10086330020361418</v>
      </c>
      <c r="BK453" s="80">
        <f t="shared" si="250"/>
        <v>274.20999999999998</v>
      </c>
      <c r="BL453" s="80">
        <f t="shared" si="251"/>
        <v>30.75721739130438</v>
      </c>
      <c r="BM453" s="79">
        <f t="shared" si="252"/>
        <v>0.10085417591570081</v>
      </c>
      <c r="BN453" s="81">
        <f t="shared" si="253"/>
        <v>0.84651376146788992</v>
      </c>
      <c r="BO453" s="82">
        <f t="shared" si="254"/>
        <v>92.27</v>
      </c>
      <c r="BP453" s="81">
        <f t="shared" si="255"/>
        <v>0.84651376146788992</v>
      </c>
      <c r="BQ453" s="81">
        <f t="shared" si="256"/>
        <v>0.84656127129750969</v>
      </c>
      <c r="BR453" s="81">
        <f t="shared" si="257"/>
        <v>1.1287375776397515</v>
      </c>
      <c r="BS453" s="82">
        <f t="shared" si="258"/>
        <v>109</v>
      </c>
      <c r="BT453" s="82">
        <f t="shared" si="259"/>
        <v>123.03239596273291</v>
      </c>
      <c r="BU453" s="82">
        <f t="shared" si="260"/>
        <v>123.02721739130436</v>
      </c>
      <c r="BW453" s="82">
        <f>IFERROR(INDEX('Infos Clientes'!$T:$T,MATCH('Detalhe Por UC'!$C453,'Infos Clientes'!B:B,0)),"")</f>
        <v>350.91666666666669</v>
      </c>
      <c r="BX453" s="83">
        <f t="shared" si="261"/>
        <v>0</v>
      </c>
      <c r="BY453" s="84">
        <f t="shared" si="262"/>
        <v>0.24999283441266038</v>
      </c>
      <c r="BZ453" s="85">
        <f>IF(_xlfn.MINIFS('Detalhe Por UC'!R:R,'Detalhe Por UC'!C:C,C453,'Detalhe Por UC'!AD:AD,"&gt;"&amp;0)=0,"",_xlfn.MINIFS('Detalhe Por UC'!R:R,'Detalhe Por UC'!C:C,C453,'Detalhe Por UC'!AD:AD,"&gt;"&amp;0))</f>
        <v>45627</v>
      </c>
      <c r="CA453" s="114">
        <f ca="1">IF(OR(S453&gt;0,AD453&gt;0),IFERROR(
SUMIFS(INDIRECT("'Infos Clientes'!$W"&amp;INDEX('Infos Clientes'!$C:$C,MATCH(C453,'Infos Clientes'!$H:$H,0))&amp;":$CZ"&amp;INDEX('Infos Clientes'!$C:$C,MATCH(C453,'Infos Clientes'!$H:$H,0))),'Infos Clientes'!$W$2:$CZ$2,"&gt;"&amp;$R453-365,'Infos Clientes'!$W$2:$CZ$2,"&lt;="&amp;$R453)/
COUNTIFS(INDIRECT("'Infos Clientes'!$W"&amp;INDEX('Infos Clientes'!$C:$C,MATCH(C453,'Infos Clientes'!$H:$H,0))&amp;":$CZ"&amp;INDEX('Infos Clientes'!$C:$C,MATCH(C453,'Infos Clientes'!$H:$H,0))),"&gt;="&amp;0,'Infos Clientes'!$W$2:$CZ$2,"&gt;"&amp;$R453-365,'Infos Clientes'!$W$2:$CZ$2,"&lt;="&amp;$R453),""),"")</f>
        <v>338.83333333333331</v>
      </c>
      <c r="CB453" s="87">
        <f>VLOOKUP(C453,'Infos Clientes'!B:L,11,0)</f>
        <v>0</v>
      </c>
      <c r="CC453" s="88" t="str">
        <f t="shared" si="263"/>
        <v>A Unidade Consumidora 10/532081-7 economizou R$30,76 na fatura referente à mai/2025  consumindo 109 kWh em créditos de energia renovável conforme fatura de energia. A economia foi de 25% em relação ao que seria pago para a Energisa considerando os créditos consumidos. Atenção: Mantenha as contas da Energisa em dia para evitar cortes.</v>
      </c>
      <c r="CD453" s="40" t="s">
        <v>249</v>
      </c>
      <c r="CE453" s="18">
        <v>181.94</v>
      </c>
      <c r="CF453" s="115">
        <f t="shared" si="264"/>
        <v>0</v>
      </c>
      <c r="CG453" t="s">
        <v>357</v>
      </c>
    </row>
    <row r="454" spans="1:85" ht="16.2" hidden="1" customHeight="1" x14ac:dyDescent="0.3">
      <c r="A454" s="105" t="str">
        <f>INDEX('Infos Clientes'!$D:$D,MATCH('Detalhe Por UC'!C454,'Infos Clientes'!B:B,0))</f>
        <v>IGREJA DO EVANGELHO QUADRANGULAR</v>
      </c>
      <c r="B454" s="106" t="str">
        <f>INDEX('Infos Clientes'!$F:$F,MATCH('Detalhe Por UC'!C454,'Infos Clientes'!B:B,0))</f>
        <v>62.955.505/0153-50</v>
      </c>
      <c r="C454" s="44" t="s">
        <v>45</v>
      </c>
      <c r="D454" t="s">
        <v>351</v>
      </c>
      <c r="E454" s="1" t="s">
        <v>352</v>
      </c>
      <c r="F454" s="56" t="str">
        <f>INDEX('Infos Clientes'!$I:$I,MATCH('Detalhe Por UC'!C454,'Infos Clientes'!B:B,0))</f>
        <v>BT</v>
      </c>
      <c r="G454" s="56" t="str">
        <f>INDEX('Infos Clientes'!$J:$J,MATCH('Detalhe Por UC'!C454,'Infos Clientes'!B:B,0))</f>
        <v>trifasico</v>
      </c>
      <c r="H454" s="108" t="s">
        <v>24</v>
      </c>
      <c r="I454" s="58">
        <f>IFERROR(VLOOKUP(C454,'Infos Clientes'!B:E,4,),"")</f>
        <v>994</v>
      </c>
      <c r="J454" s="109">
        <v>0.25</v>
      </c>
      <c r="K454" s="59">
        <f>INDEX('Infos Clientes'!$M:$M,MATCH('Detalhe Por UC'!C454,'Infos Clientes'!B:B,0))</f>
        <v>0.25</v>
      </c>
      <c r="L454" s="125">
        <v>0</v>
      </c>
      <c r="M454" s="56">
        <f>INDEX('Infos Clientes'!$N:$N,MATCH('Detalhe Por UC'!C454,'Infos Clientes'!B:B,0))</f>
        <v>0</v>
      </c>
      <c r="N454" s="56">
        <f t="shared" si="229"/>
        <v>0</v>
      </c>
      <c r="O454" s="56">
        <f t="shared" si="230"/>
        <v>12</v>
      </c>
      <c r="P454" s="56">
        <f t="shared" si="265"/>
        <v>0</v>
      </c>
      <c r="Q454" s="61">
        <f>IFERROR(IFERROR(INDEX('Infos Clientes'!$A$2:$V$9884,MATCH($C454,'Infos Clientes'!$B$2:$B$9884,0),MATCH(Q$8,'Infos Clientes'!$A$2:$V$2,0)),"")
+IF(OR(INDEX('Infos Clientes'!$A$2:$V$9884,MATCH($C454,'Infos Clientes'!$B$2:$B$9884,0),MATCH("Tempo de Fidelidade (meses)",'Infos Clientes'!$A$2:$V$2,0))=0,R454&gt;=MAX(R:R)),0,
ROUND((MAX(R:R)-R454)/(365/12),0)),"")</f>
        <v>0</v>
      </c>
      <c r="R454" s="111">
        <v>45778</v>
      </c>
      <c r="S454" s="17">
        <v>0.02</v>
      </c>
      <c r="T454" s="113">
        <f>IF($H454="GIROSSOL II",AP454/INDEX('Resumo Operacional'!$A$1:$P$1103,17,MATCH('Detalhe Por UC'!$R454,'Resumo Operacional'!$A$1:$P$1,0)),
IF($H454="GIROSSOL II e III",AP454/INDEX('Resumo Operacional'!$A$1:$P$1103,17,MATCH('Detalhe Por UC'!$R454,'Resumo Operacional'!$A$1:$P$1,0)),
""))</f>
        <v>2.802777063512471E-2</v>
      </c>
      <c r="U454" s="113" t="str">
        <f>IF($H454="GIROSSOL III",AP454/INDEX('Resumo Operacional'!$A$1:$P$1103,53,MATCH('Detalhe Por UC'!$R454,'Resumo Operacional'!$A$1:$P$1,0)),
IF($H454="GIROSSOL II e III",AP454/INDEX('Resumo Operacional'!$A$1:$P$1103,53,MATCH('Detalhe Por UC'!$R454,'Resumo Operacional'!$A$1:$P$1,0)),
""))</f>
        <v/>
      </c>
      <c r="V454" s="45"/>
      <c r="X454" s="18">
        <v>1.1309989648033127</v>
      </c>
      <c r="Y454" s="18">
        <v>0</v>
      </c>
      <c r="Z454" s="18">
        <v>1.0558110119047619</v>
      </c>
      <c r="AA454" s="18">
        <v>0</v>
      </c>
      <c r="AB454" s="143">
        <v>276</v>
      </c>
      <c r="AC454" s="143">
        <v>0</v>
      </c>
      <c r="AD454" s="143">
        <v>192</v>
      </c>
      <c r="AE454" s="35"/>
      <c r="AF454" s="143">
        <v>439</v>
      </c>
      <c r="AG454" s="143">
        <v>0</v>
      </c>
      <c r="AH454" s="48">
        <v>64.150000000000006</v>
      </c>
      <c r="AI454" s="143">
        <v>0</v>
      </c>
      <c r="AJ454" s="143">
        <v>0</v>
      </c>
      <c r="AN454" s="71">
        <f t="shared" si="231"/>
        <v>26</v>
      </c>
      <c r="AO454" s="71">
        <f t="shared" si="232"/>
        <v>0</v>
      </c>
      <c r="AP454" s="71">
        <f t="shared" si="233"/>
        <v>218</v>
      </c>
      <c r="AQ454" s="72">
        <f>IF(OR($H454="GIROSSOL II",$H454="GIROSSOL II e III"),INDEX('Resumo Operacional'!$A$1:$P$1103,MATCH("Energia Injetada prevista total Fatura da Usina (TUSD)",'Resumo Operacional'!$B$1:$B$1103,0),MATCH('Detalhe Por UC'!$R454,'Resumo Operacional'!$A$1:$P$1,0))*$S454,INDEX('Resumo Operacional'!$A$1:$P$1103,53,MATCH('Detalhe Por UC'!$R454,'Resumo Operacional'!$A$1:$P$1,0))*$S454)</f>
        <v>155.56</v>
      </c>
      <c r="AR454" s="71">
        <f t="shared" si="234"/>
        <v>62.44</v>
      </c>
      <c r="AS454" s="73">
        <f t="shared" si="235"/>
        <v>173.59000000000006</v>
      </c>
      <c r="AT454" s="74">
        <f t="shared" si="236"/>
        <v>173.59000000000006</v>
      </c>
      <c r="AU454" s="74">
        <f t="shared" si="237"/>
        <v>0.98062305900621105</v>
      </c>
      <c r="AV454" s="74">
        <f t="shared" si="238"/>
        <v>152.03678571428571</v>
      </c>
      <c r="AW454" s="74">
        <f t="shared" si="239"/>
        <v>0</v>
      </c>
      <c r="AX454" s="74">
        <f t="shared" si="240"/>
        <v>202.71571428571428</v>
      </c>
      <c r="AY454" s="74">
        <f t="shared" si="241"/>
        <v>152.04</v>
      </c>
      <c r="AZ454" s="49">
        <v>152.04</v>
      </c>
      <c r="BA454" s="49">
        <v>152.04</v>
      </c>
      <c r="BB454" s="49">
        <v>202.72</v>
      </c>
      <c r="BC454" s="73">
        <f t="shared" si="242"/>
        <v>50.680000000000007</v>
      </c>
      <c r="BD454" s="73">
        <f t="shared" si="243"/>
        <v>376.30571428571432</v>
      </c>
      <c r="BE454" s="73">
        <f t="shared" si="244"/>
        <v>325.6267857142858</v>
      </c>
      <c r="BF454" s="77">
        <f t="shared" si="245"/>
        <v>50.68</v>
      </c>
      <c r="BG454" s="77">
        <f t="shared" si="246"/>
        <v>15.203999999999999</v>
      </c>
      <c r="BH454" s="77">
        <f t="shared" si="247"/>
        <v>202.71571428571428</v>
      </c>
      <c r="BI454" s="78">
        <f t="shared" si="248"/>
        <v>0.25</v>
      </c>
      <c r="BJ454" s="79">
        <f t="shared" si="249"/>
        <v>0.13467773163157615</v>
      </c>
      <c r="BK454" s="80">
        <f t="shared" si="250"/>
        <v>325.63000000000005</v>
      </c>
      <c r="BL454" s="80">
        <f t="shared" si="251"/>
        <v>50.675714285714264</v>
      </c>
      <c r="BM454" s="79">
        <f t="shared" si="252"/>
        <v>0.13466634271526942</v>
      </c>
      <c r="BN454" s="81">
        <f t="shared" si="253"/>
        <v>0.791875</v>
      </c>
      <c r="BO454" s="82">
        <f t="shared" si="254"/>
        <v>152.04</v>
      </c>
      <c r="BP454" s="81">
        <f t="shared" si="255"/>
        <v>0.791875</v>
      </c>
      <c r="BQ454" s="81">
        <f t="shared" si="256"/>
        <v>0.86706295289855084</v>
      </c>
      <c r="BR454" s="81">
        <f t="shared" si="257"/>
        <v>1.1309989648033127</v>
      </c>
      <c r="BS454" s="82">
        <f t="shared" si="258"/>
        <v>192</v>
      </c>
      <c r="BT454" s="82">
        <f t="shared" si="259"/>
        <v>217.15180124223605</v>
      </c>
      <c r="BU454" s="82">
        <f t="shared" si="260"/>
        <v>202.71571428571428</v>
      </c>
      <c r="BW454" s="82">
        <f>IFERROR(INDEX('Infos Clientes'!$T:$T,MATCH('Detalhe Por UC'!$C454,'Infos Clientes'!B:B,0)),"")</f>
        <v>362.41666666666669</v>
      </c>
      <c r="BX454" s="83">
        <f t="shared" si="261"/>
        <v>0</v>
      </c>
      <c r="BY454" s="84">
        <f t="shared" si="262"/>
        <v>0.23336538769570128</v>
      </c>
      <c r="BZ454" s="85">
        <f>IF(_xlfn.MINIFS('Detalhe Por UC'!R:R,'Detalhe Por UC'!C:C,C454,'Detalhe Por UC'!AD:AD,"&gt;"&amp;0)=0,"",_xlfn.MINIFS('Detalhe Por UC'!R:R,'Detalhe Por UC'!C:C,C454,'Detalhe Por UC'!AD:AD,"&gt;"&amp;0))</f>
        <v>45627</v>
      </c>
      <c r="CA454" s="114">
        <f ca="1">IF(OR(S454&gt;0,AD454&gt;0),IFERROR(
SUMIFS(INDIRECT("'Infos Clientes'!$W"&amp;INDEX('Infos Clientes'!$C:$C,MATCH(C454,'Infos Clientes'!$H:$H,0))&amp;":$CZ"&amp;INDEX('Infos Clientes'!$C:$C,MATCH(C454,'Infos Clientes'!$H:$H,0))),'Infos Clientes'!$W$2:$CZ$2,"&gt;"&amp;$R454-365,'Infos Clientes'!$W$2:$CZ$2,"&lt;="&amp;$R454)/
COUNTIFS(INDIRECT("'Infos Clientes'!$W"&amp;INDEX('Infos Clientes'!$C:$C,MATCH(C454,'Infos Clientes'!$H:$H,0))&amp;":$CZ"&amp;INDEX('Infos Clientes'!$C:$C,MATCH(C454,'Infos Clientes'!$H:$H,0))),"&gt;="&amp;0,'Infos Clientes'!$W$2:$CZ$2,"&gt;"&amp;$R454-365,'Infos Clientes'!$W$2:$CZ$2,"&lt;="&amp;$R454),""),"")</f>
        <v>334.58333333333331</v>
      </c>
      <c r="CB454" s="87">
        <f>VLOOKUP(C454,'Infos Clientes'!B:L,11,0)</f>
        <v>0</v>
      </c>
      <c r="CC454" s="88" t="str">
        <f t="shared" si="263"/>
        <v>A Unidade Consumidora 10/156956-5 economizou R$50,68 na fatura referente à mai/2025  consumindo 192 kWh em créditos de energia renovável conforme fatura de energia. A economia foi de 25% em relação ao que seria pago para a Energisa considerando os créditos consumidos. Atenção: Mantenha as contas da Energisa em dia para evitar cortes.</v>
      </c>
      <c r="CD454" s="40" t="s">
        <v>47</v>
      </c>
      <c r="CE454" s="18">
        <v>173.59</v>
      </c>
      <c r="CF454" s="115">
        <f t="shared" si="264"/>
        <v>0</v>
      </c>
      <c r="CG454" t="s">
        <v>357</v>
      </c>
    </row>
    <row r="455" spans="1:85" ht="16.2" hidden="1" customHeight="1" x14ac:dyDescent="0.3">
      <c r="A455" s="105" t="str">
        <f>INDEX('Infos Clientes'!$D:$D,MATCH('Detalhe Por UC'!C455,'Infos Clientes'!B:B,0))</f>
        <v>IGREJA DO EVANGELHO QUADRANGULAR</v>
      </c>
      <c r="B455" s="106" t="str">
        <f>INDEX('Infos Clientes'!$F:$F,MATCH('Detalhe Por UC'!C455,'Infos Clientes'!B:B,0))</f>
        <v>62.955.505/0914-56</v>
      </c>
      <c r="C455" s="107" t="s">
        <v>132</v>
      </c>
      <c r="D455" t="s">
        <v>351</v>
      </c>
      <c r="E455" s="1" t="s">
        <v>352</v>
      </c>
      <c r="F455" s="56">
        <f>INDEX('Infos Clientes'!$I:$I,MATCH('Detalhe Por UC'!C455,'Infos Clientes'!B:B,0))</f>
        <v>0</v>
      </c>
      <c r="G455" s="56">
        <f>INDEX('Infos Clientes'!$J:$J,MATCH('Detalhe Por UC'!C455,'Infos Clientes'!B:B,0))</f>
        <v>0</v>
      </c>
      <c r="H455" s="108" t="s">
        <v>24</v>
      </c>
      <c r="I455" s="58">
        <f>IFERROR(VLOOKUP(C455,'Infos Clientes'!B:E,4,),"")</f>
        <v>0</v>
      </c>
      <c r="J455" s="109">
        <v>0</v>
      </c>
      <c r="K455" s="59">
        <f>INDEX('Infos Clientes'!$M:$M,MATCH('Detalhe Por UC'!C455,'Infos Clientes'!B:B,0))</f>
        <v>0</v>
      </c>
      <c r="L455" s="125">
        <v>0</v>
      </c>
      <c r="M455" s="56">
        <f>INDEX('Infos Clientes'!$N:$N,MATCH('Detalhe Por UC'!C455,'Infos Clientes'!B:B,0))</f>
        <v>0</v>
      </c>
      <c r="N455" s="56">
        <f t="shared" si="229"/>
        <v>6</v>
      </c>
      <c r="O455" s="56">
        <f t="shared" si="230"/>
        <v>0</v>
      </c>
      <c r="P455" s="56">
        <f t="shared" si="265"/>
        <v>-6</v>
      </c>
      <c r="Q455" s="61">
        <f>IFERROR(IFERROR(INDEX('Infos Clientes'!$A$2:$V$9884,MATCH($C455,'Infos Clientes'!$B$2:$B$9884,0),MATCH(Q$8,'Infos Clientes'!$A$2:$V$2,0)),"")
+IF(OR(INDEX('Infos Clientes'!$A$2:$V$9884,MATCH($C455,'Infos Clientes'!$B$2:$B$9884,0),MATCH("Tempo de Fidelidade (meses)",'Infos Clientes'!$A$2:$V$2,0))=0,R455&gt;=MAX(R:R)),0,
ROUND((MAX(R:R)-R455)/(365/12),0)),"")</f>
        <v>0</v>
      </c>
      <c r="R455" s="111">
        <v>45778</v>
      </c>
      <c r="S455" s="17">
        <v>0.02</v>
      </c>
      <c r="T455" s="113">
        <f>IF($H455="GIROSSOL II",AP455/INDEX('Resumo Operacional'!$A$1:$P$1103,17,MATCH('Detalhe Por UC'!$R455,'Resumo Operacional'!$A$1:$P$1,0)),
IF($H455="GIROSSOL II e III",AP455/INDEX('Resumo Operacional'!$A$1:$P$1103,17,MATCH('Detalhe Por UC'!$R455,'Resumo Operacional'!$A$1:$P$1,0)),
""))</f>
        <v>0</v>
      </c>
      <c r="U455" s="113" t="str">
        <f>IF($H455="GIROSSOL III",AP455/INDEX('Resumo Operacional'!$A$1:$P$1103,53,MATCH('Detalhe Por UC'!$R455,'Resumo Operacional'!$A$1:$P$1,0)),
IF($H455="GIROSSOL II e III",AP455/INDEX('Resumo Operacional'!$A$1:$P$1103,53,MATCH('Detalhe Por UC'!$R455,'Resumo Operacional'!$A$1:$P$1,0)),
""))</f>
        <v/>
      </c>
      <c r="V455" s="45"/>
      <c r="X455" s="18"/>
      <c r="Y455" s="18"/>
      <c r="Z455" s="18"/>
      <c r="AA455" s="18"/>
      <c r="AB455" s="143"/>
      <c r="AC455" s="143"/>
      <c r="AD455" s="143"/>
      <c r="AE455" s="35"/>
      <c r="AF455" s="143"/>
      <c r="AG455" s="143"/>
      <c r="AH455" s="48"/>
      <c r="AI455" s="143"/>
      <c r="AJ455" s="143"/>
      <c r="AN455" s="71" t="str">
        <f t="shared" si="231"/>
        <v/>
      </c>
      <c r="AO455" s="71" t="str">
        <f t="shared" si="232"/>
        <v/>
      </c>
      <c r="AP455" s="71">
        <f t="shared" si="233"/>
        <v>0</v>
      </c>
      <c r="AQ455" s="72">
        <f>IF(OR($H455="GIROSSOL II",$H455="GIROSSOL II e III"),INDEX('Resumo Operacional'!$A$1:$P$1103,MATCH("Energia Injetada prevista total Fatura da Usina (TUSD)",'Resumo Operacional'!$B$1:$B$1103,0),MATCH('Detalhe Por UC'!$R455,'Resumo Operacional'!$A$1:$P$1,0))*$S455,INDEX('Resumo Operacional'!$A$1:$P$1103,53,MATCH('Detalhe Por UC'!$R455,'Resumo Operacional'!$A$1:$P$1,0))*$S455)</f>
        <v>155.56</v>
      </c>
      <c r="AR455" s="71" t="str">
        <f t="shared" si="234"/>
        <v/>
      </c>
      <c r="AS455" s="73">
        <f t="shared" si="235"/>
        <v>0</v>
      </c>
      <c r="AT455" s="74">
        <f t="shared" si="236"/>
        <v>0</v>
      </c>
      <c r="AU455" s="74" t="str">
        <f t="shared" si="237"/>
        <v/>
      </c>
      <c r="AV455" s="74">
        <f t="shared" si="238"/>
        <v>0</v>
      </c>
      <c r="AW455" s="74">
        <f t="shared" si="239"/>
        <v>0</v>
      </c>
      <c r="AX455" s="74">
        <f t="shared" si="240"/>
        <v>0</v>
      </c>
      <c r="AY455" s="74" t="str">
        <f t="shared" si="241"/>
        <v/>
      </c>
      <c r="BA455" s="49">
        <v>0</v>
      </c>
      <c r="BC455" s="73" t="str">
        <f t="shared" si="242"/>
        <v/>
      </c>
      <c r="BD455" s="73">
        <f t="shared" si="243"/>
        <v>0</v>
      </c>
      <c r="BE455" s="73">
        <f t="shared" si="244"/>
        <v>0</v>
      </c>
      <c r="BF455" s="77">
        <f t="shared" si="245"/>
        <v>0</v>
      </c>
      <c r="BG455" s="77">
        <f t="shared" si="246"/>
        <v>0</v>
      </c>
      <c r="BH455" s="77">
        <f t="shared" si="247"/>
        <v>0</v>
      </c>
      <c r="BI455" s="78" t="str">
        <f t="shared" si="248"/>
        <v/>
      </c>
      <c r="BJ455" s="79" t="str">
        <f t="shared" si="249"/>
        <v/>
      </c>
      <c r="BK455" s="80" t="str">
        <f t="shared" si="250"/>
        <v/>
      </c>
      <c r="BL455" s="80" t="str">
        <f t="shared" si="251"/>
        <v/>
      </c>
      <c r="BM455" s="79" t="str">
        <f t="shared" si="252"/>
        <v/>
      </c>
      <c r="BN455" s="81" t="str">
        <f t="shared" si="253"/>
        <v/>
      </c>
      <c r="BO455" s="82" t="str">
        <f t="shared" si="254"/>
        <v/>
      </c>
      <c r="BP455" s="81" t="str">
        <f t="shared" si="255"/>
        <v/>
      </c>
      <c r="BQ455" s="81" t="str">
        <f t="shared" si="256"/>
        <v/>
      </c>
      <c r="BR455" s="81" t="str">
        <f t="shared" si="257"/>
        <v/>
      </c>
      <c r="BS455" s="82">
        <f t="shared" si="258"/>
        <v>0</v>
      </c>
      <c r="BT455" s="82" t="str">
        <f t="shared" si="259"/>
        <v/>
      </c>
      <c r="BU455" s="82">
        <f t="shared" si="260"/>
        <v>0</v>
      </c>
      <c r="BW455" s="82">
        <f>IFERROR(INDEX('Infos Clientes'!$T:$T,MATCH('Detalhe Por UC'!$C455,'Infos Clientes'!B:B,0)),"")</f>
        <v>0</v>
      </c>
      <c r="BX455" s="83">
        <f t="shared" si="261"/>
        <v>0</v>
      </c>
      <c r="BY455" s="84" t="str">
        <f t="shared" si="262"/>
        <v/>
      </c>
      <c r="BZ455" s="85" t="str">
        <f>IF(_xlfn.MINIFS('Detalhe Por UC'!R:R,'Detalhe Por UC'!C:C,C455,'Detalhe Por UC'!AD:AD,"&gt;"&amp;0)=0,"",_xlfn.MINIFS('Detalhe Por UC'!R:R,'Detalhe Por UC'!C:C,C455,'Detalhe Por UC'!AD:AD,"&gt;"&amp;0))</f>
        <v/>
      </c>
      <c r="CA455" s="114">
        <f ca="1">IF(OR(S455&gt;0,AD455&gt;0),IFERROR(
SUMIFS(INDIRECT("'Infos Clientes'!$W"&amp;INDEX('Infos Clientes'!$C:$C,MATCH(C455,'Infos Clientes'!$H:$H,0))&amp;":$CZ"&amp;INDEX('Infos Clientes'!$C:$C,MATCH(C455,'Infos Clientes'!$H:$H,0))),'Infos Clientes'!$W$2:$CZ$2,"&gt;"&amp;$R455-365,'Infos Clientes'!$W$2:$CZ$2,"&lt;="&amp;$R455)/
COUNTIFS(INDIRECT("'Infos Clientes'!$W"&amp;INDEX('Infos Clientes'!$C:$C,MATCH(C455,'Infos Clientes'!$H:$H,0))&amp;":$CZ"&amp;INDEX('Infos Clientes'!$C:$C,MATCH(C455,'Infos Clientes'!$H:$H,0))),"&gt;="&amp;0,'Infos Clientes'!$W$2:$CZ$2,"&gt;"&amp;$R455-365,'Infos Clientes'!$W$2:$CZ$2,"&lt;="&amp;$R455),""),"")</f>
        <v>136</v>
      </c>
      <c r="CB455" s="87">
        <f>VLOOKUP(C455,'Infos Clientes'!B:L,11,0)</f>
        <v>0</v>
      </c>
      <c r="CC455" s="88" t="str">
        <f t="shared" si="263"/>
        <v>A Unidade Consumidora 10/104720-8 economizou R$0 na fatura referente à mai/2025  consumindo  kWh em créditos de energia renovável conforme fatura de energia. A economia foi de 0% em relação ao que seria pago para a Energisa considerando os créditos consumidos. Atenção: Mantenha as contas da Energisa em dia para evitar cortes.</v>
      </c>
      <c r="CD455" s="40" t="s">
        <v>27</v>
      </c>
      <c r="CE455" s="18"/>
      <c r="CF455" s="115">
        <f t="shared" si="264"/>
        <v>0</v>
      </c>
    </row>
    <row r="456" spans="1:85" ht="16.2" hidden="1" customHeight="1" x14ac:dyDescent="0.3">
      <c r="A456" s="105" t="str">
        <f>INDEX('Infos Clientes'!$D:$D,MATCH('Detalhe Por UC'!C456,'Infos Clientes'!B:B,0))</f>
        <v>IGREJA DO EVANGELHO QUADRANGULAR</v>
      </c>
      <c r="B456" s="106" t="str">
        <f>INDEX('Infos Clientes'!$F:$F,MATCH('Detalhe Por UC'!C456,'Infos Clientes'!B:B,0))</f>
        <v>62.955.505/0160-80</v>
      </c>
      <c r="C456" s="44" t="s">
        <v>114</v>
      </c>
      <c r="D456" t="s">
        <v>351</v>
      </c>
      <c r="E456" s="1" t="s">
        <v>352</v>
      </c>
      <c r="F456" s="56" t="str">
        <f>INDEX('Infos Clientes'!$I:$I,MATCH('Detalhe Por UC'!C456,'Infos Clientes'!B:B,0))</f>
        <v>BT</v>
      </c>
      <c r="G456" s="56" t="str">
        <f>INDEX('Infos Clientes'!$J:$J,MATCH('Detalhe Por UC'!C456,'Infos Clientes'!B:B,0))</f>
        <v>bifasico</v>
      </c>
      <c r="H456" s="108" t="s">
        <v>24</v>
      </c>
      <c r="I456" s="58">
        <f>IFERROR(VLOOKUP(C456,'Infos Clientes'!B:E,4,),"")</f>
        <v>357</v>
      </c>
      <c r="J456" s="109">
        <v>0.25</v>
      </c>
      <c r="K456" s="59">
        <f>INDEX('Infos Clientes'!$M:$M,MATCH('Detalhe Por UC'!C456,'Infos Clientes'!B:B,0))</f>
        <v>0.25</v>
      </c>
      <c r="L456" s="125">
        <v>0</v>
      </c>
      <c r="M456" s="56">
        <f>INDEX('Infos Clientes'!$N:$N,MATCH('Detalhe Por UC'!C456,'Infos Clientes'!B:B,0))</f>
        <v>0</v>
      </c>
      <c r="N456" s="56">
        <f t="shared" si="229"/>
        <v>0</v>
      </c>
      <c r="O456" s="56">
        <f t="shared" si="230"/>
        <v>12</v>
      </c>
      <c r="P456" s="56">
        <f t="shared" si="265"/>
        <v>0</v>
      </c>
      <c r="Q456" s="61">
        <f>IFERROR(IFERROR(INDEX('Infos Clientes'!$A$2:$V$9884,MATCH($C456,'Infos Clientes'!$B$2:$B$9884,0),MATCH(Q$8,'Infos Clientes'!$A$2:$V$2,0)),"")
+IF(OR(INDEX('Infos Clientes'!$A$2:$V$9884,MATCH($C456,'Infos Clientes'!$B$2:$B$9884,0),MATCH("Tempo de Fidelidade (meses)",'Infos Clientes'!$A$2:$V$2,0))=0,R456&gt;=MAX(R:R)),0,
ROUND((MAX(R:R)-R456)/(365/12),0)),"")</f>
        <v>0</v>
      </c>
      <c r="R456" s="111">
        <v>45778</v>
      </c>
      <c r="S456" s="17">
        <v>0.02</v>
      </c>
      <c r="T456" s="113">
        <f>IF($H456="GIROSSOL II",AP456/INDEX('Resumo Operacional'!$A$1:$P$1103,17,MATCH('Detalhe Por UC'!$R456,'Resumo Operacional'!$A$1:$P$1,0)),
IF($H456="GIROSSOL II e III",AP456/INDEX('Resumo Operacional'!$A$1:$P$1103,17,MATCH('Detalhe Por UC'!$R456,'Resumo Operacional'!$A$1:$P$1,0)),
""))</f>
        <v>2.802777063512471E-2</v>
      </c>
      <c r="U456" s="113" t="str">
        <f>IF($H456="GIROSSOL III",AP456/INDEX('Resumo Operacional'!$A$1:$P$1103,53,MATCH('Detalhe Por UC'!$R456,'Resumo Operacional'!$A$1:$P$1,0)),
IF($H456="GIROSSOL II e III",AP456/INDEX('Resumo Operacional'!$A$1:$P$1103,53,MATCH('Detalhe Por UC'!$R456,'Resumo Operacional'!$A$1:$P$1,0)),
""))</f>
        <v/>
      </c>
      <c r="V456" s="45"/>
      <c r="X456" s="18">
        <v>1.1246442141623489</v>
      </c>
      <c r="Y456" s="18">
        <v>0</v>
      </c>
      <c r="Z456" s="18">
        <v>1.0161738241308793</v>
      </c>
      <c r="AA456" s="18">
        <v>0</v>
      </c>
      <c r="AB456" s="143">
        <v>193</v>
      </c>
      <c r="AC456" s="143">
        <v>0</v>
      </c>
      <c r="AD456" s="143">
        <v>163</v>
      </c>
      <c r="AE456" s="35"/>
      <c r="AF456" s="143">
        <v>572</v>
      </c>
      <c r="AG456" s="143">
        <v>0</v>
      </c>
      <c r="AH456" s="48">
        <v>50.400000000000006</v>
      </c>
      <c r="AI456" s="143">
        <v>0</v>
      </c>
      <c r="AJ456" s="143">
        <v>0</v>
      </c>
      <c r="AN456" s="71">
        <f t="shared" si="231"/>
        <v>55</v>
      </c>
      <c r="AO456" s="71">
        <f t="shared" si="232"/>
        <v>0</v>
      </c>
      <c r="AP456" s="71">
        <f t="shared" si="233"/>
        <v>218</v>
      </c>
      <c r="AQ456" s="72">
        <f>IF(OR($H456="GIROSSOL II",$H456="GIROSSOL II e III"),INDEX('Resumo Operacional'!$A$1:$P$1103,MATCH("Energia Injetada prevista total Fatura da Usina (TUSD)",'Resumo Operacional'!$B$1:$B$1103,0),MATCH('Detalhe Por UC'!$R456,'Resumo Operacional'!$A$1:$P$1,0))*$S456,INDEX('Resumo Operacional'!$A$1:$P$1103,53,MATCH('Detalhe Por UC'!$R456,'Resumo Operacional'!$A$1:$P$1,0))*$S456)</f>
        <v>155.56</v>
      </c>
      <c r="AR456" s="71">
        <f t="shared" si="234"/>
        <v>62.44</v>
      </c>
      <c r="AS456" s="73">
        <f t="shared" si="235"/>
        <v>101.82000000000002</v>
      </c>
      <c r="AT456" s="74">
        <f t="shared" si="236"/>
        <v>101.82000000000002</v>
      </c>
      <c r="AU456" s="74">
        <f t="shared" si="237"/>
        <v>0.90770343409940968</v>
      </c>
      <c r="AV456" s="74">
        <f t="shared" si="238"/>
        <v>124.22725</v>
      </c>
      <c r="AW456" s="74">
        <f t="shared" si="239"/>
        <v>0</v>
      </c>
      <c r="AX456" s="74">
        <f t="shared" si="240"/>
        <v>165.63633333333334</v>
      </c>
      <c r="AY456" s="74">
        <f t="shared" si="241"/>
        <v>124.23</v>
      </c>
      <c r="AZ456" s="49">
        <v>124.23</v>
      </c>
      <c r="BA456" s="49">
        <v>124.23</v>
      </c>
      <c r="BB456" s="49">
        <v>165.64</v>
      </c>
      <c r="BC456" s="73">
        <f t="shared" si="242"/>
        <v>41.409999999999982</v>
      </c>
      <c r="BD456" s="73">
        <f t="shared" si="243"/>
        <v>267.45633333333336</v>
      </c>
      <c r="BE456" s="73">
        <f t="shared" si="244"/>
        <v>226.04725000000002</v>
      </c>
      <c r="BF456" s="77">
        <f t="shared" si="245"/>
        <v>41.41</v>
      </c>
      <c r="BG456" s="77">
        <f t="shared" si="246"/>
        <v>12.422999999999998</v>
      </c>
      <c r="BH456" s="77">
        <f t="shared" si="247"/>
        <v>165.63633333333331</v>
      </c>
      <c r="BI456" s="78">
        <f t="shared" si="248"/>
        <v>0.25</v>
      </c>
      <c r="BJ456" s="79">
        <f t="shared" si="249"/>
        <v>0.15482901258647827</v>
      </c>
      <c r="BK456" s="80">
        <f t="shared" si="250"/>
        <v>226.05</v>
      </c>
      <c r="BL456" s="80">
        <f t="shared" si="251"/>
        <v>41.40633333333335</v>
      </c>
      <c r="BM456" s="79">
        <f t="shared" si="252"/>
        <v>0.15481530318344805</v>
      </c>
      <c r="BN456" s="81">
        <f t="shared" si="253"/>
        <v>0.76214723926380368</v>
      </c>
      <c r="BO456" s="82">
        <f t="shared" si="254"/>
        <v>124.23</v>
      </c>
      <c r="BP456" s="81">
        <f t="shared" si="255"/>
        <v>0.76214723926380368</v>
      </c>
      <c r="BQ456" s="81">
        <f t="shared" si="256"/>
        <v>0.87061762929527331</v>
      </c>
      <c r="BR456" s="81">
        <f t="shared" si="257"/>
        <v>1.1246442141623489</v>
      </c>
      <c r="BS456" s="82">
        <f t="shared" si="258"/>
        <v>163</v>
      </c>
      <c r="BT456" s="82">
        <f t="shared" si="259"/>
        <v>183.31700690846287</v>
      </c>
      <c r="BU456" s="82">
        <f t="shared" si="260"/>
        <v>165.63633333333334</v>
      </c>
      <c r="BW456" s="82">
        <f>IFERROR(INDEX('Infos Clientes'!$T:$T,MATCH('Detalhe Por UC'!$C456,'Infos Clientes'!B:B,0)),"")</f>
        <v>215.58333333333334</v>
      </c>
      <c r="BX456" s="83">
        <f t="shared" si="261"/>
        <v>0</v>
      </c>
      <c r="BY456" s="84">
        <f t="shared" si="262"/>
        <v>0.22587284197809906</v>
      </c>
      <c r="BZ456" s="85">
        <f>IF(_xlfn.MINIFS('Detalhe Por UC'!R:R,'Detalhe Por UC'!C:C,C456,'Detalhe Por UC'!AD:AD,"&gt;"&amp;0)=0,"",_xlfn.MINIFS('Detalhe Por UC'!R:R,'Detalhe Por UC'!C:C,C456,'Detalhe Por UC'!AD:AD,"&gt;"&amp;0))</f>
        <v>45627</v>
      </c>
      <c r="CA456" s="114">
        <f ca="1">IF(OR(S456&gt;0,AD456&gt;0),IFERROR(
SUMIFS(INDIRECT("'Infos Clientes'!$W"&amp;INDEX('Infos Clientes'!$C:$C,MATCH(C456,'Infos Clientes'!$H:$H,0))&amp;":$CZ"&amp;INDEX('Infos Clientes'!$C:$C,MATCH(C456,'Infos Clientes'!$H:$H,0))),'Infos Clientes'!$W$2:$CZ$2,"&gt;"&amp;$R456-365,'Infos Clientes'!$W$2:$CZ$2,"&lt;="&amp;$R456)/
COUNTIFS(INDIRECT("'Infos Clientes'!$W"&amp;INDEX('Infos Clientes'!$C:$C,MATCH(C456,'Infos Clientes'!$H:$H,0))&amp;":$CZ"&amp;INDEX('Infos Clientes'!$C:$C,MATCH(C456,'Infos Clientes'!$H:$H,0))),"&gt;="&amp;0,'Infos Clientes'!$W$2:$CZ$2,"&gt;"&amp;$R456-365,'Infos Clientes'!$W$2:$CZ$2,"&lt;="&amp;$R456),""),"")</f>
        <v>212.16666666666666</v>
      </c>
      <c r="CB456" s="87">
        <f>VLOOKUP(C456,'Infos Clientes'!B:L,11,0)</f>
        <v>0</v>
      </c>
      <c r="CC456" s="88" t="str">
        <f t="shared" si="263"/>
        <v>A Unidade Consumidora 10/511753-6 economizou R$41,41 na fatura referente à mai/2025  consumindo 163 kWh em créditos de energia renovável conforme fatura de energia. A economia foi de 25% em relação ao que seria pago para a Energisa considerando os créditos consumidos. Atenção: Mantenha as contas da Energisa em dia para evitar cortes.</v>
      </c>
      <c r="CD456" s="40" t="s">
        <v>249</v>
      </c>
      <c r="CE456" s="18">
        <v>101.82</v>
      </c>
      <c r="CF456" s="115">
        <f t="shared" si="264"/>
        <v>0</v>
      </c>
      <c r="CG456" t="s">
        <v>357</v>
      </c>
    </row>
    <row r="457" spans="1:85" ht="16.2" hidden="1" customHeight="1" x14ac:dyDescent="0.3">
      <c r="A457" s="105" t="str">
        <f>INDEX('Infos Clientes'!$D:$D,MATCH('Detalhe Por UC'!C457,'Infos Clientes'!B:B,0))</f>
        <v>IGREJA DO EVANGELHO QUADRANGULAR</v>
      </c>
      <c r="B457" s="106" t="str">
        <f>INDEX('Infos Clientes'!$F:$F,MATCH('Detalhe Por UC'!C457,'Infos Clientes'!B:B,0))</f>
        <v>62.955.505/4027-10</v>
      </c>
      <c r="C457" s="44" t="s">
        <v>126</v>
      </c>
      <c r="D457" t="s">
        <v>351</v>
      </c>
      <c r="E457" s="1" t="s">
        <v>352</v>
      </c>
      <c r="F457" s="56" t="str">
        <f>INDEX('Infos Clientes'!$I:$I,MATCH('Detalhe Por UC'!C457,'Infos Clientes'!B:B,0))</f>
        <v>BT</v>
      </c>
      <c r="G457" s="56" t="str">
        <f>INDEX('Infos Clientes'!$J:$J,MATCH('Detalhe Por UC'!C457,'Infos Clientes'!B:B,0))</f>
        <v>trifasico</v>
      </c>
      <c r="H457" s="108" t="s">
        <v>24</v>
      </c>
      <c r="I457" s="58">
        <f>IFERROR(VLOOKUP(C457,'Infos Clientes'!B:E,4,),"")</f>
        <v>994</v>
      </c>
      <c r="J457" s="109">
        <v>0.25</v>
      </c>
      <c r="K457" s="59">
        <f>INDEX('Infos Clientes'!$M:$M,MATCH('Detalhe Por UC'!C457,'Infos Clientes'!B:B,0))</f>
        <v>0.25</v>
      </c>
      <c r="L457" s="125">
        <v>0</v>
      </c>
      <c r="M457" s="56">
        <f>INDEX('Infos Clientes'!$N:$N,MATCH('Detalhe Por UC'!C457,'Infos Clientes'!B:B,0))</f>
        <v>0</v>
      </c>
      <c r="N457" s="56">
        <f t="shared" ref="N457:N520" si="266">COUNTIFS(C:C,C457,J:J,L457)</f>
        <v>0</v>
      </c>
      <c r="O457" s="56">
        <f t="shared" ref="O457:O520" si="267">COUNTIFS(C:C,C457,AD:AD,"&gt;0")</f>
        <v>12</v>
      </c>
      <c r="P457" s="56">
        <f t="shared" si="265"/>
        <v>0</v>
      </c>
      <c r="Q457" s="61">
        <f>IFERROR(IFERROR(INDEX('Infos Clientes'!$A$2:$V$9884,MATCH($C457,'Infos Clientes'!$B$2:$B$9884,0),MATCH(Q$8,'Infos Clientes'!$A$2:$V$2,0)),"")
+IF(OR(INDEX('Infos Clientes'!$A$2:$V$9884,MATCH($C457,'Infos Clientes'!$B$2:$B$9884,0),MATCH("Tempo de Fidelidade (meses)",'Infos Clientes'!$A$2:$V$2,0))=0,R457&gt;=MAX(R:R)),0,
ROUND((MAX(R:R)-R457)/(365/12),0)),"")</f>
        <v>0</v>
      </c>
      <c r="R457" s="111">
        <v>45778</v>
      </c>
      <c r="S457" s="17">
        <v>0.02</v>
      </c>
      <c r="T457" s="113">
        <f>IF($H457="GIROSSOL II",AP457/INDEX('Resumo Operacional'!$A$1:$P$1103,17,MATCH('Detalhe Por UC'!$R457,'Resumo Operacional'!$A$1:$P$1,0)),
IF($H457="GIROSSOL II e III",AP457/INDEX('Resumo Operacional'!$A$1:$P$1103,17,MATCH('Detalhe Por UC'!$R457,'Resumo Operacional'!$A$1:$P$1,0)),
""))</f>
        <v>4.7955772692208791E-2</v>
      </c>
      <c r="U457" s="113" t="str">
        <f>IF($H457="GIROSSOL III",AP457/INDEX('Resumo Operacional'!$A$1:$P$1103,53,MATCH('Detalhe Por UC'!$R457,'Resumo Operacional'!$A$1:$P$1,0)),
IF($H457="GIROSSOL II e III",AP457/INDEX('Resumo Operacional'!$A$1:$P$1103,53,MATCH('Detalhe Por UC'!$R457,'Resumo Operacional'!$A$1:$P$1,0)),
""))</f>
        <v/>
      </c>
      <c r="V457" s="45"/>
      <c r="X457" s="18">
        <v>1.1357931893687707</v>
      </c>
      <c r="Y457" s="18">
        <v>0</v>
      </c>
      <c r="Z457" s="18">
        <v>1.0947742818057458</v>
      </c>
      <c r="AA457" s="18">
        <v>0</v>
      </c>
      <c r="AB457" s="143">
        <v>392</v>
      </c>
      <c r="AC457" s="143">
        <v>0</v>
      </c>
      <c r="AD457" s="143">
        <v>306</v>
      </c>
      <c r="AE457" s="35"/>
      <c r="AF457" s="143">
        <v>784</v>
      </c>
      <c r="AG457" s="143">
        <v>0</v>
      </c>
      <c r="AH457" s="48">
        <v>71.790000000000006</v>
      </c>
      <c r="AI457" s="143">
        <v>0</v>
      </c>
      <c r="AJ457" s="143">
        <v>0</v>
      </c>
      <c r="AN457" s="71">
        <f t="shared" ref="AN457:AN520" si="268">IF(X457="","",AF457-SUMIFS(AF:AF,$C:$C,$C457,$R:$R,EDATE($R457,-1)))</f>
        <v>67</v>
      </c>
      <c r="AO457" s="71">
        <f t="shared" ref="AO457:AO520" si="269">IF(X457="","",AG457-SUMIFS(AG:AG,$H:$H,$H457,$C:$C,$C457,$R:$R,EDATE($R457,-1)))</f>
        <v>0</v>
      </c>
      <c r="AP457" s="71">
        <f t="shared" ref="AP457:AP520" si="270">IFERROR(IF(D457="CRÉD. CONSUMIDO",SUM(AD457,AE457,AN457,AO457),IF(D457="GERADO",AQ457)),"")</f>
        <v>373</v>
      </c>
      <c r="AQ457" s="72">
        <f>IF(OR($H457="GIROSSOL II",$H457="GIROSSOL II e III"),INDEX('Resumo Operacional'!$A$1:$P$1103,MATCH("Energia Injetada prevista total Fatura da Usina (TUSD)",'Resumo Operacional'!$B$1:$B$1103,0),MATCH('Detalhe Por UC'!$R457,'Resumo Operacional'!$A$1:$P$1,0))*$S457,INDEX('Resumo Operacional'!$A$1:$P$1103,53,MATCH('Detalhe Por UC'!$R457,'Resumo Operacional'!$A$1:$P$1,0))*$S457)</f>
        <v>155.56</v>
      </c>
      <c r="AR457" s="71">
        <f t="shared" ref="AR457:AR520" si="271">IF(X457="","",AP457-AQ457)</f>
        <v>217.44</v>
      </c>
      <c r="AS457" s="73">
        <f t="shared" ref="AS457:AS520" si="272">IFERROR((X457*AB457-Z457*AD457+Y457*AC457-AA457*AE457)+AH457+
IF(F457&lt;&gt;"BT",0,
IF(AND(G457="trifasico",AD457=0,AB457&lt;100),X457*(100-(AB457-AD457)),
IF(AND(G457="bifasico",AD457=0,AB457&lt;50),X457*(50-(AB457-AD457)),
IF(AND(G457="monofasico",AD457=0,AB457&lt;30),X457*(30-(AB457-AD457)),0)))),"")</f>
        <v>182.01999999999998</v>
      </c>
      <c r="AT457" s="74">
        <f t="shared" ref="AT457:AT520" si="273">IFERROR(AS457+AI457+AJ457,"")</f>
        <v>182.01999999999998</v>
      </c>
      <c r="AU457" s="74">
        <f t="shared" ref="AU457:AU520" si="274">IFERROR((Z457*AD457+AA457*AE457)/(AD457+AE457)-((X457-Z457)*AD457+(Y457-AA457)*AE457)/(AD457+AE457),"")</f>
        <v>1.0537553742427208</v>
      </c>
      <c r="AV457" s="74">
        <f t="shared" ref="AV457:AV520" si="275">IFERROR(IF(AND(E457="FINAL-Ñ.COMP",D457="CRÉD. CONSUMIDO"),(X457*(1-J457)-(X457-Z457))*AD457+(Y457*(1-J457)-(Y457-AA457))*AE457,
IF(AND(E457="T.COMP",D457="CRÉD. CONSUMIDO"),Z457*(1-J457)*AD457+AA457*(1-J457)*AE457,
IF(AND(E457="T.S.IMP",D457="CRÉD. CONSUMIDO"),V457*(1-J457)*AD457+W457*(1-J457)*AE457,
IF(AND(E457="T.S.IMP",D457="GERADO"),V457*(1-J457)*AQ457+W457*(1-J457)*AQ457,
IF(AND(E457="T.COMP",D457="GERADO"),AU457*(1-J457)*AQ457,
IF(AND(E457="FINAL-Ñ.COMP",D457="GERADO"),(AU457*(1-J457)-(X457-Z457))*AQ457,"ERRO")))))),"")</f>
        <v>251.25069767441863</v>
      </c>
      <c r="AW457" s="74">
        <f t="shared" ref="AW457:AW520" si="276">IF(45658=R457,0,IF(
SUMIFS($BA:$BA,$C:$C,$C457,$R:$R,EDATE($R457,-1))
&gt;=0,
SUMIFS(AY:AY,$C:$C,$C457,$R:$R,EDATE($R457,-1))-SUMIFS(BA:BA,$C:$C,$C457,$R:$R,EDATE($R457,-1)),0))</f>
        <v>0</v>
      </c>
      <c r="AX457" s="74">
        <f t="shared" ref="AX457:AX520" si="277">IFERROR(IF(AND(E457="FINAL-Ñ.COMP",D457="CRÉD. CONSUMIDO"),(X457-(X457-Z457))*AD457+(Y457-(Y457-AA457))*AE457,
IF(AND(E457="T.COMP",D457="CRÉD. CONSUMIDO"),Z457*AD457+AA457*AE457,
IF(AND(E457="T.S.IMP",D457="CRÉD. CONSUMIDO"),V457*AD457+W457*AE457,
IF(AND(E457="T.S.IMP",D457="GERADO"),V457*AQ457+W457*AQ457,
IF(AND(E457="T.COMP",D457="GERADO"),AU457*AQ457,
IF(AND(E457="FINAL-Ñ.COMP",D457="GERADO"),(AU457-(X457-Z457))*AQ457,"ERRO"))))))+AW457,"")</f>
        <v>335.00093023255818</v>
      </c>
      <c r="AY457" s="74">
        <f t="shared" ref="AY457:AY520" si="278">IF(AV457=0,IF(AW457=0,"",AW457),IFERROR(ROUND(IF(SUMIFS($BA:$BA,$C:$C,$C457,$R:$R,EDATE($R457,-1))&gt;0,AV457+AW457,AV457),2),""))</f>
        <v>251.25</v>
      </c>
      <c r="AZ457" s="49">
        <v>251.25</v>
      </c>
      <c r="BA457" s="49">
        <v>251.25</v>
      </c>
      <c r="BB457" s="117">
        <v>251.25</v>
      </c>
      <c r="BC457" s="73" t="str">
        <f t="shared" ref="BC457:BC520" si="279">IF(BB457&gt;BA457,BB457-BA457,"")</f>
        <v/>
      </c>
      <c r="BD457" s="73">
        <f t="shared" ref="BD457:BD520" si="280">IF(AB457&gt;0,X457*AB457+Y457*AC457+AH457,AH457+
IF(AND(G457="trifasico",AB457-AD457=0),X457*(100-(AB457-AD457)),
IF(AND(G457="bifasico",AB457-AD457=0),X457*(50-(AB457-AD457)),
IF(AND(G457="monofasico",AB457-AD457=0),X457*(30-(AB457-AD457)),0))))</f>
        <v>517.02093023255816</v>
      </c>
      <c r="BE457" s="73">
        <f t="shared" ref="BE457:BE520" si="281">IFERROR(AS457+AV457,"")</f>
        <v>433.27069767441861</v>
      </c>
      <c r="BF457" s="77">
        <f t="shared" ref="BF457:BF520" si="282">ROUND(BD457-BE457,2)</f>
        <v>83.75</v>
      </c>
      <c r="BG457" s="77">
        <f t="shared" ref="BG457:BG520" si="283">BF457*0.3</f>
        <v>25.125</v>
      </c>
      <c r="BH457" s="77">
        <f t="shared" ref="BH457:BH520" si="284">(X457*AD457)-((X457-Z457)*AD457)</f>
        <v>335.00093023255818</v>
      </c>
      <c r="BI457" s="78">
        <f t="shared" ref="BI457:BI520" si="285">IFERROR(ROUND(IFERROR(IF(BF457=0,"",BF457/(AY457+Z457*J457*AD457+AA457*J457*AE457)),0),2),"")</f>
        <v>0.25</v>
      </c>
      <c r="BJ457" s="79">
        <f t="shared" ref="BJ457:BJ520" si="286">IFERROR(BF457/BD457,"")</f>
        <v>0.16198570522537434</v>
      </c>
      <c r="BK457" s="80">
        <f t="shared" ref="BK457:BK520" si="287">IFERROR(AS457+AY457,"")</f>
        <v>433.27</v>
      </c>
      <c r="BL457" s="80">
        <f t="shared" ref="BL457:BL520" si="288">IFERROR(BD457-BK457,"")</f>
        <v>83.750930232558176</v>
      </c>
      <c r="BM457" s="79">
        <f t="shared" ref="BM457:BM520" si="289">IFERROR(IF(BL457=0,"",BL457/BD457),"")</f>
        <v>0.16198750444181564</v>
      </c>
      <c r="BN457" s="81">
        <f t="shared" ref="BN457:BN520" si="290">IFERROR(IF(AD457="","",AY457/(AD457+AE457)),"")</f>
        <v>0.82107843137254899</v>
      </c>
      <c r="BO457" s="82">
        <f t="shared" ref="BO457:BO520" si="291">IF(OR(BN457="",BN457=0),"",BN457*(AD457+AE457))</f>
        <v>251.25</v>
      </c>
      <c r="BP457" s="81">
        <f t="shared" ref="BP457:BP520" si="292">IFERROR(IF(AD457="","",AY457/AD457),"")</f>
        <v>0.82107843137254899</v>
      </c>
      <c r="BQ457" s="81">
        <f t="shared" ref="BQ457:BQ520" si="293">IFERROR(BP457+(X457-Z457),"")</f>
        <v>0.86209733893557394</v>
      </c>
      <c r="BR457" s="81">
        <f t="shared" ref="BR457:BR520" si="294">IFERROR(IF(AD457="","",(X457*AD457+Y457*AE457)/(AD457+AE457)),"")</f>
        <v>1.1357931893687707</v>
      </c>
      <c r="BS457" s="82">
        <f t="shared" ref="BS457:BS520" si="295">IFERROR(IF(D457="gerado",AQ457,AD457),"")</f>
        <v>306</v>
      </c>
      <c r="BT457" s="82">
        <f t="shared" ref="BT457:BT520" si="296">IF(OR(BR457="",BR457=0),"",BR457*(AD457+AE457))</f>
        <v>347.55271594684382</v>
      </c>
      <c r="BU457" s="82">
        <f t="shared" ref="BU457:BU520" si="297">IFERROR(BS457*Z457,"")</f>
        <v>335.00093023255818</v>
      </c>
      <c r="BW457" s="82">
        <f>IFERROR(INDEX('Infos Clientes'!$T:$T,MATCH('Detalhe Por UC'!$C457,'Infos Clientes'!B:B,0)),"")</f>
        <v>274.25</v>
      </c>
      <c r="BX457" s="83">
        <f t="shared" ref="BX457:BX520" si="298">IFERROR(BW457*Q457,"")</f>
        <v>0</v>
      </c>
      <c r="BY457" s="84">
        <f t="shared" ref="BY457:BY520" si="299">IFERROR((X457-BQ457)/X457,"")</f>
        <v>0.24097331538438455</v>
      </c>
      <c r="BZ457" s="85">
        <f>IF(_xlfn.MINIFS('Detalhe Por UC'!R:R,'Detalhe Por UC'!C:C,C457,'Detalhe Por UC'!AD:AD,"&gt;"&amp;0)=0,"",_xlfn.MINIFS('Detalhe Por UC'!R:R,'Detalhe Por UC'!C:C,C457,'Detalhe Por UC'!AD:AD,"&gt;"&amp;0))</f>
        <v>45627</v>
      </c>
      <c r="CA457" s="114">
        <f ca="1">IF(OR(S457&gt;0,AD457&gt;0),IFERROR(
SUMIFS(INDIRECT("'Infos Clientes'!$W"&amp;INDEX('Infos Clientes'!$C:$C,MATCH(C457,'Infos Clientes'!$H:$H,0))&amp;":$CZ"&amp;INDEX('Infos Clientes'!$C:$C,MATCH(C457,'Infos Clientes'!$H:$H,0))),'Infos Clientes'!$W$2:$CZ$2,"&gt;"&amp;$R457-365,'Infos Clientes'!$W$2:$CZ$2,"&lt;="&amp;$R457)/
COUNTIFS(INDIRECT("'Infos Clientes'!$W"&amp;INDEX('Infos Clientes'!$C:$C,MATCH(C457,'Infos Clientes'!$H:$H,0))&amp;":$CZ"&amp;INDEX('Infos Clientes'!$C:$C,MATCH(C457,'Infos Clientes'!$H:$H,0))),"&gt;="&amp;0,'Infos Clientes'!$W$2:$CZ$2,"&gt;"&amp;$R457-365,'Infos Clientes'!$W$2:$CZ$2,"&lt;="&amp;$R457),""),"")</f>
        <v>299</v>
      </c>
      <c r="CB457" s="87">
        <f>VLOOKUP(C457,'Infos Clientes'!B:L,11,0)</f>
        <v>0</v>
      </c>
      <c r="CC457" s="88" t="str">
        <f t="shared" ref="CC457:CC520" si="300">"A Unidade Consumidora "&amp;C457&amp;" economizou R$"&amp;BF457&amp;" na fatura referente à "&amp;TEXT(R457,"mmm/aaaa")&amp;"  consumindo "&amp;AD457&amp;" kWh em créditos de energia renovável conforme fatura de energia. A economia foi de "&amp;$J457*100&amp;"% em relação ao que seria pago para a Energisa considerando os créditos consumidos. Atenção: Mantenha as contas da Energisa em dia para evitar cortes."</f>
        <v>A Unidade Consumidora 10/931327-1 economizou R$83,75 na fatura referente à mai/2025  consumindo 306 kWh em créditos de energia renovável conforme fatura de energia. A economia foi de 25% em relação ao que seria pago para a Energisa considerando os créditos consumidos. Atenção: Mantenha as contas da Energisa em dia para evitar cortes.</v>
      </c>
      <c r="CD457" s="40" t="s">
        <v>249</v>
      </c>
      <c r="CE457" s="18">
        <v>182.02</v>
      </c>
      <c r="CF457" s="115">
        <f t="shared" ref="CF457:CF520" si="301">CE457-AT457</f>
        <v>0</v>
      </c>
      <c r="CG457" t="s">
        <v>358</v>
      </c>
    </row>
    <row r="458" spans="1:85" ht="16.2" hidden="1" customHeight="1" x14ac:dyDescent="0.3">
      <c r="A458" s="105" t="str">
        <f>INDEX('Infos Clientes'!$D:$D,MATCH('Detalhe Por UC'!C458,'Infos Clientes'!B:B,0))</f>
        <v>IGREJA DO EVANGELHO QUADRANGULAR</v>
      </c>
      <c r="B458" s="106" t="str">
        <f>INDEX('Infos Clientes'!$F:$F,MATCH('Detalhe Por UC'!C458,'Infos Clientes'!B:B,0))</f>
        <v>62.955.505/4612-10</v>
      </c>
      <c r="C458" s="44" t="s">
        <v>60</v>
      </c>
      <c r="D458" t="s">
        <v>351</v>
      </c>
      <c r="E458" s="1" t="s">
        <v>352</v>
      </c>
      <c r="F458" s="56" t="str">
        <f>INDEX('Infos Clientes'!$I:$I,MATCH('Detalhe Por UC'!C458,'Infos Clientes'!B:B,0))</f>
        <v>BT</v>
      </c>
      <c r="G458" s="56" t="str">
        <f>INDEX('Infos Clientes'!$J:$J,MATCH('Detalhe Por UC'!C458,'Infos Clientes'!B:B,0))</f>
        <v>trifasico</v>
      </c>
      <c r="H458" s="108" t="s">
        <v>24</v>
      </c>
      <c r="I458" s="58">
        <f>IFERROR(VLOOKUP(C458,'Infos Clientes'!B:E,4,),"")</f>
        <v>306</v>
      </c>
      <c r="J458" s="109">
        <v>0.25</v>
      </c>
      <c r="K458" s="59">
        <f>INDEX('Infos Clientes'!$M:$M,MATCH('Detalhe Por UC'!C458,'Infos Clientes'!B:B,0))</f>
        <v>0.25</v>
      </c>
      <c r="L458" s="125">
        <v>0</v>
      </c>
      <c r="M458" s="56">
        <f>INDEX('Infos Clientes'!$N:$N,MATCH('Detalhe Por UC'!C458,'Infos Clientes'!B:B,0))</f>
        <v>0</v>
      </c>
      <c r="N458" s="56">
        <f t="shared" si="266"/>
        <v>0</v>
      </c>
      <c r="O458" s="56">
        <f t="shared" si="267"/>
        <v>12</v>
      </c>
      <c r="P458" s="56">
        <f t="shared" ref="P458:P521" si="302">M458-N458</f>
        <v>0</v>
      </c>
      <c r="Q458" s="61">
        <f>IFERROR(IFERROR(INDEX('Infos Clientes'!$A$2:$V$9884,MATCH($C458,'Infos Clientes'!$B$2:$B$9884,0),MATCH(Q$8,'Infos Clientes'!$A$2:$V$2,0)),"")
+IF(OR(INDEX('Infos Clientes'!$A$2:$V$9884,MATCH($C458,'Infos Clientes'!$B$2:$B$9884,0),MATCH("Tempo de Fidelidade (meses)",'Infos Clientes'!$A$2:$V$2,0))=0,R458&gt;=MAX(R:R)),0,
ROUND((MAX(R:R)-R458)/(365/12),0)),"")</f>
        <v>0</v>
      </c>
      <c r="R458" s="111">
        <v>45778</v>
      </c>
      <c r="S458" s="138">
        <v>0.01</v>
      </c>
      <c r="T458" s="113">
        <f>IF($H458="GIROSSOL II",AP458/INDEX('Resumo Operacional'!$A$1:$P$1103,17,MATCH('Detalhe Por UC'!$R458,'Resumo Operacional'!$A$1:$P$1,0)),
IF($H458="GIROSSOL II e III",AP458/INDEX('Resumo Operacional'!$A$1:$P$1103,17,MATCH('Detalhe Por UC'!$R458,'Resumo Operacional'!$A$1:$P$1,0)),
""))</f>
        <v>1.4013885317562355E-2</v>
      </c>
      <c r="U458" s="113" t="str">
        <f>IF($H458="GIROSSOL III",AP458/INDEX('Resumo Operacional'!$A$1:$P$1103,53,MATCH('Detalhe Por UC'!$R458,'Resumo Operacional'!$A$1:$P$1,0)),
IF($H458="GIROSSOL II e III",AP458/INDEX('Resumo Operacional'!$A$1:$P$1103,53,MATCH('Detalhe Por UC'!$R458,'Resumo Operacional'!$A$1:$P$1,0)),
""))</f>
        <v/>
      </c>
      <c r="V458" s="45"/>
      <c r="X458" s="18">
        <v>1.1306359543817528</v>
      </c>
      <c r="Y458" s="18">
        <v>0</v>
      </c>
      <c r="Z458" s="18">
        <v>1.1306037506745819</v>
      </c>
      <c r="AA458" s="18">
        <v>0</v>
      </c>
      <c r="AB458" s="143">
        <v>245</v>
      </c>
      <c r="AC458" s="143">
        <v>0</v>
      </c>
      <c r="AD458" s="143">
        <v>109</v>
      </c>
      <c r="AE458" s="35"/>
      <c r="AF458" s="143">
        <v>0</v>
      </c>
      <c r="AG458" s="143">
        <v>0</v>
      </c>
      <c r="AH458" s="48">
        <v>72.44</v>
      </c>
      <c r="AI458" s="143">
        <v>0</v>
      </c>
      <c r="AJ458" s="143">
        <v>0</v>
      </c>
      <c r="AN458" s="71">
        <f t="shared" si="268"/>
        <v>0</v>
      </c>
      <c r="AO458" s="71">
        <f t="shared" si="269"/>
        <v>0</v>
      </c>
      <c r="AP458" s="71">
        <f t="shared" si="270"/>
        <v>109</v>
      </c>
      <c r="AQ458" s="72">
        <f>IF(OR($H458="GIROSSOL II",$H458="GIROSSOL II e III"),INDEX('Resumo Operacional'!$A$1:$P$1103,MATCH("Energia Injetada prevista total Fatura da Usina (TUSD)",'Resumo Operacional'!$B$1:$B$1103,0),MATCH('Detalhe Por UC'!$R458,'Resumo Operacional'!$A$1:$P$1,0))*$S458,INDEX('Resumo Operacional'!$A$1:$P$1103,53,MATCH('Detalhe Por UC'!$R458,'Resumo Operacional'!$A$1:$P$1,0))*$S458)</f>
        <v>77.78</v>
      </c>
      <c r="AR458" s="71">
        <f t="shared" si="271"/>
        <v>31.22</v>
      </c>
      <c r="AS458" s="73">
        <f t="shared" si="272"/>
        <v>226.21</v>
      </c>
      <c r="AT458" s="74">
        <f t="shared" si="273"/>
        <v>226.21</v>
      </c>
      <c r="AU458" s="74">
        <f t="shared" si="274"/>
        <v>1.1305715469674109</v>
      </c>
      <c r="AV458" s="74">
        <f t="shared" si="275"/>
        <v>92.426856617647061</v>
      </c>
      <c r="AW458" s="74">
        <f t="shared" si="276"/>
        <v>0</v>
      </c>
      <c r="AX458" s="74">
        <f t="shared" si="277"/>
        <v>123.23580882352942</v>
      </c>
      <c r="AY458" s="74">
        <f t="shared" si="278"/>
        <v>92.43</v>
      </c>
      <c r="AZ458" s="49">
        <v>92.43</v>
      </c>
      <c r="BA458" s="49">
        <v>92.43</v>
      </c>
      <c r="BB458" s="117">
        <v>92.43</v>
      </c>
      <c r="BC458" s="73" t="str">
        <f t="shared" si="279"/>
        <v/>
      </c>
      <c r="BD458" s="73">
        <f t="shared" si="280"/>
        <v>349.44580882352943</v>
      </c>
      <c r="BE458" s="73">
        <f t="shared" si="281"/>
        <v>318.63685661764708</v>
      </c>
      <c r="BF458" s="77">
        <f t="shared" si="282"/>
        <v>30.81</v>
      </c>
      <c r="BG458" s="77">
        <f t="shared" si="283"/>
        <v>9.2429999999999986</v>
      </c>
      <c r="BH458" s="77">
        <f t="shared" si="284"/>
        <v>123.23580882352942</v>
      </c>
      <c r="BI458" s="78">
        <f t="shared" si="285"/>
        <v>0.25</v>
      </c>
      <c r="BJ458" s="79">
        <f t="shared" si="286"/>
        <v>8.8168177216740029E-2</v>
      </c>
      <c r="BK458" s="80">
        <f t="shared" si="287"/>
        <v>318.64</v>
      </c>
      <c r="BL458" s="80">
        <f t="shared" si="288"/>
        <v>30.805808823529446</v>
      </c>
      <c r="BM458" s="79">
        <f t="shared" si="289"/>
        <v>8.8156183435831162E-2</v>
      </c>
      <c r="BN458" s="81">
        <f t="shared" si="290"/>
        <v>0.84798165137614689</v>
      </c>
      <c r="BO458" s="82">
        <f t="shared" si="291"/>
        <v>92.43</v>
      </c>
      <c r="BP458" s="81">
        <f t="shared" si="292"/>
        <v>0.84798165137614689</v>
      </c>
      <c r="BQ458" s="81">
        <f t="shared" si="293"/>
        <v>0.84801385508331784</v>
      </c>
      <c r="BR458" s="81">
        <f t="shared" si="294"/>
        <v>1.1306359543817528</v>
      </c>
      <c r="BS458" s="82">
        <f t="shared" si="295"/>
        <v>109</v>
      </c>
      <c r="BT458" s="82">
        <f t="shared" si="296"/>
        <v>123.23931902761106</v>
      </c>
      <c r="BU458" s="82">
        <f t="shared" si="297"/>
        <v>123.23580882352942</v>
      </c>
      <c r="BW458" s="82">
        <f>IFERROR(INDEX('Infos Clientes'!$T:$T,MATCH('Detalhe Por UC'!$C458,'Infos Clientes'!B:B,0)),"")</f>
        <v>279.08333333333331</v>
      </c>
      <c r="BX458" s="83">
        <f t="shared" si="298"/>
        <v>0</v>
      </c>
      <c r="BY458" s="84">
        <f t="shared" si="299"/>
        <v>0.24996737296663857</v>
      </c>
      <c r="BZ458" s="85">
        <f>IF(_xlfn.MINIFS('Detalhe Por UC'!R:R,'Detalhe Por UC'!C:C,C458,'Detalhe Por UC'!AD:AD,"&gt;"&amp;0)=0,"",_xlfn.MINIFS('Detalhe Por UC'!R:R,'Detalhe Por UC'!C:C,C458,'Detalhe Por UC'!AD:AD,"&gt;"&amp;0))</f>
        <v>45627</v>
      </c>
      <c r="CA458" s="114">
        <f ca="1">IF(OR(S458&gt;0,AD458&gt;0),IFERROR(
SUMIFS(INDIRECT("'Infos Clientes'!$W"&amp;INDEX('Infos Clientes'!$C:$C,MATCH(C458,'Infos Clientes'!$H:$H,0))&amp;":$CZ"&amp;INDEX('Infos Clientes'!$C:$C,MATCH(C458,'Infos Clientes'!$H:$H,0))),'Infos Clientes'!$W$2:$CZ$2,"&gt;"&amp;$R458-365,'Infos Clientes'!$W$2:$CZ$2,"&lt;="&amp;$R458)/
COUNTIFS(INDIRECT("'Infos Clientes'!$W"&amp;INDEX('Infos Clientes'!$C:$C,MATCH(C458,'Infos Clientes'!$H:$H,0))&amp;":$CZ"&amp;INDEX('Infos Clientes'!$C:$C,MATCH(C458,'Infos Clientes'!$H:$H,0))),"&gt;="&amp;0,'Infos Clientes'!$W$2:$CZ$2,"&gt;"&amp;$R458-365,'Infos Clientes'!$W$2:$CZ$2,"&lt;="&amp;$R458),""),"")</f>
        <v>259.33333333333331</v>
      </c>
      <c r="CB458" s="87">
        <f>VLOOKUP(C458,'Infos Clientes'!B:L,11,0)</f>
        <v>0</v>
      </c>
      <c r="CC458" s="88" t="str">
        <f t="shared" si="300"/>
        <v>A Unidade Consumidora 10/1698130-0 economizou R$30,81 na fatura referente à mai/2025  consumindo 109 kWh em créditos de energia renovável conforme fatura de energia. A economia foi de 25% em relação ao que seria pago para a Energisa considerando os créditos consumidos. Atenção: Mantenha as contas da Energisa em dia para evitar cortes.</v>
      </c>
      <c r="CD458" s="40" t="s">
        <v>59</v>
      </c>
      <c r="CE458" s="18">
        <v>226.21</v>
      </c>
      <c r="CF458" s="115">
        <f t="shared" si="301"/>
        <v>0</v>
      </c>
      <c r="CG458" t="s">
        <v>357</v>
      </c>
    </row>
    <row r="459" spans="1:85" ht="16.2" hidden="1" customHeight="1" x14ac:dyDescent="0.3">
      <c r="A459" s="105" t="str">
        <f>INDEX('Infos Clientes'!$D:$D,MATCH('Detalhe Por UC'!C459,'Infos Clientes'!B:B,0))</f>
        <v>IGREJA DO EVANGELHO QUADRANGULAR</v>
      </c>
      <c r="B459" s="106" t="str">
        <f>INDEX('Infos Clientes'!$F:$F,MATCH('Detalhe Por UC'!C459,'Infos Clientes'!B:B,0))</f>
        <v>62.955.505/0914-56</v>
      </c>
      <c r="C459" s="44" t="s">
        <v>134</v>
      </c>
      <c r="D459" t="s">
        <v>351</v>
      </c>
      <c r="E459" s="1" t="s">
        <v>352</v>
      </c>
      <c r="F459" s="56" t="str">
        <f>INDEX('Infos Clientes'!$I:$I,MATCH('Detalhe Por UC'!C459,'Infos Clientes'!B:B,0))</f>
        <v>BT</v>
      </c>
      <c r="G459" s="56" t="str">
        <f>INDEX('Infos Clientes'!$J:$J,MATCH('Detalhe Por UC'!C459,'Infos Clientes'!B:B,0))</f>
        <v>monofasico</v>
      </c>
      <c r="H459" s="108" t="s">
        <v>24</v>
      </c>
      <c r="I459" s="58">
        <f>IFERROR(VLOOKUP(C459,'Infos Clientes'!B:E,4,),"")</f>
        <v>0</v>
      </c>
      <c r="J459" s="109">
        <v>0.25</v>
      </c>
      <c r="K459" s="59">
        <f>INDEX('Infos Clientes'!$M:$M,MATCH('Detalhe Por UC'!C459,'Infos Clientes'!B:B,0))</f>
        <v>0.25</v>
      </c>
      <c r="L459" s="125">
        <v>0</v>
      </c>
      <c r="M459" s="56">
        <f>INDEX('Infos Clientes'!$N:$N,MATCH('Detalhe Por UC'!C459,'Infos Clientes'!B:B,0))</f>
        <v>0</v>
      </c>
      <c r="N459" s="56">
        <f t="shared" si="266"/>
        <v>0</v>
      </c>
      <c r="O459" s="56">
        <f t="shared" si="267"/>
        <v>10</v>
      </c>
      <c r="P459" s="56">
        <f t="shared" si="302"/>
        <v>0</v>
      </c>
      <c r="Q459" s="61">
        <f>IFERROR(IFERROR(INDEX('Infos Clientes'!$A$2:$V$9884,MATCH($C459,'Infos Clientes'!$B$2:$B$9884,0),MATCH(Q$8,'Infos Clientes'!$A$2:$V$2,0)),"")
+IF(OR(INDEX('Infos Clientes'!$A$2:$V$9884,MATCH($C459,'Infos Clientes'!$B$2:$B$9884,0),MATCH("Tempo de Fidelidade (meses)",'Infos Clientes'!$A$2:$V$2,0))=0,R459&gt;=MAX(R:R)),0,
ROUND((MAX(R:R)-R459)/(365/12),0)),"")</f>
        <v>0</v>
      </c>
      <c r="R459" s="111">
        <v>45778</v>
      </c>
      <c r="S459" s="17">
        <v>0.02</v>
      </c>
      <c r="T459" s="113">
        <f>IF($H459="GIROSSOL II",AP459/INDEX('Resumo Operacional'!$A$1:$P$1103,17,MATCH('Detalhe Por UC'!$R459,'Resumo Operacional'!$A$1:$P$1,0)),
IF($H459="GIROSSOL II e III",AP459/INDEX('Resumo Operacional'!$A$1:$P$1103,17,MATCH('Detalhe Por UC'!$R459,'Resumo Operacional'!$A$1:$P$1,0)),
""))</f>
        <v>1.9928002057084084E-2</v>
      </c>
      <c r="U459" s="113" t="str">
        <f>IF($H459="GIROSSOL III",AP459/INDEX('Resumo Operacional'!$A$1:$P$1103,53,MATCH('Detalhe Por UC'!$R459,'Resumo Operacional'!$A$1:$P$1,0)),
IF($H459="GIROSSOL II e III",AP459/INDEX('Resumo Operacional'!$A$1:$P$1103,53,MATCH('Detalhe Por UC'!$R459,'Resumo Operacional'!$A$1:$P$1,0)),
""))</f>
        <v/>
      </c>
      <c r="V459" s="45"/>
      <c r="X459" s="18">
        <v>1.1399160671462829</v>
      </c>
      <c r="Y459" s="18">
        <v>0</v>
      </c>
      <c r="Z459" s="18">
        <v>1.1398929663608564</v>
      </c>
      <c r="AA459" s="18">
        <v>0</v>
      </c>
      <c r="AB459" s="143">
        <v>139</v>
      </c>
      <c r="AC459" s="143">
        <v>0</v>
      </c>
      <c r="AD459" s="143">
        <v>109</v>
      </c>
      <c r="AE459" s="35"/>
      <c r="AF459" s="143">
        <v>724</v>
      </c>
      <c r="AG459" s="143">
        <v>0</v>
      </c>
      <c r="AH459" s="48">
        <v>50.81</v>
      </c>
      <c r="AI459" s="143">
        <v>0</v>
      </c>
      <c r="AJ459" s="143">
        <v>0</v>
      </c>
      <c r="AN459" s="71">
        <f t="shared" si="268"/>
        <v>46</v>
      </c>
      <c r="AO459" s="71">
        <f t="shared" si="269"/>
        <v>0</v>
      </c>
      <c r="AP459" s="71">
        <f t="shared" si="270"/>
        <v>155</v>
      </c>
      <c r="AQ459" s="72">
        <f>IF(OR($H459="GIROSSOL II",$H459="GIROSSOL II e III"),INDEX('Resumo Operacional'!$A$1:$P$1103,MATCH("Energia Injetada prevista total Fatura da Usina (TUSD)",'Resumo Operacional'!$B$1:$B$1103,0),MATCH('Detalhe Por UC'!$R459,'Resumo Operacional'!$A$1:$P$1,0))*$S459,INDEX('Resumo Operacional'!$A$1:$P$1103,53,MATCH('Detalhe Por UC'!$R459,'Resumo Operacional'!$A$1:$P$1,0))*$S459)</f>
        <v>155.56</v>
      </c>
      <c r="AR459" s="71">
        <f t="shared" si="271"/>
        <v>-0.56000000000000227</v>
      </c>
      <c r="AS459" s="73">
        <f t="shared" si="272"/>
        <v>85.009999999999977</v>
      </c>
      <c r="AT459" s="74">
        <f t="shared" si="273"/>
        <v>85.009999999999977</v>
      </c>
      <c r="AU459" s="74">
        <f t="shared" si="274"/>
        <v>1.1398698655754298</v>
      </c>
      <c r="AV459" s="74">
        <f t="shared" si="275"/>
        <v>93.186250000000001</v>
      </c>
      <c r="AW459" s="74">
        <f t="shared" si="276"/>
        <v>0</v>
      </c>
      <c r="AX459" s="74">
        <f t="shared" si="277"/>
        <v>124.24833333333335</v>
      </c>
      <c r="AY459" s="74">
        <f t="shared" si="278"/>
        <v>93.19</v>
      </c>
      <c r="AZ459" s="49">
        <v>93.19</v>
      </c>
      <c r="BA459" s="49">
        <v>93.19</v>
      </c>
      <c r="BC459" s="73" t="str">
        <f t="shared" si="279"/>
        <v/>
      </c>
      <c r="BD459" s="73">
        <f t="shared" si="280"/>
        <v>209.25833333333333</v>
      </c>
      <c r="BE459" s="73">
        <f t="shared" si="281"/>
        <v>178.19624999999996</v>
      </c>
      <c r="BF459" s="77">
        <f t="shared" si="282"/>
        <v>31.06</v>
      </c>
      <c r="BG459" s="77">
        <f t="shared" si="283"/>
        <v>9.3179999999999996</v>
      </c>
      <c r="BH459" s="77">
        <f t="shared" si="284"/>
        <v>124.24833333333335</v>
      </c>
      <c r="BI459" s="78">
        <f t="shared" si="285"/>
        <v>0.25</v>
      </c>
      <c r="BJ459" s="79">
        <f t="shared" si="286"/>
        <v>0.14842897534944846</v>
      </c>
      <c r="BK459" s="80">
        <f t="shared" si="287"/>
        <v>178.2</v>
      </c>
      <c r="BL459" s="80">
        <f t="shared" si="288"/>
        <v>31.058333333333337</v>
      </c>
      <c r="BM459" s="79">
        <f t="shared" si="289"/>
        <v>0.1484210107124368</v>
      </c>
      <c r="BN459" s="81">
        <f t="shared" si="290"/>
        <v>0.854954128440367</v>
      </c>
      <c r="BO459" s="82">
        <f t="shared" si="291"/>
        <v>93.19</v>
      </c>
      <c r="BP459" s="81">
        <f t="shared" si="292"/>
        <v>0.854954128440367</v>
      </c>
      <c r="BQ459" s="81">
        <f t="shared" si="293"/>
        <v>0.85497722922579356</v>
      </c>
      <c r="BR459" s="81">
        <f t="shared" si="294"/>
        <v>1.1399160671462829</v>
      </c>
      <c r="BS459" s="82">
        <f t="shared" si="295"/>
        <v>109</v>
      </c>
      <c r="BT459" s="82">
        <f t="shared" si="296"/>
        <v>124.25085131894484</v>
      </c>
      <c r="BU459" s="82">
        <f t="shared" si="297"/>
        <v>124.24833333333335</v>
      </c>
      <c r="BW459" s="82">
        <f>IFERROR(INDEX('Infos Clientes'!$T:$T,MATCH('Detalhe Por UC'!$C459,'Infos Clientes'!B:B,0)),"")</f>
        <v>0</v>
      </c>
      <c r="BX459" s="83">
        <f t="shared" si="298"/>
        <v>0</v>
      </c>
      <c r="BY459" s="84">
        <f t="shared" si="299"/>
        <v>0.24996475278554328</v>
      </c>
      <c r="BZ459" s="85">
        <f>IF(_xlfn.MINIFS('Detalhe Por UC'!R:R,'Detalhe Por UC'!C:C,C459,'Detalhe Por UC'!AD:AD,"&gt;"&amp;0)=0,"",_xlfn.MINIFS('Detalhe Por UC'!R:R,'Detalhe Por UC'!C:C,C459,'Detalhe Por UC'!AD:AD,"&gt;"&amp;0))</f>
        <v>45658</v>
      </c>
      <c r="CA459" s="114">
        <f ca="1">IF(OR(S459&gt;0,AD459&gt;0),IFERROR(
SUMIFS(INDIRECT("'Infos Clientes'!$W"&amp;INDEX('Infos Clientes'!$C:$C,MATCH(C459,'Infos Clientes'!$H:$H,0))&amp;":$CZ"&amp;INDEX('Infos Clientes'!$C:$C,MATCH(C459,'Infos Clientes'!$H:$H,0))),'Infos Clientes'!$W$2:$CZ$2,"&gt;"&amp;$R459-365,'Infos Clientes'!$W$2:$CZ$2,"&lt;="&amp;$R459)/
COUNTIFS(INDIRECT("'Infos Clientes'!$W"&amp;INDEX('Infos Clientes'!$C:$C,MATCH(C459,'Infos Clientes'!$H:$H,0))&amp;":$CZ"&amp;INDEX('Infos Clientes'!$C:$C,MATCH(C459,'Infos Clientes'!$H:$H,0))),"&gt;="&amp;0,'Infos Clientes'!$W$2:$CZ$2,"&gt;"&amp;$R459-365,'Infos Clientes'!$W$2:$CZ$2,"&lt;="&amp;$R459),""),"")</f>
        <v>164.2</v>
      </c>
      <c r="CB459" s="87">
        <f>VLOOKUP(C459,'Infos Clientes'!B:L,11,0)</f>
        <v>0</v>
      </c>
      <c r="CC459" s="88" t="str">
        <f t="shared" si="300"/>
        <v>A Unidade Consumidora 10/150263-2 economizou R$31,06 na fatura referente à mai/2025  consumindo 109 kWh em créditos de energia renovável conforme fatura de energia. A economia foi de 25% em relação ao que seria pago para a Energisa considerando os créditos consumidos. Atenção: Mantenha as contas da Energisa em dia para evitar cortes.</v>
      </c>
      <c r="CD459" s="40"/>
      <c r="CE459" s="18">
        <v>85.01</v>
      </c>
      <c r="CF459" s="115">
        <f t="shared" si="301"/>
        <v>0</v>
      </c>
      <c r="CG459" t="s">
        <v>359</v>
      </c>
    </row>
    <row r="460" spans="1:85" ht="16.2" hidden="1" customHeight="1" x14ac:dyDescent="0.3">
      <c r="A460" s="105" t="str">
        <f>INDEX('Infos Clientes'!$D:$D,MATCH('Detalhe Por UC'!C460,'Infos Clientes'!B:B,0))</f>
        <v>IGREJA DO EVANGELHO QUADRANGULAR</v>
      </c>
      <c r="B460" s="106" t="str">
        <f>INDEX('Infos Clientes'!$F:$F,MATCH('Detalhe Por UC'!C460,'Infos Clientes'!B:B,0))</f>
        <v>62.955.505/0156-01</v>
      </c>
      <c r="C460" s="44" t="s">
        <v>32</v>
      </c>
      <c r="D460" t="s">
        <v>351</v>
      </c>
      <c r="E460" s="1" t="s">
        <v>352</v>
      </c>
      <c r="F460" s="56" t="str">
        <f>INDEX('Infos Clientes'!$I:$I,MATCH('Detalhe Por UC'!C460,'Infos Clientes'!B:B,0))</f>
        <v>BT</v>
      </c>
      <c r="G460" s="56" t="str">
        <f>INDEX('Infos Clientes'!$J:$J,MATCH('Detalhe Por UC'!C460,'Infos Clientes'!B:B,0))</f>
        <v>trifasico</v>
      </c>
      <c r="H460" s="108" t="s">
        <v>24</v>
      </c>
      <c r="I460" s="58">
        <f>IFERROR(VLOOKUP(C460,'Infos Clientes'!B:E,4,),"")</f>
        <v>319</v>
      </c>
      <c r="J460" s="109">
        <v>0.25</v>
      </c>
      <c r="K460" s="59">
        <f>INDEX('Infos Clientes'!$M:$M,MATCH('Detalhe Por UC'!C460,'Infos Clientes'!B:B,0))</f>
        <v>0.25</v>
      </c>
      <c r="L460" s="125">
        <v>0</v>
      </c>
      <c r="M460" s="56">
        <f>INDEX('Infos Clientes'!$N:$N,MATCH('Detalhe Por UC'!C460,'Infos Clientes'!B:B,0))</f>
        <v>0</v>
      </c>
      <c r="N460" s="56">
        <f t="shared" si="266"/>
        <v>0</v>
      </c>
      <c r="O460" s="56">
        <f t="shared" si="267"/>
        <v>9</v>
      </c>
      <c r="P460" s="56">
        <f t="shared" si="302"/>
        <v>0</v>
      </c>
      <c r="Q460" s="61">
        <f>IFERROR(IFERROR(INDEX('Infos Clientes'!$A$2:$V$9884,MATCH($C460,'Infos Clientes'!$B$2:$B$9884,0),MATCH(Q$8,'Infos Clientes'!$A$2:$V$2,0)),"")
+IF(OR(INDEX('Infos Clientes'!$A$2:$V$9884,MATCH($C460,'Infos Clientes'!$B$2:$B$9884,0),MATCH("Tempo de Fidelidade (meses)",'Infos Clientes'!$A$2:$V$2,0))=0,R460&gt;=MAX(R:R)),0,
ROUND((MAX(R:R)-R460)/(365/12),0)),"")</f>
        <v>0</v>
      </c>
      <c r="R460" s="111">
        <v>45778</v>
      </c>
      <c r="S460" s="17">
        <v>0</v>
      </c>
      <c r="T460" s="113">
        <f>IF($H460="GIROSSOL II",AP460/INDEX('Resumo Operacional'!$A$1:$P$1103,17,MATCH('Detalhe Por UC'!$R460,'Resumo Operacional'!$A$1:$P$1,0)),
IF($H460="GIROSSOL II e III",AP460/INDEX('Resumo Operacional'!$A$1:$P$1103,17,MATCH('Detalhe Por UC'!$R460,'Resumo Operacional'!$A$1:$P$1,0)),
""))</f>
        <v>0</v>
      </c>
      <c r="U460" s="113" t="str">
        <f>IF($H460="GIROSSOL III",AP460/INDEX('Resumo Operacional'!$A$1:$P$1103,53,MATCH('Detalhe Por UC'!$R460,'Resumo Operacional'!$A$1:$P$1,0)),
IF($H460="GIROSSOL II e III",AP460/INDEX('Resumo Operacional'!$A$1:$P$1103,53,MATCH('Detalhe Por UC'!$R460,'Resumo Operacional'!$A$1:$P$1,0)),
""))</f>
        <v/>
      </c>
      <c r="V460" s="45"/>
      <c r="X460" s="18">
        <v>1.1277433628318585</v>
      </c>
      <c r="Y460" s="18">
        <v>0</v>
      </c>
      <c r="Z460" s="18">
        <v>0</v>
      </c>
      <c r="AA460" s="18">
        <v>0</v>
      </c>
      <c r="AB460" s="143">
        <v>226</v>
      </c>
      <c r="AC460" s="143">
        <v>0</v>
      </c>
      <c r="AD460" s="143">
        <v>0</v>
      </c>
      <c r="AE460" s="35"/>
      <c r="AF460" s="143">
        <v>0</v>
      </c>
      <c r="AG460" s="143">
        <v>0</v>
      </c>
      <c r="AH460" s="48">
        <v>28.01</v>
      </c>
      <c r="AI460" s="143">
        <v>0</v>
      </c>
      <c r="AJ460" s="143">
        <v>0</v>
      </c>
      <c r="AN460" s="71">
        <f t="shared" si="268"/>
        <v>0</v>
      </c>
      <c r="AO460" s="71">
        <f t="shared" si="269"/>
        <v>0</v>
      </c>
      <c r="AP460" s="71">
        <f t="shared" si="270"/>
        <v>0</v>
      </c>
      <c r="AQ460" s="72">
        <f>IF(OR($H460="GIROSSOL II",$H460="GIROSSOL II e III"),INDEX('Resumo Operacional'!$A$1:$P$1103,MATCH("Energia Injetada prevista total Fatura da Usina (TUSD)",'Resumo Operacional'!$B$1:$B$1103,0),MATCH('Detalhe Por UC'!$R460,'Resumo Operacional'!$A$1:$P$1,0))*$S460,INDEX('Resumo Operacional'!$A$1:$P$1103,53,MATCH('Detalhe Por UC'!$R460,'Resumo Operacional'!$A$1:$P$1,0))*$S460)</f>
        <v>0</v>
      </c>
      <c r="AR460" s="71">
        <f t="shared" si="271"/>
        <v>0</v>
      </c>
      <c r="AS460" s="73">
        <f t="shared" si="272"/>
        <v>282.88000000000005</v>
      </c>
      <c r="AT460" s="74">
        <f t="shared" si="273"/>
        <v>282.88000000000005</v>
      </c>
      <c r="AU460" s="74" t="str">
        <f t="shared" si="274"/>
        <v/>
      </c>
      <c r="AV460" s="74">
        <f t="shared" si="275"/>
        <v>0</v>
      </c>
      <c r="AW460" s="74">
        <f t="shared" si="276"/>
        <v>0</v>
      </c>
      <c r="AX460" s="74">
        <f t="shared" si="277"/>
        <v>0</v>
      </c>
      <c r="AY460" s="74" t="str">
        <f t="shared" si="278"/>
        <v/>
      </c>
      <c r="AZ460" s="49" t="s">
        <v>354</v>
      </c>
      <c r="BA460" s="49" t="s">
        <v>354</v>
      </c>
      <c r="BC460" s="73" t="str">
        <f t="shared" si="279"/>
        <v/>
      </c>
      <c r="BD460" s="73">
        <f t="shared" si="280"/>
        <v>282.88000000000005</v>
      </c>
      <c r="BE460" s="73">
        <f t="shared" si="281"/>
        <v>282.88000000000005</v>
      </c>
      <c r="BF460" s="77">
        <f t="shared" si="282"/>
        <v>0</v>
      </c>
      <c r="BG460" s="77">
        <f t="shared" si="283"/>
        <v>0</v>
      </c>
      <c r="BH460" s="77">
        <f t="shared" si="284"/>
        <v>0</v>
      </c>
      <c r="BI460" s="78" t="str">
        <f t="shared" si="285"/>
        <v/>
      </c>
      <c r="BJ460" s="79">
        <f t="shared" si="286"/>
        <v>0</v>
      </c>
      <c r="BK460" s="80" t="str">
        <f t="shared" si="287"/>
        <v/>
      </c>
      <c r="BL460" s="80" t="str">
        <f t="shared" si="288"/>
        <v/>
      </c>
      <c r="BM460" s="79" t="str">
        <f t="shared" si="289"/>
        <v/>
      </c>
      <c r="BN460" s="81" t="str">
        <f t="shared" si="290"/>
        <v/>
      </c>
      <c r="BO460" s="82" t="str">
        <f t="shared" si="291"/>
        <v/>
      </c>
      <c r="BP460" s="81" t="str">
        <f t="shared" si="292"/>
        <v/>
      </c>
      <c r="BQ460" s="81" t="str">
        <f t="shared" si="293"/>
        <v/>
      </c>
      <c r="BR460" s="81" t="str">
        <f t="shared" si="294"/>
        <v/>
      </c>
      <c r="BS460" s="82">
        <f t="shared" si="295"/>
        <v>0</v>
      </c>
      <c r="BT460" s="82" t="str">
        <f t="shared" si="296"/>
        <v/>
      </c>
      <c r="BU460" s="82">
        <f t="shared" si="297"/>
        <v>0</v>
      </c>
      <c r="BW460" s="82">
        <f>IFERROR(INDEX('Infos Clientes'!$T:$T,MATCH('Detalhe Por UC'!$C460,'Infos Clientes'!B:B,0)),"")</f>
        <v>236.08333333333334</v>
      </c>
      <c r="BX460" s="83">
        <f t="shared" si="298"/>
        <v>0</v>
      </c>
      <c r="BY460" s="84" t="str">
        <f t="shared" si="299"/>
        <v/>
      </c>
      <c r="BZ460" s="85">
        <f>IF(_xlfn.MINIFS('Detalhe Por UC'!R:R,'Detalhe Por UC'!C:C,C460,'Detalhe Por UC'!AD:AD,"&gt;"&amp;0)=0,"",_xlfn.MINIFS('Detalhe Por UC'!R:R,'Detalhe Por UC'!C:C,C460,'Detalhe Por UC'!AD:AD,"&gt;"&amp;0))</f>
        <v>45627</v>
      </c>
      <c r="CA460" s="114" t="str">
        <f ca="1">IF(OR(S460&gt;0,AD460&gt;0),IFERROR(
SUMIFS(INDIRECT("'Infos Clientes'!$W"&amp;INDEX('Infos Clientes'!$C:$C,MATCH(C460,'Infos Clientes'!$H:$H,0))&amp;":$CZ"&amp;INDEX('Infos Clientes'!$C:$C,MATCH(C460,'Infos Clientes'!$H:$H,0))),'Infos Clientes'!$W$2:$CZ$2,"&gt;"&amp;$R460-365,'Infos Clientes'!$W$2:$CZ$2,"&lt;="&amp;$R460)/
COUNTIFS(INDIRECT("'Infos Clientes'!$W"&amp;INDEX('Infos Clientes'!$C:$C,MATCH(C460,'Infos Clientes'!$H:$H,0))&amp;":$CZ"&amp;INDEX('Infos Clientes'!$C:$C,MATCH(C460,'Infos Clientes'!$H:$H,0))),"&gt;="&amp;0,'Infos Clientes'!$W$2:$CZ$2,"&gt;"&amp;$R460-365,'Infos Clientes'!$W$2:$CZ$2,"&lt;="&amp;$R460),""),"")</f>
        <v/>
      </c>
      <c r="CB460" s="87">
        <f>VLOOKUP(C460,'Infos Clientes'!B:L,11,0)</f>
        <v>0</v>
      </c>
      <c r="CC460" s="88" t="str">
        <f t="shared" si="300"/>
        <v>A Unidade Consumidora 10/113971-6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60" s="40" t="s">
        <v>34</v>
      </c>
      <c r="CE460" s="18">
        <v>282.88</v>
      </c>
      <c r="CF460" s="115">
        <f t="shared" si="301"/>
        <v>0</v>
      </c>
      <c r="CG460" t="s">
        <v>357</v>
      </c>
    </row>
    <row r="461" spans="1:85" ht="16.2" hidden="1" customHeight="1" x14ac:dyDescent="0.3">
      <c r="A461" s="105" t="str">
        <f>INDEX('Infos Clientes'!$D:$D,MATCH('Detalhe Por UC'!C461,'Infos Clientes'!B:B,0))</f>
        <v>IGREJA DO EVANGELHO QUADRANGULAR</v>
      </c>
      <c r="B461" s="106" t="str">
        <f>INDEX('Infos Clientes'!$F:$F,MATCH('Detalhe Por UC'!C461,'Infos Clientes'!B:B,0))</f>
        <v>62.955.505/1490-47</v>
      </c>
      <c r="C461" s="44" t="s">
        <v>35</v>
      </c>
      <c r="D461" t="s">
        <v>351</v>
      </c>
      <c r="E461" s="1" t="s">
        <v>352</v>
      </c>
      <c r="F461" s="56" t="str">
        <f>INDEX('Infos Clientes'!$I:$I,MATCH('Detalhe Por UC'!C461,'Infos Clientes'!B:B,0))</f>
        <v>BT</v>
      </c>
      <c r="G461" s="56" t="str">
        <f>INDEX('Infos Clientes'!$J:$J,MATCH('Detalhe Por UC'!C461,'Infos Clientes'!B:B,0))</f>
        <v>trifasico</v>
      </c>
      <c r="H461" s="108" t="s">
        <v>24</v>
      </c>
      <c r="I461" s="58">
        <f>IFERROR(VLOOKUP(C461,'Infos Clientes'!B:E,4,),"")</f>
        <v>319</v>
      </c>
      <c r="J461" s="109">
        <v>0.25</v>
      </c>
      <c r="K461" s="59">
        <f>INDEX('Infos Clientes'!$M:$M,MATCH('Detalhe Por UC'!C461,'Infos Clientes'!B:B,0))</f>
        <v>0.25</v>
      </c>
      <c r="L461" s="125">
        <v>0</v>
      </c>
      <c r="M461" s="56">
        <f>INDEX('Infos Clientes'!$N:$N,MATCH('Detalhe Por UC'!C461,'Infos Clientes'!B:B,0))</f>
        <v>0</v>
      </c>
      <c r="N461" s="56">
        <f t="shared" si="266"/>
        <v>0</v>
      </c>
      <c r="O461" s="56">
        <f t="shared" si="267"/>
        <v>12</v>
      </c>
      <c r="P461" s="56">
        <f t="shared" si="302"/>
        <v>0</v>
      </c>
      <c r="Q461" s="61">
        <f>IFERROR(IFERROR(INDEX('Infos Clientes'!$A$2:$V$9884,MATCH($C461,'Infos Clientes'!$B$2:$B$9884,0),MATCH(Q$8,'Infos Clientes'!$A$2:$V$2,0)),"")
+IF(OR(INDEX('Infos Clientes'!$A$2:$V$9884,MATCH($C461,'Infos Clientes'!$B$2:$B$9884,0),MATCH("Tempo de Fidelidade (meses)",'Infos Clientes'!$A$2:$V$2,0))=0,R461&gt;=MAX(R:R)),0,
ROUND((MAX(R:R)-R461)/(365/12),0)),"")</f>
        <v>0</v>
      </c>
      <c r="R461" s="111">
        <v>45778</v>
      </c>
      <c r="S461" s="17">
        <v>0.01</v>
      </c>
      <c r="T461" s="113">
        <f>IF($H461="GIROSSOL II",AP461/INDEX('Resumo Operacional'!$A$1:$P$1103,17,MATCH('Detalhe Por UC'!$R461,'Resumo Operacional'!$A$1:$P$1,0)),
IF($H461="GIROSSOL II e III",AP461/INDEX('Resumo Operacional'!$A$1:$P$1103,17,MATCH('Detalhe Por UC'!$R461,'Resumo Operacional'!$A$1:$P$1,0)),
""))</f>
        <v>1.4013885317562355E-2</v>
      </c>
      <c r="U461" s="113" t="str">
        <f>IF($H461="GIROSSOL III",AP461/INDEX('Resumo Operacional'!$A$1:$P$1103,53,MATCH('Detalhe Por UC'!$R461,'Resumo Operacional'!$A$1:$P$1,0)),
IF($H461="GIROSSOL II e III",AP461/INDEX('Resumo Operacional'!$A$1:$P$1103,53,MATCH('Detalhe Por UC'!$R461,'Resumo Operacional'!$A$1:$P$1,0)),
""))</f>
        <v/>
      </c>
      <c r="V461" s="45"/>
      <c r="X461" s="18">
        <v>1.1290158602690223</v>
      </c>
      <c r="Y461" s="18">
        <v>0</v>
      </c>
      <c r="Z461" s="18">
        <v>1.0633733031674208</v>
      </c>
      <c r="AA461" s="18">
        <v>0</v>
      </c>
      <c r="AB461" s="143">
        <v>293</v>
      </c>
      <c r="AC461" s="143">
        <v>0</v>
      </c>
      <c r="AD461" s="143">
        <v>208</v>
      </c>
      <c r="AE461" s="35"/>
      <c r="AF461" s="143">
        <v>185</v>
      </c>
      <c r="AG461" s="143">
        <v>0</v>
      </c>
      <c r="AH461" s="48">
        <v>59.51</v>
      </c>
      <c r="AI461" s="143">
        <v>0</v>
      </c>
      <c r="AJ461" s="143">
        <v>0</v>
      </c>
      <c r="AN461" s="71">
        <f t="shared" si="268"/>
        <v>-99</v>
      </c>
      <c r="AO461" s="71">
        <f t="shared" si="269"/>
        <v>0</v>
      </c>
      <c r="AP461" s="71">
        <f t="shared" si="270"/>
        <v>109</v>
      </c>
      <c r="AQ461" s="72">
        <f>IF(OR($H461="GIROSSOL II",$H461="GIROSSOL II e III"),INDEX('Resumo Operacional'!$A$1:$P$1103,MATCH("Energia Injetada prevista total Fatura da Usina (TUSD)",'Resumo Operacional'!$B$1:$B$1103,0),MATCH('Detalhe Por UC'!$R461,'Resumo Operacional'!$A$1:$P$1,0))*$S461,INDEX('Resumo Operacional'!$A$1:$P$1103,53,MATCH('Detalhe Por UC'!$R461,'Resumo Operacional'!$A$1:$P$1,0))*$S461)</f>
        <v>77.78</v>
      </c>
      <c r="AR461" s="71">
        <f t="shared" si="271"/>
        <v>31.22</v>
      </c>
      <c r="AS461" s="73">
        <f t="shared" si="272"/>
        <v>169.13000000000002</v>
      </c>
      <c r="AT461" s="74">
        <f t="shared" si="273"/>
        <v>169.13000000000002</v>
      </c>
      <c r="AU461" s="74">
        <f t="shared" si="274"/>
        <v>0.99773074606581935</v>
      </c>
      <c r="AV461" s="74">
        <f t="shared" si="275"/>
        <v>165.88623529411765</v>
      </c>
      <c r="AW461" s="74">
        <f t="shared" si="276"/>
        <v>0</v>
      </c>
      <c r="AX461" s="74">
        <f t="shared" si="277"/>
        <v>221.18164705882353</v>
      </c>
      <c r="AY461" s="74">
        <f t="shared" si="278"/>
        <v>165.89</v>
      </c>
      <c r="AZ461" s="49">
        <v>165.89</v>
      </c>
      <c r="BA461" s="49">
        <v>165.89</v>
      </c>
      <c r="BB461" s="49">
        <v>221.18</v>
      </c>
      <c r="BC461" s="73">
        <f t="shared" si="279"/>
        <v>55.29000000000002</v>
      </c>
      <c r="BD461" s="73">
        <f t="shared" si="280"/>
        <v>390.31164705882355</v>
      </c>
      <c r="BE461" s="73">
        <f t="shared" si="281"/>
        <v>335.01623529411768</v>
      </c>
      <c r="BF461" s="77">
        <f t="shared" si="282"/>
        <v>55.3</v>
      </c>
      <c r="BG461" s="77">
        <f t="shared" si="283"/>
        <v>16.59</v>
      </c>
      <c r="BH461" s="77">
        <f t="shared" si="284"/>
        <v>221.18164705882353</v>
      </c>
      <c r="BI461" s="78">
        <f t="shared" si="285"/>
        <v>0.25</v>
      </c>
      <c r="BJ461" s="79">
        <f t="shared" si="286"/>
        <v>0.14168165468981195</v>
      </c>
      <c r="BK461" s="80">
        <f t="shared" si="287"/>
        <v>335.02</v>
      </c>
      <c r="BL461" s="80">
        <f t="shared" si="288"/>
        <v>55.291647058823571</v>
      </c>
      <c r="BM461" s="79">
        <f t="shared" si="289"/>
        <v>0.14166025399311391</v>
      </c>
      <c r="BN461" s="81">
        <f t="shared" si="290"/>
        <v>0.79754807692307683</v>
      </c>
      <c r="BO461" s="82">
        <f t="shared" si="291"/>
        <v>165.89</v>
      </c>
      <c r="BP461" s="81">
        <f t="shared" si="292"/>
        <v>0.79754807692307683</v>
      </c>
      <c r="BQ461" s="81">
        <f t="shared" si="293"/>
        <v>0.86319063402467833</v>
      </c>
      <c r="BR461" s="81">
        <f t="shared" si="294"/>
        <v>1.1290158602690223</v>
      </c>
      <c r="BS461" s="82">
        <f t="shared" si="295"/>
        <v>208</v>
      </c>
      <c r="BT461" s="82">
        <f t="shared" si="296"/>
        <v>234.83529893595664</v>
      </c>
      <c r="BU461" s="82">
        <f t="shared" si="297"/>
        <v>221.18164705882353</v>
      </c>
      <c r="BW461" s="82">
        <f>IFERROR(INDEX('Infos Clientes'!$T:$T,MATCH('Detalhe Por UC'!$C461,'Infos Clientes'!B:B,0)),"")</f>
        <v>182.25</v>
      </c>
      <c r="BX461" s="83">
        <f t="shared" si="298"/>
        <v>0</v>
      </c>
      <c r="BY461" s="84">
        <f t="shared" si="299"/>
        <v>0.23544861998750227</v>
      </c>
      <c r="BZ461" s="85">
        <f>IF(_xlfn.MINIFS('Detalhe Por UC'!R:R,'Detalhe Por UC'!C:C,C461,'Detalhe Por UC'!AD:AD,"&gt;"&amp;0)=0,"",_xlfn.MINIFS('Detalhe Por UC'!R:R,'Detalhe Por UC'!C:C,C461,'Detalhe Por UC'!AD:AD,"&gt;"&amp;0))</f>
        <v>45627</v>
      </c>
      <c r="CA461" s="114">
        <f ca="1">IF(OR(S461&gt;0,AD461&gt;0),IFERROR(
SUMIFS(INDIRECT("'Infos Clientes'!$W"&amp;INDEX('Infos Clientes'!$C:$C,MATCH(C461,'Infos Clientes'!$H:$H,0))&amp;":$CZ"&amp;INDEX('Infos Clientes'!$C:$C,MATCH(C461,'Infos Clientes'!$H:$H,0))),'Infos Clientes'!$W$2:$CZ$2,"&gt;"&amp;$R461-365,'Infos Clientes'!$W$2:$CZ$2,"&lt;="&amp;$R461)/
COUNTIFS(INDIRECT("'Infos Clientes'!$W"&amp;INDEX('Infos Clientes'!$C:$C,MATCH(C461,'Infos Clientes'!$H:$H,0))&amp;":$CZ"&amp;INDEX('Infos Clientes'!$C:$C,MATCH(C461,'Infos Clientes'!$H:$H,0))),"&gt;="&amp;0,'Infos Clientes'!$W$2:$CZ$2,"&gt;"&amp;$R461-365,'Infos Clientes'!$W$2:$CZ$2,"&lt;="&amp;$R461),""),"")</f>
        <v>222.33333333333334</v>
      </c>
      <c r="CB461" s="87">
        <f>VLOOKUP(C461,'Infos Clientes'!B:L,11,0)</f>
        <v>0</v>
      </c>
      <c r="CC461" s="88" t="str">
        <f t="shared" si="300"/>
        <v>A Unidade Consumidora 10/1184751-4 economizou R$55,3 na fatura referente à mai/2025  consumindo 208 kWh em créditos de energia renovável conforme fatura de energia. A economia foi de 25% em relação ao que seria pago para a Energisa considerando os créditos consumidos. Atenção: Mantenha as contas da Energisa em dia para evitar cortes.</v>
      </c>
      <c r="CD461" s="40" t="s">
        <v>37</v>
      </c>
      <c r="CE461" s="18">
        <v>169.13</v>
      </c>
      <c r="CF461" s="115">
        <f t="shared" si="301"/>
        <v>0</v>
      </c>
      <c r="CG461" t="s">
        <v>357</v>
      </c>
    </row>
    <row r="462" spans="1:85" ht="16.2" hidden="1" customHeight="1" x14ac:dyDescent="0.3">
      <c r="A462" s="105" t="str">
        <f>INDEX('Infos Clientes'!$D:$D,MATCH('Detalhe Por UC'!C462,'Infos Clientes'!B:B,0))</f>
        <v>IGREJA DO EVANGELHO QUADRANGULAR</v>
      </c>
      <c r="B462" s="106" t="str">
        <f>INDEX('Infos Clientes'!$F:$F,MATCH('Detalhe Por UC'!C462,'Infos Clientes'!B:B,0))</f>
        <v>62.955.505/0172-13</v>
      </c>
      <c r="C462" s="44" t="s">
        <v>79</v>
      </c>
      <c r="D462" t="s">
        <v>351</v>
      </c>
      <c r="E462" s="1" t="s">
        <v>352</v>
      </c>
      <c r="F462" s="56" t="str">
        <f>INDEX('Infos Clientes'!$I:$I,MATCH('Detalhe Por UC'!C462,'Infos Clientes'!B:B,0))</f>
        <v>BT</v>
      </c>
      <c r="G462" s="56" t="str">
        <f>INDEX('Infos Clientes'!$J:$J,MATCH('Detalhe Por UC'!C462,'Infos Clientes'!B:B,0))</f>
        <v>trifasico</v>
      </c>
      <c r="H462" s="108" t="s">
        <v>24</v>
      </c>
      <c r="I462" s="58">
        <f>IFERROR(VLOOKUP(C462,'Infos Clientes'!B:E,4,),"")</f>
        <v>371</v>
      </c>
      <c r="J462" s="109">
        <v>0.25</v>
      </c>
      <c r="K462" s="59">
        <f>INDEX('Infos Clientes'!$M:$M,MATCH('Detalhe Por UC'!C462,'Infos Clientes'!B:B,0))</f>
        <v>0.25</v>
      </c>
      <c r="L462" s="125">
        <v>0</v>
      </c>
      <c r="M462" s="56">
        <f>INDEX('Infos Clientes'!$N:$N,MATCH('Detalhe Por UC'!C462,'Infos Clientes'!B:B,0))</f>
        <v>0</v>
      </c>
      <c r="N462" s="56">
        <f t="shared" si="266"/>
        <v>0</v>
      </c>
      <c r="O462" s="56">
        <f t="shared" si="267"/>
        <v>8</v>
      </c>
      <c r="P462" s="56">
        <f t="shared" si="302"/>
        <v>0</v>
      </c>
      <c r="Q462" s="61">
        <f>IFERROR(IFERROR(INDEX('Infos Clientes'!$A$2:$V$9884,MATCH($C462,'Infos Clientes'!$B$2:$B$9884,0),MATCH(Q$8,'Infos Clientes'!$A$2:$V$2,0)),"")
+IF(OR(INDEX('Infos Clientes'!$A$2:$V$9884,MATCH($C462,'Infos Clientes'!$B$2:$B$9884,0),MATCH("Tempo de Fidelidade (meses)",'Infos Clientes'!$A$2:$V$2,0))=0,R462&gt;=MAX(R:R)),0,
ROUND((MAX(R:R)-R462)/(365/12),0)),"")</f>
        <v>0</v>
      </c>
      <c r="R462" s="111">
        <v>45778</v>
      </c>
      <c r="S462" s="17">
        <v>6.0000000000000001E-3</v>
      </c>
      <c r="T462" s="113">
        <f>IF($H462="GIROSSOL II",AP462/INDEX('Resumo Operacional'!$A$1:$P$1103,17,MATCH('Detalhe Por UC'!$R462,'Resumo Operacional'!$A$1:$P$1,0)),
IF($H462="GIROSSOL II e III",AP462/INDEX('Resumo Operacional'!$A$1:$P$1103,17,MATCH('Detalhe Por UC'!$R462,'Resumo Operacional'!$A$1:$P$1,0)),
""))</f>
        <v>1.4271020827976344E-2</v>
      </c>
      <c r="U462" s="113" t="str">
        <f>IF($H462="GIROSSOL III",AP462/INDEX('Resumo Operacional'!$A$1:$P$1103,53,MATCH('Detalhe Por UC'!$R462,'Resumo Operacional'!$A$1:$P$1,0)),
IF($H462="GIROSSOL II e III",AP462/INDEX('Resumo Operacional'!$A$1:$P$1103,53,MATCH('Detalhe Por UC'!$R462,'Resumo Operacional'!$A$1:$P$1,0)),
""))</f>
        <v/>
      </c>
      <c r="V462" s="45"/>
      <c r="X462" s="18">
        <v>1.1357534409112482</v>
      </c>
      <c r="Y462" s="18">
        <v>0</v>
      </c>
      <c r="Z462" s="18">
        <v>1.1101296194153336</v>
      </c>
      <c r="AA462" s="18">
        <v>0</v>
      </c>
      <c r="AB462" s="143">
        <v>172</v>
      </c>
      <c r="AC462" s="143">
        <v>0</v>
      </c>
      <c r="AD462" s="143">
        <v>74</v>
      </c>
      <c r="AE462" s="35"/>
      <c r="AF462" s="143">
        <v>497</v>
      </c>
      <c r="AG462" s="143">
        <v>0</v>
      </c>
      <c r="AH462" s="48">
        <v>15.41</v>
      </c>
      <c r="AI462" s="143">
        <v>0</v>
      </c>
      <c r="AJ462" s="143">
        <v>0</v>
      </c>
      <c r="AN462" s="71">
        <f t="shared" si="268"/>
        <v>37</v>
      </c>
      <c r="AO462" s="71">
        <f t="shared" si="269"/>
        <v>0</v>
      </c>
      <c r="AP462" s="71">
        <f t="shared" si="270"/>
        <v>111</v>
      </c>
      <c r="AQ462" s="72">
        <f>IF(OR($H462="GIROSSOL II",$H462="GIROSSOL II e III"),INDEX('Resumo Operacional'!$A$1:$P$1103,MATCH("Energia Injetada prevista total Fatura da Usina (TUSD)",'Resumo Operacional'!$B$1:$B$1103,0),MATCH('Detalhe Por UC'!$R462,'Resumo Operacional'!$A$1:$P$1,0))*$S462,INDEX('Resumo Operacional'!$A$1:$P$1103,53,MATCH('Detalhe Por UC'!$R462,'Resumo Operacional'!$A$1:$P$1,0))*$S462)</f>
        <v>46.667999999999999</v>
      </c>
      <c r="AR462" s="71">
        <f t="shared" si="271"/>
        <v>64.331999999999994</v>
      </c>
      <c r="AS462" s="73">
        <f t="shared" si="272"/>
        <v>128.61000000000001</v>
      </c>
      <c r="AT462" s="74">
        <f t="shared" si="273"/>
        <v>128.61000000000001</v>
      </c>
      <c r="AU462" s="74">
        <f t="shared" si="274"/>
        <v>1.084505797919419</v>
      </c>
      <c r="AV462" s="74">
        <f t="shared" si="275"/>
        <v>61.612193877551015</v>
      </c>
      <c r="AW462" s="74">
        <f t="shared" si="276"/>
        <v>0</v>
      </c>
      <c r="AX462" s="74">
        <f t="shared" si="277"/>
        <v>82.149591836734686</v>
      </c>
      <c r="AY462" s="74">
        <f t="shared" si="278"/>
        <v>61.61</v>
      </c>
      <c r="AZ462" s="49">
        <v>61.61</v>
      </c>
      <c r="BA462" s="49">
        <v>61.61</v>
      </c>
      <c r="BB462" s="117">
        <v>61.61</v>
      </c>
      <c r="BC462" s="73" t="str">
        <f t="shared" si="279"/>
        <v/>
      </c>
      <c r="BD462" s="73">
        <f t="shared" si="280"/>
        <v>210.7595918367347</v>
      </c>
      <c r="BE462" s="73">
        <f t="shared" si="281"/>
        <v>190.22219387755104</v>
      </c>
      <c r="BF462" s="77">
        <f t="shared" si="282"/>
        <v>20.54</v>
      </c>
      <c r="BG462" s="77">
        <f t="shared" si="283"/>
        <v>6.1619999999999999</v>
      </c>
      <c r="BH462" s="77">
        <f t="shared" si="284"/>
        <v>82.149591836734686</v>
      </c>
      <c r="BI462" s="78">
        <f t="shared" si="285"/>
        <v>0.25</v>
      </c>
      <c r="BJ462" s="79">
        <f t="shared" si="286"/>
        <v>9.7457011664320109E-2</v>
      </c>
      <c r="BK462" s="80">
        <f t="shared" si="287"/>
        <v>190.22000000000003</v>
      </c>
      <c r="BL462" s="80">
        <f t="shared" si="288"/>
        <v>20.539591836734672</v>
      </c>
      <c r="BM462" s="79">
        <f t="shared" si="289"/>
        <v>9.7455075034713984E-2</v>
      </c>
      <c r="BN462" s="81">
        <f t="shared" si="290"/>
        <v>0.83256756756756756</v>
      </c>
      <c r="BO462" s="82">
        <f t="shared" si="291"/>
        <v>61.61</v>
      </c>
      <c r="BP462" s="81">
        <f t="shared" si="292"/>
        <v>0.83256756756756756</v>
      </c>
      <c r="BQ462" s="81">
        <f t="shared" si="293"/>
        <v>0.85819138906348214</v>
      </c>
      <c r="BR462" s="81">
        <f t="shared" si="294"/>
        <v>1.1357534409112482</v>
      </c>
      <c r="BS462" s="82">
        <f t="shared" si="295"/>
        <v>74</v>
      </c>
      <c r="BT462" s="82">
        <f t="shared" si="296"/>
        <v>84.045754627432359</v>
      </c>
      <c r="BU462" s="82">
        <f t="shared" si="297"/>
        <v>82.149591836734686</v>
      </c>
      <c r="BW462" s="82">
        <f>IFERROR(INDEX('Infos Clientes'!$T:$T,MATCH('Detalhe Por UC'!$C462,'Infos Clientes'!B:B,0)),"")</f>
        <v>166.66666666666666</v>
      </c>
      <c r="BX462" s="83">
        <f t="shared" si="298"/>
        <v>0</v>
      </c>
      <c r="BY462" s="84">
        <f t="shared" si="299"/>
        <v>0.24438583397561173</v>
      </c>
      <c r="BZ462" s="85">
        <f>IF(_xlfn.MINIFS('Detalhe Por UC'!R:R,'Detalhe Por UC'!C:C,C462,'Detalhe Por UC'!AD:AD,"&gt;"&amp;0)=0,"",_xlfn.MINIFS('Detalhe Por UC'!R:R,'Detalhe Por UC'!C:C,C462,'Detalhe Por UC'!AD:AD,"&gt;"&amp;0))</f>
        <v>45627</v>
      </c>
      <c r="CA462" s="114">
        <f ca="1">IF(OR(S462&gt;0,AD462&gt;0),IFERROR(
SUMIFS(INDIRECT("'Infos Clientes'!$W"&amp;INDEX('Infos Clientes'!$C:$C,MATCH(C462,'Infos Clientes'!$H:$H,0))&amp;":$CZ"&amp;INDEX('Infos Clientes'!$C:$C,MATCH(C462,'Infos Clientes'!$H:$H,0))),'Infos Clientes'!$W$2:$CZ$2,"&gt;"&amp;$R462-365,'Infos Clientes'!$W$2:$CZ$2,"&lt;="&amp;$R462)/
COUNTIFS(INDIRECT("'Infos Clientes'!$W"&amp;INDEX('Infos Clientes'!$C:$C,MATCH(C462,'Infos Clientes'!$H:$H,0))&amp;":$CZ"&amp;INDEX('Infos Clientes'!$C:$C,MATCH(C462,'Infos Clientes'!$H:$H,0))),"&gt;="&amp;0,'Infos Clientes'!$W$2:$CZ$2,"&gt;"&amp;$R462-365,'Infos Clientes'!$W$2:$CZ$2,"&lt;="&amp;$R462),""),"")</f>
        <v>177.16666666666666</v>
      </c>
      <c r="CB462" s="87">
        <f>VLOOKUP(C462,'Infos Clientes'!B:L,11,0)</f>
        <v>0</v>
      </c>
      <c r="CC462" s="88" t="str">
        <f t="shared" si="300"/>
        <v>A Unidade Consumidora 10/237441-1 economizou R$20,54 na fatura referente à mai/2025  consumindo 74 kWh em créditos de energia renovável conforme fatura de energia. A economia foi de 25% em relação ao que seria pago para a Energisa considerando os créditos consumidos. Atenção: Mantenha as contas da Energisa em dia para evitar cortes.</v>
      </c>
      <c r="CD462" s="40" t="s">
        <v>80</v>
      </c>
      <c r="CE462" s="18">
        <v>128.61000000000001</v>
      </c>
      <c r="CF462" s="115">
        <f t="shared" si="301"/>
        <v>0</v>
      </c>
      <c r="CG462" t="s">
        <v>358</v>
      </c>
    </row>
    <row r="463" spans="1:85" ht="16.2" hidden="1" customHeight="1" x14ac:dyDescent="0.3">
      <c r="A463" s="105" t="str">
        <f>INDEX('Infos Clientes'!$D:$D,MATCH('Detalhe Por UC'!C463,'Infos Clientes'!B:B,0))</f>
        <v>IGREJA DO EVANGELHO QUADRANGULAR</v>
      </c>
      <c r="B463" s="106" t="str">
        <f>INDEX('Infos Clientes'!$F:$F,MATCH('Detalhe Por UC'!C463,'Infos Clientes'!B:B,0))</f>
        <v>62.955.505/4612-10</v>
      </c>
      <c r="C463" s="44" t="s">
        <v>57</v>
      </c>
      <c r="D463" t="s">
        <v>351</v>
      </c>
      <c r="E463" s="1" t="s">
        <v>352</v>
      </c>
      <c r="F463" s="56" t="str">
        <f>INDEX('Infos Clientes'!$I:$I,MATCH('Detalhe Por UC'!C463,'Infos Clientes'!B:B,0))</f>
        <v>BT</v>
      </c>
      <c r="G463" s="56" t="str">
        <f>INDEX('Infos Clientes'!$J:$J,MATCH('Detalhe Por UC'!C463,'Infos Clientes'!B:B,0))</f>
        <v>trifasico</v>
      </c>
      <c r="H463" s="108" t="s">
        <v>24</v>
      </c>
      <c r="I463" s="58">
        <f>IFERROR(VLOOKUP(C463,'Infos Clientes'!B:E,4,),"")</f>
        <v>306</v>
      </c>
      <c r="J463" s="109">
        <v>0.25</v>
      </c>
      <c r="K463" s="59">
        <f>INDEX('Infos Clientes'!$M:$M,MATCH('Detalhe Por UC'!C463,'Infos Clientes'!B:B,0))</f>
        <v>0.25</v>
      </c>
      <c r="L463" s="125">
        <v>0</v>
      </c>
      <c r="M463" s="56">
        <f>INDEX('Infos Clientes'!$N:$N,MATCH('Detalhe Por UC'!C463,'Infos Clientes'!B:B,0))</f>
        <v>0</v>
      </c>
      <c r="N463" s="56">
        <f t="shared" si="266"/>
        <v>0</v>
      </c>
      <c r="O463" s="56">
        <f t="shared" si="267"/>
        <v>12</v>
      </c>
      <c r="P463" s="56">
        <f t="shared" si="302"/>
        <v>0</v>
      </c>
      <c r="Q463" s="61">
        <f>IFERROR(IFERROR(INDEX('Infos Clientes'!$A$2:$V$9884,MATCH($C463,'Infos Clientes'!$B$2:$B$9884,0),MATCH(Q$8,'Infos Clientes'!$A$2:$V$2,0)),"")
+IF(OR(INDEX('Infos Clientes'!$A$2:$V$9884,MATCH($C463,'Infos Clientes'!$B$2:$B$9884,0),MATCH("Tempo de Fidelidade (meses)",'Infos Clientes'!$A$2:$V$2,0))=0,R463&gt;=MAX(R:R)),0,
ROUND((MAX(R:R)-R463)/(365/12),0)),"")</f>
        <v>0</v>
      </c>
      <c r="R463" s="111">
        <v>45778</v>
      </c>
      <c r="S463" s="17">
        <v>6.0000000000000001E-3</v>
      </c>
      <c r="T463" s="113">
        <f>IF($H463="GIROSSOL II",AP463/INDEX('Resumo Operacional'!$A$1:$P$1103,17,MATCH('Detalhe Por UC'!$R463,'Resumo Operacional'!$A$1:$P$1,0)),
IF($H463="GIROSSOL II e III",AP463/INDEX('Resumo Operacional'!$A$1:$P$1103,17,MATCH('Detalhe Por UC'!$R463,'Resumo Operacional'!$A$1:$P$1,0)),
""))</f>
        <v>8.3569040884546152E-3</v>
      </c>
      <c r="U463" s="113" t="str">
        <f>IF($H463="GIROSSOL III",AP463/INDEX('Resumo Operacional'!$A$1:$P$1103,53,MATCH('Detalhe Por UC'!$R463,'Resumo Operacional'!$A$1:$P$1,0)),
IF($H463="GIROSSOL II e III",AP463/INDEX('Resumo Operacional'!$A$1:$P$1103,53,MATCH('Detalhe Por UC'!$R463,'Resumo Operacional'!$A$1:$P$1,0)),
""))</f>
        <v/>
      </c>
      <c r="V463" s="45"/>
      <c r="X463" s="18">
        <v>1.1306558803260649</v>
      </c>
      <c r="Y463" s="18">
        <v>0</v>
      </c>
      <c r="Z463" s="18">
        <v>1.1305716505716505</v>
      </c>
      <c r="AA463" s="18">
        <v>0</v>
      </c>
      <c r="AB463" s="143">
        <v>758</v>
      </c>
      <c r="AC463" s="143">
        <v>0</v>
      </c>
      <c r="AD463" s="143">
        <v>65</v>
      </c>
      <c r="AE463" s="35"/>
      <c r="AF463" s="143">
        <v>0</v>
      </c>
      <c r="AG463" s="143">
        <v>0</v>
      </c>
      <c r="AH463" s="48">
        <v>149.5</v>
      </c>
      <c r="AI463" s="143">
        <v>0</v>
      </c>
      <c r="AJ463" s="143">
        <v>0</v>
      </c>
      <c r="AN463" s="71">
        <f t="shared" si="268"/>
        <v>0</v>
      </c>
      <c r="AO463" s="71">
        <f t="shared" si="269"/>
        <v>0</v>
      </c>
      <c r="AP463" s="71">
        <f t="shared" si="270"/>
        <v>65</v>
      </c>
      <c r="AQ463" s="72">
        <f>IF(OR($H463="GIROSSOL II",$H463="GIROSSOL II e III"),INDEX('Resumo Operacional'!$A$1:$P$1103,MATCH("Energia Injetada prevista total Fatura da Usina (TUSD)",'Resumo Operacional'!$B$1:$B$1103,0),MATCH('Detalhe Por UC'!$R463,'Resumo Operacional'!$A$1:$P$1,0))*$S463,INDEX('Resumo Operacional'!$A$1:$P$1103,53,MATCH('Detalhe Por UC'!$R463,'Resumo Operacional'!$A$1:$P$1,0))*$S463)</f>
        <v>46.667999999999999</v>
      </c>
      <c r="AR463" s="71">
        <f t="shared" si="271"/>
        <v>18.332000000000001</v>
      </c>
      <c r="AS463" s="73">
        <f t="shared" si="272"/>
        <v>933.05</v>
      </c>
      <c r="AT463" s="74">
        <f t="shared" si="273"/>
        <v>933.05</v>
      </c>
      <c r="AU463" s="74">
        <f t="shared" si="274"/>
        <v>1.1304874208172362</v>
      </c>
      <c r="AV463" s="74">
        <f t="shared" si="275"/>
        <v>55.115367965367966</v>
      </c>
      <c r="AW463" s="74">
        <f t="shared" si="276"/>
        <v>0</v>
      </c>
      <c r="AX463" s="74">
        <f t="shared" si="277"/>
        <v>73.487157287157288</v>
      </c>
      <c r="AY463" s="74">
        <f t="shared" si="278"/>
        <v>55.12</v>
      </c>
      <c r="AZ463" s="49">
        <v>55.12</v>
      </c>
      <c r="BA463" s="49">
        <v>55.12</v>
      </c>
      <c r="BB463" s="117">
        <v>55.12</v>
      </c>
      <c r="BC463" s="73" t="str">
        <f t="shared" si="279"/>
        <v/>
      </c>
      <c r="BD463" s="73">
        <f t="shared" si="280"/>
        <v>1006.5371572871572</v>
      </c>
      <c r="BE463" s="73">
        <f t="shared" si="281"/>
        <v>988.16536796536798</v>
      </c>
      <c r="BF463" s="77">
        <f t="shared" si="282"/>
        <v>18.37</v>
      </c>
      <c r="BG463" s="77">
        <f t="shared" si="283"/>
        <v>5.5110000000000001</v>
      </c>
      <c r="BH463" s="77">
        <f t="shared" si="284"/>
        <v>73.487157287157274</v>
      </c>
      <c r="BI463" s="78">
        <f t="shared" si="285"/>
        <v>0.25</v>
      </c>
      <c r="BJ463" s="79">
        <f t="shared" si="286"/>
        <v>1.8250692353485747E-2</v>
      </c>
      <c r="BK463" s="80">
        <f t="shared" si="287"/>
        <v>988.17</v>
      </c>
      <c r="BL463" s="80">
        <f t="shared" si="288"/>
        <v>18.367157287157283</v>
      </c>
      <c r="BM463" s="79">
        <f t="shared" si="289"/>
        <v>1.8247868103211291E-2</v>
      </c>
      <c r="BN463" s="81">
        <f t="shared" si="290"/>
        <v>0.84799999999999998</v>
      </c>
      <c r="BO463" s="82">
        <f t="shared" si="291"/>
        <v>55.12</v>
      </c>
      <c r="BP463" s="81">
        <f t="shared" si="292"/>
        <v>0.84799999999999998</v>
      </c>
      <c r="BQ463" s="81">
        <f t="shared" si="293"/>
        <v>0.84808422975441433</v>
      </c>
      <c r="BR463" s="81">
        <f t="shared" si="294"/>
        <v>1.1306558803260649</v>
      </c>
      <c r="BS463" s="82">
        <f t="shared" si="295"/>
        <v>65</v>
      </c>
      <c r="BT463" s="82">
        <f t="shared" si="296"/>
        <v>73.492632221194214</v>
      </c>
      <c r="BU463" s="82">
        <f t="shared" si="297"/>
        <v>73.487157287157288</v>
      </c>
      <c r="BW463" s="82">
        <f>IFERROR(INDEX('Infos Clientes'!$T:$T,MATCH('Detalhe Por UC'!$C463,'Infos Clientes'!B:B,0)),"")</f>
        <v>511.41666666666669</v>
      </c>
      <c r="BX463" s="83">
        <f t="shared" si="298"/>
        <v>0</v>
      </c>
      <c r="BY463" s="84">
        <f t="shared" si="299"/>
        <v>0.24991834871115778</v>
      </c>
      <c r="BZ463" s="85">
        <f>IF(_xlfn.MINIFS('Detalhe Por UC'!R:R,'Detalhe Por UC'!C:C,C463,'Detalhe Por UC'!AD:AD,"&gt;"&amp;0)=0,"",_xlfn.MINIFS('Detalhe Por UC'!R:R,'Detalhe Por UC'!C:C,C463,'Detalhe Por UC'!AD:AD,"&gt;"&amp;0))</f>
        <v>45627</v>
      </c>
      <c r="CA463" s="114">
        <f ca="1">IF(OR(S463&gt;0,AD463&gt;0),IFERROR(
SUMIFS(INDIRECT("'Infos Clientes'!$W"&amp;INDEX('Infos Clientes'!$C:$C,MATCH(C463,'Infos Clientes'!$H:$H,0))&amp;":$CZ"&amp;INDEX('Infos Clientes'!$C:$C,MATCH(C463,'Infos Clientes'!$H:$H,0))),'Infos Clientes'!$W$2:$CZ$2,"&gt;"&amp;$R463-365,'Infos Clientes'!$W$2:$CZ$2,"&lt;="&amp;$R463)/
COUNTIFS(INDIRECT("'Infos Clientes'!$W"&amp;INDEX('Infos Clientes'!$C:$C,MATCH(C463,'Infos Clientes'!$H:$H,0))&amp;":$CZ"&amp;INDEX('Infos Clientes'!$C:$C,MATCH(C463,'Infos Clientes'!$H:$H,0))),"&gt;="&amp;0,'Infos Clientes'!$W$2:$CZ$2,"&gt;"&amp;$R463-365,'Infos Clientes'!$W$2:$CZ$2,"&lt;="&amp;$R463),""),"")</f>
        <v>711.66666666666663</v>
      </c>
      <c r="CB463" s="87">
        <f>VLOOKUP(C463,'Infos Clientes'!B:L,11,0)</f>
        <v>0</v>
      </c>
      <c r="CC463" s="88" t="str">
        <f t="shared" si="300"/>
        <v>A Unidade Consumidora 10/1695011-5 economizou R$18,37 na fatura referente à mai/2025  consumindo 65 kWh em créditos de energia renovável conforme fatura de energia. A economia foi de 25% em relação ao que seria pago para a Energisa considerando os créditos consumidos. Atenção: Mantenha as contas da Energisa em dia para evitar cortes.</v>
      </c>
      <c r="CD463" s="40" t="s">
        <v>59</v>
      </c>
      <c r="CE463" s="18">
        <v>933.05</v>
      </c>
      <c r="CF463" s="115">
        <f t="shared" si="301"/>
        <v>0</v>
      </c>
      <c r="CG463" t="s">
        <v>357</v>
      </c>
    </row>
    <row r="464" spans="1:85" ht="16.2" hidden="1" customHeight="1" x14ac:dyDescent="0.3">
      <c r="A464" s="105" t="str">
        <f>INDEX('Infos Clientes'!$D:$D,MATCH('Detalhe Por UC'!C464,'Infos Clientes'!B:B,0))</f>
        <v>IGREJA DO EVANGELHO QUADRANGULAR</v>
      </c>
      <c r="B464" s="106" t="str">
        <f>INDEX('Infos Clientes'!$F:$F,MATCH('Detalhe Por UC'!C464,'Infos Clientes'!B:B,0))</f>
        <v>62.955.505/4194-43</v>
      </c>
      <c r="C464" s="44" t="s">
        <v>135</v>
      </c>
      <c r="D464" t="s">
        <v>351</v>
      </c>
      <c r="E464" s="1" t="s">
        <v>352</v>
      </c>
      <c r="F464" s="56" t="str">
        <f>INDEX('Infos Clientes'!$I:$I,MATCH('Detalhe Por UC'!C464,'Infos Clientes'!B:B,0))</f>
        <v>BT</v>
      </c>
      <c r="G464" s="56" t="str">
        <f>INDEX('Infos Clientes'!$J:$J,MATCH('Detalhe Por UC'!C464,'Infos Clientes'!B:B,0))</f>
        <v>trifasico</v>
      </c>
      <c r="H464" s="108" t="s">
        <v>24</v>
      </c>
      <c r="I464" s="58">
        <f>IFERROR(VLOOKUP(C464,'Infos Clientes'!B:E,4,),"")</f>
        <v>0</v>
      </c>
      <c r="J464" s="109">
        <v>0.25</v>
      </c>
      <c r="K464" s="59">
        <f>INDEX('Infos Clientes'!$M:$M,MATCH('Detalhe Por UC'!C464,'Infos Clientes'!B:B,0))</f>
        <v>0.25</v>
      </c>
      <c r="L464" s="125">
        <v>0</v>
      </c>
      <c r="M464" s="56">
        <f>INDEX('Infos Clientes'!$N:$N,MATCH('Detalhe Por UC'!C464,'Infos Clientes'!B:B,0))</f>
        <v>0</v>
      </c>
      <c r="N464" s="56">
        <f t="shared" si="266"/>
        <v>0</v>
      </c>
      <c r="O464" s="56">
        <f t="shared" si="267"/>
        <v>7</v>
      </c>
      <c r="P464" s="56">
        <f t="shared" si="302"/>
        <v>0</v>
      </c>
      <c r="Q464" s="61">
        <f>IFERROR(IFERROR(INDEX('Infos Clientes'!$A$2:$V$9884,MATCH($C464,'Infos Clientes'!$B$2:$B$9884,0),MATCH(Q$8,'Infos Clientes'!$A$2:$V$2,0)),"")
+IF(OR(INDEX('Infos Clientes'!$A$2:$V$9884,MATCH($C464,'Infos Clientes'!$B$2:$B$9884,0),MATCH("Tempo de Fidelidade (meses)",'Infos Clientes'!$A$2:$V$2,0))=0,R464&gt;=MAX(R:R)),0,
ROUND((MAX(R:R)-R464)/(365/12),0)),"")</f>
        <v>0</v>
      </c>
      <c r="R464" s="111">
        <v>45778</v>
      </c>
      <c r="S464" s="17">
        <v>0</v>
      </c>
      <c r="T464" s="113">
        <f>IF($H464="GIROSSOL II",AP464/INDEX('Resumo Operacional'!$A$1:$P$1103,17,MATCH('Detalhe Por UC'!$R464,'Resumo Operacional'!$A$1:$P$1,0)),
IF($H464="GIROSSOL II e III",AP464/INDEX('Resumo Operacional'!$A$1:$P$1103,17,MATCH('Detalhe Por UC'!$R464,'Resumo Operacional'!$A$1:$P$1,0)),
""))</f>
        <v>0</v>
      </c>
      <c r="U464" s="113" t="str">
        <f>IF($H464="GIROSSOL III",AP464/INDEX('Resumo Operacional'!$A$1:$P$1103,53,MATCH('Detalhe Por UC'!$R464,'Resumo Operacional'!$A$1:$P$1,0)),
IF($H464="GIROSSOL II e III",AP464/INDEX('Resumo Operacional'!$A$1:$P$1103,53,MATCH('Detalhe Por UC'!$R464,'Resumo Operacional'!$A$1:$P$1,0)),
""))</f>
        <v/>
      </c>
      <c r="V464" s="45"/>
      <c r="X464" s="18">
        <v>1.1341025641025642</v>
      </c>
      <c r="Y464" s="18">
        <v>0</v>
      </c>
      <c r="Z464" s="18">
        <v>0</v>
      </c>
      <c r="AA464" s="18">
        <v>0</v>
      </c>
      <c r="AB464" s="143">
        <v>156</v>
      </c>
      <c r="AC464" s="143">
        <v>0</v>
      </c>
      <c r="AD464" s="143">
        <v>0</v>
      </c>
      <c r="AE464" s="35"/>
      <c r="AF464" s="143">
        <v>0</v>
      </c>
      <c r="AG464" s="143">
        <v>0</v>
      </c>
      <c r="AH464" s="48">
        <v>26.509999999999998</v>
      </c>
      <c r="AI464" s="143">
        <v>0</v>
      </c>
      <c r="AJ464" s="143">
        <v>0</v>
      </c>
      <c r="AN464" s="71">
        <f t="shared" si="268"/>
        <v>0</v>
      </c>
      <c r="AO464" s="71">
        <f t="shared" si="269"/>
        <v>0</v>
      </c>
      <c r="AP464" s="71">
        <f t="shared" si="270"/>
        <v>0</v>
      </c>
      <c r="AQ464" s="72">
        <f>IF(OR($H464="GIROSSOL II",$H464="GIROSSOL II e III"),INDEX('Resumo Operacional'!$A$1:$P$1103,MATCH("Energia Injetada prevista total Fatura da Usina (TUSD)",'Resumo Operacional'!$B$1:$B$1103,0),MATCH('Detalhe Por UC'!$R464,'Resumo Operacional'!$A$1:$P$1,0))*$S464,INDEX('Resumo Operacional'!$A$1:$P$1103,53,MATCH('Detalhe Por UC'!$R464,'Resumo Operacional'!$A$1:$P$1,0))*$S464)</f>
        <v>0</v>
      </c>
      <c r="AR464" s="71">
        <f t="shared" si="271"/>
        <v>0</v>
      </c>
      <c r="AS464" s="73">
        <f t="shared" si="272"/>
        <v>203.43</v>
      </c>
      <c r="AT464" s="74">
        <f t="shared" si="273"/>
        <v>203.43</v>
      </c>
      <c r="AU464" s="74" t="str">
        <f t="shared" si="274"/>
        <v/>
      </c>
      <c r="AV464" s="74">
        <f t="shared" si="275"/>
        <v>0</v>
      </c>
      <c r="AW464" s="74">
        <f t="shared" si="276"/>
        <v>0</v>
      </c>
      <c r="AX464" s="74">
        <f t="shared" si="277"/>
        <v>0</v>
      </c>
      <c r="AY464" s="74" t="str">
        <f t="shared" si="278"/>
        <v/>
      </c>
      <c r="AZ464" s="49" t="s">
        <v>354</v>
      </c>
      <c r="BA464" s="49" t="s">
        <v>354</v>
      </c>
      <c r="BC464" s="73" t="str">
        <f t="shared" si="279"/>
        <v/>
      </c>
      <c r="BD464" s="73">
        <f t="shared" si="280"/>
        <v>203.43</v>
      </c>
      <c r="BE464" s="73">
        <f t="shared" si="281"/>
        <v>203.43</v>
      </c>
      <c r="BF464" s="77">
        <f t="shared" si="282"/>
        <v>0</v>
      </c>
      <c r="BG464" s="77">
        <f t="shared" si="283"/>
        <v>0</v>
      </c>
      <c r="BH464" s="77">
        <f t="shared" si="284"/>
        <v>0</v>
      </c>
      <c r="BI464" s="78" t="str">
        <f t="shared" si="285"/>
        <v/>
      </c>
      <c r="BJ464" s="79">
        <f t="shared" si="286"/>
        <v>0</v>
      </c>
      <c r="BK464" s="80" t="str">
        <f t="shared" si="287"/>
        <v/>
      </c>
      <c r="BL464" s="80" t="str">
        <f t="shared" si="288"/>
        <v/>
      </c>
      <c r="BM464" s="79" t="str">
        <f t="shared" si="289"/>
        <v/>
      </c>
      <c r="BN464" s="81" t="str">
        <f t="shared" si="290"/>
        <v/>
      </c>
      <c r="BO464" s="82" t="str">
        <f t="shared" si="291"/>
        <v/>
      </c>
      <c r="BP464" s="81" t="str">
        <f t="shared" si="292"/>
        <v/>
      </c>
      <c r="BQ464" s="81" t="str">
        <f t="shared" si="293"/>
        <v/>
      </c>
      <c r="BR464" s="81" t="str">
        <f t="shared" si="294"/>
        <v/>
      </c>
      <c r="BS464" s="82">
        <f t="shared" si="295"/>
        <v>0</v>
      </c>
      <c r="BT464" s="82" t="str">
        <f t="shared" si="296"/>
        <v/>
      </c>
      <c r="BU464" s="82">
        <f t="shared" si="297"/>
        <v>0</v>
      </c>
      <c r="BW464" s="82">
        <f>IFERROR(INDEX('Infos Clientes'!$T:$T,MATCH('Detalhe Por UC'!$C464,'Infos Clientes'!B:B,0)),"")</f>
        <v>0</v>
      </c>
      <c r="BX464" s="83">
        <f t="shared" si="298"/>
        <v>0</v>
      </c>
      <c r="BY464" s="84" t="str">
        <f t="shared" si="299"/>
        <v/>
      </c>
      <c r="BZ464" s="85">
        <f>IF(_xlfn.MINIFS('Detalhe Por UC'!R:R,'Detalhe Por UC'!C:C,C464,'Detalhe Por UC'!AD:AD,"&gt;"&amp;0)=0,"",_xlfn.MINIFS('Detalhe Por UC'!R:R,'Detalhe Por UC'!C:C,C464,'Detalhe Por UC'!AD:AD,"&gt;"&amp;0))</f>
        <v>45689</v>
      </c>
      <c r="CA464" s="114" t="str">
        <f ca="1">IF(OR(S464&gt;0,AD464&gt;0),IFERROR(
SUMIFS(INDIRECT("'Infos Clientes'!$W"&amp;INDEX('Infos Clientes'!$C:$C,MATCH(C464,'Infos Clientes'!$H:$H,0))&amp;":$CZ"&amp;INDEX('Infos Clientes'!$C:$C,MATCH(C464,'Infos Clientes'!$H:$H,0))),'Infos Clientes'!$W$2:$CZ$2,"&gt;"&amp;$R464-365,'Infos Clientes'!$W$2:$CZ$2,"&lt;="&amp;$R464)/
COUNTIFS(INDIRECT("'Infos Clientes'!$W"&amp;INDEX('Infos Clientes'!$C:$C,MATCH(C464,'Infos Clientes'!$H:$H,0))&amp;":$CZ"&amp;INDEX('Infos Clientes'!$C:$C,MATCH(C464,'Infos Clientes'!$H:$H,0))),"&gt;="&amp;0,'Infos Clientes'!$W$2:$CZ$2,"&gt;"&amp;$R464-365,'Infos Clientes'!$W$2:$CZ$2,"&lt;="&amp;$R464),""),"")</f>
        <v/>
      </c>
      <c r="CB464" s="87">
        <f>VLOOKUP(C464,'Infos Clientes'!B:L,11,0)</f>
        <v>0</v>
      </c>
      <c r="CC464" s="88" t="str">
        <f t="shared" si="300"/>
        <v>A Unidade Consumidora 10/1433087-2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64" s="40" t="s">
        <v>40</v>
      </c>
      <c r="CE464" s="18">
        <v>203.43</v>
      </c>
      <c r="CF464" s="115">
        <f t="shared" si="301"/>
        <v>0</v>
      </c>
      <c r="CG464" t="s">
        <v>357</v>
      </c>
    </row>
    <row r="465" spans="1:85" ht="16.2" hidden="1" customHeight="1" x14ac:dyDescent="0.3">
      <c r="A465" s="105" t="str">
        <f>INDEX('Infos Clientes'!$D:$D,MATCH('Detalhe Por UC'!C465,'Infos Clientes'!B:B,0))</f>
        <v>IGREJA DO EVANGELHO QUADRANGULAR</v>
      </c>
      <c r="B465" s="106" t="str">
        <f>INDEX('Infos Clientes'!$F:$F,MATCH('Detalhe Por UC'!C465,'Infos Clientes'!B:B,0))</f>
        <v>62.955.505/0001-67</v>
      </c>
      <c r="C465" s="44" t="s">
        <v>106</v>
      </c>
      <c r="D465" t="s">
        <v>351</v>
      </c>
      <c r="E465" s="1" t="s">
        <v>352</v>
      </c>
      <c r="F465" s="56" t="str">
        <f>INDEX('Infos Clientes'!$I:$I,MATCH('Detalhe Por UC'!C465,'Infos Clientes'!B:B,0))</f>
        <v>BT</v>
      </c>
      <c r="G465" s="56" t="str">
        <f>INDEX('Infos Clientes'!$J:$J,MATCH('Detalhe Por UC'!C465,'Infos Clientes'!B:B,0))</f>
        <v>bifasico</v>
      </c>
      <c r="H465" s="108" t="s">
        <v>24</v>
      </c>
      <c r="I465" s="58">
        <f>IFERROR(VLOOKUP(C465,'Infos Clientes'!B:E,4,),"")</f>
        <v>302</v>
      </c>
      <c r="J465" s="109">
        <v>0.25</v>
      </c>
      <c r="K465" s="59">
        <f>INDEX('Infos Clientes'!$M:$M,MATCH('Detalhe Por UC'!C465,'Infos Clientes'!B:B,0))</f>
        <v>0.25</v>
      </c>
      <c r="L465" s="125">
        <v>0</v>
      </c>
      <c r="M465" s="56">
        <f>INDEX('Infos Clientes'!$N:$N,MATCH('Detalhe Por UC'!C465,'Infos Clientes'!B:B,0))</f>
        <v>0</v>
      </c>
      <c r="N465" s="56">
        <f t="shared" si="266"/>
        <v>0</v>
      </c>
      <c r="O465" s="56">
        <f t="shared" si="267"/>
        <v>11</v>
      </c>
      <c r="P465" s="56">
        <f t="shared" si="302"/>
        <v>0</v>
      </c>
      <c r="Q465" s="61">
        <f>IFERROR(IFERROR(INDEX('Infos Clientes'!$A$2:$V$9884,MATCH($C465,'Infos Clientes'!$B$2:$B$9884,0),MATCH(Q$8,'Infos Clientes'!$A$2:$V$2,0)),"")
+IF(OR(INDEX('Infos Clientes'!$A$2:$V$9884,MATCH($C465,'Infos Clientes'!$B$2:$B$9884,0),MATCH("Tempo de Fidelidade (meses)",'Infos Clientes'!$A$2:$V$2,0))=0,R465&gt;=MAX(R:R)),0,
ROUND((MAX(R:R)-R465)/(365/12),0)),"")</f>
        <v>0</v>
      </c>
      <c r="R465" s="111">
        <v>45778</v>
      </c>
      <c r="S465" s="17">
        <v>5.0000000000000001E-3</v>
      </c>
      <c r="T465" s="113">
        <f>IF($H465="GIROSSOL II",AP465/INDEX('Resumo Operacional'!$A$1:$P$1103,17,MATCH('Detalhe Por UC'!$R465,'Resumo Operacional'!$A$1:$P$1,0)),
IF($H465="GIROSSOL II e III",AP465/INDEX('Resumo Operacional'!$A$1:$P$1103,17,MATCH('Detalhe Por UC'!$R465,'Resumo Operacional'!$A$1:$P$1,0)),
""))</f>
        <v>4.8855746978657749E-3</v>
      </c>
      <c r="U465" s="113" t="str">
        <f>IF($H465="GIROSSOL III",AP465/INDEX('Resumo Operacional'!$A$1:$P$1103,53,MATCH('Detalhe Por UC'!$R465,'Resumo Operacional'!$A$1:$P$1,0)),
IF($H465="GIROSSOL II e III",AP465/INDEX('Resumo Operacional'!$A$1:$P$1103,53,MATCH('Detalhe Por UC'!$R465,'Resumo Operacional'!$A$1:$P$1,0)),
""))</f>
        <v/>
      </c>
      <c r="V465" s="45"/>
      <c r="X465" s="18">
        <v>1.1418691371285357</v>
      </c>
      <c r="Y465" s="18">
        <v>0</v>
      </c>
      <c r="Z465" s="18">
        <v>1.1083449896812656</v>
      </c>
      <c r="AA465" s="18">
        <v>0</v>
      </c>
      <c r="AB465" s="143">
        <v>285</v>
      </c>
      <c r="AC465" s="143">
        <v>0</v>
      </c>
      <c r="AD465" s="143">
        <v>89</v>
      </c>
      <c r="AE465" s="35"/>
      <c r="AF465" s="143">
        <v>0</v>
      </c>
      <c r="AG465" s="143">
        <v>0</v>
      </c>
      <c r="AH465" s="48">
        <v>1.8</v>
      </c>
      <c r="AI465" s="143">
        <v>0</v>
      </c>
      <c r="AJ465" s="143">
        <v>0</v>
      </c>
      <c r="AN465" s="71">
        <f t="shared" si="268"/>
        <v>-51</v>
      </c>
      <c r="AO465" s="71">
        <f t="shared" si="269"/>
        <v>0</v>
      </c>
      <c r="AP465" s="71">
        <f t="shared" si="270"/>
        <v>38</v>
      </c>
      <c r="AQ465" s="72">
        <f>IF(OR($H465="GIROSSOL II",$H465="GIROSSOL II e III"),INDEX('Resumo Operacional'!$A$1:$P$1103,MATCH("Energia Injetada prevista total Fatura da Usina (TUSD)",'Resumo Operacional'!$B$1:$B$1103,0),MATCH('Detalhe Por UC'!$R465,'Resumo Operacional'!$A$1:$P$1,0))*$S465,INDEX('Resumo Operacional'!$A$1:$P$1103,53,MATCH('Detalhe Por UC'!$R465,'Resumo Operacional'!$A$1:$P$1,0))*$S465)</f>
        <v>38.89</v>
      </c>
      <c r="AR465" s="71">
        <f t="shared" si="271"/>
        <v>-0.89000000000000057</v>
      </c>
      <c r="AS465" s="73">
        <f t="shared" si="272"/>
        <v>228.59000000000003</v>
      </c>
      <c r="AT465" s="74">
        <f t="shared" si="273"/>
        <v>228.59000000000003</v>
      </c>
      <c r="AU465" s="74">
        <f t="shared" si="274"/>
        <v>1.0748208422339955</v>
      </c>
      <c r="AV465" s="74">
        <f t="shared" si="275"/>
        <v>73.982028061224483</v>
      </c>
      <c r="AW465" s="74">
        <f t="shared" si="276"/>
        <v>0</v>
      </c>
      <c r="AX465" s="74">
        <f t="shared" si="277"/>
        <v>98.642704081632644</v>
      </c>
      <c r="AY465" s="74">
        <f t="shared" si="278"/>
        <v>73.98</v>
      </c>
      <c r="AZ465" s="49">
        <v>73.98</v>
      </c>
      <c r="BA465" s="136">
        <f>73.98+98.64</f>
        <v>172.62</v>
      </c>
      <c r="BB465" s="136">
        <v>172.62</v>
      </c>
      <c r="BC465" s="73" t="str">
        <f t="shared" si="279"/>
        <v/>
      </c>
      <c r="BD465" s="73">
        <f t="shared" si="280"/>
        <v>327.23270408163268</v>
      </c>
      <c r="BE465" s="73">
        <f t="shared" si="281"/>
        <v>302.5720280612245</v>
      </c>
      <c r="BF465" s="77">
        <f t="shared" si="282"/>
        <v>24.66</v>
      </c>
      <c r="BG465" s="77">
        <f t="shared" si="283"/>
        <v>7.3979999999999997</v>
      </c>
      <c r="BH465" s="77">
        <f t="shared" si="284"/>
        <v>98.64270408163263</v>
      </c>
      <c r="BI465" s="78">
        <f t="shared" si="285"/>
        <v>0.25</v>
      </c>
      <c r="BJ465" s="79">
        <f t="shared" si="286"/>
        <v>7.5359215910914046E-2</v>
      </c>
      <c r="BK465" s="80">
        <f t="shared" si="287"/>
        <v>302.57000000000005</v>
      </c>
      <c r="BL465" s="80">
        <f t="shared" si="288"/>
        <v>24.662704081632626</v>
      </c>
      <c r="BM465" s="79">
        <f t="shared" si="289"/>
        <v>7.5367479393136011E-2</v>
      </c>
      <c r="BN465" s="81">
        <f t="shared" si="290"/>
        <v>0.83123595505617986</v>
      </c>
      <c r="BO465" s="82">
        <f t="shared" si="291"/>
        <v>73.98</v>
      </c>
      <c r="BP465" s="81">
        <f t="shared" si="292"/>
        <v>0.83123595505617986</v>
      </c>
      <c r="BQ465" s="81">
        <f t="shared" si="293"/>
        <v>0.86476010250344992</v>
      </c>
      <c r="BR465" s="81">
        <f t="shared" si="294"/>
        <v>1.1418691371285357</v>
      </c>
      <c r="BS465" s="82">
        <f t="shared" si="295"/>
        <v>89</v>
      </c>
      <c r="BT465" s="82">
        <f t="shared" si="296"/>
        <v>101.62635320443967</v>
      </c>
      <c r="BU465" s="82">
        <f t="shared" si="297"/>
        <v>98.642704081632644</v>
      </c>
      <c r="BW465" s="82">
        <f>IFERROR(INDEX('Infos Clientes'!$T:$T,MATCH('Detalhe Por UC'!$C465,'Infos Clientes'!B:B,0)),"")</f>
        <v>147.33333333333334</v>
      </c>
      <c r="BX465" s="83">
        <f t="shared" si="298"/>
        <v>0</v>
      </c>
      <c r="BY465" s="84">
        <f t="shared" si="299"/>
        <v>0.24268020354936057</v>
      </c>
      <c r="BZ465" s="85">
        <f>IF(_xlfn.MINIFS('Detalhe Por UC'!R:R,'Detalhe Por UC'!C:C,C465,'Detalhe Por UC'!AD:AD,"&gt;"&amp;0)=0,"",_xlfn.MINIFS('Detalhe Por UC'!R:R,'Detalhe Por UC'!C:C,C465,'Detalhe Por UC'!AD:AD,"&gt;"&amp;0))</f>
        <v>45627</v>
      </c>
      <c r="CA465" s="114">
        <f ca="1">IF(OR(S465&gt;0,AD465&gt;0),IFERROR(
SUMIFS(INDIRECT("'Infos Clientes'!$W"&amp;INDEX('Infos Clientes'!$C:$C,MATCH(C465,'Infos Clientes'!$H:$H,0))&amp;":$CZ"&amp;INDEX('Infos Clientes'!$C:$C,MATCH(C465,'Infos Clientes'!$H:$H,0))),'Infos Clientes'!$W$2:$CZ$2,"&gt;"&amp;$R465-365,'Infos Clientes'!$W$2:$CZ$2,"&lt;="&amp;$R465)/
COUNTIFS(INDIRECT("'Infos Clientes'!$W"&amp;INDEX('Infos Clientes'!$C:$C,MATCH(C465,'Infos Clientes'!$H:$H,0))&amp;":$CZ"&amp;INDEX('Infos Clientes'!$C:$C,MATCH(C465,'Infos Clientes'!$H:$H,0))),"&gt;="&amp;0,'Infos Clientes'!$W$2:$CZ$2,"&gt;"&amp;$R465-365,'Infos Clientes'!$W$2:$CZ$2,"&lt;="&amp;$R465),""),"")</f>
        <v>175.91666666666666</v>
      </c>
      <c r="CB465" s="87">
        <f>VLOOKUP(C465,'Infos Clientes'!B:L,11,0)</f>
        <v>0</v>
      </c>
      <c r="CC465" s="88" t="str">
        <f t="shared" si="300"/>
        <v>A Unidade Consumidora 10/452884-0 economizou R$24,66 na fatura referente à mai/2025  consumindo 89 kWh em créditos de energia renovável conforme fatura de energia. A economia foi de 25% em relação ao que seria pago para a Energisa considerando os créditos consumidos. Atenção: Mantenha as contas da Energisa em dia para evitar cortes.</v>
      </c>
      <c r="CD465" s="40" t="s">
        <v>249</v>
      </c>
      <c r="CE465" s="18">
        <v>228.59</v>
      </c>
      <c r="CF465" s="115">
        <f t="shared" si="301"/>
        <v>0</v>
      </c>
      <c r="CG465" t="s">
        <v>359</v>
      </c>
    </row>
    <row r="466" spans="1:85" ht="16.2" hidden="1" customHeight="1" x14ac:dyDescent="0.3">
      <c r="A466" s="105" t="str">
        <f>INDEX('Infos Clientes'!$D:$D,MATCH('Detalhe Por UC'!C466,'Infos Clientes'!B:B,0))</f>
        <v>IGREJA DO EVANGELHO QUADRANGULAR</v>
      </c>
      <c r="B466" s="106" t="str">
        <f>INDEX('Infos Clientes'!$F:$F,MATCH('Detalhe Por UC'!C466,'Infos Clientes'!B:B,0))</f>
        <v>62.955.505/8921-14</v>
      </c>
      <c r="C466" s="44" t="s">
        <v>29</v>
      </c>
      <c r="D466" t="s">
        <v>351</v>
      </c>
      <c r="E466" s="1" t="s">
        <v>352</v>
      </c>
      <c r="F466" s="56" t="str">
        <f>INDEX('Infos Clientes'!$I:$I,MATCH('Detalhe Por UC'!C466,'Infos Clientes'!B:B,0))</f>
        <v>BT</v>
      </c>
      <c r="G466" s="56" t="str">
        <f>INDEX('Infos Clientes'!$J:$J,MATCH('Detalhe Por UC'!C466,'Infos Clientes'!B:B,0))</f>
        <v>trifasico</v>
      </c>
      <c r="H466" s="108" t="s">
        <v>24</v>
      </c>
      <c r="I466" s="58">
        <f>IFERROR(VLOOKUP(C466,'Infos Clientes'!B:E,4,),"")</f>
        <v>362</v>
      </c>
      <c r="J466" s="109">
        <v>0.25</v>
      </c>
      <c r="K466" s="59">
        <f>INDEX('Infos Clientes'!$M:$M,MATCH('Detalhe Por UC'!C466,'Infos Clientes'!B:B,0))</f>
        <v>0.25</v>
      </c>
      <c r="L466" s="125">
        <v>0</v>
      </c>
      <c r="M466" s="56">
        <f>INDEX('Infos Clientes'!$N:$N,MATCH('Detalhe Por UC'!C466,'Infos Clientes'!B:B,0))</f>
        <v>0</v>
      </c>
      <c r="N466" s="56">
        <f t="shared" si="266"/>
        <v>0</v>
      </c>
      <c r="O466" s="56">
        <f t="shared" si="267"/>
        <v>12</v>
      </c>
      <c r="P466" s="56">
        <f t="shared" si="302"/>
        <v>0</v>
      </c>
      <c r="Q466" s="61">
        <f>IFERROR(IFERROR(INDEX('Infos Clientes'!$A$2:$V$9884,MATCH($C466,'Infos Clientes'!$B$2:$B$9884,0),MATCH(Q$8,'Infos Clientes'!$A$2:$V$2,0)),"")
+IF(OR(INDEX('Infos Clientes'!$A$2:$V$9884,MATCH($C466,'Infos Clientes'!$B$2:$B$9884,0),MATCH("Tempo de Fidelidade (meses)",'Infos Clientes'!$A$2:$V$2,0))=0,R466&gt;=MAX(R:R)),0,
ROUND((MAX(R:R)-R466)/(365/12),0)),"")</f>
        <v>0</v>
      </c>
      <c r="R466" s="111">
        <v>45778</v>
      </c>
      <c r="S466" s="17">
        <v>5.0000000000000001E-3</v>
      </c>
      <c r="T466" s="113">
        <f>IF($H466="GIROSSOL II",AP466/INDEX('Resumo Operacional'!$A$1:$P$1103,17,MATCH('Detalhe Por UC'!$R466,'Resumo Operacional'!$A$1:$P$1,0)),
IF($H466="GIROSSOL II e III",AP466/INDEX('Resumo Operacional'!$A$1:$P$1103,17,MATCH('Detalhe Por UC'!$R466,'Resumo Operacional'!$A$1:$P$1,0)),
""))</f>
        <v>4.8855746978657749E-3</v>
      </c>
      <c r="U466" s="113" t="str">
        <f>IF($H466="GIROSSOL III",AP466/INDEX('Resumo Operacional'!$A$1:$P$1103,53,MATCH('Detalhe Por UC'!$R466,'Resumo Operacional'!$A$1:$P$1,0)),
IF($H466="GIROSSOL II e III",AP466/INDEX('Resumo Operacional'!$A$1:$P$1103,53,MATCH('Detalhe Por UC'!$R466,'Resumo Operacional'!$A$1:$P$1,0)),
""))</f>
        <v/>
      </c>
      <c r="V466" s="45"/>
      <c r="X466" s="18">
        <v>1.1411686274509805</v>
      </c>
      <c r="Y466" s="18">
        <v>0</v>
      </c>
      <c r="Z466" s="18">
        <v>1.1411094339622643</v>
      </c>
      <c r="AA466" s="18">
        <v>0</v>
      </c>
      <c r="AB466" s="143">
        <v>153</v>
      </c>
      <c r="AC466" s="143">
        <v>0</v>
      </c>
      <c r="AD466" s="143">
        <v>53</v>
      </c>
      <c r="AE466" s="35"/>
      <c r="AF466" s="143">
        <v>499</v>
      </c>
      <c r="AG466" s="143">
        <v>0</v>
      </c>
      <c r="AH466" s="48">
        <v>83.17</v>
      </c>
      <c r="AI466" s="143">
        <v>0</v>
      </c>
      <c r="AJ466" s="143">
        <v>0</v>
      </c>
      <c r="AN466" s="71">
        <f t="shared" si="268"/>
        <v>-15</v>
      </c>
      <c r="AO466" s="71">
        <f t="shared" si="269"/>
        <v>0</v>
      </c>
      <c r="AP466" s="71">
        <f t="shared" si="270"/>
        <v>38</v>
      </c>
      <c r="AQ466" s="72">
        <f>IF(OR($H466="GIROSSOL II",$H466="GIROSSOL II e III"),INDEX('Resumo Operacional'!$A$1:$P$1103,MATCH("Energia Injetada prevista total Fatura da Usina (TUSD)",'Resumo Operacional'!$B$1:$B$1103,0),MATCH('Detalhe Por UC'!$R466,'Resumo Operacional'!$A$1:$P$1,0))*$S466,INDEX('Resumo Operacional'!$A$1:$P$1103,53,MATCH('Detalhe Por UC'!$R466,'Resumo Operacional'!$A$1:$P$1,0))*$S466)</f>
        <v>38.89</v>
      </c>
      <c r="AR466" s="71">
        <f t="shared" si="271"/>
        <v>-0.89000000000000057</v>
      </c>
      <c r="AS466" s="73">
        <f t="shared" si="272"/>
        <v>197.29000000000002</v>
      </c>
      <c r="AT466" s="74">
        <f t="shared" si="273"/>
        <v>197.29000000000002</v>
      </c>
      <c r="AU466" s="74">
        <f t="shared" si="274"/>
        <v>1.1410502404735481</v>
      </c>
      <c r="AV466" s="74">
        <f t="shared" si="275"/>
        <v>45.359100000000005</v>
      </c>
      <c r="AW466" s="74">
        <f t="shared" si="276"/>
        <v>0</v>
      </c>
      <c r="AX466" s="74">
        <f t="shared" si="277"/>
        <v>60.478800000000007</v>
      </c>
      <c r="AY466" s="74">
        <f t="shared" si="278"/>
        <v>45.36</v>
      </c>
      <c r="AZ466" s="49">
        <v>45.36</v>
      </c>
      <c r="BA466" s="49">
        <v>45.36</v>
      </c>
      <c r="BB466" s="117">
        <v>45.36</v>
      </c>
      <c r="BC466" s="73" t="str">
        <f t="shared" si="279"/>
        <v/>
      </c>
      <c r="BD466" s="73">
        <f t="shared" si="280"/>
        <v>257.7688</v>
      </c>
      <c r="BE466" s="73">
        <f t="shared" si="281"/>
        <v>242.64910000000003</v>
      </c>
      <c r="BF466" s="77">
        <f t="shared" si="282"/>
        <v>15.12</v>
      </c>
      <c r="BG466" s="77">
        <f t="shared" si="283"/>
        <v>4.5359999999999996</v>
      </c>
      <c r="BH466" s="77">
        <f t="shared" si="284"/>
        <v>60.478800000000007</v>
      </c>
      <c r="BI466" s="78">
        <f t="shared" si="285"/>
        <v>0.25</v>
      </c>
      <c r="BJ466" s="79">
        <f t="shared" si="286"/>
        <v>5.8657215303015722E-2</v>
      </c>
      <c r="BK466" s="80">
        <f t="shared" si="287"/>
        <v>242.65000000000003</v>
      </c>
      <c r="BL466" s="80">
        <f t="shared" si="288"/>
        <v>15.118799999999965</v>
      </c>
      <c r="BM466" s="79">
        <f t="shared" si="289"/>
        <v>5.865255996846773E-2</v>
      </c>
      <c r="BN466" s="81">
        <f t="shared" si="290"/>
        <v>0.85584905660377353</v>
      </c>
      <c r="BO466" s="82">
        <f t="shared" si="291"/>
        <v>45.36</v>
      </c>
      <c r="BP466" s="81">
        <f t="shared" si="292"/>
        <v>0.85584905660377353</v>
      </c>
      <c r="BQ466" s="81">
        <f t="shared" si="293"/>
        <v>0.85590825009248972</v>
      </c>
      <c r="BR466" s="81">
        <f t="shared" si="294"/>
        <v>1.1411686274509805</v>
      </c>
      <c r="BS466" s="82">
        <f t="shared" si="295"/>
        <v>53</v>
      </c>
      <c r="BT466" s="82">
        <f t="shared" si="296"/>
        <v>60.481937254901965</v>
      </c>
      <c r="BU466" s="82">
        <f t="shared" si="297"/>
        <v>60.478800000000007</v>
      </c>
      <c r="BW466" s="82">
        <f>IFERROR(INDEX('Infos Clientes'!$T:$T,MATCH('Detalhe Por UC'!$C466,'Infos Clientes'!B:B,0)),"")</f>
        <v>178.41666666666666</v>
      </c>
      <c r="BX466" s="83">
        <f t="shared" si="298"/>
        <v>0</v>
      </c>
      <c r="BY466" s="84">
        <f t="shared" si="299"/>
        <v>0.2499721517894114</v>
      </c>
      <c r="BZ466" s="85">
        <f>IF(_xlfn.MINIFS('Detalhe Por UC'!R:R,'Detalhe Por UC'!C:C,C466,'Detalhe Por UC'!AD:AD,"&gt;"&amp;0)=0,"",_xlfn.MINIFS('Detalhe Por UC'!R:R,'Detalhe Por UC'!C:C,C466,'Detalhe Por UC'!AD:AD,"&gt;"&amp;0))</f>
        <v>45627</v>
      </c>
      <c r="CA466" s="114">
        <f ca="1">IF(OR(S466&gt;0,AD466&gt;0),IFERROR(
SUMIFS(INDIRECT("'Infos Clientes'!$W"&amp;INDEX('Infos Clientes'!$C:$C,MATCH(C466,'Infos Clientes'!$H:$H,0))&amp;":$CZ"&amp;INDEX('Infos Clientes'!$C:$C,MATCH(C466,'Infos Clientes'!$H:$H,0))),'Infos Clientes'!$W$2:$CZ$2,"&gt;"&amp;$R466-365,'Infos Clientes'!$W$2:$CZ$2,"&lt;="&amp;$R466)/
COUNTIFS(INDIRECT("'Infos Clientes'!$W"&amp;INDEX('Infos Clientes'!$C:$C,MATCH(C466,'Infos Clientes'!$H:$H,0))&amp;":$CZ"&amp;INDEX('Infos Clientes'!$C:$C,MATCH(C466,'Infos Clientes'!$H:$H,0))),"&gt;="&amp;0,'Infos Clientes'!$W$2:$CZ$2,"&gt;"&amp;$R466-365,'Infos Clientes'!$W$2:$CZ$2,"&lt;="&amp;$R466),""),"")</f>
        <v>174.91666666666666</v>
      </c>
      <c r="CB466" s="87">
        <f>VLOOKUP(C466,'Infos Clientes'!B:L,11,0)</f>
        <v>0</v>
      </c>
      <c r="CC466" s="88" t="str">
        <f t="shared" si="300"/>
        <v>A Unidade Consumidora 10/1117293-9 economizou R$15,12 na fatura referente à mai/2025  consumindo 53 kWh em créditos de energia renovável conforme fatura de energia. A economia foi de 25% em relação ao que seria pago para a Energisa considerando os créditos consumidos. Atenção: Mantenha as contas da Energisa em dia para evitar cortes.</v>
      </c>
      <c r="CD466" s="40" t="s">
        <v>31</v>
      </c>
      <c r="CE466" s="18">
        <v>197.29</v>
      </c>
      <c r="CF466" s="115">
        <f t="shared" si="301"/>
        <v>0</v>
      </c>
      <c r="CG466" t="s">
        <v>359</v>
      </c>
    </row>
    <row r="467" spans="1:85" ht="16.2" hidden="1" customHeight="1" x14ac:dyDescent="0.3">
      <c r="A467" s="105" t="str">
        <f>INDEX('Infos Clientes'!$D:$D,MATCH('Detalhe Por UC'!C467,'Infos Clientes'!B:B,0))</f>
        <v>IGREJA DO EVANGELHO QUADRANGULAR</v>
      </c>
      <c r="B467" s="106" t="str">
        <f>INDEX('Infos Clientes'!$F:$F,MATCH('Detalhe Por UC'!C467,'Infos Clientes'!B:B,0))</f>
        <v>62.955.505/2730-58</v>
      </c>
      <c r="C467" s="44" t="s">
        <v>108</v>
      </c>
      <c r="D467" t="s">
        <v>351</v>
      </c>
      <c r="E467" s="1" t="s">
        <v>352</v>
      </c>
      <c r="F467" s="56" t="str">
        <f>INDEX('Infos Clientes'!$I:$I,MATCH('Detalhe Por UC'!C467,'Infos Clientes'!B:B,0))</f>
        <v>BT</v>
      </c>
      <c r="G467" s="56" t="str">
        <f>INDEX('Infos Clientes'!$J:$J,MATCH('Detalhe Por UC'!C467,'Infos Clientes'!B:B,0))</f>
        <v>trifasico</v>
      </c>
      <c r="H467" s="108" t="s">
        <v>24</v>
      </c>
      <c r="I467" s="58">
        <f>IFERROR(VLOOKUP(C467,'Infos Clientes'!B:E,4,),"")</f>
        <v>306</v>
      </c>
      <c r="J467" s="109">
        <v>0.25</v>
      </c>
      <c r="K467" s="59">
        <f>INDEX('Infos Clientes'!$M:$M,MATCH('Detalhe Por UC'!C467,'Infos Clientes'!B:B,0))</f>
        <v>0.25</v>
      </c>
      <c r="L467" s="125">
        <v>0</v>
      </c>
      <c r="M467" s="56">
        <f>INDEX('Infos Clientes'!$N:$N,MATCH('Detalhe Por UC'!C467,'Infos Clientes'!B:B,0))</f>
        <v>0</v>
      </c>
      <c r="N467" s="56">
        <f t="shared" si="266"/>
        <v>0</v>
      </c>
      <c r="O467" s="56">
        <f t="shared" si="267"/>
        <v>12</v>
      </c>
      <c r="P467" s="56">
        <f t="shared" si="302"/>
        <v>0</v>
      </c>
      <c r="Q467" s="61">
        <f>IFERROR(IFERROR(INDEX('Infos Clientes'!$A$2:$V$9884,MATCH($C467,'Infos Clientes'!$B$2:$B$9884,0),MATCH(Q$8,'Infos Clientes'!$A$2:$V$2,0)),"")
+IF(OR(INDEX('Infos Clientes'!$A$2:$V$9884,MATCH($C467,'Infos Clientes'!$B$2:$B$9884,0),MATCH("Tempo de Fidelidade (meses)",'Infos Clientes'!$A$2:$V$2,0))=0,R467&gt;=MAX(R:R)),0,
ROUND((MAX(R:R)-R467)/(365/12),0)),"")</f>
        <v>0</v>
      </c>
      <c r="R467" s="111">
        <v>45778</v>
      </c>
      <c r="S467" s="17">
        <v>6.0000000000000001E-3</v>
      </c>
      <c r="T467" s="113">
        <f>IF($H467="GIROSSOL II",AP467/INDEX('Resumo Operacional'!$A$1:$P$1103,17,MATCH('Detalhe Por UC'!$R467,'Resumo Operacional'!$A$1:$P$1,0)),
IF($H467="GIROSSOL II e III",AP467/INDEX('Resumo Operacional'!$A$1:$P$1103,17,MATCH('Detalhe Por UC'!$R467,'Resumo Operacional'!$A$1:$P$1,0)),
""))</f>
        <v>8.3569040884546152E-3</v>
      </c>
      <c r="U467" s="113" t="str">
        <f>IF($H467="GIROSSOL III",AP467/INDEX('Resumo Operacional'!$A$1:$P$1103,53,MATCH('Detalhe Por UC'!$R467,'Resumo Operacional'!$A$1:$P$1,0)),
IF($H467="GIROSSOL II e III",AP467/INDEX('Resumo Operacional'!$A$1:$P$1103,53,MATCH('Detalhe Por UC'!$R467,'Resumo Operacional'!$A$1:$P$1,0)),
""))</f>
        <v/>
      </c>
      <c r="V467" s="45"/>
      <c r="X467" s="18">
        <v>1.1279171348314607</v>
      </c>
      <c r="Y467" s="18">
        <v>0</v>
      </c>
      <c r="Z467" s="18">
        <v>1.0624510752288117</v>
      </c>
      <c r="AA467" s="18">
        <v>0</v>
      </c>
      <c r="AB467" s="143">
        <v>240</v>
      </c>
      <c r="AC467" s="143">
        <v>0</v>
      </c>
      <c r="AD467" s="143">
        <v>151</v>
      </c>
      <c r="AE467" s="35"/>
      <c r="AF467" s="143">
        <v>396</v>
      </c>
      <c r="AG467" s="143">
        <v>0</v>
      </c>
      <c r="AH467" s="48">
        <v>0</v>
      </c>
      <c r="AI467" s="143">
        <v>0</v>
      </c>
      <c r="AJ467" s="143">
        <v>0</v>
      </c>
      <c r="AN467" s="71">
        <f t="shared" si="268"/>
        <v>-86</v>
      </c>
      <c r="AO467" s="71">
        <f t="shared" si="269"/>
        <v>0</v>
      </c>
      <c r="AP467" s="71">
        <f t="shared" si="270"/>
        <v>65</v>
      </c>
      <c r="AQ467" s="72">
        <f>IF(OR($H467="GIROSSOL II",$H467="GIROSSOL II e III"),INDEX('Resumo Operacional'!$A$1:$P$1103,MATCH("Energia Injetada prevista total Fatura da Usina (TUSD)",'Resumo Operacional'!$B$1:$B$1103,0),MATCH('Detalhe Por UC'!$R467,'Resumo Operacional'!$A$1:$P$1,0))*$S467,INDEX('Resumo Operacional'!$A$1:$P$1103,53,MATCH('Detalhe Por UC'!$R467,'Resumo Operacional'!$A$1:$P$1,0))*$S467)</f>
        <v>46.667999999999999</v>
      </c>
      <c r="AR467" s="71">
        <f t="shared" si="271"/>
        <v>18.332000000000001</v>
      </c>
      <c r="AS467" s="73">
        <f t="shared" si="272"/>
        <v>110.27000000000004</v>
      </c>
      <c r="AT467" s="74">
        <f t="shared" si="273"/>
        <v>110.27000000000004</v>
      </c>
      <c r="AU467" s="74">
        <f t="shared" si="274"/>
        <v>0.9969850156261626</v>
      </c>
      <c r="AV467" s="74">
        <f t="shared" si="275"/>
        <v>120.32258426966291</v>
      </c>
      <c r="AW467" s="74">
        <f t="shared" si="276"/>
        <v>0</v>
      </c>
      <c r="AX467" s="74">
        <f t="shared" si="277"/>
        <v>160.43011235955055</v>
      </c>
      <c r="AY467" s="74">
        <f t="shared" si="278"/>
        <v>120.32</v>
      </c>
      <c r="AZ467" s="49">
        <v>120.32</v>
      </c>
      <c r="BA467" s="49">
        <v>120.32</v>
      </c>
      <c r="BB467" s="117">
        <v>120.32</v>
      </c>
      <c r="BC467" s="73" t="str">
        <f t="shared" si="279"/>
        <v/>
      </c>
      <c r="BD467" s="73">
        <f t="shared" si="280"/>
        <v>270.70011235955059</v>
      </c>
      <c r="BE467" s="73">
        <f t="shared" si="281"/>
        <v>230.59258426966295</v>
      </c>
      <c r="BF467" s="77">
        <f t="shared" si="282"/>
        <v>40.11</v>
      </c>
      <c r="BG467" s="77">
        <f t="shared" si="283"/>
        <v>12.032999999999999</v>
      </c>
      <c r="BH467" s="77">
        <f t="shared" si="284"/>
        <v>160.43011235955055</v>
      </c>
      <c r="BI467" s="78">
        <f t="shared" si="285"/>
        <v>0.25</v>
      </c>
      <c r="BJ467" s="79">
        <f t="shared" si="286"/>
        <v>0.14817134596059903</v>
      </c>
      <c r="BK467" s="80">
        <f t="shared" si="287"/>
        <v>230.59000000000003</v>
      </c>
      <c r="BL467" s="80">
        <f t="shared" si="288"/>
        <v>40.110112359550556</v>
      </c>
      <c r="BM467" s="79">
        <f t="shared" si="289"/>
        <v>0.1481717610308019</v>
      </c>
      <c r="BN467" s="81">
        <f t="shared" si="290"/>
        <v>0.79682119205298008</v>
      </c>
      <c r="BO467" s="82">
        <f t="shared" si="291"/>
        <v>120.32</v>
      </c>
      <c r="BP467" s="81">
        <f t="shared" si="292"/>
        <v>0.79682119205298008</v>
      </c>
      <c r="BQ467" s="81">
        <f t="shared" si="293"/>
        <v>0.86228725165562914</v>
      </c>
      <c r="BR467" s="81">
        <f t="shared" si="294"/>
        <v>1.1279171348314607</v>
      </c>
      <c r="BS467" s="82">
        <f t="shared" si="295"/>
        <v>151</v>
      </c>
      <c r="BT467" s="82">
        <f t="shared" si="296"/>
        <v>170.31548735955056</v>
      </c>
      <c r="BU467" s="82">
        <f t="shared" si="297"/>
        <v>160.43011235955055</v>
      </c>
      <c r="BW467" s="82">
        <f>IFERROR(INDEX('Infos Clientes'!$T:$T,MATCH('Detalhe Por UC'!$C467,'Infos Clientes'!B:B,0)),"")</f>
        <v>187.5</v>
      </c>
      <c r="BX467" s="83">
        <f t="shared" si="298"/>
        <v>0</v>
      </c>
      <c r="BY467" s="84">
        <f t="shared" si="299"/>
        <v>0.23550478574432102</v>
      </c>
      <c r="BZ467" s="85">
        <f>IF(_xlfn.MINIFS('Detalhe Por UC'!R:R,'Detalhe Por UC'!C:C,C467,'Detalhe Por UC'!AD:AD,"&gt;"&amp;0)=0,"",_xlfn.MINIFS('Detalhe Por UC'!R:R,'Detalhe Por UC'!C:C,C467,'Detalhe Por UC'!AD:AD,"&gt;"&amp;0))</f>
        <v>45627</v>
      </c>
      <c r="CA467" s="114">
        <f ca="1">IF(OR(S467&gt;0,AD467&gt;0),IFERROR(
SUMIFS(INDIRECT("'Infos Clientes'!$W"&amp;INDEX('Infos Clientes'!$C:$C,MATCH(C467,'Infos Clientes'!$H:$H,0))&amp;":$CZ"&amp;INDEX('Infos Clientes'!$C:$C,MATCH(C467,'Infos Clientes'!$H:$H,0))),'Infos Clientes'!$W$2:$CZ$2,"&gt;"&amp;$R467-365,'Infos Clientes'!$W$2:$CZ$2,"&lt;="&amp;$R467)/
COUNTIFS(INDIRECT("'Infos Clientes'!$W"&amp;INDEX('Infos Clientes'!$C:$C,MATCH(C467,'Infos Clientes'!$H:$H,0))&amp;":$CZ"&amp;INDEX('Infos Clientes'!$C:$C,MATCH(C467,'Infos Clientes'!$H:$H,0))),"&gt;="&amp;0,'Infos Clientes'!$W$2:$CZ$2,"&gt;"&amp;$R467-365,'Infos Clientes'!$W$2:$CZ$2,"&lt;="&amp;$R467),""),"")</f>
        <v>190</v>
      </c>
      <c r="CB467" s="87">
        <f>VLOOKUP(C467,'Infos Clientes'!B:L,11,0)</f>
        <v>0</v>
      </c>
      <c r="CC467" s="88" t="str">
        <f t="shared" si="300"/>
        <v>A Unidade Consumidora 10/501586-2 economizou R$40,11 na fatura referente à mai/2025  consumindo 151 kWh em créditos de energia renovável conforme fatura de energia. A economia foi de 25% em relação ao que seria pago para a Energisa considerando os créditos consumidos. Atenção: Mantenha as contas da Energisa em dia para evitar cortes.</v>
      </c>
      <c r="CD467" s="40" t="s">
        <v>249</v>
      </c>
      <c r="CE467" s="18">
        <v>110.27</v>
      </c>
      <c r="CF467" s="115">
        <f t="shared" si="301"/>
        <v>0</v>
      </c>
      <c r="CG467" t="s">
        <v>357</v>
      </c>
    </row>
    <row r="468" spans="1:85" ht="16.2" hidden="1" customHeight="1" x14ac:dyDescent="0.3">
      <c r="A468" s="105" t="str">
        <f>INDEX('Infos Clientes'!$D:$D,MATCH('Detalhe Por UC'!C468,'Infos Clientes'!B:B,0))</f>
        <v>IGREJA DO EVANGELHO QUADRANGULAR</v>
      </c>
      <c r="B468" s="106" t="str">
        <f>INDEX('Infos Clientes'!$F:$F,MATCH('Detalhe Por UC'!C468,'Infos Clientes'!B:B,0))</f>
        <v>62.955.505/1973-60</v>
      </c>
      <c r="C468" s="44" t="s">
        <v>51</v>
      </c>
      <c r="D468" t="s">
        <v>351</v>
      </c>
      <c r="E468" s="1" t="s">
        <v>352</v>
      </c>
      <c r="F468" s="56" t="str">
        <f>INDEX('Infos Clientes'!$I:$I,MATCH('Detalhe Por UC'!C468,'Infos Clientes'!B:B,0))</f>
        <v>BT</v>
      </c>
      <c r="G468" s="56" t="str">
        <f>INDEX('Infos Clientes'!$J:$J,MATCH('Detalhe Por UC'!C468,'Infos Clientes'!B:B,0))</f>
        <v>trifasico</v>
      </c>
      <c r="H468" s="108" t="s">
        <v>24</v>
      </c>
      <c r="I468" s="58">
        <f>IFERROR(VLOOKUP(C468,'Infos Clientes'!B:E,4,),"")</f>
        <v>360</v>
      </c>
      <c r="J468" s="109">
        <v>0.25</v>
      </c>
      <c r="K468" s="59">
        <f>INDEX('Infos Clientes'!$M:$M,MATCH('Detalhe Por UC'!C468,'Infos Clientes'!B:B,0))</f>
        <v>0.25</v>
      </c>
      <c r="L468" s="125">
        <v>0</v>
      </c>
      <c r="M468" s="56">
        <f>INDEX('Infos Clientes'!$N:$N,MATCH('Detalhe Por UC'!C468,'Infos Clientes'!B:B,0))</f>
        <v>0</v>
      </c>
      <c r="N468" s="56">
        <f t="shared" si="266"/>
        <v>0</v>
      </c>
      <c r="O468" s="56">
        <f t="shared" si="267"/>
        <v>9</v>
      </c>
      <c r="P468" s="56">
        <f t="shared" si="302"/>
        <v>0</v>
      </c>
      <c r="Q468" s="61">
        <f>IFERROR(IFERROR(INDEX('Infos Clientes'!$A$2:$V$9884,MATCH($C468,'Infos Clientes'!$B$2:$B$9884,0),MATCH(Q$8,'Infos Clientes'!$A$2:$V$2,0)),"")
+IF(OR(INDEX('Infos Clientes'!$A$2:$V$9884,MATCH($C468,'Infos Clientes'!$B$2:$B$9884,0),MATCH("Tempo de Fidelidade (meses)",'Infos Clientes'!$A$2:$V$2,0))=0,R468&gt;=MAX(R:R)),0,
ROUND((MAX(R:R)-R468)/(365/12),0)),"")</f>
        <v>0</v>
      </c>
      <c r="R468" s="111">
        <v>45778</v>
      </c>
      <c r="S468" s="17">
        <v>0.01</v>
      </c>
      <c r="T468" s="113">
        <f>IF($H468="GIROSSOL II",AP468/INDEX('Resumo Operacional'!$A$1:$P$1103,17,MATCH('Detalhe Por UC'!$R468,'Resumo Operacional'!$A$1:$P$1,0)),
IF($H468="GIROSSOL II e III",AP468/INDEX('Resumo Operacional'!$A$1:$P$1103,17,MATCH('Detalhe Por UC'!$R468,'Resumo Operacional'!$A$1:$P$1,0)),
""))</f>
        <v>2.39136024685009E-2</v>
      </c>
      <c r="U468" s="113" t="str">
        <f>IF($H468="GIROSSOL III",AP468/INDEX('Resumo Operacional'!$A$1:$P$1103,53,MATCH('Detalhe Por UC'!$R468,'Resumo Operacional'!$A$1:$P$1,0)),
IF($H468="GIROSSOL II e III",AP468/INDEX('Resumo Operacional'!$A$1:$P$1103,53,MATCH('Detalhe Por UC'!$R468,'Resumo Operacional'!$A$1:$P$1,0)),
""))</f>
        <v/>
      </c>
      <c r="V468" s="45"/>
      <c r="X468" s="18">
        <v>1.1341242038216559</v>
      </c>
      <c r="Y468" s="18">
        <v>0</v>
      </c>
      <c r="Z468" s="18">
        <v>1.1340591397849462</v>
      </c>
      <c r="AA468" s="18">
        <v>0</v>
      </c>
      <c r="AB468" s="143">
        <v>314</v>
      </c>
      <c r="AC468" s="143">
        <v>0</v>
      </c>
      <c r="AD468" s="143">
        <v>186</v>
      </c>
      <c r="AE468" s="35"/>
      <c r="AF468" s="143">
        <v>0</v>
      </c>
      <c r="AG468" s="143">
        <v>0</v>
      </c>
      <c r="AH468" s="48">
        <v>77.400000000000006</v>
      </c>
      <c r="AI468" s="143">
        <v>0</v>
      </c>
      <c r="AJ468" s="143">
        <v>0</v>
      </c>
      <c r="AN468" s="71">
        <f t="shared" si="268"/>
        <v>0</v>
      </c>
      <c r="AO468" s="71">
        <f t="shared" si="269"/>
        <v>0</v>
      </c>
      <c r="AP468" s="71">
        <f t="shared" si="270"/>
        <v>186</v>
      </c>
      <c r="AQ468" s="72">
        <f>IF(OR($H468="GIROSSOL II",$H468="GIROSSOL II e III"),INDEX('Resumo Operacional'!$A$1:$P$1103,MATCH("Energia Injetada prevista total Fatura da Usina (TUSD)",'Resumo Operacional'!$B$1:$B$1103,0),MATCH('Detalhe Por UC'!$R468,'Resumo Operacional'!$A$1:$P$1,0))*$S468,INDEX('Resumo Operacional'!$A$1:$P$1103,53,MATCH('Detalhe Por UC'!$R468,'Resumo Operacional'!$A$1:$P$1,0))*$S468)</f>
        <v>77.78</v>
      </c>
      <c r="AR468" s="71">
        <f t="shared" si="271"/>
        <v>108.22</v>
      </c>
      <c r="AS468" s="73">
        <f t="shared" si="272"/>
        <v>222.57999999999996</v>
      </c>
      <c r="AT468" s="74">
        <f t="shared" si="273"/>
        <v>222.57999999999996</v>
      </c>
      <c r="AU468" s="74">
        <f t="shared" si="274"/>
        <v>1.1339940757482365</v>
      </c>
      <c r="AV468" s="74">
        <f t="shared" si="275"/>
        <v>158.20125000000002</v>
      </c>
      <c r="AW468" s="74">
        <f t="shared" si="276"/>
        <v>0</v>
      </c>
      <c r="AX468" s="74">
        <f t="shared" si="277"/>
        <v>210.935</v>
      </c>
      <c r="AY468" s="74">
        <f t="shared" si="278"/>
        <v>158.19999999999999</v>
      </c>
      <c r="AZ468" s="49">
        <v>158.19999999999999</v>
      </c>
      <c r="BA468" s="49">
        <v>158.19999999999999</v>
      </c>
      <c r="BC468" s="73" t="str">
        <f t="shared" si="279"/>
        <v/>
      </c>
      <c r="BD468" s="73">
        <f t="shared" si="280"/>
        <v>433.51499999999999</v>
      </c>
      <c r="BE468" s="73">
        <f t="shared" si="281"/>
        <v>380.78125</v>
      </c>
      <c r="BF468" s="77">
        <f t="shared" si="282"/>
        <v>52.73</v>
      </c>
      <c r="BG468" s="77">
        <f t="shared" si="283"/>
        <v>15.818999999999999</v>
      </c>
      <c r="BH468" s="77">
        <f t="shared" si="284"/>
        <v>210.935</v>
      </c>
      <c r="BI468" s="78">
        <f t="shared" si="285"/>
        <v>0.25</v>
      </c>
      <c r="BJ468" s="79">
        <f t="shared" si="286"/>
        <v>0.12163362282735314</v>
      </c>
      <c r="BK468" s="80">
        <f t="shared" si="287"/>
        <v>380.78</v>
      </c>
      <c r="BL468" s="80">
        <f t="shared" si="288"/>
        <v>52.735000000000014</v>
      </c>
      <c r="BM468" s="79">
        <f t="shared" si="289"/>
        <v>0.12164515645364063</v>
      </c>
      <c r="BN468" s="81">
        <f t="shared" si="290"/>
        <v>0.85053763440860208</v>
      </c>
      <c r="BO468" s="82">
        <f t="shared" si="291"/>
        <v>158.19999999999999</v>
      </c>
      <c r="BP468" s="81">
        <f t="shared" si="292"/>
        <v>0.85053763440860208</v>
      </c>
      <c r="BQ468" s="81">
        <f t="shared" si="293"/>
        <v>0.85060269844531178</v>
      </c>
      <c r="BR468" s="81">
        <f t="shared" si="294"/>
        <v>1.1341242038216559</v>
      </c>
      <c r="BS468" s="82">
        <f t="shared" si="295"/>
        <v>186</v>
      </c>
      <c r="BT468" s="82">
        <f t="shared" si="296"/>
        <v>210.947101910828</v>
      </c>
      <c r="BU468" s="82">
        <f t="shared" si="297"/>
        <v>210.935</v>
      </c>
      <c r="BW468" s="82">
        <f>IFERROR(INDEX('Infos Clientes'!$T:$T,MATCH('Detalhe Por UC'!$C468,'Infos Clientes'!B:B,0)),"")</f>
        <v>185.66666666666666</v>
      </c>
      <c r="BX468" s="83">
        <f t="shared" si="298"/>
        <v>0</v>
      </c>
      <c r="BY468" s="84">
        <f t="shared" si="299"/>
        <v>0.24999158330362964</v>
      </c>
      <c r="BZ468" s="85">
        <f>IF(_xlfn.MINIFS('Detalhe Por UC'!R:R,'Detalhe Por UC'!C:C,C468,'Detalhe Por UC'!AD:AD,"&gt;"&amp;0)=0,"",_xlfn.MINIFS('Detalhe Por UC'!R:R,'Detalhe Por UC'!C:C,C468,'Detalhe Por UC'!AD:AD,"&gt;"&amp;0))</f>
        <v>45627</v>
      </c>
      <c r="CA468" s="114">
        <f ca="1">IF(OR(S468&gt;0,AD468&gt;0),IFERROR(
SUMIFS(INDIRECT("'Infos Clientes'!$W"&amp;INDEX('Infos Clientes'!$C:$C,MATCH(C468,'Infos Clientes'!$H:$H,0))&amp;":$CZ"&amp;INDEX('Infos Clientes'!$C:$C,MATCH(C468,'Infos Clientes'!$H:$H,0))),'Infos Clientes'!$W$2:$CZ$2,"&gt;"&amp;$R468-365,'Infos Clientes'!$W$2:$CZ$2,"&lt;="&amp;$R468)/
COUNTIFS(INDIRECT("'Infos Clientes'!$W"&amp;INDEX('Infos Clientes'!$C:$C,MATCH(C468,'Infos Clientes'!$H:$H,0))&amp;":$CZ"&amp;INDEX('Infos Clientes'!$C:$C,MATCH(C468,'Infos Clientes'!$H:$H,0))),"&gt;="&amp;0,'Infos Clientes'!$W$2:$CZ$2,"&gt;"&amp;$R468-365,'Infos Clientes'!$W$2:$CZ$2,"&lt;="&amp;$R468),""),"")</f>
        <v>254.25</v>
      </c>
      <c r="CB468" s="87">
        <f>VLOOKUP(C468,'Infos Clientes'!B:L,11,0)</f>
        <v>0</v>
      </c>
      <c r="CC468" s="88" t="str">
        <f t="shared" si="300"/>
        <v>A Unidade Consumidora 10/162736-3 economizou R$52,73 na fatura referente à mai/2025  consumindo 186 kWh em créditos de energia renovável conforme fatura de energia. A economia foi de 25% em relação ao que seria pago para a Energisa considerando os créditos consumidos. Atenção: Mantenha as contas da Energisa em dia para evitar cortes.</v>
      </c>
      <c r="CD468" s="40" t="s">
        <v>53</v>
      </c>
      <c r="CE468" s="18">
        <v>222.58</v>
      </c>
      <c r="CF468" s="115">
        <f t="shared" si="301"/>
        <v>0</v>
      </c>
      <c r="CG468" t="s">
        <v>358</v>
      </c>
    </row>
    <row r="469" spans="1:85" ht="16.2" hidden="1" customHeight="1" x14ac:dyDescent="0.3">
      <c r="A469" s="105" t="str">
        <f>INDEX('Infos Clientes'!$D:$D,MATCH('Detalhe Por UC'!C469,'Infos Clientes'!B:B,0))</f>
        <v>IGREJA DO EVANGELHO QUADRANGULAR</v>
      </c>
      <c r="B469" s="106" t="str">
        <f>INDEX('Infos Clientes'!$F:$F,MATCH('Detalhe Por UC'!C469,'Infos Clientes'!B:B,0))</f>
        <v>62.955.505/0408-94</v>
      </c>
      <c r="C469" s="44" t="s">
        <v>76</v>
      </c>
      <c r="D469" t="s">
        <v>351</v>
      </c>
      <c r="E469" s="1" t="s">
        <v>352</v>
      </c>
      <c r="F469" s="56" t="str">
        <f>INDEX('Infos Clientes'!$I:$I,MATCH('Detalhe Por UC'!C469,'Infos Clientes'!B:B,0))</f>
        <v>BT</v>
      </c>
      <c r="G469" s="56" t="str">
        <f>INDEX('Infos Clientes'!$J:$J,MATCH('Detalhe Por UC'!C469,'Infos Clientes'!B:B,0))</f>
        <v>bifasico</v>
      </c>
      <c r="H469" s="108" t="s">
        <v>24</v>
      </c>
      <c r="I469" s="58">
        <f>IFERROR(VLOOKUP(C469,'Infos Clientes'!B:E,4,),"")</f>
        <v>371</v>
      </c>
      <c r="J469" s="109">
        <v>0.25</v>
      </c>
      <c r="K469" s="59">
        <f>INDEX('Infos Clientes'!$M:$M,MATCH('Detalhe Por UC'!C469,'Infos Clientes'!B:B,0))</f>
        <v>0.25</v>
      </c>
      <c r="L469" s="125">
        <v>0</v>
      </c>
      <c r="M469" s="56">
        <f>INDEX('Infos Clientes'!$N:$N,MATCH('Detalhe Por UC'!C469,'Infos Clientes'!B:B,0))</f>
        <v>0</v>
      </c>
      <c r="N469" s="56">
        <f t="shared" si="266"/>
        <v>0</v>
      </c>
      <c r="O469" s="56">
        <f t="shared" si="267"/>
        <v>11</v>
      </c>
      <c r="P469" s="56">
        <f t="shared" si="302"/>
        <v>0</v>
      </c>
      <c r="Q469" s="61">
        <f>IFERROR(IFERROR(INDEX('Infos Clientes'!$A$2:$V$9884,MATCH($C469,'Infos Clientes'!$B$2:$B$9884,0),MATCH(Q$8,'Infos Clientes'!$A$2:$V$2,0)),"")
+IF(OR(INDEX('Infos Clientes'!$A$2:$V$9884,MATCH($C469,'Infos Clientes'!$B$2:$B$9884,0),MATCH("Tempo de Fidelidade (meses)",'Infos Clientes'!$A$2:$V$2,0))=0,R469&gt;=MAX(R:R)),0,
ROUND((MAX(R:R)-R469)/(365/12),0)),"")</f>
        <v>0</v>
      </c>
      <c r="R469" s="111">
        <v>45778</v>
      </c>
      <c r="S469" s="17">
        <v>0.01</v>
      </c>
      <c r="T469" s="113">
        <f>IF($H469="GIROSSOL II",AP469/INDEX('Resumo Operacional'!$A$1:$P$1103,17,MATCH('Detalhe Por UC'!$R469,'Resumo Operacional'!$A$1:$P$1,0)),
IF($H469="GIROSSOL II e III",AP469/INDEX('Resumo Operacional'!$A$1:$P$1103,17,MATCH('Detalhe Por UC'!$R469,'Resumo Operacional'!$A$1:$P$1,0)),
""))</f>
        <v>2.39136024685009E-2</v>
      </c>
      <c r="U469" s="113" t="str">
        <f>IF($H469="GIROSSOL III",AP469/INDEX('Resumo Operacional'!$A$1:$P$1103,53,MATCH('Detalhe Por UC'!$R469,'Resumo Operacional'!$A$1:$P$1,0)),
IF($H469="GIROSSOL II e III",AP469/INDEX('Resumo Operacional'!$A$1:$P$1103,53,MATCH('Detalhe Por UC'!$R469,'Resumo Operacional'!$A$1:$P$1,0)),
""))</f>
        <v/>
      </c>
      <c r="V469" s="45"/>
      <c r="X469" s="18">
        <v>1.1341584415584416</v>
      </c>
      <c r="Y469" s="18">
        <v>0</v>
      </c>
      <c r="Z469" s="18">
        <v>1.1340814814814815</v>
      </c>
      <c r="AA469" s="18">
        <v>0</v>
      </c>
      <c r="AB469" s="143">
        <v>77</v>
      </c>
      <c r="AC469" s="143">
        <v>0</v>
      </c>
      <c r="AD469" s="143">
        <v>27</v>
      </c>
      <c r="AE469" s="35"/>
      <c r="AF469" s="143">
        <v>709</v>
      </c>
      <c r="AG469" s="143">
        <v>0</v>
      </c>
      <c r="AH469" s="48">
        <v>0</v>
      </c>
      <c r="AI469" s="143">
        <v>0</v>
      </c>
      <c r="AJ469" s="143">
        <v>0</v>
      </c>
      <c r="AN469" s="71">
        <f t="shared" si="268"/>
        <v>159</v>
      </c>
      <c r="AO469" s="71">
        <f t="shared" si="269"/>
        <v>0</v>
      </c>
      <c r="AP469" s="71">
        <f t="shared" si="270"/>
        <v>186</v>
      </c>
      <c r="AQ469" s="72">
        <f>IF(OR($H469="GIROSSOL II",$H469="GIROSSOL II e III"),INDEX('Resumo Operacional'!$A$1:$P$1103,MATCH("Energia Injetada prevista total Fatura da Usina (TUSD)",'Resumo Operacional'!$B$1:$B$1103,0),MATCH('Detalhe Por UC'!$R469,'Resumo Operacional'!$A$1:$P$1,0))*$S469,INDEX('Resumo Operacional'!$A$1:$P$1103,53,MATCH('Detalhe Por UC'!$R469,'Resumo Operacional'!$A$1:$P$1,0))*$S469)</f>
        <v>77.78</v>
      </c>
      <c r="AR469" s="71">
        <f t="shared" si="271"/>
        <v>108.22</v>
      </c>
      <c r="AS469" s="73">
        <f t="shared" si="272"/>
        <v>56.710000000000008</v>
      </c>
      <c r="AT469" s="74">
        <f t="shared" si="273"/>
        <v>56.710000000000008</v>
      </c>
      <c r="AU469" s="74">
        <f t="shared" si="274"/>
        <v>1.1340045214045213</v>
      </c>
      <c r="AV469" s="74">
        <f t="shared" si="275"/>
        <v>22.965150000000001</v>
      </c>
      <c r="AW469" s="74">
        <f t="shared" si="276"/>
        <v>0</v>
      </c>
      <c r="AX469" s="74">
        <f t="shared" si="277"/>
        <v>30.620200000000001</v>
      </c>
      <c r="AY469" s="74">
        <f t="shared" si="278"/>
        <v>22.97</v>
      </c>
      <c r="AZ469" s="49">
        <v>22.97</v>
      </c>
      <c r="BA469" s="49">
        <v>22.97</v>
      </c>
      <c r="BB469" s="49">
        <v>30.62</v>
      </c>
      <c r="BC469" s="73">
        <f t="shared" si="279"/>
        <v>7.6500000000000021</v>
      </c>
      <c r="BD469" s="73">
        <f t="shared" si="280"/>
        <v>87.330200000000005</v>
      </c>
      <c r="BE469" s="73">
        <f t="shared" si="281"/>
        <v>79.675150000000002</v>
      </c>
      <c r="BF469" s="77">
        <f t="shared" si="282"/>
        <v>7.66</v>
      </c>
      <c r="BG469" s="77">
        <f t="shared" si="283"/>
        <v>2.298</v>
      </c>
      <c r="BH469" s="77">
        <f t="shared" si="284"/>
        <v>30.620200000000001</v>
      </c>
      <c r="BI469" s="78">
        <f t="shared" si="285"/>
        <v>0.25</v>
      </c>
      <c r="BJ469" s="79">
        <f t="shared" si="286"/>
        <v>8.771307062161772E-2</v>
      </c>
      <c r="BK469" s="80">
        <f t="shared" si="287"/>
        <v>79.680000000000007</v>
      </c>
      <c r="BL469" s="80">
        <f t="shared" si="288"/>
        <v>7.6501999999999981</v>
      </c>
      <c r="BM469" s="79">
        <f t="shared" si="289"/>
        <v>8.7600852855026071E-2</v>
      </c>
      <c r="BN469" s="81">
        <f t="shared" si="290"/>
        <v>0.85074074074074069</v>
      </c>
      <c r="BO469" s="82">
        <f t="shared" si="291"/>
        <v>22.97</v>
      </c>
      <c r="BP469" s="81">
        <f t="shared" si="292"/>
        <v>0.85074074074074069</v>
      </c>
      <c r="BQ469" s="81">
        <f t="shared" si="293"/>
        <v>0.85081770081770081</v>
      </c>
      <c r="BR469" s="81">
        <f t="shared" si="294"/>
        <v>1.1341584415584416</v>
      </c>
      <c r="BS469" s="82">
        <f t="shared" si="295"/>
        <v>27</v>
      </c>
      <c r="BT469" s="82">
        <f t="shared" si="296"/>
        <v>30.622277922077924</v>
      </c>
      <c r="BU469" s="82">
        <f t="shared" si="297"/>
        <v>30.620200000000001</v>
      </c>
      <c r="BW469" s="82">
        <f>IFERROR(INDEX('Infos Clientes'!$T:$T,MATCH('Detalhe Por UC'!$C469,'Infos Clientes'!B:B,0)),"")</f>
        <v>157.66666666666666</v>
      </c>
      <c r="BX469" s="83">
        <f t="shared" si="298"/>
        <v>0</v>
      </c>
      <c r="BY469" s="84">
        <f t="shared" si="299"/>
        <v>0.24982465443840779</v>
      </c>
      <c r="BZ469" s="85">
        <f>IF(_xlfn.MINIFS('Detalhe Por UC'!R:R,'Detalhe Por UC'!C:C,C469,'Detalhe Por UC'!AD:AD,"&gt;"&amp;0)=0,"",_xlfn.MINIFS('Detalhe Por UC'!R:R,'Detalhe Por UC'!C:C,C469,'Detalhe Por UC'!AD:AD,"&gt;"&amp;0))</f>
        <v>45627</v>
      </c>
      <c r="CA469" s="114">
        <f ca="1">IF(OR(S469&gt;0,AD469&gt;0),IFERROR(
SUMIFS(INDIRECT("'Infos Clientes'!$W"&amp;INDEX('Infos Clientes'!$C:$C,MATCH(C469,'Infos Clientes'!$H:$H,0))&amp;":$CZ"&amp;INDEX('Infos Clientes'!$C:$C,MATCH(C469,'Infos Clientes'!$H:$H,0))),'Infos Clientes'!$W$2:$CZ$2,"&gt;"&amp;$R469-365,'Infos Clientes'!$W$2:$CZ$2,"&lt;="&amp;$R469)/
COUNTIFS(INDIRECT("'Infos Clientes'!$W"&amp;INDEX('Infos Clientes'!$C:$C,MATCH(C469,'Infos Clientes'!$H:$H,0))&amp;":$CZ"&amp;INDEX('Infos Clientes'!$C:$C,MATCH(C469,'Infos Clientes'!$H:$H,0))),"&gt;="&amp;0,'Infos Clientes'!$W$2:$CZ$2,"&gt;"&amp;$R469-365,'Infos Clientes'!$W$2:$CZ$2,"&lt;="&amp;$R469),""),"")</f>
        <v>135.91666666666666</v>
      </c>
      <c r="CB469" s="87">
        <f>VLOOKUP(C469,'Infos Clientes'!B:L,11,0)</f>
        <v>0</v>
      </c>
      <c r="CC469" s="88" t="str">
        <f t="shared" si="300"/>
        <v>A Unidade Consumidora 10/226667-4 economizou R$7,66 na fatura referente à mai/2025  consumindo 27 kWh em créditos de energia renovável conforme fatura de energia. A economia foi de 25% em relação ao que seria pago para a Energisa considerando os créditos consumidos. Atenção: Mantenha as contas da Energisa em dia para evitar cortes.</v>
      </c>
      <c r="CD469" s="40" t="s">
        <v>78</v>
      </c>
      <c r="CE469" s="18">
        <v>56.71</v>
      </c>
      <c r="CF469" s="115">
        <f t="shared" si="301"/>
        <v>0</v>
      </c>
      <c r="CG469" t="s">
        <v>358</v>
      </c>
    </row>
    <row r="470" spans="1:85" ht="16.2" hidden="1" customHeight="1" x14ac:dyDescent="0.3">
      <c r="A470" s="105" t="str">
        <f>INDEX('Infos Clientes'!$D:$D,MATCH('Detalhe Por UC'!C470,'Infos Clientes'!B:B,0))</f>
        <v>IGREJA DO EVANGELHO QUADRANGULAR</v>
      </c>
      <c r="B470" s="106" t="str">
        <f>INDEX('Infos Clientes'!$F:$F,MATCH('Detalhe Por UC'!C470,'Infos Clientes'!B:B,0))</f>
        <v>62.955.505/0800-98</v>
      </c>
      <c r="C470" s="44" t="s">
        <v>38</v>
      </c>
      <c r="D470" t="s">
        <v>351</v>
      </c>
      <c r="E470" s="1" t="s">
        <v>352</v>
      </c>
      <c r="F470" s="56" t="str">
        <f>INDEX('Infos Clientes'!$I:$I,MATCH('Detalhe Por UC'!C470,'Infos Clientes'!B:B,0))</f>
        <v>BT</v>
      </c>
      <c r="G470" s="56" t="str">
        <f>INDEX('Infos Clientes'!$J:$J,MATCH('Detalhe Por UC'!C470,'Infos Clientes'!B:B,0))</f>
        <v>trifasico</v>
      </c>
      <c r="H470" s="108" t="s">
        <v>24</v>
      </c>
      <c r="I470" s="58">
        <f>IFERROR(VLOOKUP(C470,'Infos Clientes'!B:E,4,),"")</f>
        <v>351</v>
      </c>
      <c r="J470" s="109">
        <v>0.25</v>
      </c>
      <c r="K470" s="59">
        <f>INDEX('Infos Clientes'!$M:$M,MATCH('Detalhe Por UC'!C470,'Infos Clientes'!B:B,0))</f>
        <v>0.25</v>
      </c>
      <c r="L470" s="125">
        <v>0</v>
      </c>
      <c r="M470" s="56">
        <f>INDEX('Infos Clientes'!$N:$N,MATCH('Detalhe Por UC'!C470,'Infos Clientes'!B:B,0))</f>
        <v>0</v>
      </c>
      <c r="N470" s="56">
        <f t="shared" si="266"/>
        <v>0</v>
      </c>
      <c r="O470" s="56">
        <f t="shared" si="267"/>
        <v>7</v>
      </c>
      <c r="P470" s="56">
        <f t="shared" si="302"/>
        <v>0</v>
      </c>
      <c r="Q470" s="61">
        <f>IFERROR(IFERROR(INDEX('Infos Clientes'!$A$2:$V$9884,MATCH($C470,'Infos Clientes'!$B$2:$B$9884,0),MATCH(Q$8,'Infos Clientes'!$A$2:$V$2,0)),"")
+IF(OR(INDEX('Infos Clientes'!$A$2:$V$9884,MATCH($C470,'Infos Clientes'!$B$2:$B$9884,0),MATCH("Tempo de Fidelidade (meses)",'Infos Clientes'!$A$2:$V$2,0))=0,R470&gt;=MAX(R:R)),0,
ROUND((MAX(R:R)-R470)/(365/12),0)),"")</f>
        <v>0</v>
      </c>
      <c r="R470" s="111">
        <v>45778</v>
      </c>
      <c r="S470" s="17">
        <v>3.0000000000000001E-3</v>
      </c>
      <c r="T470" s="113">
        <f>IF($H470="GIROSSOL II",AP470/INDEX('Resumo Operacional'!$A$1:$P$1103,17,MATCH('Detalhe Por UC'!$R470,'Resumo Operacional'!$A$1:$P$1,0)),
IF($H470="GIROSSOL II e III",AP470/INDEX('Resumo Operacional'!$A$1:$P$1103,17,MATCH('Detalhe Por UC'!$R470,'Resumo Operacional'!$A$1:$P$1,0)),
""))</f>
        <v>7.0712265363846744E-3</v>
      </c>
      <c r="U470" s="113" t="str">
        <f>IF($H470="GIROSSOL III",AP470/INDEX('Resumo Operacional'!$A$1:$P$1103,53,MATCH('Detalhe Por UC'!$R470,'Resumo Operacional'!$A$1:$P$1,0)),
IF($H470="GIROSSOL II e III",AP470/INDEX('Resumo Operacional'!$A$1:$P$1103,53,MATCH('Detalhe Por UC'!$R470,'Resumo Operacional'!$A$1:$P$1,0)),
""))</f>
        <v/>
      </c>
      <c r="V470" s="45"/>
      <c r="X470" s="18">
        <v>1.1341037735849056</v>
      </c>
      <c r="Y470" s="18">
        <v>0</v>
      </c>
      <c r="Z470" s="18">
        <v>1.1324999999999998</v>
      </c>
      <c r="AA470" s="18">
        <v>0</v>
      </c>
      <c r="AB470" s="143">
        <v>106</v>
      </c>
      <c r="AC470" s="143">
        <v>0</v>
      </c>
      <c r="AD470" s="143">
        <v>6</v>
      </c>
      <c r="AE470" s="35"/>
      <c r="AF470" s="143">
        <v>992</v>
      </c>
      <c r="AG470" s="143">
        <v>0</v>
      </c>
      <c r="AH470" s="48">
        <v>11.37</v>
      </c>
      <c r="AI470" s="143">
        <v>0</v>
      </c>
      <c r="AJ470" s="143">
        <v>0</v>
      </c>
      <c r="AN470" s="71">
        <f t="shared" si="268"/>
        <v>49</v>
      </c>
      <c r="AO470" s="71">
        <f t="shared" si="269"/>
        <v>0</v>
      </c>
      <c r="AP470" s="71">
        <f t="shared" si="270"/>
        <v>55</v>
      </c>
      <c r="AQ470" s="72">
        <f>IF(OR($H470="GIROSSOL II",$H470="GIROSSOL II e III"),INDEX('Resumo Operacional'!$A$1:$P$1103,MATCH("Energia Injetada prevista total Fatura da Usina (TUSD)",'Resumo Operacional'!$B$1:$B$1103,0),MATCH('Detalhe Por UC'!$R470,'Resumo Operacional'!$A$1:$P$1,0))*$S470,INDEX('Resumo Operacional'!$A$1:$P$1103,53,MATCH('Detalhe Por UC'!$R470,'Resumo Operacional'!$A$1:$P$1,0))*$S470)</f>
        <v>23.334</v>
      </c>
      <c r="AR470" s="71">
        <f t="shared" si="271"/>
        <v>31.666</v>
      </c>
      <c r="AS470" s="73">
        <f t="shared" si="272"/>
        <v>124.78999999999999</v>
      </c>
      <c r="AT470" s="74">
        <f t="shared" si="273"/>
        <v>124.78999999999999</v>
      </c>
      <c r="AU470" s="74">
        <f t="shared" si="274"/>
        <v>1.1308962264150941</v>
      </c>
      <c r="AV470" s="74">
        <f t="shared" si="275"/>
        <v>5.0962499999999995</v>
      </c>
      <c r="AW470" s="74">
        <f t="shared" si="276"/>
        <v>0</v>
      </c>
      <c r="AX470" s="74">
        <f t="shared" si="277"/>
        <v>6.794999999999999</v>
      </c>
      <c r="AY470" s="74">
        <f t="shared" si="278"/>
        <v>5.0999999999999996</v>
      </c>
      <c r="AZ470" s="49">
        <v>5.0999999999999996</v>
      </c>
      <c r="BA470" s="49">
        <v>5.0999999999999996</v>
      </c>
      <c r="BB470" s="117">
        <v>5.0999999999999996</v>
      </c>
      <c r="BC470" s="73" t="str">
        <f t="shared" si="279"/>
        <v/>
      </c>
      <c r="BD470" s="73">
        <f t="shared" si="280"/>
        <v>131.58499999999998</v>
      </c>
      <c r="BE470" s="73">
        <f t="shared" si="281"/>
        <v>129.88624999999999</v>
      </c>
      <c r="BF470" s="77">
        <f t="shared" si="282"/>
        <v>1.7</v>
      </c>
      <c r="BG470" s="77">
        <f t="shared" si="283"/>
        <v>0.51</v>
      </c>
      <c r="BH470" s="77">
        <f t="shared" si="284"/>
        <v>6.794999999999999</v>
      </c>
      <c r="BI470" s="78">
        <f t="shared" si="285"/>
        <v>0.25</v>
      </c>
      <c r="BJ470" s="79">
        <f t="shared" si="286"/>
        <v>1.2919405707337465E-2</v>
      </c>
      <c r="BK470" s="80">
        <f t="shared" si="287"/>
        <v>129.88999999999999</v>
      </c>
      <c r="BL470" s="80">
        <f t="shared" si="288"/>
        <v>1.6949999999999932</v>
      </c>
      <c r="BM470" s="79">
        <f t="shared" si="289"/>
        <v>1.2881407455257008E-2</v>
      </c>
      <c r="BN470" s="81">
        <f t="shared" si="290"/>
        <v>0.85</v>
      </c>
      <c r="BO470" s="82">
        <f t="shared" si="291"/>
        <v>5.0999999999999996</v>
      </c>
      <c r="BP470" s="81">
        <f t="shared" si="292"/>
        <v>0.85</v>
      </c>
      <c r="BQ470" s="81">
        <f t="shared" si="293"/>
        <v>0.85160377358490569</v>
      </c>
      <c r="BR470" s="81">
        <f t="shared" si="294"/>
        <v>1.1341037735849056</v>
      </c>
      <c r="BS470" s="82">
        <f t="shared" si="295"/>
        <v>6</v>
      </c>
      <c r="BT470" s="82">
        <f t="shared" si="296"/>
        <v>6.8046226415094333</v>
      </c>
      <c r="BU470" s="82">
        <f t="shared" si="297"/>
        <v>6.794999999999999</v>
      </c>
      <c r="BW470" s="82">
        <f>IFERROR(INDEX('Infos Clientes'!$T:$T,MATCH('Detalhe Por UC'!$C470,'Infos Clientes'!B:B,0)),"")</f>
        <v>134.36363636363637</v>
      </c>
      <c r="BX470" s="83">
        <f t="shared" si="298"/>
        <v>0</v>
      </c>
      <c r="BY470" s="84">
        <f t="shared" si="299"/>
        <v>0.24909537079399399</v>
      </c>
      <c r="BZ470" s="85">
        <f>IF(_xlfn.MINIFS('Detalhe Por UC'!R:R,'Detalhe Por UC'!C:C,C470,'Detalhe Por UC'!AD:AD,"&gt;"&amp;0)=0,"",_xlfn.MINIFS('Detalhe Por UC'!R:R,'Detalhe Por UC'!C:C,C470,'Detalhe Por UC'!AD:AD,"&gt;"&amp;0))</f>
        <v>45627</v>
      </c>
      <c r="CA470" s="114">
        <f ca="1">IF(OR(S470&gt;0,AD470&gt;0),IFERROR(
SUMIFS(INDIRECT("'Infos Clientes'!$W"&amp;INDEX('Infos Clientes'!$C:$C,MATCH(C470,'Infos Clientes'!$H:$H,0))&amp;":$CZ"&amp;INDEX('Infos Clientes'!$C:$C,MATCH(C470,'Infos Clientes'!$H:$H,0))),'Infos Clientes'!$W$2:$CZ$2,"&gt;"&amp;$R470-365,'Infos Clientes'!$W$2:$CZ$2,"&lt;="&amp;$R470)/
COUNTIFS(INDIRECT("'Infos Clientes'!$W"&amp;INDEX('Infos Clientes'!$C:$C,MATCH(C470,'Infos Clientes'!$H:$H,0))&amp;":$CZ"&amp;INDEX('Infos Clientes'!$C:$C,MATCH(C470,'Infos Clientes'!$H:$H,0))),"&gt;="&amp;0,'Infos Clientes'!$W$2:$CZ$2,"&gt;"&amp;$R470-365,'Infos Clientes'!$W$2:$CZ$2,"&lt;="&amp;$R470),""),"")</f>
        <v>129.36363636363637</v>
      </c>
      <c r="CB470" s="87">
        <f>VLOOKUP(C470,'Infos Clientes'!B:L,11,0)</f>
        <v>0</v>
      </c>
      <c r="CC470" s="88" t="str">
        <f t="shared" si="300"/>
        <v>A Unidade Consumidora 10/135237-6 economizou R$1,7 na fatura referente à mai/2025  consumindo 6 kWh em créditos de energia renovável conforme fatura de energia. A economia foi de 25% em relação ao que seria pago para a Energisa considerando os créditos consumidos. Atenção: Mantenha as contas da Energisa em dia para evitar cortes.</v>
      </c>
      <c r="CD470" s="40" t="s">
        <v>40</v>
      </c>
      <c r="CE470" s="18">
        <v>124.79</v>
      </c>
      <c r="CF470" s="115">
        <f t="shared" si="301"/>
        <v>0</v>
      </c>
      <c r="CG470" t="s">
        <v>358</v>
      </c>
    </row>
    <row r="471" spans="1:85" ht="16.2" hidden="1" customHeight="1" x14ac:dyDescent="0.3">
      <c r="A471" s="105" t="str">
        <f>INDEX('Infos Clientes'!$D:$D,MATCH('Detalhe Por UC'!C471,'Infos Clientes'!B:B,0))</f>
        <v>IGREJA DO EVANGELHO QUADRANGULAR</v>
      </c>
      <c r="B471" s="106" t="str">
        <f>INDEX('Infos Clientes'!$F:$F,MATCH('Detalhe Por UC'!C471,'Infos Clientes'!B:B,0))</f>
        <v>62.955.505/0170-51</v>
      </c>
      <c r="C471" s="44" t="s">
        <v>73</v>
      </c>
      <c r="D471" t="s">
        <v>351</v>
      </c>
      <c r="E471" s="1" t="s">
        <v>352</v>
      </c>
      <c r="F471" s="56" t="str">
        <f>INDEX('Infos Clientes'!$I:$I,MATCH('Detalhe Por UC'!C471,'Infos Clientes'!B:B,0))</f>
        <v>BT</v>
      </c>
      <c r="G471" s="56" t="str">
        <f>INDEX('Infos Clientes'!$J:$J,MATCH('Detalhe Por UC'!C471,'Infos Clientes'!B:B,0))</f>
        <v>bifasico</v>
      </c>
      <c r="H471" s="108" t="s">
        <v>24</v>
      </c>
      <c r="I471" s="58">
        <f>IFERROR(VLOOKUP(C471,'Infos Clientes'!B:E,4,),"")</f>
        <v>306</v>
      </c>
      <c r="J471" s="109">
        <v>0.25</v>
      </c>
      <c r="K471" s="59">
        <f>INDEX('Infos Clientes'!$M:$M,MATCH('Detalhe Por UC'!C471,'Infos Clientes'!B:B,0))</f>
        <v>0.25</v>
      </c>
      <c r="L471" s="125">
        <v>0</v>
      </c>
      <c r="M471" s="56">
        <f>INDEX('Infos Clientes'!$N:$N,MATCH('Detalhe Por UC'!C471,'Infos Clientes'!B:B,0))</f>
        <v>0</v>
      </c>
      <c r="N471" s="56">
        <f t="shared" si="266"/>
        <v>0</v>
      </c>
      <c r="O471" s="56">
        <f t="shared" si="267"/>
        <v>12</v>
      </c>
      <c r="P471" s="56">
        <f t="shared" si="302"/>
        <v>0</v>
      </c>
      <c r="Q471" s="61">
        <f>IFERROR(IFERROR(INDEX('Infos Clientes'!$A$2:$V$9884,MATCH($C471,'Infos Clientes'!$B$2:$B$9884,0),MATCH(Q$8,'Infos Clientes'!$A$2:$V$2,0)),"")
+IF(OR(INDEX('Infos Clientes'!$A$2:$V$9884,MATCH($C471,'Infos Clientes'!$B$2:$B$9884,0),MATCH("Tempo de Fidelidade (meses)",'Infos Clientes'!$A$2:$V$2,0))=0,R471&gt;=MAX(R:R)),0,
ROUND((MAX(R:R)-R471)/(365/12),0)),"")</f>
        <v>0</v>
      </c>
      <c r="R471" s="111">
        <v>45778</v>
      </c>
      <c r="S471" s="17">
        <v>0.01</v>
      </c>
      <c r="T471" s="113">
        <f>IF($H471="GIROSSOL II",AP471/INDEX('Resumo Operacional'!$A$1:$P$1103,17,MATCH('Detalhe Por UC'!$R471,'Resumo Operacional'!$A$1:$P$1,0)),
IF($H471="GIROSSOL II e III",AP471/INDEX('Resumo Operacional'!$A$1:$P$1103,17,MATCH('Detalhe Por UC'!$R471,'Resumo Operacional'!$A$1:$P$1,0)),
""))</f>
        <v>1.4013885317562355E-2</v>
      </c>
      <c r="U471" s="113" t="str">
        <f>IF($H471="GIROSSOL III",AP471/INDEX('Resumo Operacional'!$A$1:$P$1103,53,MATCH('Detalhe Por UC'!$R471,'Resumo Operacional'!$A$1:$P$1,0)),
IF($H471="GIROSSOL II e III",AP471/INDEX('Resumo Operacional'!$A$1:$P$1103,53,MATCH('Detalhe Por UC'!$R471,'Resumo Operacional'!$A$1:$P$1,0)),
""))</f>
        <v/>
      </c>
      <c r="V471" s="45"/>
      <c r="X471" s="18">
        <v>1.1248930982745686</v>
      </c>
      <c r="Y471" s="18">
        <v>0</v>
      </c>
      <c r="Z471" s="18">
        <v>1.0404536319265003</v>
      </c>
      <c r="AA471" s="18">
        <v>0</v>
      </c>
      <c r="AB471" s="143">
        <v>124</v>
      </c>
      <c r="AC471" s="143">
        <v>0</v>
      </c>
      <c r="AD471" s="143">
        <v>81</v>
      </c>
      <c r="AE471" s="35"/>
      <c r="AF471" s="143">
        <v>469</v>
      </c>
      <c r="AG471" s="143">
        <v>0</v>
      </c>
      <c r="AH471" s="48">
        <v>12.95</v>
      </c>
      <c r="AI471" s="143">
        <v>0</v>
      </c>
      <c r="AJ471" s="143">
        <v>0</v>
      </c>
      <c r="AN471" s="71">
        <f t="shared" si="268"/>
        <v>28</v>
      </c>
      <c r="AO471" s="71">
        <f t="shared" si="269"/>
        <v>0</v>
      </c>
      <c r="AP471" s="71">
        <f t="shared" si="270"/>
        <v>109</v>
      </c>
      <c r="AQ471" s="72">
        <f>IF(OR($H471="GIROSSOL II",$H471="GIROSSOL II e III"),INDEX('Resumo Operacional'!$A$1:$P$1103,MATCH("Energia Injetada prevista total Fatura da Usina (TUSD)",'Resumo Operacional'!$B$1:$B$1103,0),MATCH('Detalhe Por UC'!$R471,'Resumo Operacional'!$A$1:$P$1,0))*$S471,INDEX('Resumo Operacional'!$A$1:$P$1103,53,MATCH('Detalhe Por UC'!$R471,'Resumo Operacional'!$A$1:$P$1,0))*$S471)</f>
        <v>77.78</v>
      </c>
      <c r="AR471" s="71">
        <f t="shared" si="271"/>
        <v>31.22</v>
      </c>
      <c r="AS471" s="73">
        <f t="shared" si="272"/>
        <v>68.159999999999982</v>
      </c>
      <c r="AT471" s="74">
        <f t="shared" si="273"/>
        <v>68.159999999999982</v>
      </c>
      <c r="AU471" s="74">
        <f t="shared" si="274"/>
        <v>0.956014165578432</v>
      </c>
      <c r="AV471" s="74">
        <f t="shared" si="275"/>
        <v>63.207558139534896</v>
      </c>
      <c r="AW471" s="74">
        <f t="shared" si="276"/>
        <v>0</v>
      </c>
      <c r="AX471" s="74">
        <f t="shared" si="277"/>
        <v>84.276744186046528</v>
      </c>
      <c r="AY471" s="74">
        <f t="shared" si="278"/>
        <v>63.21</v>
      </c>
      <c r="AZ471" s="49">
        <v>63.21</v>
      </c>
      <c r="BA471" s="49">
        <v>63.21</v>
      </c>
      <c r="BB471" s="117">
        <v>63.21</v>
      </c>
      <c r="BC471" s="73" t="str">
        <f t="shared" si="279"/>
        <v/>
      </c>
      <c r="BD471" s="73">
        <f t="shared" si="280"/>
        <v>152.4367441860465</v>
      </c>
      <c r="BE471" s="73">
        <f t="shared" si="281"/>
        <v>131.36755813953488</v>
      </c>
      <c r="BF471" s="77">
        <f t="shared" si="282"/>
        <v>21.07</v>
      </c>
      <c r="BG471" s="77">
        <f t="shared" si="283"/>
        <v>6.3209999999999997</v>
      </c>
      <c r="BH471" s="77">
        <f t="shared" si="284"/>
        <v>84.276744186046514</v>
      </c>
      <c r="BI471" s="78">
        <f t="shared" si="285"/>
        <v>0.25</v>
      </c>
      <c r="BJ471" s="79">
        <f t="shared" si="286"/>
        <v>0.13822126753300645</v>
      </c>
      <c r="BK471" s="80">
        <f t="shared" si="287"/>
        <v>131.36999999999998</v>
      </c>
      <c r="BL471" s="80">
        <f t="shared" si="288"/>
        <v>21.06674418604652</v>
      </c>
      <c r="BM471" s="79">
        <f t="shared" si="289"/>
        <v>0.13819990907398882</v>
      </c>
      <c r="BN471" s="81">
        <f t="shared" si="290"/>
        <v>0.78037037037037038</v>
      </c>
      <c r="BO471" s="82">
        <f t="shared" si="291"/>
        <v>63.21</v>
      </c>
      <c r="BP471" s="81">
        <f t="shared" si="292"/>
        <v>0.78037037037037038</v>
      </c>
      <c r="BQ471" s="81">
        <f t="shared" si="293"/>
        <v>0.8648098367184387</v>
      </c>
      <c r="BR471" s="81">
        <f t="shared" si="294"/>
        <v>1.1248930982745686</v>
      </c>
      <c r="BS471" s="82">
        <f t="shared" si="295"/>
        <v>81</v>
      </c>
      <c r="BT471" s="82">
        <f t="shared" si="296"/>
        <v>91.116340960240052</v>
      </c>
      <c r="BU471" s="82">
        <f t="shared" si="297"/>
        <v>84.276744186046528</v>
      </c>
      <c r="BW471" s="82">
        <f>IFERROR(INDEX('Infos Clientes'!$T:$T,MATCH('Detalhe Por UC'!$C471,'Infos Clientes'!B:B,0)),"")</f>
        <v>153.91666666666666</v>
      </c>
      <c r="BX471" s="83">
        <f t="shared" si="298"/>
        <v>0</v>
      </c>
      <c r="BY471" s="84">
        <f t="shared" si="299"/>
        <v>0.23120709154946537</v>
      </c>
      <c r="BZ471" s="85">
        <f>IF(_xlfn.MINIFS('Detalhe Por UC'!R:R,'Detalhe Por UC'!C:C,C471,'Detalhe Por UC'!AD:AD,"&gt;"&amp;0)=0,"",_xlfn.MINIFS('Detalhe Por UC'!R:R,'Detalhe Por UC'!C:C,C471,'Detalhe Por UC'!AD:AD,"&gt;"&amp;0))</f>
        <v>45627</v>
      </c>
      <c r="CA471" s="114">
        <f ca="1">IF(OR(S471&gt;0,AD471&gt;0),IFERROR(
SUMIFS(INDIRECT("'Infos Clientes'!$W"&amp;INDEX('Infos Clientes'!$C:$C,MATCH(C471,'Infos Clientes'!$H:$H,0))&amp;":$CZ"&amp;INDEX('Infos Clientes'!$C:$C,MATCH(C471,'Infos Clientes'!$H:$H,0))),'Infos Clientes'!$W$2:$CZ$2,"&gt;"&amp;$R471-365,'Infos Clientes'!$W$2:$CZ$2,"&lt;="&amp;$R471)/
COUNTIFS(INDIRECT("'Infos Clientes'!$W"&amp;INDEX('Infos Clientes'!$C:$C,MATCH(C471,'Infos Clientes'!$H:$H,0))&amp;":$CZ"&amp;INDEX('Infos Clientes'!$C:$C,MATCH(C471,'Infos Clientes'!$H:$H,0))),"&gt;="&amp;0,'Infos Clientes'!$W$2:$CZ$2,"&gt;"&amp;$R471-365,'Infos Clientes'!$W$2:$CZ$2,"&lt;="&amp;$R471),""),"")</f>
        <v>148.25</v>
      </c>
      <c r="CB471" s="87">
        <f>VLOOKUP(C471,'Infos Clientes'!B:L,11,0)</f>
        <v>0</v>
      </c>
      <c r="CC471" s="88" t="str">
        <f t="shared" si="300"/>
        <v>A Unidade Consumidora 10/218777-1 economizou R$21,07 na fatura referente à mai/2025  consumindo 81 kWh em créditos de energia renovável conforme fatura de energia. A economia foi de 25% em relação ao que seria pago para a Energisa considerando os créditos consumidos. Atenção: Mantenha as contas da Energisa em dia para evitar cortes.</v>
      </c>
      <c r="CD471" s="40" t="s">
        <v>75</v>
      </c>
      <c r="CE471" s="18">
        <v>68.16</v>
      </c>
      <c r="CF471" s="115">
        <f t="shared" si="301"/>
        <v>0</v>
      </c>
      <c r="CG471" t="s">
        <v>357</v>
      </c>
    </row>
    <row r="472" spans="1:85" ht="16.2" hidden="1" customHeight="1" x14ac:dyDescent="0.3">
      <c r="A472" s="105" t="str">
        <f>INDEX('Infos Clientes'!$D:$D,MATCH('Detalhe Por UC'!C472,'Infos Clientes'!B:B,0))</f>
        <v>IGREJA DO EVANGELHO QUADRANGULAR</v>
      </c>
      <c r="B472" s="106" t="str">
        <f>INDEX('Infos Clientes'!$F:$F,MATCH('Detalhe Por UC'!C472,'Infos Clientes'!B:B,0))</f>
        <v>62.955.505/0847-51</v>
      </c>
      <c r="C472" s="44" t="s">
        <v>41</v>
      </c>
      <c r="D472" t="s">
        <v>351</v>
      </c>
      <c r="E472" s="1" t="s">
        <v>352</v>
      </c>
      <c r="F472" s="56" t="str">
        <f>INDEX('Infos Clientes'!$I:$I,MATCH('Detalhe Por UC'!C472,'Infos Clientes'!B:B,0))</f>
        <v>BT</v>
      </c>
      <c r="G472" s="56" t="str">
        <f>INDEX('Infos Clientes'!$J:$J,MATCH('Detalhe Por UC'!C472,'Infos Clientes'!B:B,0))</f>
        <v>monofasico</v>
      </c>
      <c r="H472" s="108" t="s">
        <v>24</v>
      </c>
      <c r="I472" s="58">
        <f>IFERROR(VLOOKUP(C472,'Infos Clientes'!B:E,4,),"")</f>
        <v>349</v>
      </c>
      <c r="J472" s="109">
        <v>0.25</v>
      </c>
      <c r="K472" s="59">
        <f>INDEX('Infos Clientes'!$M:$M,MATCH('Detalhe Por UC'!C472,'Infos Clientes'!B:B,0))</f>
        <v>0.25</v>
      </c>
      <c r="L472" s="125">
        <v>0</v>
      </c>
      <c r="M472" s="56">
        <f>INDEX('Infos Clientes'!$N:$N,MATCH('Detalhe Por UC'!C472,'Infos Clientes'!B:B,0))</f>
        <v>0</v>
      </c>
      <c r="N472" s="56">
        <f t="shared" si="266"/>
        <v>0</v>
      </c>
      <c r="O472" s="56">
        <f t="shared" si="267"/>
        <v>12</v>
      </c>
      <c r="P472" s="56">
        <f t="shared" si="302"/>
        <v>0</v>
      </c>
      <c r="Q472" s="61">
        <f>IFERROR(IFERROR(INDEX('Infos Clientes'!$A$2:$V$9884,MATCH($C472,'Infos Clientes'!$B$2:$B$9884,0),MATCH(Q$8,'Infos Clientes'!$A$2:$V$2,0)),"")
+IF(OR(INDEX('Infos Clientes'!$A$2:$V$9884,MATCH($C472,'Infos Clientes'!$B$2:$B$9884,0),MATCH("Tempo de Fidelidade (meses)",'Infos Clientes'!$A$2:$V$2,0))=0,R472&gt;=MAX(R:R)),0,
ROUND((MAX(R:R)-R472)/(365/12),0)),"")</f>
        <v>0</v>
      </c>
      <c r="R472" s="111">
        <v>45778</v>
      </c>
      <c r="S472" s="17">
        <v>0.01</v>
      </c>
      <c r="T472" s="113">
        <f>IF($H472="GIROSSOL II",AP472/INDEX('Resumo Operacional'!$A$1:$P$1103,17,MATCH('Detalhe Por UC'!$R472,'Resumo Operacional'!$A$1:$P$1,0)),
IF($H472="GIROSSOL II e III",AP472/INDEX('Resumo Operacional'!$A$1:$P$1103,17,MATCH('Detalhe Por UC'!$R472,'Resumo Operacional'!$A$1:$P$1,0)),
""))</f>
        <v>9.8997171509385452E-3</v>
      </c>
      <c r="U472" s="113" t="str">
        <f>IF($H472="GIROSSOL III",AP472/INDEX('Resumo Operacional'!$A$1:$P$1103,53,MATCH('Detalhe Por UC'!$R472,'Resumo Operacional'!$A$1:$P$1,0)),
IF($H472="GIROSSOL II e III",AP472/INDEX('Resumo Operacional'!$A$1:$P$1103,53,MATCH('Detalhe Por UC'!$R472,'Resumo Operacional'!$A$1:$P$1,0)),
""))</f>
        <v/>
      </c>
      <c r="V472" s="45"/>
      <c r="X472" s="18">
        <v>1.1396455505279035</v>
      </c>
      <c r="Y472" s="18">
        <v>0</v>
      </c>
      <c r="Z472" s="18">
        <v>1.106265899454876</v>
      </c>
      <c r="AA472" s="18">
        <v>0</v>
      </c>
      <c r="AB472" s="143">
        <v>153</v>
      </c>
      <c r="AC472" s="143">
        <v>0</v>
      </c>
      <c r="AD472" s="143">
        <v>127</v>
      </c>
      <c r="AE472" s="35"/>
      <c r="AF472" s="143">
        <v>208</v>
      </c>
      <c r="AG472" s="143">
        <v>0</v>
      </c>
      <c r="AH472" s="48">
        <v>61.67</v>
      </c>
      <c r="AI472" s="143">
        <v>0</v>
      </c>
      <c r="AJ472" s="143">
        <v>0</v>
      </c>
      <c r="AN472" s="71">
        <f t="shared" si="268"/>
        <v>-50</v>
      </c>
      <c r="AO472" s="71">
        <f t="shared" si="269"/>
        <v>0</v>
      </c>
      <c r="AP472" s="71">
        <f t="shared" si="270"/>
        <v>77</v>
      </c>
      <c r="AQ472" s="72">
        <f>IF(OR($H472="GIROSSOL II",$H472="GIROSSOL II e III"),INDEX('Resumo Operacional'!$A$1:$P$1103,MATCH("Energia Injetada prevista total Fatura da Usina (TUSD)",'Resumo Operacional'!$B$1:$B$1103,0),MATCH('Detalhe Por UC'!$R472,'Resumo Operacional'!$A$1:$P$1,0))*$S472,INDEX('Resumo Operacional'!$A$1:$P$1103,53,MATCH('Detalhe Por UC'!$R472,'Resumo Operacional'!$A$1:$P$1,0))*$S472)</f>
        <v>77.78</v>
      </c>
      <c r="AR472" s="71">
        <f t="shared" si="271"/>
        <v>-0.78000000000000114</v>
      </c>
      <c r="AS472" s="73">
        <f t="shared" si="272"/>
        <v>95.54</v>
      </c>
      <c r="AT472" s="74">
        <f t="shared" si="273"/>
        <v>95.54</v>
      </c>
      <c r="AU472" s="74">
        <f t="shared" si="274"/>
        <v>1.0728862483818484</v>
      </c>
      <c r="AV472" s="74">
        <f t="shared" si="275"/>
        <v>105.37182692307694</v>
      </c>
      <c r="AW472" s="74">
        <f t="shared" si="276"/>
        <v>0</v>
      </c>
      <c r="AX472" s="74">
        <f t="shared" si="277"/>
        <v>140.49576923076924</v>
      </c>
      <c r="AY472" s="74">
        <f t="shared" si="278"/>
        <v>105.37</v>
      </c>
      <c r="AZ472" s="49">
        <v>105.37</v>
      </c>
      <c r="BA472" s="49">
        <v>105.37</v>
      </c>
      <c r="BB472" s="117">
        <v>105.37</v>
      </c>
      <c r="BC472" s="73" t="str">
        <f t="shared" si="279"/>
        <v/>
      </c>
      <c r="BD472" s="73">
        <f t="shared" si="280"/>
        <v>236.03576923076923</v>
      </c>
      <c r="BE472" s="73">
        <f t="shared" si="281"/>
        <v>200.91182692307694</v>
      </c>
      <c r="BF472" s="77">
        <f t="shared" si="282"/>
        <v>35.119999999999997</v>
      </c>
      <c r="BG472" s="77">
        <f t="shared" si="283"/>
        <v>10.536</v>
      </c>
      <c r="BH472" s="77">
        <f t="shared" si="284"/>
        <v>140.49576923076924</v>
      </c>
      <c r="BI472" s="78">
        <f t="shared" si="285"/>
        <v>0.25</v>
      </c>
      <c r="BJ472" s="79">
        <f t="shared" si="286"/>
        <v>0.14879100788179106</v>
      </c>
      <c r="BK472" s="80">
        <f t="shared" si="287"/>
        <v>200.91000000000003</v>
      </c>
      <c r="BL472" s="80">
        <f t="shared" si="288"/>
        <v>35.125769230769208</v>
      </c>
      <c r="BM472" s="79">
        <f t="shared" si="289"/>
        <v>0.14881545007031194</v>
      </c>
      <c r="BN472" s="81">
        <f t="shared" si="290"/>
        <v>0.82968503937007876</v>
      </c>
      <c r="BO472" s="82">
        <f t="shared" si="291"/>
        <v>105.37</v>
      </c>
      <c r="BP472" s="81">
        <f t="shared" si="292"/>
        <v>0.82968503937007876</v>
      </c>
      <c r="BQ472" s="81">
        <f t="shared" si="293"/>
        <v>0.8630646904431063</v>
      </c>
      <c r="BR472" s="81">
        <f t="shared" si="294"/>
        <v>1.1396455505279035</v>
      </c>
      <c r="BS472" s="82">
        <f t="shared" si="295"/>
        <v>127</v>
      </c>
      <c r="BT472" s="82">
        <f t="shared" si="296"/>
        <v>144.73498491704373</v>
      </c>
      <c r="BU472" s="82">
        <f t="shared" si="297"/>
        <v>140.49576923076924</v>
      </c>
      <c r="BW472" s="82">
        <f>IFERROR(INDEX('Infos Clientes'!$T:$T,MATCH('Detalhe Por UC'!$C472,'Infos Clientes'!B:B,0)),"")</f>
        <v>156.25</v>
      </c>
      <c r="BX472" s="83">
        <f t="shared" si="298"/>
        <v>0</v>
      </c>
      <c r="BY472" s="84">
        <f t="shared" si="299"/>
        <v>0.24269024694272723</v>
      </c>
      <c r="BZ472" s="85">
        <f>IF(_xlfn.MINIFS('Detalhe Por UC'!R:R,'Detalhe Por UC'!C:C,C472,'Detalhe Por UC'!AD:AD,"&gt;"&amp;0)=0,"",_xlfn.MINIFS('Detalhe Por UC'!R:R,'Detalhe Por UC'!C:C,C472,'Detalhe Por UC'!AD:AD,"&gt;"&amp;0))</f>
        <v>45627</v>
      </c>
      <c r="CA472" s="114">
        <f ca="1">IF(OR(S472&gt;0,AD472&gt;0),IFERROR(
SUMIFS(INDIRECT("'Infos Clientes'!$W"&amp;INDEX('Infos Clientes'!$C:$C,MATCH(C472,'Infos Clientes'!$H:$H,0))&amp;":$CZ"&amp;INDEX('Infos Clientes'!$C:$C,MATCH(C472,'Infos Clientes'!$H:$H,0))),'Infos Clientes'!$W$2:$CZ$2,"&gt;"&amp;$R472-365,'Infos Clientes'!$W$2:$CZ$2,"&lt;="&amp;$R472)/
COUNTIFS(INDIRECT("'Infos Clientes'!$W"&amp;INDEX('Infos Clientes'!$C:$C,MATCH(C472,'Infos Clientes'!$H:$H,0))&amp;":$CZ"&amp;INDEX('Infos Clientes'!$C:$C,MATCH(C472,'Infos Clientes'!$H:$H,0))),"&gt;="&amp;0,'Infos Clientes'!$W$2:$CZ$2,"&gt;"&amp;$R472-365,'Infos Clientes'!$W$2:$CZ$2,"&lt;="&amp;$R472),""),"")</f>
        <v>153.66666666666666</v>
      </c>
      <c r="CB472" s="87">
        <f>VLOOKUP(C472,'Infos Clientes'!B:L,11,0)</f>
        <v>0</v>
      </c>
      <c r="CC472" s="88" t="str">
        <f t="shared" si="300"/>
        <v>A Unidade Consumidora 10/1548741-6 economizou R$35,12 na fatura referente à mai/2025  consumindo 127 kWh em créditos de energia renovável conforme fatura de energia. A economia foi de 25% em relação ao que seria pago para a Energisa considerando os créditos consumidos. Atenção: Mantenha as contas da Energisa em dia para evitar cortes.</v>
      </c>
      <c r="CD472" s="40" t="s">
        <v>43</v>
      </c>
      <c r="CE472" s="18">
        <v>95.54</v>
      </c>
      <c r="CF472" s="115">
        <f t="shared" si="301"/>
        <v>0</v>
      </c>
      <c r="CG472" t="s">
        <v>359</v>
      </c>
    </row>
    <row r="473" spans="1:85" ht="16.2" hidden="1" customHeight="1" x14ac:dyDescent="0.3">
      <c r="A473" s="105" t="str">
        <f>INDEX('Infos Clientes'!$D:$D,MATCH('Detalhe Por UC'!C473,'Infos Clientes'!B:B,0))</f>
        <v>IGREJA DO EVANGELHO QUADRANGULAR</v>
      </c>
      <c r="B473" s="106" t="str">
        <f>INDEX('Infos Clientes'!$F:$F,MATCH('Detalhe Por UC'!C473,'Infos Clientes'!B:B,0))</f>
        <v>62.955.505/0155-12</v>
      </c>
      <c r="C473" s="44" t="s">
        <v>129</v>
      </c>
      <c r="D473" t="s">
        <v>351</v>
      </c>
      <c r="E473" s="1" t="s">
        <v>352</v>
      </c>
      <c r="F473" s="56" t="str">
        <f>INDEX('Infos Clientes'!$I:$I,MATCH('Detalhe Por UC'!C473,'Infos Clientes'!B:B,0))</f>
        <v>BT</v>
      </c>
      <c r="G473" s="56" t="str">
        <f>INDEX('Infos Clientes'!$J:$J,MATCH('Detalhe Por UC'!C473,'Infos Clientes'!B:B,0))</f>
        <v>trifasico</v>
      </c>
      <c r="H473" s="108" t="s">
        <v>24</v>
      </c>
      <c r="I473" s="58">
        <f>IFERROR(VLOOKUP(C473,'Infos Clientes'!B:E,4,),"")</f>
        <v>358</v>
      </c>
      <c r="J473" s="109">
        <v>0.25</v>
      </c>
      <c r="K473" s="59">
        <f>INDEX('Infos Clientes'!$M:$M,MATCH('Detalhe Por UC'!C473,'Infos Clientes'!B:B,0))</f>
        <v>0.25</v>
      </c>
      <c r="L473" s="125">
        <v>0</v>
      </c>
      <c r="M473" s="56">
        <f>INDEX('Infos Clientes'!$N:$N,MATCH('Detalhe Por UC'!C473,'Infos Clientes'!B:B,0))</f>
        <v>0</v>
      </c>
      <c r="N473" s="56">
        <f t="shared" si="266"/>
        <v>0</v>
      </c>
      <c r="O473" s="56">
        <f t="shared" si="267"/>
        <v>11</v>
      </c>
      <c r="P473" s="56">
        <f t="shared" si="302"/>
        <v>0</v>
      </c>
      <c r="Q473" s="61">
        <f>IFERROR(IFERROR(INDEX('Infos Clientes'!$A$2:$V$9884,MATCH($C473,'Infos Clientes'!$B$2:$B$9884,0),MATCH(Q$8,'Infos Clientes'!$A$2:$V$2,0)),"")
+IF(OR(INDEX('Infos Clientes'!$A$2:$V$9884,MATCH($C473,'Infos Clientes'!$B$2:$B$9884,0),MATCH("Tempo de Fidelidade (meses)",'Infos Clientes'!$A$2:$V$2,0))=0,R473&gt;=MAX(R:R)),0,
ROUND((MAX(R:R)-R473)/(365/12),0)),"")</f>
        <v>0</v>
      </c>
      <c r="R473" s="111">
        <v>45778</v>
      </c>
      <c r="S473" s="17">
        <v>5.0000000000000001E-3</v>
      </c>
      <c r="T473" s="113">
        <f>IF($H473="GIROSSOL II",AP473/INDEX('Resumo Operacional'!$A$1:$P$1103,17,MATCH('Detalhe Por UC'!$R473,'Resumo Operacional'!$A$1:$P$1,0)),
IF($H473="GIROSSOL II e III",AP473/INDEX('Resumo Operacional'!$A$1:$P$1103,17,MATCH('Detalhe Por UC'!$R473,'Resumo Operacional'!$A$1:$P$1,0)),
""))</f>
        <v>6.9426587811776807E-3</v>
      </c>
      <c r="U473" s="113" t="str">
        <f>IF($H473="GIROSSOL III",AP473/INDEX('Resumo Operacional'!$A$1:$P$1103,53,MATCH('Detalhe Por UC'!$R473,'Resumo Operacional'!$A$1:$P$1,0)),
IF($H473="GIROSSOL II e III",AP473/INDEX('Resumo Operacional'!$A$1:$P$1103,53,MATCH('Detalhe Por UC'!$R473,'Resumo Operacional'!$A$1:$P$1,0)),
""))</f>
        <v/>
      </c>
      <c r="V473" s="45"/>
      <c r="X473" s="18">
        <v>1.1236000000000002</v>
      </c>
      <c r="Y473" s="18">
        <v>0</v>
      </c>
      <c r="Z473" s="18">
        <v>1.1235999999999999</v>
      </c>
      <c r="AA473" s="18">
        <v>0</v>
      </c>
      <c r="AB473" s="143">
        <v>121</v>
      </c>
      <c r="AC473" s="143">
        <v>0</v>
      </c>
      <c r="AD473" s="143">
        <v>21</v>
      </c>
      <c r="AE473" s="35"/>
      <c r="AF473" s="143">
        <v>1349</v>
      </c>
      <c r="AG473" s="143">
        <v>0</v>
      </c>
      <c r="AH473" s="48">
        <v>52.6</v>
      </c>
      <c r="AI473" s="143">
        <v>0</v>
      </c>
      <c r="AJ473" s="143">
        <v>0</v>
      </c>
      <c r="AN473" s="71">
        <f t="shared" si="268"/>
        <v>33</v>
      </c>
      <c r="AO473" s="71">
        <f t="shared" si="269"/>
        <v>0</v>
      </c>
      <c r="AP473" s="71">
        <f t="shared" si="270"/>
        <v>54</v>
      </c>
      <c r="AQ473" s="72">
        <f>IF(OR($H473="GIROSSOL II",$H473="GIROSSOL II e III"),INDEX('Resumo Operacional'!$A$1:$P$1103,MATCH("Energia Injetada prevista total Fatura da Usina (TUSD)",'Resumo Operacional'!$B$1:$B$1103,0),MATCH('Detalhe Por UC'!$R473,'Resumo Operacional'!$A$1:$P$1,0))*$S473,INDEX('Resumo Operacional'!$A$1:$P$1103,53,MATCH('Detalhe Por UC'!$R473,'Resumo Operacional'!$A$1:$P$1,0))*$S473)</f>
        <v>38.89</v>
      </c>
      <c r="AR473" s="71">
        <f t="shared" si="271"/>
        <v>15.11</v>
      </c>
      <c r="AS473" s="73">
        <f t="shared" si="272"/>
        <v>164.96000000000004</v>
      </c>
      <c r="AT473" s="74">
        <f t="shared" si="273"/>
        <v>164.96000000000004</v>
      </c>
      <c r="AU473" s="74">
        <f t="shared" si="274"/>
        <v>1.1235999999999997</v>
      </c>
      <c r="AV473" s="74">
        <f t="shared" si="275"/>
        <v>17.6967</v>
      </c>
      <c r="AW473" s="74">
        <f t="shared" si="276"/>
        <v>0</v>
      </c>
      <c r="AX473" s="74">
        <f t="shared" si="277"/>
        <v>23.595599999999997</v>
      </c>
      <c r="AY473" s="74">
        <f t="shared" si="278"/>
        <v>17.7</v>
      </c>
      <c r="AZ473" s="49">
        <v>17.7</v>
      </c>
      <c r="BA473" s="49">
        <v>17.7</v>
      </c>
      <c r="BB473" s="117">
        <v>17.7</v>
      </c>
      <c r="BC473" s="73" t="str">
        <f t="shared" si="279"/>
        <v/>
      </c>
      <c r="BD473" s="73">
        <f t="shared" si="280"/>
        <v>188.55560000000003</v>
      </c>
      <c r="BE473" s="73">
        <f t="shared" si="281"/>
        <v>182.65670000000003</v>
      </c>
      <c r="BF473" s="77">
        <f t="shared" si="282"/>
        <v>5.9</v>
      </c>
      <c r="BG473" s="77">
        <f t="shared" si="283"/>
        <v>1.77</v>
      </c>
      <c r="BH473" s="77">
        <f t="shared" si="284"/>
        <v>23.595600000000001</v>
      </c>
      <c r="BI473" s="78">
        <f t="shared" si="285"/>
        <v>0.25</v>
      </c>
      <c r="BJ473" s="79">
        <f t="shared" si="286"/>
        <v>3.1290505293929217E-2</v>
      </c>
      <c r="BK473" s="80">
        <f t="shared" si="287"/>
        <v>182.66000000000003</v>
      </c>
      <c r="BL473" s="80">
        <f t="shared" si="288"/>
        <v>5.8956000000000017</v>
      </c>
      <c r="BM473" s="79">
        <f t="shared" si="289"/>
        <v>3.1267170001845611E-2</v>
      </c>
      <c r="BN473" s="81">
        <f t="shared" si="290"/>
        <v>0.84285714285714286</v>
      </c>
      <c r="BO473" s="82">
        <f t="shared" si="291"/>
        <v>17.7</v>
      </c>
      <c r="BP473" s="81">
        <f t="shared" si="292"/>
        <v>0.84285714285714286</v>
      </c>
      <c r="BQ473" s="81">
        <f t="shared" si="293"/>
        <v>0.84285714285714308</v>
      </c>
      <c r="BR473" s="81">
        <f t="shared" si="294"/>
        <v>1.1236000000000002</v>
      </c>
      <c r="BS473" s="82">
        <f t="shared" si="295"/>
        <v>21</v>
      </c>
      <c r="BT473" s="82">
        <f t="shared" si="296"/>
        <v>23.595600000000005</v>
      </c>
      <c r="BU473" s="82">
        <f t="shared" si="297"/>
        <v>23.595599999999997</v>
      </c>
      <c r="BW473" s="82">
        <f>IFERROR(INDEX('Infos Clientes'!$T:$T,MATCH('Detalhe Por UC'!$C473,'Infos Clientes'!B:B,0)),"")</f>
        <v>123.5</v>
      </c>
      <c r="BX473" s="83">
        <f t="shared" si="298"/>
        <v>0</v>
      </c>
      <c r="BY473" s="84">
        <f t="shared" si="299"/>
        <v>0.24986014341656909</v>
      </c>
      <c r="BZ473" s="85">
        <f>IF(_xlfn.MINIFS('Detalhe Por UC'!R:R,'Detalhe Por UC'!C:C,C473,'Detalhe Por UC'!AD:AD,"&gt;"&amp;0)=0,"",_xlfn.MINIFS('Detalhe Por UC'!R:R,'Detalhe Por UC'!C:C,C473,'Detalhe Por UC'!AD:AD,"&gt;"&amp;0))</f>
        <v>45627</v>
      </c>
      <c r="CA473" s="114">
        <f ca="1">IF(OR(S473&gt;0,AD473&gt;0),IFERROR(
SUMIFS(INDIRECT("'Infos Clientes'!$W"&amp;INDEX('Infos Clientes'!$C:$C,MATCH(C473,'Infos Clientes'!$H:$H,0))&amp;":$CZ"&amp;INDEX('Infos Clientes'!$C:$C,MATCH(C473,'Infos Clientes'!$H:$H,0))),'Infos Clientes'!$W$2:$CZ$2,"&gt;"&amp;$R473-365,'Infos Clientes'!$W$2:$CZ$2,"&lt;="&amp;$R473)/
COUNTIFS(INDIRECT("'Infos Clientes'!$W"&amp;INDEX('Infos Clientes'!$C:$C,MATCH(C473,'Infos Clientes'!$H:$H,0))&amp;":$CZ"&amp;INDEX('Infos Clientes'!$C:$C,MATCH(C473,'Infos Clientes'!$H:$H,0))),"&gt;="&amp;0,'Infos Clientes'!$W$2:$CZ$2,"&gt;"&amp;$R473-365,'Infos Clientes'!$W$2:$CZ$2,"&lt;="&amp;$R473),""),"")</f>
        <v>108.91666666666667</v>
      </c>
      <c r="CB473" s="87">
        <f>VLOOKUP(C473,'Infos Clientes'!B:L,11,0)</f>
        <v>0</v>
      </c>
      <c r="CC473" s="88" t="str">
        <f t="shared" si="300"/>
        <v>A Unidade Consumidora 10/987178-1 economizou R$5,9 na fatura referente à mai/2025  consumindo 21 kWh em créditos de energia renovável conforme fatura de energia. A economia foi de 25% em relação ao que seria pago para a Energisa considerando os créditos consumidos. Atenção: Mantenha as contas da Energisa em dia para evitar cortes.</v>
      </c>
      <c r="CD473" s="40" t="s">
        <v>249</v>
      </c>
      <c r="CE473" s="18">
        <v>164.96</v>
      </c>
      <c r="CF473" s="115">
        <f t="shared" si="301"/>
        <v>0</v>
      </c>
      <c r="CG473" t="s">
        <v>357</v>
      </c>
    </row>
    <row r="474" spans="1:85" ht="16.2" hidden="1" customHeight="1" x14ac:dyDescent="0.3">
      <c r="A474" s="105" t="str">
        <f>INDEX('Infos Clientes'!$D:$D,MATCH('Detalhe Por UC'!C474,'Infos Clientes'!B:B,0))</f>
        <v>IGREJA DO EVANGELHO QUADRANGULAR</v>
      </c>
      <c r="B474" s="106" t="str">
        <f>INDEX('Infos Clientes'!$F:$F,MATCH('Detalhe Por UC'!C474,'Infos Clientes'!B:B,0))</f>
        <v>62.955.505/1821-76</v>
      </c>
      <c r="C474" s="44" t="s">
        <v>81</v>
      </c>
      <c r="D474" t="s">
        <v>351</v>
      </c>
      <c r="E474" s="1" t="s">
        <v>352</v>
      </c>
      <c r="F474" s="56" t="str">
        <f>INDEX('Infos Clientes'!$I:$I,MATCH('Detalhe Por UC'!C474,'Infos Clientes'!B:B,0))</f>
        <v>BT</v>
      </c>
      <c r="G474" s="56" t="str">
        <f>INDEX('Infos Clientes'!$J:$J,MATCH('Detalhe Por UC'!C474,'Infos Clientes'!B:B,0))</f>
        <v>bifasico</v>
      </c>
      <c r="H474" s="108" t="s">
        <v>24</v>
      </c>
      <c r="I474" s="58">
        <f>IFERROR(VLOOKUP(C474,'Infos Clientes'!B:E,4,),"")</f>
        <v>362</v>
      </c>
      <c r="J474" s="109">
        <v>0.25</v>
      </c>
      <c r="K474" s="59">
        <f>INDEX('Infos Clientes'!$M:$M,MATCH('Detalhe Por UC'!C474,'Infos Clientes'!B:B,0))</f>
        <v>0.25</v>
      </c>
      <c r="L474" s="125">
        <v>0</v>
      </c>
      <c r="M474" s="56">
        <f>INDEX('Infos Clientes'!$N:$N,MATCH('Detalhe Por UC'!C474,'Infos Clientes'!B:B,0))</f>
        <v>0</v>
      </c>
      <c r="N474" s="56">
        <f t="shared" si="266"/>
        <v>0</v>
      </c>
      <c r="O474" s="56">
        <f t="shared" si="267"/>
        <v>12</v>
      </c>
      <c r="P474" s="56">
        <f t="shared" si="302"/>
        <v>0</v>
      </c>
      <c r="Q474" s="61">
        <f>IFERROR(IFERROR(INDEX('Infos Clientes'!$A$2:$V$9884,MATCH($C474,'Infos Clientes'!$B$2:$B$9884,0),MATCH(Q$8,'Infos Clientes'!$A$2:$V$2,0)),"")
+IF(OR(INDEX('Infos Clientes'!$A$2:$V$9884,MATCH($C474,'Infos Clientes'!$B$2:$B$9884,0),MATCH("Tempo de Fidelidade (meses)",'Infos Clientes'!$A$2:$V$2,0))=0,R474&gt;=MAX(R:R)),0,
ROUND((MAX(R:R)-R474)/(365/12),0)),"")</f>
        <v>0</v>
      </c>
      <c r="R474" s="111">
        <v>45778</v>
      </c>
      <c r="S474" s="17">
        <v>5.0000000000000001E-3</v>
      </c>
      <c r="T474" s="113">
        <f>IF($H474="GIROSSOL II",AP474/INDEX('Resumo Operacional'!$A$1:$P$1103,17,MATCH('Detalhe Por UC'!$R474,'Resumo Operacional'!$A$1:$P$1,0)),
IF($H474="GIROSSOL II e III",AP474/INDEX('Resumo Operacional'!$A$1:$P$1103,17,MATCH('Detalhe Por UC'!$R474,'Resumo Operacional'!$A$1:$P$1,0)),
""))</f>
        <v>6.9426587811776807E-3</v>
      </c>
      <c r="U474" s="113" t="str">
        <f>IF($H474="GIROSSOL III",AP474/INDEX('Resumo Operacional'!$A$1:$P$1103,53,MATCH('Detalhe Por UC'!$R474,'Resumo Operacional'!$A$1:$P$1,0)),
IF($H474="GIROSSOL II e III",AP474/INDEX('Resumo Operacional'!$A$1:$P$1103,53,MATCH('Detalhe Por UC'!$R474,'Resumo Operacional'!$A$1:$P$1,0)),
""))</f>
        <v/>
      </c>
      <c r="V474" s="45"/>
      <c r="X474" s="18">
        <v>1.1306256265749046</v>
      </c>
      <c r="Y474" s="18">
        <v>0</v>
      </c>
      <c r="Z474" s="18">
        <v>1.1305233976491462</v>
      </c>
      <c r="AA474" s="18">
        <v>0</v>
      </c>
      <c r="AB474" s="143">
        <v>221</v>
      </c>
      <c r="AC474" s="143">
        <v>0</v>
      </c>
      <c r="AD474" s="143">
        <v>54</v>
      </c>
      <c r="AE474" s="35"/>
      <c r="AF474" s="143">
        <v>0</v>
      </c>
      <c r="AG474" s="143">
        <v>0</v>
      </c>
      <c r="AH474" s="48">
        <v>22.21</v>
      </c>
      <c r="AI474" s="143">
        <v>0</v>
      </c>
      <c r="AJ474" s="143">
        <v>0</v>
      </c>
      <c r="AN474" s="71">
        <f t="shared" si="268"/>
        <v>0</v>
      </c>
      <c r="AO474" s="71">
        <f t="shared" si="269"/>
        <v>0</v>
      </c>
      <c r="AP474" s="71">
        <f t="shared" si="270"/>
        <v>54</v>
      </c>
      <c r="AQ474" s="72">
        <f>IF(OR($H474="GIROSSOL II",$H474="GIROSSOL II e III"),INDEX('Resumo Operacional'!$A$1:$P$1103,MATCH("Energia Injetada prevista total Fatura da Usina (TUSD)",'Resumo Operacional'!$B$1:$B$1103,0),MATCH('Detalhe Por UC'!$R474,'Resumo Operacional'!$A$1:$P$1,0))*$S474,INDEX('Resumo Operacional'!$A$1:$P$1103,53,MATCH('Detalhe Por UC'!$R474,'Resumo Operacional'!$A$1:$P$1,0))*$S474)</f>
        <v>38.89</v>
      </c>
      <c r="AR474" s="71">
        <f t="shared" si="271"/>
        <v>15.11</v>
      </c>
      <c r="AS474" s="73">
        <f t="shared" si="272"/>
        <v>211.03000000000006</v>
      </c>
      <c r="AT474" s="74">
        <f t="shared" si="273"/>
        <v>211.03000000000006</v>
      </c>
      <c r="AU474" s="74">
        <f t="shared" si="274"/>
        <v>1.1304211687233878</v>
      </c>
      <c r="AV474" s="74">
        <f t="shared" si="275"/>
        <v>45.786197604790424</v>
      </c>
      <c r="AW474" s="74">
        <f t="shared" si="276"/>
        <v>0</v>
      </c>
      <c r="AX474" s="74">
        <f t="shared" si="277"/>
        <v>61.048263473053893</v>
      </c>
      <c r="AY474" s="74">
        <f t="shared" si="278"/>
        <v>45.79</v>
      </c>
      <c r="AZ474" s="49">
        <v>45.79</v>
      </c>
      <c r="BA474" s="49">
        <v>45.79</v>
      </c>
      <c r="BC474" s="73" t="str">
        <f t="shared" si="279"/>
        <v/>
      </c>
      <c r="BD474" s="73">
        <f t="shared" si="280"/>
        <v>272.07826347305394</v>
      </c>
      <c r="BE474" s="73">
        <f t="shared" si="281"/>
        <v>256.81619760479049</v>
      </c>
      <c r="BF474" s="77">
        <f t="shared" si="282"/>
        <v>15.26</v>
      </c>
      <c r="BG474" s="77">
        <f t="shared" si="283"/>
        <v>4.5779999999999994</v>
      </c>
      <c r="BH474" s="77">
        <f t="shared" si="284"/>
        <v>61.048263473053893</v>
      </c>
      <c r="BI474" s="78">
        <f t="shared" si="285"/>
        <v>0.25</v>
      </c>
      <c r="BJ474" s="79">
        <f t="shared" si="286"/>
        <v>5.6086803132332247E-2</v>
      </c>
      <c r="BK474" s="80">
        <f t="shared" si="287"/>
        <v>256.82000000000005</v>
      </c>
      <c r="BL474" s="80">
        <f t="shared" si="288"/>
        <v>15.258263473053887</v>
      </c>
      <c r="BM474" s="79">
        <f t="shared" si="289"/>
        <v>5.608042067853404E-2</v>
      </c>
      <c r="BN474" s="81">
        <f t="shared" si="290"/>
        <v>0.84796296296296292</v>
      </c>
      <c r="BO474" s="82">
        <f t="shared" si="291"/>
        <v>45.79</v>
      </c>
      <c r="BP474" s="81">
        <f t="shared" si="292"/>
        <v>0.84796296296296292</v>
      </c>
      <c r="BQ474" s="81">
        <f t="shared" si="293"/>
        <v>0.84806519188872131</v>
      </c>
      <c r="BR474" s="81">
        <f t="shared" si="294"/>
        <v>1.1306256265749046</v>
      </c>
      <c r="BS474" s="82">
        <f t="shared" si="295"/>
        <v>54</v>
      </c>
      <c r="BT474" s="82">
        <f t="shared" si="296"/>
        <v>61.053783835044847</v>
      </c>
      <c r="BU474" s="82">
        <f t="shared" si="297"/>
        <v>61.048263473053893</v>
      </c>
      <c r="BW474" s="82">
        <f>IFERROR(INDEX('Infos Clientes'!$T:$T,MATCH('Detalhe Por UC'!$C474,'Infos Clientes'!B:B,0)),"")</f>
        <v>153.91666666666666</v>
      </c>
      <c r="BX474" s="83">
        <f t="shared" si="298"/>
        <v>0</v>
      </c>
      <c r="BY474" s="84">
        <f t="shared" si="299"/>
        <v>0.24991511606027048</v>
      </c>
      <c r="BZ474" s="85">
        <f>IF(_xlfn.MINIFS('Detalhe Por UC'!R:R,'Detalhe Por UC'!C:C,C474,'Detalhe Por UC'!AD:AD,"&gt;"&amp;0)=0,"",_xlfn.MINIFS('Detalhe Por UC'!R:R,'Detalhe Por UC'!C:C,C474,'Detalhe Por UC'!AD:AD,"&gt;"&amp;0))</f>
        <v>45627</v>
      </c>
      <c r="CA474" s="114">
        <f ca="1">IF(OR(S474&gt;0,AD474&gt;0),IFERROR(
SUMIFS(INDIRECT("'Infos Clientes'!$W"&amp;INDEX('Infos Clientes'!$C:$C,MATCH(C474,'Infos Clientes'!$H:$H,0))&amp;":$CZ"&amp;INDEX('Infos Clientes'!$C:$C,MATCH(C474,'Infos Clientes'!$H:$H,0))),'Infos Clientes'!$W$2:$CZ$2,"&gt;"&amp;$R474-365,'Infos Clientes'!$W$2:$CZ$2,"&lt;="&amp;$R474)/
COUNTIFS(INDIRECT("'Infos Clientes'!$W"&amp;INDEX('Infos Clientes'!$C:$C,MATCH(C474,'Infos Clientes'!$H:$H,0))&amp;":$CZ"&amp;INDEX('Infos Clientes'!$C:$C,MATCH(C474,'Infos Clientes'!$H:$H,0))),"&gt;="&amp;0,'Infos Clientes'!$W$2:$CZ$2,"&gt;"&amp;$R474-365,'Infos Clientes'!$W$2:$CZ$2,"&lt;="&amp;$R474),""),"")</f>
        <v>180.66666666666666</v>
      </c>
      <c r="CB474" s="87">
        <f>VLOOKUP(C474,'Infos Clientes'!B:L,11,0)</f>
        <v>0</v>
      </c>
      <c r="CC474" s="88" t="str">
        <f t="shared" si="300"/>
        <v>A Unidade Consumidora 10/257864-9 economizou R$15,26 na fatura referente à mai/2025  consumindo 54 kWh em créditos de energia renovável conforme fatura de energia. A economia foi de 25% em relação ao que seria pago para a Energisa considerando os créditos consumidos. Atenção: Mantenha as contas da Energisa em dia para evitar cortes.</v>
      </c>
      <c r="CD474" s="40" t="s">
        <v>83</v>
      </c>
      <c r="CE474" s="18">
        <v>211.03</v>
      </c>
      <c r="CF474" s="115">
        <f t="shared" si="301"/>
        <v>0</v>
      </c>
      <c r="CG474" t="s">
        <v>357</v>
      </c>
    </row>
    <row r="475" spans="1:85" ht="16.2" hidden="1" customHeight="1" x14ac:dyDescent="0.3">
      <c r="A475" s="105" t="str">
        <f>INDEX('Infos Clientes'!$D:$D,MATCH('Detalhe Por UC'!C475,'Infos Clientes'!B:B,0))</f>
        <v>IGREJA DO EVANGELHO QUADRANGULAR</v>
      </c>
      <c r="B475" s="106" t="str">
        <f>INDEX('Infos Clientes'!$F:$F,MATCH('Detalhe Por UC'!C475,'Infos Clientes'!B:B,0))</f>
        <v>62.955.505/3932-07</v>
      </c>
      <c r="C475" s="44" t="s">
        <v>18</v>
      </c>
      <c r="D475" t="s">
        <v>351</v>
      </c>
      <c r="E475" s="1" t="s">
        <v>352</v>
      </c>
      <c r="F475" s="56" t="str">
        <f>INDEX('Infos Clientes'!$I:$I,MATCH('Detalhe Por UC'!C475,'Infos Clientes'!B:B,0))</f>
        <v>BT</v>
      </c>
      <c r="G475" s="56" t="str">
        <f>INDEX('Infos Clientes'!$J:$J,MATCH('Detalhe Por UC'!C475,'Infos Clientes'!B:B,0))</f>
        <v>bifasico</v>
      </c>
      <c r="H475" s="108" t="s">
        <v>24</v>
      </c>
      <c r="I475" s="58">
        <f>IFERROR(VLOOKUP(C475,'Infos Clientes'!B:E,4,),"")</f>
        <v>302</v>
      </c>
      <c r="J475" s="109">
        <v>0.25</v>
      </c>
      <c r="K475" s="59">
        <f>INDEX('Infos Clientes'!$M:$M,MATCH('Detalhe Por UC'!C475,'Infos Clientes'!B:B,0))</f>
        <v>0.25</v>
      </c>
      <c r="L475" s="125">
        <v>0</v>
      </c>
      <c r="M475" s="56">
        <f>INDEX('Infos Clientes'!$N:$N,MATCH('Detalhe Por UC'!C475,'Infos Clientes'!B:B,0))</f>
        <v>0</v>
      </c>
      <c r="N475" s="56">
        <f t="shared" si="266"/>
        <v>0</v>
      </c>
      <c r="O475" s="56">
        <f t="shared" si="267"/>
        <v>12</v>
      </c>
      <c r="P475" s="56">
        <f t="shared" si="302"/>
        <v>0</v>
      </c>
      <c r="Q475" s="61">
        <f>IFERROR(IFERROR(INDEX('Infos Clientes'!$A$2:$V$9884,MATCH($C475,'Infos Clientes'!$B$2:$B$9884,0),MATCH(Q$8,'Infos Clientes'!$A$2:$V$2,0)),"")
+IF(OR(INDEX('Infos Clientes'!$A$2:$V$9884,MATCH($C475,'Infos Clientes'!$B$2:$B$9884,0),MATCH("Tempo de Fidelidade (meses)",'Infos Clientes'!$A$2:$V$2,0))=0,R475&gt;=MAX(R:R)),0,
ROUND((MAX(R:R)-R475)/(365/12),0)),"")</f>
        <v>0</v>
      </c>
      <c r="R475" s="111">
        <v>45778</v>
      </c>
      <c r="S475" s="17">
        <v>5.0000000000000001E-3</v>
      </c>
      <c r="T475" s="113">
        <f>IF($H475="GIROSSOL II",AP475/INDEX('Resumo Operacional'!$A$1:$P$1103,17,MATCH('Detalhe Por UC'!$R475,'Resumo Operacional'!$A$1:$P$1,0)),
IF($H475="GIROSSOL II e III",AP475/INDEX('Resumo Operacional'!$A$1:$P$1103,17,MATCH('Detalhe Por UC'!$R475,'Resumo Operacional'!$A$1:$P$1,0)),
""))</f>
        <v>4.8855746978657749E-3</v>
      </c>
      <c r="U475" s="113" t="str">
        <f>IF($H475="GIROSSOL III",AP475/INDEX('Resumo Operacional'!$A$1:$P$1103,53,MATCH('Detalhe Por UC'!$R475,'Resumo Operacional'!$A$1:$P$1,0)),
IF($H475="GIROSSOL II e III",AP475/INDEX('Resumo Operacional'!$A$1:$P$1103,53,MATCH('Detalhe Por UC'!$R475,'Resumo Operacional'!$A$1:$P$1,0)),
""))</f>
        <v/>
      </c>
      <c r="V475" s="45"/>
      <c r="X475" s="18">
        <v>1.1413753424657536</v>
      </c>
      <c r="Y475" s="18">
        <v>0</v>
      </c>
      <c r="Z475" s="18">
        <v>1.1413624999999998</v>
      </c>
      <c r="AA475" s="18">
        <v>0</v>
      </c>
      <c r="AB475" s="143">
        <v>146</v>
      </c>
      <c r="AC475" s="143">
        <v>0</v>
      </c>
      <c r="AD475" s="143">
        <v>96</v>
      </c>
      <c r="AE475" s="35"/>
      <c r="AF475" s="143">
        <v>516</v>
      </c>
      <c r="AG475" s="143">
        <v>0</v>
      </c>
      <c r="AH475" s="48">
        <v>21.58</v>
      </c>
      <c r="AI475" s="143">
        <v>0</v>
      </c>
      <c r="AJ475" s="143">
        <v>0</v>
      </c>
      <c r="AN475" s="71">
        <f t="shared" si="268"/>
        <v>-58</v>
      </c>
      <c r="AO475" s="71">
        <f t="shared" si="269"/>
        <v>0</v>
      </c>
      <c r="AP475" s="71">
        <f t="shared" si="270"/>
        <v>38</v>
      </c>
      <c r="AQ475" s="72">
        <f>IF(OR($H475="GIROSSOL II",$H475="GIROSSOL II e III"),INDEX('Resumo Operacional'!$A$1:$P$1103,MATCH("Energia Injetada prevista total Fatura da Usina (TUSD)",'Resumo Operacional'!$B$1:$B$1103,0),MATCH('Detalhe Por UC'!$R475,'Resumo Operacional'!$A$1:$P$1,0))*$S475,INDEX('Resumo Operacional'!$A$1:$P$1103,53,MATCH('Detalhe Por UC'!$R475,'Resumo Operacional'!$A$1:$P$1,0))*$S475)</f>
        <v>38.89</v>
      </c>
      <c r="AR475" s="71">
        <f t="shared" si="271"/>
        <v>-0.89000000000000057</v>
      </c>
      <c r="AS475" s="73">
        <f t="shared" si="272"/>
        <v>78.65000000000002</v>
      </c>
      <c r="AT475" s="74">
        <f t="shared" si="273"/>
        <v>78.65000000000002</v>
      </c>
      <c r="AU475" s="74">
        <f t="shared" si="274"/>
        <v>1.1413496575342461</v>
      </c>
      <c r="AV475" s="74">
        <f t="shared" si="275"/>
        <v>82.178100000000001</v>
      </c>
      <c r="AW475" s="74">
        <f t="shared" si="276"/>
        <v>0</v>
      </c>
      <c r="AX475" s="74">
        <f t="shared" si="277"/>
        <v>109.57079999999999</v>
      </c>
      <c r="AY475" s="74">
        <f t="shared" si="278"/>
        <v>82.18</v>
      </c>
      <c r="AZ475" s="49">
        <v>82.18</v>
      </c>
      <c r="BA475" s="49">
        <v>82.18</v>
      </c>
      <c r="BB475" s="117">
        <v>82.18</v>
      </c>
      <c r="BC475" s="73" t="str">
        <f t="shared" si="279"/>
        <v/>
      </c>
      <c r="BD475" s="73">
        <f t="shared" si="280"/>
        <v>188.2208</v>
      </c>
      <c r="BE475" s="73">
        <f t="shared" si="281"/>
        <v>160.82810000000001</v>
      </c>
      <c r="BF475" s="77">
        <f t="shared" si="282"/>
        <v>27.39</v>
      </c>
      <c r="BG475" s="77">
        <f t="shared" si="283"/>
        <v>8.2170000000000005</v>
      </c>
      <c r="BH475" s="77">
        <f t="shared" si="284"/>
        <v>109.57079999999999</v>
      </c>
      <c r="BI475" s="78">
        <f t="shared" si="285"/>
        <v>0.25</v>
      </c>
      <c r="BJ475" s="79">
        <f t="shared" si="286"/>
        <v>0.14552058008466653</v>
      </c>
      <c r="BK475" s="80">
        <f t="shared" si="287"/>
        <v>160.83000000000004</v>
      </c>
      <c r="BL475" s="80">
        <f t="shared" si="288"/>
        <v>27.390799999999956</v>
      </c>
      <c r="BM475" s="79">
        <f t="shared" si="289"/>
        <v>0.14552483041194147</v>
      </c>
      <c r="BN475" s="81">
        <f t="shared" si="290"/>
        <v>0.8560416666666667</v>
      </c>
      <c r="BO475" s="82">
        <f t="shared" si="291"/>
        <v>82.18</v>
      </c>
      <c r="BP475" s="81">
        <f t="shared" si="292"/>
        <v>0.8560416666666667</v>
      </c>
      <c r="BQ475" s="81">
        <f t="shared" si="293"/>
        <v>0.85605450913242043</v>
      </c>
      <c r="BR475" s="81">
        <f t="shared" si="294"/>
        <v>1.1413753424657536</v>
      </c>
      <c r="BS475" s="82">
        <f t="shared" si="295"/>
        <v>96</v>
      </c>
      <c r="BT475" s="82">
        <f t="shared" si="296"/>
        <v>109.57203287671234</v>
      </c>
      <c r="BU475" s="82">
        <f t="shared" si="297"/>
        <v>109.57079999999999</v>
      </c>
      <c r="BW475" s="82">
        <f>IFERROR(INDEX('Infos Clientes'!$T:$T,MATCH('Detalhe Por UC'!$C475,'Infos Clientes'!B:B,0)),"")</f>
        <v>99.833333333333329</v>
      </c>
      <c r="BX475" s="83">
        <f t="shared" si="298"/>
        <v>0</v>
      </c>
      <c r="BY475" s="84">
        <f t="shared" si="299"/>
        <v>0.24997984687223437</v>
      </c>
      <c r="BZ475" s="85">
        <f>IF(_xlfn.MINIFS('Detalhe Por UC'!R:R,'Detalhe Por UC'!C:C,C475,'Detalhe Por UC'!AD:AD,"&gt;"&amp;0)=0,"",_xlfn.MINIFS('Detalhe Por UC'!R:R,'Detalhe Por UC'!C:C,C475,'Detalhe Por UC'!AD:AD,"&gt;"&amp;0))</f>
        <v>45627</v>
      </c>
      <c r="CA475" s="114">
        <f ca="1">IF(OR(S475&gt;0,AD475&gt;0),IFERROR(
SUMIFS(INDIRECT("'Infos Clientes'!$W"&amp;INDEX('Infos Clientes'!$C:$C,MATCH(C475,'Infos Clientes'!$H:$H,0))&amp;":$CZ"&amp;INDEX('Infos Clientes'!$C:$C,MATCH(C475,'Infos Clientes'!$H:$H,0))),'Infos Clientes'!$W$2:$CZ$2,"&gt;"&amp;$R475-365,'Infos Clientes'!$W$2:$CZ$2,"&lt;="&amp;$R475)/
COUNTIFS(INDIRECT("'Infos Clientes'!$W"&amp;INDEX('Infos Clientes'!$C:$C,MATCH(C475,'Infos Clientes'!$H:$H,0))&amp;":$CZ"&amp;INDEX('Infos Clientes'!$C:$C,MATCH(C475,'Infos Clientes'!$H:$H,0))),"&gt;="&amp;0,'Infos Clientes'!$W$2:$CZ$2,"&gt;"&amp;$R475-365,'Infos Clientes'!$W$2:$CZ$2,"&lt;="&amp;$R475),""),"")</f>
        <v>128.5</v>
      </c>
      <c r="CB475" s="87">
        <f>VLOOKUP(C475,'Infos Clientes'!B:L,11,0)</f>
        <v>0</v>
      </c>
      <c r="CC475" s="88" t="str">
        <f t="shared" si="300"/>
        <v>A Unidade Consumidora 10/10232-7 economizou R$27,39 na fatura referente à mai/2025  consumindo 96 kWh em créditos de energia renovável conforme fatura de energia. A economia foi de 25% em relação ao que seria pago para a Energisa considerando os créditos consumidos. Atenção: Mantenha as contas da Energisa em dia para evitar cortes.</v>
      </c>
      <c r="CD475" s="40" t="s">
        <v>21</v>
      </c>
      <c r="CE475" s="18">
        <v>78.650000000000006</v>
      </c>
      <c r="CF475" s="115">
        <f t="shared" si="301"/>
        <v>0</v>
      </c>
      <c r="CG475" t="s">
        <v>359</v>
      </c>
    </row>
    <row r="476" spans="1:85" ht="16.2" hidden="1" customHeight="1" x14ac:dyDescent="0.3">
      <c r="A476" s="105" t="str">
        <f>INDEX('Infos Clientes'!$D:$D,MATCH('Detalhe Por UC'!C476,'Infos Clientes'!B:B,0))</f>
        <v>IGREJA DO EVANGELHO QUADRANGULAR</v>
      </c>
      <c r="B476" s="106" t="str">
        <f>INDEX('Infos Clientes'!$F:$F,MATCH('Detalhe Por UC'!C476,'Infos Clientes'!B:B,0))</f>
        <v>62.955.505/0001-67</v>
      </c>
      <c r="C476" s="44" t="s">
        <v>103</v>
      </c>
      <c r="D476" t="s">
        <v>351</v>
      </c>
      <c r="E476" s="1" t="s">
        <v>352</v>
      </c>
      <c r="F476" s="56" t="str">
        <f>INDEX('Infos Clientes'!$I:$I,MATCH('Detalhe Por UC'!C476,'Infos Clientes'!B:B,0))</f>
        <v>BT</v>
      </c>
      <c r="G476" s="56" t="str">
        <f>INDEX('Infos Clientes'!$J:$J,MATCH('Detalhe Por UC'!C476,'Infos Clientes'!B:B,0))</f>
        <v>monofasico</v>
      </c>
      <c r="H476" s="108" t="s">
        <v>24</v>
      </c>
      <c r="I476" s="58">
        <f>IFERROR(VLOOKUP(C476,'Infos Clientes'!B:E,4,),"")</f>
        <v>306</v>
      </c>
      <c r="J476" s="109">
        <v>0.25</v>
      </c>
      <c r="K476" s="59">
        <f>INDEX('Infos Clientes'!$M:$M,MATCH('Detalhe Por UC'!C476,'Infos Clientes'!B:B,0))</f>
        <v>0.25</v>
      </c>
      <c r="L476" s="125">
        <v>0</v>
      </c>
      <c r="M476" s="56">
        <f>INDEX('Infos Clientes'!$N:$N,MATCH('Detalhe Por UC'!C476,'Infos Clientes'!B:B,0))</f>
        <v>0</v>
      </c>
      <c r="N476" s="56">
        <f t="shared" si="266"/>
        <v>0</v>
      </c>
      <c r="O476" s="56">
        <f t="shared" si="267"/>
        <v>12</v>
      </c>
      <c r="P476" s="56">
        <f t="shared" si="302"/>
        <v>0</v>
      </c>
      <c r="Q476" s="61">
        <f>IFERROR(IFERROR(INDEX('Infos Clientes'!$A$2:$V$9884,MATCH($C476,'Infos Clientes'!$B$2:$B$9884,0),MATCH(Q$8,'Infos Clientes'!$A$2:$V$2,0)),"")
+IF(OR(INDEX('Infos Clientes'!$A$2:$V$9884,MATCH($C476,'Infos Clientes'!$B$2:$B$9884,0),MATCH("Tempo de Fidelidade (meses)",'Infos Clientes'!$A$2:$V$2,0))=0,R476&gt;=MAX(R:R)),0,
ROUND((MAX(R:R)-R476)/(365/12),0)),"")</f>
        <v>0</v>
      </c>
      <c r="R476" s="111">
        <v>45778</v>
      </c>
      <c r="S476" s="17">
        <v>7.0000000000000001E-3</v>
      </c>
      <c r="T476" s="113">
        <f>IF($H476="GIROSSOL II",AP476/INDEX('Resumo Operacional'!$A$1:$P$1103,17,MATCH('Detalhe Por UC'!$R476,'Resumo Operacional'!$A$1:$P$1,0)),
IF($H476="GIROSSOL II e III",AP476/INDEX('Resumo Operacional'!$A$1:$P$1103,17,MATCH('Detalhe Por UC'!$R476,'Resumo Operacional'!$A$1:$P$1,0)),
""))</f>
        <v>9.7711493957315498E-3</v>
      </c>
      <c r="U476" s="113" t="str">
        <f>IF($H476="GIROSSOL III",AP476/INDEX('Resumo Operacional'!$A$1:$P$1103,53,MATCH('Detalhe Por UC'!$R476,'Resumo Operacional'!$A$1:$P$1,0)),
IF($H476="GIROSSOL II e III",AP476/INDEX('Resumo Operacional'!$A$1:$P$1103,53,MATCH('Detalhe Por UC'!$R476,'Resumo Operacional'!$A$1:$P$1,0)),
""))</f>
        <v/>
      </c>
      <c r="V476" s="45"/>
      <c r="X476" s="18">
        <v>1.1291000000000002</v>
      </c>
      <c r="Y476" s="18">
        <v>0</v>
      </c>
      <c r="Z476" s="18">
        <v>1.0578846153846155</v>
      </c>
      <c r="AA476" s="18">
        <v>0</v>
      </c>
      <c r="AB476" s="143">
        <v>150</v>
      </c>
      <c r="AC476" s="143">
        <v>0</v>
      </c>
      <c r="AD476" s="143">
        <v>130</v>
      </c>
      <c r="AE476" s="35"/>
      <c r="AF476" s="143">
        <v>494</v>
      </c>
      <c r="AG476" s="143">
        <v>0</v>
      </c>
      <c r="AH476" s="48">
        <v>0</v>
      </c>
      <c r="AI476" s="143">
        <v>0</v>
      </c>
      <c r="AJ476" s="143">
        <v>0</v>
      </c>
      <c r="AN476" s="71">
        <f t="shared" si="268"/>
        <v>-54</v>
      </c>
      <c r="AO476" s="71">
        <f t="shared" si="269"/>
        <v>0</v>
      </c>
      <c r="AP476" s="71">
        <f t="shared" si="270"/>
        <v>76</v>
      </c>
      <c r="AQ476" s="72">
        <f>IF(OR($H476="GIROSSOL II",$H476="GIROSSOL II e III"),INDEX('Resumo Operacional'!$A$1:$P$1103,MATCH("Energia Injetada prevista total Fatura da Usina (TUSD)",'Resumo Operacional'!$B$1:$B$1103,0),MATCH('Detalhe Por UC'!$R476,'Resumo Operacional'!$A$1:$P$1,0))*$S476,INDEX('Resumo Operacional'!$A$1:$P$1103,53,MATCH('Detalhe Por UC'!$R476,'Resumo Operacional'!$A$1:$P$1,0))*$S476)</f>
        <v>54.445999999999998</v>
      </c>
      <c r="AR476" s="71">
        <f t="shared" si="271"/>
        <v>21.554000000000002</v>
      </c>
      <c r="AS476" s="73">
        <f t="shared" si="272"/>
        <v>31.840000000000032</v>
      </c>
      <c r="AT476" s="74">
        <f t="shared" si="273"/>
        <v>31.840000000000032</v>
      </c>
      <c r="AU476" s="74">
        <f t="shared" si="274"/>
        <v>0.98666923076923085</v>
      </c>
      <c r="AV476" s="74">
        <f t="shared" si="275"/>
        <v>103.14375000000001</v>
      </c>
      <c r="AW476" s="74">
        <f t="shared" si="276"/>
        <v>0</v>
      </c>
      <c r="AX476" s="74">
        <f t="shared" si="277"/>
        <v>137.52500000000001</v>
      </c>
      <c r="AY476" s="74">
        <f t="shared" si="278"/>
        <v>103.14</v>
      </c>
      <c r="AZ476" s="49">
        <v>103.14</v>
      </c>
      <c r="BA476" s="49">
        <v>103.14</v>
      </c>
      <c r="BB476" s="117">
        <v>137.53</v>
      </c>
      <c r="BC476" s="73">
        <f t="shared" si="279"/>
        <v>34.39</v>
      </c>
      <c r="BD476" s="73">
        <f t="shared" si="280"/>
        <v>169.36500000000004</v>
      </c>
      <c r="BE476" s="73">
        <f t="shared" si="281"/>
        <v>134.98375000000004</v>
      </c>
      <c r="BF476" s="77">
        <f t="shared" si="282"/>
        <v>34.380000000000003</v>
      </c>
      <c r="BG476" s="77">
        <f t="shared" si="283"/>
        <v>10.314</v>
      </c>
      <c r="BH476" s="77">
        <f t="shared" si="284"/>
        <v>137.52500000000001</v>
      </c>
      <c r="BI476" s="78">
        <f t="shared" si="285"/>
        <v>0.25</v>
      </c>
      <c r="BJ476" s="79">
        <f t="shared" si="286"/>
        <v>0.20299353467363385</v>
      </c>
      <c r="BK476" s="80">
        <f t="shared" si="287"/>
        <v>134.98000000000002</v>
      </c>
      <c r="BL476" s="80">
        <f t="shared" si="288"/>
        <v>34.385000000000019</v>
      </c>
      <c r="BM476" s="79">
        <f t="shared" si="289"/>
        <v>0.20302305671183546</v>
      </c>
      <c r="BN476" s="81">
        <f t="shared" si="290"/>
        <v>0.79338461538461535</v>
      </c>
      <c r="BO476" s="82">
        <f t="shared" si="291"/>
        <v>103.14</v>
      </c>
      <c r="BP476" s="81">
        <f t="shared" si="292"/>
        <v>0.79338461538461535</v>
      </c>
      <c r="BQ476" s="81">
        <f t="shared" si="293"/>
        <v>0.86460000000000004</v>
      </c>
      <c r="BR476" s="81">
        <f t="shared" si="294"/>
        <v>1.1291000000000002</v>
      </c>
      <c r="BS476" s="82">
        <f t="shared" si="295"/>
        <v>130</v>
      </c>
      <c r="BT476" s="82">
        <f t="shared" si="296"/>
        <v>146.78300000000002</v>
      </c>
      <c r="BU476" s="82">
        <f t="shared" si="297"/>
        <v>137.52500000000001</v>
      </c>
      <c r="BW476" s="82">
        <f>IFERROR(INDEX('Infos Clientes'!$T:$T,MATCH('Detalhe Por UC'!$C476,'Infos Clientes'!B:B,0)),"")</f>
        <v>144</v>
      </c>
      <c r="BX476" s="83">
        <f t="shared" si="298"/>
        <v>0</v>
      </c>
      <c r="BY476" s="84">
        <f t="shared" si="299"/>
        <v>0.23425737312904094</v>
      </c>
      <c r="BZ476" s="85">
        <f>IF(_xlfn.MINIFS('Detalhe Por UC'!R:R,'Detalhe Por UC'!C:C,C476,'Detalhe Por UC'!AD:AD,"&gt;"&amp;0)=0,"",_xlfn.MINIFS('Detalhe Por UC'!R:R,'Detalhe Por UC'!C:C,C476,'Detalhe Por UC'!AD:AD,"&gt;"&amp;0))</f>
        <v>45627</v>
      </c>
      <c r="CA476" s="114">
        <f ca="1">IF(OR(S476&gt;0,AD476&gt;0),IFERROR(
SUMIFS(INDIRECT("'Infos Clientes'!$W"&amp;INDEX('Infos Clientes'!$C:$C,MATCH(C476,'Infos Clientes'!$H:$H,0))&amp;":$CZ"&amp;INDEX('Infos Clientes'!$C:$C,MATCH(C476,'Infos Clientes'!$H:$H,0))),'Infos Clientes'!$W$2:$CZ$2,"&gt;"&amp;$R476-365,'Infos Clientes'!$W$2:$CZ$2,"&lt;="&amp;$R476)/
COUNTIFS(INDIRECT("'Infos Clientes'!$W"&amp;INDEX('Infos Clientes'!$C:$C,MATCH(C476,'Infos Clientes'!$H:$H,0))&amp;":$CZ"&amp;INDEX('Infos Clientes'!$C:$C,MATCH(C476,'Infos Clientes'!$H:$H,0))),"&gt;="&amp;0,'Infos Clientes'!$W$2:$CZ$2,"&gt;"&amp;$R476-365,'Infos Clientes'!$W$2:$CZ$2,"&lt;="&amp;$R476),""),"")</f>
        <v>124</v>
      </c>
      <c r="CB476" s="87">
        <f>VLOOKUP(C476,'Infos Clientes'!B:L,11,0)</f>
        <v>0</v>
      </c>
      <c r="CC476" s="88" t="str">
        <f t="shared" si="300"/>
        <v>A Unidade Consumidora 10/384823-1 economizou R$34,38 na fatura referente à mai/2025  consumindo 130 kWh em créditos de energia renovável conforme fatura de energia. A economia foi de 25% em relação ao que seria pago para a Energisa considerando os créditos consumidos. Atenção: Mantenha as contas da Energisa em dia para evitar cortes.</v>
      </c>
      <c r="CD476" s="40" t="s">
        <v>249</v>
      </c>
      <c r="CE476" s="18">
        <v>31.84</v>
      </c>
      <c r="CF476" s="115">
        <f t="shared" si="301"/>
        <v>-3.1974423109204508E-14</v>
      </c>
      <c r="CG476" t="s">
        <v>357</v>
      </c>
    </row>
    <row r="477" spans="1:85" ht="16.2" hidden="1" customHeight="1" x14ac:dyDescent="0.3">
      <c r="A477" s="105" t="str">
        <f>INDEX('Infos Clientes'!$D:$D,MATCH('Detalhe Por UC'!C477,'Infos Clientes'!B:B,0))</f>
        <v>IGREJA DO EVANGELHO QUADRANGULAR</v>
      </c>
      <c r="B477" s="106" t="str">
        <f>INDEX('Infos Clientes'!$F:$F,MATCH('Detalhe Por UC'!C477,'Infos Clientes'!B:B,0))</f>
        <v>62.955.505/3793-95</v>
      </c>
      <c r="C477" s="44" t="s">
        <v>84</v>
      </c>
      <c r="D477" t="s">
        <v>351</v>
      </c>
      <c r="E477" s="1" t="s">
        <v>352</v>
      </c>
      <c r="F477" s="56" t="str">
        <f>INDEX('Infos Clientes'!$I:$I,MATCH('Detalhe Por UC'!C477,'Infos Clientes'!B:B,0))</f>
        <v>BT</v>
      </c>
      <c r="G477" s="56" t="str">
        <f>INDEX('Infos Clientes'!$J:$J,MATCH('Detalhe Por UC'!C477,'Infos Clientes'!B:B,0))</f>
        <v>trifasico</v>
      </c>
      <c r="H477" s="108" t="s">
        <v>24</v>
      </c>
      <c r="I477" s="58">
        <f>IFERROR(VLOOKUP(C477,'Infos Clientes'!B:E,4,),"")</f>
        <v>302</v>
      </c>
      <c r="J477" s="109">
        <v>0.25</v>
      </c>
      <c r="K477" s="59">
        <f>INDEX('Infos Clientes'!$M:$M,MATCH('Detalhe Por UC'!C477,'Infos Clientes'!B:B,0))</f>
        <v>0.25</v>
      </c>
      <c r="L477" s="125">
        <v>0</v>
      </c>
      <c r="M477" s="56">
        <f>INDEX('Infos Clientes'!$N:$N,MATCH('Detalhe Por UC'!C477,'Infos Clientes'!B:B,0))</f>
        <v>0</v>
      </c>
      <c r="N477" s="56">
        <f t="shared" si="266"/>
        <v>0</v>
      </c>
      <c r="O477" s="56">
        <f t="shared" si="267"/>
        <v>12</v>
      </c>
      <c r="P477" s="56">
        <f t="shared" si="302"/>
        <v>0</v>
      </c>
      <c r="Q477" s="61">
        <f>IFERROR(IFERROR(INDEX('Infos Clientes'!$A$2:$V$9884,MATCH($C477,'Infos Clientes'!$B$2:$B$9884,0),MATCH(Q$8,'Infos Clientes'!$A$2:$V$2,0)),"")
+IF(OR(INDEX('Infos Clientes'!$A$2:$V$9884,MATCH($C477,'Infos Clientes'!$B$2:$B$9884,0),MATCH("Tempo de Fidelidade (meses)",'Infos Clientes'!$A$2:$V$2,0))=0,R477&gt;=MAX(R:R)),0,
ROUND((MAX(R:R)-R477)/(365/12),0)),"")</f>
        <v>0</v>
      </c>
      <c r="R477" s="111">
        <v>45778</v>
      </c>
      <c r="S477" s="17">
        <v>0.06</v>
      </c>
      <c r="T477" s="113">
        <f>IF($H477="GIROSSOL II",AP477/INDEX('Resumo Operacional'!$A$1:$P$1103,17,MATCH('Detalhe Por UC'!$R477,'Resumo Operacional'!$A$1:$P$1,0)),
IF($H477="GIROSSOL II e III",AP477/INDEX('Resumo Operacional'!$A$1:$P$1103,17,MATCH('Detalhe Por UC'!$R477,'Resumo Operacional'!$A$1:$P$1,0)),
""))</f>
        <v>8.4211879660581121E-2</v>
      </c>
      <c r="U477" s="113" t="str">
        <f>IF($H477="GIROSSOL III",AP477/INDEX('Resumo Operacional'!$A$1:$P$1103,53,MATCH('Detalhe Por UC'!$R477,'Resumo Operacional'!$A$1:$P$1,0)),
IF($H477="GIROSSOL II e III",AP477/INDEX('Resumo Operacional'!$A$1:$P$1103,53,MATCH('Detalhe Por UC'!$R477,'Resumo Operacional'!$A$1:$P$1,0)),
""))</f>
        <v/>
      </c>
      <c r="V477" s="45"/>
      <c r="X477" s="18">
        <v>1.1250111111111112</v>
      </c>
      <c r="Y477" s="18">
        <v>0</v>
      </c>
      <c r="Z477" s="18">
        <v>1.1249956521739131</v>
      </c>
      <c r="AA477" s="18">
        <v>0</v>
      </c>
      <c r="AB477" s="143">
        <v>675</v>
      </c>
      <c r="AC477" s="143">
        <v>0</v>
      </c>
      <c r="AD477" s="143">
        <v>575</v>
      </c>
      <c r="AE477" s="35"/>
      <c r="AF477" s="143">
        <v>587</v>
      </c>
      <c r="AG477" s="143">
        <v>0</v>
      </c>
      <c r="AH477" s="48">
        <v>0</v>
      </c>
      <c r="AI477" s="143">
        <v>0</v>
      </c>
      <c r="AJ477" s="143">
        <v>0</v>
      </c>
      <c r="AN477" s="71">
        <f t="shared" si="268"/>
        <v>80</v>
      </c>
      <c r="AO477" s="71">
        <f t="shared" si="269"/>
        <v>0</v>
      </c>
      <c r="AP477" s="71">
        <f t="shared" si="270"/>
        <v>655</v>
      </c>
      <c r="AQ477" s="72">
        <f>IF(OR($H477="GIROSSOL II",$H477="GIROSSOL II e III"),INDEX('Resumo Operacional'!$A$1:$P$1103,MATCH("Energia Injetada prevista total Fatura da Usina (TUSD)",'Resumo Operacional'!$B$1:$B$1103,0),MATCH('Detalhe Por UC'!$R477,'Resumo Operacional'!$A$1:$P$1,0))*$S477,INDEX('Resumo Operacional'!$A$1:$P$1103,53,MATCH('Detalhe Por UC'!$R477,'Resumo Operacional'!$A$1:$P$1,0))*$S477)</f>
        <v>466.68</v>
      </c>
      <c r="AR477" s="71">
        <f t="shared" si="271"/>
        <v>188.32</v>
      </c>
      <c r="AS477" s="73">
        <f t="shared" si="272"/>
        <v>112.50999999999999</v>
      </c>
      <c r="AT477" s="74">
        <f t="shared" si="273"/>
        <v>112.50999999999999</v>
      </c>
      <c r="AU477" s="74">
        <f t="shared" si="274"/>
        <v>1.1249801932367149</v>
      </c>
      <c r="AV477" s="74">
        <f t="shared" si="275"/>
        <v>485.15437499999996</v>
      </c>
      <c r="AW477" s="74">
        <f t="shared" si="276"/>
        <v>0</v>
      </c>
      <c r="AX477" s="74">
        <f t="shared" si="277"/>
        <v>646.87250000000006</v>
      </c>
      <c r="AY477" s="74">
        <f t="shared" si="278"/>
        <v>485.15</v>
      </c>
      <c r="AZ477" s="49">
        <v>485.15</v>
      </c>
      <c r="BA477" s="49">
        <v>485.15</v>
      </c>
      <c r="BC477" s="73" t="str">
        <f t="shared" si="279"/>
        <v/>
      </c>
      <c r="BD477" s="73">
        <f t="shared" si="280"/>
        <v>759.38250000000005</v>
      </c>
      <c r="BE477" s="73">
        <f t="shared" si="281"/>
        <v>597.66437499999995</v>
      </c>
      <c r="BF477" s="77">
        <f t="shared" si="282"/>
        <v>161.72</v>
      </c>
      <c r="BG477" s="77">
        <f t="shared" si="283"/>
        <v>48.515999999999998</v>
      </c>
      <c r="BH477" s="77">
        <f t="shared" si="284"/>
        <v>646.87250000000006</v>
      </c>
      <c r="BI477" s="78">
        <f t="shared" si="285"/>
        <v>0.25</v>
      </c>
      <c r="BJ477" s="79">
        <f t="shared" si="286"/>
        <v>0.21296250572010811</v>
      </c>
      <c r="BK477" s="80">
        <f t="shared" si="287"/>
        <v>597.66</v>
      </c>
      <c r="BL477" s="80">
        <f t="shared" si="288"/>
        <v>161.72250000000008</v>
      </c>
      <c r="BM477" s="79">
        <f t="shared" si="289"/>
        <v>0.21296579786866313</v>
      </c>
      <c r="BN477" s="81">
        <f t="shared" si="290"/>
        <v>0.84373913043478255</v>
      </c>
      <c r="BO477" s="82">
        <f t="shared" si="291"/>
        <v>485.15</v>
      </c>
      <c r="BP477" s="81">
        <f t="shared" si="292"/>
        <v>0.84373913043478255</v>
      </c>
      <c r="BQ477" s="81">
        <f t="shared" si="293"/>
        <v>0.84375458937198067</v>
      </c>
      <c r="BR477" s="81">
        <f t="shared" si="294"/>
        <v>1.1250111111111112</v>
      </c>
      <c r="BS477" s="82">
        <f t="shared" si="295"/>
        <v>575</v>
      </c>
      <c r="BT477" s="82">
        <f t="shared" si="296"/>
        <v>646.88138888888898</v>
      </c>
      <c r="BU477" s="82">
        <f t="shared" si="297"/>
        <v>646.87250000000006</v>
      </c>
      <c r="BW477" s="82">
        <f>IFERROR(INDEX('Infos Clientes'!$T:$T,MATCH('Detalhe Por UC'!$C477,'Infos Clientes'!B:B,0)),"")</f>
        <v>818</v>
      </c>
      <c r="BX477" s="83">
        <f t="shared" si="298"/>
        <v>0</v>
      </c>
      <c r="BY477" s="84">
        <f t="shared" si="299"/>
        <v>0.25000332793277841</v>
      </c>
      <c r="BZ477" s="85">
        <f>IF(_xlfn.MINIFS('Detalhe Por UC'!R:R,'Detalhe Por UC'!C:C,C477,'Detalhe Por UC'!AD:AD,"&gt;"&amp;0)=0,"",_xlfn.MINIFS('Detalhe Por UC'!R:R,'Detalhe Por UC'!C:C,C477,'Detalhe Por UC'!AD:AD,"&gt;"&amp;0))</f>
        <v>45627</v>
      </c>
      <c r="CA477" s="114">
        <f ca="1">IF(OR(S477&gt;0,AD477&gt;0),IFERROR(
SUMIFS(INDIRECT("'Infos Clientes'!$W"&amp;INDEX('Infos Clientes'!$C:$C,MATCH(C477,'Infos Clientes'!$H:$H,0))&amp;":$CZ"&amp;INDEX('Infos Clientes'!$C:$C,MATCH(C477,'Infos Clientes'!$H:$H,0))),'Infos Clientes'!$W$2:$CZ$2,"&gt;"&amp;$R477-365,'Infos Clientes'!$W$2:$CZ$2,"&lt;="&amp;$R477)/
COUNTIFS(INDIRECT("'Infos Clientes'!$W"&amp;INDEX('Infos Clientes'!$C:$C,MATCH(C477,'Infos Clientes'!$H:$H,0))&amp;":$CZ"&amp;INDEX('Infos Clientes'!$C:$C,MATCH(C477,'Infos Clientes'!$H:$H,0))),"&gt;="&amp;0,'Infos Clientes'!$W$2:$CZ$2,"&gt;"&amp;$R477-365,'Infos Clientes'!$W$2:$CZ$2,"&lt;="&amp;$R477),""),"")</f>
        <v>868</v>
      </c>
      <c r="CB477" s="87">
        <f>VLOOKUP(C477,'Infos Clientes'!B:L,11,0)</f>
        <v>0</v>
      </c>
      <c r="CC477" s="88" t="str">
        <f t="shared" si="300"/>
        <v>A Unidade Consumidora 10/2599101-9 economizou R$161,72 na fatura referente à mai/2025  consumindo 575 kWh em créditos de energia renovável conforme fatura de energia. A economia foi de 25% em relação ao que seria pago para a Energisa considerando os créditos consumidos. Atenção: Mantenha as contas da Energisa em dia para evitar cortes.</v>
      </c>
      <c r="CD477" s="40" t="s">
        <v>86</v>
      </c>
      <c r="CE477" s="18">
        <v>112.51</v>
      </c>
      <c r="CF477" s="115">
        <f t="shared" si="301"/>
        <v>0</v>
      </c>
      <c r="CG477" t="s">
        <v>357</v>
      </c>
    </row>
    <row r="478" spans="1:85" ht="16.2" hidden="1" customHeight="1" x14ac:dyDescent="0.3">
      <c r="A478" s="105" t="str">
        <f>INDEX('Infos Clientes'!$D:$D,MATCH('Detalhe Por UC'!C478,'Infos Clientes'!B:B,0))</f>
        <v>IGREJA DO EVANGELHO QUADRANGULAR</v>
      </c>
      <c r="B478" s="106" t="str">
        <f>INDEX('Infos Clientes'!$F:$F,MATCH('Detalhe Por UC'!C478,'Infos Clientes'!B:B,0))</f>
        <v>62.955.505/0164-03</v>
      </c>
      <c r="C478" s="44" t="s">
        <v>70</v>
      </c>
      <c r="D478" t="s">
        <v>351</v>
      </c>
      <c r="E478" s="1" t="s">
        <v>352</v>
      </c>
      <c r="F478" s="56" t="str">
        <f>INDEX('Infos Clientes'!$I:$I,MATCH('Detalhe Por UC'!C478,'Infos Clientes'!B:B,0))</f>
        <v>BT</v>
      </c>
      <c r="G478" s="56" t="str">
        <f>INDEX('Infos Clientes'!$J:$J,MATCH('Detalhe Por UC'!C478,'Infos Clientes'!B:B,0))</f>
        <v>trifasico</v>
      </c>
      <c r="H478" s="108" t="s">
        <v>24</v>
      </c>
      <c r="I478" s="58">
        <f>IFERROR(VLOOKUP(C478,'Infos Clientes'!B:E,4,),"")</f>
        <v>371</v>
      </c>
      <c r="J478" s="109">
        <v>0.25</v>
      </c>
      <c r="K478" s="59">
        <f>INDEX('Infos Clientes'!$M:$M,MATCH('Detalhe Por UC'!C478,'Infos Clientes'!B:B,0))</f>
        <v>0.25</v>
      </c>
      <c r="L478" s="125">
        <v>0</v>
      </c>
      <c r="M478" s="56">
        <f>INDEX('Infos Clientes'!$N:$N,MATCH('Detalhe Por UC'!C478,'Infos Clientes'!B:B,0))</f>
        <v>0</v>
      </c>
      <c r="N478" s="56">
        <f t="shared" si="266"/>
        <v>0</v>
      </c>
      <c r="O478" s="56">
        <f t="shared" si="267"/>
        <v>12</v>
      </c>
      <c r="P478" s="56">
        <f t="shared" si="302"/>
        <v>0</v>
      </c>
      <c r="Q478" s="61">
        <f>IFERROR(IFERROR(INDEX('Infos Clientes'!$A$2:$V$9884,MATCH($C478,'Infos Clientes'!$B$2:$B$9884,0),MATCH(Q$8,'Infos Clientes'!$A$2:$V$2,0)),"")
+IF(OR(INDEX('Infos Clientes'!$A$2:$V$9884,MATCH($C478,'Infos Clientes'!$B$2:$B$9884,0),MATCH("Tempo de Fidelidade (meses)",'Infos Clientes'!$A$2:$V$2,0))=0,R478&gt;=MAX(R:R)),0,
ROUND((MAX(R:R)-R478)/(365/12),0)),"")</f>
        <v>0</v>
      </c>
      <c r="R478" s="111">
        <v>45778</v>
      </c>
      <c r="S478" s="17">
        <v>4.2000000000000003E-2</v>
      </c>
      <c r="T478" s="113">
        <f>IF($H478="GIROSSOL II",AP478/INDEX('Resumo Operacional'!$A$1:$P$1103,17,MATCH('Detalhe Por UC'!$R478,'Resumo Operacional'!$A$1:$P$1,0)),
IF($H478="GIROSSOL II e III",AP478/INDEX('Resumo Operacional'!$A$1:$P$1103,17,MATCH('Detalhe Por UC'!$R478,'Resumo Operacional'!$A$1:$P$1,0)),
""))</f>
        <v>0.10079712008228336</v>
      </c>
      <c r="U478" s="113" t="str">
        <f>IF($H478="GIROSSOL III",AP478/INDEX('Resumo Operacional'!$A$1:$P$1103,53,MATCH('Detalhe Por UC'!$R478,'Resumo Operacional'!$A$1:$P$1,0)),
IF($H478="GIROSSOL II e III",AP478/INDEX('Resumo Operacional'!$A$1:$P$1103,53,MATCH('Detalhe Por UC'!$R478,'Resumo Operacional'!$A$1:$P$1,0)),
""))</f>
        <v/>
      </c>
      <c r="V478" s="45"/>
      <c r="X478" s="18">
        <v>1.1353249999999999</v>
      </c>
      <c r="Y478" s="18">
        <v>0</v>
      </c>
      <c r="Z478" s="18">
        <v>1.1353142857142857</v>
      </c>
      <c r="AA478" s="18">
        <v>0</v>
      </c>
      <c r="AB478" s="143">
        <v>800</v>
      </c>
      <c r="AC478" s="143">
        <v>0</v>
      </c>
      <c r="AD478" s="143">
        <v>700</v>
      </c>
      <c r="AE478" s="35"/>
      <c r="AF478" s="143">
        <v>84</v>
      </c>
      <c r="AG478" s="143">
        <v>0</v>
      </c>
      <c r="AH478" s="48">
        <v>185.67000000000002</v>
      </c>
      <c r="AI478" s="143">
        <v>0</v>
      </c>
      <c r="AJ478" s="143">
        <v>0</v>
      </c>
      <c r="AN478" s="71">
        <f t="shared" si="268"/>
        <v>84</v>
      </c>
      <c r="AO478" s="71">
        <f t="shared" si="269"/>
        <v>0</v>
      </c>
      <c r="AP478" s="71">
        <f t="shared" si="270"/>
        <v>784</v>
      </c>
      <c r="AQ478" s="72">
        <f>IF(OR($H478="GIROSSOL II",$H478="GIROSSOL II e III"),INDEX('Resumo Operacional'!$A$1:$P$1103,MATCH("Energia Injetada prevista total Fatura da Usina (TUSD)",'Resumo Operacional'!$B$1:$B$1103,0),MATCH('Detalhe Por UC'!$R478,'Resumo Operacional'!$A$1:$P$1,0))*$S478,INDEX('Resumo Operacional'!$A$1:$P$1103,53,MATCH('Detalhe Por UC'!$R478,'Resumo Operacional'!$A$1:$P$1,0))*$S478)</f>
        <v>326.67600000000004</v>
      </c>
      <c r="AR478" s="71">
        <f t="shared" si="271"/>
        <v>457.32399999999996</v>
      </c>
      <c r="AS478" s="73">
        <f t="shared" si="272"/>
        <v>299.20999999999998</v>
      </c>
      <c r="AT478" s="74">
        <f t="shared" si="273"/>
        <v>299.20999999999998</v>
      </c>
      <c r="AU478" s="74">
        <f t="shared" si="274"/>
        <v>1.1353035714285715</v>
      </c>
      <c r="AV478" s="74">
        <f t="shared" si="275"/>
        <v>596.04</v>
      </c>
      <c r="AW478" s="74">
        <f t="shared" si="276"/>
        <v>0</v>
      </c>
      <c r="AX478" s="74">
        <f t="shared" si="277"/>
        <v>794.72</v>
      </c>
      <c r="AY478" s="74">
        <f t="shared" si="278"/>
        <v>596.04</v>
      </c>
      <c r="AZ478" s="49">
        <v>596.04</v>
      </c>
      <c r="BA478" s="49">
        <v>596.04</v>
      </c>
      <c r="BB478" s="117">
        <v>596.04</v>
      </c>
      <c r="BC478" s="73" t="str">
        <f t="shared" si="279"/>
        <v/>
      </c>
      <c r="BD478" s="73">
        <f t="shared" si="280"/>
        <v>1093.93</v>
      </c>
      <c r="BE478" s="73">
        <f t="shared" si="281"/>
        <v>895.25</v>
      </c>
      <c r="BF478" s="77">
        <f t="shared" si="282"/>
        <v>198.68</v>
      </c>
      <c r="BG478" s="77">
        <f t="shared" si="283"/>
        <v>59.603999999999999</v>
      </c>
      <c r="BH478" s="77">
        <f t="shared" si="284"/>
        <v>794.72</v>
      </c>
      <c r="BI478" s="78">
        <f t="shared" si="285"/>
        <v>0.25</v>
      </c>
      <c r="BJ478" s="79">
        <f t="shared" si="286"/>
        <v>0.18162039618622763</v>
      </c>
      <c r="BK478" s="80">
        <f t="shared" si="287"/>
        <v>895.25</v>
      </c>
      <c r="BL478" s="80">
        <f t="shared" si="288"/>
        <v>198.68000000000006</v>
      </c>
      <c r="BM478" s="79">
        <f t="shared" si="289"/>
        <v>0.18162039618622769</v>
      </c>
      <c r="BN478" s="81">
        <f t="shared" si="290"/>
        <v>0.85148571428571418</v>
      </c>
      <c r="BO478" s="82">
        <f t="shared" si="291"/>
        <v>596.04</v>
      </c>
      <c r="BP478" s="81">
        <f t="shared" si="292"/>
        <v>0.85148571428571418</v>
      </c>
      <c r="BQ478" s="81">
        <f t="shared" si="293"/>
        <v>0.85149642857142838</v>
      </c>
      <c r="BR478" s="81">
        <f t="shared" si="294"/>
        <v>1.1353249999999999</v>
      </c>
      <c r="BS478" s="82">
        <f t="shared" si="295"/>
        <v>700</v>
      </c>
      <c r="BT478" s="82">
        <f t="shared" si="296"/>
        <v>794.72749999999996</v>
      </c>
      <c r="BU478" s="82">
        <f t="shared" si="297"/>
        <v>794.72</v>
      </c>
      <c r="BW478" s="82">
        <f>IFERROR(INDEX('Infos Clientes'!$T:$T,MATCH('Detalhe Por UC'!$C478,'Infos Clientes'!B:B,0)),"")</f>
        <v>796.66666666666663</v>
      </c>
      <c r="BX478" s="83">
        <f t="shared" si="298"/>
        <v>0</v>
      </c>
      <c r="BY478" s="84">
        <f t="shared" si="299"/>
        <v>0.24999764070074346</v>
      </c>
      <c r="BZ478" s="85">
        <f>IF(_xlfn.MINIFS('Detalhe Por UC'!R:R,'Detalhe Por UC'!C:C,C478,'Detalhe Por UC'!AD:AD,"&gt;"&amp;0)=0,"",_xlfn.MINIFS('Detalhe Por UC'!R:R,'Detalhe Por UC'!C:C,C478,'Detalhe Por UC'!AD:AD,"&gt;"&amp;0))</f>
        <v>45627</v>
      </c>
      <c r="CA478" s="114">
        <f ca="1">IF(OR(S478&gt;0,AD478&gt;0),IFERROR(
SUMIFS(INDIRECT("'Infos Clientes'!$W"&amp;INDEX('Infos Clientes'!$C:$C,MATCH(C478,'Infos Clientes'!$H:$H,0))&amp;":$CZ"&amp;INDEX('Infos Clientes'!$C:$C,MATCH(C478,'Infos Clientes'!$H:$H,0))),'Infos Clientes'!$W$2:$CZ$2,"&gt;"&amp;$R478-365,'Infos Clientes'!$W$2:$CZ$2,"&lt;="&amp;$R478)/
COUNTIFS(INDIRECT("'Infos Clientes'!$W"&amp;INDEX('Infos Clientes'!$C:$C,MATCH(C478,'Infos Clientes'!$H:$H,0))&amp;":$CZ"&amp;INDEX('Infos Clientes'!$C:$C,MATCH(C478,'Infos Clientes'!$H:$H,0))),"&gt;="&amp;0,'Infos Clientes'!$W$2:$CZ$2,"&gt;"&amp;$R478-365,'Infos Clientes'!$W$2:$CZ$2,"&lt;="&amp;$R478),""),"")</f>
        <v>766.66666666666663</v>
      </c>
      <c r="CB478" s="87">
        <f>VLOOKUP(C478,'Infos Clientes'!B:L,11,0)</f>
        <v>0</v>
      </c>
      <c r="CC478" s="88" t="str">
        <f t="shared" si="300"/>
        <v>A Unidade Consumidora 10/202838-9 economizou R$198,68 na fatura referente à mai/2025  consumindo 700 kWh em créditos de energia renovável conforme fatura de energia. A economia foi de 25% em relação ao que seria pago para a Energisa considerando os créditos consumidos. Atenção: Mantenha as contas da Energisa em dia para evitar cortes.</v>
      </c>
      <c r="CD478" s="40" t="s">
        <v>72</v>
      </c>
      <c r="CE478" s="18">
        <v>299.20999999999998</v>
      </c>
      <c r="CF478" s="115">
        <f t="shared" si="301"/>
        <v>0</v>
      </c>
      <c r="CG478" t="s">
        <v>358</v>
      </c>
    </row>
    <row r="479" spans="1:85" ht="16.2" hidden="1" customHeight="1" x14ac:dyDescent="0.3">
      <c r="A479" s="105" t="str">
        <f>INDEX('Infos Clientes'!$D:$D,MATCH('Detalhe Por UC'!C479,'Infos Clientes'!B:B,0))</f>
        <v>IGREJA DO EVANGELHO QUADRANGULAR</v>
      </c>
      <c r="B479" s="106" t="str">
        <f>INDEX('Infos Clientes'!$F:$F,MATCH('Detalhe Por UC'!C479,'Infos Clientes'!B:B,0))</f>
        <v>62.955.505/4194-43</v>
      </c>
      <c r="C479" s="44" t="s">
        <v>67</v>
      </c>
      <c r="D479" t="s">
        <v>351</v>
      </c>
      <c r="E479" s="1" t="s">
        <v>352</v>
      </c>
      <c r="F479" s="56" t="str">
        <f>INDEX('Infos Clientes'!$I:$I,MATCH('Detalhe Por UC'!C479,'Infos Clientes'!B:B,0))</f>
        <v>BT</v>
      </c>
      <c r="G479" s="56" t="str">
        <f>INDEX('Infos Clientes'!$J:$J,MATCH('Detalhe Por UC'!C479,'Infos Clientes'!B:B,0))</f>
        <v>bifasico</v>
      </c>
      <c r="H479" s="108" t="s">
        <v>24</v>
      </c>
      <c r="I479" s="58">
        <f>IFERROR(VLOOKUP(C479,'Infos Clientes'!B:E,4,),"")</f>
        <v>331</v>
      </c>
      <c r="J479" s="109">
        <v>0.25</v>
      </c>
      <c r="K479" s="59">
        <f>INDEX('Infos Clientes'!$M:$M,MATCH('Detalhe Por UC'!C479,'Infos Clientes'!B:B,0))</f>
        <v>0.25</v>
      </c>
      <c r="L479" s="125">
        <v>0</v>
      </c>
      <c r="M479" s="56">
        <f>INDEX('Infos Clientes'!$N:$N,MATCH('Detalhe Por UC'!C479,'Infos Clientes'!B:B,0))</f>
        <v>0</v>
      </c>
      <c r="N479" s="56">
        <f t="shared" si="266"/>
        <v>0</v>
      </c>
      <c r="O479" s="56">
        <f t="shared" si="267"/>
        <v>12</v>
      </c>
      <c r="P479" s="56">
        <f t="shared" si="302"/>
        <v>0</v>
      </c>
      <c r="Q479" s="61">
        <f>IFERROR(IFERROR(INDEX('Infos Clientes'!$A$2:$V$9884,MATCH($C479,'Infos Clientes'!$B$2:$B$9884,0),MATCH(Q$8,'Infos Clientes'!$A$2:$V$2,0)),"")
+IF(OR(INDEX('Infos Clientes'!$A$2:$V$9884,MATCH($C479,'Infos Clientes'!$B$2:$B$9884,0),MATCH("Tempo de Fidelidade (meses)",'Infos Clientes'!$A$2:$V$2,0))=0,R479&gt;=MAX(R:R)),0,
ROUND((MAX(R:R)-R479)/(365/12),0)),"")</f>
        <v>0</v>
      </c>
      <c r="R479" s="111">
        <v>45778</v>
      </c>
      <c r="S479" s="17">
        <v>0.02</v>
      </c>
      <c r="T479" s="113">
        <f>IF($H479="GIROSSOL II",AP479/INDEX('Resumo Operacional'!$A$1:$P$1103,17,MATCH('Detalhe Por UC'!$R479,'Resumo Operacional'!$A$1:$P$1,0)),
IF($H479="GIROSSOL II e III",AP479/INDEX('Resumo Operacional'!$A$1:$P$1103,17,MATCH('Detalhe Por UC'!$R479,'Resumo Operacional'!$A$1:$P$1,0)),
""))</f>
        <v>4.7955772692208791E-2</v>
      </c>
      <c r="U479" s="113" t="str">
        <f>IF($H479="GIROSSOL III",AP479/INDEX('Resumo Operacional'!$A$1:$P$1103,53,MATCH('Detalhe Por UC'!$R479,'Resumo Operacional'!$A$1:$P$1,0)),
IF($H479="GIROSSOL II e III",AP479/INDEX('Resumo Operacional'!$A$1:$P$1103,53,MATCH('Detalhe Por UC'!$R479,'Resumo Operacional'!$A$1:$P$1,0)),
""))</f>
        <v/>
      </c>
      <c r="V479" s="45"/>
      <c r="X479" s="18">
        <v>1.1332894736842105</v>
      </c>
      <c r="Y479" s="18">
        <v>0</v>
      </c>
      <c r="Z479" s="18">
        <v>1.1219444444444446</v>
      </c>
      <c r="AA479" s="18">
        <v>0</v>
      </c>
      <c r="AB479" s="143">
        <v>228</v>
      </c>
      <c r="AC479" s="143">
        <v>0</v>
      </c>
      <c r="AD479" s="143">
        <v>180</v>
      </c>
      <c r="AE479" s="35"/>
      <c r="AF479" s="143">
        <v>625</v>
      </c>
      <c r="AG479" s="143">
        <v>0</v>
      </c>
      <c r="AH479" s="48">
        <v>25.96</v>
      </c>
      <c r="AI479" s="143">
        <v>0</v>
      </c>
      <c r="AJ479" s="143">
        <v>0</v>
      </c>
      <c r="AN479" s="71">
        <f t="shared" si="268"/>
        <v>193</v>
      </c>
      <c r="AO479" s="71">
        <f t="shared" si="269"/>
        <v>0</v>
      </c>
      <c r="AP479" s="71">
        <f t="shared" si="270"/>
        <v>373</v>
      </c>
      <c r="AQ479" s="72">
        <f>IF(OR($H479="GIROSSOL II",$H479="GIROSSOL II e III"),INDEX('Resumo Operacional'!$A$1:$P$1103,MATCH("Energia Injetada prevista total Fatura da Usina (TUSD)",'Resumo Operacional'!$B$1:$B$1103,0),MATCH('Detalhe Por UC'!$R479,'Resumo Operacional'!$A$1:$P$1,0))*$S479,INDEX('Resumo Operacional'!$A$1:$P$1103,53,MATCH('Detalhe Por UC'!$R479,'Resumo Operacional'!$A$1:$P$1,0))*$S479)</f>
        <v>155.56</v>
      </c>
      <c r="AR479" s="71">
        <f t="shared" si="271"/>
        <v>217.44</v>
      </c>
      <c r="AS479" s="73">
        <f t="shared" si="272"/>
        <v>82.399999999999949</v>
      </c>
      <c r="AT479" s="74">
        <f t="shared" si="273"/>
        <v>82.399999999999949</v>
      </c>
      <c r="AU479" s="74">
        <f t="shared" si="274"/>
        <v>1.1105994152046788</v>
      </c>
      <c r="AV479" s="74">
        <f t="shared" si="275"/>
        <v>151.46250000000001</v>
      </c>
      <c r="AW479" s="74">
        <f t="shared" si="276"/>
        <v>0</v>
      </c>
      <c r="AX479" s="74">
        <f t="shared" si="277"/>
        <v>201.95000000000005</v>
      </c>
      <c r="AY479" s="74">
        <f t="shared" si="278"/>
        <v>151.46</v>
      </c>
      <c r="AZ479" s="49">
        <v>151.46</v>
      </c>
      <c r="BA479" s="49">
        <v>151.46</v>
      </c>
      <c r="BB479" s="117">
        <v>151.46</v>
      </c>
      <c r="BC479" s="73" t="str">
        <f t="shared" si="279"/>
        <v/>
      </c>
      <c r="BD479" s="73">
        <f t="shared" si="280"/>
        <v>284.34999999999997</v>
      </c>
      <c r="BE479" s="73">
        <f t="shared" si="281"/>
        <v>233.86249999999995</v>
      </c>
      <c r="BF479" s="77">
        <f t="shared" si="282"/>
        <v>50.49</v>
      </c>
      <c r="BG479" s="77">
        <f t="shared" si="283"/>
        <v>15.147</v>
      </c>
      <c r="BH479" s="77">
        <f t="shared" si="284"/>
        <v>201.95000000000005</v>
      </c>
      <c r="BI479" s="78">
        <f t="shared" si="285"/>
        <v>0.25</v>
      </c>
      <c r="BJ479" s="79">
        <f t="shared" si="286"/>
        <v>0.17756286266924567</v>
      </c>
      <c r="BK479" s="80">
        <f t="shared" si="287"/>
        <v>233.85999999999996</v>
      </c>
      <c r="BL479" s="80">
        <f t="shared" si="288"/>
        <v>50.490000000000009</v>
      </c>
      <c r="BM479" s="79">
        <f t="shared" si="289"/>
        <v>0.1775628626692457</v>
      </c>
      <c r="BN479" s="81">
        <f t="shared" si="290"/>
        <v>0.84144444444444444</v>
      </c>
      <c r="BO479" s="82">
        <f t="shared" si="291"/>
        <v>151.46</v>
      </c>
      <c r="BP479" s="81">
        <f t="shared" si="292"/>
        <v>0.84144444444444444</v>
      </c>
      <c r="BQ479" s="81">
        <f t="shared" si="293"/>
        <v>0.85278947368421032</v>
      </c>
      <c r="BR479" s="81">
        <f t="shared" si="294"/>
        <v>1.1332894736842105</v>
      </c>
      <c r="BS479" s="82">
        <f t="shared" si="295"/>
        <v>180</v>
      </c>
      <c r="BT479" s="82">
        <f t="shared" si="296"/>
        <v>203.9921052631579</v>
      </c>
      <c r="BU479" s="82">
        <f t="shared" si="297"/>
        <v>201.95000000000005</v>
      </c>
      <c r="BW479" s="82">
        <f>IFERROR(INDEX('Infos Clientes'!$T:$T,MATCH('Detalhe Por UC'!$C479,'Infos Clientes'!B:B,0)),"")</f>
        <v>372.25</v>
      </c>
      <c r="BX479" s="83">
        <f t="shared" si="298"/>
        <v>0</v>
      </c>
      <c r="BY479" s="84">
        <f t="shared" si="299"/>
        <v>0.24750957854406147</v>
      </c>
      <c r="BZ479" s="85">
        <f>IF(_xlfn.MINIFS('Detalhe Por UC'!R:R,'Detalhe Por UC'!C:C,C479,'Detalhe Por UC'!AD:AD,"&gt;"&amp;0)=0,"",_xlfn.MINIFS('Detalhe Por UC'!R:R,'Detalhe Por UC'!C:C,C479,'Detalhe Por UC'!AD:AD,"&gt;"&amp;0))</f>
        <v>45627</v>
      </c>
      <c r="CA479" s="114">
        <f ca="1">IF(OR(S479&gt;0,AD479&gt;0),IFERROR(
SUMIFS(INDIRECT("'Infos Clientes'!$W"&amp;INDEX('Infos Clientes'!$C:$C,MATCH(C479,'Infos Clientes'!$H:$H,0))&amp;":$CZ"&amp;INDEX('Infos Clientes'!$C:$C,MATCH(C479,'Infos Clientes'!$H:$H,0))),'Infos Clientes'!$W$2:$CZ$2,"&gt;"&amp;$R479-365,'Infos Clientes'!$W$2:$CZ$2,"&lt;="&amp;$R479)/
COUNTIFS(INDIRECT("'Infos Clientes'!$W"&amp;INDEX('Infos Clientes'!$C:$C,MATCH(C479,'Infos Clientes'!$H:$H,0))&amp;":$CZ"&amp;INDEX('Infos Clientes'!$C:$C,MATCH(C479,'Infos Clientes'!$H:$H,0))),"&gt;="&amp;0,'Infos Clientes'!$W$2:$CZ$2,"&gt;"&amp;$R479-365,'Infos Clientes'!$W$2:$CZ$2,"&lt;="&amp;$R479),""),"")</f>
        <v>347.83333333333331</v>
      </c>
      <c r="CB479" s="87">
        <f>VLOOKUP(C479,'Infos Clientes'!B:L,11,0)</f>
        <v>0</v>
      </c>
      <c r="CC479" s="88" t="str">
        <f t="shared" si="300"/>
        <v>A Unidade Consumidora 10/1939035-0 economizou R$50,49 na fatura referente à mai/2025  consumindo 180 kWh em créditos de energia renovável conforme fatura de energia. A economia foi de 25% em relação ao que seria pago para a Energisa considerando os créditos consumidos. Atenção: Mantenha as contas da Energisa em dia para evitar cortes.</v>
      </c>
      <c r="CD479" s="40" t="s">
        <v>69</v>
      </c>
      <c r="CE479" s="18">
        <v>82.4</v>
      </c>
      <c r="CF479" s="115">
        <f t="shared" si="301"/>
        <v>0</v>
      </c>
      <c r="CG479" t="s">
        <v>358</v>
      </c>
    </row>
    <row r="480" spans="1:85" ht="16.2" hidden="1" customHeight="1" x14ac:dyDescent="0.3">
      <c r="A480" s="105" t="str">
        <f>INDEX('Infos Clientes'!$D:$D,MATCH('Detalhe Por UC'!C480,'Infos Clientes'!B:B,0))</f>
        <v>IGREJA DO EVANGELHO QUADRANGULAR</v>
      </c>
      <c r="B480" s="106" t="str">
        <f>INDEX('Infos Clientes'!$F:$F,MATCH('Detalhe Por UC'!C480,'Infos Clientes'!B:B,0))</f>
        <v>62.955.505/0172-13</v>
      </c>
      <c r="C480" s="44" t="s">
        <v>87</v>
      </c>
      <c r="D480" t="s">
        <v>351</v>
      </c>
      <c r="E480" s="1" t="s">
        <v>352</v>
      </c>
      <c r="F480" s="56" t="str">
        <f>INDEX('Infos Clientes'!$I:$I,MATCH('Detalhe Por UC'!C480,'Infos Clientes'!B:B,0))</f>
        <v>BT</v>
      </c>
      <c r="G480" s="56" t="str">
        <f>INDEX('Infos Clientes'!$J:$J,MATCH('Detalhe Por UC'!C480,'Infos Clientes'!B:B,0))</f>
        <v>trifasico</v>
      </c>
      <c r="H480" s="108" t="s">
        <v>24</v>
      </c>
      <c r="I480" s="58">
        <f>IFERROR(VLOOKUP(C480,'Infos Clientes'!B:E,4,),"")</f>
        <v>371</v>
      </c>
      <c r="J480" s="109">
        <v>0.25</v>
      </c>
      <c r="K480" s="59">
        <f>INDEX('Infos Clientes'!$M:$M,MATCH('Detalhe Por UC'!C480,'Infos Clientes'!B:B,0))</f>
        <v>0.25</v>
      </c>
      <c r="L480" s="125">
        <v>0</v>
      </c>
      <c r="M480" s="56">
        <f>INDEX('Infos Clientes'!$N:$N,MATCH('Detalhe Por UC'!C480,'Infos Clientes'!B:B,0))</f>
        <v>0</v>
      </c>
      <c r="N480" s="56">
        <f t="shared" si="266"/>
        <v>0</v>
      </c>
      <c r="O480" s="56">
        <f t="shared" si="267"/>
        <v>12</v>
      </c>
      <c r="P480" s="56">
        <f t="shared" si="302"/>
        <v>0</v>
      </c>
      <c r="Q480" s="61">
        <f>IFERROR(IFERROR(INDEX('Infos Clientes'!$A$2:$V$9884,MATCH($C480,'Infos Clientes'!$B$2:$B$9884,0),MATCH(Q$8,'Infos Clientes'!$A$2:$V$2,0)),"")
+IF(OR(INDEX('Infos Clientes'!$A$2:$V$9884,MATCH($C480,'Infos Clientes'!$B$2:$B$9884,0),MATCH("Tempo de Fidelidade (meses)",'Infos Clientes'!$A$2:$V$2,0))=0,R480&gt;=MAX(R:R)),0,
ROUND((MAX(R:R)-R480)/(365/12),0)),"")</f>
        <v>0</v>
      </c>
      <c r="R480" s="111">
        <v>45778</v>
      </c>
      <c r="S480" s="17">
        <v>0.06</v>
      </c>
      <c r="T480" s="113">
        <f>IF($H480="GIROSSOL II",AP480/INDEX('Resumo Operacional'!$A$1:$P$1103,17,MATCH('Detalhe Por UC'!$R480,'Resumo Operacional'!$A$1:$P$1,0)),
IF($H480="GIROSSOL II e III",AP480/INDEX('Resumo Operacional'!$A$1:$P$1103,17,MATCH('Detalhe Por UC'!$R480,'Resumo Operacional'!$A$1:$P$1,0)),
""))</f>
        <v>5.9912573926459246E-2</v>
      </c>
      <c r="U480" s="113" t="str">
        <f>IF($H480="GIROSSOL III",AP480/INDEX('Resumo Operacional'!$A$1:$P$1103,53,MATCH('Detalhe Por UC'!$R480,'Resumo Operacional'!$A$1:$P$1,0)),
IF($H480="GIROSSOL II e III",AP480/INDEX('Resumo Operacional'!$A$1:$P$1103,53,MATCH('Detalhe Por UC'!$R480,'Resumo Operacional'!$A$1:$P$1,0)),
""))</f>
        <v/>
      </c>
      <c r="V480" s="45"/>
      <c r="X480" s="18">
        <v>1.1419396624047786</v>
      </c>
      <c r="Y480" s="18">
        <v>0</v>
      </c>
      <c r="Z480" s="18">
        <v>1.141934117384761</v>
      </c>
      <c r="AA480" s="18">
        <v>0</v>
      </c>
      <c r="AB480" s="143">
        <v>774</v>
      </c>
      <c r="AC480" s="143">
        <v>0</v>
      </c>
      <c r="AD480" s="143">
        <v>466</v>
      </c>
      <c r="AE480" s="35"/>
      <c r="AF480" s="143">
        <v>0</v>
      </c>
      <c r="AG480" s="143">
        <v>0</v>
      </c>
      <c r="AH480" s="48">
        <v>80.180000000000007</v>
      </c>
      <c r="AI480" s="143">
        <v>0</v>
      </c>
      <c r="AJ480" s="143">
        <v>0</v>
      </c>
      <c r="AN480" s="71">
        <f t="shared" si="268"/>
        <v>0</v>
      </c>
      <c r="AO480" s="71">
        <f t="shared" si="269"/>
        <v>0</v>
      </c>
      <c r="AP480" s="71">
        <f t="shared" si="270"/>
        <v>466</v>
      </c>
      <c r="AQ480" s="72">
        <f>IF(OR($H480="GIROSSOL II",$H480="GIROSSOL II e III"),INDEX('Resumo Operacional'!$A$1:$P$1103,MATCH("Energia Injetada prevista total Fatura da Usina (TUSD)",'Resumo Operacional'!$B$1:$B$1103,0),MATCH('Detalhe Por UC'!$R480,'Resumo Operacional'!$A$1:$P$1,0))*$S480,INDEX('Resumo Operacional'!$A$1:$P$1103,53,MATCH('Detalhe Por UC'!$R480,'Resumo Operacional'!$A$1:$P$1,0))*$S480)</f>
        <v>466.68</v>
      </c>
      <c r="AR480" s="71">
        <f t="shared" si="271"/>
        <v>-0.68000000000000682</v>
      </c>
      <c r="AS480" s="73">
        <f t="shared" si="272"/>
        <v>431.90000000000003</v>
      </c>
      <c r="AT480" s="74">
        <f t="shared" si="273"/>
        <v>431.90000000000003</v>
      </c>
      <c r="AU480" s="74">
        <f t="shared" si="274"/>
        <v>1.1419285723647434</v>
      </c>
      <c r="AV480" s="74">
        <f t="shared" si="275"/>
        <v>399.10597402597398</v>
      </c>
      <c r="AW480" s="74">
        <f t="shared" si="276"/>
        <v>0</v>
      </c>
      <c r="AX480" s="74">
        <f t="shared" si="277"/>
        <v>532.14129870129864</v>
      </c>
      <c r="AY480" s="74">
        <f t="shared" si="278"/>
        <v>399.11</v>
      </c>
      <c r="AZ480" s="49">
        <v>399.11</v>
      </c>
      <c r="BA480" s="49">
        <v>399.11</v>
      </c>
      <c r="BB480" s="117">
        <v>399.11</v>
      </c>
      <c r="BC480" s="73" t="str">
        <f t="shared" si="279"/>
        <v/>
      </c>
      <c r="BD480" s="73">
        <f t="shared" si="280"/>
        <v>964.04129870129873</v>
      </c>
      <c r="BE480" s="73">
        <f t="shared" si="281"/>
        <v>831.00597402597396</v>
      </c>
      <c r="BF480" s="77">
        <f t="shared" si="282"/>
        <v>133.04</v>
      </c>
      <c r="BG480" s="77">
        <f t="shared" si="283"/>
        <v>39.911999999999999</v>
      </c>
      <c r="BH480" s="77">
        <f t="shared" si="284"/>
        <v>532.14129870129864</v>
      </c>
      <c r="BI480" s="78">
        <f t="shared" si="285"/>
        <v>0.25</v>
      </c>
      <c r="BJ480" s="79">
        <f t="shared" si="286"/>
        <v>0.13800238659819228</v>
      </c>
      <c r="BK480" s="80">
        <f t="shared" si="287"/>
        <v>831.01</v>
      </c>
      <c r="BL480" s="80">
        <f t="shared" si="288"/>
        <v>133.03129870129874</v>
      </c>
      <c r="BM480" s="79">
        <f t="shared" si="289"/>
        <v>0.13799336074140278</v>
      </c>
      <c r="BN480" s="81">
        <f t="shared" si="290"/>
        <v>0.85645922746781122</v>
      </c>
      <c r="BO480" s="82">
        <f t="shared" si="291"/>
        <v>399.11</v>
      </c>
      <c r="BP480" s="81">
        <f t="shared" si="292"/>
        <v>0.85645922746781122</v>
      </c>
      <c r="BQ480" s="81">
        <f t="shared" si="293"/>
        <v>0.85646477248782882</v>
      </c>
      <c r="BR480" s="81">
        <f t="shared" si="294"/>
        <v>1.1419396624047786</v>
      </c>
      <c r="BS480" s="82">
        <f t="shared" si="295"/>
        <v>466</v>
      </c>
      <c r="BT480" s="82">
        <f t="shared" si="296"/>
        <v>532.1438826806268</v>
      </c>
      <c r="BU480" s="82">
        <f t="shared" si="297"/>
        <v>532.14129870129864</v>
      </c>
      <c r="BW480" s="82">
        <f>IFERROR(INDEX('Infos Clientes'!$T:$T,MATCH('Detalhe Por UC'!$C480,'Infos Clientes'!B:B,0)),"")</f>
        <v>1056.1666666666667</v>
      </c>
      <c r="BX480" s="83">
        <f t="shared" si="298"/>
        <v>0</v>
      </c>
      <c r="BY480" s="84">
        <f t="shared" si="299"/>
        <v>0.24999122047812602</v>
      </c>
      <c r="BZ480" s="85">
        <f>IF(_xlfn.MINIFS('Detalhe Por UC'!R:R,'Detalhe Por UC'!C:C,C480,'Detalhe Por UC'!AD:AD,"&gt;"&amp;0)=0,"",_xlfn.MINIFS('Detalhe Por UC'!R:R,'Detalhe Por UC'!C:C,C480,'Detalhe Por UC'!AD:AD,"&gt;"&amp;0))</f>
        <v>45627</v>
      </c>
      <c r="CA480" s="114">
        <f ca="1">IF(OR(S480&gt;0,AD480&gt;0),IFERROR(
SUMIFS(INDIRECT("'Infos Clientes'!$W"&amp;INDEX('Infos Clientes'!$C:$C,MATCH(C480,'Infos Clientes'!$H:$H,0))&amp;":$CZ"&amp;INDEX('Infos Clientes'!$C:$C,MATCH(C480,'Infos Clientes'!$H:$H,0))),'Infos Clientes'!$W$2:$CZ$2,"&gt;"&amp;$R480-365,'Infos Clientes'!$W$2:$CZ$2,"&lt;="&amp;$R480)/
COUNTIFS(INDIRECT("'Infos Clientes'!$W"&amp;INDEX('Infos Clientes'!$C:$C,MATCH(C480,'Infos Clientes'!$H:$H,0))&amp;":$CZ"&amp;INDEX('Infos Clientes'!$C:$C,MATCH(C480,'Infos Clientes'!$H:$H,0))),"&gt;="&amp;0,'Infos Clientes'!$W$2:$CZ$2,"&gt;"&amp;$R480-365,'Infos Clientes'!$W$2:$CZ$2,"&lt;="&amp;$R480),""),"")</f>
        <v>1021.5</v>
      </c>
      <c r="CB480" s="87">
        <f>VLOOKUP(C480,'Infos Clientes'!B:L,11,0)</f>
        <v>0</v>
      </c>
      <c r="CC480" s="88" t="str">
        <f t="shared" si="300"/>
        <v>A Unidade Consumidora 10/2605731-5 economizou R$133,04 na fatura referente à mai/2025  consumindo 466 kWh em créditos de energia renovável conforme fatura de energia. A economia foi de 25% em relação ao que seria pago para a Energisa considerando os créditos consumidos. Atenção: Mantenha as contas da Energisa em dia para evitar cortes.</v>
      </c>
      <c r="CD480" s="40" t="s">
        <v>56</v>
      </c>
      <c r="CE480" s="18">
        <v>431.9</v>
      </c>
      <c r="CF480" s="115">
        <f t="shared" si="301"/>
        <v>0</v>
      </c>
      <c r="CG480" t="s">
        <v>359</v>
      </c>
    </row>
    <row r="481" spans="1:85" ht="16.2" hidden="1" customHeight="1" x14ac:dyDescent="0.3">
      <c r="A481" s="105" t="str">
        <f>INDEX('Infos Clientes'!$D:$D,MATCH('Detalhe Por UC'!C481,'Infos Clientes'!B:B,0))</f>
        <v>IGREJA DO EVANGELHO QUADRANGULAR</v>
      </c>
      <c r="B481" s="106" t="str">
        <f>INDEX('Infos Clientes'!$F:$F,MATCH('Detalhe Por UC'!C481,'Infos Clientes'!B:B,0))</f>
        <v>62.955.505/0151-99</v>
      </c>
      <c r="C481" s="44" t="s">
        <v>48</v>
      </c>
      <c r="D481" t="s">
        <v>351</v>
      </c>
      <c r="E481" s="1" t="s">
        <v>352</v>
      </c>
      <c r="F481" s="56" t="str">
        <f>INDEX('Infos Clientes'!$I:$I,MATCH('Detalhe Por UC'!C481,'Infos Clientes'!B:B,0))</f>
        <v>BT</v>
      </c>
      <c r="G481" s="56" t="str">
        <f>INDEX('Infos Clientes'!$J:$J,MATCH('Detalhe Por UC'!C481,'Infos Clientes'!B:B,0))</f>
        <v>trifasico</v>
      </c>
      <c r="H481" s="108" t="s">
        <v>24</v>
      </c>
      <c r="I481" s="58">
        <f>IFERROR(VLOOKUP(C481,'Infos Clientes'!B:E,4,),"")</f>
        <v>306</v>
      </c>
      <c r="J481" s="109">
        <v>0.25</v>
      </c>
      <c r="K481" s="59">
        <f>INDEX('Infos Clientes'!$M:$M,MATCH('Detalhe Por UC'!C481,'Infos Clientes'!B:B,0))</f>
        <v>0.25</v>
      </c>
      <c r="L481" s="125">
        <v>0</v>
      </c>
      <c r="M481" s="56">
        <f>INDEX('Infos Clientes'!$N:$N,MATCH('Detalhe Por UC'!C481,'Infos Clientes'!B:B,0))</f>
        <v>0</v>
      </c>
      <c r="N481" s="56">
        <f t="shared" si="266"/>
        <v>0</v>
      </c>
      <c r="O481" s="56">
        <f t="shared" si="267"/>
        <v>9</v>
      </c>
      <c r="P481" s="56">
        <f t="shared" si="302"/>
        <v>0</v>
      </c>
      <c r="Q481" s="61">
        <f>IFERROR(IFERROR(INDEX('Infos Clientes'!$A$2:$V$9884,MATCH($C481,'Infos Clientes'!$B$2:$B$9884,0),MATCH(Q$8,'Infos Clientes'!$A$2:$V$2,0)),"")
+IF(OR(INDEX('Infos Clientes'!$A$2:$V$9884,MATCH($C481,'Infos Clientes'!$B$2:$B$9884,0),MATCH("Tempo de Fidelidade (meses)",'Infos Clientes'!$A$2:$V$2,0))=0,R481&gt;=MAX(R:R)),0,
ROUND((MAX(R:R)-R481)/(365/12),0)),"")</f>
        <v>0</v>
      </c>
      <c r="R481" s="111">
        <v>45778</v>
      </c>
      <c r="S481" s="17">
        <v>0.01</v>
      </c>
      <c r="T481" s="113">
        <f>IF($H481="GIROSSOL II",AP481/INDEX('Resumo Operacional'!$A$1:$P$1103,17,MATCH('Detalhe Por UC'!$R481,'Resumo Operacional'!$A$1:$P$1,0)),
IF($H481="GIROSSOL II e III",AP481/INDEX('Resumo Operacional'!$A$1:$P$1103,17,MATCH('Detalhe Por UC'!$R481,'Resumo Operacional'!$A$1:$P$1,0)),
""))</f>
        <v>9.8997171509385452E-3</v>
      </c>
      <c r="U481" s="113" t="str">
        <f>IF($H481="GIROSSOL III",AP481/INDEX('Resumo Operacional'!$A$1:$P$1103,53,MATCH('Detalhe Por UC'!$R481,'Resumo Operacional'!$A$1:$P$1,0)),
IF($H481="GIROSSOL II e III",AP481/INDEX('Resumo Operacional'!$A$1:$P$1103,53,MATCH('Detalhe Por UC'!$R481,'Resumo Operacional'!$A$1:$P$1,0)),
""))</f>
        <v/>
      </c>
      <c r="V481" s="45"/>
      <c r="X481" s="18">
        <v>1.1411447397811034</v>
      </c>
      <c r="Y481" s="18">
        <v>0</v>
      </c>
      <c r="Z481" s="18">
        <v>1.1410916110916112</v>
      </c>
      <c r="AA481" s="18">
        <v>0</v>
      </c>
      <c r="AB481" s="143">
        <v>484</v>
      </c>
      <c r="AC481" s="143">
        <v>0</v>
      </c>
      <c r="AD481" s="143">
        <v>77</v>
      </c>
      <c r="AE481" s="35"/>
      <c r="AF481" s="143">
        <v>0</v>
      </c>
      <c r="AG481" s="143">
        <v>0</v>
      </c>
      <c r="AH481" s="48">
        <v>6.34</v>
      </c>
      <c r="AI481" s="143">
        <v>0</v>
      </c>
      <c r="AJ481" s="143">
        <v>0</v>
      </c>
      <c r="AN481" s="71">
        <f t="shared" si="268"/>
        <v>0</v>
      </c>
      <c r="AO481" s="71">
        <f t="shared" si="269"/>
        <v>0</v>
      </c>
      <c r="AP481" s="71">
        <f t="shared" si="270"/>
        <v>77</v>
      </c>
      <c r="AQ481" s="72">
        <f>IF(OR($H481="GIROSSOL II",$H481="GIROSSOL II e III"),INDEX('Resumo Operacional'!$A$1:$P$1103,MATCH("Energia Injetada prevista total Fatura da Usina (TUSD)",'Resumo Operacional'!$B$1:$B$1103,0),MATCH('Detalhe Por UC'!$R481,'Resumo Operacional'!$A$1:$P$1,0))*$S481,INDEX('Resumo Operacional'!$A$1:$P$1103,53,MATCH('Detalhe Por UC'!$R481,'Resumo Operacional'!$A$1:$P$1,0))*$S481)</f>
        <v>77.78</v>
      </c>
      <c r="AR481" s="71">
        <f t="shared" si="271"/>
        <v>-0.78000000000000114</v>
      </c>
      <c r="AS481" s="73">
        <f t="shared" si="272"/>
        <v>470.78999999999996</v>
      </c>
      <c r="AT481" s="74">
        <f t="shared" si="273"/>
        <v>470.78999999999996</v>
      </c>
      <c r="AU481" s="74">
        <f t="shared" si="274"/>
        <v>1.1410384824021189</v>
      </c>
      <c r="AV481" s="74">
        <f t="shared" si="275"/>
        <v>65.898040540540535</v>
      </c>
      <c r="AW481" s="74">
        <f t="shared" si="276"/>
        <v>0</v>
      </c>
      <c r="AX481" s="74">
        <f t="shared" si="277"/>
        <v>87.864054054054066</v>
      </c>
      <c r="AY481" s="74">
        <f t="shared" si="278"/>
        <v>65.900000000000006</v>
      </c>
      <c r="AZ481" s="49">
        <v>65.900000000000006</v>
      </c>
      <c r="BA481" s="49">
        <v>65.900000000000006</v>
      </c>
      <c r="BB481" s="117">
        <v>87.86</v>
      </c>
      <c r="BC481" s="73">
        <f t="shared" si="279"/>
        <v>21.959999999999994</v>
      </c>
      <c r="BD481" s="73">
        <f t="shared" si="280"/>
        <v>558.65405405405409</v>
      </c>
      <c r="BE481" s="73">
        <f t="shared" si="281"/>
        <v>536.68804054054044</v>
      </c>
      <c r="BF481" s="77">
        <f t="shared" si="282"/>
        <v>21.97</v>
      </c>
      <c r="BG481" s="77">
        <f t="shared" si="283"/>
        <v>6.5909999999999993</v>
      </c>
      <c r="BH481" s="77">
        <f t="shared" si="284"/>
        <v>87.864054054054051</v>
      </c>
      <c r="BI481" s="78">
        <f t="shared" si="285"/>
        <v>0.25</v>
      </c>
      <c r="BJ481" s="79">
        <f t="shared" si="286"/>
        <v>3.9326663505916723E-2</v>
      </c>
      <c r="BK481" s="80">
        <f t="shared" si="287"/>
        <v>536.68999999999994</v>
      </c>
      <c r="BL481" s="80">
        <f t="shared" si="288"/>
        <v>21.964054054054145</v>
      </c>
      <c r="BM481" s="79">
        <f t="shared" si="289"/>
        <v>3.9316020164294654E-2</v>
      </c>
      <c r="BN481" s="81">
        <f t="shared" si="290"/>
        <v>0.85584415584415596</v>
      </c>
      <c r="BO481" s="82">
        <f t="shared" si="291"/>
        <v>65.900000000000006</v>
      </c>
      <c r="BP481" s="81">
        <f t="shared" si="292"/>
        <v>0.85584415584415596</v>
      </c>
      <c r="BQ481" s="81">
        <f t="shared" si="293"/>
        <v>0.85589728453364822</v>
      </c>
      <c r="BR481" s="81">
        <f t="shared" si="294"/>
        <v>1.1411447397811034</v>
      </c>
      <c r="BS481" s="82">
        <f t="shared" si="295"/>
        <v>77</v>
      </c>
      <c r="BT481" s="82">
        <f t="shared" si="296"/>
        <v>87.868144963144957</v>
      </c>
      <c r="BU481" s="82">
        <f t="shared" si="297"/>
        <v>87.864054054054066</v>
      </c>
      <c r="BW481" s="82">
        <f>IFERROR(INDEX('Infos Clientes'!$T:$T,MATCH('Detalhe Por UC'!$C481,'Infos Clientes'!B:B,0)),"")</f>
        <v>286.5</v>
      </c>
      <c r="BX481" s="83">
        <f t="shared" si="298"/>
        <v>0</v>
      </c>
      <c r="BY481" s="84">
        <f t="shared" si="299"/>
        <v>0.24996606066130744</v>
      </c>
      <c r="BZ481" s="85">
        <f>IF(_xlfn.MINIFS('Detalhe Por UC'!R:R,'Detalhe Por UC'!C:C,C481,'Detalhe Por UC'!AD:AD,"&gt;"&amp;0)=0,"",_xlfn.MINIFS('Detalhe Por UC'!R:R,'Detalhe Por UC'!C:C,C481,'Detalhe Por UC'!AD:AD,"&gt;"&amp;0))</f>
        <v>45658</v>
      </c>
      <c r="CA481" s="114">
        <f ca="1">IF(OR(S481&gt;0,AD481&gt;0),IFERROR(
SUMIFS(INDIRECT("'Infos Clientes'!$W"&amp;INDEX('Infos Clientes'!$C:$C,MATCH(C481,'Infos Clientes'!$H:$H,0))&amp;":$CZ"&amp;INDEX('Infos Clientes'!$C:$C,MATCH(C481,'Infos Clientes'!$H:$H,0))),'Infos Clientes'!$W$2:$CZ$2,"&gt;"&amp;$R481-365,'Infos Clientes'!$W$2:$CZ$2,"&lt;="&amp;$R481)/
COUNTIFS(INDIRECT("'Infos Clientes'!$W"&amp;INDEX('Infos Clientes'!$C:$C,MATCH(C481,'Infos Clientes'!$H:$H,0))&amp;":$CZ"&amp;INDEX('Infos Clientes'!$C:$C,MATCH(C481,'Infos Clientes'!$H:$H,0))),"&gt;="&amp;0,'Infos Clientes'!$W$2:$CZ$2,"&gt;"&amp;$R481-365,'Infos Clientes'!$W$2:$CZ$2,"&lt;="&amp;$R481),""),"")</f>
        <v>423</v>
      </c>
      <c r="CB481" s="87">
        <f>VLOOKUP(C481,'Infos Clientes'!B:L,11,0)</f>
        <v>0</v>
      </c>
      <c r="CC481" s="88" t="str">
        <f t="shared" si="300"/>
        <v>A Unidade Consumidora 10/2794432-1 economizou R$21,97 na fatura referente à mai/2025  consumindo 77 kWh em créditos de energia renovável conforme fatura de energia. A economia foi de 25% em relação ao que seria pago para a Energisa considerando os créditos consumidos. Atenção: Mantenha as contas da Energisa em dia para evitar cortes.</v>
      </c>
      <c r="CD481" s="40" t="s">
        <v>90</v>
      </c>
      <c r="CE481" s="18">
        <v>470.79</v>
      </c>
      <c r="CF481" s="115">
        <f t="shared" si="301"/>
        <v>0</v>
      </c>
      <c r="CG481" t="s">
        <v>359</v>
      </c>
    </row>
    <row r="482" spans="1:85" ht="16.2" hidden="1" customHeight="1" x14ac:dyDescent="0.3">
      <c r="A482" s="105" t="str">
        <f>INDEX('Infos Clientes'!$D:$D,MATCH('Detalhe Por UC'!C482,'Infos Clientes'!B:B,0))</f>
        <v>IGREJA DO EVANGELHO QUADRANGULAR</v>
      </c>
      <c r="B482" s="106" t="str">
        <f>INDEX('Infos Clientes'!$F:$F,MATCH('Detalhe Por UC'!C482,'Infos Clientes'!B:B,0))</f>
        <v>62.955.505/0577-89</v>
      </c>
      <c r="C482" s="44" t="s">
        <v>94</v>
      </c>
      <c r="D482" t="s">
        <v>351</v>
      </c>
      <c r="E482" s="1" t="s">
        <v>352</v>
      </c>
      <c r="F482" s="56" t="str">
        <f>INDEX('Infos Clientes'!$I:$I,MATCH('Detalhe Por UC'!C482,'Infos Clientes'!B:B,0))</f>
        <v>BT</v>
      </c>
      <c r="G482" s="56" t="str">
        <f>INDEX('Infos Clientes'!$J:$J,MATCH('Detalhe Por UC'!C482,'Infos Clientes'!B:B,0))</f>
        <v>bifasico</v>
      </c>
      <c r="H482" s="108" t="s">
        <v>24</v>
      </c>
      <c r="I482" s="58">
        <f>IFERROR(VLOOKUP(C482,'Infos Clientes'!B:E,4,),"")</f>
        <v>319</v>
      </c>
      <c r="J482" s="109">
        <v>0.25</v>
      </c>
      <c r="K482" s="59">
        <f>INDEX('Infos Clientes'!$M:$M,MATCH('Detalhe Por UC'!C482,'Infos Clientes'!B:B,0))</f>
        <v>0.25</v>
      </c>
      <c r="L482" s="125">
        <v>0</v>
      </c>
      <c r="M482" s="56">
        <f>INDEX('Infos Clientes'!$N:$N,MATCH('Detalhe Por UC'!C482,'Infos Clientes'!B:B,0))</f>
        <v>0</v>
      </c>
      <c r="N482" s="56">
        <f t="shared" si="266"/>
        <v>0</v>
      </c>
      <c r="O482" s="56">
        <f t="shared" si="267"/>
        <v>10</v>
      </c>
      <c r="P482" s="56">
        <f t="shared" si="302"/>
        <v>0</v>
      </c>
      <c r="Q482" s="61">
        <f>IFERROR(IFERROR(INDEX('Infos Clientes'!$A$2:$V$9884,MATCH($C482,'Infos Clientes'!$B$2:$B$9884,0),MATCH(Q$8,'Infos Clientes'!$A$2:$V$2,0)),"")
+IF(OR(INDEX('Infos Clientes'!$A$2:$V$9884,MATCH($C482,'Infos Clientes'!$B$2:$B$9884,0),MATCH("Tempo de Fidelidade (meses)",'Infos Clientes'!$A$2:$V$2,0))=0,R482&gt;=MAX(R:R)),0,
ROUND((MAX(R:R)-R482)/(365/12),0)),"")</f>
        <v>0</v>
      </c>
      <c r="R482" s="111">
        <v>45778</v>
      </c>
      <c r="S482" s="17">
        <v>0.02</v>
      </c>
      <c r="T482" s="113">
        <f>IF($H482="GIROSSOL II",AP482/INDEX('Resumo Operacional'!$A$1:$P$1103,17,MATCH('Detalhe Por UC'!$R482,'Resumo Operacional'!$A$1:$P$1,0)),
IF($H482="GIROSSOL II e III",AP482/INDEX('Resumo Operacional'!$A$1:$P$1103,17,MATCH('Detalhe Por UC'!$R482,'Resumo Operacional'!$A$1:$P$1,0)),
""))</f>
        <v>4.7955772692208791E-2</v>
      </c>
      <c r="U482" s="113" t="str">
        <f>IF($H482="GIROSSOL III",AP482/INDEX('Resumo Operacional'!$A$1:$P$1103,53,MATCH('Detalhe Por UC'!$R482,'Resumo Operacional'!$A$1:$P$1,0)),
IF($H482="GIROSSOL II e III",AP482/INDEX('Resumo Operacional'!$A$1:$P$1103,53,MATCH('Detalhe Por UC'!$R482,'Resumo Operacional'!$A$1:$P$1,0)),
""))</f>
        <v/>
      </c>
      <c r="V482" s="45"/>
      <c r="X482" s="18">
        <v>1.1342015624999999</v>
      </c>
      <c r="Y482" s="18">
        <v>0</v>
      </c>
      <c r="Z482" s="18">
        <v>1.1342019417475728</v>
      </c>
      <c r="AA482" s="18">
        <v>0</v>
      </c>
      <c r="AB482" s="143">
        <v>256</v>
      </c>
      <c r="AC482" s="143">
        <v>0</v>
      </c>
      <c r="AD482" s="143">
        <v>206</v>
      </c>
      <c r="AE482" s="35"/>
      <c r="AF482" s="143">
        <v>167</v>
      </c>
      <c r="AG482" s="143">
        <v>0</v>
      </c>
      <c r="AH482" s="48">
        <v>46.25</v>
      </c>
      <c r="AI482" s="143">
        <v>0</v>
      </c>
      <c r="AJ482" s="143">
        <v>0</v>
      </c>
      <c r="AN482" s="71">
        <f t="shared" si="268"/>
        <v>167</v>
      </c>
      <c r="AO482" s="71">
        <f t="shared" si="269"/>
        <v>0</v>
      </c>
      <c r="AP482" s="71">
        <f t="shared" si="270"/>
        <v>373</v>
      </c>
      <c r="AQ482" s="72">
        <f>IF(OR($H482="GIROSSOL II",$H482="GIROSSOL II e III"),INDEX('Resumo Operacional'!$A$1:$P$1103,MATCH("Energia Injetada prevista total Fatura da Usina (TUSD)",'Resumo Operacional'!$B$1:$B$1103,0),MATCH('Detalhe Por UC'!$R482,'Resumo Operacional'!$A$1:$P$1,0))*$S482,INDEX('Resumo Operacional'!$A$1:$P$1103,53,MATCH('Detalhe Por UC'!$R482,'Resumo Operacional'!$A$1:$P$1,0))*$S482)</f>
        <v>155.56</v>
      </c>
      <c r="AR482" s="71">
        <f t="shared" si="271"/>
        <v>217.44</v>
      </c>
      <c r="AS482" s="73">
        <f t="shared" si="272"/>
        <v>102.95999999999998</v>
      </c>
      <c r="AT482" s="74">
        <f t="shared" si="273"/>
        <v>102.95999999999998</v>
      </c>
      <c r="AU482" s="74">
        <f t="shared" si="274"/>
        <v>1.1342023209951457</v>
      </c>
      <c r="AV482" s="74">
        <f t="shared" si="275"/>
        <v>175.23420000000002</v>
      </c>
      <c r="AW482" s="74">
        <f t="shared" si="276"/>
        <v>0</v>
      </c>
      <c r="AX482" s="74">
        <f t="shared" si="277"/>
        <v>233.6456</v>
      </c>
      <c r="AY482" s="74">
        <f t="shared" si="278"/>
        <v>175.23</v>
      </c>
      <c r="AZ482" s="49">
        <v>175.23</v>
      </c>
      <c r="BA482" s="49">
        <v>175.23</v>
      </c>
      <c r="BB482" s="49">
        <v>233.65</v>
      </c>
      <c r="BC482" s="73">
        <f t="shared" si="279"/>
        <v>58.420000000000016</v>
      </c>
      <c r="BD482" s="73">
        <f t="shared" si="280"/>
        <v>336.60559999999998</v>
      </c>
      <c r="BE482" s="73">
        <f t="shared" si="281"/>
        <v>278.19420000000002</v>
      </c>
      <c r="BF482" s="77">
        <f t="shared" si="282"/>
        <v>58.41</v>
      </c>
      <c r="BG482" s="77">
        <f t="shared" si="283"/>
        <v>17.523</v>
      </c>
      <c r="BH482" s="77">
        <f t="shared" si="284"/>
        <v>233.6456</v>
      </c>
      <c r="BI482" s="78">
        <f t="shared" si="285"/>
        <v>0.25</v>
      </c>
      <c r="BJ482" s="79">
        <f t="shared" si="286"/>
        <v>0.1735265248112331</v>
      </c>
      <c r="BK482" s="80">
        <f t="shared" si="287"/>
        <v>278.18999999999994</v>
      </c>
      <c r="BL482" s="80">
        <f t="shared" si="288"/>
        <v>58.41560000000004</v>
      </c>
      <c r="BM482" s="79">
        <f t="shared" si="289"/>
        <v>0.1735431614922629</v>
      </c>
      <c r="BN482" s="81">
        <f t="shared" si="290"/>
        <v>0.85063106796116494</v>
      </c>
      <c r="BO482" s="82">
        <f t="shared" si="291"/>
        <v>175.23</v>
      </c>
      <c r="BP482" s="81">
        <f t="shared" si="292"/>
        <v>0.85063106796116494</v>
      </c>
      <c r="BQ482" s="81">
        <f t="shared" si="293"/>
        <v>0.85063068871359204</v>
      </c>
      <c r="BR482" s="81">
        <f t="shared" si="294"/>
        <v>1.1342015624999999</v>
      </c>
      <c r="BS482" s="82">
        <f t="shared" si="295"/>
        <v>206</v>
      </c>
      <c r="BT482" s="82">
        <f t="shared" si="296"/>
        <v>233.64552187499999</v>
      </c>
      <c r="BU482" s="82">
        <f t="shared" si="297"/>
        <v>233.6456</v>
      </c>
      <c r="BW482" s="82">
        <f>IFERROR(INDEX('Infos Clientes'!$T:$T,MATCH('Detalhe Por UC'!$C482,'Infos Clientes'!B:B,0)),"")</f>
        <v>55.25</v>
      </c>
      <c r="BX482" s="83">
        <f t="shared" si="298"/>
        <v>0</v>
      </c>
      <c r="BY482" s="84">
        <f t="shared" si="299"/>
        <v>0.25001805954257617</v>
      </c>
      <c r="BZ482" s="85">
        <f>IF(_xlfn.MINIFS('Detalhe Por UC'!R:R,'Detalhe Por UC'!C:C,C482,'Detalhe Por UC'!AD:AD,"&gt;"&amp;0)=0,"",_xlfn.MINIFS('Detalhe Por UC'!R:R,'Detalhe Por UC'!C:C,C482,'Detalhe Por UC'!AD:AD,"&gt;"&amp;0))</f>
        <v>45689</v>
      </c>
      <c r="CA482" s="114">
        <f ca="1">IF(OR(S482&gt;0,AD482&gt;0),IFERROR(
SUMIFS(INDIRECT("'Infos Clientes'!$W"&amp;INDEX('Infos Clientes'!$C:$C,MATCH(C482,'Infos Clientes'!$H:$H,0))&amp;":$CZ"&amp;INDEX('Infos Clientes'!$C:$C,MATCH(C482,'Infos Clientes'!$H:$H,0))),'Infos Clientes'!$W$2:$CZ$2,"&gt;"&amp;$R482-365,'Infos Clientes'!$W$2:$CZ$2,"&lt;="&amp;$R482)/
COUNTIFS(INDIRECT("'Infos Clientes'!$W"&amp;INDEX('Infos Clientes'!$C:$C,MATCH(C482,'Infos Clientes'!$H:$H,0))&amp;":$CZ"&amp;INDEX('Infos Clientes'!$C:$C,MATCH(C482,'Infos Clientes'!$H:$H,0))),"&gt;="&amp;0,'Infos Clientes'!$W$2:$CZ$2,"&gt;"&amp;$R482-365,'Infos Clientes'!$W$2:$CZ$2,"&lt;="&amp;$R482),""),"")</f>
        <v>164.91666666666666</v>
      </c>
      <c r="CB482" s="87">
        <f>VLOOKUP(C482,'Infos Clientes'!B:L,11,0)</f>
        <v>0</v>
      </c>
      <c r="CC482" s="88" t="str">
        <f t="shared" si="300"/>
        <v>A Unidade Consumidora 10/3005226-0 economizou R$58,41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482" s="40" t="s">
        <v>96</v>
      </c>
      <c r="CE482" s="18">
        <v>102.96</v>
      </c>
      <c r="CF482" s="115">
        <f t="shared" si="301"/>
        <v>0</v>
      </c>
      <c r="CG482" t="s">
        <v>358</v>
      </c>
    </row>
    <row r="483" spans="1:85" ht="16.2" hidden="1" customHeight="1" x14ac:dyDescent="0.3">
      <c r="A483" s="105" t="str">
        <f>INDEX('Infos Clientes'!$D:$D,MATCH('Detalhe Por UC'!C483,'Infos Clientes'!B:B,0))</f>
        <v>IGREJA DO EVANGELHO QUADRANGULAR</v>
      </c>
      <c r="B483" s="106" t="str">
        <f>INDEX('Infos Clientes'!$F:$F,MATCH('Detalhe Por UC'!C483,'Infos Clientes'!B:B,0))</f>
        <v>62.955.505/0356-29</v>
      </c>
      <c r="C483" s="107" t="s">
        <v>247</v>
      </c>
      <c r="D483" t="s">
        <v>351</v>
      </c>
      <c r="E483" s="1" t="s">
        <v>352</v>
      </c>
      <c r="F483" s="56" t="str">
        <f>INDEX('Infos Clientes'!$I:$I,MATCH('Detalhe Por UC'!C483,'Infos Clientes'!B:B,0))</f>
        <v>BT</v>
      </c>
      <c r="G483" s="56" t="str">
        <f>INDEX('Infos Clientes'!$J:$J,MATCH('Detalhe Por UC'!C483,'Infos Clientes'!B:B,0))</f>
        <v>trifasico</v>
      </c>
      <c r="H483" s="108" t="s">
        <v>138</v>
      </c>
      <c r="I483" s="58">
        <f>IFERROR(VLOOKUP(C483,'Infos Clientes'!B:E,4,),"")</f>
        <v>359</v>
      </c>
      <c r="J483" s="109">
        <v>0.25</v>
      </c>
      <c r="K483" s="59">
        <f>INDEX('Infos Clientes'!$M:$M,MATCH('Detalhe Por UC'!C483,'Infos Clientes'!B:B,0))</f>
        <v>0.25</v>
      </c>
      <c r="L483" s="125">
        <v>0</v>
      </c>
      <c r="M483" s="56">
        <f>INDEX('Infos Clientes'!$N:$N,MATCH('Detalhe Por UC'!C483,'Infos Clientes'!B:B,0))</f>
        <v>0</v>
      </c>
      <c r="N483" s="56">
        <f t="shared" si="266"/>
        <v>0</v>
      </c>
      <c r="O483" s="56">
        <f t="shared" si="267"/>
        <v>4</v>
      </c>
      <c r="P483" s="56">
        <f t="shared" si="302"/>
        <v>0</v>
      </c>
      <c r="Q483" s="61">
        <f>IFERROR(IFERROR(INDEX('Infos Clientes'!$A$2:$V$9884,MATCH($C483,'Infos Clientes'!$B$2:$B$9884,0),MATCH(Q$8,'Infos Clientes'!$A$2:$V$2,0)),"")
+IF(OR(INDEX('Infos Clientes'!$A$2:$V$9884,MATCH($C483,'Infos Clientes'!$B$2:$B$9884,0),MATCH("Tempo de Fidelidade (meses)",'Infos Clientes'!$A$2:$V$2,0))=0,R483&gt;=MAX(R:R)),0,
ROUND((MAX(R:R)-R483)/(365/12),0)),"")</f>
        <v>0</v>
      </c>
      <c r="R483" s="111">
        <v>45778</v>
      </c>
      <c r="S483" s="63">
        <v>0</v>
      </c>
      <c r="T483" s="113" t="str">
        <f>IF($H483="GIROSSOL II",AP483/INDEX('Resumo Operacional'!$A$1:$P$1103,17,MATCH('Detalhe Por UC'!$R483,'Resumo Operacional'!$A$1:$P$1,0)),
IF($H483="GIROSSOL II e III",AP483/INDEX('Resumo Operacional'!$A$1:$P$1103,17,MATCH('Detalhe Por UC'!$R483,'Resumo Operacional'!$A$1:$P$1,0)),
""))</f>
        <v/>
      </c>
      <c r="U483" s="113">
        <f>IF($H483="GIROSSOL III",AP483/INDEX('Resumo Operacional'!$A$1:$P$1103,53,MATCH('Detalhe Por UC'!$R483,'Resumo Operacional'!$A$1:$P$1,0)),
IF($H483="GIROSSOL II e III",AP483/INDEX('Resumo Operacional'!$A$1:$P$1103,53,MATCH('Detalhe Por UC'!$R483,'Resumo Operacional'!$A$1:$P$1,0)),
""))</f>
        <v>0</v>
      </c>
      <c r="V483" s="45"/>
      <c r="X483" s="18">
        <v>1.1216249999999999</v>
      </c>
      <c r="Y483" s="18">
        <v>0</v>
      </c>
      <c r="Z483" s="18">
        <v>0.96472499999999994</v>
      </c>
      <c r="AA483" s="18">
        <v>0</v>
      </c>
      <c r="AB483" s="143">
        <v>800</v>
      </c>
      <c r="AC483" s="143">
        <v>0</v>
      </c>
      <c r="AD483" s="141">
        <v>0</v>
      </c>
      <c r="AE483" s="35"/>
      <c r="AF483" s="60">
        <v>0</v>
      </c>
      <c r="AG483" s="18">
        <v>0</v>
      </c>
      <c r="AH483" s="48">
        <v>168.89</v>
      </c>
      <c r="AI483" s="143">
        <v>0</v>
      </c>
      <c r="AJ483" s="143">
        <v>0</v>
      </c>
      <c r="AN483" s="71">
        <f t="shared" si="268"/>
        <v>0</v>
      </c>
      <c r="AO483" s="71">
        <f t="shared" si="269"/>
        <v>0</v>
      </c>
      <c r="AP483" s="71">
        <f t="shared" si="270"/>
        <v>0</v>
      </c>
      <c r="AQ483" s="72">
        <f>IF(OR($H483="GIROSSOL II",$H483="GIROSSOL II e III"),INDEX('Resumo Operacional'!$A$1:$P$1103,MATCH("Energia Injetada prevista total Fatura da Usina (TUSD)",'Resumo Operacional'!$B$1:$B$1103,0),MATCH('Detalhe Por UC'!$R483,'Resumo Operacional'!$A$1:$P$1,0))*$S483,INDEX('Resumo Operacional'!$A$1:$P$1103,53,MATCH('Detalhe Por UC'!$R483,'Resumo Operacional'!$A$1:$P$1,0))*$S483)</f>
        <v>0</v>
      </c>
      <c r="AR483" s="71">
        <f t="shared" si="271"/>
        <v>0</v>
      </c>
      <c r="AS483" s="73">
        <f t="shared" si="272"/>
        <v>1066.19</v>
      </c>
      <c r="AT483" s="74">
        <f t="shared" si="273"/>
        <v>1066.19</v>
      </c>
      <c r="AU483" s="74" t="str">
        <f t="shared" si="274"/>
        <v/>
      </c>
      <c r="AV483" s="74">
        <f t="shared" si="275"/>
        <v>0</v>
      </c>
      <c r="AW483" s="74">
        <f t="shared" si="276"/>
        <v>959.21</v>
      </c>
      <c r="AX483" s="74">
        <f t="shared" si="277"/>
        <v>959.21</v>
      </c>
      <c r="AY483" s="74">
        <f t="shared" si="278"/>
        <v>959.21</v>
      </c>
      <c r="BA483" s="49">
        <v>0</v>
      </c>
      <c r="BC483" s="73" t="str">
        <f t="shared" si="279"/>
        <v/>
      </c>
      <c r="BD483" s="73">
        <f t="shared" si="280"/>
        <v>1066.19</v>
      </c>
      <c r="BE483" s="73">
        <f t="shared" si="281"/>
        <v>1066.19</v>
      </c>
      <c r="BF483" s="77">
        <f t="shared" si="282"/>
        <v>0</v>
      </c>
      <c r="BG483" s="77">
        <f t="shared" si="283"/>
        <v>0</v>
      </c>
      <c r="BH483" s="77">
        <f t="shared" si="284"/>
        <v>0</v>
      </c>
      <c r="BI483" s="78" t="str">
        <f t="shared" si="285"/>
        <v/>
      </c>
      <c r="BJ483" s="79">
        <f t="shared" si="286"/>
        <v>0</v>
      </c>
      <c r="BK483" s="80">
        <f t="shared" si="287"/>
        <v>2025.4</v>
      </c>
      <c r="BL483" s="80">
        <f t="shared" si="288"/>
        <v>-959.21</v>
      </c>
      <c r="BM483" s="79">
        <f t="shared" si="289"/>
        <v>-0.89966141119312693</v>
      </c>
      <c r="BN483" s="81" t="str">
        <f t="shared" si="290"/>
        <v/>
      </c>
      <c r="BO483" s="82" t="str">
        <f t="shared" si="291"/>
        <v/>
      </c>
      <c r="BP483" s="81" t="str">
        <f t="shared" si="292"/>
        <v/>
      </c>
      <c r="BQ483" s="81" t="str">
        <f t="shared" si="293"/>
        <v/>
      </c>
      <c r="BR483" s="81" t="str">
        <f t="shared" si="294"/>
        <v/>
      </c>
      <c r="BS483" s="82">
        <f t="shared" si="295"/>
        <v>0</v>
      </c>
      <c r="BT483" s="82" t="str">
        <f t="shared" si="296"/>
        <v/>
      </c>
      <c r="BU483" s="82">
        <f t="shared" si="297"/>
        <v>0</v>
      </c>
      <c r="BW483" s="82">
        <f>IFERROR(INDEX('Infos Clientes'!$T:$T,MATCH('Detalhe Por UC'!$C483,'Infos Clientes'!B:B,0)),"")</f>
        <v>883.5454545454545</v>
      </c>
      <c r="BX483" s="83">
        <f t="shared" si="298"/>
        <v>0</v>
      </c>
      <c r="BY483" s="84" t="str">
        <f t="shared" si="299"/>
        <v/>
      </c>
      <c r="BZ483" s="85">
        <f>IF(_xlfn.MINIFS('Detalhe Por UC'!R:R,'Detalhe Por UC'!C:C,C483,'Detalhe Por UC'!AD:AD,"&gt;"&amp;0)=0,"",_xlfn.MINIFS('Detalhe Por UC'!R:R,'Detalhe Por UC'!C:C,C483,'Detalhe Por UC'!AD:AD,"&gt;"&amp;0))</f>
        <v>45658</v>
      </c>
      <c r="CA483" s="114" t="str">
        <f ca="1">IF(OR(S483&gt;0,AD483&gt;0),IFERROR(
SUMIFS(INDIRECT("'Infos Clientes'!$W"&amp;INDEX('Infos Clientes'!$C:$C,MATCH(C483,'Infos Clientes'!$H:$H,0))&amp;":$CZ"&amp;INDEX('Infos Clientes'!$C:$C,MATCH(C483,'Infos Clientes'!$H:$H,0))),'Infos Clientes'!$W$2:$CZ$2,"&gt;"&amp;$R483-365,'Infos Clientes'!$W$2:$CZ$2,"&lt;="&amp;$R483)/
COUNTIFS(INDIRECT("'Infos Clientes'!$W"&amp;INDEX('Infos Clientes'!$C:$C,MATCH(C483,'Infos Clientes'!$H:$H,0))&amp;":$CZ"&amp;INDEX('Infos Clientes'!$C:$C,MATCH(C483,'Infos Clientes'!$H:$H,0))),"&gt;="&amp;0,'Infos Clientes'!$W$2:$CZ$2,"&gt;"&amp;$R483-365,'Infos Clientes'!$W$2:$CZ$2,"&lt;="&amp;$R483),""),"")</f>
        <v/>
      </c>
      <c r="CB483" s="87">
        <f>VLOOKUP(C483,'Infos Clientes'!B:L,11,0)</f>
        <v>0</v>
      </c>
      <c r="CC483" s="88" t="str">
        <f t="shared" si="300"/>
        <v>A Unidade Consumidora 10/3170252-5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83" s="40" t="s">
        <v>249</v>
      </c>
      <c r="CE483" s="18">
        <v>294.41000000000003</v>
      </c>
      <c r="CF483" s="115">
        <f t="shared" si="301"/>
        <v>-771.78</v>
      </c>
      <c r="CG483" t="s">
        <v>360</v>
      </c>
    </row>
    <row r="484" spans="1:85" ht="16.2" hidden="1" customHeight="1" x14ac:dyDescent="0.3">
      <c r="A484" s="105" t="str">
        <f>INDEX('Infos Clientes'!$D:$D,MATCH('Detalhe Por UC'!C484,'Infos Clientes'!B:B,0))</f>
        <v>IGREJA DO EVANGELHO QUADRANGULAR</v>
      </c>
      <c r="B484" s="106" t="str">
        <f>INDEX('Infos Clientes'!$F:$F,MATCH('Detalhe Por UC'!C484,'Infos Clientes'!B:B,0))</f>
        <v>62.955.505/0151-99</v>
      </c>
      <c r="C484" s="118" t="s">
        <v>168</v>
      </c>
      <c r="D484" t="s">
        <v>351</v>
      </c>
      <c r="E484" s="1" t="s">
        <v>352</v>
      </c>
      <c r="F484" s="56" t="str">
        <f>INDEX('Infos Clientes'!$I:$I,MATCH('Detalhe Por UC'!C484,'Infos Clientes'!B:B,0))</f>
        <v>BT</v>
      </c>
      <c r="G484" s="56" t="str">
        <f>INDEX('Infos Clientes'!$J:$J,MATCH('Detalhe Por UC'!C484,'Infos Clientes'!B:B,0))</f>
        <v>trifasico</v>
      </c>
      <c r="H484" s="108" t="s">
        <v>138</v>
      </c>
      <c r="I484" s="58">
        <f>IFERROR(VLOOKUP(C484,'Infos Clientes'!B:E,4,),"")</f>
        <v>306</v>
      </c>
      <c r="J484" s="109">
        <v>0.25</v>
      </c>
      <c r="K484" s="59">
        <f>INDEX('Infos Clientes'!$M:$M,MATCH('Detalhe Por UC'!C484,'Infos Clientes'!B:B,0))</f>
        <v>0.25</v>
      </c>
      <c r="L484" s="125">
        <v>0</v>
      </c>
      <c r="M484" s="56">
        <f>INDEX('Infos Clientes'!$N:$N,MATCH('Detalhe Por UC'!C484,'Infos Clientes'!B:B,0))</f>
        <v>0</v>
      </c>
      <c r="N484" s="56">
        <f t="shared" si="266"/>
        <v>0</v>
      </c>
      <c r="O484" s="56">
        <f t="shared" si="267"/>
        <v>7</v>
      </c>
      <c r="P484" s="56">
        <f t="shared" si="302"/>
        <v>0</v>
      </c>
      <c r="Q484" s="61">
        <f>IFERROR(IFERROR(INDEX('Infos Clientes'!$A$2:$V$9884,MATCH($C484,'Infos Clientes'!$B$2:$B$9884,0),MATCH(Q$8,'Infos Clientes'!$A$2:$V$2,0)),"")
+IF(OR(INDEX('Infos Clientes'!$A$2:$V$9884,MATCH($C484,'Infos Clientes'!$B$2:$B$9884,0),MATCH("Tempo de Fidelidade (meses)",'Infos Clientes'!$A$2:$V$2,0))=0,R484&gt;=MAX(R:R)),0,
ROUND((MAX(R:R)-R484)/(365/12),0)),"")</f>
        <v>0</v>
      </c>
      <c r="R484" s="111">
        <v>45778</v>
      </c>
      <c r="S484" s="63">
        <v>0</v>
      </c>
      <c r="T484" s="113" t="str">
        <f>IF($H484="GIROSSOL II",AP484/INDEX('Resumo Operacional'!$A$1:$P$1103,17,MATCH('Detalhe Por UC'!$R484,'Resumo Operacional'!$A$1:$P$1,0)),
IF($H484="GIROSSOL II e III",AP484/INDEX('Resumo Operacional'!$A$1:$P$1103,17,MATCH('Detalhe Por UC'!$R484,'Resumo Operacional'!$A$1:$P$1,0)),
""))</f>
        <v/>
      </c>
      <c r="U484" s="113">
        <f>IF($H484="GIROSSOL III",AP484/INDEX('Resumo Operacional'!$A$1:$P$1103,53,MATCH('Detalhe Por UC'!$R484,'Resumo Operacional'!$A$1:$P$1,0)),
IF($H484="GIROSSOL II e III",AP484/INDEX('Resumo Operacional'!$A$1:$P$1103,53,MATCH('Detalhe Por UC'!$R484,'Resumo Operacional'!$A$1:$P$1,0)),
""))</f>
        <v>0</v>
      </c>
      <c r="V484" s="45"/>
      <c r="X484" s="18">
        <v>1.1399537037037037</v>
      </c>
      <c r="Y484" s="18">
        <v>0</v>
      </c>
      <c r="Z484" s="18">
        <v>0.98305970149253719</v>
      </c>
      <c r="AA484" s="18">
        <v>0</v>
      </c>
      <c r="AB484" s="143">
        <v>432</v>
      </c>
      <c r="AC484" s="143">
        <v>0</v>
      </c>
      <c r="AD484" s="141">
        <v>0</v>
      </c>
      <c r="AE484" s="35"/>
      <c r="AF484" s="144">
        <v>1174</v>
      </c>
      <c r="AG484" s="143">
        <v>0</v>
      </c>
      <c r="AH484" s="48">
        <v>162.32000000000002</v>
      </c>
      <c r="AI484" s="143">
        <v>0</v>
      </c>
      <c r="AJ484" s="143">
        <v>0</v>
      </c>
      <c r="AN484" s="71">
        <f t="shared" si="268"/>
        <v>0</v>
      </c>
      <c r="AO484" s="71">
        <f t="shared" si="269"/>
        <v>0</v>
      </c>
      <c r="AP484" s="71">
        <f t="shared" si="270"/>
        <v>0</v>
      </c>
      <c r="AQ484" s="72">
        <f>IF(OR($H484="GIROSSOL II",$H484="GIROSSOL II e III"),INDEX('Resumo Operacional'!$A$1:$P$1103,MATCH("Energia Injetada prevista total Fatura da Usina (TUSD)",'Resumo Operacional'!$B$1:$B$1103,0),MATCH('Detalhe Por UC'!$R484,'Resumo Operacional'!$A$1:$P$1,0))*$S484,INDEX('Resumo Operacional'!$A$1:$P$1103,53,MATCH('Detalhe Por UC'!$R484,'Resumo Operacional'!$A$1:$P$1,0))*$S484)</f>
        <v>0</v>
      </c>
      <c r="AR484" s="71">
        <f t="shared" si="271"/>
        <v>0</v>
      </c>
      <c r="AS484" s="73">
        <f t="shared" si="272"/>
        <v>654.78000000000009</v>
      </c>
      <c r="AT484" s="74">
        <f t="shared" si="273"/>
        <v>654.78000000000009</v>
      </c>
      <c r="AU484" s="74" t="str">
        <f t="shared" si="274"/>
        <v/>
      </c>
      <c r="AV484" s="74">
        <f t="shared" si="275"/>
        <v>0</v>
      </c>
      <c r="AW484" s="74">
        <f t="shared" si="276"/>
        <v>0</v>
      </c>
      <c r="AX484" s="74">
        <f t="shared" si="277"/>
        <v>0</v>
      </c>
      <c r="AY484" s="74" t="str">
        <f t="shared" si="278"/>
        <v/>
      </c>
      <c r="BA484" s="49">
        <v>1.0000000000000001E-5</v>
      </c>
      <c r="BC484" s="73" t="str">
        <f t="shared" si="279"/>
        <v/>
      </c>
      <c r="BD484" s="73">
        <f t="shared" si="280"/>
        <v>654.78000000000009</v>
      </c>
      <c r="BE484" s="73">
        <f t="shared" si="281"/>
        <v>654.78000000000009</v>
      </c>
      <c r="BF484" s="77">
        <f t="shared" si="282"/>
        <v>0</v>
      </c>
      <c r="BG484" s="77">
        <f t="shared" si="283"/>
        <v>0</v>
      </c>
      <c r="BH484" s="77">
        <f t="shared" si="284"/>
        <v>0</v>
      </c>
      <c r="BI484" s="78" t="str">
        <f t="shared" si="285"/>
        <v/>
      </c>
      <c r="BJ484" s="79">
        <f t="shared" si="286"/>
        <v>0</v>
      </c>
      <c r="BK484" s="80" t="str">
        <f t="shared" si="287"/>
        <v/>
      </c>
      <c r="BL484" s="80" t="str">
        <f t="shared" si="288"/>
        <v/>
      </c>
      <c r="BM484" s="79" t="str">
        <f t="shared" si="289"/>
        <v/>
      </c>
      <c r="BN484" s="81" t="str">
        <f t="shared" si="290"/>
        <v/>
      </c>
      <c r="BO484" s="82" t="str">
        <f t="shared" si="291"/>
        <v/>
      </c>
      <c r="BP484" s="81" t="str">
        <f t="shared" si="292"/>
        <v/>
      </c>
      <c r="BQ484" s="81" t="str">
        <f t="shared" si="293"/>
        <v/>
      </c>
      <c r="BR484" s="81" t="str">
        <f t="shared" si="294"/>
        <v/>
      </c>
      <c r="BS484" s="82">
        <f t="shared" si="295"/>
        <v>0</v>
      </c>
      <c r="BT484" s="82" t="str">
        <f t="shared" si="296"/>
        <v/>
      </c>
      <c r="BU484" s="82">
        <f t="shared" si="297"/>
        <v>0</v>
      </c>
      <c r="BW484" s="82">
        <f>IFERROR(INDEX('Infos Clientes'!$T:$T,MATCH('Detalhe Por UC'!$C484,'Infos Clientes'!B:B,0)),"")</f>
        <v>718.4545454545455</v>
      </c>
      <c r="BX484" s="83">
        <f t="shared" si="298"/>
        <v>0</v>
      </c>
      <c r="BY484" s="84" t="str">
        <f t="shared" si="299"/>
        <v/>
      </c>
      <c r="BZ484" s="85">
        <f>IF(_xlfn.MINIFS('Detalhe Por UC'!R:R,'Detalhe Por UC'!C:C,C484,'Detalhe Por UC'!AD:AD,"&gt;"&amp;0)=0,"",_xlfn.MINIFS('Detalhe Por UC'!R:R,'Detalhe Por UC'!C:C,C484,'Detalhe Por UC'!AD:AD,"&gt;"&amp;0))</f>
        <v>45658</v>
      </c>
      <c r="CA484" s="114" t="str">
        <f ca="1">IF(OR(S484&gt;0,AD484&gt;0),IFERROR(
SUMIFS(INDIRECT("'Infos Clientes'!$W"&amp;INDEX('Infos Clientes'!$C:$C,MATCH(C484,'Infos Clientes'!$H:$H,0))&amp;":$CZ"&amp;INDEX('Infos Clientes'!$C:$C,MATCH(C484,'Infos Clientes'!$H:$H,0))),'Infos Clientes'!$W$2:$CZ$2,"&gt;"&amp;$R484-365,'Infos Clientes'!$W$2:$CZ$2,"&lt;="&amp;$R484)/
COUNTIFS(INDIRECT("'Infos Clientes'!$W"&amp;INDEX('Infos Clientes'!$C:$C,MATCH(C484,'Infos Clientes'!$H:$H,0))&amp;":$CZ"&amp;INDEX('Infos Clientes'!$C:$C,MATCH(C484,'Infos Clientes'!$H:$H,0))),"&gt;="&amp;0,'Infos Clientes'!$W$2:$CZ$2,"&gt;"&amp;$R484-365,'Infos Clientes'!$W$2:$CZ$2,"&lt;="&amp;$R484),""),"")</f>
        <v/>
      </c>
      <c r="CB484" s="87">
        <f>VLOOKUP(C484,'Infos Clientes'!B:L,11,0)</f>
        <v>0</v>
      </c>
      <c r="CC484" s="88" t="str">
        <f t="shared" si="300"/>
        <v>A Unidade Consumidora 10/2247256-7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84" s="40" t="s">
        <v>75</v>
      </c>
      <c r="CE484" s="18">
        <v>259.58999999999997</v>
      </c>
      <c r="CF484" s="115">
        <f t="shared" si="301"/>
        <v>-395.19000000000011</v>
      </c>
      <c r="CG484" t="s">
        <v>361</v>
      </c>
    </row>
    <row r="485" spans="1:85" ht="16.2" hidden="1" customHeight="1" x14ac:dyDescent="0.3">
      <c r="A485" s="105" t="str">
        <f>INDEX('Infos Clientes'!$D:$D,MATCH('Detalhe Por UC'!C485,'Infos Clientes'!B:B,0))</f>
        <v>IGREJA DO EVANGELHO QUADRANGULAR</v>
      </c>
      <c r="B485" s="106" t="str">
        <f>INDEX('Infos Clientes'!$F:$F,MATCH('Detalhe Por UC'!C485,'Infos Clientes'!B:B,0))</f>
        <v>62.955.505/0577-89</v>
      </c>
      <c r="C485" s="107" t="s">
        <v>237</v>
      </c>
      <c r="D485" t="s">
        <v>351</v>
      </c>
      <c r="E485" s="1" t="s">
        <v>352</v>
      </c>
      <c r="F485" s="56" t="str">
        <f>INDEX('Infos Clientes'!$I:$I,MATCH('Detalhe Por UC'!C485,'Infos Clientes'!B:B,0))</f>
        <v>BT</v>
      </c>
      <c r="G485" s="56" t="str">
        <f>INDEX('Infos Clientes'!$J:$J,MATCH('Detalhe Por UC'!C485,'Infos Clientes'!B:B,0))</f>
        <v>trifasico</v>
      </c>
      <c r="H485" s="108" t="s">
        <v>138</v>
      </c>
      <c r="I485" s="58">
        <f>IFERROR(VLOOKUP(C485,'Infos Clientes'!B:E,4,),"")</f>
        <v>319</v>
      </c>
      <c r="J485" s="109">
        <v>0.25</v>
      </c>
      <c r="K485" s="59">
        <f>INDEX('Infos Clientes'!$M:$M,MATCH('Detalhe Por UC'!C485,'Infos Clientes'!B:B,0))</f>
        <v>0.25</v>
      </c>
      <c r="L485" s="125">
        <v>0</v>
      </c>
      <c r="M485" s="56">
        <f>INDEX('Infos Clientes'!$N:$N,MATCH('Detalhe Por UC'!C485,'Infos Clientes'!B:B,0))</f>
        <v>0</v>
      </c>
      <c r="N485" s="56">
        <f t="shared" si="266"/>
        <v>0</v>
      </c>
      <c r="O485" s="56">
        <f t="shared" si="267"/>
        <v>4</v>
      </c>
      <c r="P485" s="56">
        <f t="shared" si="302"/>
        <v>0</v>
      </c>
      <c r="Q485" s="61">
        <f>IFERROR(IFERROR(INDEX('Infos Clientes'!$A$2:$V$9884,MATCH($C485,'Infos Clientes'!$B$2:$B$9884,0),MATCH(Q$8,'Infos Clientes'!$A$2:$V$2,0)),"")
+IF(OR(INDEX('Infos Clientes'!$A$2:$V$9884,MATCH($C485,'Infos Clientes'!$B$2:$B$9884,0),MATCH("Tempo de Fidelidade (meses)",'Infos Clientes'!$A$2:$V$2,0))=0,R485&gt;=MAX(R:R)),0,
ROUND((MAX(R:R)-R485)/(365/12),0)),"")</f>
        <v>0</v>
      </c>
      <c r="R485" s="111">
        <v>45778</v>
      </c>
      <c r="S485" s="63">
        <v>0.05</v>
      </c>
      <c r="T485" s="113" t="str">
        <f>IF($H485="GIROSSOL II",AP485/INDEX('Resumo Operacional'!$A$1:$P$1103,17,MATCH('Detalhe Por UC'!$R485,'Resumo Operacional'!$A$1:$P$1,0)),
IF($H485="GIROSSOL II e III",AP485/INDEX('Resumo Operacional'!$A$1:$P$1103,17,MATCH('Detalhe Por UC'!$R485,'Resumo Operacional'!$A$1:$P$1,0)),
""))</f>
        <v/>
      </c>
      <c r="U485" s="113">
        <f>IF($H485="GIROSSOL III",AP485/INDEX('Resumo Operacional'!$A$1:$P$1103,53,MATCH('Detalhe Por UC'!$R485,'Resumo Operacional'!$A$1:$P$1,0)),
IF($H485="GIROSSOL II e III",AP485/INDEX('Resumo Operacional'!$A$1:$P$1103,53,MATCH('Detalhe Por UC'!$R485,'Resumo Operacional'!$A$1:$P$1,0)),
""))</f>
        <v>4.9918063784192612E-2</v>
      </c>
      <c r="V485" s="45"/>
      <c r="X485" s="18">
        <v>1.1362412198046943</v>
      </c>
      <c r="Y485" s="18">
        <v>0</v>
      </c>
      <c r="Z485" s="18">
        <v>0.97934351700309141</v>
      </c>
      <c r="AA485" s="18">
        <v>0</v>
      </c>
      <c r="AB485" s="143">
        <v>449</v>
      </c>
      <c r="AC485" s="143">
        <v>0</v>
      </c>
      <c r="AD485" s="141">
        <v>0</v>
      </c>
      <c r="AE485" s="35"/>
      <c r="AF485" s="144">
        <v>396</v>
      </c>
      <c r="AG485" s="143">
        <v>0</v>
      </c>
      <c r="AH485" s="48">
        <v>0</v>
      </c>
      <c r="AI485" s="143">
        <v>0</v>
      </c>
      <c r="AJ485" s="143">
        <v>0</v>
      </c>
      <c r="AN485" s="71">
        <f t="shared" si="268"/>
        <v>396</v>
      </c>
      <c r="AO485" s="71">
        <f t="shared" si="269"/>
        <v>0</v>
      </c>
      <c r="AP485" s="71">
        <f t="shared" si="270"/>
        <v>396</v>
      </c>
      <c r="AQ485" s="72">
        <f>IF(OR($H485="GIROSSOL II",$H485="GIROSSOL II e III"),INDEX('Resumo Operacional'!$A$1:$P$1103,MATCH("Energia Injetada prevista total Fatura da Usina (TUSD)",'Resumo Operacional'!$B$1:$B$1103,0),MATCH('Detalhe Por UC'!$R485,'Resumo Operacional'!$A$1:$P$1,0))*$S485,INDEX('Resumo Operacional'!$A$1:$P$1103,53,MATCH('Detalhe Por UC'!$R485,'Resumo Operacional'!$A$1:$P$1,0))*$S485)</f>
        <v>396.65000000000003</v>
      </c>
      <c r="AR485" s="71">
        <f t="shared" si="271"/>
        <v>-0.65000000000003411</v>
      </c>
      <c r="AS485" s="73">
        <f t="shared" si="272"/>
        <v>510.17230769230775</v>
      </c>
      <c r="AT485" s="74">
        <f t="shared" si="273"/>
        <v>510.17230769230775</v>
      </c>
      <c r="AU485" s="74" t="str">
        <f t="shared" si="274"/>
        <v/>
      </c>
      <c r="AV485" s="74">
        <f t="shared" si="275"/>
        <v>0</v>
      </c>
      <c r="AW485" s="74">
        <f t="shared" si="276"/>
        <v>0</v>
      </c>
      <c r="AX485" s="74">
        <f t="shared" si="277"/>
        <v>0</v>
      </c>
      <c r="AY485" s="74" t="str">
        <f t="shared" si="278"/>
        <v/>
      </c>
      <c r="BA485" s="49">
        <v>9.9999999999999995E-7</v>
      </c>
      <c r="BC485" s="73" t="str">
        <f t="shared" si="279"/>
        <v/>
      </c>
      <c r="BD485" s="73">
        <f t="shared" si="280"/>
        <v>510.17230769230775</v>
      </c>
      <c r="BE485" s="73">
        <f t="shared" si="281"/>
        <v>510.17230769230775</v>
      </c>
      <c r="BF485" s="77">
        <f t="shared" si="282"/>
        <v>0</v>
      </c>
      <c r="BG485" s="77">
        <f t="shared" si="283"/>
        <v>0</v>
      </c>
      <c r="BH485" s="77">
        <f t="shared" si="284"/>
        <v>0</v>
      </c>
      <c r="BI485" s="78" t="str">
        <f t="shared" si="285"/>
        <v/>
      </c>
      <c r="BJ485" s="79">
        <f t="shared" si="286"/>
        <v>0</v>
      </c>
      <c r="BK485" s="80" t="str">
        <f t="shared" si="287"/>
        <v/>
      </c>
      <c r="BL485" s="80" t="str">
        <f t="shared" si="288"/>
        <v/>
      </c>
      <c r="BM485" s="79" t="str">
        <f t="shared" si="289"/>
        <v/>
      </c>
      <c r="BN485" s="81" t="str">
        <f t="shared" si="290"/>
        <v/>
      </c>
      <c r="BO485" s="82" t="str">
        <f t="shared" si="291"/>
        <v/>
      </c>
      <c r="BP485" s="81" t="str">
        <f t="shared" si="292"/>
        <v/>
      </c>
      <c r="BQ485" s="81" t="str">
        <f t="shared" si="293"/>
        <v/>
      </c>
      <c r="BR485" s="81" t="str">
        <f t="shared" si="294"/>
        <v/>
      </c>
      <c r="BS485" s="82">
        <f t="shared" si="295"/>
        <v>0</v>
      </c>
      <c r="BT485" s="82" t="str">
        <f t="shared" si="296"/>
        <v/>
      </c>
      <c r="BU485" s="82">
        <f t="shared" si="297"/>
        <v>0</v>
      </c>
      <c r="BW485" s="82">
        <f>IFERROR(INDEX('Infos Clientes'!$T:$T,MATCH('Detalhe Por UC'!$C485,'Infos Clientes'!B:B,0)),"")</f>
        <v>790</v>
      </c>
      <c r="BX485" s="83">
        <f t="shared" si="298"/>
        <v>0</v>
      </c>
      <c r="BY485" s="84" t="str">
        <f t="shared" si="299"/>
        <v/>
      </c>
      <c r="BZ485" s="85">
        <f>IF(_xlfn.MINIFS('Detalhe Por UC'!R:R,'Detalhe Por UC'!C:C,C485,'Detalhe Por UC'!AD:AD,"&gt;"&amp;0)=0,"",_xlfn.MINIFS('Detalhe Por UC'!R:R,'Detalhe Por UC'!C:C,C485,'Detalhe Por UC'!AD:AD,"&gt;"&amp;0))</f>
        <v>45717</v>
      </c>
      <c r="CA485" s="114">
        <f ca="1">IF(OR(S485&gt;0,AD485&gt;0),IFERROR(
SUMIFS(INDIRECT("'Infos Clientes'!$W"&amp;INDEX('Infos Clientes'!$C:$C,MATCH(C485,'Infos Clientes'!$H:$H,0))&amp;":$CZ"&amp;INDEX('Infos Clientes'!$C:$C,MATCH(C485,'Infos Clientes'!$H:$H,0))),'Infos Clientes'!$W$2:$CZ$2,"&gt;"&amp;$R485-365,'Infos Clientes'!$W$2:$CZ$2,"&lt;="&amp;$R485)/
COUNTIFS(INDIRECT("'Infos Clientes'!$W"&amp;INDEX('Infos Clientes'!$C:$C,MATCH(C485,'Infos Clientes'!$H:$H,0))&amp;":$CZ"&amp;INDEX('Infos Clientes'!$C:$C,MATCH(C485,'Infos Clientes'!$H:$H,0))),"&gt;="&amp;0,'Infos Clientes'!$W$2:$CZ$2,"&gt;"&amp;$R485-365,'Infos Clientes'!$W$2:$CZ$2,"&lt;="&amp;$R485),""),"")</f>
        <v>217.08333333333334</v>
      </c>
      <c r="CB485" s="87">
        <f>VLOOKUP(C485,'Infos Clientes'!B:L,11,0)</f>
        <v>0</v>
      </c>
      <c r="CC485" s="88" t="str">
        <f t="shared" si="300"/>
        <v>A Unidade Consumidora 10/925970-6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485" s="40" t="s">
        <v>249</v>
      </c>
      <c r="CE485" s="18">
        <v>95.91</v>
      </c>
      <c r="CF485" s="115">
        <f t="shared" si="301"/>
        <v>-414.26230769230779</v>
      </c>
      <c r="CG485" t="s">
        <v>362</v>
      </c>
    </row>
    <row r="486" spans="1:85" ht="16.2" hidden="1" customHeight="1" x14ac:dyDescent="0.3">
      <c r="A486" s="105" t="str">
        <f>INDEX('Infos Clientes'!$D:$D,MATCH('Detalhe Por UC'!C486,'Infos Clientes'!B:B,0))</f>
        <v>IGREJA DO EVANGELHO QUADRANGULAR</v>
      </c>
      <c r="B486" s="106" t="str">
        <f>INDEX('Infos Clientes'!$F:$F,MATCH('Detalhe Por UC'!C486,'Infos Clientes'!B:B,0))</f>
        <v>62.955.505/3932-07</v>
      </c>
      <c r="C486" s="107" t="s">
        <v>136</v>
      </c>
      <c r="D486" t="s">
        <v>351</v>
      </c>
      <c r="E486" s="1" t="s">
        <v>352</v>
      </c>
      <c r="F486" s="56" t="str">
        <f>INDEX('Infos Clientes'!$I:$I,MATCH('Detalhe Por UC'!C486,'Infos Clientes'!B:B,0))</f>
        <v>BT</v>
      </c>
      <c r="G486" s="56">
        <f>INDEX('Infos Clientes'!$J:$J,MATCH('Detalhe Por UC'!C486,'Infos Clientes'!B:B,0))</f>
        <v>0</v>
      </c>
      <c r="H486" s="108" t="s">
        <v>138</v>
      </c>
      <c r="I486" s="58">
        <f>IFERROR(VLOOKUP(C486,'Infos Clientes'!B:E,4,),"")</f>
        <v>302</v>
      </c>
      <c r="J486" s="109">
        <v>0.25</v>
      </c>
      <c r="K486" s="59">
        <f>INDEX('Infos Clientes'!$M:$M,MATCH('Detalhe Por UC'!C486,'Infos Clientes'!B:B,0))</f>
        <v>0.25</v>
      </c>
      <c r="L486" s="125">
        <v>0</v>
      </c>
      <c r="M486" s="56">
        <f>INDEX('Infos Clientes'!$N:$N,MATCH('Detalhe Por UC'!C486,'Infos Clientes'!B:B,0))</f>
        <v>0</v>
      </c>
      <c r="N486" s="56">
        <f t="shared" si="266"/>
        <v>0</v>
      </c>
      <c r="O486" s="56">
        <f t="shared" si="267"/>
        <v>0</v>
      </c>
      <c r="P486" s="56">
        <f t="shared" si="302"/>
        <v>0</v>
      </c>
      <c r="Q486" s="61">
        <f>IFERROR(IFERROR(INDEX('Infos Clientes'!$A$2:$V$9884,MATCH($C486,'Infos Clientes'!$B$2:$B$9884,0),MATCH(Q$8,'Infos Clientes'!$A$2:$V$2,0)),"")
+IF(OR(INDEX('Infos Clientes'!$A$2:$V$9884,MATCH($C486,'Infos Clientes'!$B$2:$B$9884,0),MATCH("Tempo de Fidelidade (meses)",'Infos Clientes'!$A$2:$V$2,0))=0,R486&gt;=MAX(R:R)),0,
ROUND((MAX(R:R)-R486)/(365/12),0)),"")</f>
        <v>0</v>
      </c>
      <c r="R486" s="111">
        <v>45778</v>
      </c>
      <c r="S486" s="63">
        <v>0</v>
      </c>
      <c r="T486" s="113" t="str">
        <f>IF($H486="GIROSSOL II",AP486/INDEX('Resumo Operacional'!$A$1:$P$1103,17,MATCH('Detalhe Por UC'!$R486,'Resumo Operacional'!$A$1:$P$1,0)),
IF($H486="GIROSSOL II e III",AP486/INDEX('Resumo Operacional'!$A$1:$P$1103,17,MATCH('Detalhe Por UC'!$R486,'Resumo Operacional'!$A$1:$P$1,0)),
""))</f>
        <v/>
      </c>
      <c r="U486" s="113">
        <f>IF($H486="GIROSSOL III",AP486/INDEX('Resumo Operacional'!$A$1:$P$1103,53,MATCH('Detalhe Por UC'!$R486,'Resumo Operacional'!$A$1:$P$1,0)),
IF($H486="GIROSSOL II e III",AP486/INDEX('Resumo Operacional'!$A$1:$P$1103,53,MATCH('Detalhe Por UC'!$R486,'Resumo Operacional'!$A$1:$P$1,0)),
""))</f>
        <v>0</v>
      </c>
      <c r="V486" s="45"/>
      <c r="X486" s="18"/>
      <c r="Y486" s="18"/>
      <c r="Z486" s="18"/>
      <c r="AA486" s="18"/>
      <c r="AB486" s="143"/>
      <c r="AC486" s="143"/>
      <c r="AD486" s="143"/>
      <c r="AE486" s="35"/>
      <c r="AF486" s="143"/>
      <c r="AG486" s="143"/>
      <c r="AH486" s="48"/>
      <c r="AI486" s="143"/>
      <c r="AJ486" s="143"/>
      <c r="AN486" s="71" t="str">
        <f t="shared" si="268"/>
        <v/>
      </c>
      <c r="AO486" s="71" t="str">
        <f t="shared" si="269"/>
        <v/>
      </c>
      <c r="AP486" s="71">
        <f t="shared" si="270"/>
        <v>0</v>
      </c>
      <c r="AQ486" s="72">
        <f>IF(OR($H486="GIROSSOL II",$H486="GIROSSOL II e III"),INDEX('Resumo Operacional'!$A$1:$P$1103,MATCH("Energia Injetada prevista total Fatura da Usina (TUSD)",'Resumo Operacional'!$B$1:$B$1103,0),MATCH('Detalhe Por UC'!$R486,'Resumo Operacional'!$A$1:$P$1,0))*$S486,INDEX('Resumo Operacional'!$A$1:$P$1103,53,MATCH('Detalhe Por UC'!$R486,'Resumo Operacional'!$A$1:$P$1,0))*$S486)</f>
        <v>0</v>
      </c>
      <c r="AR486" s="71" t="str">
        <f t="shared" si="271"/>
        <v/>
      </c>
      <c r="AS486" s="73">
        <f t="shared" si="272"/>
        <v>0</v>
      </c>
      <c r="AT486" s="74">
        <f t="shared" si="273"/>
        <v>0</v>
      </c>
      <c r="AU486" s="74" t="str">
        <f t="shared" si="274"/>
        <v/>
      </c>
      <c r="AV486" s="74">
        <f t="shared" si="275"/>
        <v>0</v>
      </c>
      <c r="AW486" s="74">
        <f t="shared" si="276"/>
        <v>0</v>
      </c>
      <c r="AX486" s="74">
        <f t="shared" si="277"/>
        <v>0</v>
      </c>
      <c r="AY486" s="74" t="str">
        <f t="shared" si="278"/>
        <v/>
      </c>
      <c r="BA486" s="49">
        <v>0</v>
      </c>
      <c r="BC486" s="73" t="str">
        <f t="shared" si="279"/>
        <v/>
      </c>
      <c r="BD486" s="73">
        <f t="shared" si="280"/>
        <v>0</v>
      </c>
      <c r="BE486" s="73">
        <f t="shared" si="281"/>
        <v>0</v>
      </c>
      <c r="BF486" s="77">
        <f t="shared" si="282"/>
        <v>0</v>
      </c>
      <c r="BG486" s="77">
        <f t="shared" si="283"/>
        <v>0</v>
      </c>
      <c r="BH486" s="77">
        <f t="shared" si="284"/>
        <v>0</v>
      </c>
      <c r="BI486" s="78" t="str">
        <f t="shared" si="285"/>
        <v/>
      </c>
      <c r="BJ486" s="79" t="str">
        <f t="shared" si="286"/>
        <v/>
      </c>
      <c r="BK486" s="80" t="str">
        <f t="shared" si="287"/>
        <v/>
      </c>
      <c r="BL486" s="80" t="str">
        <f t="shared" si="288"/>
        <v/>
      </c>
      <c r="BM486" s="79" t="str">
        <f t="shared" si="289"/>
        <v/>
      </c>
      <c r="BN486" s="81" t="str">
        <f t="shared" si="290"/>
        <v/>
      </c>
      <c r="BO486" s="82" t="str">
        <f t="shared" si="291"/>
        <v/>
      </c>
      <c r="BP486" s="81" t="str">
        <f t="shared" si="292"/>
        <v/>
      </c>
      <c r="BQ486" s="81" t="str">
        <f t="shared" si="293"/>
        <v/>
      </c>
      <c r="BR486" s="81" t="str">
        <f t="shared" si="294"/>
        <v/>
      </c>
      <c r="BS486" s="82">
        <f t="shared" si="295"/>
        <v>0</v>
      </c>
      <c r="BT486" s="82" t="str">
        <f t="shared" si="296"/>
        <v/>
      </c>
      <c r="BU486" s="82">
        <f t="shared" si="297"/>
        <v>0</v>
      </c>
      <c r="BW486" s="82">
        <f>IFERROR(INDEX('Infos Clientes'!$T:$T,MATCH('Detalhe Por UC'!$C486,'Infos Clientes'!B:B,0)),"")</f>
        <v>0</v>
      </c>
      <c r="BX486" s="83">
        <f t="shared" si="298"/>
        <v>0</v>
      </c>
      <c r="BY486" s="84" t="str">
        <f t="shared" si="299"/>
        <v/>
      </c>
      <c r="BZ486" s="85" t="str">
        <f>IF(_xlfn.MINIFS('Detalhe Por UC'!R:R,'Detalhe Por UC'!C:C,C486,'Detalhe Por UC'!AD:AD,"&gt;"&amp;0)=0,"",_xlfn.MINIFS('Detalhe Por UC'!R:R,'Detalhe Por UC'!C:C,C486,'Detalhe Por UC'!AD:AD,"&gt;"&amp;0))</f>
        <v/>
      </c>
      <c r="CA486" s="114" t="str">
        <f ca="1">IF(OR(S486&gt;0,AD486&gt;0),IFERROR(
SUMIFS(INDIRECT("'Infos Clientes'!$W"&amp;INDEX('Infos Clientes'!$C:$C,MATCH(C486,'Infos Clientes'!$H:$H,0))&amp;":$CZ"&amp;INDEX('Infos Clientes'!$C:$C,MATCH(C486,'Infos Clientes'!$H:$H,0))),'Infos Clientes'!$W$2:$CZ$2,"&gt;"&amp;$R486-365,'Infos Clientes'!$W$2:$CZ$2,"&lt;="&amp;$R486)/
COUNTIFS(INDIRECT("'Infos Clientes'!$W"&amp;INDEX('Infos Clientes'!$C:$C,MATCH(C486,'Infos Clientes'!$H:$H,0))&amp;":$CZ"&amp;INDEX('Infos Clientes'!$C:$C,MATCH(C486,'Infos Clientes'!$H:$H,0))),"&gt;="&amp;0,'Infos Clientes'!$W$2:$CZ$2,"&gt;"&amp;$R486-365,'Infos Clientes'!$W$2:$CZ$2,"&lt;="&amp;$R486),""),"")</f>
        <v/>
      </c>
      <c r="CB486" s="87">
        <f>VLOOKUP(C486,'Infos Clientes'!B:L,11,0)</f>
        <v>0</v>
      </c>
      <c r="CC486" s="88" t="str">
        <f t="shared" si="300"/>
        <v>A Unidade Consumidora 10/10731-8 economizou R$0 na fatura referente à mai/2025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486" s="40" t="s">
        <v>27</v>
      </c>
      <c r="CE486" s="18"/>
      <c r="CF486" s="115">
        <f t="shared" si="301"/>
        <v>0</v>
      </c>
    </row>
    <row r="487" spans="1:85" ht="16.2" hidden="1" customHeight="1" x14ac:dyDescent="0.3">
      <c r="A487" s="105" t="str">
        <f>INDEX('Infos Clientes'!$D:$D,MATCH('Detalhe Por UC'!C487,'Infos Clientes'!B:B,0))</f>
        <v>IGREJA DO EVANGELHO QUADRANGULAR</v>
      </c>
      <c r="B487" s="106" t="str">
        <f>INDEX('Infos Clientes'!$F:$F,MATCH('Detalhe Por UC'!C487,'Infos Clientes'!B:B,0))</f>
        <v>62.955.505/0585-99</v>
      </c>
      <c r="C487" s="44" t="s">
        <v>225</v>
      </c>
      <c r="D487" t="s">
        <v>351</v>
      </c>
      <c r="E487" s="1" t="s">
        <v>352</v>
      </c>
      <c r="F487" s="56" t="str">
        <f>INDEX('Infos Clientes'!$I:$I,MATCH('Detalhe Por UC'!C487,'Infos Clientes'!B:B,0))</f>
        <v>BT</v>
      </c>
      <c r="G487" s="56" t="str">
        <f>INDEX('Infos Clientes'!$J:$J,MATCH('Detalhe Por UC'!C487,'Infos Clientes'!B:B,0))</f>
        <v>trifasico</v>
      </c>
      <c r="H487" s="108" t="s">
        <v>138</v>
      </c>
      <c r="I487" s="58">
        <f>IFERROR(VLOOKUP(C487,'Infos Clientes'!B:E,4,),"")</f>
        <v>302</v>
      </c>
      <c r="J487" s="109">
        <v>0.25</v>
      </c>
      <c r="K487" s="59">
        <f>INDEX('Infos Clientes'!$M:$M,MATCH('Detalhe Por UC'!C487,'Infos Clientes'!B:B,0))</f>
        <v>0.25</v>
      </c>
      <c r="L487" s="125">
        <v>0</v>
      </c>
      <c r="M487" s="56">
        <f>INDEX('Infos Clientes'!$N:$N,MATCH('Detalhe Por UC'!C487,'Infos Clientes'!B:B,0))</f>
        <v>0</v>
      </c>
      <c r="N487" s="56">
        <f t="shared" si="266"/>
        <v>0</v>
      </c>
      <c r="O487" s="56">
        <f t="shared" si="267"/>
        <v>9</v>
      </c>
      <c r="P487" s="56">
        <f t="shared" si="302"/>
        <v>0</v>
      </c>
      <c r="Q487" s="61">
        <f>IFERROR(IFERROR(INDEX('Infos Clientes'!$A$2:$V$9884,MATCH($C487,'Infos Clientes'!$B$2:$B$9884,0),MATCH(Q$8,'Infos Clientes'!$A$2:$V$2,0)),"")
+IF(OR(INDEX('Infos Clientes'!$A$2:$V$9884,MATCH($C487,'Infos Clientes'!$B$2:$B$9884,0),MATCH("Tempo de Fidelidade (meses)",'Infos Clientes'!$A$2:$V$2,0))=0,R487&gt;=MAX(R:R)),0,
ROUND((MAX(R:R)-R487)/(365/12),0)),"")</f>
        <v>0</v>
      </c>
      <c r="R487" s="111">
        <v>45778</v>
      </c>
      <c r="S487" s="63">
        <v>0.02</v>
      </c>
      <c r="T487" s="113" t="str">
        <f>IF($H487="GIROSSOL II",AP487/INDEX('Resumo Operacional'!$A$1:$P$1103,17,MATCH('Detalhe Por UC'!$R487,'Resumo Operacional'!$A$1:$P$1,0)),
IF($H487="GIROSSOL II e III",AP487/INDEX('Resumo Operacional'!$A$1:$P$1103,17,MATCH('Detalhe Por UC'!$R487,'Resumo Operacional'!$A$1:$P$1,0)),
""))</f>
        <v/>
      </c>
      <c r="U487" s="113">
        <f>IF($H487="GIROSSOL III",AP487/INDEX('Resumo Operacional'!$A$1:$P$1103,53,MATCH('Detalhe Por UC'!$R487,'Resumo Operacional'!$A$1:$P$1,0)),
IF($H487="GIROSSOL II e III",AP487/INDEX('Resumo Operacional'!$A$1:$P$1103,53,MATCH('Detalhe Por UC'!$R487,'Resumo Operacional'!$A$1:$P$1,0)),
""))</f>
        <v>2.59674776251103E-2</v>
      </c>
      <c r="V487" s="45"/>
      <c r="X487" s="18">
        <v>1.1287590187590189</v>
      </c>
      <c r="Y487" s="18">
        <v>0</v>
      </c>
      <c r="Z487" s="18">
        <v>0.97185159500693485</v>
      </c>
      <c r="AA487" s="18">
        <v>0</v>
      </c>
      <c r="AB487" s="143">
        <v>297</v>
      </c>
      <c r="AC487" s="143">
        <v>0</v>
      </c>
      <c r="AD487" s="143">
        <v>206</v>
      </c>
      <c r="AE487" s="35"/>
      <c r="AF487" s="143">
        <v>0</v>
      </c>
      <c r="AG487" s="143">
        <v>0</v>
      </c>
      <c r="AH487" s="48">
        <v>48.269999999999996</v>
      </c>
      <c r="AI487" s="143">
        <v>0</v>
      </c>
      <c r="AJ487" s="143">
        <v>0</v>
      </c>
      <c r="AN487" s="71">
        <f t="shared" si="268"/>
        <v>0</v>
      </c>
      <c r="AO487" s="71">
        <f t="shared" si="269"/>
        <v>0</v>
      </c>
      <c r="AP487" s="71">
        <f t="shared" si="270"/>
        <v>206</v>
      </c>
      <c r="AQ487" s="72">
        <f>IF(OR($H487="GIROSSOL II",$H487="GIROSSOL II e III"),INDEX('Resumo Operacional'!$A$1:$P$1103,MATCH("Energia Injetada prevista total Fatura da Usina (TUSD)",'Resumo Operacional'!$B$1:$B$1103,0),MATCH('Detalhe Por UC'!$R487,'Resumo Operacional'!$A$1:$P$1,0))*$S487,INDEX('Resumo Operacional'!$A$1:$P$1103,53,MATCH('Detalhe Por UC'!$R487,'Resumo Operacional'!$A$1:$P$1,0))*$S487)</f>
        <v>158.66</v>
      </c>
      <c r="AR487" s="71">
        <f t="shared" si="271"/>
        <v>47.34</v>
      </c>
      <c r="AS487" s="73">
        <f t="shared" si="272"/>
        <v>183.31</v>
      </c>
      <c r="AT487" s="74">
        <f t="shared" si="273"/>
        <v>183.31</v>
      </c>
      <c r="AU487" s="74">
        <f t="shared" si="274"/>
        <v>0.81494417125485086</v>
      </c>
      <c r="AV487" s="74">
        <f t="shared" si="275"/>
        <v>150.15107142857144</v>
      </c>
      <c r="AW487" s="74">
        <f t="shared" si="276"/>
        <v>0</v>
      </c>
      <c r="AX487" s="74">
        <f t="shared" si="277"/>
        <v>200.20142857142858</v>
      </c>
      <c r="AY487" s="74">
        <f t="shared" si="278"/>
        <v>150.15</v>
      </c>
      <c r="AZ487" s="49">
        <v>150.15</v>
      </c>
      <c r="BA487" s="49">
        <v>150.15</v>
      </c>
      <c r="BB487" s="117">
        <v>150.15</v>
      </c>
      <c r="BC487" s="73" t="str">
        <f t="shared" si="279"/>
        <v/>
      </c>
      <c r="BD487" s="73">
        <f t="shared" si="280"/>
        <v>383.51142857142855</v>
      </c>
      <c r="BE487" s="73">
        <f t="shared" si="281"/>
        <v>333.46107142857147</v>
      </c>
      <c r="BF487" s="77">
        <f t="shared" si="282"/>
        <v>50.05</v>
      </c>
      <c r="BG487" s="77">
        <f t="shared" si="283"/>
        <v>15.014999999999999</v>
      </c>
      <c r="BH487" s="77">
        <f t="shared" si="284"/>
        <v>200.20142857142858</v>
      </c>
      <c r="BI487" s="78">
        <f t="shared" si="285"/>
        <v>0.25</v>
      </c>
      <c r="BJ487" s="79">
        <f t="shared" si="286"/>
        <v>0.13050458544725804</v>
      </c>
      <c r="BK487" s="80">
        <f t="shared" si="287"/>
        <v>333.46000000000004</v>
      </c>
      <c r="BL487" s="80">
        <f t="shared" si="288"/>
        <v>50.051428571428517</v>
      </c>
      <c r="BM487" s="79">
        <f t="shared" si="289"/>
        <v>0.1305083104247218</v>
      </c>
      <c r="BN487" s="81">
        <f t="shared" si="290"/>
        <v>0.72888349514563111</v>
      </c>
      <c r="BO487" s="82">
        <f t="shared" si="291"/>
        <v>150.15</v>
      </c>
      <c r="BP487" s="81">
        <f t="shared" si="292"/>
        <v>0.72888349514563111</v>
      </c>
      <c r="BQ487" s="81">
        <f t="shared" si="293"/>
        <v>0.88579091889771511</v>
      </c>
      <c r="BR487" s="81">
        <f t="shared" si="294"/>
        <v>1.1287590187590189</v>
      </c>
      <c r="BS487" s="82">
        <f t="shared" si="295"/>
        <v>206</v>
      </c>
      <c r="BT487" s="82">
        <f t="shared" si="296"/>
        <v>232.52435786435788</v>
      </c>
      <c r="BU487" s="82">
        <f t="shared" si="297"/>
        <v>200.20142857142858</v>
      </c>
      <c r="BW487" s="82">
        <f>IFERROR(INDEX('Infos Clientes'!$T:$T,MATCH('Detalhe Por UC'!$C487,'Infos Clientes'!B:B,0)),"")</f>
        <v>352.63636363636363</v>
      </c>
      <c r="BX487" s="83">
        <f t="shared" si="298"/>
        <v>0</v>
      </c>
      <c r="BY487" s="84">
        <f t="shared" si="299"/>
        <v>0.21525241067701761</v>
      </c>
      <c r="BZ487" s="85">
        <f>IF(_xlfn.MINIFS('Detalhe Por UC'!R:R,'Detalhe Por UC'!C:C,C487,'Detalhe Por UC'!AD:AD,"&gt;"&amp;0)=0,"",_xlfn.MINIFS('Detalhe Por UC'!R:R,'Detalhe Por UC'!C:C,C487,'Detalhe Por UC'!AD:AD,"&gt;"&amp;0))</f>
        <v>45658</v>
      </c>
      <c r="CA487" s="114">
        <f ca="1">IF(OR(S487&gt;0,AD487&gt;0),IFERROR(
SUMIFS(INDIRECT("'Infos Clientes'!$W"&amp;INDEX('Infos Clientes'!$C:$C,MATCH(C487,'Infos Clientes'!$H:$H,0))&amp;":$CZ"&amp;INDEX('Infos Clientes'!$C:$C,MATCH(C487,'Infos Clientes'!$H:$H,0))),'Infos Clientes'!$W$2:$CZ$2,"&gt;"&amp;$R487-365,'Infos Clientes'!$W$2:$CZ$2,"&lt;="&amp;$R487)/
COUNTIFS(INDIRECT("'Infos Clientes'!$W"&amp;INDEX('Infos Clientes'!$C:$C,MATCH(C487,'Infos Clientes'!$H:$H,0))&amp;":$CZ"&amp;INDEX('Infos Clientes'!$C:$C,MATCH(C487,'Infos Clientes'!$H:$H,0))),"&gt;="&amp;0,'Infos Clientes'!$W$2:$CZ$2,"&gt;"&amp;$R487-365,'Infos Clientes'!$W$2:$CZ$2,"&lt;="&amp;$R487),""),"")</f>
        <v>366.33333333333331</v>
      </c>
      <c r="CB487" s="87">
        <f>VLOOKUP(C487,'Infos Clientes'!B:L,11,0)</f>
        <v>0</v>
      </c>
      <c r="CC487" s="88" t="str">
        <f t="shared" si="300"/>
        <v>A Unidade Consumidora 10/76927-3 economizou R$50,05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487" s="40" t="s">
        <v>249</v>
      </c>
      <c r="CE487" s="18">
        <v>183.31</v>
      </c>
      <c r="CF487" s="115">
        <f t="shared" si="301"/>
        <v>0</v>
      </c>
    </row>
    <row r="488" spans="1:85" ht="16.2" hidden="1" customHeight="1" x14ac:dyDescent="0.3">
      <c r="A488" s="105" t="str">
        <f>INDEX('Infos Clientes'!$D:$D,MATCH('Detalhe Por UC'!C488,'Infos Clientes'!B:B,0))</f>
        <v>IGREJA DO EVANGELHO QUADRANGULAR</v>
      </c>
      <c r="B488" s="106" t="str">
        <f>INDEX('Infos Clientes'!$F:$F,MATCH('Detalhe Por UC'!C488,'Infos Clientes'!B:B,0))</f>
        <v>62.955.505/1138-75</v>
      </c>
      <c r="C488" s="44" t="s">
        <v>157</v>
      </c>
      <c r="D488" t="s">
        <v>351</v>
      </c>
      <c r="E488" s="1" t="s">
        <v>352</v>
      </c>
      <c r="F488" s="56" t="str">
        <f>INDEX('Infos Clientes'!$I:$I,MATCH('Detalhe Por UC'!C488,'Infos Clientes'!B:B,0))</f>
        <v>BT</v>
      </c>
      <c r="G488" s="56" t="str">
        <f>INDEX('Infos Clientes'!$J:$J,MATCH('Detalhe Por UC'!C488,'Infos Clientes'!B:B,0))</f>
        <v>bifasico</v>
      </c>
      <c r="H488" s="108" t="s">
        <v>138</v>
      </c>
      <c r="I488" s="58">
        <f>IFERROR(VLOOKUP(C488,'Infos Clientes'!B:E,4,),"")</f>
        <v>358</v>
      </c>
      <c r="J488" s="109">
        <v>0.25</v>
      </c>
      <c r="K488" s="59">
        <f>INDEX('Infos Clientes'!$M:$M,MATCH('Detalhe Por UC'!C488,'Infos Clientes'!B:B,0))</f>
        <v>0.25</v>
      </c>
      <c r="L488" s="125">
        <v>0</v>
      </c>
      <c r="M488" s="56">
        <f>INDEX('Infos Clientes'!$N:$N,MATCH('Detalhe Por UC'!C488,'Infos Clientes'!B:B,0))</f>
        <v>0</v>
      </c>
      <c r="N488" s="56">
        <f t="shared" si="266"/>
        <v>0</v>
      </c>
      <c r="O488" s="56">
        <f t="shared" si="267"/>
        <v>9</v>
      </c>
      <c r="P488" s="56">
        <f t="shared" si="302"/>
        <v>0</v>
      </c>
      <c r="Q488" s="61">
        <f>IFERROR(IFERROR(INDEX('Infos Clientes'!$A$2:$V$9884,MATCH($C488,'Infos Clientes'!$B$2:$B$9884,0),MATCH(Q$8,'Infos Clientes'!$A$2:$V$2,0)),"")
+IF(OR(INDEX('Infos Clientes'!$A$2:$V$9884,MATCH($C488,'Infos Clientes'!$B$2:$B$9884,0),MATCH("Tempo de Fidelidade (meses)",'Infos Clientes'!$A$2:$V$2,0))=0,R488&gt;=MAX(R:R)),0,
ROUND((MAX(R:R)-R488)/(365/12),0)),"")</f>
        <v>0</v>
      </c>
      <c r="R488" s="111">
        <v>45778</v>
      </c>
      <c r="S488" s="63">
        <v>0.03</v>
      </c>
      <c r="T488" s="113" t="str">
        <f>IF($H488="GIROSSOL II",AP488/INDEX('Resumo Operacional'!$A$1:$P$1103,17,MATCH('Detalhe Por UC'!$R488,'Resumo Operacional'!$A$1:$P$1,0)),
IF($H488="GIROSSOL II e III",AP488/INDEX('Resumo Operacional'!$A$1:$P$1103,17,MATCH('Detalhe Por UC'!$R488,'Resumo Operacional'!$A$1:$P$1,0)),
""))</f>
        <v/>
      </c>
      <c r="U488" s="113">
        <f>IF($H488="GIROSSOL III",AP488/INDEX('Resumo Operacional'!$A$1:$P$1103,53,MATCH('Detalhe Por UC'!$R488,'Resumo Operacional'!$A$1:$P$1,0)),
IF($H488="GIROSSOL II e III",AP488/INDEX('Resumo Operacional'!$A$1:$P$1103,53,MATCH('Detalhe Por UC'!$R488,'Resumo Operacional'!$A$1:$P$1,0)),
""))</f>
        <v>6.8952476994831716E-2</v>
      </c>
      <c r="V488" s="45"/>
      <c r="X488" s="18">
        <v>1.1216060606060605</v>
      </c>
      <c r="Y488" s="18">
        <v>0</v>
      </c>
      <c r="Z488" s="18">
        <v>0.96472727272727277</v>
      </c>
      <c r="AA488" s="18">
        <v>0</v>
      </c>
      <c r="AB488" s="143">
        <v>330</v>
      </c>
      <c r="AC488" s="143">
        <v>0</v>
      </c>
      <c r="AD488" s="143">
        <v>330</v>
      </c>
      <c r="AE488" s="35"/>
      <c r="AF488" s="143">
        <v>217</v>
      </c>
      <c r="AG488" s="143">
        <v>0</v>
      </c>
      <c r="AH488" s="48">
        <v>59.98</v>
      </c>
      <c r="AI488" s="143">
        <v>0</v>
      </c>
      <c r="AJ488" s="143">
        <v>0</v>
      </c>
      <c r="AN488" s="71">
        <f t="shared" si="268"/>
        <v>217</v>
      </c>
      <c r="AO488" s="71">
        <f t="shared" si="269"/>
        <v>0</v>
      </c>
      <c r="AP488" s="71">
        <f t="shared" si="270"/>
        <v>547</v>
      </c>
      <c r="AQ488" s="72">
        <f>IF(OR($H488="GIROSSOL II",$H488="GIROSSOL II e III"),INDEX('Resumo Operacional'!$A$1:$P$1103,MATCH("Energia Injetada prevista total Fatura da Usina (TUSD)",'Resumo Operacional'!$B$1:$B$1103,0),MATCH('Detalhe Por UC'!$R488,'Resumo Operacional'!$A$1:$P$1,0))*$S488,INDEX('Resumo Operacional'!$A$1:$P$1103,53,MATCH('Detalhe Por UC'!$R488,'Resumo Operacional'!$A$1:$P$1,0))*$S488)</f>
        <v>237.98999999999998</v>
      </c>
      <c r="AR488" s="71">
        <f t="shared" si="271"/>
        <v>309.01</v>
      </c>
      <c r="AS488" s="73">
        <f t="shared" si="272"/>
        <v>111.74999999999991</v>
      </c>
      <c r="AT488" s="74">
        <f t="shared" si="273"/>
        <v>111.74999999999991</v>
      </c>
      <c r="AU488" s="74">
        <f t="shared" si="274"/>
        <v>0.80784848484848504</v>
      </c>
      <c r="AV488" s="74">
        <f t="shared" si="275"/>
        <v>238.77</v>
      </c>
      <c r="AW488" s="74">
        <f t="shared" si="276"/>
        <v>0</v>
      </c>
      <c r="AX488" s="74">
        <f t="shared" si="277"/>
        <v>318.36</v>
      </c>
      <c r="AY488" s="74">
        <f t="shared" si="278"/>
        <v>238.77</v>
      </c>
      <c r="AZ488" s="49">
        <v>238.77</v>
      </c>
      <c r="BA488" s="49">
        <v>238.77</v>
      </c>
      <c r="BB488" s="117">
        <v>238.77</v>
      </c>
      <c r="BC488" s="73" t="str">
        <f t="shared" si="279"/>
        <v/>
      </c>
      <c r="BD488" s="73">
        <f t="shared" si="280"/>
        <v>430.10999999999996</v>
      </c>
      <c r="BE488" s="73">
        <f t="shared" si="281"/>
        <v>350.51999999999992</v>
      </c>
      <c r="BF488" s="77">
        <f t="shared" si="282"/>
        <v>79.59</v>
      </c>
      <c r="BG488" s="77">
        <f t="shared" si="283"/>
        <v>23.876999999999999</v>
      </c>
      <c r="BH488" s="77">
        <f t="shared" si="284"/>
        <v>318.36</v>
      </c>
      <c r="BI488" s="78">
        <f t="shared" si="285"/>
        <v>0.25</v>
      </c>
      <c r="BJ488" s="79">
        <f t="shared" si="286"/>
        <v>0.18504568598730559</v>
      </c>
      <c r="BK488" s="80">
        <f t="shared" si="287"/>
        <v>350.51999999999992</v>
      </c>
      <c r="BL488" s="80">
        <f t="shared" si="288"/>
        <v>79.590000000000032</v>
      </c>
      <c r="BM488" s="79">
        <f t="shared" si="289"/>
        <v>0.18504568598730567</v>
      </c>
      <c r="BN488" s="81">
        <f t="shared" si="290"/>
        <v>0.7235454545454546</v>
      </c>
      <c r="BO488" s="82">
        <f t="shared" si="291"/>
        <v>238.77</v>
      </c>
      <c r="BP488" s="81">
        <f t="shared" si="292"/>
        <v>0.7235454545454546</v>
      </c>
      <c r="BQ488" s="81">
        <f t="shared" si="293"/>
        <v>0.88042424242424233</v>
      </c>
      <c r="BR488" s="81">
        <f t="shared" si="294"/>
        <v>1.1216060606060605</v>
      </c>
      <c r="BS488" s="82">
        <f t="shared" si="295"/>
        <v>330</v>
      </c>
      <c r="BT488" s="82">
        <f t="shared" si="296"/>
        <v>370.12999999999994</v>
      </c>
      <c r="BU488" s="82">
        <f t="shared" si="297"/>
        <v>318.36</v>
      </c>
      <c r="BW488" s="82">
        <f>IFERROR(INDEX('Infos Clientes'!$T:$T,MATCH('Detalhe Por UC'!$C488,'Infos Clientes'!B:B,0)),"")</f>
        <v>449.81818181818181</v>
      </c>
      <c r="BX488" s="83">
        <f t="shared" si="298"/>
        <v>0</v>
      </c>
      <c r="BY488" s="84">
        <f t="shared" si="299"/>
        <v>0.21503255612892769</v>
      </c>
      <c r="BZ488" s="85">
        <f>IF(_xlfn.MINIFS('Detalhe Por UC'!R:R,'Detalhe Por UC'!C:C,C488,'Detalhe Por UC'!AD:AD,"&gt;"&amp;0)=0,"",_xlfn.MINIFS('Detalhe Por UC'!R:R,'Detalhe Por UC'!C:C,C488,'Detalhe Por UC'!AD:AD,"&gt;"&amp;0))</f>
        <v>45658</v>
      </c>
      <c r="CA488" s="114">
        <f ca="1">IF(OR(S488&gt;0,AD488&gt;0),IFERROR(
SUMIFS(INDIRECT("'Infos Clientes'!$W"&amp;INDEX('Infos Clientes'!$C:$C,MATCH(C488,'Infos Clientes'!$H:$H,0))&amp;":$CZ"&amp;INDEX('Infos Clientes'!$C:$C,MATCH(C488,'Infos Clientes'!$H:$H,0))),'Infos Clientes'!$W$2:$CZ$2,"&gt;"&amp;$R488-365,'Infos Clientes'!$W$2:$CZ$2,"&lt;="&amp;$R488)/
COUNTIFS(INDIRECT("'Infos Clientes'!$W"&amp;INDEX('Infos Clientes'!$C:$C,MATCH(C488,'Infos Clientes'!$H:$H,0))&amp;":$CZ"&amp;INDEX('Infos Clientes'!$C:$C,MATCH(C488,'Infos Clientes'!$H:$H,0))),"&gt;="&amp;0,'Infos Clientes'!$W$2:$CZ$2,"&gt;"&amp;$R488-365,'Infos Clientes'!$W$2:$CZ$2,"&lt;="&amp;$R488),""),"")</f>
        <v>459</v>
      </c>
      <c r="CB488" s="87">
        <f>VLOOKUP(C488,'Infos Clientes'!B:L,11,0)</f>
        <v>0</v>
      </c>
      <c r="CC488" s="88" t="str">
        <f t="shared" si="300"/>
        <v>A Unidade Consumidora 10/142353-2 economizou R$79,59 na fatura referente à mai/2025  consumindo 330 kWh em créditos de energia renovável conforme fatura de energia. A economia foi de 25% em relação ao que seria pago para a Energisa considerando os créditos consumidos. Atenção: Mantenha as contas da Energisa em dia para evitar cortes.</v>
      </c>
      <c r="CD488" s="40" t="s">
        <v>40</v>
      </c>
      <c r="CE488" s="18">
        <v>111.75</v>
      </c>
      <c r="CF488" s="115">
        <f t="shared" si="301"/>
        <v>0</v>
      </c>
      <c r="CG488" t="s">
        <v>358</v>
      </c>
    </row>
    <row r="489" spans="1:85" ht="16.2" hidden="1" customHeight="1" x14ac:dyDescent="0.3">
      <c r="A489" s="105" t="str">
        <f>INDEX('Infos Clientes'!$D:$D,MATCH('Detalhe Por UC'!C489,'Infos Clientes'!B:B,0))</f>
        <v>IGREJA DO EVANGELHO QUADRANGULAR</v>
      </c>
      <c r="B489" s="106" t="str">
        <f>INDEX('Infos Clientes'!$F:$F,MATCH('Detalhe Por UC'!C489,'Infos Clientes'!B:B,0))</f>
        <v>62.955.505/3574-05</v>
      </c>
      <c r="C489" s="44" t="s">
        <v>203</v>
      </c>
      <c r="D489" t="s">
        <v>351</v>
      </c>
      <c r="E489" s="1" t="s">
        <v>352</v>
      </c>
      <c r="F489" s="56" t="str">
        <f>INDEX('Infos Clientes'!$I:$I,MATCH('Detalhe Por UC'!C489,'Infos Clientes'!B:B,0))</f>
        <v>BT</v>
      </c>
      <c r="G489" s="56" t="str">
        <f>INDEX('Infos Clientes'!$J:$J,MATCH('Detalhe Por UC'!C489,'Infos Clientes'!B:B,0))</f>
        <v>trifasico</v>
      </c>
      <c r="H489" s="108" t="s">
        <v>138</v>
      </c>
      <c r="I489" s="58">
        <f>IFERROR(VLOOKUP(C489,'Infos Clientes'!B:E,4,),"")</f>
        <v>306</v>
      </c>
      <c r="J489" s="109">
        <v>0.25</v>
      </c>
      <c r="K489" s="59">
        <f>INDEX('Infos Clientes'!$M:$M,MATCH('Detalhe Por UC'!C489,'Infos Clientes'!B:B,0))</f>
        <v>0.25</v>
      </c>
      <c r="L489" s="125">
        <v>0</v>
      </c>
      <c r="M489" s="56">
        <f>INDEX('Infos Clientes'!$N:$N,MATCH('Detalhe Por UC'!C489,'Infos Clientes'!B:B,0))</f>
        <v>0</v>
      </c>
      <c r="N489" s="56">
        <f t="shared" si="266"/>
        <v>0</v>
      </c>
      <c r="O489" s="56">
        <f t="shared" si="267"/>
        <v>10</v>
      </c>
      <c r="P489" s="56">
        <f t="shared" si="302"/>
        <v>0</v>
      </c>
      <c r="Q489" s="61">
        <f>IFERROR(IFERROR(INDEX('Infos Clientes'!$A$2:$V$9884,MATCH($C489,'Infos Clientes'!$B$2:$B$9884,0),MATCH(Q$8,'Infos Clientes'!$A$2:$V$2,0)),"")
+IF(OR(INDEX('Infos Clientes'!$A$2:$V$9884,MATCH($C489,'Infos Clientes'!$B$2:$B$9884,0),MATCH("Tempo de Fidelidade (meses)",'Infos Clientes'!$A$2:$V$2,0))=0,R489&gt;=MAX(R:R)),0,
ROUND((MAX(R:R)-R489)/(365/12),0)),"")</f>
        <v>0</v>
      </c>
      <c r="R489" s="111">
        <v>45778</v>
      </c>
      <c r="S489" s="63">
        <v>0.02</v>
      </c>
      <c r="T489" s="113" t="str">
        <f>IF($H489="GIROSSOL II",AP489/INDEX('Resumo Operacional'!$A$1:$P$1103,17,MATCH('Detalhe Por UC'!$R489,'Resumo Operacional'!$A$1:$P$1,0)),
IF($H489="GIROSSOL II e III",AP489/INDEX('Resumo Operacional'!$A$1:$P$1103,17,MATCH('Detalhe Por UC'!$R489,'Resumo Operacional'!$A$1:$P$1,0)),
""))</f>
        <v/>
      </c>
      <c r="U489" s="113">
        <f>IF($H489="GIROSSOL III",AP489/INDEX('Resumo Operacional'!$A$1:$P$1103,53,MATCH('Detalhe Por UC'!$R489,'Resumo Operacional'!$A$1:$P$1,0)),
IF($H489="GIROSSOL II e III",AP489/INDEX('Resumo Operacional'!$A$1:$P$1103,53,MATCH('Detalhe Por UC'!$R489,'Resumo Operacional'!$A$1:$P$1,0)),
""))</f>
        <v>4.5884280852136645E-2</v>
      </c>
      <c r="V489" s="45"/>
      <c r="X489" s="18">
        <v>1.1322071428571427</v>
      </c>
      <c r="Y489" s="18">
        <v>0</v>
      </c>
      <c r="Z489" s="18">
        <v>0.97528531468531454</v>
      </c>
      <c r="AA489" s="18">
        <v>0</v>
      </c>
      <c r="AB489" s="143">
        <v>336</v>
      </c>
      <c r="AC489" s="143">
        <v>0</v>
      </c>
      <c r="AD489" s="143">
        <v>286</v>
      </c>
      <c r="AE489" s="35"/>
      <c r="AF489" s="143">
        <v>78</v>
      </c>
      <c r="AG489" s="143">
        <v>0</v>
      </c>
      <c r="AH489" s="48">
        <v>5.8</v>
      </c>
      <c r="AI489" s="143">
        <v>0</v>
      </c>
      <c r="AJ489" s="143">
        <v>0</v>
      </c>
      <c r="AN489" s="71">
        <f t="shared" si="268"/>
        <v>78</v>
      </c>
      <c r="AO489" s="71">
        <f t="shared" si="269"/>
        <v>0</v>
      </c>
      <c r="AP489" s="71">
        <f t="shared" si="270"/>
        <v>364</v>
      </c>
      <c r="AQ489" s="72">
        <f>IF(OR($H489="GIROSSOL II",$H489="GIROSSOL II e III"),INDEX('Resumo Operacional'!$A$1:$P$1103,MATCH("Energia Injetada prevista total Fatura da Usina (TUSD)",'Resumo Operacional'!$B$1:$B$1103,0),MATCH('Detalhe Por UC'!$R489,'Resumo Operacional'!$A$1:$P$1,0))*$S489,INDEX('Resumo Operacional'!$A$1:$P$1103,53,MATCH('Detalhe Por UC'!$R489,'Resumo Operacional'!$A$1:$P$1,0))*$S489)</f>
        <v>158.66</v>
      </c>
      <c r="AR489" s="71">
        <f t="shared" si="271"/>
        <v>205.34</v>
      </c>
      <c r="AS489" s="73">
        <f t="shared" si="272"/>
        <v>107.29</v>
      </c>
      <c r="AT489" s="74">
        <f t="shared" si="273"/>
        <v>107.29</v>
      </c>
      <c r="AU489" s="74">
        <f t="shared" si="274"/>
        <v>0.81836348651348634</v>
      </c>
      <c r="AV489" s="74">
        <f t="shared" si="275"/>
        <v>209.19869999999997</v>
      </c>
      <c r="AW489" s="74">
        <f t="shared" si="276"/>
        <v>0</v>
      </c>
      <c r="AX489" s="74">
        <f t="shared" si="277"/>
        <v>278.93159999999995</v>
      </c>
      <c r="AY489" s="74">
        <f t="shared" si="278"/>
        <v>209.2</v>
      </c>
      <c r="AZ489" s="49">
        <v>209.2</v>
      </c>
      <c r="BA489" s="49">
        <v>209.2</v>
      </c>
      <c r="BB489" s="117">
        <v>209.2</v>
      </c>
      <c r="BC489" s="73" t="str">
        <f t="shared" si="279"/>
        <v/>
      </c>
      <c r="BD489" s="73">
        <f t="shared" si="280"/>
        <v>386.22159999999997</v>
      </c>
      <c r="BE489" s="73">
        <f t="shared" si="281"/>
        <v>316.48869999999999</v>
      </c>
      <c r="BF489" s="77">
        <f t="shared" si="282"/>
        <v>69.73</v>
      </c>
      <c r="BG489" s="77">
        <f t="shared" si="283"/>
        <v>20.919</v>
      </c>
      <c r="BH489" s="77">
        <f t="shared" si="284"/>
        <v>278.93159999999995</v>
      </c>
      <c r="BI489" s="78">
        <f t="shared" si="285"/>
        <v>0.25</v>
      </c>
      <c r="BJ489" s="79">
        <f t="shared" si="286"/>
        <v>0.18054401928840855</v>
      </c>
      <c r="BK489" s="80">
        <f t="shared" si="287"/>
        <v>316.49</v>
      </c>
      <c r="BL489" s="80">
        <f t="shared" si="288"/>
        <v>69.731599999999958</v>
      </c>
      <c r="BM489" s="79">
        <f t="shared" si="289"/>
        <v>0.1805481619878328</v>
      </c>
      <c r="BN489" s="81">
        <f t="shared" si="290"/>
        <v>0.73146853146853141</v>
      </c>
      <c r="BO489" s="82">
        <f t="shared" si="291"/>
        <v>209.2</v>
      </c>
      <c r="BP489" s="81">
        <f t="shared" si="292"/>
        <v>0.73146853146853141</v>
      </c>
      <c r="BQ489" s="81">
        <f t="shared" si="293"/>
        <v>0.88839035964035962</v>
      </c>
      <c r="BR489" s="81">
        <f t="shared" si="294"/>
        <v>1.1322071428571427</v>
      </c>
      <c r="BS489" s="82">
        <f t="shared" si="295"/>
        <v>286</v>
      </c>
      <c r="BT489" s="82">
        <f t="shared" si="296"/>
        <v>323.81124285714282</v>
      </c>
      <c r="BU489" s="82">
        <f t="shared" si="297"/>
        <v>278.93159999999995</v>
      </c>
      <c r="BW489" s="82">
        <f>IFERROR(INDEX('Infos Clientes'!$T:$T,MATCH('Detalhe Por UC'!$C489,'Infos Clientes'!B:B,0)),"")</f>
        <v>378.09090909090907</v>
      </c>
      <c r="BX489" s="83">
        <f t="shared" si="298"/>
        <v>0</v>
      </c>
      <c r="BY489" s="84">
        <f t="shared" si="299"/>
        <v>0.21534644499901986</v>
      </c>
      <c r="BZ489" s="85">
        <f>IF(_xlfn.MINIFS('Detalhe Por UC'!R:R,'Detalhe Por UC'!C:C,C489,'Detalhe Por UC'!AD:AD,"&gt;"&amp;0)=0,"",_xlfn.MINIFS('Detalhe Por UC'!R:R,'Detalhe Por UC'!C:C,C489,'Detalhe Por UC'!AD:AD,"&gt;"&amp;0))</f>
        <v>45658</v>
      </c>
      <c r="CA489" s="114">
        <f ca="1">IF(OR(S489&gt;0,AD489&gt;0),IFERROR(
SUMIFS(INDIRECT("'Infos Clientes'!$W"&amp;INDEX('Infos Clientes'!$C:$C,MATCH(C489,'Infos Clientes'!$H:$H,0))&amp;":$CZ"&amp;INDEX('Infos Clientes'!$C:$C,MATCH(C489,'Infos Clientes'!$H:$H,0))),'Infos Clientes'!$W$2:$CZ$2,"&gt;"&amp;$R489-365,'Infos Clientes'!$W$2:$CZ$2,"&lt;="&amp;$R489)/
COUNTIFS(INDIRECT("'Infos Clientes'!$W"&amp;INDEX('Infos Clientes'!$C:$C,MATCH(C489,'Infos Clientes'!$H:$H,0))&amp;":$CZ"&amp;INDEX('Infos Clientes'!$C:$C,MATCH(C489,'Infos Clientes'!$H:$H,0))),"&gt;="&amp;0,'Infos Clientes'!$W$2:$CZ$2,"&gt;"&amp;$R489-365,'Infos Clientes'!$W$2:$CZ$2,"&lt;="&amp;$R489),""),"")</f>
        <v>368.41666666666669</v>
      </c>
      <c r="CB489" s="87">
        <f>VLOOKUP(C489,'Infos Clientes'!B:L,11,0)</f>
        <v>0</v>
      </c>
      <c r="CC489" s="88" t="str">
        <f t="shared" si="300"/>
        <v>A Unidade Consumidora 10/435964-2 economizou R$69,73 na fatura referente à mai/2025  consumindo 286 kWh em créditos de energia renovável conforme fatura de energia. A economia foi de 25% em relação ao que seria pago para a Energisa considerando os créditos consumidos. Atenção: Mantenha as contas da Energisa em dia para evitar cortes.</v>
      </c>
      <c r="CD489" s="40" t="s">
        <v>249</v>
      </c>
      <c r="CE489" s="18">
        <v>107.29</v>
      </c>
      <c r="CF489" s="115">
        <f t="shared" si="301"/>
        <v>0</v>
      </c>
      <c r="CG489" t="s">
        <v>358</v>
      </c>
    </row>
    <row r="490" spans="1:85" ht="16.2" hidden="1" customHeight="1" x14ac:dyDescent="0.3">
      <c r="A490" s="105" t="str">
        <f>INDEX('Infos Clientes'!$D:$D,MATCH('Detalhe Por UC'!C490,'Infos Clientes'!B:B,0))</f>
        <v>IGREJA DO EVANGELHO QUADRANGULAR</v>
      </c>
      <c r="B490" s="106" t="str">
        <f>INDEX('Infos Clientes'!$F:$F,MATCH('Detalhe Por UC'!C490,'Infos Clientes'!B:B,0))</f>
        <v>62.955.505/0169-18</v>
      </c>
      <c r="C490" s="44" t="s">
        <v>139</v>
      </c>
      <c r="D490" t="s">
        <v>351</v>
      </c>
      <c r="E490" s="1" t="s">
        <v>352</v>
      </c>
      <c r="F490" s="56" t="str">
        <f>INDEX('Infos Clientes'!$I:$I,MATCH('Detalhe Por UC'!C490,'Infos Clientes'!B:B,0))</f>
        <v>BT</v>
      </c>
      <c r="G490" s="56" t="str">
        <f>INDEX('Infos Clientes'!$J:$J,MATCH('Detalhe Por UC'!C490,'Infos Clientes'!B:B,0))</f>
        <v>bifasico</v>
      </c>
      <c r="H490" s="108" t="s">
        <v>138</v>
      </c>
      <c r="I490" s="58">
        <f>IFERROR(VLOOKUP(C490,'Infos Clientes'!B:E,4,),"")</f>
        <v>351</v>
      </c>
      <c r="J490" s="109">
        <v>0.25</v>
      </c>
      <c r="K490" s="59">
        <f>INDEX('Infos Clientes'!$M:$M,MATCH('Detalhe Por UC'!C490,'Infos Clientes'!B:B,0))</f>
        <v>0.25</v>
      </c>
      <c r="L490" s="125">
        <v>0</v>
      </c>
      <c r="M490" s="56">
        <f>INDEX('Infos Clientes'!$N:$N,MATCH('Detalhe Por UC'!C490,'Infos Clientes'!B:B,0))</f>
        <v>0</v>
      </c>
      <c r="N490" s="56">
        <f t="shared" si="266"/>
        <v>0</v>
      </c>
      <c r="O490" s="56">
        <f t="shared" si="267"/>
        <v>9</v>
      </c>
      <c r="P490" s="56">
        <f t="shared" si="302"/>
        <v>0</v>
      </c>
      <c r="Q490" s="61">
        <f>IFERROR(IFERROR(INDEX('Infos Clientes'!$A$2:$V$9884,MATCH($C490,'Infos Clientes'!$B$2:$B$9884,0),MATCH(Q$8,'Infos Clientes'!$A$2:$V$2,0)),"")
+IF(OR(INDEX('Infos Clientes'!$A$2:$V$9884,MATCH($C490,'Infos Clientes'!$B$2:$B$9884,0),MATCH("Tempo de Fidelidade (meses)",'Infos Clientes'!$A$2:$V$2,0))=0,R490&gt;=MAX(R:R)),0,
ROUND((MAX(R:R)-R490)/(365/12),0)),"")</f>
        <v>0</v>
      </c>
      <c r="R490" s="111">
        <v>45778</v>
      </c>
      <c r="S490" s="63">
        <v>0.03</v>
      </c>
      <c r="T490" s="113" t="str">
        <f>IF($H490="GIROSSOL II",AP490/INDEX('Resumo Operacional'!$A$1:$P$1103,17,MATCH('Detalhe Por UC'!$R490,'Resumo Operacional'!$A$1:$P$1,0)),
IF($H490="GIROSSOL II e III",AP490/INDEX('Resumo Operacional'!$A$1:$P$1103,17,MATCH('Detalhe Por UC'!$R490,'Resumo Operacional'!$A$1:$P$1,0)),
""))</f>
        <v/>
      </c>
      <c r="U490" s="113">
        <f>IF($H490="GIROSSOL III",AP490/INDEX('Resumo Operacional'!$A$1:$P$1103,53,MATCH('Detalhe Por UC'!$R490,'Resumo Operacional'!$A$1:$P$1,0)),
IF($H490="GIROSSOL II e III",AP490/INDEX('Resumo Operacional'!$A$1:$P$1103,53,MATCH('Detalhe Por UC'!$R490,'Resumo Operacional'!$A$1:$P$1,0)),
""))</f>
        <v>3.90772721542922E-2</v>
      </c>
      <c r="V490" s="45"/>
      <c r="X490" s="18">
        <v>1.1246294232486822</v>
      </c>
      <c r="Y490" s="18">
        <v>0</v>
      </c>
      <c r="Z490" s="18">
        <v>0.96959282846462702</v>
      </c>
      <c r="AA490" s="18">
        <v>0</v>
      </c>
      <c r="AB490" s="143">
        <v>543</v>
      </c>
      <c r="AC490" s="143">
        <v>0</v>
      </c>
      <c r="AD490" s="143">
        <v>310</v>
      </c>
      <c r="AE490" s="35"/>
      <c r="AF490" s="143">
        <v>0</v>
      </c>
      <c r="AG490" s="143">
        <v>0</v>
      </c>
      <c r="AH490" s="48">
        <v>74.73</v>
      </c>
      <c r="AI490" s="143">
        <v>0</v>
      </c>
      <c r="AJ490" s="143">
        <v>0</v>
      </c>
      <c r="AN490" s="71">
        <f t="shared" si="268"/>
        <v>0</v>
      </c>
      <c r="AO490" s="71">
        <f t="shared" si="269"/>
        <v>0</v>
      </c>
      <c r="AP490" s="71">
        <f t="shared" si="270"/>
        <v>310</v>
      </c>
      <c r="AQ490" s="72">
        <f>IF(OR($H490="GIROSSOL II",$H490="GIROSSOL II e III"),INDEX('Resumo Operacional'!$A$1:$P$1103,MATCH("Energia Injetada prevista total Fatura da Usina (TUSD)",'Resumo Operacional'!$B$1:$B$1103,0),MATCH('Detalhe Por UC'!$R490,'Resumo Operacional'!$A$1:$P$1,0))*$S490,INDEX('Resumo Operacional'!$A$1:$P$1103,53,MATCH('Detalhe Por UC'!$R490,'Resumo Operacional'!$A$1:$P$1,0))*$S490)</f>
        <v>237.98999999999998</v>
      </c>
      <c r="AR490" s="71">
        <f t="shared" si="271"/>
        <v>72.010000000000019</v>
      </c>
      <c r="AS490" s="73">
        <f t="shared" si="272"/>
        <v>384.8300000000001</v>
      </c>
      <c r="AT490" s="74">
        <f t="shared" si="273"/>
        <v>384.8300000000001</v>
      </c>
      <c r="AU490" s="74">
        <f t="shared" si="274"/>
        <v>0.81455623368057184</v>
      </c>
      <c r="AV490" s="74">
        <f t="shared" si="275"/>
        <v>225.43033261802577</v>
      </c>
      <c r="AW490" s="74">
        <f t="shared" si="276"/>
        <v>0</v>
      </c>
      <c r="AX490" s="74">
        <f t="shared" si="277"/>
        <v>300.57377682403438</v>
      </c>
      <c r="AY490" s="74">
        <f t="shared" si="278"/>
        <v>225.43</v>
      </c>
      <c r="AZ490" s="49">
        <v>225.43</v>
      </c>
      <c r="BA490" s="49">
        <v>225.43</v>
      </c>
      <c r="BB490" s="117">
        <v>225.43</v>
      </c>
      <c r="BC490" s="73" t="str">
        <f t="shared" si="279"/>
        <v/>
      </c>
      <c r="BD490" s="73">
        <f t="shared" si="280"/>
        <v>685.40377682403448</v>
      </c>
      <c r="BE490" s="73">
        <f t="shared" si="281"/>
        <v>610.26033261802581</v>
      </c>
      <c r="BF490" s="77">
        <f t="shared" si="282"/>
        <v>75.14</v>
      </c>
      <c r="BG490" s="77">
        <f t="shared" si="283"/>
        <v>22.541999999999998</v>
      </c>
      <c r="BH490" s="77">
        <f t="shared" si="284"/>
        <v>300.57377682403433</v>
      </c>
      <c r="BI490" s="78">
        <f t="shared" si="285"/>
        <v>0.25</v>
      </c>
      <c r="BJ490" s="79">
        <f t="shared" si="286"/>
        <v>0.10962880938324752</v>
      </c>
      <c r="BK490" s="80">
        <f t="shared" si="287"/>
        <v>610.2600000000001</v>
      </c>
      <c r="BL490" s="80">
        <f t="shared" si="288"/>
        <v>75.143776824034376</v>
      </c>
      <c r="BM490" s="79">
        <f t="shared" si="289"/>
        <v>0.10963431974686395</v>
      </c>
      <c r="BN490" s="81">
        <f t="shared" si="290"/>
        <v>0.72719354838709682</v>
      </c>
      <c r="BO490" s="82">
        <f t="shared" si="291"/>
        <v>225.43</v>
      </c>
      <c r="BP490" s="81">
        <f t="shared" si="292"/>
        <v>0.72719354838709682</v>
      </c>
      <c r="BQ490" s="81">
        <f t="shared" si="293"/>
        <v>0.882230143171152</v>
      </c>
      <c r="BR490" s="81">
        <f t="shared" si="294"/>
        <v>1.1246294232486822</v>
      </c>
      <c r="BS490" s="82">
        <f t="shared" si="295"/>
        <v>310</v>
      </c>
      <c r="BT490" s="82">
        <f t="shared" si="296"/>
        <v>348.63512120709146</v>
      </c>
      <c r="BU490" s="82">
        <f t="shared" si="297"/>
        <v>300.57377682403438</v>
      </c>
      <c r="BW490" s="82">
        <f>IFERROR(INDEX('Infos Clientes'!$T:$T,MATCH('Detalhe Por UC'!$C490,'Infos Clientes'!B:B,0)),"")</f>
        <v>547.4545454545455</v>
      </c>
      <c r="BX490" s="83">
        <f t="shared" si="298"/>
        <v>0</v>
      </c>
      <c r="BY490" s="84">
        <f t="shared" si="299"/>
        <v>0.21553702496713886</v>
      </c>
      <c r="BZ490" s="85">
        <f>IF(_xlfn.MINIFS('Detalhe Por UC'!R:R,'Detalhe Por UC'!C:C,C490,'Detalhe Por UC'!AD:AD,"&gt;"&amp;0)=0,"",_xlfn.MINIFS('Detalhe Por UC'!R:R,'Detalhe Por UC'!C:C,C490,'Detalhe Por UC'!AD:AD,"&gt;"&amp;0))</f>
        <v>45658</v>
      </c>
      <c r="CA490" s="114">
        <f ca="1">IF(OR(S490&gt;0,AD490&gt;0),IFERROR(
SUMIFS(INDIRECT("'Infos Clientes'!$W"&amp;INDEX('Infos Clientes'!$C:$C,MATCH(C490,'Infos Clientes'!$H:$H,0))&amp;":$CZ"&amp;INDEX('Infos Clientes'!$C:$C,MATCH(C490,'Infos Clientes'!$H:$H,0))),'Infos Clientes'!$W$2:$CZ$2,"&gt;"&amp;$R490-365,'Infos Clientes'!$W$2:$CZ$2,"&lt;="&amp;$R490)/
COUNTIFS(INDIRECT("'Infos Clientes'!$W"&amp;INDEX('Infos Clientes'!$C:$C,MATCH(C490,'Infos Clientes'!$H:$H,0))&amp;":$CZ"&amp;INDEX('Infos Clientes'!$C:$C,MATCH(C490,'Infos Clientes'!$H:$H,0))),"&gt;="&amp;0,'Infos Clientes'!$W$2:$CZ$2,"&gt;"&amp;$R490-365,'Infos Clientes'!$W$2:$CZ$2,"&lt;="&amp;$R490),""),"")</f>
        <v>548.83333333333337</v>
      </c>
      <c r="CB490" s="87">
        <f>VLOOKUP(C490,'Infos Clientes'!B:L,11,0)</f>
        <v>0</v>
      </c>
      <c r="CC490" s="88" t="str">
        <f t="shared" si="300"/>
        <v>A Unidade Consumidora 10/1081489-5 economizou R$75,14 na fatura referente à mai/2025  consumindo 310 kWh em créditos de energia renovável conforme fatura de energia. A economia foi de 25% em relação ao que seria pago para a Energisa considerando os créditos consumidos. Atenção: Mantenha as contas da Energisa em dia para evitar cortes.</v>
      </c>
      <c r="CD490" s="40" t="s">
        <v>27</v>
      </c>
      <c r="CE490" s="18">
        <v>384.83</v>
      </c>
      <c r="CF490" s="115">
        <f t="shared" si="301"/>
        <v>0</v>
      </c>
    </row>
    <row r="491" spans="1:85" ht="16.2" hidden="1" customHeight="1" x14ac:dyDescent="0.3">
      <c r="A491" s="105" t="str">
        <f>INDEX('Infos Clientes'!$D:$D,MATCH('Detalhe Por UC'!C491,'Infos Clientes'!B:B,0))</f>
        <v>IGREJA DO EVANGELHO QUADRANGULAR</v>
      </c>
      <c r="B491" s="106" t="str">
        <f>INDEX('Infos Clientes'!$F:$F,MATCH('Detalhe Por UC'!C491,'Infos Clientes'!B:B,0))</f>
        <v>62.955.505/3124-87</v>
      </c>
      <c r="C491" s="44" t="s">
        <v>160</v>
      </c>
      <c r="D491" t="s">
        <v>351</v>
      </c>
      <c r="E491" s="1" t="s">
        <v>352</v>
      </c>
      <c r="F491" s="56" t="str">
        <f>INDEX('Infos Clientes'!$I:$I,MATCH('Detalhe Por UC'!C491,'Infos Clientes'!B:B,0))</f>
        <v>BT</v>
      </c>
      <c r="G491" s="56" t="str">
        <f>INDEX('Infos Clientes'!$J:$J,MATCH('Detalhe Por UC'!C491,'Infos Clientes'!B:B,0))</f>
        <v>trifasico</v>
      </c>
      <c r="H491" s="108" t="s">
        <v>138</v>
      </c>
      <c r="I491" s="58">
        <f>IFERROR(VLOOKUP(C491,'Infos Clientes'!B:E,4,),"")</f>
        <v>357</v>
      </c>
      <c r="J491" s="109">
        <v>0.25</v>
      </c>
      <c r="K491" s="59">
        <f>INDEX('Infos Clientes'!$M:$M,MATCH('Detalhe Por UC'!C491,'Infos Clientes'!B:B,0))</f>
        <v>0.25</v>
      </c>
      <c r="L491" s="125">
        <v>0</v>
      </c>
      <c r="M491" s="56">
        <f>INDEX('Infos Clientes'!$N:$N,MATCH('Detalhe Por UC'!C491,'Infos Clientes'!B:B,0))</f>
        <v>0</v>
      </c>
      <c r="N491" s="56">
        <f t="shared" si="266"/>
        <v>0</v>
      </c>
      <c r="O491" s="56">
        <f t="shared" si="267"/>
        <v>9</v>
      </c>
      <c r="P491" s="56">
        <f t="shared" si="302"/>
        <v>0</v>
      </c>
      <c r="Q491" s="61">
        <f>IFERROR(IFERROR(INDEX('Infos Clientes'!$A$2:$V$9884,MATCH($C491,'Infos Clientes'!$B$2:$B$9884,0),MATCH(Q$8,'Infos Clientes'!$A$2:$V$2,0)),"")
+IF(OR(INDEX('Infos Clientes'!$A$2:$V$9884,MATCH($C491,'Infos Clientes'!$B$2:$B$9884,0),MATCH("Tempo de Fidelidade (meses)",'Infos Clientes'!$A$2:$V$2,0))=0,R491&gt;=MAX(R:R)),0,
ROUND((MAX(R:R)-R491)/(365/12),0)),"")</f>
        <v>0</v>
      </c>
      <c r="R491" s="111">
        <v>45778</v>
      </c>
      <c r="S491" s="63">
        <v>0.03</v>
      </c>
      <c r="T491" s="113" t="str">
        <f>IF($H491="GIROSSOL II",AP491/INDEX('Resumo Operacional'!$A$1:$P$1103,17,MATCH('Detalhe Por UC'!$R491,'Resumo Operacional'!$A$1:$P$1,0)),
IF($H491="GIROSSOL II e III",AP491/INDEX('Resumo Operacional'!$A$1:$P$1103,17,MATCH('Detalhe Por UC'!$R491,'Resumo Operacional'!$A$1:$P$1,0)),
""))</f>
        <v/>
      </c>
      <c r="U491" s="113">
        <f>IF($H491="GIROSSOL III",AP491/INDEX('Resumo Operacional'!$A$1:$P$1103,53,MATCH('Detalhe Por UC'!$R491,'Resumo Operacional'!$A$1:$P$1,0)),
IF($H491="GIROSSOL II e III",AP491/INDEX('Resumo Operacional'!$A$1:$P$1103,53,MATCH('Detalhe Por UC'!$R491,'Resumo Operacional'!$A$1:$P$1,0)),
""))</f>
        <v>6.8952476994831716E-2</v>
      </c>
      <c r="V491" s="45"/>
      <c r="X491" s="18">
        <v>1.1336146788990826</v>
      </c>
      <c r="Y491" s="18">
        <v>0</v>
      </c>
      <c r="Z491" s="18">
        <v>0.97670370370370363</v>
      </c>
      <c r="AA491" s="18">
        <v>0</v>
      </c>
      <c r="AB491" s="143">
        <v>545</v>
      </c>
      <c r="AC491" s="143">
        <v>0</v>
      </c>
      <c r="AD491" s="143">
        <v>540</v>
      </c>
      <c r="AE491" s="35"/>
      <c r="AF491" s="143">
        <v>24</v>
      </c>
      <c r="AG491" s="143">
        <v>0</v>
      </c>
      <c r="AH491" s="48">
        <v>-64.47</v>
      </c>
      <c r="AI491" s="143">
        <v>0</v>
      </c>
      <c r="AJ491" s="143">
        <v>0</v>
      </c>
      <c r="AN491" s="71">
        <f t="shared" si="268"/>
        <v>7</v>
      </c>
      <c r="AO491" s="71">
        <f t="shared" si="269"/>
        <v>0</v>
      </c>
      <c r="AP491" s="71">
        <f t="shared" si="270"/>
        <v>547</v>
      </c>
      <c r="AQ491" s="72">
        <f>IF(OR($H491="GIROSSOL II",$H491="GIROSSOL II e III"),INDEX('Resumo Operacional'!$A$1:$P$1103,MATCH("Energia Injetada prevista total Fatura da Usina (TUSD)",'Resumo Operacional'!$B$1:$B$1103,0),MATCH('Detalhe Por UC'!$R491,'Resumo Operacional'!$A$1:$P$1,0))*$S491,INDEX('Resumo Operacional'!$A$1:$P$1103,53,MATCH('Detalhe Por UC'!$R491,'Resumo Operacional'!$A$1:$P$1,0))*$S491)</f>
        <v>237.98999999999998</v>
      </c>
      <c r="AR491" s="71">
        <f t="shared" si="271"/>
        <v>309.01</v>
      </c>
      <c r="AS491" s="73">
        <f t="shared" si="272"/>
        <v>25.930000000000092</v>
      </c>
      <c r="AT491" s="74">
        <f t="shared" si="273"/>
        <v>25.930000000000092</v>
      </c>
      <c r="AU491" s="74">
        <f t="shared" si="274"/>
        <v>0.81979272850832463</v>
      </c>
      <c r="AV491" s="74">
        <f t="shared" si="275"/>
        <v>395.56499999999994</v>
      </c>
      <c r="AW491" s="74">
        <f t="shared" si="276"/>
        <v>0</v>
      </c>
      <c r="AX491" s="74">
        <f t="shared" si="277"/>
        <v>527.41999999999996</v>
      </c>
      <c r="AY491" s="74">
        <f t="shared" si="278"/>
        <v>395.57</v>
      </c>
      <c r="AZ491" s="49">
        <v>395.57</v>
      </c>
      <c r="BA491" s="49">
        <v>395.57</v>
      </c>
      <c r="BB491" s="117">
        <v>395.57</v>
      </c>
      <c r="BC491" s="73" t="str">
        <f t="shared" si="279"/>
        <v/>
      </c>
      <c r="BD491" s="73">
        <f t="shared" si="280"/>
        <v>553.35</v>
      </c>
      <c r="BE491" s="73">
        <f t="shared" si="281"/>
        <v>421.495</v>
      </c>
      <c r="BF491" s="77">
        <f t="shared" si="282"/>
        <v>131.86000000000001</v>
      </c>
      <c r="BG491" s="77">
        <f t="shared" si="283"/>
        <v>39.558</v>
      </c>
      <c r="BH491" s="77">
        <f t="shared" si="284"/>
        <v>527.41999999999996</v>
      </c>
      <c r="BI491" s="78">
        <f t="shared" si="285"/>
        <v>0.25</v>
      </c>
      <c r="BJ491" s="79">
        <f t="shared" si="286"/>
        <v>0.23829402728833471</v>
      </c>
      <c r="BK491" s="80">
        <f t="shared" si="287"/>
        <v>421.50000000000011</v>
      </c>
      <c r="BL491" s="80">
        <f t="shared" si="288"/>
        <v>131.84999999999991</v>
      </c>
      <c r="BM491" s="79">
        <f t="shared" si="289"/>
        <v>0.23827595554350756</v>
      </c>
      <c r="BN491" s="81">
        <f t="shared" si="290"/>
        <v>0.73253703703703699</v>
      </c>
      <c r="BO491" s="82">
        <f t="shared" si="291"/>
        <v>395.57</v>
      </c>
      <c r="BP491" s="81">
        <f t="shared" si="292"/>
        <v>0.73253703703703699</v>
      </c>
      <c r="BQ491" s="81">
        <f t="shared" si="293"/>
        <v>0.88944801223241599</v>
      </c>
      <c r="BR491" s="81">
        <f t="shared" si="294"/>
        <v>1.1336146788990826</v>
      </c>
      <c r="BS491" s="82">
        <f t="shared" si="295"/>
        <v>540</v>
      </c>
      <c r="BT491" s="82">
        <f t="shared" si="296"/>
        <v>612.15192660550463</v>
      </c>
      <c r="BU491" s="82">
        <f t="shared" si="297"/>
        <v>527.41999999999996</v>
      </c>
      <c r="BW491" s="82">
        <f>IFERROR(INDEX('Infos Clientes'!$T:$T,MATCH('Detalhe Por UC'!$C491,'Infos Clientes'!B:B,0)),"")</f>
        <v>495.18181818181819</v>
      </c>
      <c r="BX491" s="83">
        <f t="shared" si="298"/>
        <v>0</v>
      </c>
      <c r="BY491" s="84">
        <f t="shared" si="299"/>
        <v>0.21538770731496765</v>
      </c>
      <c r="BZ491" s="85">
        <f>IF(_xlfn.MINIFS('Detalhe Por UC'!R:R,'Detalhe Por UC'!C:C,C491,'Detalhe Por UC'!AD:AD,"&gt;"&amp;0)=0,"",_xlfn.MINIFS('Detalhe Por UC'!R:R,'Detalhe Por UC'!C:C,C491,'Detalhe Por UC'!AD:AD,"&gt;"&amp;0))</f>
        <v>45658</v>
      </c>
      <c r="CA491" s="114">
        <f ca="1">IF(OR(S491&gt;0,AD491&gt;0),IFERROR(
SUMIFS(INDIRECT("'Infos Clientes'!$W"&amp;INDEX('Infos Clientes'!$C:$C,MATCH(C491,'Infos Clientes'!$H:$H,0))&amp;":$CZ"&amp;INDEX('Infos Clientes'!$C:$C,MATCH(C491,'Infos Clientes'!$H:$H,0))),'Infos Clientes'!$W$2:$CZ$2,"&gt;"&amp;$R491-365,'Infos Clientes'!$W$2:$CZ$2,"&lt;="&amp;$R491)/
COUNTIFS(INDIRECT("'Infos Clientes'!$W"&amp;INDEX('Infos Clientes'!$C:$C,MATCH(C491,'Infos Clientes'!$H:$H,0))&amp;":$CZ"&amp;INDEX('Infos Clientes'!$C:$C,MATCH(C491,'Infos Clientes'!$H:$H,0))),"&gt;="&amp;0,'Infos Clientes'!$W$2:$CZ$2,"&gt;"&amp;$R491-365,'Infos Clientes'!$W$2:$CZ$2,"&lt;="&amp;$R491),""),"")</f>
        <v>498.83333333333331</v>
      </c>
      <c r="CB491" s="87">
        <f>VLOOKUP(C491,'Infos Clientes'!B:L,11,0)</f>
        <v>0</v>
      </c>
      <c r="CC491" s="88" t="str">
        <f t="shared" si="300"/>
        <v>A Unidade Consumidora 10/15297-5 economizou R$131,86 na fatura referente à mai/2025  consumindo 540 kWh em créditos de energia renovável conforme fatura de energia. A economia foi de 25% em relação ao que seria pago para a Energisa considerando os créditos consumidos. Atenção: Mantenha as contas da Energisa em dia para evitar cortes.</v>
      </c>
      <c r="CD491" s="40" t="s">
        <v>40</v>
      </c>
      <c r="CE491" s="18">
        <v>25.93</v>
      </c>
      <c r="CF491" s="115">
        <f t="shared" si="301"/>
        <v>-9.2370555648813024E-14</v>
      </c>
      <c r="CG491" t="s">
        <v>358</v>
      </c>
    </row>
    <row r="492" spans="1:85" ht="16.2" hidden="1" customHeight="1" x14ac:dyDescent="0.3">
      <c r="A492" s="105" t="str">
        <f>INDEX('Infos Clientes'!$D:$D,MATCH('Detalhe Por UC'!C492,'Infos Clientes'!B:B,0))</f>
        <v>IGREJA DO EVANGELHO QUADRANGULAR</v>
      </c>
      <c r="B492" s="106" t="str">
        <f>INDEX('Infos Clientes'!$F:$F,MATCH('Detalhe Por UC'!C492,'Infos Clientes'!B:B,0))</f>
        <v>62.955.505/1224-32</v>
      </c>
      <c r="C492" s="44" t="s">
        <v>234</v>
      </c>
      <c r="D492" t="s">
        <v>351</v>
      </c>
      <c r="E492" s="1" t="s">
        <v>352</v>
      </c>
      <c r="F492" s="56" t="str">
        <f>INDEX('Infos Clientes'!$I:$I,MATCH('Detalhe Por UC'!C492,'Infos Clientes'!B:B,0))</f>
        <v>BT</v>
      </c>
      <c r="G492" s="56" t="str">
        <f>INDEX('Infos Clientes'!$J:$J,MATCH('Detalhe Por UC'!C492,'Infos Clientes'!B:B,0))</f>
        <v>trifasico</v>
      </c>
      <c r="H492" s="108" t="s">
        <v>138</v>
      </c>
      <c r="I492" s="58">
        <f>IFERROR(VLOOKUP(C492,'Infos Clientes'!B:E,4,),"")</f>
        <v>302</v>
      </c>
      <c r="J492" s="109">
        <v>0.25</v>
      </c>
      <c r="K492" s="59">
        <f>INDEX('Infos Clientes'!$M:$M,MATCH('Detalhe Por UC'!C492,'Infos Clientes'!B:B,0))</f>
        <v>0.25</v>
      </c>
      <c r="L492" s="125">
        <v>0</v>
      </c>
      <c r="M492" s="56">
        <f>INDEX('Infos Clientes'!$N:$N,MATCH('Detalhe Por UC'!C492,'Infos Clientes'!B:B,0))</f>
        <v>0</v>
      </c>
      <c r="N492" s="56">
        <f t="shared" si="266"/>
        <v>0</v>
      </c>
      <c r="O492" s="56">
        <f t="shared" si="267"/>
        <v>7</v>
      </c>
      <c r="P492" s="56">
        <f t="shared" si="302"/>
        <v>0</v>
      </c>
      <c r="Q492" s="61">
        <f>IFERROR(IFERROR(INDEX('Infos Clientes'!$A$2:$V$9884,MATCH($C492,'Infos Clientes'!$B$2:$B$9884,0),MATCH(Q$8,'Infos Clientes'!$A$2:$V$2,0)),"")
+IF(OR(INDEX('Infos Clientes'!$A$2:$V$9884,MATCH($C492,'Infos Clientes'!$B$2:$B$9884,0),MATCH("Tempo de Fidelidade (meses)",'Infos Clientes'!$A$2:$V$2,0))=0,R492&gt;=MAX(R:R)),0,
ROUND((MAX(R:R)-R492)/(365/12),0)),"")</f>
        <v>0</v>
      </c>
      <c r="R492" s="111">
        <v>45778</v>
      </c>
      <c r="S492" s="63">
        <v>0.02</v>
      </c>
      <c r="T492" s="113" t="str">
        <f>IF($H492="GIROSSOL II",AP492/INDEX('Resumo Operacional'!$A$1:$P$1103,17,MATCH('Detalhe Por UC'!$R492,'Resumo Operacional'!$A$1:$P$1,0)),
IF($H492="GIROSSOL II e III",AP492/INDEX('Resumo Operacional'!$A$1:$P$1103,17,MATCH('Detalhe Por UC'!$R492,'Resumo Operacional'!$A$1:$P$1,0)),
""))</f>
        <v/>
      </c>
      <c r="U492" s="113">
        <f>IF($H492="GIROSSOL III",AP492/INDEX('Resumo Operacional'!$A$1:$P$1103,53,MATCH('Detalhe Por UC'!$R492,'Resumo Operacional'!$A$1:$P$1,0)),
IF($H492="GIROSSOL II e III",AP492/INDEX('Resumo Operacional'!$A$1:$P$1103,53,MATCH('Detalhe Por UC'!$R492,'Resumo Operacional'!$A$1:$P$1,0)),
""))</f>
        <v>4.5884280852136645E-2</v>
      </c>
      <c r="V492" s="45"/>
      <c r="X492" s="18">
        <v>1.134067019011965</v>
      </c>
      <c r="Y492" s="18">
        <v>0</v>
      </c>
      <c r="Z492" s="18">
        <v>0.97715394254867938</v>
      </c>
      <c r="AA492" s="18">
        <v>0</v>
      </c>
      <c r="AB492" s="143">
        <v>478</v>
      </c>
      <c r="AC492" s="143">
        <v>0</v>
      </c>
      <c r="AD492" s="143">
        <v>364</v>
      </c>
      <c r="AE492" s="35"/>
      <c r="AF492" s="143">
        <v>0</v>
      </c>
      <c r="AG492" s="143">
        <v>0</v>
      </c>
      <c r="AH492" s="48">
        <v>86.34</v>
      </c>
      <c r="AI492" s="143">
        <v>0</v>
      </c>
      <c r="AJ492" s="143">
        <v>0</v>
      </c>
      <c r="AN492" s="71">
        <f t="shared" si="268"/>
        <v>0</v>
      </c>
      <c r="AO492" s="71">
        <f t="shared" si="269"/>
        <v>0</v>
      </c>
      <c r="AP492" s="71">
        <f t="shared" si="270"/>
        <v>364</v>
      </c>
      <c r="AQ492" s="72">
        <f>IF(OR($H492="GIROSSOL II",$H492="GIROSSOL II e III"),INDEX('Resumo Operacional'!$A$1:$P$1103,MATCH("Energia Injetada prevista total Fatura da Usina (TUSD)",'Resumo Operacional'!$B$1:$B$1103,0),MATCH('Detalhe Por UC'!$R492,'Resumo Operacional'!$A$1:$P$1,0))*$S492,INDEX('Resumo Operacional'!$A$1:$P$1103,53,MATCH('Detalhe Por UC'!$R492,'Resumo Operacional'!$A$1:$P$1,0))*$S492)</f>
        <v>158.66</v>
      </c>
      <c r="AR492" s="71">
        <f t="shared" si="271"/>
        <v>205.34</v>
      </c>
      <c r="AS492" s="73">
        <f t="shared" si="272"/>
        <v>272.74</v>
      </c>
      <c r="AT492" s="74">
        <f t="shared" si="273"/>
        <v>272.74</v>
      </c>
      <c r="AU492" s="74">
        <f t="shared" si="274"/>
        <v>0.82024086608539371</v>
      </c>
      <c r="AV492" s="74">
        <f t="shared" si="275"/>
        <v>266.76302631578943</v>
      </c>
      <c r="AW492" s="74">
        <f t="shared" si="276"/>
        <v>0</v>
      </c>
      <c r="AX492" s="74">
        <f t="shared" si="277"/>
        <v>355.68403508771928</v>
      </c>
      <c r="AY492" s="74">
        <f t="shared" si="278"/>
        <v>266.76</v>
      </c>
      <c r="AZ492" s="49">
        <v>266.76</v>
      </c>
      <c r="BA492" s="49">
        <v>266.76</v>
      </c>
      <c r="BB492" s="49">
        <v>355.68</v>
      </c>
      <c r="BC492" s="73">
        <f t="shared" si="279"/>
        <v>88.920000000000016</v>
      </c>
      <c r="BD492" s="73">
        <f t="shared" si="280"/>
        <v>628.42403508771929</v>
      </c>
      <c r="BE492" s="73">
        <f t="shared" si="281"/>
        <v>539.50302631578938</v>
      </c>
      <c r="BF492" s="77">
        <f t="shared" si="282"/>
        <v>88.92</v>
      </c>
      <c r="BG492" s="77">
        <f t="shared" si="283"/>
        <v>26.675999999999998</v>
      </c>
      <c r="BH492" s="77">
        <f t="shared" si="284"/>
        <v>355.68403508771934</v>
      </c>
      <c r="BI492" s="78">
        <f t="shared" si="285"/>
        <v>0.25</v>
      </c>
      <c r="BJ492" s="79">
        <f t="shared" si="286"/>
        <v>0.14149681590009205</v>
      </c>
      <c r="BK492" s="80">
        <f t="shared" si="287"/>
        <v>539.5</v>
      </c>
      <c r="BL492" s="80">
        <f t="shared" si="288"/>
        <v>88.92403508771929</v>
      </c>
      <c r="BM492" s="79">
        <f t="shared" si="289"/>
        <v>0.14150323686347663</v>
      </c>
      <c r="BN492" s="81">
        <f t="shared" si="290"/>
        <v>0.73285714285714287</v>
      </c>
      <c r="BO492" s="82">
        <f t="shared" si="291"/>
        <v>266.76</v>
      </c>
      <c r="BP492" s="81">
        <f t="shared" si="292"/>
        <v>0.73285714285714287</v>
      </c>
      <c r="BQ492" s="81">
        <f t="shared" si="293"/>
        <v>0.88977021932042855</v>
      </c>
      <c r="BR492" s="81">
        <f t="shared" si="294"/>
        <v>1.134067019011965</v>
      </c>
      <c r="BS492" s="82">
        <f t="shared" si="295"/>
        <v>364</v>
      </c>
      <c r="BT492" s="82">
        <f t="shared" si="296"/>
        <v>412.8003949203553</v>
      </c>
      <c r="BU492" s="82">
        <f t="shared" si="297"/>
        <v>355.68403508771928</v>
      </c>
      <c r="BW492" s="82">
        <f>IFERROR(INDEX('Infos Clientes'!$T:$T,MATCH('Detalhe Por UC'!$C492,'Infos Clientes'!B:B,0)),"")</f>
        <v>426.36363636363637</v>
      </c>
      <c r="BX492" s="83">
        <f t="shared" si="298"/>
        <v>0</v>
      </c>
      <c r="BY492" s="84">
        <f t="shared" si="299"/>
        <v>0.21541654557979789</v>
      </c>
      <c r="BZ492" s="85">
        <f>IF(_xlfn.MINIFS('Detalhe Por UC'!R:R,'Detalhe Por UC'!C:C,C492,'Detalhe Por UC'!AD:AD,"&gt;"&amp;0)=0,"",_xlfn.MINIFS('Detalhe Por UC'!R:R,'Detalhe Por UC'!C:C,C492,'Detalhe Por UC'!AD:AD,"&gt;"&amp;0))</f>
        <v>45658</v>
      </c>
      <c r="CA492" s="114">
        <f ca="1">IF(OR(S492&gt;0,AD492&gt;0),IFERROR(
SUMIFS(INDIRECT("'Infos Clientes'!$W"&amp;INDEX('Infos Clientes'!$C:$C,MATCH(C492,'Infos Clientes'!$H:$H,0))&amp;":$CZ"&amp;INDEX('Infos Clientes'!$C:$C,MATCH(C492,'Infos Clientes'!$H:$H,0))),'Infos Clientes'!$W$2:$CZ$2,"&gt;"&amp;$R492-365,'Infos Clientes'!$W$2:$CZ$2,"&lt;="&amp;$R492)/
COUNTIFS(INDIRECT("'Infos Clientes'!$W"&amp;INDEX('Infos Clientes'!$C:$C,MATCH(C492,'Infos Clientes'!$H:$H,0))&amp;":$CZ"&amp;INDEX('Infos Clientes'!$C:$C,MATCH(C492,'Infos Clientes'!$H:$H,0))),"&gt;="&amp;0,'Infos Clientes'!$W$2:$CZ$2,"&gt;"&amp;$R492-365,'Infos Clientes'!$W$2:$CZ$2,"&lt;="&amp;$R492),""),"")</f>
        <v>448.83333333333331</v>
      </c>
      <c r="CB492" s="87">
        <f>VLOOKUP(C492,'Infos Clientes'!B:L,11,0)</f>
        <v>0</v>
      </c>
      <c r="CC492" s="88" t="str">
        <f t="shared" si="300"/>
        <v>A Unidade Consumidora 10/8777-5 economizou R$88,92 na fatura referente à mai/2025  consumindo 364 kWh em créditos de energia renovável conforme fatura de energia. A economia foi de 25% em relação ao que seria pago para a Energisa considerando os créditos consumidos. Atenção: Mantenha as contas da Energisa em dia para evitar cortes.</v>
      </c>
      <c r="CD492" s="40" t="s">
        <v>249</v>
      </c>
      <c r="CE492" s="18">
        <v>272.74</v>
      </c>
      <c r="CF492" s="115">
        <f t="shared" si="301"/>
        <v>0</v>
      </c>
      <c r="CG492" t="s">
        <v>358</v>
      </c>
    </row>
    <row r="493" spans="1:85" ht="16.2" hidden="1" customHeight="1" x14ac:dyDescent="0.3">
      <c r="A493" s="105" t="str">
        <f>INDEX('Infos Clientes'!$D:$D,MATCH('Detalhe Por UC'!C493,'Infos Clientes'!B:B,0))</f>
        <v>IGREJA DO EVANGELHO QUADRANGULAR</v>
      </c>
      <c r="B493" s="106" t="str">
        <f>INDEX('Infos Clientes'!$F:$F,MATCH('Detalhe Por UC'!C493,'Infos Clientes'!B:B,0))</f>
        <v>62.955.505/0160-80</v>
      </c>
      <c r="C493" s="44" t="s">
        <v>207</v>
      </c>
      <c r="D493" t="s">
        <v>351</v>
      </c>
      <c r="E493" s="1" t="s">
        <v>352</v>
      </c>
      <c r="F493" s="56" t="str">
        <f>INDEX('Infos Clientes'!$I:$I,MATCH('Detalhe Por UC'!C493,'Infos Clientes'!B:B,0))</f>
        <v>BT</v>
      </c>
      <c r="G493" s="56" t="str">
        <f>INDEX('Infos Clientes'!$J:$J,MATCH('Detalhe Por UC'!C493,'Infos Clientes'!B:B,0))</f>
        <v>trifasico</v>
      </c>
      <c r="H493" s="108" t="s">
        <v>138</v>
      </c>
      <c r="I493" s="58">
        <f>IFERROR(VLOOKUP(C493,'Infos Clientes'!B:E,4,),"")</f>
        <v>357</v>
      </c>
      <c r="J493" s="109">
        <v>0.25</v>
      </c>
      <c r="K493" s="59">
        <f>INDEX('Infos Clientes'!$M:$M,MATCH('Detalhe Por UC'!C493,'Infos Clientes'!B:B,0))</f>
        <v>0.25</v>
      </c>
      <c r="L493" s="125">
        <v>0</v>
      </c>
      <c r="M493" s="56">
        <f>INDEX('Infos Clientes'!$N:$N,MATCH('Detalhe Por UC'!C493,'Infos Clientes'!B:B,0))</f>
        <v>0</v>
      </c>
      <c r="N493" s="56">
        <f t="shared" si="266"/>
        <v>0</v>
      </c>
      <c r="O493" s="56">
        <f t="shared" si="267"/>
        <v>9</v>
      </c>
      <c r="P493" s="56">
        <f t="shared" si="302"/>
        <v>0</v>
      </c>
      <c r="Q493" s="61">
        <f>IFERROR(IFERROR(INDEX('Infos Clientes'!$A$2:$V$9884,MATCH($C493,'Infos Clientes'!$B$2:$B$9884,0),MATCH(Q$8,'Infos Clientes'!$A$2:$V$2,0)),"")
+IF(OR(INDEX('Infos Clientes'!$A$2:$V$9884,MATCH($C493,'Infos Clientes'!$B$2:$B$9884,0),MATCH("Tempo de Fidelidade (meses)",'Infos Clientes'!$A$2:$V$2,0))=0,R493&gt;=MAX(R:R)),0,
ROUND((MAX(R:R)-R493)/(365/12),0)),"")</f>
        <v>0</v>
      </c>
      <c r="R493" s="111">
        <v>45778</v>
      </c>
      <c r="S493" s="63">
        <v>0.03</v>
      </c>
      <c r="T493" s="113" t="str">
        <f>IF($H493="GIROSSOL II",AP493/INDEX('Resumo Operacional'!$A$1:$P$1103,17,MATCH('Detalhe Por UC'!$R493,'Resumo Operacional'!$A$1:$P$1,0)),
IF($H493="GIROSSOL II e III",AP493/INDEX('Resumo Operacional'!$A$1:$P$1103,17,MATCH('Detalhe Por UC'!$R493,'Resumo Operacional'!$A$1:$P$1,0)),
""))</f>
        <v/>
      </c>
      <c r="U493" s="113">
        <f>IF($H493="GIROSSOL III",AP493/INDEX('Resumo Operacional'!$A$1:$P$1103,53,MATCH('Detalhe Por UC'!$R493,'Resumo Operacional'!$A$1:$P$1,0)),
IF($H493="GIROSSOL II e III",AP493/INDEX('Resumo Operacional'!$A$1:$P$1103,53,MATCH('Detalhe Por UC'!$R493,'Resumo Operacional'!$A$1:$P$1,0)),
""))</f>
        <v>3.90772721542922E-2</v>
      </c>
      <c r="V493" s="45"/>
      <c r="X493" s="18">
        <v>1.1247272223309204</v>
      </c>
      <c r="Y493" s="18">
        <v>0</v>
      </c>
      <c r="Z493" s="18">
        <v>0.96968788907753289</v>
      </c>
      <c r="AA493" s="18">
        <v>0</v>
      </c>
      <c r="AB493" s="143">
        <v>538</v>
      </c>
      <c r="AC493" s="143">
        <v>0</v>
      </c>
      <c r="AD493" s="143">
        <v>310</v>
      </c>
      <c r="AE493" s="35"/>
      <c r="AF493" s="143">
        <v>0</v>
      </c>
      <c r="AG493" s="143">
        <v>0</v>
      </c>
      <c r="AH493" s="48">
        <v>77.600000000000009</v>
      </c>
      <c r="AI493" s="143">
        <v>0</v>
      </c>
      <c r="AJ493" s="143">
        <v>0</v>
      </c>
      <c r="AN493" s="71">
        <f t="shared" si="268"/>
        <v>0</v>
      </c>
      <c r="AO493" s="71">
        <f t="shared" si="269"/>
        <v>0</v>
      </c>
      <c r="AP493" s="71">
        <f t="shared" si="270"/>
        <v>310</v>
      </c>
      <c r="AQ493" s="72">
        <f>IF(OR($H493="GIROSSOL II",$H493="GIROSSOL II e III"),INDEX('Resumo Operacional'!$A$1:$P$1103,MATCH("Energia Injetada prevista total Fatura da Usina (TUSD)",'Resumo Operacional'!$B$1:$B$1103,0),MATCH('Detalhe Por UC'!$R493,'Resumo Operacional'!$A$1:$P$1,0))*$S493,INDEX('Resumo Operacional'!$A$1:$P$1103,53,MATCH('Detalhe Por UC'!$R493,'Resumo Operacional'!$A$1:$P$1,0))*$S493)</f>
        <v>237.98999999999998</v>
      </c>
      <c r="AR493" s="71">
        <f t="shared" si="271"/>
        <v>72.010000000000019</v>
      </c>
      <c r="AS493" s="73">
        <f t="shared" si="272"/>
        <v>382.09999999999997</v>
      </c>
      <c r="AT493" s="74">
        <f t="shared" si="273"/>
        <v>382.09999999999997</v>
      </c>
      <c r="AU493" s="74">
        <f t="shared" si="274"/>
        <v>0.81464855582414542</v>
      </c>
      <c r="AV493" s="74">
        <f t="shared" si="275"/>
        <v>225.45243421052641</v>
      </c>
      <c r="AW493" s="74">
        <f t="shared" si="276"/>
        <v>0</v>
      </c>
      <c r="AX493" s="74">
        <f t="shared" si="277"/>
        <v>300.60324561403519</v>
      </c>
      <c r="AY493" s="74">
        <f t="shared" si="278"/>
        <v>225.45</v>
      </c>
      <c r="AZ493" s="49">
        <v>225.45</v>
      </c>
      <c r="BA493" s="49">
        <v>225.45</v>
      </c>
      <c r="BB493" s="117">
        <v>225.45</v>
      </c>
      <c r="BC493" s="73" t="str">
        <f t="shared" si="279"/>
        <v/>
      </c>
      <c r="BD493" s="73">
        <f t="shared" si="280"/>
        <v>682.70324561403515</v>
      </c>
      <c r="BE493" s="73">
        <f t="shared" si="281"/>
        <v>607.55243421052637</v>
      </c>
      <c r="BF493" s="77">
        <f t="shared" si="282"/>
        <v>75.150000000000006</v>
      </c>
      <c r="BG493" s="77">
        <f t="shared" si="283"/>
        <v>22.545000000000002</v>
      </c>
      <c r="BH493" s="77">
        <f t="shared" si="284"/>
        <v>300.60324561403525</v>
      </c>
      <c r="BI493" s="78">
        <f t="shared" si="285"/>
        <v>0.25</v>
      </c>
      <c r="BJ493" s="79">
        <f t="shared" si="286"/>
        <v>0.11007710961211088</v>
      </c>
      <c r="BK493" s="80">
        <f t="shared" si="287"/>
        <v>607.54999999999995</v>
      </c>
      <c r="BL493" s="80">
        <f t="shared" si="288"/>
        <v>75.1532456140352</v>
      </c>
      <c r="BM493" s="79">
        <f t="shared" si="289"/>
        <v>0.11008186367481096</v>
      </c>
      <c r="BN493" s="81">
        <f t="shared" si="290"/>
        <v>0.72725806451612895</v>
      </c>
      <c r="BO493" s="82">
        <f t="shared" si="291"/>
        <v>225.45</v>
      </c>
      <c r="BP493" s="81">
        <f t="shared" si="292"/>
        <v>0.72725806451612895</v>
      </c>
      <c r="BQ493" s="81">
        <f t="shared" si="293"/>
        <v>0.88229739776951643</v>
      </c>
      <c r="BR493" s="81">
        <f t="shared" si="294"/>
        <v>1.1247272223309204</v>
      </c>
      <c r="BS493" s="82">
        <f t="shared" si="295"/>
        <v>310</v>
      </c>
      <c r="BT493" s="82">
        <f t="shared" si="296"/>
        <v>348.66543892258534</v>
      </c>
      <c r="BU493" s="82">
        <f t="shared" si="297"/>
        <v>300.60324561403519</v>
      </c>
      <c r="BW493" s="82">
        <f>IFERROR(INDEX('Infos Clientes'!$T:$T,MATCH('Detalhe Por UC'!$C493,'Infos Clientes'!B:B,0)),"")</f>
        <v>510.45454545454544</v>
      </c>
      <c r="BX493" s="83">
        <f t="shared" si="298"/>
        <v>0</v>
      </c>
      <c r="BY493" s="84">
        <f t="shared" si="299"/>
        <v>0.21554544048376875</v>
      </c>
      <c r="BZ493" s="85">
        <f>IF(_xlfn.MINIFS('Detalhe Por UC'!R:R,'Detalhe Por UC'!C:C,C493,'Detalhe Por UC'!AD:AD,"&gt;"&amp;0)=0,"",_xlfn.MINIFS('Detalhe Por UC'!R:R,'Detalhe Por UC'!C:C,C493,'Detalhe Por UC'!AD:AD,"&gt;"&amp;0))</f>
        <v>45658</v>
      </c>
      <c r="CA493" s="114">
        <f ca="1">IF(OR(S493&gt;0,AD493&gt;0),IFERROR(
SUMIFS(INDIRECT("'Infos Clientes'!$W"&amp;INDEX('Infos Clientes'!$C:$C,MATCH(C493,'Infos Clientes'!$H:$H,0))&amp;":$CZ"&amp;INDEX('Infos Clientes'!$C:$C,MATCH(C493,'Infos Clientes'!$H:$H,0))),'Infos Clientes'!$W$2:$CZ$2,"&gt;"&amp;$R493-365,'Infos Clientes'!$W$2:$CZ$2,"&lt;="&amp;$R493)/
COUNTIFS(INDIRECT("'Infos Clientes'!$W"&amp;INDEX('Infos Clientes'!$C:$C,MATCH(C493,'Infos Clientes'!$H:$H,0))&amp;":$CZ"&amp;INDEX('Infos Clientes'!$C:$C,MATCH(C493,'Infos Clientes'!$H:$H,0))),"&gt;="&amp;0,'Infos Clientes'!$W$2:$CZ$2,"&gt;"&amp;$R493-365,'Infos Clientes'!$W$2:$CZ$2,"&lt;="&amp;$R493),""),"")</f>
        <v>482.41666666666669</v>
      </c>
      <c r="CB493" s="87">
        <f>VLOOKUP(C493,'Infos Clientes'!B:L,11,0)</f>
        <v>0</v>
      </c>
      <c r="CC493" s="88" t="str">
        <f t="shared" si="300"/>
        <v>A Unidade Consumidora 10/489076-0 economizou R$75,15 na fatura referente à mai/2025  consumindo 310 kWh em créditos de energia renovável conforme fatura de energia. A economia foi de 25% em relação ao que seria pago para a Energisa considerando os créditos consumidos. Atenção: Mantenha as contas da Energisa em dia para evitar cortes.</v>
      </c>
      <c r="CD493" s="40" t="s">
        <v>249</v>
      </c>
      <c r="CE493" s="18">
        <v>382.1</v>
      </c>
      <c r="CF493" s="115">
        <f t="shared" si="301"/>
        <v>0</v>
      </c>
    </row>
    <row r="494" spans="1:85" ht="16.2" hidden="1" customHeight="1" x14ac:dyDescent="0.3">
      <c r="A494" s="105" t="str">
        <f>INDEX('Infos Clientes'!$D:$D,MATCH('Detalhe Por UC'!C494,'Infos Clientes'!B:B,0))</f>
        <v>IGREJA DO EVANGELHO QUADRANGULAR</v>
      </c>
      <c r="B494" s="106" t="str">
        <f>INDEX('Infos Clientes'!$F:$F,MATCH('Detalhe Por UC'!C494,'Infos Clientes'!B:B,0))</f>
        <v>62.955.505/3544-81</v>
      </c>
      <c r="C494" s="44" t="s">
        <v>209</v>
      </c>
      <c r="D494" t="s">
        <v>351</v>
      </c>
      <c r="E494" s="1" t="s">
        <v>352</v>
      </c>
      <c r="F494" s="56" t="str">
        <f>INDEX('Infos Clientes'!$I:$I,MATCH('Detalhe Por UC'!C494,'Infos Clientes'!B:B,0))</f>
        <v>BT</v>
      </c>
      <c r="G494" s="56" t="str">
        <f>INDEX('Infos Clientes'!$J:$J,MATCH('Detalhe Por UC'!C494,'Infos Clientes'!B:B,0))</f>
        <v>trifasico</v>
      </c>
      <c r="H494" s="108" t="s">
        <v>138</v>
      </c>
      <c r="I494" s="58">
        <f>IFERROR(VLOOKUP(C494,'Infos Clientes'!B:E,4,),"")</f>
        <v>371</v>
      </c>
      <c r="J494" s="109">
        <v>0.25</v>
      </c>
      <c r="K494" s="59">
        <f>INDEX('Infos Clientes'!$M:$M,MATCH('Detalhe Por UC'!C494,'Infos Clientes'!B:B,0))</f>
        <v>0.25</v>
      </c>
      <c r="L494" s="125">
        <v>0</v>
      </c>
      <c r="M494" s="56">
        <f>INDEX('Infos Clientes'!$N:$N,MATCH('Detalhe Por UC'!C494,'Infos Clientes'!B:B,0))</f>
        <v>0</v>
      </c>
      <c r="N494" s="56">
        <f t="shared" si="266"/>
        <v>0</v>
      </c>
      <c r="O494" s="56">
        <f t="shared" si="267"/>
        <v>8</v>
      </c>
      <c r="P494" s="56">
        <f t="shared" si="302"/>
        <v>0</v>
      </c>
      <c r="Q494" s="61">
        <f>IFERROR(IFERROR(INDEX('Infos Clientes'!$A$2:$V$9884,MATCH($C494,'Infos Clientes'!$B$2:$B$9884,0),MATCH(Q$8,'Infos Clientes'!$A$2:$V$2,0)),"")
+IF(OR(INDEX('Infos Clientes'!$A$2:$V$9884,MATCH($C494,'Infos Clientes'!$B$2:$B$9884,0),MATCH("Tempo de Fidelidade (meses)",'Infos Clientes'!$A$2:$V$2,0))=0,R494&gt;=MAX(R:R)),0,
ROUND((MAX(R:R)-R494)/(365/12),0)),"")</f>
        <v>0</v>
      </c>
      <c r="R494" s="111">
        <v>45778</v>
      </c>
      <c r="S494" s="63">
        <v>0.02</v>
      </c>
      <c r="T494" s="113" t="str">
        <f>IF($H494="GIROSSOL II",AP494/INDEX('Resumo Operacional'!$A$1:$P$1103,17,MATCH('Detalhe Por UC'!$R494,'Resumo Operacional'!$A$1:$P$1,0)),
IF($H494="GIROSSOL II e III",AP494/INDEX('Resumo Operacional'!$A$1:$P$1103,17,MATCH('Detalhe Por UC'!$R494,'Resumo Operacional'!$A$1:$P$1,0)),
""))</f>
        <v/>
      </c>
      <c r="U494" s="113">
        <f>IF($H494="GIROSSOL III",AP494/INDEX('Resumo Operacional'!$A$1:$P$1103,53,MATCH('Detalhe Por UC'!$R494,'Resumo Operacional'!$A$1:$P$1,0)),
IF($H494="GIROSSOL II e III",AP494/INDEX('Resumo Operacional'!$A$1:$P$1103,53,MATCH('Detalhe Por UC'!$R494,'Resumo Operacional'!$A$1:$P$1,0)),
""))</f>
        <v>4.5884280852136645E-2</v>
      </c>
      <c r="V494" s="45"/>
      <c r="X494" s="18">
        <v>1.1323717382577279</v>
      </c>
      <c r="Y494" s="18">
        <v>0</v>
      </c>
      <c r="Z494" s="18">
        <v>0.97545251917893439</v>
      </c>
      <c r="AA494" s="18">
        <v>0</v>
      </c>
      <c r="AB494" s="143">
        <v>470</v>
      </c>
      <c r="AC494" s="143">
        <v>0</v>
      </c>
      <c r="AD494" s="143">
        <v>364</v>
      </c>
      <c r="AE494" s="35"/>
      <c r="AF494" s="143">
        <v>0</v>
      </c>
      <c r="AG494" s="143">
        <v>0</v>
      </c>
      <c r="AH494" s="48">
        <v>64.59</v>
      </c>
      <c r="AI494" s="143">
        <v>0</v>
      </c>
      <c r="AJ494" s="143">
        <v>0</v>
      </c>
      <c r="AN494" s="71">
        <f t="shared" si="268"/>
        <v>0</v>
      </c>
      <c r="AO494" s="71">
        <f t="shared" si="269"/>
        <v>0</v>
      </c>
      <c r="AP494" s="71">
        <f t="shared" si="270"/>
        <v>364</v>
      </c>
      <c r="AQ494" s="72">
        <f>IF(OR($H494="GIROSSOL II",$H494="GIROSSOL II e III"),INDEX('Resumo Operacional'!$A$1:$P$1103,MATCH("Energia Injetada prevista total Fatura da Usina (TUSD)",'Resumo Operacional'!$B$1:$B$1103,0),MATCH('Detalhe Por UC'!$R494,'Resumo Operacional'!$A$1:$P$1,0))*$S494,INDEX('Resumo Operacional'!$A$1:$P$1103,53,MATCH('Detalhe Por UC'!$R494,'Resumo Operacional'!$A$1:$P$1,0))*$S494)</f>
        <v>158.66</v>
      </c>
      <c r="AR494" s="71">
        <f t="shared" si="271"/>
        <v>205.34</v>
      </c>
      <c r="AS494" s="73">
        <f t="shared" si="272"/>
        <v>241.74000000000004</v>
      </c>
      <c r="AT494" s="74">
        <f t="shared" si="273"/>
        <v>241.74000000000004</v>
      </c>
      <c r="AU494" s="74">
        <f t="shared" si="274"/>
        <v>0.81853330010014091</v>
      </c>
      <c r="AV494" s="74">
        <f t="shared" si="275"/>
        <v>266.2985377358491</v>
      </c>
      <c r="AW494" s="74">
        <f t="shared" si="276"/>
        <v>0</v>
      </c>
      <c r="AX494" s="74">
        <f t="shared" si="277"/>
        <v>355.06471698113211</v>
      </c>
      <c r="AY494" s="74">
        <f t="shared" si="278"/>
        <v>266.3</v>
      </c>
      <c r="AZ494" s="49">
        <v>266.3</v>
      </c>
      <c r="BA494" s="49">
        <v>266.3</v>
      </c>
      <c r="BB494" s="117">
        <v>266.3</v>
      </c>
      <c r="BC494" s="73" t="str">
        <f t="shared" si="279"/>
        <v/>
      </c>
      <c r="BD494" s="73">
        <f t="shared" si="280"/>
        <v>596.80471698113217</v>
      </c>
      <c r="BE494" s="73">
        <f t="shared" si="281"/>
        <v>508.0385377358491</v>
      </c>
      <c r="BF494" s="77">
        <f t="shared" si="282"/>
        <v>88.77</v>
      </c>
      <c r="BG494" s="77">
        <f t="shared" si="283"/>
        <v>26.630999999999997</v>
      </c>
      <c r="BH494" s="77">
        <f t="shared" si="284"/>
        <v>355.06471698113211</v>
      </c>
      <c r="BI494" s="78">
        <f t="shared" si="285"/>
        <v>0.25</v>
      </c>
      <c r="BJ494" s="79">
        <f t="shared" si="286"/>
        <v>0.14874212196081962</v>
      </c>
      <c r="BK494" s="80">
        <f t="shared" si="287"/>
        <v>508.04000000000008</v>
      </c>
      <c r="BL494" s="80">
        <f t="shared" si="288"/>
        <v>88.764716981132096</v>
      </c>
      <c r="BM494" s="79">
        <f t="shared" si="289"/>
        <v>0.14873326978737397</v>
      </c>
      <c r="BN494" s="81">
        <f t="shared" si="290"/>
        <v>0.73159340659340666</v>
      </c>
      <c r="BO494" s="82">
        <f t="shared" si="291"/>
        <v>266.3</v>
      </c>
      <c r="BP494" s="81">
        <f t="shared" si="292"/>
        <v>0.73159340659340666</v>
      </c>
      <c r="BQ494" s="81">
        <f t="shared" si="293"/>
        <v>0.88851262567220013</v>
      </c>
      <c r="BR494" s="81">
        <f t="shared" si="294"/>
        <v>1.1323717382577279</v>
      </c>
      <c r="BS494" s="82">
        <f t="shared" si="295"/>
        <v>364</v>
      </c>
      <c r="BT494" s="82">
        <f t="shared" si="296"/>
        <v>412.18331272581293</v>
      </c>
      <c r="BU494" s="82">
        <f t="shared" si="297"/>
        <v>355.06471698113211</v>
      </c>
      <c r="BW494" s="82">
        <f>IFERROR(INDEX('Infos Clientes'!$T:$T,MATCH('Detalhe Por UC'!$C494,'Infos Clientes'!B:B,0)),"")</f>
        <v>433.54545454545456</v>
      </c>
      <c r="BX494" s="83">
        <f t="shared" si="298"/>
        <v>0</v>
      </c>
      <c r="BY494" s="84">
        <f t="shared" si="299"/>
        <v>0.21535252457000598</v>
      </c>
      <c r="BZ494" s="85">
        <f>IF(_xlfn.MINIFS('Detalhe Por UC'!R:R,'Detalhe Por UC'!C:C,C494,'Detalhe Por UC'!AD:AD,"&gt;"&amp;0)=0,"",_xlfn.MINIFS('Detalhe Por UC'!R:R,'Detalhe Por UC'!C:C,C494,'Detalhe Por UC'!AD:AD,"&gt;"&amp;0))</f>
        <v>45658</v>
      </c>
      <c r="CA494" s="114">
        <f ca="1">IF(OR(S494&gt;0,AD494&gt;0),IFERROR(
SUMIFS(INDIRECT("'Infos Clientes'!$W"&amp;INDEX('Infos Clientes'!$C:$C,MATCH(C494,'Infos Clientes'!$H:$H,0))&amp;":$CZ"&amp;INDEX('Infos Clientes'!$C:$C,MATCH(C494,'Infos Clientes'!$H:$H,0))),'Infos Clientes'!$W$2:$CZ$2,"&gt;"&amp;$R494-365,'Infos Clientes'!$W$2:$CZ$2,"&lt;="&amp;$R494)/
COUNTIFS(INDIRECT("'Infos Clientes'!$W"&amp;INDEX('Infos Clientes'!$C:$C,MATCH(C494,'Infos Clientes'!$H:$H,0))&amp;":$CZ"&amp;INDEX('Infos Clientes'!$C:$C,MATCH(C494,'Infos Clientes'!$H:$H,0))),"&gt;="&amp;0,'Infos Clientes'!$W$2:$CZ$2,"&gt;"&amp;$R494-365,'Infos Clientes'!$W$2:$CZ$2,"&lt;="&amp;$R494),""),"")</f>
        <v>433.08333333333331</v>
      </c>
      <c r="CB494" s="87">
        <f>VLOOKUP(C494,'Infos Clientes'!B:L,11,0)</f>
        <v>0</v>
      </c>
      <c r="CC494" s="88" t="str">
        <f t="shared" si="300"/>
        <v>A Unidade Consumidora 10/504844-2 economizou R$88,77 na fatura referente à mai/2025  consumindo 364 kWh em créditos de energia renovável conforme fatura de energia. A economia foi de 25% em relação ao que seria pago para a Energisa considerando os créditos consumidos. Atenção: Mantenha as contas da Energisa em dia para evitar cortes.</v>
      </c>
      <c r="CD494" s="40" t="s">
        <v>249</v>
      </c>
      <c r="CE494" s="18">
        <v>241.74</v>
      </c>
      <c r="CF494" s="115">
        <f t="shared" si="301"/>
        <v>0</v>
      </c>
      <c r="CG494" t="s">
        <v>358</v>
      </c>
    </row>
    <row r="495" spans="1:85" ht="16.2" hidden="1" customHeight="1" x14ac:dyDescent="0.3">
      <c r="A495" s="105" t="str">
        <f>INDEX('Infos Clientes'!$D:$D,MATCH('Detalhe Por UC'!C495,'Infos Clientes'!B:B,0))</f>
        <v>IGREJA DO EVANGELHO QUADRANGULAR</v>
      </c>
      <c r="B495" s="106" t="str">
        <f>INDEX('Infos Clientes'!$F:$F,MATCH('Detalhe Por UC'!C495,'Infos Clientes'!B:B,0))</f>
        <v>62.955.505/8432-53</v>
      </c>
      <c r="C495" s="44" t="s">
        <v>178</v>
      </c>
      <c r="D495" t="s">
        <v>351</v>
      </c>
      <c r="E495" s="1" t="s">
        <v>352</v>
      </c>
      <c r="F495" s="56" t="str">
        <f>INDEX('Infos Clientes'!$I:$I,MATCH('Detalhe Por UC'!C495,'Infos Clientes'!B:B,0))</f>
        <v>BT</v>
      </c>
      <c r="G495" s="56" t="str">
        <f>INDEX('Infos Clientes'!$J:$J,MATCH('Detalhe Por UC'!C495,'Infos Clientes'!B:B,0))</f>
        <v>trifasico</v>
      </c>
      <c r="H495" s="108" t="s">
        <v>138</v>
      </c>
      <c r="I495" s="58">
        <f>IFERROR(VLOOKUP(C495,'Infos Clientes'!B:E,4,),"")</f>
        <v>349</v>
      </c>
      <c r="J495" s="109">
        <v>0.25</v>
      </c>
      <c r="K495" s="59">
        <f>INDEX('Infos Clientes'!$M:$M,MATCH('Detalhe Por UC'!C495,'Infos Clientes'!B:B,0))</f>
        <v>0.25</v>
      </c>
      <c r="L495" s="125">
        <v>0</v>
      </c>
      <c r="M495" s="56">
        <f>INDEX('Infos Clientes'!$N:$N,MATCH('Detalhe Por UC'!C495,'Infos Clientes'!B:B,0))</f>
        <v>0</v>
      </c>
      <c r="N495" s="56">
        <f t="shared" si="266"/>
        <v>0</v>
      </c>
      <c r="O495" s="56">
        <f t="shared" si="267"/>
        <v>9</v>
      </c>
      <c r="P495" s="56">
        <f t="shared" si="302"/>
        <v>0</v>
      </c>
      <c r="Q495" s="61">
        <f>IFERROR(IFERROR(INDEX('Infos Clientes'!$A$2:$V$9884,MATCH($C495,'Infos Clientes'!$B$2:$B$9884,0),MATCH(Q$8,'Infos Clientes'!$A$2:$V$2,0)),"")
+IF(OR(INDEX('Infos Clientes'!$A$2:$V$9884,MATCH($C495,'Infos Clientes'!$B$2:$B$9884,0),MATCH("Tempo de Fidelidade (meses)",'Infos Clientes'!$A$2:$V$2,0))=0,R495&gt;=MAX(R:R)),0,
ROUND((MAX(R:R)-R495)/(365/12),0)),"")</f>
        <v>0</v>
      </c>
      <c r="R495" s="111">
        <v>45778</v>
      </c>
      <c r="S495" s="63">
        <v>0.02</v>
      </c>
      <c r="T495" s="113" t="str">
        <f>IF($H495="GIROSSOL II",AP495/INDEX('Resumo Operacional'!$A$1:$P$1103,17,MATCH('Detalhe Por UC'!$R495,'Resumo Operacional'!$A$1:$P$1,0)),
IF($H495="GIROSSOL II e III",AP495/INDEX('Resumo Operacional'!$A$1:$P$1103,17,MATCH('Detalhe Por UC'!$R495,'Resumo Operacional'!$A$1:$P$1,0)),
""))</f>
        <v/>
      </c>
      <c r="U495" s="113">
        <f>IF($H495="GIROSSOL III",AP495/INDEX('Resumo Operacional'!$A$1:$P$1103,53,MATCH('Detalhe Por UC'!$R495,'Resumo Operacional'!$A$1:$P$1,0)),
IF($H495="GIROSSOL II e III",AP495/INDEX('Resumo Operacional'!$A$1:$P$1103,53,MATCH('Detalhe Por UC'!$R495,'Resumo Operacional'!$A$1:$P$1,0)),
""))</f>
        <v>1.9916803227026346E-2</v>
      </c>
      <c r="V495" s="45"/>
      <c r="X495" s="18">
        <v>1.1362233766233765</v>
      </c>
      <c r="Y495" s="18">
        <v>0</v>
      </c>
      <c r="Z495" s="18">
        <v>0.9792835443037976</v>
      </c>
      <c r="AA495" s="18">
        <v>0</v>
      </c>
      <c r="AB495" s="143">
        <v>308</v>
      </c>
      <c r="AC495" s="143">
        <v>0</v>
      </c>
      <c r="AD495" s="143">
        <v>158</v>
      </c>
      <c r="AE495" s="35"/>
      <c r="AF495" s="143">
        <v>0</v>
      </c>
      <c r="AG495" s="143">
        <v>0</v>
      </c>
      <c r="AH495" s="48">
        <v>61.67</v>
      </c>
      <c r="AI495" s="143">
        <v>0</v>
      </c>
      <c r="AJ495" s="143">
        <v>0</v>
      </c>
      <c r="AN495" s="71">
        <f t="shared" si="268"/>
        <v>0</v>
      </c>
      <c r="AO495" s="71">
        <f t="shared" si="269"/>
        <v>0</v>
      </c>
      <c r="AP495" s="71">
        <f t="shared" si="270"/>
        <v>158</v>
      </c>
      <c r="AQ495" s="72">
        <f>IF(OR($H495="GIROSSOL II",$H495="GIROSSOL II e III"),INDEX('Resumo Operacional'!$A$1:$P$1103,MATCH("Energia Injetada prevista total Fatura da Usina (TUSD)",'Resumo Operacional'!$B$1:$B$1103,0),MATCH('Detalhe Por UC'!$R495,'Resumo Operacional'!$A$1:$P$1,0))*$S495,INDEX('Resumo Operacional'!$A$1:$P$1103,53,MATCH('Detalhe Por UC'!$R495,'Resumo Operacional'!$A$1:$P$1,0))*$S495)</f>
        <v>158.66</v>
      </c>
      <c r="AR495" s="71">
        <f t="shared" si="271"/>
        <v>-0.65999999999999659</v>
      </c>
      <c r="AS495" s="73">
        <f t="shared" si="272"/>
        <v>256.89999999999992</v>
      </c>
      <c r="AT495" s="74">
        <f t="shared" si="273"/>
        <v>256.89999999999992</v>
      </c>
      <c r="AU495" s="74">
        <f t="shared" si="274"/>
        <v>0.82234371198421874</v>
      </c>
      <c r="AV495" s="74">
        <f t="shared" si="275"/>
        <v>116.04510000000001</v>
      </c>
      <c r="AW495" s="74">
        <f t="shared" si="276"/>
        <v>0</v>
      </c>
      <c r="AX495" s="74">
        <f t="shared" si="277"/>
        <v>154.72680000000003</v>
      </c>
      <c r="AY495" s="74">
        <f t="shared" si="278"/>
        <v>116.05</v>
      </c>
      <c r="AZ495" s="49">
        <v>116.05</v>
      </c>
      <c r="BA495" s="49">
        <v>116.05</v>
      </c>
      <c r="BB495" s="117">
        <v>116.05</v>
      </c>
      <c r="BC495" s="73" t="str">
        <f t="shared" si="279"/>
        <v/>
      </c>
      <c r="BD495" s="73">
        <f t="shared" si="280"/>
        <v>411.62679999999995</v>
      </c>
      <c r="BE495" s="73">
        <f t="shared" si="281"/>
        <v>372.94509999999991</v>
      </c>
      <c r="BF495" s="77">
        <f t="shared" si="282"/>
        <v>38.68</v>
      </c>
      <c r="BG495" s="77">
        <f t="shared" si="283"/>
        <v>11.603999999999999</v>
      </c>
      <c r="BH495" s="77">
        <f t="shared" si="284"/>
        <v>154.72680000000003</v>
      </c>
      <c r="BI495" s="78">
        <f t="shared" si="285"/>
        <v>0.25</v>
      </c>
      <c r="BJ495" s="79">
        <f t="shared" si="286"/>
        <v>9.3968614288476859E-2</v>
      </c>
      <c r="BK495" s="80">
        <f t="shared" si="287"/>
        <v>372.94999999999993</v>
      </c>
      <c r="BL495" s="80">
        <f t="shared" si="288"/>
        <v>38.676800000000014</v>
      </c>
      <c r="BM495" s="79">
        <f t="shared" si="289"/>
        <v>9.3960840256271022E-2</v>
      </c>
      <c r="BN495" s="81">
        <f t="shared" si="290"/>
        <v>0.73449367088607598</v>
      </c>
      <c r="BO495" s="82">
        <f t="shared" si="291"/>
        <v>116.05000000000001</v>
      </c>
      <c r="BP495" s="81">
        <f t="shared" si="292"/>
        <v>0.73449367088607598</v>
      </c>
      <c r="BQ495" s="81">
        <f t="shared" si="293"/>
        <v>0.89143350320565484</v>
      </c>
      <c r="BR495" s="81">
        <f t="shared" si="294"/>
        <v>1.1362233766233765</v>
      </c>
      <c r="BS495" s="82">
        <f t="shared" si="295"/>
        <v>158</v>
      </c>
      <c r="BT495" s="82">
        <f t="shared" si="296"/>
        <v>179.52329350649347</v>
      </c>
      <c r="BU495" s="82">
        <f t="shared" si="297"/>
        <v>154.72680000000003</v>
      </c>
      <c r="BW495" s="82">
        <f>IFERROR(INDEX('Infos Clientes'!$T:$T,MATCH('Detalhe Por UC'!$C495,'Infos Clientes'!B:B,0)),"")</f>
        <v>290.18181818181819</v>
      </c>
      <c r="BX495" s="83">
        <f t="shared" si="298"/>
        <v>0</v>
      </c>
      <c r="BY495" s="84">
        <f t="shared" si="299"/>
        <v>0.21544168026641652</v>
      </c>
      <c r="BZ495" s="85">
        <f>IF(_xlfn.MINIFS('Detalhe Por UC'!R:R,'Detalhe Por UC'!C:C,C495,'Detalhe Por UC'!AD:AD,"&gt;"&amp;0)=0,"",_xlfn.MINIFS('Detalhe Por UC'!R:R,'Detalhe Por UC'!C:C,C495,'Detalhe Por UC'!AD:AD,"&gt;"&amp;0))</f>
        <v>45658</v>
      </c>
      <c r="CA495" s="114">
        <f ca="1">IF(OR(S495&gt;0,AD495&gt;0),IFERROR(
SUMIFS(INDIRECT("'Infos Clientes'!$W"&amp;INDEX('Infos Clientes'!$C:$C,MATCH(C495,'Infos Clientes'!$H:$H,0))&amp;":$CZ"&amp;INDEX('Infos Clientes'!$C:$C,MATCH(C495,'Infos Clientes'!$H:$H,0))),'Infos Clientes'!$W$2:$CZ$2,"&gt;"&amp;$R495-365,'Infos Clientes'!$W$2:$CZ$2,"&lt;="&amp;$R495)/
COUNTIFS(INDIRECT("'Infos Clientes'!$W"&amp;INDEX('Infos Clientes'!$C:$C,MATCH(C495,'Infos Clientes'!$H:$H,0))&amp;":$CZ"&amp;INDEX('Infos Clientes'!$C:$C,MATCH(C495,'Infos Clientes'!$H:$H,0))),"&gt;="&amp;0,'Infos Clientes'!$W$2:$CZ$2,"&gt;"&amp;$R495-365,'Infos Clientes'!$W$2:$CZ$2,"&lt;="&amp;$R495),""),"")</f>
        <v>260.91666666666669</v>
      </c>
      <c r="CB495" s="87">
        <f>VLOOKUP(C495,'Infos Clientes'!B:L,11,0)</f>
        <v>0</v>
      </c>
      <c r="CC495" s="88" t="str">
        <f t="shared" si="300"/>
        <v>A Unidade Consumidora 10/280638-8 economizou R$38,68 na fatura referente à mai/2025  consumindo 158 kWh em créditos de energia renovável conforme fatura de energia. A economia foi de 25% em relação ao que seria pago para a Energisa considerando os créditos consumidos. Atenção: Mantenha as contas da Energisa em dia para evitar cortes.</v>
      </c>
      <c r="CD495" s="40" t="s">
        <v>66</v>
      </c>
      <c r="CE495" s="18">
        <v>256.89999999999998</v>
      </c>
      <c r="CF495" s="115">
        <f t="shared" si="301"/>
        <v>0</v>
      </c>
      <c r="CG495" t="s">
        <v>359</v>
      </c>
    </row>
    <row r="496" spans="1:85" ht="16.2" hidden="1" customHeight="1" x14ac:dyDescent="0.3">
      <c r="A496" s="105" t="str">
        <f>INDEX('Infos Clientes'!$D:$D,MATCH('Detalhe Por UC'!C496,'Infos Clientes'!B:B,0))</f>
        <v>IGREJA DO EVANGELHO QUADRANGULAR</v>
      </c>
      <c r="B496" s="106" t="str">
        <f>INDEX('Infos Clientes'!$F:$F,MATCH('Detalhe Por UC'!C496,'Infos Clientes'!B:B,0))</f>
        <v>62.955.505/1822-57</v>
      </c>
      <c r="C496" s="44" t="s">
        <v>222</v>
      </c>
      <c r="D496" t="s">
        <v>351</v>
      </c>
      <c r="E496" s="1" t="s">
        <v>352</v>
      </c>
      <c r="F496" s="56" t="str">
        <f>INDEX('Infos Clientes'!$I:$I,MATCH('Detalhe Por UC'!C496,'Infos Clientes'!B:B,0))</f>
        <v>BT</v>
      </c>
      <c r="G496" s="56" t="str">
        <f>INDEX('Infos Clientes'!$J:$J,MATCH('Detalhe Por UC'!C496,'Infos Clientes'!B:B,0))</f>
        <v>trifasico</v>
      </c>
      <c r="H496" s="108" t="s">
        <v>138</v>
      </c>
      <c r="I496" s="58">
        <f>IFERROR(VLOOKUP(C496,'Infos Clientes'!B:E,4,),"")</f>
        <v>319</v>
      </c>
      <c r="J496" s="109">
        <v>0.25</v>
      </c>
      <c r="K496" s="59">
        <f>INDEX('Infos Clientes'!$M:$M,MATCH('Detalhe Por UC'!C496,'Infos Clientes'!B:B,0))</f>
        <v>0.25</v>
      </c>
      <c r="L496" s="125">
        <v>0</v>
      </c>
      <c r="M496" s="56">
        <f>INDEX('Infos Clientes'!$N:$N,MATCH('Detalhe Por UC'!C496,'Infos Clientes'!B:B,0))</f>
        <v>0</v>
      </c>
      <c r="N496" s="56">
        <f t="shared" si="266"/>
        <v>0</v>
      </c>
      <c r="O496" s="56">
        <f t="shared" si="267"/>
        <v>8</v>
      </c>
      <c r="P496" s="56">
        <f t="shared" si="302"/>
        <v>0</v>
      </c>
      <c r="Q496" s="61">
        <f>IFERROR(IFERROR(INDEX('Infos Clientes'!$A$2:$V$9884,MATCH($C496,'Infos Clientes'!$B$2:$B$9884,0),MATCH(Q$8,'Infos Clientes'!$A$2:$V$2,0)),"")
+IF(OR(INDEX('Infos Clientes'!$A$2:$V$9884,MATCH($C496,'Infos Clientes'!$B$2:$B$9884,0),MATCH("Tempo de Fidelidade (meses)",'Infos Clientes'!$A$2:$V$2,0))=0,R496&gt;=MAX(R:R)),0,
ROUND((MAX(R:R)-R496)/(365/12),0)),"")</f>
        <v>0</v>
      </c>
      <c r="R496" s="111">
        <v>45778</v>
      </c>
      <c r="S496" s="63">
        <v>0.02</v>
      </c>
      <c r="T496" s="113" t="str">
        <f>IF($H496="GIROSSOL II",AP496/INDEX('Resumo Operacional'!$A$1:$P$1103,17,MATCH('Detalhe Por UC'!$R496,'Resumo Operacional'!$A$1:$P$1,0)),
IF($H496="GIROSSOL II e III",AP496/INDEX('Resumo Operacional'!$A$1:$P$1103,17,MATCH('Detalhe Por UC'!$R496,'Resumo Operacional'!$A$1:$P$1,0)),
""))</f>
        <v/>
      </c>
      <c r="U496" s="113">
        <f>IF($H496="GIROSSOL III",AP496/INDEX('Resumo Operacional'!$A$1:$P$1103,53,MATCH('Detalhe Por UC'!$R496,'Resumo Operacional'!$A$1:$P$1,0)),
IF($H496="GIROSSOL II e III",AP496/INDEX('Resumo Operacional'!$A$1:$P$1103,53,MATCH('Detalhe Por UC'!$R496,'Resumo Operacional'!$A$1:$P$1,0)),
""))</f>
        <v>4.5884280852136645E-2</v>
      </c>
      <c r="V496" s="45"/>
      <c r="X496" s="18">
        <v>1.1331526713020741</v>
      </c>
      <c r="Y496" s="18">
        <v>0</v>
      </c>
      <c r="Z496" s="18">
        <v>0.97624809095537091</v>
      </c>
      <c r="AA496" s="18">
        <v>0</v>
      </c>
      <c r="AB496" s="143">
        <v>237</v>
      </c>
      <c r="AC496" s="143">
        <v>0</v>
      </c>
      <c r="AD496" s="143">
        <v>166</v>
      </c>
      <c r="AE496" s="35"/>
      <c r="AF496" s="143">
        <v>198</v>
      </c>
      <c r="AG496" s="143">
        <v>0</v>
      </c>
      <c r="AH496" s="48">
        <v>51.96</v>
      </c>
      <c r="AI496" s="143">
        <v>0</v>
      </c>
      <c r="AJ496" s="143">
        <v>0</v>
      </c>
      <c r="AN496" s="71">
        <f t="shared" si="268"/>
        <v>198</v>
      </c>
      <c r="AO496" s="71">
        <f t="shared" si="269"/>
        <v>0</v>
      </c>
      <c r="AP496" s="71">
        <f t="shared" si="270"/>
        <v>364</v>
      </c>
      <c r="AQ496" s="72">
        <f>IF(OR($H496="GIROSSOL II",$H496="GIROSSOL II e III"),INDEX('Resumo Operacional'!$A$1:$P$1103,MATCH("Energia Injetada prevista total Fatura da Usina (TUSD)",'Resumo Operacional'!$B$1:$B$1103,0),MATCH('Detalhe Por UC'!$R496,'Resumo Operacional'!$A$1:$P$1,0))*$S496,INDEX('Resumo Operacional'!$A$1:$P$1103,53,MATCH('Detalhe Por UC'!$R496,'Resumo Operacional'!$A$1:$P$1,0))*$S496)</f>
        <v>158.66</v>
      </c>
      <c r="AR496" s="71">
        <f t="shared" si="271"/>
        <v>205.34</v>
      </c>
      <c r="AS496" s="73">
        <f t="shared" si="272"/>
        <v>158.46</v>
      </c>
      <c r="AT496" s="74">
        <f t="shared" si="273"/>
        <v>158.46</v>
      </c>
      <c r="AU496" s="74">
        <f t="shared" si="274"/>
        <v>0.81934351060866772</v>
      </c>
      <c r="AV496" s="74">
        <f t="shared" si="275"/>
        <v>121.54288732394369</v>
      </c>
      <c r="AW496" s="74">
        <f t="shared" si="276"/>
        <v>0</v>
      </c>
      <c r="AX496" s="74">
        <f t="shared" si="277"/>
        <v>162.05718309859157</v>
      </c>
      <c r="AY496" s="74">
        <f t="shared" si="278"/>
        <v>121.54</v>
      </c>
      <c r="AZ496" s="49">
        <v>121.54</v>
      </c>
      <c r="BA496" s="49">
        <v>121.54</v>
      </c>
      <c r="BB496" s="117">
        <v>121.54</v>
      </c>
      <c r="BC496" s="73" t="str">
        <f t="shared" si="279"/>
        <v/>
      </c>
      <c r="BD496" s="73">
        <f t="shared" si="280"/>
        <v>320.51718309859154</v>
      </c>
      <c r="BE496" s="73">
        <f t="shared" si="281"/>
        <v>280.0028873239437</v>
      </c>
      <c r="BF496" s="77">
        <f t="shared" si="282"/>
        <v>40.51</v>
      </c>
      <c r="BG496" s="77">
        <f t="shared" si="283"/>
        <v>12.152999999999999</v>
      </c>
      <c r="BH496" s="77">
        <f t="shared" si="284"/>
        <v>162.05718309859157</v>
      </c>
      <c r="BI496" s="78">
        <f t="shared" si="285"/>
        <v>0.25</v>
      </c>
      <c r="BJ496" s="79">
        <f t="shared" si="286"/>
        <v>0.12638947967896955</v>
      </c>
      <c r="BK496" s="80">
        <f t="shared" si="287"/>
        <v>280</v>
      </c>
      <c r="BL496" s="80">
        <f t="shared" si="288"/>
        <v>40.517183098591545</v>
      </c>
      <c r="BM496" s="79">
        <f t="shared" si="289"/>
        <v>0.12641189064153358</v>
      </c>
      <c r="BN496" s="81">
        <f t="shared" si="290"/>
        <v>0.73216867469879521</v>
      </c>
      <c r="BO496" s="82">
        <f t="shared" si="291"/>
        <v>121.54</v>
      </c>
      <c r="BP496" s="81">
        <f t="shared" si="292"/>
        <v>0.73216867469879521</v>
      </c>
      <c r="BQ496" s="81">
        <f t="shared" si="293"/>
        <v>0.88907325504549839</v>
      </c>
      <c r="BR496" s="81">
        <f t="shared" si="294"/>
        <v>1.1331526713020741</v>
      </c>
      <c r="BS496" s="82">
        <f t="shared" si="295"/>
        <v>166</v>
      </c>
      <c r="BT496" s="82">
        <f t="shared" si="296"/>
        <v>188.10334343614429</v>
      </c>
      <c r="BU496" s="82">
        <f t="shared" si="297"/>
        <v>162.05718309859157</v>
      </c>
      <c r="BW496" s="82">
        <f>IFERROR(INDEX('Infos Clientes'!$T:$T,MATCH('Detalhe Por UC'!$C496,'Infos Clientes'!B:B,0)),"")</f>
        <v>392</v>
      </c>
      <c r="BX496" s="83">
        <f t="shared" si="298"/>
        <v>0</v>
      </c>
      <c r="BY496" s="84">
        <f t="shared" si="299"/>
        <v>0.21539852699293455</v>
      </c>
      <c r="BZ496" s="85">
        <f>IF(_xlfn.MINIFS('Detalhe Por UC'!R:R,'Detalhe Por UC'!C:C,C496,'Detalhe Por UC'!AD:AD,"&gt;"&amp;0)=0,"",_xlfn.MINIFS('Detalhe Por UC'!R:R,'Detalhe Por UC'!C:C,C496,'Detalhe Por UC'!AD:AD,"&gt;"&amp;0))</f>
        <v>45748</v>
      </c>
      <c r="CA496" s="114">
        <f ca="1">IF(OR(S496&gt;0,AD496&gt;0),IFERROR(
SUMIFS(INDIRECT("'Infos Clientes'!$W"&amp;INDEX('Infos Clientes'!$C:$C,MATCH(C496,'Infos Clientes'!$H:$H,0))&amp;":$CZ"&amp;INDEX('Infos Clientes'!$C:$C,MATCH(C496,'Infos Clientes'!$H:$H,0))),'Infos Clientes'!$W$2:$CZ$2,"&gt;"&amp;$R496-365,'Infos Clientes'!$W$2:$CZ$2,"&lt;="&amp;$R496)/
COUNTIFS(INDIRECT("'Infos Clientes'!$W"&amp;INDEX('Infos Clientes'!$C:$C,MATCH(C496,'Infos Clientes'!$H:$H,0))&amp;":$CZ"&amp;INDEX('Infos Clientes'!$C:$C,MATCH(C496,'Infos Clientes'!$H:$H,0))),"&gt;="&amp;0,'Infos Clientes'!$W$2:$CZ$2,"&gt;"&amp;$R496-365,'Infos Clientes'!$W$2:$CZ$2,"&lt;="&amp;$R496),""),"")</f>
        <v>150</v>
      </c>
      <c r="CB496" s="87">
        <f>VLOOKUP(C496,'Infos Clientes'!B:L,11,0)</f>
        <v>0</v>
      </c>
      <c r="CC496" s="88" t="str">
        <f t="shared" si="300"/>
        <v>A Unidade Consumidora 10/69319-2 economizou R$40,51 na fatura referente à mai/2025  consumindo 166 kWh em créditos de energia renovável conforme fatura de energia. A economia foi de 25% em relação ao que seria pago para a Energisa considerando os créditos consumidos. Atenção: Mantenha as contas da Energisa em dia para evitar cortes.</v>
      </c>
      <c r="CD496" s="40" t="s">
        <v>249</v>
      </c>
      <c r="CE496" s="18">
        <v>158.46</v>
      </c>
      <c r="CF496" s="115">
        <f t="shared" si="301"/>
        <v>0</v>
      </c>
      <c r="CG496" t="s">
        <v>358</v>
      </c>
    </row>
    <row r="497" spans="1:85" ht="16.2" hidden="1" customHeight="1" x14ac:dyDescent="0.3">
      <c r="A497" s="105" t="str">
        <f>INDEX('Infos Clientes'!$D:$D,MATCH('Detalhe Por UC'!C497,'Infos Clientes'!B:B,0))</f>
        <v>IGREJA DO EVANGELHO QUADRANGULAR</v>
      </c>
      <c r="B497" s="106" t="str">
        <f>INDEX('Infos Clientes'!$F:$F,MATCH('Detalhe Por UC'!C497,'Infos Clientes'!B:B,0))</f>
        <v>62.955.505/1822-57</v>
      </c>
      <c r="C497" s="44" t="s">
        <v>206</v>
      </c>
      <c r="D497" t="s">
        <v>351</v>
      </c>
      <c r="E497" s="1" t="s">
        <v>352</v>
      </c>
      <c r="F497" s="56" t="str">
        <f>INDEX('Infos Clientes'!$I:$I,MATCH('Detalhe Por UC'!C497,'Infos Clientes'!B:B,0))</f>
        <v>BT</v>
      </c>
      <c r="G497" s="56" t="str">
        <f>INDEX('Infos Clientes'!$J:$J,MATCH('Detalhe Por UC'!C497,'Infos Clientes'!B:B,0))</f>
        <v>trifasico</v>
      </c>
      <c r="H497" s="108" t="s">
        <v>138</v>
      </c>
      <c r="I497" s="58">
        <f>IFERROR(VLOOKUP(C497,'Infos Clientes'!B:E,4,),"")</f>
        <v>319</v>
      </c>
      <c r="J497" s="109">
        <v>0.25</v>
      </c>
      <c r="K497" s="59">
        <f>INDEX('Infos Clientes'!$M:$M,MATCH('Detalhe Por UC'!C497,'Infos Clientes'!B:B,0))</f>
        <v>0.25</v>
      </c>
      <c r="L497" s="125">
        <v>0</v>
      </c>
      <c r="M497" s="56">
        <f>INDEX('Infos Clientes'!$N:$N,MATCH('Detalhe Por UC'!C497,'Infos Clientes'!B:B,0))</f>
        <v>0</v>
      </c>
      <c r="N497" s="56">
        <f t="shared" si="266"/>
        <v>0</v>
      </c>
      <c r="O497" s="56">
        <f t="shared" si="267"/>
        <v>9</v>
      </c>
      <c r="P497" s="56">
        <f t="shared" si="302"/>
        <v>0</v>
      </c>
      <c r="Q497" s="61">
        <f>IFERROR(IFERROR(INDEX('Infos Clientes'!$A$2:$V$9884,MATCH($C497,'Infos Clientes'!$B$2:$B$9884,0),MATCH(Q$8,'Infos Clientes'!$A$2:$V$2,0)),"")
+IF(OR(INDEX('Infos Clientes'!$A$2:$V$9884,MATCH($C497,'Infos Clientes'!$B$2:$B$9884,0),MATCH("Tempo de Fidelidade (meses)",'Infos Clientes'!$A$2:$V$2,0))=0,R497&gt;=MAX(R:R)),0,
ROUND((MAX(R:R)-R497)/(365/12),0)),"")</f>
        <v>0</v>
      </c>
      <c r="R497" s="111">
        <v>45778</v>
      </c>
      <c r="S497" s="63">
        <v>0.02</v>
      </c>
      <c r="T497" s="113" t="str">
        <f>IF($H497="GIROSSOL II",AP497/INDEX('Resumo Operacional'!$A$1:$P$1103,17,MATCH('Detalhe Por UC'!$R497,'Resumo Operacional'!$A$1:$P$1,0)),
IF($H497="GIROSSOL II e III",AP497/INDEX('Resumo Operacional'!$A$1:$P$1103,17,MATCH('Detalhe Por UC'!$R497,'Resumo Operacional'!$A$1:$P$1,0)),
""))</f>
        <v/>
      </c>
      <c r="U497" s="113">
        <f>IF($H497="GIROSSOL III",AP497/INDEX('Resumo Operacional'!$A$1:$P$1103,53,MATCH('Detalhe Por UC'!$R497,'Resumo Operacional'!$A$1:$P$1,0)),
IF($H497="GIROSSOL II e III",AP497/INDEX('Resumo Operacional'!$A$1:$P$1103,53,MATCH('Detalhe Por UC'!$R497,'Resumo Operacional'!$A$1:$P$1,0)),
""))</f>
        <v>2.59674776251103E-2</v>
      </c>
      <c r="V497" s="45"/>
      <c r="X497" s="18">
        <v>1.1307943488260419</v>
      </c>
      <c r="Y497" s="18">
        <v>0</v>
      </c>
      <c r="Z497" s="18">
        <v>0.97388229158308603</v>
      </c>
      <c r="AA497" s="18">
        <v>0</v>
      </c>
      <c r="AB497" s="143">
        <v>327</v>
      </c>
      <c r="AC497" s="143">
        <v>0</v>
      </c>
      <c r="AD497" s="143">
        <v>206</v>
      </c>
      <c r="AE497" s="35"/>
      <c r="AF497" s="143">
        <v>0</v>
      </c>
      <c r="AG497" s="143">
        <v>0</v>
      </c>
      <c r="AH497" s="48">
        <v>66.3</v>
      </c>
      <c r="AI497" s="143">
        <v>0</v>
      </c>
      <c r="AJ497" s="143">
        <v>0</v>
      </c>
      <c r="AN497" s="71">
        <f t="shared" si="268"/>
        <v>0</v>
      </c>
      <c r="AO497" s="71">
        <f t="shared" si="269"/>
        <v>0</v>
      </c>
      <c r="AP497" s="71">
        <f t="shared" si="270"/>
        <v>206</v>
      </c>
      <c r="AQ497" s="72">
        <f>IF(OR($H497="GIROSSOL II",$H497="GIROSSOL II e III"),INDEX('Resumo Operacional'!$A$1:$P$1103,MATCH("Energia Injetada prevista total Fatura da Usina (TUSD)",'Resumo Operacional'!$B$1:$B$1103,0),MATCH('Detalhe Por UC'!$R497,'Resumo Operacional'!$A$1:$P$1,0))*$S497,INDEX('Resumo Operacional'!$A$1:$P$1103,53,MATCH('Detalhe Por UC'!$R497,'Resumo Operacional'!$A$1:$P$1,0))*$S497)</f>
        <v>158.66</v>
      </c>
      <c r="AR497" s="71">
        <f t="shared" si="271"/>
        <v>47.34</v>
      </c>
      <c r="AS497" s="73">
        <f t="shared" si="272"/>
        <v>235.45</v>
      </c>
      <c r="AT497" s="74">
        <f t="shared" si="273"/>
        <v>235.45</v>
      </c>
      <c r="AU497" s="74">
        <f t="shared" si="274"/>
        <v>0.81697023434013016</v>
      </c>
      <c r="AV497" s="74">
        <f t="shared" si="275"/>
        <v>150.46481404958678</v>
      </c>
      <c r="AW497" s="74">
        <f t="shared" si="276"/>
        <v>0</v>
      </c>
      <c r="AX497" s="74">
        <f t="shared" si="277"/>
        <v>200.61975206611572</v>
      </c>
      <c r="AY497" s="74">
        <f t="shared" si="278"/>
        <v>150.46</v>
      </c>
      <c r="AZ497" s="49">
        <v>150.46</v>
      </c>
      <c r="BA497" s="49">
        <v>150.46</v>
      </c>
      <c r="BB497" s="117">
        <v>150.46</v>
      </c>
      <c r="BC497" s="73" t="str">
        <f t="shared" si="279"/>
        <v/>
      </c>
      <c r="BD497" s="73">
        <f t="shared" si="280"/>
        <v>436.06975206611571</v>
      </c>
      <c r="BE497" s="73">
        <f t="shared" si="281"/>
        <v>385.91481404958677</v>
      </c>
      <c r="BF497" s="77">
        <f t="shared" si="282"/>
        <v>50.15</v>
      </c>
      <c r="BG497" s="77">
        <f t="shared" si="283"/>
        <v>15.044999999999998</v>
      </c>
      <c r="BH497" s="77">
        <f t="shared" si="284"/>
        <v>200.61975206611572</v>
      </c>
      <c r="BI497" s="78">
        <f t="shared" si="285"/>
        <v>0.25</v>
      </c>
      <c r="BJ497" s="79">
        <f t="shared" si="286"/>
        <v>0.11500453714660858</v>
      </c>
      <c r="BK497" s="80">
        <f t="shared" si="287"/>
        <v>385.90999999999997</v>
      </c>
      <c r="BL497" s="80">
        <f t="shared" si="288"/>
        <v>50.159752066115743</v>
      </c>
      <c r="BM497" s="79">
        <f t="shared" si="289"/>
        <v>0.1150269006929668</v>
      </c>
      <c r="BN497" s="81">
        <f t="shared" si="290"/>
        <v>0.73038834951456311</v>
      </c>
      <c r="BO497" s="82">
        <f t="shared" si="291"/>
        <v>150.46</v>
      </c>
      <c r="BP497" s="81">
        <f t="shared" si="292"/>
        <v>0.73038834951456311</v>
      </c>
      <c r="BQ497" s="81">
        <f t="shared" si="293"/>
        <v>0.88730040675751898</v>
      </c>
      <c r="BR497" s="81">
        <f t="shared" si="294"/>
        <v>1.1307943488260419</v>
      </c>
      <c r="BS497" s="82">
        <f t="shared" si="295"/>
        <v>206</v>
      </c>
      <c r="BT497" s="82">
        <f t="shared" si="296"/>
        <v>232.94363585816464</v>
      </c>
      <c r="BU497" s="82">
        <f t="shared" si="297"/>
        <v>200.61975206611572</v>
      </c>
      <c r="BW497" s="82">
        <f>IFERROR(INDEX('Infos Clientes'!$T:$T,MATCH('Detalhe Por UC'!$C497,'Infos Clientes'!B:B,0)),"")</f>
        <v>361.81818181818181</v>
      </c>
      <c r="BX497" s="83">
        <f t="shared" si="298"/>
        <v>0</v>
      </c>
      <c r="BY497" s="84">
        <f t="shared" si="299"/>
        <v>0.21532999552156529</v>
      </c>
      <c r="BZ497" s="85">
        <f>IF(_xlfn.MINIFS('Detalhe Por UC'!R:R,'Detalhe Por UC'!C:C,C497,'Detalhe Por UC'!AD:AD,"&gt;"&amp;0)=0,"",_xlfn.MINIFS('Detalhe Por UC'!R:R,'Detalhe Por UC'!C:C,C497,'Detalhe Por UC'!AD:AD,"&gt;"&amp;0))</f>
        <v>45658</v>
      </c>
      <c r="CA497" s="114">
        <f ca="1">IF(OR(S497&gt;0,AD497&gt;0),IFERROR(
SUMIFS(INDIRECT("'Infos Clientes'!$W"&amp;INDEX('Infos Clientes'!$C:$C,MATCH(C497,'Infos Clientes'!$H:$H,0))&amp;":$CZ"&amp;INDEX('Infos Clientes'!$C:$C,MATCH(C497,'Infos Clientes'!$H:$H,0))),'Infos Clientes'!$W$2:$CZ$2,"&gt;"&amp;$R497-365,'Infos Clientes'!$W$2:$CZ$2,"&lt;="&amp;$R497)/
COUNTIFS(INDIRECT("'Infos Clientes'!$W"&amp;INDEX('Infos Clientes'!$C:$C,MATCH(C497,'Infos Clientes'!$H:$H,0))&amp;":$CZ"&amp;INDEX('Infos Clientes'!$C:$C,MATCH(C497,'Infos Clientes'!$H:$H,0))),"&gt;="&amp;0,'Infos Clientes'!$W$2:$CZ$2,"&gt;"&amp;$R497-365,'Infos Clientes'!$W$2:$CZ$2,"&lt;="&amp;$R497),""),"")</f>
        <v>370.5</v>
      </c>
      <c r="CB497" s="87">
        <f>VLOOKUP(C497,'Infos Clientes'!B:L,11,0)</f>
        <v>0</v>
      </c>
      <c r="CC497" s="88" t="str">
        <f t="shared" si="300"/>
        <v>A Unidade Consumidora 10/480529-7 economizou R$50,15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497" s="40" t="s">
        <v>249</v>
      </c>
      <c r="CE497" s="18">
        <v>235.45</v>
      </c>
      <c r="CF497" s="115">
        <f t="shared" si="301"/>
        <v>0</v>
      </c>
    </row>
    <row r="498" spans="1:85" ht="16.2" hidden="1" customHeight="1" x14ac:dyDescent="0.3">
      <c r="A498" s="105" t="str">
        <f>INDEX('Infos Clientes'!$D:$D,MATCH('Detalhe Por UC'!C498,'Infos Clientes'!B:B,0))</f>
        <v>IGREJA DO EVANGELHO QUADRANGULAR</v>
      </c>
      <c r="B498" s="106" t="str">
        <f>INDEX('Infos Clientes'!$F:$F,MATCH('Detalhe Por UC'!C498,'Infos Clientes'!B:B,0))</f>
        <v>62.955.505/1822-57</v>
      </c>
      <c r="C498" s="44" t="s">
        <v>192</v>
      </c>
      <c r="D498" t="s">
        <v>351</v>
      </c>
      <c r="E498" s="1" t="s">
        <v>352</v>
      </c>
      <c r="F498" s="56" t="str">
        <f>INDEX('Infos Clientes'!$I:$I,MATCH('Detalhe Por UC'!C498,'Infos Clientes'!B:B,0))</f>
        <v>BT</v>
      </c>
      <c r="G498" s="56" t="str">
        <f>INDEX('Infos Clientes'!$J:$J,MATCH('Detalhe Por UC'!C498,'Infos Clientes'!B:B,0))</f>
        <v>trifasico</v>
      </c>
      <c r="H498" s="108" t="s">
        <v>138</v>
      </c>
      <c r="I498" s="58">
        <f>IFERROR(VLOOKUP(C498,'Infos Clientes'!B:E,4,),"")</f>
        <v>319</v>
      </c>
      <c r="J498" s="109">
        <v>0.25</v>
      </c>
      <c r="K498" s="59">
        <f>INDEX('Infos Clientes'!$M:$M,MATCH('Detalhe Por UC'!C498,'Infos Clientes'!B:B,0))</f>
        <v>0.25</v>
      </c>
      <c r="L498" s="125">
        <v>0</v>
      </c>
      <c r="M498" s="56">
        <f>INDEX('Infos Clientes'!$N:$N,MATCH('Detalhe Por UC'!C498,'Infos Clientes'!B:B,0))</f>
        <v>0</v>
      </c>
      <c r="N498" s="56">
        <f t="shared" si="266"/>
        <v>0</v>
      </c>
      <c r="O498" s="56">
        <f t="shared" si="267"/>
        <v>9</v>
      </c>
      <c r="P498" s="56">
        <f t="shared" si="302"/>
        <v>0</v>
      </c>
      <c r="Q498" s="61">
        <f>IFERROR(IFERROR(INDEX('Infos Clientes'!$A$2:$V$9884,MATCH($C498,'Infos Clientes'!$B$2:$B$9884,0),MATCH(Q$8,'Infos Clientes'!$A$2:$V$2,0)),"")
+IF(OR(INDEX('Infos Clientes'!$A$2:$V$9884,MATCH($C498,'Infos Clientes'!$B$2:$B$9884,0),MATCH("Tempo de Fidelidade (meses)",'Infos Clientes'!$A$2:$V$2,0))=0,R498&gt;=MAX(R:R)),0,
ROUND((MAX(R:R)-R498)/(365/12),0)),"")</f>
        <v>0</v>
      </c>
      <c r="R498" s="111">
        <v>45778</v>
      </c>
      <c r="S498" s="63">
        <v>0.03</v>
      </c>
      <c r="T498" s="113" t="str">
        <f>IF($H498="GIROSSOL II",AP498/INDEX('Resumo Operacional'!$A$1:$P$1103,17,MATCH('Detalhe Por UC'!$R498,'Resumo Operacional'!$A$1:$P$1,0)),
IF($H498="GIROSSOL II e III",AP498/INDEX('Resumo Operacional'!$A$1:$P$1103,17,MATCH('Detalhe Por UC'!$R498,'Resumo Operacional'!$A$1:$P$1,0)),
""))</f>
        <v/>
      </c>
      <c r="U498" s="113">
        <f>IF($H498="GIROSSOL III",AP498/INDEX('Resumo Operacional'!$A$1:$P$1103,53,MATCH('Detalhe Por UC'!$R498,'Resumo Operacional'!$A$1:$P$1,0)),
IF($H498="GIROSSOL II e III",AP498/INDEX('Resumo Operacional'!$A$1:$P$1103,53,MATCH('Detalhe Por UC'!$R498,'Resumo Operacional'!$A$1:$P$1,0)),
""))</f>
        <v>3.90772721542922E-2</v>
      </c>
      <c r="V498" s="45"/>
      <c r="X498" s="18">
        <v>1.1235135135135135</v>
      </c>
      <c r="Y498" s="18">
        <v>0</v>
      </c>
      <c r="Z498" s="18">
        <v>0.96893286835222314</v>
      </c>
      <c r="AA498" s="18">
        <v>0</v>
      </c>
      <c r="AB498" s="143">
        <v>384</v>
      </c>
      <c r="AC498" s="143">
        <v>0</v>
      </c>
      <c r="AD498" s="143">
        <v>310</v>
      </c>
      <c r="AE498" s="35"/>
      <c r="AF498" s="143">
        <v>0</v>
      </c>
      <c r="AG498" s="143">
        <v>0</v>
      </c>
      <c r="AH498" s="48">
        <v>137.68</v>
      </c>
      <c r="AI498" s="143">
        <v>0</v>
      </c>
      <c r="AJ498" s="143">
        <v>0</v>
      </c>
      <c r="AN498" s="71">
        <f t="shared" si="268"/>
        <v>0</v>
      </c>
      <c r="AO498" s="71">
        <f t="shared" si="269"/>
        <v>0</v>
      </c>
      <c r="AP498" s="71">
        <f t="shared" si="270"/>
        <v>310</v>
      </c>
      <c r="AQ498" s="72">
        <f>IF(OR($H498="GIROSSOL II",$H498="GIROSSOL II e III"),INDEX('Resumo Operacional'!$A$1:$P$1103,MATCH("Energia Injetada prevista total Fatura da Usina (TUSD)",'Resumo Operacional'!$B$1:$B$1103,0),MATCH('Detalhe Por UC'!$R498,'Resumo Operacional'!$A$1:$P$1,0))*$S498,INDEX('Resumo Operacional'!$A$1:$P$1103,53,MATCH('Detalhe Por UC'!$R498,'Resumo Operacional'!$A$1:$P$1,0))*$S498)</f>
        <v>237.98999999999998</v>
      </c>
      <c r="AR498" s="71">
        <f t="shared" si="271"/>
        <v>72.010000000000019</v>
      </c>
      <c r="AS498" s="73">
        <f t="shared" si="272"/>
        <v>268.74</v>
      </c>
      <c r="AT498" s="74">
        <f t="shared" si="273"/>
        <v>268.74</v>
      </c>
      <c r="AU498" s="74">
        <f t="shared" si="274"/>
        <v>0.81435222319093281</v>
      </c>
      <c r="AV498" s="74">
        <f t="shared" si="275"/>
        <v>225.27689189189189</v>
      </c>
      <c r="AW498" s="74">
        <f t="shared" si="276"/>
        <v>0</v>
      </c>
      <c r="AX498" s="74">
        <f t="shared" si="277"/>
        <v>300.36918918918917</v>
      </c>
      <c r="AY498" s="74">
        <f t="shared" si="278"/>
        <v>225.28</v>
      </c>
      <c r="AZ498" s="49">
        <v>225.28</v>
      </c>
      <c r="BA498" s="49">
        <v>225.28</v>
      </c>
      <c r="BB498" s="49">
        <v>300.37</v>
      </c>
      <c r="BC498" s="73">
        <f t="shared" si="279"/>
        <v>75.09</v>
      </c>
      <c r="BD498" s="73">
        <f t="shared" si="280"/>
        <v>569.10918918918924</v>
      </c>
      <c r="BE498" s="73">
        <f t="shared" si="281"/>
        <v>494.01689189189187</v>
      </c>
      <c r="BF498" s="77">
        <f t="shared" si="282"/>
        <v>75.09</v>
      </c>
      <c r="BG498" s="77">
        <f t="shared" si="283"/>
        <v>22.527000000000001</v>
      </c>
      <c r="BH498" s="77">
        <f t="shared" si="284"/>
        <v>300.36918918918917</v>
      </c>
      <c r="BI498" s="78">
        <f t="shared" si="285"/>
        <v>0.25</v>
      </c>
      <c r="BJ498" s="79">
        <f t="shared" si="286"/>
        <v>0.13194304612614119</v>
      </c>
      <c r="BK498" s="80">
        <f t="shared" si="287"/>
        <v>494.02</v>
      </c>
      <c r="BL498" s="80">
        <f t="shared" si="288"/>
        <v>75.089189189189256</v>
      </c>
      <c r="BM498" s="79">
        <f t="shared" si="289"/>
        <v>0.13194162142447383</v>
      </c>
      <c r="BN498" s="81">
        <f t="shared" si="290"/>
        <v>0.72670967741935488</v>
      </c>
      <c r="BO498" s="82">
        <f t="shared" si="291"/>
        <v>225.28</v>
      </c>
      <c r="BP498" s="81">
        <f t="shared" si="292"/>
        <v>0.72670967741935488</v>
      </c>
      <c r="BQ498" s="81">
        <f t="shared" si="293"/>
        <v>0.88129032258064521</v>
      </c>
      <c r="BR498" s="81">
        <f t="shared" si="294"/>
        <v>1.1235135135135135</v>
      </c>
      <c r="BS498" s="82">
        <f t="shared" si="295"/>
        <v>310</v>
      </c>
      <c r="BT498" s="82">
        <f t="shared" si="296"/>
        <v>348.28918918918919</v>
      </c>
      <c r="BU498" s="82">
        <f t="shared" si="297"/>
        <v>300.36918918918917</v>
      </c>
      <c r="BW498" s="82">
        <f>IFERROR(INDEX('Infos Clientes'!$T:$T,MATCH('Detalhe Por UC'!$C498,'Infos Clientes'!B:B,0)),"")</f>
        <v>502.09090909090907</v>
      </c>
      <c r="BX498" s="83">
        <f t="shared" si="298"/>
        <v>0</v>
      </c>
      <c r="BY498" s="84">
        <f t="shared" si="299"/>
        <v>0.2155943724925698</v>
      </c>
      <c r="BZ498" s="85">
        <f>IF(_xlfn.MINIFS('Detalhe Por UC'!R:R,'Detalhe Por UC'!C:C,C498,'Detalhe Por UC'!AD:AD,"&gt;"&amp;0)=0,"",_xlfn.MINIFS('Detalhe Por UC'!R:R,'Detalhe Por UC'!C:C,C498,'Detalhe Por UC'!AD:AD,"&gt;"&amp;0))</f>
        <v>45658</v>
      </c>
      <c r="CA498" s="114">
        <f ca="1">IF(OR(S498&gt;0,AD498&gt;0),IFERROR(
SUMIFS(INDIRECT("'Infos Clientes'!$W"&amp;INDEX('Infos Clientes'!$C:$C,MATCH(C498,'Infos Clientes'!$H:$H,0))&amp;":$CZ"&amp;INDEX('Infos Clientes'!$C:$C,MATCH(C498,'Infos Clientes'!$H:$H,0))),'Infos Clientes'!$W$2:$CZ$2,"&gt;"&amp;$R498-365,'Infos Clientes'!$W$2:$CZ$2,"&lt;="&amp;$R498)/
COUNTIFS(INDIRECT("'Infos Clientes'!$W"&amp;INDEX('Infos Clientes'!$C:$C,MATCH(C498,'Infos Clientes'!$H:$H,0))&amp;":$CZ"&amp;INDEX('Infos Clientes'!$C:$C,MATCH(C498,'Infos Clientes'!$H:$H,0))),"&gt;="&amp;0,'Infos Clientes'!$W$2:$CZ$2,"&gt;"&amp;$R498-365,'Infos Clientes'!$W$2:$CZ$2,"&lt;="&amp;$R498),""),"")</f>
        <v>458.5</v>
      </c>
      <c r="CB498" s="87">
        <f>VLOOKUP(C498,'Infos Clientes'!B:L,11,0)</f>
        <v>0</v>
      </c>
      <c r="CC498" s="88" t="str">
        <f t="shared" si="300"/>
        <v>A Unidade Consumidora 10/3139326-7 economizou R$75,09 na fatura referente à mai/2025  consumindo 310 kWh em créditos de energia renovável conforme fatura de energia. A economia foi de 25% em relação ao que seria pago para a Energisa considerando os créditos consumidos. Atenção: Mantenha as contas da Energisa em dia para evitar cortes.</v>
      </c>
      <c r="CD498" s="40" t="s">
        <v>143</v>
      </c>
      <c r="CE498" s="18">
        <v>268.74</v>
      </c>
      <c r="CF498" s="115">
        <f t="shared" si="301"/>
        <v>0</v>
      </c>
    </row>
    <row r="499" spans="1:85" ht="16.2" hidden="1" customHeight="1" x14ac:dyDescent="0.3">
      <c r="A499" s="105" t="str">
        <f>INDEX('Infos Clientes'!$D:$D,MATCH('Detalhe Por UC'!C499,'Infos Clientes'!B:B,0))</f>
        <v>IGREJA DO EVANGELHO QUADRANGULAR</v>
      </c>
      <c r="B499" s="106" t="str">
        <f>INDEX('Infos Clientes'!$F:$F,MATCH('Detalhe Por UC'!C499,'Infos Clientes'!B:B,0))</f>
        <v>62.955.505/2132-33</v>
      </c>
      <c r="C499" s="44" t="s">
        <v>197</v>
      </c>
      <c r="D499" t="s">
        <v>351</v>
      </c>
      <c r="E499" s="1" t="s">
        <v>352</v>
      </c>
      <c r="F499" s="56" t="str">
        <f>INDEX('Infos Clientes'!$I:$I,MATCH('Detalhe Por UC'!C499,'Infos Clientes'!B:B,0))</f>
        <v>BT</v>
      </c>
      <c r="G499" s="56" t="str">
        <f>INDEX('Infos Clientes'!$J:$J,MATCH('Detalhe Por UC'!C499,'Infos Clientes'!B:B,0))</f>
        <v>trifasico</v>
      </c>
      <c r="H499" s="108" t="s">
        <v>138</v>
      </c>
      <c r="I499" s="58">
        <f>IFERROR(VLOOKUP(C499,'Infos Clientes'!B:E,4,),"")</f>
        <v>306</v>
      </c>
      <c r="J499" s="109">
        <v>0.25</v>
      </c>
      <c r="K499" s="59">
        <f>INDEX('Infos Clientes'!$M:$M,MATCH('Detalhe Por UC'!C499,'Infos Clientes'!B:B,0))</f>
        <v>0.25</v>
      </c>
      <c r="L499" s="125">
        <v>0</v>
      </c>
      <c r="M499" s="56">
        <f>INDEX('Infos Clientes'!$N:$N,MATCH('Detalhe Por UC'!C499,'Infos Clientes'!B:B,0))</f>
        <v>0</v>
      </c>
      <c r="N499" s="56">
        <f t="shared" si="266"/>
        <v>0</v>
      </c>
      <c r="O499" s="56">
        <f t="shared" si="267"/>
        <v>9</v>
      </c>
      <c r="P499" s="56">
        <f t="shared" si="302"/>
        <v>0</v>
      </c>
      <c r="Q499" s="61">
        <f>IFERROR(IFERROR(INDEX('Infos Clientes'!$A$2:$V$9884,MATCH($C499,'Infos Clientes'!$B$2:$B$9884,0),MATCH(Q$8,'Infos Clientes'!$A$2:$V$2,0)),"")
+IF(OR(INDEX('Infos Clientes'!$A$2:$V$9884,MATCH($C499,'Infos Clientes'!$B$2:$B$9884,0),MATCH("Tempo de Fidelidade (meses)",'Infos Clientes'!$A$2:$V$2,0))=0,R499&gt;=MAX(R:R)),0,
ROUND((MAX(R:R)-R499)/(365/12),0)),"")</f>
        <v>0</v>
      </c>
      <c r="R499" s="111">
        <v>45778</v>
      </c>
      <c r="S499" s="63">
        <v>0.04</v>
      </c>
      <c r="T499" s="113" t="str">
        <f>IF($H499="GIROSSOL II",AP499/INDEX('Resumo Operacional'!$A$1:$P$1103,17,MATCH('Detalhe Por UC'!$R499,'Resumo Operacional'!$A$1:$P$1,0)),
IF($H499="GIROSSOL II e III",AP499/INDEX('Resumo Operacional'!$A$1:$P$1103,17,MATCH('Detalhe Por UC'!$R499,'Resumo Operacional'!$A$1:$P$1,0)),
""))</f>
        <v/>
      </c>
      <c r="U499" s="113">
        <f>IF($H499="GIROSSOL III",AP499/INDEX('Resumo Operacional'!$A$1:$P$1103,53,MATCH('Detalhe Por UC'!$R499,'Resumo Operacional'!$A$1:$P$1,0)),
IF($H499="GIROSSOL II e III",AP499/INDEX('Resumo Operacional'!$A$1:$P$1103,53,MATCH('Detalhe Por UC'!$R499,'Resumo Operacional'!$A$1:$P$1,0)),
""))</f>
        <v>9.2020673137526793E-2</v>
      </c>
      <c r="V499" s="45"/>
      <c r="X499" s="18">
        <v>1.1325791163430667</v>
      </c>
      <c r="Y499" s="18">
        <v>0</v>
      </c>
      <c r="Z499" s="18">
        <v>0.97569919973599539</v>
      </c>
      <c r="AA499" s="18">
        <v>0</v>
      </c>
      <c r="AB499" s="143">
        <v>422</v>
      </c>
      <c r="AC499" s="143">
        <v>0</v>
      </c>
      <c r="AD499" s="143">
        <v>391</v>
      </c>
      <c r="AE499" s="35"/>
      <c r="AF499" s="143">
        <v>339</v>
      </c>
      <c r="AG499" s="143">
        <v>0</v>
      </c>
      <c r="AH499" s="48">
        <v>0</v>
      </c>
      <c r="AI499" s="143">
        <v>0</v>
      </c>
      <c r="AJ499" s="143">
        <v>0</v>
      </c>
      <c r="AN499" s="71">
        <f t="shared" si="268"/>
        <v>339</v>
      </c>
      <c r="AO499" s="71">
        <f t="shared" si="269"/>
        <v>0</v>
      </c>
      <c r="AP499" s="71">
        <f t="shared" si="270"/>
        <v>730</v>
      </c>
      <c r="AQ499" s="72">
        <f>IF(OR($H499="GIROSSOL II",$H499="GIROSSOL II e III"),INDEX('Resumo Operacional'!$A$1:$P$1103,MATCH("Energia Injetada prevista total Fatura da Usina (TUSD)",'Resumo Operacional'!$B$1:$B$1103,0),MATCH('Detalhe Por UC'!$R499,'Resumo Operacional'!$A$1:$P$1,0))*$S499,INDEX('Resumo Operacional'!$A$1:$P$1103,53,MATCH('Detalhe Por UC'!$R499,'Resumo Operacional'!$A$1:$P$1,0))*$S499)</f>
        <v>317.32</v>
      </c>
      <c r="AR499" s="71">
        <f t="shared" si="271"/>
        <v>412.68</v>
      </c>
      <c r="AS499" s="73">
        <f t="shared" si="272"/>
        <v>96.449999999999989</v>
      </c>
      <c r="AT499" s="74">
        <f t="shared" si="273"/>
        <v>96.449999999999989</v>
      </c>
      <c r="AU499" s="74">
        <f t="shared" si="274"/>
        <v>0.81881928312892405</v>
      </c>
      <c r="AV499" s="74">
        <f t="shared" si="275"/>
        <v>286.12379032258065</v>
      </c>
      <c r="AW499" s="74">
        <f t="shared" si="276"/>
        <v>0</v>
      </c>
      <c r="AX499" s="74">
        <f t="shared" si="277"/>
        <v>381.4983870967742</v>
      </c>
      <c r="AY499" s="74">
        <f t="shared" si="278"/>
        <v>286.12</v>
      </c>
      <c r="AZ499" s="49">
        <v>286.12</v>
      </c>
      <c r="BA499" s="49">
        <v>286.12</v>
      </c>
      <c r="BB499" s="117">
        <v>286.12</v>
      </c>
      <c r="BC499" s="73" t="str">
        <f t="shared" si="279"/>
        <v/>
      </c>
      <c r="BD499" s="73">
        <f t="shared" si="280"/>
        <v>477.94838709677418</v>
      </c>
      <c r="BE499" s="73">
        <f t="shared" si="281"/>
        <v>382.57379032258063</v>
      </c>
      <c r="BF499" s="77">
        <f t="shared" si="282"/>
        <v>95.37</v>
      </c>
      <c r="BG499" s="77">
        <f t="shared" si="283"/>
        <v>28.611000000000001</v>
      </c>
      <c r="BH499" s="77">
        <f t="shared" si="284"/>
        <v>381.4983870967742</v>
      </c>
      <c r="BI499" s="78">
        <f t="shared" si="285"/>
        <v>0.25</v>
      </c>
      <c r="BJ499" s="79">
        <f t="shared" si="286"/>
        <v>0.19954037417996276</v>
      </c>
      <c r="BK499" s="80">
        <f t="shared" si="287"/>
        <v>382.57</v>
      </c>
      <c r="BL499" s="80">
        <f t="shared" si="288"/>
        <v>95.37838709677419</v>
      </c>
      <c r="BM499" s="79">
        <f t="shared" si="289"/>
        <v>0.19955792230231365</v>
      </c>
      <c r="BN499" s="81">
        <f t="shared" si="290"/>
        <v>0.73176470588235298</v>
      </c>
      <c r="BO499" s="82">
        <f t="shared" si="291"/>
        <v>286.12</v>
      </c>
      <c r="BP499" s="81">
        <f t="shared" si="292"/>
        <v>0.73176470588235298</v>
      </c>
      <c r="BQ499" s="81">
        <f t="shared" si="293"/>
        <v>0.88864462248942433</v>
      </c>
      <c r="BR499" s="81">
        <f t="shared" si="294"/>
        <v>1.1325791163430667</v>
      </c>
      <c r="BS499" s="82">
        <f t="shared" si="295"/>
        <v>391</v>
      </c>
      <c r="BT499" s="82">
        <f t="shared" si="296"/>
        <v>442.83843449013909</v>
      </c>
      <c r="BU499" s="82">
        <f t="shared" si="297"/>
        <v>381.4983870967742</v>
      </c>
      <c r="BW499" s="82">
        <f>IFERROR(INDEX('Infos Clientes'!$T:$T,MATCH('Detalhe Por UC'!$C499,'Infos Clientes'!B:B,0)),"")</f>
        <v>659.09090909090912</v>
      </c>
      <c r="BX499" s="83">
        <f t="shared" si="298"/>
        <v>0</v>
      </c>
      <c r="BY499" s="84">
        <f t="shared" si="299"/>
        <v>0.21537965015748428</v>
      </c>
      <c r="BZ499" s="85">
        <f>IF(_xlfn.MINIFS('Detalhe Por UC'!R:R,'Detalhe Por UC'!C:C,C499,'Detalhe Por UC'!AD:AD,"&gt;"&amp;0)=0,"",_xlfn.MINIFS('Detalhe Por UC'!R:R,'Detalhe Por UC'!C:C,C499,'Detalhe Por UC'!AD:AD,"&gt;"&amp;0))</f>
        <v>45658</v>
      </c>
      <c r="CA499" s="114">
        <f ca="1">IF(OR(S499&gt;0,AD499&gt;0),IFERROR(
SUMIFS(INDIRECT("'Infos Clientes'!$W"&amp;INDEX('Infos Clientes'!$C:$C,MATCH(C499,'Infos Clientes'!$H:$H,0))&amp;":$CZ"&amp;INDEX('Infos Clientes'!$C:$C,MATCH(C499,'Infos Clientes'!$H:$H,0))),'Infos Clientes'!$W$2:$CZ$2,"&gt;"&amp;$R499-365,'Infos Clientes'!$W$2:$CZ$2,"&lt;="&amp;$R499)/
COUNTIFS(INDIRECT("'Infos Clientes'!$W"&amp;INDEX('Infos Clientes'!$C:$C,MATCH(C499,'Infos Clientes'!$H:$H,0))&amp;":$CZ"&amp;INDEX('Infos Clientes'!$C:$C,MATCH(C499,'Infos Clientes'!$H:$H,0))),"&gt;="&amp;0,'Infos Clientes'!$W$2:$CZ$2,"&gt;"&amp;$R499-365,'Infos Clientes'!$W$2:$CZ$2,"&lt;="&amp;$R499),""),"")</f>
        <v>594.58333333333337</v>
      </c>
      <c r="CB499" s="87">
        <f>VLOOKUP(C499,'Infos Clientes'!B:L,11,0)</f>
        <v>0</v>
      </c>
      <c r="CC499" s="88" t="str">
        <f t="shared" si="300"/>
        <v>A Unidade Consumidora 10/399338-3 economizou R$95,37 na fatura referente à mai/2025  consumindo 391 kWh em créditos de energia renovável conforme fatura de energia. A economia foi de 25% em relação ao que seria pago para a Energisa considerando os créditos consumidos. Atenção: Mantenha as contas da Energisa em dia para evitar cortes.</v>
      </c>
      <c r="CD499" s="40" t="s">
        <v>249</v>
      </c>
      <c r="CE499" s="18">
        <v>96.45</v>
      </c>
      <c r="CF499" s="115">
        <f t="shared" si="301"/>
        <v>0</v>
      </c>
      <c r="CG499" t="s">
        <v>358</v>
      </c>
    </row>
    <row r="500" spans="1:85" ht="16.2" hidden="1" customHeight="1" x14ac:dyDescent="0.3">
      <c r="A500" s="105" t="str">
        <f>INDEX('Infos Clientes'!$D:$D,MATCH('Detalhe Por UC'!C500,'Infos Clientes'!B:B,0))</f>
        <v>IGREJA DO EVANGELHO QUADRANGULAR</v>
      </c>
      <c r="B500" s="106" t="str">
        <f>INDEX('Infos Clientes'!$F:$F,MATCH('Detalhe Por UC'!C500,'Infos Clientes'!B:B,0))</f>
        <v>62.955.505/0154-31</v>
      </c>
      <c r="C500" s="44" t="s">
        <v>218</v>
      </c>
      <c r="D500" t="s">
        <v>351</v>
      </c>
      <c r="E500" s="1" t="s">
        <v>352</v>
      </c>
      <c r="F500" s="56" t="str">
        <f>INDEX('Infos Clientes'!$I:$I,MATCH('Detalhe Por UC'!C500,'Infos Clientes'!B:B,0))</f>
        <v>BT</v>
      </c>
      <c r="G500" s="56" t="str">
        <f>INDEX('Infos Clientes'!$J:$J,MATCH('Detalhe Por UC'!C500,'Infos Clientes'!B:B,0))</f>
        <v>bifasico</v>
      </c>
      <c r="H500" s="108" t="s">
        <v>138</v>
      </c>
      <c r="I500" s="58">
        <f>IFERROR(VLOOKUP(C500,'Infos Clientes'!B:E,4,),"")</f>
        <v>319</v>
      </c>
      <c r="J500" s="109">
        <v>0.25</v>
      </c>
      <c r="K500" s="59">
        <f>INDEX('Infos Clientes'!$M:$M,MATCH('Detalhe Por UC'!C500,'Infos Clientes'!B:B,0))</f>
        <v>0.25</v>
      </c>
      <c r="L500" s="125">
        <v>0</v>
      </c>
      <c r="M500" s="56">
        <f>INDEX('Infos Clientes'!$N:$N,MATCH('Detalhe Por UC'!C500,'Infos Clientes'!B:B,0))</f>
        <v>0</v>
      </c>
      <c r="N500" s="56">
        <f t="shared" si="266"/>
        <v>0</v>
      </c>
      <c r="O500" s="56">
        <f t="shared" si="267"/>
        <v>9</v>
      </c>
      <c r="P500" s="56">
        <f t="shared" si="302"/>
        <v>0</v>
      </c>
      <c r="Q500" s="61">
        <f>IFERROR(IFERROR(INDEX('Infos Clientes'!$A$2:$V$9884,MATCH($C500,'Infos Clientes'!$B$2:$B$9884,0),MATCH(Q$8,'Infos Clientes'!$A$2:$V$2,0)),"")
+IF(OR(INDEX('Infos Clientes'!$A$2:$V$9884,MATCH($C500,'Infos Clientes'!$B$2:$B$9884,0),MATCH("Tempo de Fidelidade (meses)",'Infos Clientes'!$A$2:$V$2,0))=0,R500&gt;=MAX(R:R)),0,
ROUND((MAX(R:R)-R500)/(365/12),0)),"")</f>
        <v>0</v>
      </c>
      <c r="R500" s="111">
        <v>45778</v>
      </c>
      <c r="S500" s="63">
        <v>0.05</v>
      </c>
      <c r="T500" s="113" t="str">
        <f>IF($H500="GIROSSOL II",AP500/INDEX('Resumo Operacional'!$A$1:$P$1103,17,MATCH('Detalhe Por UC'!$R500,'Resumo Operacional'!$A$1:$P$1,0)),
IF($H500="GIROSSOL II e III",AP500/INDEX('Resumo Operacional'!$A$1:$P$1103,17,MATCH('Detalhe Por UC'!$R500,'Resumo Operacional'!$A$1:$P$1,0)),
""))</f>
        <v/>
      </c>
      <c r="U500" s="113">
        <f>IF($H500="GIROSSOL III",AP500/INDEX('Resumo Operacional'!$A$1:$P$1103,53,MATCH('Detalhe Por UC'!$R500,'Resumo Operacional'!$A$1:$P$1,0)),
IF($H500="GIROSSOL II e III",AP500/INDEX('Resumo Operacional'!$A$1:$P$1103,53,MATCH('Detalhe Por UC'!$R500,'Resumo Operacional'!$A$1:$P$1,0)),
""))</f>
        <v>4.9918063784192612E-2</v>
      </c>
      <c r="V500" s="45"/>
      <c r="X500" s="18">
        <v>1.1393101170088844</v>
      </c>
      <c r="Y500" s="18">
        <v>0</v>
      </c>
      <c r="Z500" s="18">
        <v>0.98242133726647018</v>
      </c>
      <c r="AA500" s="18">
        <v>0</v>
      </c>
      <c r="AB500" s="143">
        <v>509</v>
      </c>
      <c r="AC500" s="143">
        <v>0</v>
      </c>
      <c r="AD500" s="143">
        <v>396</v>
      </c>
      <c r="AE500" s="35"/>
      <c r="AF500" s="143">
        <v>0</v>
      </c>
      <c r="AG500" s="143">
        <v>0</v>
      </c>
      <c r="AH500" s="48">
        <v>83.97</v>
      </c>
      <c r="AI500" s="143">
        <v>0</v>
      </c>
      <c r="AJ500" s="143">
        <v>0</v>
      </c>
      <c r="AN500" s="71">
        <f t="shared" si="268"/>
        <v>0</v>
      </c>
      <c r="AO500" s="71">
        <f t="shared" si="269"/>
        <v>0</v>
      </c>
      <c r="AP500" s="71">
        <f t="shared" si="270"/>
        <v>396</v>
      </c>
      <c r="AQ500" s="72">
        <f>IF(OR($H500="GIROSSOL II",$H500="GIROSSOL II e III"),INDEX('Resumo Operacional'!$A$1:$P$1103,MATCH("Energia Injetada prevista total Fatura da Usina (TUSD)",'Resumo Operacional'!$B$1:$B$1103,0),MATCH('Detalhe Por UC'!$R500,'Resumo Operacional'!$A$1:$P$1,0))*$S500,INDEX('Resumo Operacional'!$A$1:$P$1103,53,MATCH('Detalhe Por UC'!$R500,'Resumo Operacional'!$A$1:$P$1,0))*$S500)</f>
        <v>396.65000000000003</v>
      </c>
      <c r="AR500" s="71">
        <f t="shared" si="271"/>
        <v>-0.65000000000003411</v>
      </c>
      <c r="AS500" s="73">
        <f t="shared" si="272"/>
        <v>274.84000000000003</v>
      </c>
      <c r="AT500" s="74">
        <f t="shared" si="273"/>
        <v>274.84000000000003</v>
      </c>
      <c r="AU500" s="74">
        <f t="shared" si="274"/>
        <v>0.82553255752405597</v>
      </c>
      <c r="AV500" s="74">
        <f t="shared" si="275"/>
        <v>291.77913716814163</v>
      </c>
      <c r="AW500" s="74">
        <f t="shared" si="276"/>
        <v>0</v>
      </c>
      <c r="AX500" s="74">
        <f t="shared" si="277"/>
        <v>389.03884955752221</v>
      </c>
      <c r="AY500" s="74">
        <f t="shared" si="278"/>
        <v>291.77999999999997</v>
      </c>
      <c r="AZ500" s="49">
        <v>291.77999999999997</v>
      </c>
      <c r="BA500" s="49">
        <v>291.77999999999997</v>
      </c>
      <c r="BB500" s="117">
        <v>291.77999999999997</v>
      </c>
      <c r="BC500" s="73" t="str">
        <f t="shared" si="279"/>
        <v/>
      </c>
      <c r="BD500" s="73">
        <f t="shared" si="280"/>
        <v>663.87884955752224</v>
      </c>
      <c r="BE500" s="73">
        <f t="shared" si="281"/>
        <v>566.61913716814161</v>
      </c>
      <c r="BF500" s="77">
        <f t="shared" si="282"/>
        <v>97.26</v>
      </c>
      <c r="BG500" s="77">
        <f t="shared" si="283"/>
        <v>29.178000000000001</v>
      </c>
      <c r="BH500" s="77">
        <f t="shared" si="284"/>
        <v>389.03884955752221</v>
      </c>
      <c r="BI500" s="78">
        <f t="shared" si="285"/>
        <v>0.25</v>
      </c>
      <c r="BJ500" s="79">
        <f t="shared" si="286"/>
        <v>0.14650263382366249</v>
      </c>
      <c r="BK500" s="80">
        <f t="shared" si="287"/>
        <v>566.62</v>
      </c>
      <c r="BL500" s="80">
        <f t="shared" si="288"/>
        <v>97.25884955752224</v>
      </c>
      <c r="BM500" s="79">
        <f t="shared" si="289"/>
        <v>0.14650090091339049</v>
      </c>
      <c r="BN500" s="81">
        <f t="shared" si="290"/>
        <v>0.73681818181818171</v>
      </c>
      <c r="BO500" s="82">
        <f t="shared" si="291"/>
        <v>291.77999999999997</v>
      </c>
      <c r="BP500" s="81">
        <f t="shared" si="292"/>
        <v>0.73681818181818171</v>
      </c>
      <c r="BQ500" s="81">
        <f t="shared" si="293"/>
        <v>0.89370696156059592</v>
      </c>
      <c r="BR500" s="81">
        <f t="shared" si="294"/>
        <v>1.1393101170088844</v>
      </c>
      <c r="BS500" s="82">
        <f t="shared" si="295"/>
        <v>396</v>
      </c>
      <c r="BT500" s="82">
        <f t="shared" si="296"/>
        <v>451.16680633551823</v>
      </c>
      <c r="BU500" s="82">
        <f t="shared" si="297"/>
        <v>389.03884955752221</v>
      </c>
      <c r="BW500" s="82">
        <f>IFERROR(INDEX('Infos Clientes'!$T:$T,MATCH('Detalhe Por UC'!$C500,'Infos Clientes'!B:B,0)),"")</f>
        <v>806.81818181818187</v>
      </c>
      <c r="BX500" s="83">
        <f t="shared" si="298"/>
        <v>0</v>
      </c>
      <c r="BY500" s="84">
        <f t="shared" si="299"/>
        <v>0.21557181998268277</v>
      </c>
      <c r="BZ500" s="85">
        <f>IF(_xlfn.MINIFS('Detalhe Por UC'!R:R,'Detalhe Por UC'!C:C,C500,'Detalhe Por UC'!AD:AD,"&gt;"&amp;0)=0,"",_xlfn.MINIFS('Detalhe Por UC'!R:R,'Detalhe Por UC'!C:C,C500,'Detalhe Por UC'!AD:AD,"&gt;"&amp;0))</f>
        <v>45658</v>
      </c>
      <c r="CA500" s="114">
        <f ca="1">IF(OR(S500&gt;0,AD500&gt;0),IFERROR(
SUMIFS(INDIRECT("'Infos Clientes'!$W"&amp;INDEX('Infos Clientes'!$C:$C,MATCH(C500,'Infos Clientes'!$H:$H,0))&amp;":$CZ"&amp;INDEX('Infos Clientes'!$C:$C,MATCH(C500,'Infos Clientes'!$H:$H,0))),'Infos Clientes'!$W$2:$CZ$2,"&gt;"&amp;$R500-365,'Infos Clientes'!$W$2:$CZ$2,"&lt;="&amp;$R500)/
COUNTIFS(INDIRECT("'Infos Clientes'!$W"&amp;INDEX('Infos Clientes'!$C:$C,MATCH(C500,'Infos Clientes'!$H:$H,0))&amp;":$CZ"&amp;INDEX('Infos Clientes'!$C:$C,MATCH(C500,'Infos Clientes'!$H:$H,0))),"&gt;="&amp;0,'Infos Clientes'!$W$2:$CZ$2,"&gt;"&amp;$R500-365,'Infos Clientes'!$W$2:$CZ$2,"&lt;="&amp;$R500),""),"")</f>
        <v>772.75</v>
      </c>
      <c r="CB500" s="87">
        <f>VLOOKUP(C500,'Infos Clientes'!B:L,11,0)</f>
        <v>0</v>
      </c>
      <c r="CC500" s="88" t="str">
        <f t="shared" si="300"/>
        <v>A Unidade Consumidora 10/61344-8 economizou R$97,26 na fatura referente à mai/2025  consumindo 396 kWh em créditos de energia renovável conforme fatura de energia. A economia foi de 25% em relação ao que seria pago para a Energisa considerando os créditos consumidos. Atenção: Mantenha as contas da Energisa em dia para evitar cortes.</v>
      </c>
      <c r="CD500" s="40" t="s">
        <v>249</v>
      </c>
      <c r="CE500" s="18">
        <v>274.83999999999997</v>
      </c>
      <c r="CF500" s="115">
        <f t="shared" si="301"/>
        <v>0</v>
      </c>
      <c r="CG500" t="s">
        <v>359</v>
      </c>
    </row>
    <row r="501" spans="1:85" ht="16.2" hidden="1" customHeight="1" x14ac:dyDescent="0.3">
      <c r="A501" s="105" t="str">
        <f>INDEX('Infos Clientes'!$D:$D,MATCH('Detalhe Por UC'!C501,'Infos Clientes'!B:B,0))</f>
        <v>IGREJA DO EVANGELHO QUADRANGULAR</v>
      </c>
      <c r="B501" s="106" t="str">
        <f>INDEX('Infos Clientes'!$F:$F,MATCH('Detalhe Por UC'!C501,'Infos Clientes'!B:B,0))</f>
        <v>62.955.505/2740-20</v>
      </c>
      <c r="C501" s="44" t="s">
        <v>175</v>
      </c>
      <c r="D501" t="s">
        <v>351</v>
      </c>
      <c r="E501" s="1" t="s">
        <v>352</v>
      </c>
      <c r="F501" s="56" t="str">
        <f>INDEX('Infos Clientes'!$I:$I,MATCH('Detalhe Por UC'!C501,'Infos Clientes'!B:B,0))</f>
        <v>BT</v>
      </c>
      <c r="G501" s="56" t="str">
        <f>INDEX('Infos Clientes'!$J:$J,MATCH('Detalhe Por UC'!C501,'Infos Clientes'!B:B,0))</f>
        <v>trifasico</v>
      </c>
      <c r="H501" s="108" t="s">
        <v>138</v>
      </c>
      <c r="I501" s="58">
        <f>IFERROR(VLOOKUP(C501,'Infos Clientes'!B:E,4,),"")</f>
        <v>371</v>
      </c>
      <c r="J501" s="109">
        <v>0.25</v>
      </c>
      <c r="K501" s="59">
        <f>INDEX('Infos Clientes'!$M:$M,MATCH('Detalhe Por UC'!C501,'Infos Clientes'!B:B,0))</f>
        <v>0.25</v>
      </c>
      <c r="L501" s="125">
        <v>0</v>
      </c>
      <c r="M501" s="56">
        <f>INDEX('Infos Clientes'!$N:$N,MATCH('Detalhe Por UC'!C501,'Infos Clientes'!B:B,0))</f>
        <v>0</v>
      </c>
      <c r="N501" s="56">
        <f t="shared" si="266"/>
        <v>0</v>
      </c>
      <c r="O501" s="56">
        <f t="shared" si="267"/>
        <v>8</v>
      </c>
      <c r="P501" s="56">
        <f t="shared" si="302"/>
        <v>0</v>
      </c>
      <c r="Q501" s="61">
        <f>IFERROR(IFERROR(INDEX('Infos Clientes'!$A$2:$V$9884,MATCH($C501,'Infos Clientes'!$B$2:$B$9884,0),MATCH(Q$8,'Infos Clientes'!$A$2:$V$2,0)),"")
+IF(OR(INDEX('Infos Clientes'!$A$2:$V$9884,MATCH($C501,'Infos Clientes'!$B$2:$B$9884,0),MATCH("Tempo de Fidelidade (meses)",'Infos Clientes'!$A$2:$V$2,0))=0,R501&gt;=MAX(R:R)),0,
ROUND((MAX(R:R)-R501)/(365/12),0)),"")</f>
        <v>0</v>
      </c>
      <c r="R501" s="111">
        <v>45778</v>
      </c>
      <c r="S501" s="63">
        <v>0.01</v>
      </c>
      <c r="T501" s="113" t="str">
        <f>IF($H501="GIROSSOL II",AP501/INDEX('Resumo Operacional'!$A$1:$P$1103,17,MATCH('Detalhe Por UC'!$R501,'Resumo Operacional'!$A$1:$P$1,0)),
IF($H501="GIROSSOL II e III",AP501/INDEX('Resumo Operacional'!$A$1:$P$1103,17,MATCH('Detalhe Por UC'!$R501,'Resumo Operacional'!$A$1:$P$1,0)),
""))</f>
        <v/>
      </c>
      <c r="U501" s="113">
        <f>IF($H501="GIROSSOL III",AP501/INDEX('Resumo Operacional'!$A$1:$P$1103,53,MATCH('Detalhe Por UC'!$R501,'Resumo Operacional'!$A$1:$P$1,0)),
IF($H501="GIROSSOL II e III",AP501/INDEX('Resumo Operacional'!$A$1:$P$1103,53,MATCH('Detalhe Por UC'!$R501,'Resumo Operacional'!$A$1:$P$1,0)),
""))</f>
        <v>2.2942140426068323E-2</v>
      </c>
      <c r="V501" s="45"/>
      <c r="X501" s="18">
        <v>1.1337943306693306</v>
      </c>
      <c r="Y501" s="18">
        <v>0</v>
      </c>
      <c r="Z501" s="18">
        <v>0.9768642807574105</v>
      </c>
      <c r="AA501" s="18">
        <v>0</v>
      </c>
      <c r="AB501" s="143">
        <v>208</v>
      </c>
      <c r="AC501" s="143">
        <v>0</v>
      </c>
      <c r="AD501" s="143">
        <v>131</v>
      </c>
      <c r="AE501" s="35"/>
      <c r="AF501" s="143">
        <v>51</v>
      </c>
      <c r="AG501" s="143">
        <v>0</v>
      </c>
      <c r="AH501" s="48">
        <v>43.17</v>
      </c>
      <c r="AI501" s="143">
        <v>0</v>
      </c>
      <c r="AJ501" s="143">
        <v>0</v>
      </c>
      <c r="AN501" s="71">
        <f t="shared" si="268"/>
        <v>51</v>
      </c>
      <c r="AO501" s="71">
        <f t="shared" si="269"/>
        <v>0</v>
      </c>
      <c r="AP501" s="71">
        <f t="shared" si="270"/>
        <v>182</v>
      </c>
      <c r="AQ501" s="72">
        <f>IF(OR($H501="GIROSSOL II",$H501="GIROSSOL II e III"),INDEX('Resumo Operacional'!$A$1:$P$1103,MATCH("Energia Injetada prevista total Fatura da Usina (TUSD)",'Resumo Operacional'!$B$1:$B$1103,0),MATCH('Detalhe Por UC'!$R501,'Resumo Operacional'!$A$1:$P$1,0))*$S501,INDEX('Resumo Operacional'!$A$1:$P$1103,53,MATCH('Detalhe Por UC'!$R501,'Resumo Operacional'!$A$1:$P$1,0))*$S501)</f>
        <v>79.33</v>
      </c>
      <c r="AR501" s="71">
        <f t="shared" si="271"/>
        <v>102.67</v>
      </c>
      <c r="AS501" s="73">
        <f t="shared" si="272"/>
        <v>151.02999999999997</v>
      </c>
      <c r="AT501" s="74">
        <f t="shared" si="273"/>
        <v>151.02999999999997</v>
      </c>
      <c r="AU501" s="74">
        <f t="shared" si="274"/>
        <v>0.81993423084549044</v>
      </c>
      <c r="AV501" s="74">
        <f t="shared" si="275"/>
        <v>95.976915584415579</v>
      </c>
      <c r="AW501" s="74">
        <f t="shared" si="276"/>
        <v>0</v>
      </c>
      <c r="AX501" s="74">
        <f t="shared" si="277"/>
        <v>127.96922077922078</v>
      </c>
      <c r="AY501" s="74">
        <f t="shared" si="278"/>
        <v>95.98</v>
      </c>
      <c r="AZ501" s="49">
        <v>95.98</v>
      </c>
      <c r="BA501" s="49">
        <v>95.98</v>
      </c>
      <c r="BB501" s="117">
        <v>95.98</v>
      </c>
      <c r="BC501" s="73" t="str">
        <f t="shared" si="279"/>
        <v/>
      </c>
      <c r="BD501" s="73">
        <f t="shared" si="280"/>
        <v>278.99922077922076</v>
      </c>
      <c r="BE501" s="73">
        <f t="shared" si="281"/>
        <v>247.00691558441554</v>
      </c>
      <c r="BF501" s="77">
        <f t="shared" si="282"/>
        <v>31.99</v>
      </c>
      <c r="BG501" s="77">
        <f t="shared" si="283"/>
        <v>9.5969999999999995</v>
      </c>
      <c r="BH501" s="77">
        <f t="shared" si="284"/>
        <v>127.96922077922078</v>
      </c>
      <c r="BI501" s="78">
        <f t="shared" si="285"/>
        <v>0.25</v>
      </c>
      <c r="BJ501" s="79">
        <f t="shared" si="286"/>
        <v>0.11465981844198234</v>
      </c>
      <c r="BK501" s="80">
        <f t="shared" si="287"/>
        <v>247.01</v>
      </c>
      <c r="BL501" s="80">
        <f t="shared" si="288"/>
        <v>31.989220779220773</v>
      </c>
      <c r="BM501" s="79">
        <f t="shared" si="289"/>
        <v>0.11465702552816326</v>
      </c>
      <c r="BN501" s="81">
        <f t="shared" si="290"/>
        <v>0.73267175572519083</v>
      </c>
      <c r="BO501" s="82">
        <f t="shared" si="291"/>
        <v>95.98</v>
      </c>
      <c r="BP501" s="81">
        <f t="shared" si="292"/>
        <v>0.73267175572519083</v>
      </c>
      <c r="BQ501" s="81">
        <f t="shared" si="293"/>
        <v>0.88960180563711089</v>
      </c>
      <c r="BR501" s="81">
        <f t="shared" si="294"/>
        <v>1.1337943306693306</v>
      </c>
      <c r="BS501" s="82">
        <f t="shared" si="295"/>
        <v>131</v>
      </c>
      <c r="BT501" s="82">
        <f t="shared" si="296"/>
        <v>148.52705731768231</v>
      </c>
      <c r="BU501" s="82">
        <f t="shared" si="297"/>
        <v>127.96922077922078</v>
      </c>
      <c r="BW501" s="82">
        <f>IFERROR(INDEX('Infos Clientes'!$T:$T,MATCH('Detalhe Por UC'!$C501,'Infos Clientes'!B:B,0)),"")</f>
        <v>384.90909090909093</v>
      </c>
      <c r="BX501" s="83">
        <f t="shared" si="298"/>
        <v>0</v>
      </c>
      <c r="BY501" s="84">
        <f t="shared" si="299"/>
        <v>0.21537638566957878</v>
      </c>
      <c r="BZ501" s="85">
        <f>IF(_xlfn.MINIFS('Detalhe Por UC'!R:R,'Detalhe Por UC'!C:C,C501,'Detalhe Por UC'!AD:AD,"&gt;"&amp;0)=0,"",_xlfn.MINIFS('Detalhe Por UC'!R:R,'Detalhe Por UC'!C:C,C501,'Detalhe Por UC'!AD:AD,"&gt;"&amp;0))</f>
        <v>45658</v>
      </c>
      <c r="CA501" s="114">
        <f ca="1">IF(OR(S501&gt;0,AD501&gt;0),IFERROR(
SUMIFS(INDIRECT("'Infos Clientes'!$W"&amp;INDEX('Infos Clientes'!$C:$C,MATCH(C501,'Infos Clientes'!$H:$H,0))&amp;":$CZ"&amp;INDEX('Infos Clientes'!$C:$C,MATCH(C501,'Infos Clientes'!$H:$H,0))),'Infos Clientes'!$W$2:$CZ$2,"&gt;"&amp;$R501-365,'Infos Clientes'!$W$2:$CZ$2,"&lt;="&amp;$R501)/
COUNTIFS(INDIRECT("'Infos Clientes'!$W"&amp;INDEX('Infos Clientes'!$C:$C,MATCH(C501,'Infos Clientes'!$H:$H,0))&amp;":$CZ"&amp;INDEX('Infos Clientes'!$C:$C,MATCH(C501,'Infos Clientes'!$H:$H,0))),"&gt;="&amp;0,'Infos Clientes'!$W$2:$CZ$2,"&gt;"&amp;$R501-365,'Infos Clientes'!$W$2:$CZ$2,"&lt;="&amp;$R501),""),"")</f>
        <v>307.58333333333331</v>
      </c>
      <c r="CB501" s="87">
        <f>VLOOKUP(C501,'Infos Clientes'!B:L,11,0)</f>
        <v>0</v>
      </c>
      <c r="CC501" s="88" t="str">
        <f t="shared" si="300"/>
        <v>A Unidade Consumidora 10/252817-2 economizou R$31,99 na fatura referente à mai/2025  consumindo 131 kWh em créditos de energia renovável conforme fatura de energia. A economia foi de 25% em relação ao que seria pago para a Energisa considerando os créditos consumidos. Atenção: Mantenha as contas da Energisa em dia para evitar cortes.</v>
      </c>
      <c r="CD501" s="40" t="s">
        <v>80</v>
      </c>
      <c r="CE501" s="18">
        <v>151.03</v>
      </c>
      <c r="CF501" s="115">
        <f t="shared" si="301"/>
        <v>0</v>
      </c>
      <c r="CG501" t="s">
        <v>358</v>
      </c>
    </row>
    <row r="502" spans="1:85" ht="16.2" hidden="1" customHeight="1" x14ac:dyDescent="0.3">
      <c r="A502" s="105" t="str">
        <f>INDEX('Infos Clientes'!$D:$D,MATCH('Detalhe Por UC'!C502,'Infos Clientes'!B:B,0))</f>
        <v>IGREJA DO EVANGELHO QUADRANGULAR</v>
      </c>
      <c r="B502" s="106" t="str">
        <f>INDEX('Infos Clientes'!$F:$F,MATCH('Detalhe Por UC'!C502,'Infos Clientes'!B:B,0))</f>
        <v>62.955.505/1344-49</v>
      </c>
      <c r="C502" s="44" t="s">
        <v>166</v>
      </c>
      <c r="D502" t="s">
        <v>351</v>
      </c>
      <c r="E502" s="1" t="s">
        <v>352</v>
      </c>
      <c r="F502" s="56" t="str">
        <f>INDEX('Infos Clientes'!$I:$I,MATCH('Detalhe Por UC'!C502,'Infos Clientes'!B:B,0))</f>
        <v>BT</v>
      </c>
      <c r="G502" s="56" t="str">
        <f>INDEX('Infos Clientes'!$J:$J,MATCH('Detalhe Por UC'!C502,'Infos Clientes'!B:B,0))</f>
        <v>bifasico</v>
      </c>
      <c r="H502" s="108" t="s">
        <v>138</v>
      </c>
      <c r="I502" s="58">
        <f>IFERROR(VLOOKUP(C502,'Infos Clientes'!B:E,4,),"")</f>
        <v>362</v>
      </c>
      <c r="J502" s="109">
        <v>0.25</v>
      </c>
      <c r="K502" s="59">
        <f>INDEX('Infos Clientes'!$M:$M,MATCH('Detalhe Por UC'!C502,'Infos Clientes'!B:B,0))</f>
        <v>0.25</v>
      </c>
      <c r="L502" s="125">
        <v>0</v>
      </c>
      <c r="M502" s="56">
        <f>INDEX('Infos Clientes'!$N:$N,MATCH('Detalhe Por UC'!C502,'Infos Clientes'!B:B,0))</f>
        <v>0</v>
      </c>
      <c r="N502" s="56">
        <f t="shared" si="266"/>
        <v>0</v>
      </c>
      <c r="O502" s="56">
        <f t="shared" si="267"/>
        <v>11</v>
      </c>
      <c r="P502" s="56">
        <f t="shared" si="302"/>
        <v>0</v>
      </c>
      <c r="Q502" s="61">
        <f>IFERROR(IFERROR(INDEX('Infos Clientes'!$A$2:$V$9884,MATCH($C502,'Infos Clientes'!$B$2:$B$9884,0),MATCH(Q$8,'Infos Clientes'!$A$2:$V$2,0)),"")
+IF(OR(INDEX('Infos Clientes'!$A$2:$V$9884,MATCH($C502,'Infos Clientes'!$B$2:$B$9884,0),MATCH("Tempo de Fidelidade (meses)",'Infos Clientes'!$A$2:$V$2,0))=0,R502&gt;=MAX(R:R)),0,
ROUND((MAX(R:R)-R502)/(365/12),0)),"")</f>
        <v>0</v>
      </c>
      <c r="R502" s="111">
        <v>45778</v>
      </c>
      <c r="S502" s="63">
        <v>0.01</v>
      </c>
      <c r="T502" s="113" t="str">
        <f>IF($H502="GIROSSOL II",AP502/INDEX('Resumo Operacional'!$A$1:$P$1103,17,MATCH('Detalhe Por UC'!$R502,'Resumo Operacional'!$A$1:$P$1,0)),
IF($H502="GIROSSOL II e III",AP502/INDEX('Resumo Operacional'!$A$1:$P$1103,17,MATCH('Detalhe Por UC'!$R502,'Resumo Operacional'!$A$1:$P$1,0)),
""))</f>
        <v/>
      </c>
      <c r="U502" s="113">
        <f>IF($H502="GIROSSOL III",AP502/INDEX('Resumo Operacional'!$A$1:$P$1103,53,MATCH('Detalhe Por UC'!$R502,'Resumo Operacional'!$A$1:$P$1,0)),
IF($H502="GIROSSOL II e III",AP502/INDEX('Resumo Operacional'!$A$1:$P$1103,53,MATCH('Detalhe Por UC'!$R502,'Resumo Operacional'!$A$1:$P$1,0)),
""))</f>
        <v>2.2942140426068323E-2</v>
      </c>
      <c r="V502" s="45"/>
      <c r="X502" s="18">
        <v>1.1357592446892211</v>
      </c>
      <c r="Y502" s="18">
        <v>0</v>
      </c>
      <c r="Z502" s="18">
        <v>0.97895403377110712</v>
      </c>
      <c r="AA502" s="18">
        <v>0</v>
      </c>
      <c r="AB502" s="143">
        <v>93</v>
      </c>
      <c r="AC502" s="143">
        <v>0</v>
      </c>
      <c r="AD502" s="143">
        <v>52</v>
      </c>
      <c r="AE502" s="35"/>
      <c r="AF502" s="143">
        <v>432</v>
      </c>
      <c r="AG502" s="143">
        <v>0</v>
      </c>
      <c r="AH502" s="48">
        <v>21.73</v>
      </c>
      <c r="AI502" s="143">
        <v>0</v>
      </c>
      <c r="AJ502" s="143">
        <v>0</v>
      </c>
      <c r="AN502" s="71">
        <f t="shared" si="268"/>
        <v>130</v>
      </c>
      <c r="AO502" s="71">
        <f t="shared" si="269"/>
        <v>0</v>
      </c>
      <c r="AP502" s="71">
        <f t="shared" si="270"/>
        <v>182</v>
      </c>
      <c r="AQ502" s="72">
        <f>IF(OR($H502="GIROSSOL II",$H502="GIROSSOL II e III"),INDEX('Resumo Operacional'!$A$1:$P$1103,MATCH("Energia Injetada prevista total Fatura da Usina (TUSD)",'Resumo Operacional'!$B$1:$B$1103,0),MATCH('Detalhe Por UC'!$R502,'Resumo Operacional'!$A$1:$P$1,0))*$S502,INDEX('Resumo Operacional'!$A$1:$P$1103,53,MATCH('Detalhe Por UC'!$R502,'Resumo Operacional'!$A$1:$P$1,0))*$S502)</f>
        <v>79.33</v>
      </c>
      <c r="AR502" s="71">
        <f t="shared" si="271"/>
        <v>102.67</v>
      </c>
      <c r="AS502" s="73">
        <f t="shared" si="272"/>
        <v>76.449999999999989</v>
      </c>
      <c r="AT502" s="74">
        <f t="shared" si="273"/>
        <v>76.449999999999989</v>
      </c>
      <c r="AU502" s="74">
        <f t="shared" si="274"/>
        <v>0.82214882285299318</v>
      </c>
      <c r="AV502" s="74">
        <f t="shared" si="275"/>
        <v>38.179207317073178</v>
      </c>
      <c r="AW502" s="74">
        <f t="shared" si="276"/>
        <v>-98.32</v>
      </c>
      <c r="AX502" s="74">
        <f t="shared" si="277"/>
        <v>-47.414390243902425</v>
      </c>
      <c r="AY502" s="74">
        <f t="shared" si="278"/>
        <v>-60.14</v>
      </c>
      <c r="AZ502" s="136">
        <v>38.18</v>
      </c>
      <c r="BA502" s="136">
        <v>89.09</v>
      </c>
      <c r="BB502" s="136">
        <v>89.09</v>
      </c>
      <c r="BC502" s="73" t="str">
        <f t="shared" si="279"/>
        <v/>
      </c>
      <c r="BD502" s="73">
        <f t="shared" si="280"/>
        <v>127.35560975609756</v>
      </c>
      <c r="BE502" s="73">
        <f t="shared" si="281"/>
        <v>114.62920731707317</v>
      </c>
      <c r="BF502" s="77">
        <f t="shared" si="282"/>
        <v>12.73</v>
      </c>
      <c r="BG502" s="77">
        <f t="shared" si="283"/>
        <v>3.819</v>
      </c>
      <c r="BH502" s="77">
        <f t="shared" si="284"/>
        <v>50.905609756097576</v>
      </c>
      <c r="BI502" s="78">
        <f t="shared" si="285"/>
        <v>-0.27</v>
      </c>
      <c r="BJ502" s="79">
        <f t="shared" si="286"/>
        <v>9.9956335055672807E-2</v>
      </c>
      <c r="BK502" s="80">
        <f t="shared" si="287"/>
        <v>16.309999999999988</v>
      </c>
      <c r="BL502" s="80">
        <f t="shared" si="288"/>
        <v>111.04560975609758</v>
      </c>
      <c r="BM502" s="79">
        <f t="shared" si="289"/>
        <v>0.87193339946912629</v>
      </c>
      <c r="BN502" s="81">
        <f t="shared" si="290"/>
        <v>-1.1565384615384615</v>
      </c>
      <c r="BO502" s="82">
        <f t="shared" si="291"/>
        <v>-60.14</v>
      </c>
      <c r="BP502" s="81">
        <f t="shared" si="292"/>
        <v>-1.1565384615384615</v>
      </c>
      <c r="BQ502" s="81">
        <f t="shared" si="293"/>
        <v>-0.99973325062034757</v>
      </c>
      <c r="BR502" s="81">
        <f t="shared" si="294"/>
        <v>1.1357592446892211</v>
      </c>
      <c r="BS502" s="82">
        <f t="shared" si="295"/>
        <v>52</v>
      </c>
      <c r="BT502" s="82">
        <f t="shared" si="296"/>
        <v>59.059480723839499</v>
      </c>
      <c r="BU502" s="82">
        <f t="shared" si="297"/>
        <v>50.905609756097569</v>
      </c>
      <c r="BW502" s="82">
        <f>IFERROR(INDEX('Infos Clientes'!$T:$T,MATCH('Detalhe Por UC'!$C502,'Infos Clientes'!B:B,0)),"")</f>
        <v>140.81818181818181</v>
      </c>
      <c r="BX502" s="83">
        <f t="shared" si="298"/>
        <v>0</v>
      </c>
      <c r="BY502" s="84">
        <f t="shared" si="299"/>
        <v>1.8802334256094086</v>
      </c>
      <c r="BZ502" s="85">
        <f>IF(_xlfn.MINIFS('Detalhe Por UC'!R:R,'Detalhe Por UC'!C:C,C502,'Detalhe Por UC'!AD:AD,"&gt;"&amp;0)=0,"",_xlfn.MINIFS('Detalhe Por UC'!R:R,'Detalhe Por UC'!C:C,C502,'Detalhe Por UC'!AD:AD,"&gt;"&amp;0))</f>
        <v>45658</v>
      </c>
      <c r="CA502" s="114">
        <f ca="1">IF(OR(S502&gt;0,AD502&gt;0),IFERROR(
SUMIFS(INDIRECT("'Infos Clientes'!$W"&amp;INDEX('Infos Clientes'!$C:$C,MATCH(C502,'Infos Clientes'!$H:$H,0))&amp;":$CZ"&amp;INDEX('Infos Clientes'!$C:$C,MATCH(C502,'Infos Clientes'!$H:$H,0))),'Infos Clientes'!$W$2:$CZ$2,"&gt;"&amp;$R502-365,'Infos Clientes'!$W$2:$CZ$2,"&lt;="&amp;$R502)/
COUNTIFS(INDIRECT("'Infos Clientes'!$W"&amp;INDEX('Infos Clientes'!$C:$C,MATCH(C502,'Infos Clientes'!$H:$H,0))&amp;":$CZ"&amp;INDEX('Infos Clientes'!$C:$C,MATCH(C502,'Infos Clientes'!$H:$H,0))),"&gt;="&amp;0,'Infos Clientes'!$W$2:$CZ$2,"&gt;"&amp;$R502-365,'Infos Clientes'!$W$2:$CZ$2,"&lt;="&amp;$R502),""),"")</f>
        <v>82.166666666666671</v>
      </c>
      <c r="CB502" s="87">
        <f>VLOOKUP(C502,'Infos Clientes'!B:L,11,0)</f>
        <v>0</v>
      </c>
      <c r="CC502" s="88" t="str">
        <f t="shared" si="300"/>
        <v>A Unidade Consumidora 10/175073-6 economizou R$12,73 na fatura referente à mai/2025  consumindo 52 kWh em créditos de energia renovável conforme fatura de energia. A economia foi de 25% em relação ao que seria pago para a Energisa considerando os créditos consumidos. Atenção: Mantenha as contas da Energisa em dia para evitar cortes.</v>
      </c>
      <c r="CD502" s="40" t="s">
        <v>59</v>
      </c>
      <c r="CE502" s="18">
        <v>76.45</v>
      </c>
      <c r="CF502" s="115">
        <f t="shared" si="301"/>
        <v>0</v>
      </c>
      <c r="CG502" t="s">
        <v>358</v>
      </c>
    </row>
    <row r="503" spans="1:85" ht="16.2" hidden="1" customHeight="1" x14ac:dyDescent="0.3">
      <c r="A503" s="105" t="str">
        <f>INDEX('Infos Clientes'!$D:$D,MATCH('Detalhe Por UC'!C503,'Infos Clientes'!B:B,0))</f>
        <v>IGREJA DO EVANGELHO QUADRANGULAR</v>
      </c>
      <c r="B503" s="106" t="str">
        <f>INDEX('Infos Clientes'!$F:$F,MATCH('Detalhe Por UC'!C503,'Infos Clientes'!B:B,0))</f>
        <v>62.955.505/0159-46</v>
      </c>
      <c r="C503" s="44" t="s">
        <v>231</v>
      </c>
      <c r="D503" t="s">
        <v>351</v>
      </c>
      <c r="E503" s="1" t="s">
        <v>352</v>
      </c>
      <c r="F503" s="56" t="str">
        <f>INDEX('Infos Clientes'!$I:$I,MATCH('Detalhe Por UC'!C503,'Infos Clientes'!B:B,0))</f>
        <v>BT</v>
      </c>
      <c r="G503" s="56" t="str">
        <f>INDEX('Infos Clientes'!$J:$J,MATCH('Detalhe Por UC'!C503,'Infos Clientes'!B:B,0))</f>
        <v>trifasico</v>
      </c>
      <c r="H503" s="108" t="s">
        <v>138</v>
      </c>
      <c r="I503" s="58">
        <f>IFERROR(VLOOKUP(C503,'Infos Clientes'!B:E,4,),"")</f>
        <v>302</v>
      </c>
      <c r="J503" s="109">
        <v>0.25</v>
      </c>
      <c r="K503" s="59">
        <f>INDEX('Infos Clientes'!$M:$M,MATCH('Detalhe Por UC'!C503,'Infos Clientes'!B:B,0))</f>
        <v>0.25</v>
      </c>
      <c r="L503" s="125">
        <v>0</v>
      </c>
      <c r="M503" s="56">
        <f>INDEX('Infos Clientes'!$N:$N,MATCH('Detalhe Por UC'!C503,'Infos Clientes'!B:B,0))</f>
        <v>0</v>
      </c>
      <c r="N503" s="56">
        <f t="shared" si="266"/>
        <v>0</v>
      </c>
      <c r="O503" s="56">
        <f t="shared" si="267"/>
        <v>9</v>
      </c>
      <c r="P503" s="56">
        <f t="shared" si="302"/>
        <v>0</v>
      </c>
      <c r="Q503" s="61">
        <f>IFERROR(IFERROR(INDEX('Infos Clientes'!$A$2:$V$9884,MATCH($C503,'Infos Clientes'!$B$2:$B$9884,0),MATCH(Q$8,'Infos Clientes'!$A$2:$V$2,0)),"")
+IF(OR(INDEX('Infos Clientes'!$A$2:$V$9884,MATCH($C503,'Infos Clientes'!$B$2:$B$9884,0),MATCH("Tempo de Fidelidade (meses)",'Infos Clientes'!$A$2:$V$2,0))=0,R503&gt;=MAX(R:R)),0,
ROUND((MAX(R:R)-R503)/(365/12),0)),"")</f>
        <v>0</v>
      </c>
      <c r="R503" s="111">
        <v>45778</v>
      </c>
      <c r="S503" s="63">
        <v>0.03</v>
      </c>
      <c r="T503" s="113" t="str">
        <f>IF($H503="GIROSSOL II",AP503/INDEX('Resumo Operacional'!$A$1:$P$1103,17,MATCH('Detalhe Por UC'!$R503,'Resumo Operacional'!$A$1:$P$1,0)),
IF($H503="GIROSSOL II e III",AP503/INDEX('Resumo Operacional'!$A$1:$P$1103,17,MATCH('Detalhe Por UC'!$R503,'Resumo Operacional'!$A$1:$P$1,0)),
""))</f>
        <v/>
      </c>
      <c r="U503" s="113">
        <f>IF($H503="GIROSSOL III",AP503/INDEX('Resumo Operacional'!$A$1:$P$1103,53,MATCH('Detalhe Por UC'!$R503,'Resumo Operacional'!$A$1:$P$1,0)),
IF($H503="GIROSSOL II e III",AP503/INDEX('Resumo Operacional'!$A$1:$P$1103,53,MATCH('Detalhe Por UC'!$R503,'Resumo Operacional'!$A$1:$P$1,0)),
""))</f>
        <v>6.8952476994831716E-2</v>
      </c>
      <c r="V503" s="45"/>
      <c r="X503" s="18">
        <v>1.1339542583849407</v>
      </c>
      <c r="Y503" s="18">
        <v>0</v>
      </c>
      <c r="Z503" s="18">
        <v>0.97704042553191506</v>
      </c>
      <c r="AA503" s="18">
        <v>0</v>
      </c>
      <c r="AB503" s="143">
        <v>347</v>
      </c>
      <c r="AC503" s="143">
        <v>0</v>
      </c>
      <c r="AD503" s="143">
        <v>300</v>
      </c>
      <c r="AE503" s="35"/>
      <c r="AF503" s="143">
        <v>285</v>
      </c>
      <c r="AG503" s="143">
        <v>0</v>
      </c>
      <c r="AH503" s="48">
        <v>37</v>
      </c>
      <c r="AI503" s="143">
        <v>0</v>
      </c>
      <c r="AJ503" s="143">
        <v>0</v>
      </c>
      <c r="AN503" s="71">
        <f t="shared" si="268"/>
        <v>247</v>
      </c>
      <c r="AO503" s="71">
        <f t="shared" si="269"/>
        <v>0</v>
      </c>
      <c r="AP503" s="71">
        <f t="shared" si="270"/>
        <v>547</v>
      </c>
      <c r="AQ503" s="72">
        <f>IF(OR($H503="GIROSSOL II",$H503="GIROSSOL II e III"),INDEX('Resumo Operacional'!$A$1:$P$1103,MATCH("Energia Injetada prevista total Fatura da Usina (TUSD)",'Resumo Operacional'!$B$1:$B$1103,0),MATCH('Detalhe Por UC'!$R503,'Resumo Operacional'!$A$1:$P$1,0))*$S503,INDEX('Resumo Operacional'!$A$1:$P$1103,53,MATCH('Detalhe Por UC'!$R503,'Resumo Operacional'!$A$1:$P$1,0))*$S503)</f>
        <v>237.98999999999998</v>
      </c>
      <c r="AR503" s="71">
        <f t="shared" si="271"/>
        <v>309.01</v>
      </c>
      <c r="AS503" s="73">
        <f t="shared" si="272"/>
        <v>137.36999999999989</v>
      </c>
      <c r="AT503" s="74">
        <f t="shared" si="273"/>
        <v>137.36999999999989</v>
      </c>
      <c r="AU503" s="74">
        <f t="shared" si="274"/>
        <v>0.82012659267888943</v>
      </c>
      <c r="AV503" s="74">
        <f t="shared" si="275"/>
        <v>219.83409574468087</v>
      </c>
      <c r="AW503" s="74">
        <f t="shared" si="276"/>
        <v>0</v>
      </c>
      <c r="AX503" s="74">
        <f t="shared" si="277"/>
        <v>293.11212765957453</v>
      </c>
      <c r="AY503" s="74">
        <f t="shared" si="278"/>
        <v>219.83</v>
      </c>
      <c r="AZ503" s="49">
        <v>219.83</v>
      </c>
      <c r="BA503" s="49">
        <v>219.83</v>
      </c>
      <c r="BB503" s="117">
        <v>219.83</v>
      </c>
      <c r="BC503" s="73" t="str">
        <f t="shared" si="279"/>
        <v/>
      </c>
      <c r="BD503" s="73">
        <f t="shared" si="280"/>
        <v>430.48212765957442</v>
      </c>
      <c r="BE503" s="73">
        <f t="shared" si="281"/>
        <v>357.20409574468079</v>
      </c>
      <c r="BF503" s="77">
        <f t="shared" si="282"/>
        <v>73.28</v>
      </c>
      <c r="BG503" s="77">
        <f t="shared" si="283"/>
        <v>21.983999999999998</v>
      </c>
      <c r="BH503" s="77">
        <f t="shared" si="284"/>
        <v>293.11212765957453</v>
      </c>
      <c r="BI503" s="78">
        <f t="shared" si="285"/>
        <v>0.25</v>
      </c>
      <c r="BJ503" s="79">
        <f t="shared" si="286"/>
        <v>0.17022774069252389</v>
      </c>
      <c r="BK503" s="80">
        <f t="shared" si="287"/>
        <v>357.19999999999993</v>
      </c>
      <c r="BL503" s="80">
        <f t="shared" si="288"/>
        <v>73.282127659574485</v>
      </c>
      <c r="BM503" s="79">
        <f t="shared" si="289"/>
        <v>0.17023268319637661</v>
      </c>
      <c r="BN503" s="81">
        <f t="shared" si="290"/>
        <v>0.73276666666666668</v>
      </c>
      <c r="BO503" s="82">
        <f t="shared" si="291"/>
        <v>219.83</v>
      </c>
      <c r="BP503" s="81">
        <f t="shared" si="292"/>
        <v>0.73276666666666668</v>
      </c>
      <c r="BQ503" s="81">
        <f t="shared" si="293"/>
        <v>0.8896804995196923</v>
      </c>
      <c r="BR503" s="81">
        <f t="shared" si="294"/>
        <v>1.1339542583849407</v>
      </c>
      <c r="BS503" s="82">
        <f t="shared" si="295"/>
        <v>300</v>
      </c>
      <c r="BT503" s="82">
        <f t="shared" si="296"/>
        <v>340.18627751548223</v>
      </c>
      <c r="BU503" s="82">
        <f t="shared" si="297"/>
        <v>293.11212765957453</v>
      </c>
      <c r="BW503" s="82">
        <f>IFERROR(INDEX('Infos Clientes'!$T:$T,MATCH('Detalhe Por UC'!$C503,'Infos Clientes'!B:B,0)),"")</f>
        <v>461.45454545454544</v>
      </c>
      <c r="BX503" s="83">
        <f t="shared" si="298"/>
        <v>0</v>
      </c>
      <c r="BY503" s="84">
        <f t="shared" si="299"/>
        <v>0.21541764763347743</v>
      </c>
      <c r="BZ503" s="85">
        <f>IF(_xlfn.MINIFS('Detalhe Por UC'!R:R,'Detalhe Por UC'!C:C,C503,'Detalhe Por UC'!AD:AD,"&gt;"&amp;0)=0,"",_xlfn.MINIFS('Detalhe Por UC'!R:R,'Detalhe Por UC'!C:C,C503,'Detalhe Por UC'!AD:AD,"&gt;"&amp;0))</f>
        <v>45658</v>
      </c>
      <c r="CA503" s="114">
        <f ca="1">IF(OR(S503&gt;0,AD503&gt;0),IFERROR(
SUMIFS(INDIRECT("'Infos Clientes'!$W"&amp;INDEX('Infos Clientes'!$C:$C,MATCH(C503,'Infos Clientes'!$H:$H,0))&amp;":$CZ"&amp;INDEX('Infos Clientes'!$C:$C,MATCH(C503,'Infos Clientes'!$H:$H,0))),'Infos Clientes'!$W$2:$CZ$2,"&gt;"&amp;$R503-365,'Infos Clientes'!$W$2:$CZ$2,"&lt;="&amp;$R503)/
COUNTIFS(INDIRECT("'Infos Clientes'!$W"&amp;INDEX('Infos Clientes'!$C:$C,MATCH(C503,'Infos Clientes'!$H:$H,0))&amp;":$CZ"&amp;INDEX('Infos Clientes'!$C:$C,MATCH(C503,'Infos Clientes'!$H:$H,0))),"&gt;="&amp;0,'Infos Clientes'!$W$2:$CZ$2,"&gt;"&amp;$R503-365,'Infos Clientes'!$W$2:$CZ$2,"&lt;="&amp;$R503),""),"")</f>
        <v>429.83333333333331</v>
      </c>
      <c r="CB503" s="87">
        <f>VLOOKUP(C503,'Infos Clientes'!B:L,11,0)</f>
        <v>0</v>
      </c>
      <c r="CC503" s="88" t="str">
        <f t="shared" si="300"/>
        <v>A Unidade Consumidora 10/81222-2 economizou R$73,28 na fatura referente à mai/2025  consumindo 300 kWh em créditos de energia renovável conforme fatura de energia. A economia foi de 25% em relação ao que seria pago para a Energisa considerando os créditos consumidos. Atenção: Mantenha as contas da Energisa em dia para evitar cortes.</v>
      </c>
      <c r="CD503" s="40" t="s">
        <v>249</v>
      </c>
      <c r="CE503" s="18">
        <v>137.37</v>
      </c>
      <c r="CF503" s="115">
        <f t="shared" si="301"/>
        <v>0</v>
      </c>
      <c r="CG503" t="s">
        <v>358</v>
      </c>
    </row>
    <row r="504" spans="1:85" ht="16.2" hidden="1" customHeight="1" x14ac:dyDescent="0.3">
      <c r="A504" s="105" t="str">
        <f>INDEX('Infos Clientes'!$D:$D,MATCH('Detalhe Por UC'!C504,'Infos Clientes'!B:B,0))</f>
        <v>IGREJA DO EVANGELHO QUADRANGULAR</v>
      </c>
      <c r="B504" s="106" t="str">
        <f>INDEX('Infos Clientes'!$F:$F,MATCH('Detalhe Por UC'!C504,'Infos Clientes'!B:B,0))</f>
        <v>62.955.505/0161-60</v>
      </c>
      <c r="C504" s="44" t="s">
        <v>163</v>
      </c>
      <c r="D504" t="s">
        <v>351</v>
      </c>
      <c r="E504" s="1" t="s">
        <v>352</v>
      </c>
      <c r="F504" s="56" t="str">
        <f>INDEX('Infos Clientes'!$I:$I,MATCH('Detalhe Por UC'!C504,'Infos Clientes'!B:B,0))</f>
        <v>BT</v>
      </c>
      <c r="G504" s="56" t="str">
        <f>INDEX('Infos Clientes'!$J:$J,MATCH('Detalhe Por UC'!C504,'Infos Clientes'!B:B,0))</f>
        <v>trifasico</v>
      </c>
      <c r="H504" s="108" t="s">
        <v>138</v>
      </c>
      <c r="I504" s="58">
        <f>IFERROR(VLOOKUP(C504,'Infos Clientes'!B:E,4,),"")</f>
        <v>302</v>
      </c>
      <c r="J504" s="109">
        <v>0.25</v>
      </c>
      <c r="K504" s="59">
        <f>INDEX('Infos Clientes'!$M:$M,MATCH('Detalhe Por UC'!C504,'Infos Clientes'!B:B,0))</f>
        <v>0.25</v>
      </c>
      <c r="L504" s="125">
        <v>0</v>
      </c>
      <c r="M504" s="56">
        <f>INDEX('Infos Clientes'!$N:$N,MATCH('Detalhe Por UC'!C504,'Infos Clientes'!B:B,0))</f>
        <v>0</v>
      </c>
      <c r="N504" s="56">
        <f t="shared" si="266"/>
        <v>0</v>
      </c>
      <c r="O504" s="56">
        <f t="shared" si="267"/>
        <v>9</v>
      </c>
      <c r="P504" s="56">
        <f t="shared" si="302"/>
        <v>0</v>
      </c>
      <c r="Q504" s="61">
        <f>IFERROR(IFERROR(INDEX('Infos Clientes'!$A$2:$V$9884,MATCH($C504,'Infos Clientes'!$B$2:$B$9884,0),MATCH(Q$8,'Infos Clientes'!$A$2:$V$2,0)),"")
+IF(OR(INDEX('Infos Clientes'!$A$2:$V$9884,MATCH($C504,'Infos Clientes'!$B$2:$B$9884,0),MATCH("Tempo de Fidelidade (meses)",'Infos Clientes'!$A$2:$V$2,0))=0,R504&gt;=MAX(R:R)),0,
ROUND((MAX(R:R)-R504)/(365/12),0)),"")</f>
        <v>0</v>
      </c>
      <c r="R504" s="111">
        <v>45778</v>
      </c>
      <c r="S504" s="63">
        <v>0.02</v>
      </c>
      <c r="T504" s="113" t="str">
        <f>IF($H504="GIROSSOL II",AP504/INDEX('Resumo Operacional'!$A$1:$P$1103,17,MATCH('Detalhe Por UC'!$R504,'Resumo Operacional'!$A$1:$P$1,0)),
IF($H504="GIROSSOL II e III",AP504/INDEX('Resumo Operacional'!$A$1:$P$1103,17,MATCH('Detalhe Por UC'!$R504,'Resumo Operacional'!$A$1:$P$1,0)),
""))</f>
        <v/>
      </c>
      <c r="U504" s="113">
        <f>IF($H504="GIROSSOL III",AP504/INDEX('Resumo Operacional'!$A$1:$P$1103,53,MATCH('Detalhe Por UC'!$R504,'Resumo Operacional'!$A$1:$P$1,0)),
IF($H504="GIROSSOL II e III",AP504/INDEX('Resumo Operacional'!$A$1:$P$1103,53,MATCH('Detalhe Por UC'!$R504,'Resumo Operacional'!$A$1:$P$1,0)),
""))</f>
        <v>2.59674776251103E-2</v>
      </c>
      <c r="V504" s="45"/>
      <c r="X504" s="18">
        <v>1.1288110195914189</v>
      </c>
      <c r="Y504" s="18">
        <v>0</v>
      </c>
      <c r="Z504" s="18">
        <v>0.97190172032021804</v>
      </c>
      <c r="AA504" s="18">
        <v>0</v>
      </c>
      <c r="AB504" s="143">
        <v>377</v>
      </c>
      <c r="AC504" s="143">
        <v>0</v>
      </c>
      <c r="AD504" s="143">
        <v>206</v>
      </c>
      <c r="AE504" s="35"/>
      <c r="AF504" s="143">
        <v>0</v>
      </c>
      <c r="AG504" s="143">
        <v>0</v>
      </c>
      <c r="AH504" s="48">
        <v>86.11</v>
      </c>
      <c r="AI504" s="143">
        <v>0</v>
      </c>
      <c r="AJ504" s="143">
        <v>0</v>
      </c>
      <c r="AN504" s="71">
        <f t="shared" si="268"/>
        <v>0</v>
      </c>
      <c r="AO504" s="71">
        <f t="shared" si="269"/>
        <v>0</v>
      </c>
      <c r="AP504" s="71">
        <f t="shared" si="270"/>
        <v>206</v>
      </c>
      <c r="AQ504" s="72">
        <f>IF(OR($H504="GIROSSOL II",$H504="GIROSSOL II e III"),INDEX('Resumo Operacional'!$A$1:$P$1103,MATCH("Energia Injetada prevista total Fatura da Usina (TUSD)",'Resumo Operacional'!$B$1:$B$1103,0),MATCH('Detalhe Por UC'!$R504,'Resumo Operacional'!$A$1:$P$1,0))*$S504,INDEX('Resumo Operacional'!$A$1:$P$1103,53,MATCH('Detalhe Por UC'!$R504,'Resumo Operacional'!$A$1:$P$1,0))*$S504)</f>
        <v>158.66</v>
      </c>
      <c r="AR504" s="71">
        <f t="shared" si="271"/>
        <v>47.34</v>
      </c>
      <c r="AS504" s="73">
        <f t="shared" si="272"/>
        <v>311.46000000000004</v>
      </c>
      <c r="AT504" s="74">
        <f t="shared" si="273"/>
        <v>311.46000000000004</v>
      </c>
      <c r="AU504" s="74">
        <f t="shared" si="274"/>
        <v>0.81499242104901715</v>
      </c>
      <c r="AV504" s="74">
        <f t="shared" si="275"/>
        <v>150.15881578947369</v>
      </c>
      <c r="AW504" s="74">
        <f t="shared" si="276"/>
        <v>0</v>
      </c>
      <c r="AX504" s="74">
        <f t="shared" si="277"/>
        <v>200.21175438596492</v>
      </c>
      <c r="AY504" s="74">
        <f t="shared" si="278"/>
        <v>150.16</v>
      </c>
      <c r="AZ504" s="49">
        <v>150.16</v>
      </c>
      <c r="BA504" s="49">
        <v>150.16</v>
      </c>
      <c r="BB504" s="49">
        <v>150.16</v>
      </c>
      <c r="BC504" s="73" t="str">
        <f t="shared" si="279"/>
        <v/>
      </c>
      <c r="BD504" s="73">
        <f t="shared" si="280"/>
        <v>511.67175438596496</v>
      </c>
      <c r="BE504" s="73">
        <f t="shared" si="281"/>
        <v>461.61881578947373</v>
      </c>
      <c r="BF504" s="77">
        <f t="shared" si="282"/>
        <v>50.05</v>
      </c>
      <c r="BG504" s="77">
        <f t="shared" si="283"/>
        <v>15.014999999999999</v>
      </c>
      <c r="BH504" s="77">
        <f t="shared" si="284"/>
        <v>200.21175438596492</v>
      </c>
      <c r="BI504" s="78">
        <f t="shared" si="285"/>
        <v>0.25</v>
      </c>
      <c r="BJ504" s="79">
        <f t="shared" si="286"/>
        <v>9.7816616944319756E-2</v>
      </c>
      <c r="BK504" s="80">
        <f t="shared" si="287"/>
        <v>461.62</v>
      </c>
      <c r="BL504" s="80">
        <f t="shared" si="288"/>
        <v>50.051754385964955</v>
      </c>
      <c r="BM504" s="79">
        <f t="shared" si="289"/>
        <v>9.7820045677584622E-2</v>
      </c>
      <c r="BN504" s="81">
        <f t="shared" si="290"/>
        <v>0.72893203883495139</v>
      </c>
      <c r="BO504" s="82">
        <f t="shared" si="291"/>
        <v>150.16</v>
      </c>
      <c r="BP504" s="81">
        <f t="shared" si="292"/>
        <v>0.72893203883495139</v>
      </c>
      <c r="BQ504" s="81">
        <f t="shared" si="293"/>
        <v>0.88584133810615229</v>
      </c>
      <c r="BR504" s="81">
        <f t="shared" si="294"/>
        <v>1.1288110195914189</v>
      </c>
      <c r="BS504" s="82">
        <f t="shared" si="295"/>
        <v>206</v>
      </c>
      <c r="BT504" s="82">
        <f t="shared" si="296"/>
        <v>232.53507003583229</v>
      </c>
      <c r="BU504" s="82">
        <f t="shared" si="297"/>
        <v>200.21175438596492</v>
      </c>
      <c r="BW504" s="82">
        <f>IFERROR(INDEX('Infos Clientes'!$T:$T,MATCH('Detalhe Por UC'!$C504,'Infos Clientes'!B:B,0)),"")</f>
        <v>393</v>
      </c>
      <c r="BX504" s="83">
        <f t="shared" si="298"/>
        <v>0</v>
      </c>
      <c r="BY504" s="84">
        <f t="shared" si="299"/>
        <v>0.21524389580570469</v>
      </c>
      <c r="BZ504" s="85">
        <f>IF(_xlfn.MINIFS('Detalhe Por UC'!R:R,'Detalhe Por UC'!C:C,C504,'Detalhe Por UC'!AD:AD,"&gt;"&amp;0)=0,"",_xlfn.MINIFS('Detalhe Por UC'!R:R,'Detalhe Por UC'!C:C,C504,'Detalhe Por UC'!AD:AD,"&gt;"&amp;0))</f>
        <v>45658</v>
      </c>
      <c r="CA504" s="114">
        <f ca="1">IF(OR(S504&gt;0,AD504&gt;0),IFERROR(
SUMIFS(INDIRECT("'Infos Clientes'!$W"&amp;INDEX('Infos Clientes'!$C:$C,MATCH(C504,'Infos Clientes'!$H:$H,0))&amp;":$CZ"&amp;INDEX('Infos Clientes'!$C:$C,MATCH(C504,'Infos Clientes'!$H:$H,0))),'Infos Clientes'!$W$2:$CZ$2,"&gt;"&amp;$R504-365,'Infos Clientes'!$W$2:$CZ$2,"&lt;="&amp;$R504)/
COUNTIFS(INDIRECT("'Infos Clientes'!$W"&amp;INDEX('Infos Clientes'!$C:$C,MATCH(C504,'Infos Clientes'!$H:$H,0))&amp;":$CZ"&amp;INDEX('Infos Clientes'!$C:$C,MATCH(C504,'Infos Clientes'!$H:$H,0))),"&gt;="&amp;0,'Infos Clientes'!$W$2:$CZ$2,"&gt;"&amp;$R504-365,'Infos Clientes'!$W$2:$CZ$2,"&lt;="&amp;$R504),""),"")</f>
        <v>242.16666666666666</v>
      </c>
      <c r="CB504" s="87">
        <f>VLOOKUP(C504,'Infos Clientes'!B:L,11,0)</f>
        <v>0</v>
      </c>
      <c r="CC504" s="88" t="str">
        <f t="shared" si="300"/>
        <v>A Unidade Consumidora 10/1674177-9 economizou R$50,05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504" s="40" t="s">
        <v>56</v>
      </c>
      <c r="CE504" s="18">
        <v>311.45999999999998</v>
      </c>
      <c r="CF504" s="115">
        <f t="shared" si="301"/>
        <v>0</v>
      </c>
    </row>
    <row r="505" spans="1:85" ht="16.2" hidden="1" customHeight="1" x14ac:dyDescent="0.3">
      <c r="A505" s="105" t="str">
        <f>INDEX('Infos Clientes'!$D:$D,MATCH('Detalhe Por UC'!C505,'Infos Clientes'!B:B,0))</f>
        <v>IGREJA DO EVANGELHO QUADRANGULAR</v>
      </c>
      <c r="B505" s="106" t="str">
        <f>INDEX('Infos Clientes'!$F:$F,MATCH('Detalhe Por UC'!C505,'Infos Clientes'!B:B,0))</f>
        <v>62.955.505/1364-92</v>
      </c>
      <c r="C505" s="44" t="s">
        <v>223</v>
      </c>
      <c r="D505" t="s">
        <v>351</v>
      </c>
      <c r="E505" s="1" t="s">
        <v>352</v>
      </c>
      <c r="F505" s="56" t="str">
        <f>INDEX('Infos Clientes'!$I:$I,MATCH('Detalhe Por UC'!C505,'Infos Clientes'!B:B,0))</f>
        <v>BT</v>
      </c>
      <c r="G505" s="56" t="str">
        <f>INDEX('Infos Clientes'!$J:$J,MATCH('Detalhe Por UC'!C505,'Infos Clientes'!B:B,0))</f>
        <v>trifasico</v>
      </c>
      <c r="H505" s="108" t="s">
        <v>138</v>
      </c>
      <c r="I505" s="58">
        <f>IFERROR(VLOOKUP(C505,'Infos Clientes'!B:E,4,),"")</f>
        <v>319</v>
      </c>
      <c r="J505" s="109">
        <v>0.25</v>
      </c>
      <c r="K505" s="59">
        <f>INDEX('Infos Clientes'!$M:$M,MATCH('Detalhe Por UC'!C505,'Infos Clientes'!B:B,0))</f>
        <v>0.25</v>
      </c>
      <c r="L505" s="125">
        <v>0</v>
      </c>
      <c r="M505" s="56">
        <f>INDEX('Infos Clientes'!$N:$N,MATCH('Detalhe Por UC'!C505,'Infos Clientes'!B:B,0))</f>
        <v>0</v>
      </c>
      <c r="N505" s="56">
        <f t="shared" si="266"/>
        <v>0</v>
      </c>
      <c r="O505" s="56">
        <f t="shared" si="267"/>
        <v>9</v>
      </c>
      <c r="P505" s="56">
        <f t="shared" si="302"/>
        <v>0</v>
      </c>
      <c r="Q505" s="61">
        <f>IFERROR(IFERROR(INDEX('Infos Clientes'!$A$2:$V$9884,MATCH($C505,'Infos Clientes'!$B$2:$B$9884,0),MATCH(Q$8,'Infos Clientes'!$A$2:$V$2,0)),"")
+IF(OR(INDEX('Infos Clientes'!$A$2:$V$9884,MATCH($C505,'Infos Clientes'!$B$2:$B$9884,0),MATCH("Tempo de Fidelidade (meses)",'Infos Clientes'!$A$2:$V$2,0))=0,R505&gt;=MAX(R:R)),0,
ROUND((MAX(R:R)-R505)/(365/12),0)),"")</f>
        <v>0</v>
      </c>
      <c r="R505" s="111">
        <v>45778</v>
      </c>
      <c r="S505" s="63">
        <v>0.03</v>
      </c>
      <c r="T505" s="113" t="str">
        <f>IF($H505="GIROSSOL II",AP505/INDEX('Resumo Operacional'!$A$1:$P$1103,17,MATCH('Detalhe Por UC'!$R505,'Resumo Operacional'!$A$1:$P$1,0)),
IF($H505="GIROSSOL II e III",AP505/INDEX('Resumo Operacional'!$A$1:$P$1103,17,MATCH('Detalhe Por UC'!$R505,'Resumo Operacional'!$A$1:$P$1,0)),
""))</f>
        <v/>
      </c>
      <c r="U505" s="113">
        <f>IF($H505="GIROSSOL III",AP505/INDEX('Resumo Operacional'!$A$1:$P$1103,53,MATCH('Detalhe Por UC'!$R505,'Resumo Operacional'!$A$1:$P$1,0)),
IF($H505="GIROSSOL II e III",AP505/INDEX('Resumo Operacional'!$A$1:$P$1103,53,MATCH('Detalhe Por UC'!$R505,'Resumo Operacional'!$A$1:$P$1,0)),
""))</f>
        <v>6.8952476994831716E-2</v>
      </c>
      <c r="V505" s="45"/>
      <c r="X505" s="18">
        <v>1.1314482276119402</v>
      </c>
      <c r="Y505" s="18">
        <v>0</v>
      </c>
      <c r="Z505" s="18">
        <v>0.97459865196078421</v>
      </c>
      <c r="AA505" s="18">
        <v>0</v>
      </c>
      <c r="AB505" s="143">
        <v>268</v>
      </c>
      <c r="AC505" s="143">
        <v>0</v>
      </c>
      <c r="AD505" s="143">
        <v>204</v>
      </c>
      <c r="AE505" s="35"/>
      <c r="AF505" s="143">
        <v>503</v>
      </c>
      <c r="AG505" s="143">
        <v>0</v>
      </c>
      <c r="AH505" s="48">
        <v>59.51</v>
      </c>
      <c r="AI505" s="143">
        <v>0</v>
      </c>
      <c r="AJ505" s="143">
        <v>0</v>
      </c>
      <c r="AN505" s="71">
        <f t="shared" si="268"/>
        <v>343</v>
      </c>
      <c r="AO505" s="71">
        <f t="shared" si="269"/>
        <v>0</v>
      </c>
      <c r="AP505" s="71">
        <f t="shared" si="270"/>
        <v>547</v>
      </c>
      <c r="AQ505" s="72">
        <f>IF(OR($H505="GIROSSOL II",$H505="GIROSSOL II e III"),INDEX('Resumo Operacional'!$A$1:$P$1103,MATCH("Energia Injetada prevista total Fatura da Usina (TUSD)",'Resumo Operacional'!$B$1:$B$1103,0),MATCH('Detalhe Por UC'!$R505,'Resumo Operacional'!$A$1:$P$1,0))*$S505,INDEX('Resumo Operacional'!$A$1:$P$1103,53,MATCH('Detalhe Por UC'!$R505,'Resumo Operacional'!$A$1:$P$1,0))*$S505)</f>
        <v>237.98999999999998</v>
      </c>
      <c r="AR505" s="71">
        <f t="shared" si="271"/>
        <v>309.01</v>
      </c>
      <c r="AS505" s="73">
        <f t="shared" si="272"/>
        <v>163.92</v>
      </c>
      <c r="AT505" s="74">
        <f t="shared" si="273"/>
        <v>163.92</v>
      </c>
      <c r="AU505" s="74">
        <f t="shared" si="274"/>
        <v>0.81774907630962823</v>
      </c>
      <c r="AV505" s="74">
        <f t="shared" si="275"/>
        <v>149.11359374999998</v>
      </c>
      <c r="AW505" s="74">
        <f t="shared" si="276"/>
        <v>0</v>
      </c>
      <c r="AX505" s="74">
        <f t="shared" si="277"/>
        <v>198.81812499999998</v>
      </c>
      <c r="AY505" s="74">
        <f t="shared" si="278"/>
        <v>149.11000000000001</v>
      </c>
      <c r="AZ505" s="49">
        <v>149.11000000000001</v>
      </c>
      <c r="BA505" s="49">
        <v>149.11000000000001</v>
      </c>
      <c r="BB505" s="117">
        <v>149.11000000000001</v>
      </c>
      <c r="BC505" s="73" t="str">
        <f t="shared" si="279"/>
        <v/>
      </c>
      <c r="BD505" s="73">
        <f t="shared" si="280"/>
        <v>362.73812499999997</v>
      </c>
      <c r="BE505" s="73">
        <f t="shared" si="281"/>
        <v>313.03359374999997</v>
      </c>
      <c r="BF505" s="77">
        <f t="shared" si="282"/>
        <v>49.7</v>
      </c>
      <c r="BG505" s="77">
        <f t="shared" si="283"/>
        <v>14.91</v>
      </c>
      <c r="BH505" s="77">
        <f t="shared" si="284"/>
        <v>198.81812499999998</v>
      </c>
      <c r="BI505" s="78">
        <f t="shared" si="285"/>
        <v>0.25</v>
      </c>
      <c r="BJ505" s="79">
        <f t="shared" si="286"/>
        <v>0.13701344461655363</v>
      </c>
      <c r="BK505" s="80">
        <f t="shared" si="287"/>
        <v>313.02999999999997</v>
      </c>
      <c r="BL505" s="80">
        <f t="shared" si="288"/>
        <v>49.708124999999995</v>
      </c>
      <c r="BM505" s="79">
        <f t="shared" si="289"/>
        <v>0.13703584369577915</v>
      </c>
      <c r="BN505" s="81">
        <f t="shared" si="290"/>
        <v>0.73093137254901963</v>
      </c>
      <c r="BO505" s="82">
        <f t="shared" si="291"/>
        <v>149.11000000000001</v>
      </c>
      <c r="BP505" s="81">
        <f t="shared" si="292"/>
        <v>0.73093137254901963</v>
      </c>
      <c r="BQ505" s="81">
        <f t="shared" si="293"/>
        <v>0.88778094820017561</v>
      </c>
      <c r="BR505" s="81">
        <f t="shared" si="294"/>
        <v>1.1314482276119402</v>
      </c>
      <c r="BS505" s="82">
        <f t="shared" si="295"/>
        <v>204</v>
      </c>
      <c r="BT505" s="82">
        <f t="shared" si="296"/>
        <v>230.8154384328358</v>
      </c>
      <c r="BU505" s="82">
        <f t="shared" si="297"/>
        <v>198.81812499999998</v>
      </c>
      <c r="BW505" s="82">
        <f>IFERROR(INDEX('Infos Clientes'!$T:$T,MATCH('Detalhe Por UC'!$C505,'Infos Clientes'!B:B,0)),"")</f>
        <v>315</v>
      </c>
      <c r="BX505" s="83">
        <f t="shared" si="298"/>
        <v>0</v>
      </c>
      <c r="BY505" s="84">
        <f t="shared" si="299"/>
        <v>0.21535875302580496</v>
      </c>
      <c r="BZ505" s="85">
        <f>IF(_xlfn.MINIFS('Detalhe Por UC'!R:R,'Detalhe Por UC'!C:C,C505,'Detalhe Por UC'!AD:AD,"&gt;"&amp;0)=0,"",_xlfn.MINIFS('Detalhe Por UC'!R:R,'Detalhe Por UC'!C:C,C505,'Detalhe Por UC'!AD:AD,"&gt;"&amp;0))</f>
        <v>45658</v>
      </c>
      <c r="CA505" s="114">
        <f ca="1">IF(OR(S505&gt;0,AD505&gt;0),IFERROR(
SUMIFS(INDIRECT("'Infos Clientes'!$W"&amp;INDEX('Infos Clientes'!$C:$C,MATCH(C505,'Infos Clientes'!$H:$H,0))&amp;":$CZ"&amp;INDEX('Infos Clientes'!$C:$C,MATCH(C505,'Infos Clientes'!$H:$H,0))),'Infos Clientes'!$W$2:$CZ$2,"&gt;"&amp;$R505-365,'Infos Clientes'!$W$2:$CZ$2,"&lt;="&amp;$R505)/
COUNTIFS(INDIRECT("'Infos Clientes'!$W"&amp;INDEX('Infos Clientes'!$C:$C,MATCH(C505,'Infos Clientes'!$H:$H,0))&amp;":$CZ"&amp;INDEX('Infos Clientes'!$C:$C,MATCH(C505,'Infos Clientes'!$H:$H,0))),"&gt;="&amp;0,'Infos Clientes'!$W$2:$CZ$2,"&gt;"&amp;$R505-365,'Infos Clientes'!$W$2:$CZ$2,"&lt;="&amp;$R505),""),"")</f>
        <v>303.25</v>
      </c>
      <c r="CB505" s="87">
        <f>VLOOKUP(C505,'Infos Clientes'!B:L,11,0)</f>
        <v>0</v>
      </c>
      <c r="CC505" s="88" t="str">
        <f t="shared" si="300"/>
        <v>A Unidade Consumidora 10/72605-9 economizou R$49,7 na fatura referente à mai/2025  consumindo 204 kWh em créditos de energia renovável conforme fatura de energia. A economia foi de 25% em relação ao que seria pago para a Energisa considerando os créditos consumidos. Atenção: Mantenha as contas da Energisa em dia para evitar cortes.</v>
      </c>
      <c r="CD505" s="40" t="s">
        <v>249</v>
      </c>
      <c r="CE505" s="18">
        <v>163.92</v>
      </c>
      <c r="CF505" s="115">
        <f t="shared" si="301"/>
        <v>0</v>
      </c>
      <c r="CG505" t="s">
        <v>358</v>
      </c>
    </row>
    <row r="506" spans="1:85" ht="16.2" hidden="1" customHeight="1" x14ac:dyDescent="0.3">
      <c r="A506" s="105" t="str">
        <f>INDEX('Infos Clientes'!$D:$D,MATCH('Detalhe Por UC'!C506,'Infos Clientes'!B:B,0))</f>
        <v>IGREJA DO EVANGELHO QUADRANGULAR</v>
      </c>
      <c r="B506" s="106" t="str">
        <f>INDEX('Infos Clientes'!$F:$F,MATCH('Detalhe Por UC'!C506,'Infos Clientes'!B:B,0))</f>
        <v>62.955.505/1775-04</v>
      </c>
      <c r="C506" s="44" t="s">
        <v>199</v>
      </c>
      <c r="D506" t="s">
        <v>351</v>
      </c>
      <c r="E506" s="1" t="s">
        <v>352</v>
      </c>
      <c r="F506" s="56" t="str">
        <f>INDEX('Infos Clientes'!$I:$I,MATCH('Detalhe Por UC'!C506,'Infos Clientes'!B:B,0))</f>
        <v>BT</v>
      </c>
      <c r="G506" s="56" t="str">
        <f>INDEX('Infos Clientes'!$J:$J,MATCH('Detalhe Por UC'!C506,'Infos Clientes'!B:B,0))</f>
        <v>bifasico</v>
      </c>
      <c r="H506" s="108" t="s">
        <v>138</v>
      </c>
      <c r="I506" s="58">
        <f>IFERROR(VLOOKUP(C506,'Infos Clientes'!B:E,4,),"")</f>
        <v>319</v>
      </c>
      <c r="J506" s="109">
        <v>0.25</v>
      </c>
      <c r="K506" s="59">
        <f>INDEX('Infos Clientes'!$M:$M,MATCH('Detalhe Por UC'!C506,'Infos Clientes'!B:B,0))</f>
        <v>0.25</v>
      </c>
      <c r="L506" s="125">
        <v>0</v>
      </c>
      <c r="M506" s="56">
        <f>INDEX('Infos Clientes'!$N:$N,MATCH('Detalhe Por UC'!C506,'Infos Clientes'!B:B,0))</f>
        <v>0</v>
      </c>
      <c r="N506" s="56">
        <f t="shared" si="266"/>
        <v>0</v>
      </c>
      <c r="O506" s="56">
        <f t="shared" si="267"/>
        <v>5</v>
      </c>
      <c r="P506" s="56">
        <f t="shared" si="302"/>
        <v>0</v>
      </c>
      <c r="Q506" s="61">
        <f>IFERROR(IFERROR(INDEX('Infos Clientes'!$A$2:$V$9884,MATCH($C506,'Infos Clientes'!$B$2:$B$9884,0),MATCH(Q$8,'Infos Clientes'!$A$2:$V$2,0)),"")
+IF(OR(INDEX('Infos Clientes'!$A$2:$V$9884,MATCH($C506,'Infos Clientes'!$B$2:$B$9884,0),MATCH("Tempo de Fidelidade (meses)",'Infos Clientes'!$A$2:$V$2,0))=0,R506&gt;=MAX(R:R)),0,
ROUND((MAX(R:R)-R506)/(365/12),0)),"")</f>
        <v>0</v>
      </c>
      <c r="R506" s="111">
        <v>45778</v>
      </c>
      <c r="S506" s="63">
        <v>0.02</v>
      </c>
      <c r="T506" s="113" t="str">
        <f>IF($H506="GIROSSOL II",AP506/INDEX('Resumo Operacional'!$A$1:$P$1103,17,MATCH('Detalhe Por UC'!$R506,'Resumo Operacional'!$A$1:$P$1,0)),
IF($H506="GIROSSOL II e III",AP506/INDEX('Resumo Operacional'!$A$1:$P$1103,17,MATCH('Detalhe Por UC'!$R506,'Resumo Operacional'!$A$1:$P$1,0)),
""))</f>
        <v/>
      </c>
      <c r="U506" s="113">
        <f>IF($H506="GIROSSOL III",AP506/INDEX('Resumo Operacional'!$A$1:$P$1103,53,MATCH('Detalhe Por UC'!$R506,'Resumo Operacional'!$A$1:$P$1,0)),
IF($H506="GIROSSOL II e III",AP506/INDEX('Resumo Operacional'!$A$1:$P$1103,53,MATCH('Detalhe Por UC'!$R506,'Resumo Operacional'!$A$1:$P$1,0)),
""))</f>
        <v>2.59674776251103E-2</v>
      </c>
      <c r="V506" s="45"/>
      <c r="X506" s="18">
        <v>1.1246064018350537</v>
      </c>
      <c r="Y506" s="18">
        <v>0</v>
      </c>
      <c r="Z506" s="18">
        <v>0.96955926520919167</v>
      </c>
      <c r="AA506" s="18">
        <v>0</v>
      </c>
      <c r="AB506" s="143">
        <v>345</v>
      </c>
      <c r="AC506" s="143">
        <v>0</v>
      </c>
      <c r="AD506" s="143">
        <v>206</v>
      </c>
      <c r="AE506" s="35"/>
      <c r="AF506" s="143">
        <v>0</v>
      </c>
      <c r="AG506" s="143">
        <v>0</v>
      </c>
      <c r="AH506" s="48">
        <v>80.239999999999995</v>
      </c>
      <c r="AI506" s="143">
        <v>0</v>
      </c>
      <c r="AJ506" s="143">
        <v>0</v>
      </c>
      <c r="AN506" s="71">
        <f t="shared" si="268"/>
        <v>0</v>
      </c>
      <c r="AO506" s="71">
        <f t="shared" si="269"/>
        <v>0</v>
      </c>
      <c r="AP506" s="71">
        <f t="shared" si="270"/>
        <v>206</v>
      </c>
      <c r="AQ506" s="72">
        <f>IF(OR($H506="GIROSSOL II",$H506="GIROSSOL II e III"),INDEX('Resumo Operacional'!$A$1:$P$1103,MATCH("Energia Injetada prevista total Fatura da Usina (TUSD)",'Resumo Operacional'!$B$1:$B$1103,0),MATCH('Detalhe Por UC'!$R506,'Resumo Operacional'!$A$1:$P$1,0))*$S506,INDEX('Resumo Operacional'!$A$1:$P$1103,53,MATCH('Detalhe Por UC'!$R506,'Resumo Operacional'!$A$1:$P$1,0))*$S506)</f>
        <v>158.66</v>
      </c>
      <c r="AR506" s="71">
        <f t="shared" si="271"/>
        <v>47.34</v>
      </c>
      <c r="AS506" s="73">
        <f t="shared" si="272"/>
        <v>268.50000000000006</v>
      </c>
      <c r="AT506" s="74">
        <f t="shared" si="273"/>
        <v>268.50000000000006</v>
      </c>
      <c r="AU506" s="74">
        <f t="shared" si="274"/>
        <v>0.81451212858332966</v>
      </c>
      <c r="AV506" s="74">
        <f t="shared" si="275"/>
        <v>149.7969064748201</v>
      </c>
      <c r="AW506" s="74">
        <f t="shared" si="276"/>
        <v>0</v>
      </c>
      <c r="AX506" s="74">
        <f t="shared" si="277"/>
        <v>199.72920863309349</v>
      </c>
      <c r="AY506" s="74">
        <f t="shared" si="278"/>
        <v>149.80000000000001</v>
      </c>
      <c r="AZ506" s="49">
        <v>149.80000000000001</v>
      </c>
      <c r="BA506" s="49">
        <v>149.80000000000001</v>
      </c>
      <c r="BC506" s="73" t="str">
        <f t="shared" si="279"/>
        <v/>
      </c>
      <c r="BD506" s="73">
        <f t="shared" si="280"/>
        <v>468.22920863309355</v>
      </c>
      <c r="BE506" s="73">
        <f t="shared" si="281"/>
        <v>418.29690647482016</v>
      </c>
      <c r="BF506" s="77">
        <f t="shared" si="282"/>
        <v>49.93</v>
      </c>
      <c r="BG506" s="77">
        <f t="shared" si="283"/>
        <v>14.978999999999999</v>
      </c>
      <c r="BH506" s="77">
        <f t="shared" si="284"/>
        <v>199.72920863309349</v>
      </c>
      <c r="BI506" s="78">
        <f t="shared" si="285"/>
        <v>0.25</v>
      </c>
      <c r="BJ506" s="79">
        <f t="shared" si="286"/>
        <v>0.10663580801753307</v>
      </c>
      <c r="BK506" s="80">
        <f t="shared" si="287"/>
        <v>418.30000000000007</v>
      </c>
      <c r="BL506" s="80">
        <f t="shared" si="288"/>
        <v>49.929208633093481</v>
      </c>
      <c r="BM506" s="79">
        <f t="shared" si="289"/>
        <v>0.10663411789036473</v>
      </c>
      <c r="BN506" s="81">
        <f t="shared" si="290"/>
        <v>0.72718446601941755</v>
      </c>
      <c r="BO506" s="82">
        <f t="shared" si="291"/>
        <v>149.80000000000001</v>
      </c>
      <c r="BP506" s="81">
        <f t="shared" si="292"/>
        <v>0.72718446601941755</v>
      </c>
      <c r="BQ506" s="81">
        <f t="shared" si="293"/>
        <v>0.88223160264527956</v>
      </c>
      <c r="BR506" s="81">
        <f t="shared" si="294"/>
        <v>1.1246064018350537</v>
      </c>
      <c r="BS506" s="82">
        <f t="shared" si="295"/>
        <v>206</v>
      </c>
      <c r="BT506" s="82">
        <f t="shared" si="296"/>
        <v>231.66891877802107</v>
      </c>
      <c r="BU506" s="82">
        <f t="shared" si="297"/>
        <v>199.72920863309349</v>
      </c>
      <c r="BW506" s="82">
        <f>IFERROR(INDEX('Infos Clientes'!$T:$T,MATCH('Detalhe Por UC'!$C506,'Infos Clientes'!B:B,0)),"")</f>
        <v>336.36363636363637</v>
      </c>
      <c r="BX506" s="83">
        <f t="shared" si="298"/>
        <v>0</v>
      </c>
      <c r="BY506" s="84">
        <f t="shared" si="299"/>
        <v>0.21551966874302331</v>
      </c>
      <c r="BZ506" s="85">
        <f>IF(_xlfn.MINIFS('Detalhe Por UC'!R:R,'Detalhe Por UC'!C:C,C506,'Detalhe Por UC'!AD:AD,"&gt;"&amp;0)=0,"",_xlfn.MINIFS('Detalhe Por UC'!R:R,'Detalhe Por UC'!C:C,C506,'Detalhe Por UC'!AD:AD,"&gt;"&amp;0))</f>
        <v>45658</v>
      </c>
      <c r="CA506" s="114">
        <f ca="1">IF(OR(S506&gt;0,AD506&gt;0),IFERROR(
SUMIFS(INDIRECT("'Infos Clientes'!$W"&amp;INDEX('Infos Clientes'!$C:$C,MATCH(C506,'Infos Clientes'!$H:$H,0))&amp;":$CZ"&amp;INDEX('Infos Clientes'!$C:$C,MATCH(C506,'Infos Clientes'!$H:$H,0))),'Infos Clientes'!$W$2:$CZ$2,"&gt;"&amp;$R506-365,'Infos Clientes'!$W$2:$CZ$2,"&lt;="&amp;$R506)/
COUNTIFS(INDIRECT("'Infos Clientes'!$W"&amp;INDEX('Infos Clientes'!$C:$C,MATCH(C506,'Infos Clientes'!$H:$H,0))&amp;":$CZ"&amp;INDEX('Infos Clientes'!$C:$C,MATCH(C506,'Infos Clientes'!$H:$H,0))),"&gt;="&amp;0,'Infos Clientes'!$W$2:$CZ$2,"&gt;"&amp;$R506-365,'Infos Clientes'!$W$2:$CZ$2,"&lt;="&amp;$R506),""),"")</f>
        <v>327.25</v>
      </c>
      <c r="CB506" s="87">
        <f>VLOOKUP(C506,'Infos Clientes'!B:L,11,0)</f>
        <v>0</v>
      </c>
      <c r="CC506" s="88" t="str">
        <f t="shared" si="300"/>
        <v>A Unidade Consumidora 10/40190-1 economizou R$49,93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506" s="40" t="s">
        <v>249</v>
      </c>
      <c r="CE506" s="18">
        <v>268.5</v>
      </c>
      <c r="CF506" s="115">
        <f t="shared" si="301"/>
        <v>0</v>
      </c>
    </row>
    <row r="507" spans="1:85" ht="16.2" hidden="1" customHeight="1" x14ac:dyDescent="0.3">
      <c r="A507" s="105" t="str">
        <f>INDEX('Infos Clientes'!$D:$D,MATCH('Detalhe Por UC'!C507,'Infos Clientes'!B:B,0))</f>
        <v>IGREJA DO EVANGELHO QUADRANGULAR</v>
      </c>
      <c r="B507" s="106" t="str">
        <f>INDEX('Infos Clientes'!$F:$F,MATCH('Detalhe Por UC'!C507,'Infos Clientes'!B:B,0))</f>
        <v>62.955.505/3793-95</v>
      </c>
      <c r="C507" s="44" t="s">
        <v>146</v>
      </c>
      <c r="D507" t="s">
        <v>351</v>
      </c>
      <c r="E507" s="1" t="s">
        <v>352</v>
      </c>
      <c r="F507" s="56" t="str">
        <f>INDEX('Infos Clientes'!$I:$I,MATCH('Detalhe Por UC'!C507,'Infos Clientes'!B:B,0))</f>
        <v>BT</v>
      </c>
      <c r="G507" s="56" t="str">
        <f>INDEX('Infos Clientes'!$J:$J,MATCH('Detalhe Por UC'!C507,'Infos Clientes'!B:B,0))</f>
        <v>trifasico</v>
      </c>
      <c r="H507" s="108" t="s">
        <v>138</v>
      </c>
      <c r="I507" s="58">
        <f>IFERROR(VLOOKUP(C507,'Infos Clientes'!B:E,4,),"")</f>
        <v>306</v>
      </c>
      <c r="J507" s="109">
        <v>0.25</v>
      </c>
      <c r="K507" s="59">
        <f>INDEX('Infos Clientes'!$M:$M,MATCH('Detalhe Por UC'!C507,'Infos Clientes'!B:B,0))</f>
        <v>0.25</v>
      </c>
      <c r="L507" s="125">
        <v>0</v>
      </c>
      <c r="M507" s="56">
        <f>INDEX('Infos Clientes'!$N:$N,MATCH('Detalhe Por UC'!C507,'Infos Clientes'!B:B,0))</f>
        <v>0</v>
      </c>
      <c r="N507" s="56">
        <f t="shared" si="266"/>
        <v>0</v>
      </c>
      <c r="O507" s="56">
        <f t="shared" si="267"/>
        <v>10</v>
      </c>
      <c r="P507" s="56">
        <f t="shared" si="302"/>
        <v>0</v>
      </c>
      <c r="Q507" s="61">
        <f>IFERROR(IFERROR(INDEX('Infos Clientes'!$A$2:$V$9884,MATCH($C507,'Infos Clientes'!$B$2:$B$9884,0),MATCH(Q$8,'Infos Clientes'!$A$2:$V$2,0)),"")
+IF(OR(INDEX('Infos Clientes'!$A$2:$V$9884,MATCH($C507,'Infos Clientes'!$B$2:$B$9884,0),MATCH("Tempo de Fidelidade (meses)",'Infos Clientes'!$A$2:$V$2,0))=0,R507&gt;=MAX(R:R)),0,
ROUND((MAX(R:R)-R507)/(365/12),0)),"")</f>
        <v>0</v>
      </c>
      <c r="R507" s="111">
        <v>45778</v>
      </c>
      <c r="S507" s="63">
        <v>0.03</v>
      </c>
      <c r="T507" s="113" t="str">
        <f>IF($H507="GIROSSOL II",AP507/INDEX('Resumo Operacional'!$A$1:$P$1103,17,MATCH('Detalhe Por UC'!$R507,'Resumo Operacional'!$A$1:$P$1,0)),
IF($H507="GIROSSOL II e III",AP507/INDEX('Resumo Operacional'!$A$1:$P$1103,17,MATCH('Detalhe Por UC'!$R507,'Resumo Operacional'!$A$1:$P$1,0)),
""))</f>
        <v/>
      </c>
      <c r="U507" s="113">
        <f>IF($H507="GIROSSOL III",AP507/INDEX('Resumo Operacional'!$A$1:$P$1103,53,MATCH('Detalhe Por UC'!$R507,'Resumo Operacional'!$A$1:$P$1,0)),
IF($H507="GIROSSOL II e III",AP507/INDEX('Resumo Operacional'!$A$1:$P$1103,53,MATCH('Detalhe Por UC'!$R507,'Resumo Operacional'!$A$1:$P$1,0)),
""))</f>
        <v>2.9875204840539519E-2</v>
      </c>
      <c r="V507" s="45"/>
      <c r="X507" s="18">
        <v>1.1392873563218391</v>
      </c>
      <c r="Y507" s="18">
        <v>0</v>
      </c>
      <c r="Z507" s="18">
        <v>0.98240579710144948</v>
      </c>
      <c r="AA507" s="18">
        <v>0</v>
      </c>
      <c r="AB507" s="143">
        <v>290</v>
      </c>
      <c r="AC507" s="143">
        <v>0</v>
      </c>
      <c r="AD507" s="143">
        <v>230</v>
      </c>
      <c r="AE507" s="35"/>
      <c r="AF507" s="143">
        <v>7</v>
      </c>
      <c r="AG507" s="143">
        <v>0</v>
      </c>
      <c r="AH507" s="48">
        <v>0</v>
      </c>
      <c r="AI507" s="143">
        <v>0</v>
      </c>
      <c r="AJ507" s="143">
        <v>0</v>
      </c>
      <c r="AN507" s="71">
        <f t="shared" si="268"/>
        <v>7</v>
      </c>
      <c r="AO507" s="71">
        <f t="shared" si="269"/>
        <v>0</v>
      </c>
      <c r="AP507" s="71">
        <f t="shared" si="270"/>
        <v>237</v>
      </c>
      <c r="AQ507" s="72">
        <f>IF(OR($H507="GIROSSOL II",$H507="GIROSSOL II e III"),INDEX('Resumo Operacional'!$A$1:$P$1103,MATCH("Energia Injetada prevista total Fatura da Usina (TUSD)",'Resumo Operacional'!$B$1:$B$1103,0),MATCH('Detalhe Por UC'!$R507,'Resumo Operacional'!$A$1:$P$1,0))*$S507,INDEX('Resumo Operacional'!$A$1:$P$1103,53,MATCH('Detalhe Por UC'!$R507,'Resumo Operacional'!$A$1:$P$1,0))*$S507)</f>
        <v>237.98999999999998</v>
      </c>
      <c r="AR507" s="71">
        <f t="shared" si="271"/>
        <v>-0.98999999999998067</v>
      </c>
      <c r="AS507" s="73">
        <f t="shared" si="272"/>
        <v>104.43999999999994</v>
      </c>
      <c r="AT507" s="74">
        <f t="shared" si="273"/>
        <v>104.43999999999994</v>
      </c>
      <c r="AU507" s="74">
        <f t="shared" si="274"/>
        <v>0.82552423788105989</v>
      </c>
      <c r="AV507" s="74">
        <f t="shared" si="275"/>
        <v>169.46500000000003</v>
      </c>
      <c r="AW507" s="74">
        <f t="shared" si="276"/>
        <v>0</v>
      </c>
      <c r="AX507" s="74">
        <f t="shared" si="277"/>
        <v>225.95333333333338</v>
      </c>
      <c r="AY507" s="74">
        <f t="shared" si="278"/>
        <v>169.47</v>
      </c>
      <c r="AZ507" s="49">
        <v>169.47</v>
      </c>
      <c r="BA507" s="49">
        <v>169.47</v>
      </c>
      <c r="BB507" s="117">
        <v>169.47</v>
      </c>
      <c r="BC507" s="73" t="str">
        <f t="shared" si="279"/>
        <v/>
      </c>
      <c r="BD507" s="73">
        <f t="shared" si="280"/>
        <v>330.39333333333332</v>
      </c>
      <c r="BE507" s="73">
        <f t="shared" si="281"/>
        <v>273.90499999999997</v>
      </c>
      <c r="BF507" s="77">
        <f t="shared" si="282"/>
        <v>56.49</v>
      </c>
      <c r="BG507" s="77">
        <f t="shared" si="283"/>
        <v>16.946999999999999</v>
      </c>
      <c r="BH507" s="77">
        <f t="shared" si="284"/>
        <v>225.95333333333338</v>
      </c>
      <c r="BI507" s="78">
        <f t="shared" si="285"/>
        <v>0.25</v>
      </c>
      <c r="BJ507" s="79">
        <f t="shared" si="286"/>
        <v>0.17097802619100469</v>
      </c>
      <c r="BK507" s="80">
        <f t="shared" si="287"/>
        <v>273.90999999999997</v>
      </c>
      <c r="BL507" s="80">
        <f t="shared" si="288"/>
        <v>56.483333333333348</v>
      </c>
      <c r="BM507" s="79">
        <f t="shared" si="289"/>
        <v>0.17095784822131202</v>
      </c>
      <c r="BN507" s="81">
        <f t="shared" si="290"/>
        <v>0.73682608695652174</v>
      </c>
      <c r="BO507" s="82">
        <f t="shared" si="291"/>
        <v>169.47</v>
      </c>
      <c r="BP507" s="81">
        <f t="shared" si="292"/>
        <v>0.73682608695652174</v>
      </c>
      <c r="BQ507" s="81">
        <f t="shared" si="293"/>
        <v>0.89370764617691134</v>
      </c>
      <c r="BR507" s="81">
        <f t="shared" si="294"/>
        <v>1.1392873563218391</v>
      </c>
      <c r="BS507" s="82">
        <f t="shared" si="295"/>
        <v>230</v>
      </c>
      <c r="BT507" s="82">
        <f t="shared" si="296"/>
        <v>262.03609195402299</v>
      </c>
      <c r="BU507" s="82">
        <f t="shared" si="297"/>
        <v>225.95333333333338</v>
      </c>
      <c r="BW507" s="82">
        <f>IFERROR(INDEX('Infos Clientes'!$T:$T,MATCH('Detalhe Por UC'!$C507,'Infos Clientes'!B:B,0)),"")</f>
        <v>398.18181818181819</v>
      </c>
      <c r="BX507" s="83">
        <f t="shared" si="298"/>
        <v>0</v>
      </c>
      <c r="BY507" s="84">
        <f t="shared" si="299"/>
        <v>0.21555554775730659</v>
      </c>
      <c r="BZ507" s="85">
        <f>IF(_xlfn.MINIFS('Detalhe Por UC'!R:R,'Detalhe Por UC'!C:C,C507,'Detalhe Por UC'!AD:AD,"&gt;"&amp;0)=0,"",_xlfn.MINIFS('Detalhe Por UC'!R:R,'Detalhe Por UC'!C:C,C507,'Detalhe Por UC'!AD:AD,"&gt;"&amp;0))</f>
        <v>45658</v>
      </c>
      <c r="CA507" s="114">
        <f ca="1">IF(OR(S507&gt;0,AD507&gt;0),IFERROR(
SUMIFS(INDIRECT("'Infos Clientes'!$W"&amp;INDEX('Infos Clientes'!$C:$C,MATCH(C507,'Infos Clientes'!$H:$H,0))&amp;":$CZ"&amp;INDEX('Infos Clientes'!$C:$C,MATCH(C507,'Infos Clientes'!$H:$H,0))),'Infos Clientes'!$W$2:$CZ$2,"&gt;"&amp;$R507-365,'Infos Clientes'!$W$2:$CZ$2,"&lt;="&amp;$R507)/
COUNTIFS(INDIRECT("'Infos Clientes'!$W"&amp;INDEX('Infos Clientes'!$C:$C,MATCH(C507,'Infos Clientes'!$H:$H,0))&amp;":$CZ"&amp;INDEX('Infos Clientes'!$C:$C,MATCH(C507,'Infos Clientes'!$H:$H,0))),"&gt;="&amp;0,'Infos Clientes'!$W$2:$CZ$2,"&gt;"&amp;$R507-365,'Infos Clientes'!$W$2:$CZ$2,"&lt;="&amp;$R507),""),"")</f>
        <v>379.16666666666669</v>
      </c>
      <c r="CB507" s="87">
        <f>VLOOKUP(C507,'Infos Clientes'!B:L,11,0)</f>
        <v>0</v>
      </c>
      <c r="CC507" s="88" t="str">
        <f t="shared" si="300"/>
        <v>A Unidade Consumidora 10/1266128-6 economizou R$56,49 na fatura referente à mai/2025  consumindo 230 kWh em créditos de energia renovável conforme fatura de energia. A economia foi de 25% em relação ao que seria pago para a Energisa considerando os créditos consumidos. Atenção: Mantenha as contas da Energisa em dia para evitar cortes.</v>
      </c>
      <c r="CD507" s="40" t="s">
        <v>37</v>
      </c>
      <c r="CE507" s="18">
        <v>104.44</v>
      </c>
      <c r="CF507" s="115">
        <f t="shared" si="301"/>
        <v>0</v>
      </c>
      <c r="CG507" t="s">
        <v>359</v>
      </c>
    </row>
    <row r="508" spans="1:85" ht="16.2" hidden="1" customHeight="1" x14ac:dyDescent="0.3">
      <c r="A508" s="105" t="str">
        <f>INDEX('Infos Clientes'!$D:$D,MATCH('Detalhe Por UC'!C508,'Infos Clientes'!B:B,0))</f>
        <v>IGREJA DO EVANGELHO QUADRANGULAR</v>
      </c>
      <c r="B508" s="106" t="str">
        <f>INDEX('Infos Clientes'!$F:$F,MATCH('Detalhe Por UC'!C508,'Infos Clientes'!B:B,0))</f>
        <v>62.955.505/8979-30</v>
      </c>
      <c r="C508" s="44" t="s">
        <v>238</v>
      </c>
      <c r="D508" t="s">
        <v>351</v>
      </c>
      <c r="E508" s="1" t="s">
        <v>352</v>
      </c>
      <c r="F508" s="56" t="str">
        <f>INDEX('Infos Clientes'!$I:$I,MATCH('Detalhe Por UC'!C508,'Infos Clientes'!B:B,0))</f>
        <v>BT</v>
      </c>
      <c r="G508" s="56" t="str">
        <f>INDEX('Infos Clientes'!$J:$J,MATCH('Detalhe Por UC'!C508,'Infos Clientes'!B:B,0))</f>
        <v>bifasico</v>
      </c>
      <c r="H508" s="108" t="s">
        <v>138</v>
      </c>
      <c r="I508" s="58">
        <f>IFERROR(VLOOKUP(C508,'Infos Clientes'!B:E,4,),"")</f>
        <v>360</v>
      </c>
      <c r="J508" s="109">
        <v>0.25</v>
      </c>
      <c r="K508" s="59">
        <f>INDEX('Infos Clientes'!$M:$M,MATCH('Detalhe Por UC'!C508,'Infos Clientes'!B:B,0))</f>
        <v>0.25</v>
      </c>
      <c r="L508" s="125">
        <v>0</v>
      </c>
      <c r="M508" s="56">
        <f>INDEX('Infos Clientes'!$N:$N,MATCH('Detalhe Por UC'!C508,'Infos Clientes'!B:B,0))</f>
        <v>0</v>
      </c>
      <c r="N508" s="56">
        <f t="shared" si="266"/>
        <v>0</v>
      </c>
      <c r="O508" s="56">
        <f t="shared" si="267"/>
        <v>10</v>
      </c>
      <c r="P508" s="56">
        <f t="shared" si="302"/>
        <v>0</v>
      </c>
      <c r="Q508" s="61">
        <f>IFERROR(IFERROR(INDEX('Infos Clientes'!$A$2:$V$9884,MATCH($C508,'Infos Clientes'!$B$2:$B$9884,0),MATCH(Q$8,'Infos Clientes'!$A$2:$V$2,0)),"")
+IF(OR(INDEX('Infos Clientes'!$A$2:$V$9884,MATCH($C508,'Infos Clientes'!$B$2:$B$9884,0),MATCH("Tempo de Fidelidade (meses)",'Infos Clientes'!$A$2:$V$2,0))=0,R508&gt;=MAX(R:R)),0,
ROUND((MAX(R:R)-R508)/(365/12),0)),"")</f>
        <v>0</v>
      </c>
      <c r="R508" s="111">
        <v>45778</v>
      </c>
      <c r="S508" s="63">
        <v>7.0000000000000001E-3</v>
      </c>
      <c r="T508" s="113" t="str">
        <f>IF($H508="GIROSSOL II",AP508/INDEX('Resumo Operacional'!$A$1:$P$1103,17,MATCH('Detalhe Por UC'!$R508,'Resumo Operacional'!$A$1:$P$1,0)),
IF($H508="GIROSSOL II e III",AP508/INDEX('Resumo Operacional'!$A$1:$P$1103,17,MATCH('Detalhe Por UC'!$R508,'Resumo Operacional'!$A$1:$P$1,0)),
""))</f>
        <v/>
      </c>
      <c r="U508" s="113">
        <f>IF($H508="GIROSSOL III",AP508/INDEX('Resumo Operacional'!$A$1:$P$1103,53,MATCH('Detalhe Por UC'!$R508,'Resumo Operacional'!$A$1:$P$1,0)),
IF($H508="GIROSSOL II e III",AP508/INDEX('Resumo Operacional'!$A$1:$P$1103,53,MATCH('Detalhe Por UC'!$R508,'Resumo Operacional'!$A$1:$P$1,0)),
""))</f>
        <v>1.6009076011597127E-2</v>
      </c>
      <c r="V508" s="45"/>
      <c r="X508" s="18">
        <v>1.1355598235879927</v>
      </c>
      <c r="Y508" s="18">
        <v>0</v>
      </c>
      <c r="Z508" s="18">
        <v>0.97858933126316949</v>
      </c>
      <c r="AA508" s="18">
        <v>0</v>
      </c>
      <c r="AB508" s="143">
        <v>198</v>
      </c>
      <c r="AC508" s="143">
        <v>0</v>
      </c>
      <c r="AD508" s="143">
        <v>127</v>
      </c>
      <c r="AE508" s="35"/>
      <c r="AF508" s="143">
        <v>0</v>
      </c>
      <c r="AG508" s="143">
        <v>0</v>
      </c>
      <c r="AH508" s="48">
        <v>7.39</v>
      </c>
      <c r="AI508" s="143">
        <v>0</v>
      </c>
      <c r="AJ508" s="143">
        <v>0</v>
      </c>
      <c r="AN508" s="71">
        <f t="shared" si="268"/>
        <v>0</v>
      </c>
      <c r="AO508" s="71">
        <f t="shared" si="269"/>
        <v>0</v>
      </c>
      <c r="AP508" s="71">
        <f t="shared" si="270"/>
        <v>127</v>
      </c>
      <c r="AQ508" s="72">
        <f>IF(OR($H508="GIROSSOL II",$H508="GIROSSOL II e III"),INDEX('Resumo Operacional'!$A$1:$P$1103,MATCH("Energia Injetada prevista total Fatura da Usina (TUSD)",'Resumo Operacional'!$B$1:$B$1103,0),MATCH('Detalhe Por UC'!$R508,'Resumo Operacional'!$A$1:$P$1,0))*$S508,INDEX('Resumo Operacional'!$A$1:$P$1103,53,MATCH('Detalhe Por UC'!$R508,'Resumo Operacional'!$A$1:$P$1,0))*$S508)</f>
        <v>55.530999999999999</v>
      </c>
      <c r="AR508" s="71">
        <f t="shared" si="271"/>
        <v>71.468999999999994</v>
      </c>
      <c r="AS508" s="73">
        <f t="shared" si="272"/>
        <v>107.95000000000002</v>
      </c>
      <c r="AT508" s="74">
        <f t="shared" si="273"/>
        <v>107.95000000000002</v>
      </c>
      <c r="AU508" s="74">
        <f t="shared" si="274"/>
        <v>0.82161883893834631</v>
      </c>
      <c r="AV508" s="74">
        <f t="shared" si="275"/>
        <v>93.210633802816901</v>
      </c>
      <c r="AW508" s="74">
        <f t="shared" si="276"/>
        <v>0</v>
      </c>
      <c r="AX508" s="74">
        <f t="shared" si="277"/>
        <v>124.28084507042253</v>
      </c>
      <c r="AY508" s="74">
        <f t="shared" si="278"/>
        <v>93.21</v>
      </c>
      <c r="AZ508" s="49">
        <v>93.21</v>
      </c>
      <c r="BA508" s="49">
        <v>93.21</v>
      </c>
      <c r="BB508" s="49">
        <v>124.28</v>
      </c>
      <c r="BC508" s="73">
        <f t="shared" si="279"/>
        <v>31.070000000000007</v>
      </c>
      <c r="BD508" s="73">
        <f t="shared" si="280"/>
        <v>232.23084507042253</v>
      </c>
      <c r="BE508" s="73">
        <f t="shared" si="281"/>
        <v>201.1606338028169</v>
      </c>
      <c r="BF508" s="77">
        <f t="shared" si="282"/>
        <v>31.07</v>
      </c>
      <c r="BG508" s="77">
        <f t="shared" si="283"/>
        <v>9.3209999999999997</v>
      </c>
      <c r="BH508" s="77">
        <f t="shared" si="284"/>
        <v>124.28084507042254</v>
      </c>
      <c r="BI508" s="78">
        <f t="shared" si="285"/>
        <v>0.25</v>
      </c>
      <c r="BJ508" s="79">
        <f t="shared" si="286"/>
        <v>0.13378929052503005</v>
      </c>
      <c r="BK508" s="80">
        <f t="shared" si="287"/>
        <v>201.16000000000003</v>
      </c>
      <c r="BL508" s="80">
        <f t="shared" si="288"/>
        <v>31.070845070422507</v>
      </c>
      <c r="BM508" s="79">
        <f t="shared" si="289"/>
        <v>0.13379292944914561</v>
      </c>
      <c r="BN508" s="81">
        <f t="shared" si="290"/>
        <v>0.73393700787401572</v>
      </c>
      <c r="BO508" s="82">
        <f t="shared" si="291"/>
        <v>93.21</v>
      </c>
      <c r="BP508" s="81">
        <f t="shared" si="292"/>
        <v>0.73393700787401572</v>
      </c>
      <c r="BQ508" s="81">
        <f t="shared" si="293"/>
        <v>0.89090750019883891</v>
      </c>
      <c r="BR508" s="81">
        <f t="shared" si="294"/>
        <v>1.1355598235879927</v>
      </c>
      <c r="BS508" s="82">
        <f t="shared" si="295"/>
        <v>127</v>
      </c>
      <c r="BT508" s="82">
        <f t="shared" si="296"/>
        <v>144.21609759567508</v>
      </c>
      <c r="BU508" s="82">
        <f t="shared" si="297"/>
        <v>124.28084507042253</v>
      </c>
      <c r="BW508" s="82">
        <f>IFERROR(INDEX('Infos Clientes'!$T:$T,MATCH('Detalhe Por UC'!$C508,'Infos Clientes'!B:B,0)),"")</f>
        <v>162.36363636363637</v>
      </c>
      <c r="BX508" s="83">
        <f t="shared" si="298"/>
        <v>0</v>
      </c>
      <c r="BY508" s="84">
        <f t="shared" si="299"/>
        <v>0.21544644175252126</v>
      </c>
      <c r="BZ508" s="85">
        <f>IF(_xlfn.MINIFS('Detalhe Por UC'!R:R,'Detalhe Por UC'!C:C,C508,'Detalhe Por UC'!AD:AD,"&gt;"&amp;0)=0,"",_xlfn.MINIFS('Detalhe Por UC'!R:R,'Detalhe Por UC'!C:C,C508,'Detalhe Por UC'!AD:AD,"&gt;"&amp;0))</f>
        <v>45658</v>
      </c>
      <c r="CA508" s="114">
        <f ca="1">IF(OR(S508&gt;0,AD508&gt;0),IFERROR(
SUMIFS(INDIRECT("'Infos Clientes'!$W"&amp;INDEX('Infos Clientes'!$C:$C,MATCH(C508,'Infos Clientes'!$H:$H,0))&amp;":$CZ"&amp;INDEX('Infos Clientes'!$C:$C,MATCH(C508,'Infos Clientes'!$H:$H,0))),'Infos Clientes'!$W$2:$CZ$2,"&gt;"&amp;$R508-365,'Infos Clientes'!$W$2:$CZ$2,"&lt;="&amp;$R508)/
COUNTIFS(INDIRECT("'Infos Clientes'!$W"&amp;INDEX('Infos Clientes'!$C:$C,MATCH(C508,'Infos Clientes'!$H:$H,0))&amp;":$CZ"&amp;INDEX('Infos Clientes'!$C:$C,MATCH(C508,'Infos Clientes'!$H:$H,0))),"&gt;="&amp;0,'Infos Clientes'!$W$2:$CZ$2,"&gt;"&amp;$R508-365,'Infos Clientes'!$W$2:$CZ$2,"&lt;="&amp;$R508),""),"")</f>
        <v>140.83333333333334</v>
      </c>
      <c r="CB508" s="87">
        <f>VLOOKUP(C508,'Infos Clientes'!B:L,11,0)</f>
        <v>0</v>
      </c>
      <c r="CC508" s="88" t="str">
        <f t="shared" si="300"/>
        <v>A Unidade Consumidora 10/952579-1 economizou R$31,07 na fatura referente à mai/2025  consumindo 127 kWh em créditos de energia renovável conforme fatura de energia. A economia foi de 25% em relação ao que seria pago para a Energisa considerando os créditos consumidos. Atenção: Mantenha as contas da Energisa em dia para evitar cortes.</v>
      </c>
      <c r="CD508" s="40" t="s">
        <v>249</v>
      </c>
      <c r="CE508" s="18">
        <v>107.95</v>
      </c>
      <c r="CF508" s="115">
        <f t="shared" si="301"/>
        <v>0</v>
      </c>
      <c r="CG508" t="s">
        <v>358</v>
      </c>
    </row>
    <row r="509" spans="1:85" ht="16.2" hidden="1" customHeight="1" x14ac:dyDescent="0.3">
      <c r="A509" s="105" t="str">
        <f>INDEX('Infos Clientes'!$D:$D,MATCH('Detalhe Por UC'!C509,'Infos Clientes'!B:B,0))</f>
        <v>IGREJA DO EVANGELHO QUADRANGULAR</v>
      </c>
      <c r="B509" s="106" t="str">
        <f>INDEX('Infos Clientes'!$F:$F,MATCH('Detalhe Por UC'!C509,'Infos Clientes'!B:B,0))</f>
        <v>62.955.505/8873-82</v>
      </c>
      <c r="C509" s="44" t="s">
        <v>212</v>
      </c>
      <c r="D509" t="s">
        <v>351</v>
      </c>
      <c r="E509" s="1" t="s">
        <v>352</v>
      </c>
      <c r="F509" s="56" t="str">
        <f>INDEX('Infos Clientes'!$I:$I,MATCH('Detalhe Por UC'!C509,'Infos Clientes'!B:B,0))</f>
        <v>BT</v>
      </c>
      <c r="G509" s="56" t="str">
        <f>INDEX('Infos Clientes'!$J:$J,MATCH('Detalhe Por UC'!C509,'Infos Clientes'!B:B,0))</f>
        <v>trifasico</v>
      </c>
      <c r="H509" s="108" t="s">
        <v>138</v>
      </c>
      <c r="I509" s="58">
        <f>IFERROR(VLOOKUP(C509,'Infos Clientes'!B:E,4,),"")</f>
        <v>351</v>
      </c>
      <c r="J509" s="109">
        <v>0.25</v>
      </c>
      <c r="K509" s="59">
        <f>INDEX('Infos Clientes'!$M:$M,MATCH('Detalhe Por UC'!C509,'Infos Clientes'!B:B,0))</f>
        <v>0.25</v>
      </c>
      <c r="L509" s="125">
        <v>0</v>
      </c>
      <c r="M509" s="56">
        <f>INDEX('Infos Clientes'!$N:$N,MATCH('Detalhe Por UC'!C509,'Infos Clientes'!B:B,0))</f>
        <v>0</v>
      </c>
      <c r="N509" s="56">
        <f t="shared" si="266"/>
        <v>0</v>
      </c>
      <c r="O509" s="56">
        <f t="shared" si="267"/>
        <v>3</v>
      </c>
      <c r="P509" s="56">
        <f t="shared" si="302"/>
        <v>0</v>
      </c>
      <c r="Q509" s="61">
        <f>IFERROR(IFERROR(INDEX('Infos Clientes'!$A$2:$V$9884,MATCH($C509,'Infos Clientes'!$B$2:$B$9884,0),MATCH(Q$8,'Infos Clientes'!$A$2:$V$2,0)),"")
+IF(OR(INDEX('Infos Clientes'!$A$2:$V$9884,MATCH($C509,'Infos Clientes'!$B$2:$B$9884,0),MATCH("Tempo de Fidelidade (meses)",'Infos Clientes'!$A$2:$V$2,0))=0,R509&gt;=MAX(R:R)),0,
ROUND((MAX(R:R)-R509)/(365/12),0)),"")</f>
        <v>0</v>
      </c>
      <c r="R509" s="111">
        <v>45778</v>
      </c>
      <c r="S509" s="63">
        <v>3.0000000000000001E-3</v>
      </c>
      <c r="T509" s="113" t="str">
        <f>IF($H509="GIROSSOL II",AP509/INDEX('Resumo Operacional'!$A$1:$P$1103,17,MATCH('Detalhe Por UC'!$R509,'Resumo Operacional'!$A$1:$P$1,0)),
IF($H509="GIROSSOL II e III",AP509/INDEX('Resumo Operacional'!$A$1:$P$1103,17,MATCH('Detalhe Por UC'!$R509,'Resumo Operacional'!$A$1:$P$1,0)),
""))</f>
        <v/>
      </c>
      <c r="U509" s="113">
        <f>IF($H509="GIROSSOL III",AP509/INDEX('Resumo Operacional'!$A$1:$P$1103,53,MATCH('Detalhe Por UC'!$R509,'Resumo Operacional'!$A$1:$P$1,0)),
IF($H509="GIROSSOL II e III",AP509/INDEX('Resumo Operacional'!$A$1:$P$1103,53,MATCH('Detalhe Por UC'!$R509,'Resumo Operacional'!$A$1:$P$1,0)),
""))</f>
        <v>3.9077272154292193E-3</v>
      </c>
      <c r="V509" s="45"/>
      <c r="X509" s="18">
        <v>1.1305000000000001</v>
      </c>
      <c r="Y509" s="18">
        <v>0</v>
      </c>
      <c r="Z509" s="18">
        <v>0</v>
      </c>
      <c r="AA509" s="18">
        <v>0</v>
      </c>
      <c r="AB509" s="143">
        <v>0</v>
      </c>
      <c r="AC509" s="143">
        <v>0</v>
      </c>
      <c r="AD509" s="143">
        <v>0</v>
      </c>
      <c r="AE509" s="35"/>
      <c r="AF509" s="143">
        <v>409</v>
      </c>
      <c r="AG509" s="143">
        <v>0</v>
      </c>
      <c r="AH509" s="48">
        <v>0</v>
      </c>
      <c r="AI509" s="143">
        <v>0</v>
      </c>
      <c r="AJ509" s="143">
        <v>0</v>
      </c>
      <c r="AN509" s="71">
        <f t="shared" si="268"/>
        <v>31</v>
      </c>
      <c r="AO509" s="71">
        <f t="shared" si="269"/>
        <v>0</v>
      </c>
      <c r="AP509" s="71">
        <f t="shared" si="270"/>
        <v>31</v>
      </c>
      <c r="AQ509" s="72">
        <f>IF(OR($H509="GIROSSOL II",$H509="GIROSSOL II e III"),INDEX('Resumo Operacional'!$A$1:$P$1103,MATCH("Energia Injetada prevista total Fatura da Usina (TUSD)",'Resumo Operacional'!$B$1:$B$1103,0),MATCH('Detalhe Por UC'!$R509,'Resumo Operacional'!$A$1:$P$1,0))*$S509,INDEX('Resumo Operacional'!$A$1:$P$1103,53,MATCH('Detalhe Por UC'!$R509,'Resumo Operacional'!$A$1:$P$1,0))*$S509)</f>
        <v>23.798999999999999</v>
      </c>
      <c r="AR509" s="71">
        <f t="shared" si="271"/>
        <v>7.2010000000000005</v>
      </c>
      <c r="AS509" s="73">
        <f t="shared" si="272"/>
        <v>113.05000000000001</v>
      </c>
      <c r="AT509" s="74">
        <f t="shared" si="273"/>
        <v>113.05000000000001</v>
      </c>
      <c r="AU509" s="74" t="str">
        <f t="shared" si="274"/>
        <v/>
      </c>
      <c r="AV509" s="74">
        <f t="shared" si="275"/>
        <v>0</v>
      </c>
      <c r="AW509" s="74">
        <f t="shared" si="276"/>
        <v>0</v>
      </c>
      <c r="AX509" s="74">
        <f t="shared" si="277"/>
        <v>0</v>
      </c>
      <c r="AY509" s="74" t="str">
        <f t="shared" si="278"/>
        <v/>
      </c>
      <c r="AZ509" s="49" t="s">
        <v>354</v>
      </c>
      <c r="BA509" s="49" t="s">
        <v>354</v>
      </c>
      <c r="BC509" s="73" t="str">
        <f t="shared" si="279"/>
        <v/>
      </c>
      <c r="BD509" s="73">
        <f t="shared" si="280"/>
        <v>113.05000000000001</v>
      </c>
      <c r="BE509" s="73">
        <f t="shared" si="281"/>
        <v>113.05000000000001</v>
      </c>
      <c r="BF509" s="77">
        <f t="shared" si="282"/>
        <v>0</v>
      </c>
      <c r="BG509" s="77">
        <f t="shared" si="283"/>
        <v>0</v>
      </c>
      <c r="BH509" s="77">
        <f t="shared" si="284"/>
        <v>0</v>
      </c>
      <c r="BI509" s="78" t="str">
        <f t="shared" si="285"/>
        <v/>
      </c>
      <c r="BJ509" s="79">
        <f t="shared" si="286"/>
        <v>0</v>
      </c>
      <c r="BK509" s="80" t="str">
        <f t="shared" si="287"/>
        <v/>
      </c>
      <c r="BL509" s="80" t="str">
        <f t="shared" si="288"/>
        <v/>
      </c>
      <c r="BM509" s="79" t="str">
        <f t="shared" si="289"/>
        <v/>
      </c>
      <c r="BN509" s="81" t="str">
        <f t="shared" si="290"/>
        <v/>
      </c>
      <c r="BO509" s="82" t="str">
        <f t="shared" si="291"/>
        <v/>
      </c>
      <c r="BP509" s="81" t="str">
        <f t="shared" si="292"/>
        <v/>
      </c>
      <c r="BQ509" s="81" t="str">
        <f t="shared" si="293"/>
        <v/>
      </c>
      <c r="BR509" s="81" t="str">
        <f t="shared" si="294"/>
        <v/>
      </c>
      <c r="BS509" s="82">
        <f t="shared" si="295"/>
        <v>0</v>
      </c>
      <c r="BT509" s="82" t="str">
        <f t="shared" si="296"/>
        <v/>
      </c>
      <c r="BU509" s="82">
        <f t="shared" si="297"/>
        <v>0</v>
      </c>
      <c r="BW509" s="82">
        <f>IFERROR(INDEX('Infos Clientes'!$T:$T,MATCH('Detalhe Por UC'!$C509,'Infos Clientes'!B:B,0)),"")</f>
        <v>93.7</v>
      </c>
      <c r="BX509" s="83">
        <f t="shared" si="298"/>
        <v>0</v>
      </c>
      <c r="BY509" s="84" t="str">
        <f t="shared" si="299"/>
        <v/>
      </c>
      <c r="BZ509" s="85">
        <f>IF(_xlfn.MINIFS('Detalhe Por UC'!R:R,'Detalhe Por UC'!C:C,C509,'Detalhe Por UC'!AD:AD,"&gt;"&amp;0)=0,"",_xlfn.MINIFS('Detalhe Por UC'!R:R,'Detalhe Por UC'!C:C,C509,'Detalhe Por UC'!AD:AD,"&gt;"&amp;0))</f>
        <v>45689</v>
      </c>
      <c r="CA509" s="114">
        <f ca="1">IF(OR(S509&gt;0,AD509&gt;0),IFERROR(
SUMIFS(INDIRECT("'Infos Clientes'!$W"&amp;INDEX('Infos Clientes'!$C:$C,MATCH(C509,'Infos Clientes'!$H:$H,0))&amp;":$CZ"&amp;INDEX('Infos Clientes'!$C:$C,MATCH(C509,'Infos Clientes'!$H:$H,0))),'Infos Clientes'!$W$2:$CZ$2,"&gt;"&amp;$R509-365,'Infos Clientes'!$W$2:$CZ$2,"&lt;="&amp;$R509)/
COUNTIFS(INDIRECT("'Infos Clientes'!$W"&amp;INDEX('Infos Clientes'!$C:$C,MATCH(C509,'Infos Clientes'!$H:$H,0))&amp;":$CZ"&amp;INDEX('Infos Clientes'!$C:$C,MATCH(C509,'Infos Clientes'!$H:$H,0))),"&gt;="&amp;0,'Infos Clientes'!$W$2:$CZ$2,"&gt;"&amp;$R509-365,'Infos Clientes'!$W$2:$CZ$2,"&lt;="&amp;$R509),""),"")</f>
        <v>481.5</v>
      </c>
      <c r="CB509" s="87">
        <f>VLOOKUP(C509,'Infos Clientes'!B:L,11,0)</f>
        <v>0</v>
      </c>
      <c r="CC509" s="88" t="str">
        <f t="shared" si="300"/>
        <v>A Unidade Consumidora 10/505854-0 economizou R$0 na fatura referente à mai/2025  consumindo 0 kWh em créditos de energia renovável conforme fatura de energia. A economia foi de 25% em relação ao que seria pago para a Energisa considerando os créditos consumidos. Atenção: Mantenha as contas da Energisa em dia para evitar cortes.</v>
      </c>
      <c r="CD509" s="40" t="s">
        <v>249</v>
      </c>
      <c r="CE509" s="18">
        <v>113.05</v>
      </c>
      <c r="CF509" s="115">
        <f t="shared" si="301"/>
        <v>0</v>
      </c>
      <c r="CG509" t="s">
        <v>357</v>
      </c>
    </row>
    <row r="510" spans="1:85" ht="16.2" hidden="1" customHeight="1" x14ac:dyDescent="0.3">
      <c r="A510" s="105" t="str">
        <f>INDEX('Infos Clientes'!$D:$D,MATCH('Detalhe Por UC'!C510,'Infos Clientes'!B:B,0))</f>
        <v>IGREJA DO EVANGELHO QUADRANGULAR</v>
      </c>
      <c r="B510" s="106" t="str">
        <f>INDEX('Infos Clientes'!$F:$F,MATCH('Detalhe Por UC'!C510,'Infos Clientes'!B:B,0))</f>
        <v>62.955.505/3311-98</v>
      </c>
      <c r="C510" s="44" t="s">
        <v>147</v>
      </c>
      <c r="D510" t="s">
        <v>351</v>
      </c>
      <c r="E510" s="1" t="s">
        <v>352</v>
      </c>
      <c r="F510" s="56" t="str">
        <f>INDEX('Infos Clientes'!$I:$I,MATCH('Detalhe Por UC'!C510,'Infos Clientes'!B:B,0))</f>
        <v>BT</v>
      </c>
      <c r="G510" s="56" t="str">
        <f>INDEX('Infos Clientes'!$J:$J,MATCH('Detalhe Por UC'!C510,'Infos Clientes'!B:B,0))</f>
        <v>trifasico</v>
      </c>
      <c r="H510" s="108" t="s">
        <v>138</v>
      </c>
      <c r="I510" s="58">
        <f>IFERROR(VLOOKUP(C510,'Infos Clientes'!B:E,4,),"")</f>
        <v>360</v>
      </c>
      <c r="J510" s="109">
        <v>0.25</v>
      </c>
      <c r="K510" s="59">
        <f>INDEX('Infos Clientes'!$M:$M,MATCH('Detalhe Por UC'!C510,'Infos Clientes'!B:B,0))</f>
        <v>0.25</v>
      </c>
      <c r="L510" s="125">
        <v>0</v>
      </c>
      <c r="M510" s="56">
        <f>INDEX('Infos Clientes'!$N:$N,MATCH('Detalhe Por UC'!C510,'Infos Clientes'!B:B,0))</f>
        <v>0</v>
      </c>
      <c r="N510" s="56">
        <f t="shared" si="266"/>
        <v>0</v>
      </c>
      <c r="O510" s="56">
        <f t="shared" si="267"/>
        <v>9</v>
      </c>
      <c r="P510" s="56">
        <f t="shared" si="302"/>
        <v>0</v>
      </c>
      <c r="Q510" s="61">
        <f>IFERROR(IFERROR(INDEX('Infos Clientes'!$A$2:$V$9884,MATCH($C510,'Infos Clientes'!$B$2:$B$9884,0),MATCH(Q$8,'Infos Clientes'!$A$2:$V$2,0)),"")
+IF(OR(INDEX('Infos Clientes'!$A$2:$V$9884,MATCH($C510,'Infos Clientes'!$B$2:$B$9884,0),MATCH("Tempo de Fidelidade (meses)",'Infos Clientes'!$A$2:$V$2,0))=0,R510&gt;=MAX(R:R)),0,
ROUND((MAX(R:R)-R510)/(365/12),0)),"")</f>
        <v>0</v>
      </c>
      <c r="R510" s="111">
        <v>45778</v>
      </c>
      <c r="S510" s="63">
        <v>0.04</v>
      </c>
      <c r="T510" s="113" t="str">
        <f>IF($H510="GIROSSOL II",AP510/INDEX('Resumo Operacional'!$A$1:$P$1103,17,MATCH('Detalhe Por UC'!$R510,'Resumo Operacional'!$A$1:$P$1,0)),
IF($H510="GIROSSOL II e III",AP510/INDEX('Resumo Operacional'!$A$1:$P$1103,17,MATCH('Detalhe Por UC'!$R510,'Resumo Operacional'!$A$1:$P$1,0)),
""))</f>
        <v/>
      </c>
      <c r="U510" s="113">
        <f>IF($H510="GIROSSOL III",AP510/INDEX('Resumo Operacional'!$A$1:$P$1103,53,MATCH('Detalhe Por UC'!$R510,'Resumo Operacional'!$A$1:$P$1,0)),
IF($H510="GIROSSOL II e III",AP510/INDEX('Resumo Operacional'!$A$1:$P$1103,53,MATCH('Detalhe Por UC'!$R510,'Resumo Operacional'!$A$1:$P$1,0)),
""))</f>
        <v>5.2061010966847343E-2</v>
      </c>
      <c r="V510" s="45"/>
      <c r="X510" s="18">
        <v>1.12569234006734</v>
      </c>
      <c r="Y510" s="18">
        <v>0</v>
      </c>
      <c r="Z510" s="18">
        <v>0.97020277777777764</v>
      </c>
      <c r="AA510" s="18">
        <v>0</v>
      </c>
      <c r="AB510" s="143">
        <v>594</v>
      </c>
      <c r="AC510" s="143">
        <v>0</v>
      </c>
      <c r="AD510" s="143">
        <v>450</v>
      </c>
      <c r="AE510" s="35"/>
      <c r="AF510" s="143">
        <v>0</v>
      </c>
      <c r="AG510" s="143">
        <v>0</v>
      </c>
      <c r="AH510" s="48">
        <v>107.93</v>
      </c>
      <c r="AI510" s="143">
        <v>0</v>
      </c>
      <c r="AJ510" s="143">
        <v>0</v>
      </c>
      <c r="AN510" s="71">
        <f t="shared" si="268"/>
        <v>-37</v>
      </c>
      <c r="AO510" s="71">
        <f t="shared" si="269"/>
        <v>0</v>
      </c>
      <c r="AP510" s="71">
        <f t="shared" si="270"/>
        <v>413</v>
      </c>
      <c r="AQ510" s="72">
        <f>IF(OR($H510="GIROSSOL II",$H510="GIROSSOL II e III"),INDEX('Resumo Operacional'!$A$1:$P$1103,MATCH("Energia Injetada prevista total Fatura da Usina (TUSD)",'Resumo Operacional'!$B$1:$B$1103,0),MATCH('Detalhe Por UC'!$R510,'Resumo Operacional'!$A$1:$P$1,0))*$S510,INDEX('Resumo Operacional'!$A$1:$P$1103,53,MATCH('Detalhe Por UC'!$R510,'Resumo Operacional'!$A$1:$P$1,0))*$S510)</f>
        <v>317.32</v>
      </c>
      <c r="AR510" s="71">
        <f t="shared" si="271"/>
        <v>95.68</v>
      </c>
      <c r="AS510" s="73">
        <f t="shared" si="272"/>
        <v>340.00000000000006</v>
      </c>
      <c r="AT510" s="74">
        <f t="shared" si="273"/>
        <v>340.00000000000006</v>
      </c>
      <c r="AU510" s="74">
        <f t="shared" si="274"/>
        <v>0.81471321548821529</v>
      </c>
      <c r="AV510" s="74">
        <f t="shared" si="275"/>
        <v>327.44343749999996</v>
      </c>
      <c r="AW510" s="74">
        <f t="shared" si="276"/>
        <v>0</v>
      </c>
      <c r="AX510" s="74">
        <f t="shared" si="277"/>
        <v>436.59124999999995</v>
      </c>
      <c r="AY510" s="74">
        <f t="shared" si="278"/>
        <v>327.44</v>
      </c>
      <c r="AZ510" s="49">
        <v>327.44</v>
      </c>
      <c r="BA510" s="49">
        <v>327.44</v>
      </c>
      <c r="BB510" s="117">
        <v>327.44</v>
      </c>
      <c r="BC510" s="73" t="str">
        <f t="shared" si="279"/>
        <v/>
      </c>
      <c r="BD510" s="73">
        <f t="shared" si="280"/>
        <v>776.59124999999995</v>
      </c>
      <c r="BE510" s="73">
        <f t="shared" si="281"/>
        <v>667.44343750000007</v>
      </c>
      <c r="BF510" s="77">
        <f t="shared" si="282"/>
        <v>109.15</v>
      </c>
      <c r="BG510" s="77">
        <f t="shared" si="283"/>
        <v>32.744999999999997</v>
      </c>
      <c r="BH510" s="77">
        <f t="shared" si="284"/>
        <v>436.59124999999995</v>
      </c>
      <c r="BI510" s="78">
        <f t="shared" si="285"/>
        <v>0.25</v>
      </c>
      <c r="BJ510" s="79">
        <f t="shared" si="286"/>
        <v>0.14055012852642881</v>
      </c>
      <c r="BK510" s="80">
        <f t="shared" si="287"/>
        <v>667.44</v>
      </c>
      <c r="BL510" s="80">
        <f t="shared" si="288"/>
        <v>109.15124999999989</v>
      </c>
      <c r="BM510" s="79">
        <f t="shared" si="289"/>
        <v>0.14055173812478558</v>
      </c>
      <c r="BN510" s="81">
        <f t="shared" si="290"/>
        <v>0.72764444444444443</v>
      </c>
      <c r="BO510" s="82">
        <f t="shared" si="291"/>
        <v>327.44</v>
      </c>
      <c r="BP510" s="81">
        <f t="shared" si="292"/>
        <v>0.72764444444444443</v>
      </c>
      <c r="BQ510" s="81">
        <f t="shared" si="293"/>
        <v>0.88313400673400677</v>
      </c>
      <c r="BR510" s="81">
        <f t="shared" si="294"/>
        <v>1.12569234006734</v>
      </c>
      <c r="BS510" s="82">
        <f t="shared" si="295"/>
        <v>450</v>
      </c>
      <c r="BT510" s="82">
        <f t="shared" si="296"/>
        <v>506.561553030303</v>
      </c>
      <c r="BU510" s="82">
        <f t="shared" si="297"/>
        <v>436.59124999999995</v>
      </c>
      <c r="BW510" s="82">
        <f>IFERROR(INDEX('Infos Clientes'!$T:$T,MATCH('Detalhe Por UC'!$C510,'Infos Clientes'!B:B,0)),"")</f>
        <v>471.63636363636363</v>
      </c>
      <c r="BX510" s="83">
        <f t="shared" si="298"/>
        <v>0</v>
      </c>
      <c r="BY510" s="84">
        <f t="shared" si="299"/>
        <v>0.21547480132877439</v>
      </c>
      <c r="BZ510" s="85">
        <f>IF(_xlfn.MINIFS('Detalhe Por UC'!R:R,'Detalhe Por UC'!C:C,C510,'Detalhe Por UC'!AD:AD,"&gt;"&amp;0)=0,"",_xlfn.MINIFS('Detalhe Por UC'!R:R,'Detalhe Por UC'!C:C,C510,'Detalhe Por UC'!AD:AD,"&gt;"&amp;0))</f>
        <v>45658</v>
      </c>
      <c r="CA510" s="114">
        <f ca="1">IF(OR(S510&gt;0,AD510&gt;0),IFERROR(
SUMIFS(INDIRECT("'Infos Clientes'!$W"&amp;INDEX('Infos Clientes'!$C:$C,MATCH(C510,'Infos Clientes'!$H:$H,0))&amp;":$CZ"&amp;INDEX('Infos Clientes'!$C:$C,MATCH(C510,'Infos Clientes'!$H:$H,0))),'Infos Clientes'!$W$2:$CZ$2,"&gt;"&amp;$R510-365,'Infos Clientes'!$W$2:$CZ$2,"&lt;="&amp;$R510)/
COUNTIFS(INDIRECT("'Infos Clientes'!$W"&amp;INDEX('Infos Clientes'!$C:$C,MATCH(C510,'Infos Clientes'!$H:$H,0))&amp;":$CZ"&amp;INDEX('Infos Clientes'!$C:$C,MATCH(C510,'Infos Clientes'!$H:$H,0))),"&gt;="&amp;0,'Infos Clientes'!$W$2:$CZ$2,"&gt;"&amp;$R510-365,'Infos Clientes'!$W$2:$CZ$2,"&lt;="&amp;$R510),""),"")</f>
        <v>481.5</v>
      </c>
      <c r="CB510" s="87">
        <f>VLOOKUP(C510,'Infos Clientes'!B:L,11,0)</f>
        <v>0</v>
      </c>
      <c r="CC510" s="88" t="str">
        <f t="shared" si="300"/>
        <v>A Unidade Consumidora 10/127464-6 economizou R$109,15 na fatura referente à mai/2025  consumindo 450 kWh em créditos de energia renovável conforme fatura de energia. A economia foi de 25% em relação ao que seria pago para a Energisa considerando os créditos consumidos. Atenção: Mantenha as contas da Energisa em dia para evitar cortes.</v>
      </c>
      <c r="CD510" s="40" t="s">
        <v>37</v>
      </c>
      <c r="CE510" s="18">
        <v>340</v>
      </c>
      <c r="CF510" s="115">
        <f t="shared" si="301"/>
        <v>0</v>
      </c>
      <c r="CG510" t="s">
        <v>357</v>
      </c>
    </row>
    <row r="511" spans="1:85" ht="16.2" hidden="1" customHeight="1" x14ac:dyDescent="0.3">
      <c r="A511" s="105" t="str">
        <f>INDEX('Infos Clientes'!$D:$D,MATCH('Detalhe Por UC'!C511,'Infos Clientes'!B:B,0))</f>
        <v>IGREJA DO EVANGELHO QUADRANGULAR</v>
      </c>
      <c r="B511" s="106" t="str">
        <f>INDEX('Infos Clientes'!$F:$F,MATCH('Detalhe Por UC'!C511,'Infos Clientes'!B:B,0))</f>
        <v>62.955.505/1570-66</v>
      </c>
      <c r="C511" s="44" t="s">
        <v>172</v>
      </c>
      <c r="D511" t="s">
        <v>351</v>
      </c>
      <c r="E511" s="1" t="s">
        <v>352</v>
      </c>
      <c r="F511" s="56" t="str">
        <f>INDEX('Infos Clientes'!$I:$I,MATCH('Detalhe Por UC'!C511,'Infos Clientes'!B:B,0))</f>
        <v>BT</v>
      </c>
      <c r="G511" s="56" t="str">
        <f>INDEX('Infos Clientes'!$J:$J,MATCH('Detalhe Por UC'!C511,'Infos Clientes'!B:B,0))</f>
        <v>trifasico</v>
      </c>
      <c r="H511" s="108" t="s">
        <v>138</v>
      </c>
      <c r="I511" s="58">
        <f>IFERROR(VLOOKUP(C511,'Infos Clientes'!B:E,4,),"")</f>
        <v>357</v>
      </c>
      <c r="J511" s="109">
        <v>0.25</v>
      </c>
      <c r="K511" s="59">
        <f>INDEX('Infos Clientes'!$M:$M,MATCH('Detalhe Por UC'!C511,'Infos Clientes'!B:B,0))</f>
        <v>0.25</v>
      </c>
      <c r="L511" s="125">
        <v>0</v>
      </c>
      <c r="M511" s="56">
        <f>INDEX('Infos Clientes'!$N:$N,MATCH('Detalhe Por UC'!C511,'Infos Clientes'!B:B,0))</f>
        <v>0</v>
      </c>
      <c r="N511" s="56">
        <f t="shared" si="266"/>
        <v>0</v>
      </c>
      <c r="O511" s="56">
        <f t="shared" si="267"/>
        <v>9</v>
      </c>
      <c r="P511" s="56">
        <f t="shared" si="302"/>
        <v>0</v>
      </c>
      <c r="Q511" s="61">
        <f>IFERROR(IFERROR(INDEX('Infos Clientes'!$A$2:$V$9884,MATCH($C511,'Infos Clientes'!$B$2:$B$9884,0),MATCH(Q$8,'Infos Clientes'!$A$2:$V$2,0)),"")
+IF(OR(INDEX('Infos Clientes'!$A$2:$V$9884,MATCH($C511,'Infos Clientes'!$B$2:$B$9884,0),MATCH("Tempo de Fidelidade (meses)",'Infos Clientes'!$A$2:$V$2,0))=0,R511&gt;=MAX(R:R)),0,
ROUND((MAX(R:R)-R511)/(365/12),0)),"")</f>
        <v>0</v>
      </c>
      <c r="R511" s="111">
        <v>45778</v>
      </c>
      <c r="S511" s="63">
        <v>0.02</v>
      </c>
      <c r="T511" s="113" t="str">
        <f>IF($H511="GIROSSOL II",AP511/INDEX('Resumo Operacional'!$A$1:$P$1103,17,MATCH('Detalhe Por UC'!$R511,'Resumo Operacional'!$A$1:$P$1,0)),
IF($H511="GIROSSOL II e III",AP511/INDEX('Resumo Operacional'!$A$1:$P$1103,17,MATCH('Detalhe Por UC'!$R511,'Resumo Operacional'!$A$1:$P$1,0)),
""))</f>
        <v/>
      </c>
      <c r="U511" s="113">
        <f>IF($H511="GIROSSOL III",AP511/INDEX('Resumo Operacional'!$A$1:$P$1103,53,MATCH('Detalhe Por UC'!$R511,'Resumo Operacional'!$A$1:$P$1,0)),
IF($H511="GIROSSOL II e III",AP511/INDEX('Resumo Operacional'!$A$1:$P$1103,53,MATCH('Detalhe Por UC'!$R511,'Resumo Operacional'!$A$1:$P$1,0)),
""))</f>
        <v>2.59674776251103E-2</v>
      </c>
      <c r="V511" s="45"/>
      <c r="X511" s="18">
        <v>1.1306851119894596</v>
      </c>
      <c r="Y511" s="18">
        <v>0</v>
      </c>
      <c r="Z511" s="18">
        <v>0.97386013986013986</v>
      </c>
      <c r="AA511" s="18">
        <v>0</v>
      </c>
      <c r="AB511" s="143">
        <v>207</v>
      </c>
      <c r="AC511" s="143">
        <v>0</v>
      </c>
      <c r="AD511" s="143">
        <v>130</v>
      </c>
      <c r="AE511" s="35"/>
      <c r="AF511" s="143">
        <v>235</v>
      </c>
      <c r="AG511" s="143">
        <v>0</v>
      </c>
      <c r="AH511" s="48">
        <v>0</v>
      </c>
      <c r="AI511" s="143">
        <v>0</v>
      </c>
      <c r="AJ511" s="143">
        <v>0</v>
      </c>
      <c r="AN511" s="71">
        <f t="shared" si="268"/>
        <v>76</v>
      </c>
      <c r="AO511" s="71">
        <f t="shared" si="269"/>
        <v>0</v>
      </c>
      <c r="AP511" s="71">
        <f t="shared" si="270"/>
        <v>206</v>
      </c>
      <c r="AQ511" s="72">
        <f>IF(OR($H511="GIROSSOL II",$H511="GIROSSOL II e III"),INDEX('Resumo Operacional'!$A$1:$P$1103,MATCH("Energia Injetada prevista total Fatura da Usina (TUSD)",'Resumo Operacional'!$B$1:$B$1103,0),MATCH('Detalhe Por UC'!$R511,'Resumo Operacional'!$A$1:$P$1,0))*$S511,INDEX('Resumo Operacional'!$A$1:$P$1103,53,MATCH('Detalhe Por UC'!$R511,'Resumo Operacional'!$A$1:$P$1,0))*$S511)</f>
        <v>158.66</v>
      </c>
      <c r="AR511" s="71">
        <f t="shared" si="271"/>
        <v>47.34</v>
      </c>
      <c r="AS511" s="73">
        <f t="shared" si="272"/>
        <v>107.44999999999995</v>
      </c>
      <c r="AT511" s="74">
        <f t="shared" si="273"/>
        <v>107.44999999999995</v>
      </c>
      <c r="AU511" s="74">
        <f t="shared" si="274"/>
        <v>0.81703516773082008</v>
      </c>
      <c r="AV511" s="74">
        <f t="shared" si="275"/>
        <v>94.951363636363638</v>
      </c>
      <c r="AW511" s="74">
        <f t="shared" si="276"/>
        <v>0</v>
      </c>
      <c r="AX511" s="74">
        <f t="shared" si="277"/>
        <v>126.60181818181819</v>
      </c>
      <c r="AY511" s="74">
        <f t="shared" si="278"/>
        <v>94.95</v>
      </c>
      <c r="AZ511" s="49">
        <v>94.95</v>
      </c>
      <c r="BA511" s="49">
        <v>94.95</v>
      </c>
      <c r="BC511" s="73" t="str">
        <f t="shared" si="279"/>
        <v/>
      </c>
      <c r="BD511" s="73">
        <f t="shared" si="280"/>
        <v>234.05181818181813</v>
      </c>
      <c r="BE511" s="73">
        <f t="shared" si="281"/>
        <v>202.40136363636358</v>
      </c>
      <c r="BF511" s="77">
        <f t="shared" si="282"/>
        <v>31.65</v>
      </c>
      <c r="BG511" s="77">
        <f t="shared" si="283"/>
        <v>9.4949999999999992</v>
      </c>
      <c r="BH511" s="77">
        <f t="shared" si="284"/>
        <v>126.60181818181819</v>
      </c>
      <c r="BI511" s="78">
        <f t="shared" si="285"/>
        <v>0.25</v>
      </c>
      <c r="BJ511" s="79">
        <f t="shared" si="286"/>
        <v>0.13522646500192267</v>
      </c>
      <c r="BK511" s="80">
        <f t="shared" si="287"/>
        <v>202.39999999999995</v>
      </c>
      <c r="BL511" s="80">
        <f t="shared" si="288"/>
        <v>31.651818181818186</v>
      </c>
      <c r="BM511" s="79">
        <f t="shared" si="289"/>
        <v>0.13523423328944256</v>
      </c>
      <c r="BN511" s="81">
        <f t="shared" si="290"/>
        <v>0.73038461538461541</v>
      </c>
      <c r="BO511" s="82">
        <f t="shared" si="291"/>
        <v>94.95</v>
      </c>
      <c r="BP511" s="81">
        <f t="shared" si="292"/>
        <v>0.73038461538461541</v>
      </c>
      <c r="BQ511" s="81">
        <f t="shared" si="293"/>
        <v>0.88720958751393519</v>
      </c>
      <c r="BR511" s="81">
        <f t="shared" si="294"/>
        <v>1.1306851119894596</v>
      </c>
      <c r="BS511" s="82">
        <f t="shared" si="295"/>
        <v>130</v>
      </c>
      <c r="BT511" s="82">
        <f t="shared" si="296"/>
        <v>146.98906455862976</v>
      </c>
      <c r="BU511" s="82">
        <f t="shared" si="297"/>
        <v>126.60181818181819</v>
      </c>
      <c r="BW511" s="82">
        <f>IFERROR(INDEX('Infos Clientes'!$T:$T,MATCH('Detalhe Por UC'!$C511,'Infos Clientes'!B:B,0)),"")</f>
        <v>324.72727272727275</v>
      </c>
      <c r="BX511" s="83">
        <f t="shared" si="298"/>
        <v>0</v>
      </c>
      <c r="BY511" s="84">
        <f t="shared" si="299"/>
        <v>0.21533450993011233</v>
      </c>
      <c r="BZ511" s="85">
        <f>IF(_xlfn.MINIFS('Detalhe Por UC'!R:R,'Detalhe Por UC'!C:C,C511,'Detalhe Por UC'!AD:AD,"&gt;"&amp;0)=0,"",_xlfn.MINIFS('Detalhe Por UC'!R:R,'Detalhe Por UC'!C:C,C511,'Detalhe Por UC'!AD:AD,"&gt;"&amp;0))</f>
        <v>45658</v>
      </c>
      <c r="CA511" s="114">
        <f ca="1">IF(OR(S511&gt;0,AD511&gt;0),IFERROR(
SUMIFS(INDIRECT("'Infos Clientes'!$W"&amp;INDEX('Infos Clientes'!$C:$C,MATCH(C511,'Infos Clientes'!$H:$H,0))&amp;":$CZ"&amp;INDEX('Infos Clientes'!$C:$C,MATCH(C511,'Infos Clientes'!$H:$H,0))),'Infos Clientes'!$W$2:$CZ$2,"&gt;"&amp;$R511-365,'Infos Clientes'!$W$2:$CZ$2,"&lt;="&amp;$R511)/
COUNTIFS(INDIRECT("'Infos Clientes'!$W"&amp;INDEX('Infos Clientes'!$C:$C,MATCH(C511,'Infos Clientes'!$H:$H,0))&amp;":$CZ"&amp;INDEX('Infos Clientes'!$C:$C,MATCH(C511,'Infos Clientes'!$H:$H,0))),"&gt;="&amp;0,'Infos Clientes'!$W$2:$CZ$2,"&gt;"&amp;$R511-365,'Infos Clientes'!$W$2:$CZ$2,"&lt;="&amp;$R511),""),"")</f>
        <v>275.25</v>
      </c>
      <c r="CB511" s="87">
        <f>VLOOKUP(C511,'Infos Clientes'!B:L,11,0)</f>
        <v>0</v>
      </c>
      <c r="CC511" s="88" t="str">
        <f t="shared" si="300"/>
        <v>A Unidade Consumidora 10/24514-2 economizou R$31,65 na fatura referente à mai/2025  consumindo 130 kWh em créditos de energia renovável conforme fatura de energia. A economia foi de 25% em relação ao que seria pago para a Energisa considerando os créditos consumidos. Atenção: Mantenha as contas da Energisa em dia para evitar cortes.</v>
      </c>
      <c r="CD511" s="40" t="s">
        <v>80</v>
      </c>
      <c r="CE511" s="18">
        <v>107.45</v>
      </c>
      <c r="CF511" s="115">
        <f t="shared" si="301"/>
        <v>0</v>
      </c>
      <c r="CG511" t="s">
        <v>357</v>
      </c>
    </row>
    <row r="512" spans="1:85" ht="16.2" hidden="1" customHeight="1" x14ac:dyDescent="0.3">
      <c r="A512" s="105" t="str">
        <f>INDEX('Infos Clientes'!$D:$D,MATCH('Detalhe Por UC'!C512,'Infos Clientes'!B:B,0))</f>
        <v>IGREJA DO EVANGELHO QUADRANGULAR</v>
      </c>
      <c r="B512" s="106" t="str">
        <f>INDEX('Infos Clientes'!$F:$F,MATCH('Detalhe Por UC'!C512,'Infos Clientes'!B:B,0))</f>
        <v>62.955.505/2876-01</v>
      </c>
      <c r="C512" s="44" t="s">
        <v>180</v>
      </c>
      <c r="D512" t="s">
        <v>351</v>
      </c>
      <c r="E512" s="1" t="s">
        <v>352</v>
      </c>
      <c r="F512" s="56" t="str">
        <f>INDEX('Infos Clientes'!$I:$I,MATCH('Detalhe Por UC'!C512,'Infos Clientes'!B:B,0))</f>
        <v>BT</v>
      </c>
      <c r="G512" s="56" t="str">
        <f>INDEX('Infos Clientes'!$J:$J,MATCH('Detalhe Por UC'!C512,'Infos Clientes'!B:B,0))</f>
        <v>trifasico</v>
      </c>
      <c r="H512" s="108" t="s">
        <v>138</v>
      </c>
      <c r="I512" s="58">
        <f>IFERROR(VLOOKUP(C512,'Infos Clientes'!B:E,4,),"")</f>
        <v>994</v>
      </c>
      <c r="J512" s="109">
        <v>0.25</v>
      </c>
      <c r="K512" s="59">
        <f>INDEX('Infos Clientes'!$M:$M,MATCH('Detalhe Por UC'!C512,'Infos Clientes'!B:B,0))</f>
        <v>0.25</v>
      </c>
      <c r="L512" s="125">
        <v>0</v>
      </c>
      <c r="M512" s="56">
        <f>INDEX('Infos Clientes'!$N:$N,MATCH('Detalhe Por UC'!C512,'Infos Clientes'!B:B,0))</f>
        <v>0</v>
      </c>
      <c r="N512" s="56">
        <f t="shared" si="266"/>
        <v>0</v>
      </c>
      <c r="O512" s="56">
        <f t="shared" si="267"/>
        <v>11</v>
      </c>
      <c r="P512" s="56">
        <f t="shared" si="302"/>
        <v>0</v>
      </c>
      <c r="Q512" s="61">
        <f>IFERROR(IFERROR(INDEX('Infos Clientes'!$A$2:$V$9884,MATCH($C512,'Infos Clientes'!$B$2:$B$9884,0),MATCH(Q$8,'Infos Clientes'!$A$2:$V$2,0)),"")
+IF(OR(INDEX('Infos Clientes'!$A$2:$V$9884,MATCH($C512,'Infos Clientes'!$B$2:$B$9884,0),MATCH("Tempo de Fidelidade (meses)",'Infos Clientes'!$A$2:$V$2,0))=0,R512&gt;=MAX(R:R)),0,
ROUND((MAX(R:R)-R512)/(365/12),0)),"")</f>
        <v>0</v>
      </c>
      <c r="R512" s="111">
        <v>45778</v>
      </c>
      <c r="S512" s="63">
        <v>0.01</v>
      </c>
      <c r="T512" s="113" t="str">
        <f>IF($H512="GIROSSOL II",AP512/INDEX('Resumo Operacional'!$A$1:$P$1103,17,MATCH('Detalhe Por UC'!$R512,'Resumo Operacional'!$A$1:$P$1,0)),
IF($H512="GIROSSOL II e III",AP512/INDEX('Resumo Operacional'!$A$1:$P$1103,17,MATCH('Detalhe Por UC'!$R512,'Resumo Operacional'!$A$1:$P$1,0)),
""))</f>
        <v/>
      </c>
      <c r="U512" s="113">
        <f>IF($H512="GIROSSOL III",AP512/INDEX('Resumo Operacional'!$A$1:$P$1103,53,MATCH('Detalhe Por UC'!$R512,'Resumo Operacional'!$A$1:$P$1,0)),
IF($H512="GIROSSOL II e III",AP512/INDEX('Resumo Operacional'!$A$1:$P$1103,53,MATCH('Detalhe Por UC'!$R512,'Resumo Operacional'!$A$1:$P$1,0)),
""))</f>
        <v>2.2942140426068323E-2</v>
      </c>
      <c r="V512" s="45"/>
      <c r="X512" s="18">
        <v>1.1354331279449075</v>
      </c>
      <c r="Y512" s="18">
        <v>0</v>
      </c>
      <c r="Z512" s="18">
        <v>0.97851719441607066</v>
      </c>
      <c r="AA512" s="18">
        <v>0</v>
      </c>
      <c r="AB512" s="143">
        <v>155</v>
      </c>
      <c r="AC512" s="143">
        <v>0</v>
      </c>
      <c r="AD512" s="143">
        <v>66</v>
      </c>
      <c r="AE512" s="35"/>
      <c r="AF512" s="143">
        <v>205</v>
      </c>
      <c r="AG512" s="143">
        <v>0</v>
      </c>
      <c r="AH512" s="48">
        <v>37.25</v>
      </c>
      <c r="AI512" s="143">
        <v>0</v>
      </c>
      <c r="AJ512" s="143">
        <v>0</v>
      </c>
      <c r="AN512" s="71">
        <f t="shared" si="268"/>
        <v>116</v>
      </c>
      <c r="AO512" s="71">
        <f t="shared" si="269"/>
        <v>0</v>
      </c>
      <c r="AP512" s="71">
        <f t="shared" si="270"/>
        <v>182</v>
      </c>
      <c r="AQ512" s="72">
        <f>IF(OR($H512="GIROSSOL II",$H512="GIROSSOL II e III"),INDEX('Resumo Operacional'!$A$1:$P$1103,MATCH("Energia Injetada prevista total Fatura da Usina (TUSD)",'Resumo Operacional'!$B$1:$B$1103,0),MATCH('Detalhe Por UC'!$R512,'Resumo Operacional'!$A$1:$P$1,0))*$S512,INDEX('Resumo Operacional'!$A$1:$P$1103,53,MATCH('Detalhe Por UC'!$R512,'Resumo Operacional'!$A$1:$P$1,0))*$S512)</f>
        <v>79.33</v>
      </c>
      <c r="AR512" s="71">
        <f t="shared" si="271"/>
        <v>102.67</v>
      </c>
      <c r="AS512" s="73">
        <f t="shared" si="272"/>
        <v>148.65999999999997</v>
      </c>
      <c r="AT512" s="74">
        <f t="shared" si="273"/>
        <v>148.65999999999997</v>
      </c>
      <c r="AU512" s="74">
        <f t="shared" si="274"/>
        <v>0.82160126088723384</v>
      </c>
      <c r="AV512" s="74">
        <f t="shared" si="275"/>
        <v>48.436601123595494</v>
      </c>
      <c r="AW512" s="74">
        <f t="shared" si="276"/>
        <v>0</v>
      </c>
      <c r="AX512" s="74">
        <f t="shared" si="277"/>
        <v>64.582134831460664</v>
      </c>
      <c r="AY512" s="74">
        <f t="shared" si="278"/>
        <v>48.44</v>
      </c>
      <c r="AZ512" s="49">
        <v>48.44</v>
      </c>
      <c r="BA512" s="49">
        <v>48.44</v>
      </c>
      <c r="BB512" s="117">
        <v>48.44</v>
      </c>
      <c r="BC512" s="73" t="str">
        <f t="shared" si="279"/>
        <v/>
      </c>
      <c r="BD512" s="73">
        <f t="shared" si="280"/>
        <v>213.24213483146065</v>
      </c>
      <c r="BE512" s="73">
        <f t="shared" si="281"/>
        <v>197.09660112359546</v>
      </c>
      <c r="BF512" s="77">
        <f t="shared" si="282"/>
        <v>16.149999999999999</v>
      </c>
      <c r="BG512" s="77">
        <f t="shared" si="283"/>
        <v>4.8449999999999998</v>
      </c>
      <c r="BH512" s="77">
        <f t="shared" si="284"/>
        <v>64.582134831460664</v>
      </c>
      <c r="BI512" s="78">
        <f t="shared" si="285"/>
        <v>0.25</v>
      </c>
      <c r="BJ512" s="79">
        <f t="shared" si="286"/>
        <v>7.5735501394995935E-2</v>
      </c>
      <c r="BK512" s="80">
        <f t="shared" si="287"/>
        <v>197.09999999999997</v>
      </c>
      <c r="BL512" s="80">
        <f t="shared" si="288"/>
        <v>16.14213483146068</v>
      </c>
      <c r="BM512" s="79">
        <f t="shared" si="289"/>
        <v>7.5698617649925873E-2</v>
      </c>
      <c r="BN512" s="81">
        <f t="shared" si="290"/>
        <v>0.73393939393939389</v>
      </c>
      <c r="BO512" s="82">
        <f t="shared" si="291"/>
        <v>48.44</v>
      </c>
      <c r="BP512" s="81">
        <f t="shared" si="292"/>
        <v>0.73393939393939389</v>
      </c>
      <c r="BQ512" s="81">
        <f t="shared" si="293"/>
        <v>0.89085532746823071</v>
      </c>
      <c r="BR512" s="81">
        <f t="shared" si="294"/>
        <v>1.1354331279449075</v>
      </c>
      <c r="BS512" s="82">
        <f t="shared" si="295"/>
        <v>66</v>
      </c>
      <c r="BT512" s="82">
        <f t="shared" si="296"/>
        <v>74.938586444363892</v>
      </c>
      <c r="BU512" s="82">
        <f t="shared" si="297"/>
        <v>64.582134831460664</v>
      </c>
      <c r="BW512" s="82">
        <f>IFERROR(INDEX('Infos Clientes'!$T:$T,MATCH('Detalhe Por UC'!$C512,'Infos Clientes'!B:B,0)),"")</f>
        <v>143.63636363636363</v>
      </c>
      <c r="BX512" s="83">
        <f t="shared" si="298"/>
        <v>0</v>
      </c>
      <c r="BY512" s="84">
        <f t="shared" si="299"/>
        <v>0.21540484812113389</v>
      </c>
      <c r="BZ512" s="85">
        <f>IF(_xlfn.MINIFS('Detalhe Por UC'!R:R,'Detalhe Por UC'!C:C,C512,'Detalhe Por UC'!AD:AD,"&gt;"&amp;0)=0,"",_xlfn.MINIFS('Detalhe Por UC'!R:R,'Detalhe Por UC'!C:C,C512,'Detalhe Por UC'!AD:AD,"&gt;"&amp;0))</f>
        <v>45658</v>
      </c>
      <c r="CA512" s="114">
        <f ca="1">IF(OR(S512&gt;0,AD512&gt;0),IFERROR(
SUMIFS(INDIRECT("'Infos Clientes'!$W"&amp;INDEX('Infos Clientes'!$C:$C,MATCH(C512,'Infos Clientes'!$H:$H,0))&amp;":$CZ"&amp;INDEX('Infos Clientes'!$C:$C,MATCH(C512,'Infos Clientes'!$H:$H,0))),'Infos Clientes'!$W$2:$CZ$2,"&gt;"&amp;$R512-365,'Infos Clientes'!$W$2:$CZ$2,"&lt;="&amp;$R512)/
COUNTIFS(INDIRECT("'Infos Clientes'!$W"&amp;INDEX('Infos Clientes'!$C:$C,MATCH(C512,'Infos Clientes'!$H:$H,0))&amp;":$CZ"&amp;INDEX('Infos Clientes'!$C:$C,MATCH(C512,'Infos Clientes'!$H:$H,0))),"&gt;="&amp;0,'Infos Clientes'!$W$2:$CZ$2,"&gt;"&amp;$R512-365,'Infos Clientes'!$W$2:$CZ$2,"&lt;="&amp;$R512),""),"")</f>
        <v>143.16666666666666</v>
      </c>
      <c r="CB512" s="87">
        <f>VLOOKUP(C512,'Infos Clientes'!B:L,11,0)</f>
        <v>0</v>
      </c>
      <c r="CC512" s="88" t="str">
        <f t="shared" si="300"/>
        <v>A Unidade Consumidora 10/283183-2 economizou R$16,15 na fatura referente à mai/2025  consumindo 66 kWh em créditos de energia renovável conforme fatura de energia. A economia foi de 25% em relação ao que seria pago para a Energisa considerando os créditos consumidos. Atenção: Mantenha as contas da Energisa em dia para evitar cortes.</v>
      </c>
      <c r="CD512" s="40" t="s">
        <v>182</v>
      </c>
      <c r="CE512" s="18">
        <v>148.66</v>
      </c>
      <c r="CF512" s="115">
        <f t="shared" si="301"/>
        <v>0</v>
      </c>
      <c r="CG512" t="s">
        <v>358</v>
      </c>
    </row>
    <row r="513" spans="1:85" ht="16.2" hidden="1" customHeight="1" x14ac:dyDescent="0.3">
      <c r="A513" s="105" t="str">
        <f>INDEX('Infos Clientes'!$D:$D,MATCH('Detalhe Por UC'!C513,'Infos Clientes'!B:B,0))</f>
        <v>IGREJA DO EVANGELHO QUADRANGULAR</v>
      </c>
      <c r="B513" s="106" t="str">
        <f>INDEX('Infos Clientes'!$F:$F,MATCH('Detalhe Por UC'!C513,'Infos Clientes'!B:B,0))</f>
        <v>62.955.505/1975-21</v>
      </c>
      <c r="C513" s="44" t="s">
        <v>154</v>
      </c>
      <c r="D513" t="s">
        <v>351</v>
      </c>
      <c r="E513" s="1" t="s">
        <v>352</v>
      </c>
      <c r="F513" s="56" t="str">
        <f>INDEX('Infos Clientes'!$I:$I,MATCH('Detalhe Por UC'!C513,'Infos Clientes'!B:B,0))</f>
        <v>BT</v>
      </c>
      <c r="G513" s="56" t="str">
        <f>INDEX('Infos Clientes'!$J:$J,MATCH('Detalhe Por UC'!C513,'Infos Clientes'!B:B,0))</f>
        <v>bifasico</v>
      </c>
      <c r="H513" s="108" t="s">
        <v>138</v>
      </c>
      <c r="I513" s="58">
        <f>IFERROR(VLOOKUP(C513,'Infos Clientes'!B:E,4,),"")</f>
        <v>357</v>
      </c>
      <c r="J513" s="109">
        <v>0.25</v>
      </c>
      <c r="K513" s="59">
        <f>INDEX('Infos Clientes'!$M:$M,MATCH('Detalhe Por UC'!C513,'Infos Clientes'!B:B,0))</f>
        <v>0.25</v>
      </c>
      <c r="L513" s="125">
        <v>0</v>
      </c>
      <c r="M513" s="56">
        <f>INDEX('Infos Clientes'!$N:$N,MATCH('Detalhe Por UC'!C513,'Infos Clientes'!B:B,0))</f>
        <v>0</v>
      </c>
      <c r="N513" s="56">
        <f t="shared" si="266"/>
        <v>0</v>
      </c>
      <c r="O513" s="56">
        <f t="shared" si="267"/>
        <v>9</v>
      </c>
      <c r="P513" s="56">
        <f t="shared" si="302"/>
        <v>0</v>
      </c>
      <c r="Q513" s="61">
        <f>IFERROR(IFERROR(INDEX('Infos Clientes'!$A$2:$V$9884,MATCH($C513,'Infos Clientes'!$B$2:$B$9884,0),MATCH(Q$8,'Infos Clientes'!$A$2:$V$2,0)),"")
+IF(OR(INDEX('Infos Clientes'!$A$2:$V$9884,MATCH($C513,'Infos Clientes'!$B$2:$B$9884,0),MATCH("Tempo de Fidelidade (meses)",'Infos Clientes'!$A$2:$V$2,0))=0,R513&gt;=MAX(R:R)),0,
ROUND((MAX(R:R)-R513)/(365/12),0)),"")</f>
        <v>0</v>
      </c>
      <c r="R513" s="111">
        <v>45778</v>
      </c>
      <c r="S513" s="63">
        <v>0.02</v>
      </c>
      <c r="T513" s="113" t="str">
        <f>IF($H513="GIROSSOL II",AP513/INDEX('Resumo Operacional'!$A$1:$P$1103,17,MATCH('Detalhe Por UC'!$R513,'Resumo Operacional'!$A$1:$P$1,0)),
IF($H513="GIROSSOL II e III",AP513/INDEX('Resumo Operacional'!$A$1:$P$1103,17,MATCH('Detalhe Por UC'!$R513,'Resumo Operacional'!$A$1:$P$1,0)),
""))</f>
        <v/>
      </c>
      <c r="U513" s="113">
        <f>IF($H513="GIROSSOL III",AP513/INDEX('Resumo Operacional'!$A$1:$P$1103,53,MATCH('Detalhe Por UC'!$R513,'Resumo Operacional'!$A$1:$P$1,0)),
IF($H513="GIROSSOL II e III",AP513/INDEX('Resumo Operacional'!$A$1:$P$1103,53,MATCH('Detalhe Por UC'!$R513,'Resumo Operacional'!$A$1:$P$1,0)),
""))</f>
        <v>4.5884280852136645E-2</v>
      </c>
      <c r="V513" s="45"/>
      <c r="X513" s="18">
        <v>1.1215986394557824</v>
      </c>
      <c r="Y513" s="18">
        <v>0</v>
      </c>
      <c r="Z513" s="18">
        <v>0.96472789115646262</v>
      </c>
      <c r="AA513" s="18">
        <v>0</v>
      </c>
      <c r="AB513" s="143">
        <v>294</v>
      </c>
      <c r="AC513" s="143">
        <v>0</v>
      </c>
      <c r="AD513" s="143">
        <v>294</v>
      </c>
      <c r="AE513" s="35"/>
      <c r="AF513" s="143">
        <v>70</v>
      </c>
      <c r="AG513" s="143">
        <v>0</v>
      </c>
      <c r="AH513" s="48">
        <v>0</v>
      </c>
      <c r="AI513" s="143">
        <v>0</v>
      </c>
      <c r="AJ513" s="143">
        <v>0</v>
      </c>
      <c r="AN513" s="71">
        <f t="shared" si="268"/>
        <v>70</v>
      </c>
      <c r="AO513" s="71">
        <f t="shared" si="269"/>
        <v>0</v>
      </c>
      <c r="AP513" s="71">
        <f t="shared" si="270"/>
        <v>364</v>
      </c>
      <c r="AQ513" s="72">
        <f>IF(OR($H513="GIROSSOL II",$H513="GIROSSOL II e III"),INDEX('Resumo Operacional'!$A$1:$P$1103,MATCH("Energia Injetada prevista total Fatura da Usina (TUSD)",'Resumo Operacional'!$B$1:$B$1103,0),MATCH('Detalhe Por UC'!$R513,'Resumo Operacional'!$A$1:$P$1,0))*$S513,INDEX('Resumo Operacional'!$A$1:$P$1103,53,MATCH('Detalhe Por UC'!$R513,'Resumo Operacional'!$A$1:$P$1,0))*$S513)</f>
        <v>158.66</v>
      </c>
      <c r="AR513" s="71">
        <f t="shared" si="271"/>
        <v>205.34</v>
      </c>
      <c r="AS513" s="73">
        <f t="shared" si="272"/>
        <v>46.120000000000061</v>
      </c>
      <c r="AT513" s="74">
        <f t="shared" si="273"/>
        <v>46.120000000000061</v>
      </c>
      <c r="AU513" s="74">
        <f t="shared" si="274"/>
        <v>0.80785714285714283</v>
      </c>
      <c r="AV513" s="74">
        <f t="shared" si="275"/>
        <v>212.7225</v>
      </c>
      <c r="AW513" s="74">
        <f t="shared" si="276"/>
        <v>0</v>
      </c>
      <c r="AX513" s="74">
        <f t="shared" si="277"/>
        <v>283.63</v>
      </c>
      <c r="AY513" s="74">
        <f t="shared" si="278"/>
        <v>212.72</v>
      </c>
      <c r="AZ513" s="49">
        <v>212.72</v>
      </c>
      <c r="BA513" s="49">
        <v>212.72</v>
      </c>
      <c r="BB513" s="117">
        <v>212.72</v>
      </c>
      <c r="BC513" s="73" t="str">
        <f t="shared" si="279"/>
        <v/>
      </c>
      <c r="BD513" s="73">
        <f t="shared" si="280"/>
        <v>329.75000000000006</v>
      </c>
      <c r="BE513" s="73">
        <f t="shared" si="281"/>
        <v>258.84250000000009</v>
      </c>
      <c r="BF513" s="77">
        <f t="shared" si="282"/>
        <v>70.91</v>
      </c>
      <c r="BG513" s="77">
        <f t="shared" si="283"/>
        <v>21.273</v>
      </c>
      <c r="BH513" s="77">
        <f t="shared" si="284"/>
        <v>283.63000000000005</v>
      </c>
      <c r="BI513" s="78">
        <f t="shared" si="285"/>
        <v>0.25</v>
      </c>
      <c r="BJ513" s="79">
        <f t="shared" si="286"/>
        <v>0.21504169825625469</v>
      </c>
      <c r="BK513" s="80">
        <f t="shared" si="287"/>
        <v>258.84000000000003</v>
      </c>
      <c r="BL513" s="80">
        <f t="shared" si="288"/>
        <v>70.910000000000025</v>
      </c>
      <c r="BM513" s="79">
        <f t="shared" si="289"/>
        <v>0.21504169825625477</v>
      </c>
      <c r="BN513" s="81">
        <f t="shared" si="290"/>
        <v>0.72353741496598634</v>
      </c>
      <c r="BO513" s="82">
        <f t="shared" si="291"/>
        <v>212.71999999999997</v>
      </c>
      <c r="BP513" s="81">
        <f t="shared" si="292"/>
        <v>0.72353741496598634</v>
      </c>
      <c r="BQ513" s="81">
        <f t="shared" si="293"/>
        <v>0.88040816326530613</v>
      </c>
      <c r="BR513" s="81">
        <f t="shared" si="294"/>
        <v>1.1215986394557824</v>
      </c>
      <c r="BS513" s="82">
        <f t="shared" si="295"/>
        <v>294</v>
      </c>
      <c r="BT513" s="82">
        <f t="shared" si="296"/>
        <v>329.75000000000006</v>
      </c>
      <c r="BU513" s="82">
        <f t="shared" si="297"/>
        <v>283.63</v>
      </c>
      <c r="BW513" s="82">
        <f>IFERROR(INDEX('Infos Clientes'!$T:$T,MATCH('Detalhe Por UC'!$C513,'Infos Clientes'!B:B,0)),"")</f>
        <v>278.36363636363637</v>
      </c>
      <c r="BX513" s="83">
        <f t="shared" si="298"/>
        <v>0</v>
      </c>
      <c r="BY513" s="84">
        <f t="shared" si="299"/>
        <v>0.2150416982562548</v>
      </c>
      <c r="BZ513" s="85">
        <f>IF(_xlfn.MINIFS('Detalhe Por UC'!R:R,'Detalhe Por UC'!C:C,C513,'Detalhe Por UC'!AD:AD,"&gt;"&amp;0)=0,"",_xlfn.MINIFS('Detalhe Por UC'!R:R,'Detalhe Por UC'!C:C,C513,'Detalhe Por UC'!AD:AD,"&gt;"&amp;0))</f>
        <v>45658</v>
      </c>
      <c r="CA513" s="114">
        <f ca="1">IF(OR(S513&gt;0,AD513&gt;0),IFERROR(
SUMIFS(INDIRECT("'Infos Clientes'!$W"&amp;INDEX('Infos Clientes'!$C:$C,MATCH(C513,'Infos Clientes'!$H:$H,0))&amp;":$CZ"&amp;INDEX('Infos Clientes'!$C:$C,MATCH(C513,'Infos Clientes'!$H:$H,0))),'Infos Clientes'!$W$2:$CZ$2,"&gt;"&amp;$R513-365,'Infos Clientes'!$W$2:$CZ$2,"&lt;="&amp;$R513)/
COUNTIFS(INDIRECT("'Infos Clientes'!$W"&amp;INDEX('Infos Clientes'!$C:$C,MATCH(C513,'Infos Clientes'!$H:$H,0))&amp;":$CZ"&amp;INDEX('Infos Clientes'!$C:$C,MATCH(C513,'Infos Clientes'!$H:$H,0))),"&gt;="&amp;0,'Infos Clientes'!$W$2:$CZ$2,"&gt;"&amp;$R513-365,'Infos Clientes'!$W$2:$CZ$2,"&lt;="&amp;$R513),""),"")</f>
        <v>274.41666666666669</v>
      </c>
      <c r="CB513" s="87">
        <f>VLOOKUP(C513,'Infos Clientes'!B:L,11,0)</f>
        <v>0</v>
      </c>
      <c r="CC513" s="88" t="str">
        <f t="shared" si="300"/>
        <v>A Unidade Consumidora 10/13786-9 economizou R$70,91 na fatura referente à mai/2025  consumindo 294 kWh em créditos de energia renovável conforme fatura de energia. A economia foi de 25% em relação ao que seria pago para a Energisa considerando os créditos consumidos. Atenção: Mantenha as contas da Energisa em dia para evitar cortes.</v>
      </c>
      <c r="CD513" s="40" t="s">
        <v>40</v>
      </c>
      <c r="CE513" s="18">
        <v>46.12</v>
      </c>
      <c r="CF513" s="115">
        <f t="shared" si="301"/>
        <v>-6.3948846218409017E-14</v>
      </c>
      <c r="CG513" t="s">
        <v>358</v>
      </c>
    </row>
    <row r="514" spans="1:85" ht="16.2" hidden="1" customHeight="1" x14ac:dyDescent="0.3">
      <c r="A514" s="105" t="str">
        <f>INDEX('Infos Clientes'!$D:$D,MATCH('Detalhe Por UC'!C514,'Infos Clientes'!B:B,0))</f>
        <v>IGREJA DO EVANGELHO QUADRANGULAR</v>
      </c>
      <c r="B514" s="106" t="str">
        <f>INDEX('Infos Clientes'!$F:$F,MATCH('Detalhe Por UC'!C514,'Infos Clientes'!B:B,0))</f>
        <v>62.955.505/1355-00</v>
      </c>
      <c r="C514" s="44" t="s">
        <v>219</v>
      </c>
      <c r="D514" t="s">
        <v>351</v>
      </c>
      <c r="E514" s="1" t="s">
        <v>352</v>
      </c>
      <c r="F514" s="56" t="str">
        <f>INDEX('Infos Clientes'!$I:$I,MATCH('Detalhe Por UC'!C514,'Infos Clientes'!B:B,0))</f>
        <v>BT</v>
      </c>
      <c r="G514" s="56" t="str">
        <f>INDEX('Infos Clientes'!$J:$J,MATCH('Detalhe Por UC'!C514,'Infos Clientes'!B:B,0))</f>
        <v>trifasico</v>
      </c>
      <c r="H514" s="108" t="s">
        <v>138</v>
      </c>
      <c r="I514" s="58">
        <f>IFERROR(VLOOKUP(C514,'Infos Clientes'!B:E,4,),"")</f>
        <v>319</v>
      </c>
      <c r="J514" s="109">
        <v>0.25</v>
      </c>
      <c r="K514" s="59">
        <f>INDEX('Infos Clientes'!$M:$M,MATCH('Detalhe Por UC'!C514,'Infos Clientes'!B:B,0))</f>
        <v>0.25</v>
      </c>
      <c r="L514" s="125">
        <v>0</v>
      </c>
      <c r="M514" s="56">
        <f>INDEX('Infos Clientes'!$N:$N,MATCH('Detalhe Por UC'!C514,'Infos Clientes'!B:B,0))</f>
        <v>0</v>
      </c>
      <c r="N514" s="56">
        <f t="shared" si="266"/>
        <v>0</v>
      </c>
      <c r="O514" s="56">
        <f t="shared" si="267"/>
        <v>9</v>
      </c>
      <c r="P514" s="56">
        <f t="shared" si="302"/>
        <v>0</v>
      </c>
      <c r="Q514" s="61">
        <f>IFERROR(IFERROR(INDEX('Infos Clientes'!$A$2:$V$9884,MATCH($C514,'Infos Clientes'!$B$2:$B$9884,0),MATCH(Q$8,'Infos Clientes'!$A$2:$V$2,0)),"")
+IF(OR(INDEX('Infos Clientes'!$A$2:$V$9884,MATCH($C514,'Infos Clientes'!$B$2:$B$9884,0),MATCH("Tempo de Fidelidade (meses)",'Infos Clientes'!$A$2:$V$2,0))=0,R514&gt;=MAX(R:R)),0,
ROUND((MAX(R:R)-R514)/(365/12),0)),"")</f>
        <v>0</v>
      </c>
      <c r="R514" s="111">
        <v>45778</v>
      </c>
      <c r="S514" s="63">
        <v>0.02</v>
      </c>
      <c r="T514" s="113" t="str">
        <f>IF($H514="GIROSSOL II",AP514/INDEX('Resumo Operacional'!$A$1:$P$1103,17,MATCH('Detalhe Por UC'!$R514,'Resumo Operacional'!$A$1:$P$1,0)),
IF($H514="GIROSSOL II e III",AP514/INDEX('Resumo Operacional'!$A$1:$P$1103,17,MATCH('Detalhe Por UC'!$R514,'Resumo Operacional'!$A$1:$P$1,0)),
""))</f>
        <v/>
      </c>
      <c r="U514" s="113">
        <f>IF($H514="GIROSSOL III",AP514/INDEX('Resumo Operacional'!$A$1:$P$1103,53,MATCH('Detalhe Por UC'!$R514,'Resumo Operacional'!$A$1:$P$1,0)),
IF($H514="GIROSSOL II e III",AP514/INDEX('Resumo Operacional'!$A$1:$P$1103,53,MATCH('Detalhe Por UC'!$R514,'Resumo Operacional'!$A$1:$P$1,0)),
""))</f>
        <v>2.59674776251103E-2</v>
      </c>
      <c r="V514" s="45"/>
      <c r="X514" s="18">
        <v>1.1306302296599609</v>
      </c>
      <c r="Y514" s="18">
        <v>0</v>
      </c>
      <c r="Z514" s="18">
        <v>0.97373312810798029</v>
      </c>
      <c r="AA514" s="18">
        <v>0</v>
      </c>
      <c r="AB514" s="143">
        <v>411</v>
      </c>
      <c r="AC514" s="143">
        <v>0</v>
      </c>
      <c r="AD514" s="143">
        <v>206</v>
      </c>
      <c r="AE514" s="35"/>
      <c r="AF514" s="143">
        <v>0</v>
      </c>
      <c r="AG514" s="143">
        <v>0</v>
      </c>
      <c r="AH514" s="48">
        <v>83.63</v>
      </c>
      <c r="AI514" s="143">
        <v>0</v>
      </c>
      <c r="AJ514" s="143">
        <v>0</v>
      </c>
      <c r="AN514" s="71">
        <f t="shared" si="268"/>
        <v>0</v>
      </c>
      <c r="AO514" s="71">
        <f t="shared" si="269"/>
        <v>0</v>
      </c>
      <c r="AP514" s="71">
        <f t="shared" si="270"/>
        <v>206</v>
      </c>
      <c r="AQ514" s="72">
        <f>IF(OR($H514="GIROSSOL II",$H514="GIROSSOL II e III"),INDEX('Resumo Operacional'!$A$1:$P$1103,MATCH("Energia Injetada prevista total Fatura da Usina (TUSD)",'Resumo Operacional'!$B$1:$B$1103,0),MATCH('Detalhe Por UC'!$R514,'Resumo Operacional'!$A$1:$P$1,0))*$S514,INDEX('Resumo Operacional'!$A$1:$P$1103,53,MATCH('Detalhe Por UC'!$R514,'Resumo Operacional'!$A$1:$P$1,0))*$S514)</f>
        <v>158.66</v>
      </c>
      <c r="AR514" s="71">
        <f t="shared" si="271"/>
        <v>47.34</v>
      </c>
      <c r="AS514" s="73">
        <f t="shared" si="272"/>
        <v>347.72999999999996</v>
      </c>
      <c r="AT514" s="74">
        <f t="shared" si="273"/>
        <v>347.72999999999996</v>
      </c>
      <c r="AU514" s="74">
        <f t="shared" si="274"/>
        <v>0.81683602655599974</v>
      </c>
      <c r="AV514" s="74">
        <f t="shared" si="275"/>
        <v>150.44176829268295</v>
      </c>
      <c r="AW514" s="74">
        <f t="shared" si="276"/>
        <v>0</v>
      </c>
      <c r="AX514" s="74">
        <f t="shared" si="277"/>
        <v>200.58902439024394</v>
      </c>
      <c r="AY514" s="74">
        <f t="shared" si="278"/>
        <v>150.44</v>
      </c>
      <c r="AZ514" s="49">
        <v>150.44</v>
      </c>
      <c r="BA514" s="49">
        <v>150.44</v>
      </c>
      <c r="BB514" s="117">
        <v>200.59</v>
      </c>
      <c r="BC514" s="73">
        <f t="shared" si="279"/>
        <v>50.150000000000006</v>
      </c>
      <c r="BD514" s="73">
        <f t="shared" si="280"/>
        <v>548.31902439024384</v>
      </c>
      <c r="BE514" s="73">
        <f t="shared" si="281"/>
        <v>498.17176829268294</v>
      </c>
      <c r="BF514" s="77">
        <f t="shared" si="282"/>
        <v>50.15</v>
      </c>
      <c r="BG514" s="77">
        <f t="shared" si="283"/>
        <v>15.044999999999998</v>
      </c>
      <c r="BH514" s="77">
        <f t="shared" si="284"/>
        <v>200.58902439024394</v>
      </c>
      <c r="BI514" s="78">
        <f t="shared" si="285"/>
        <v>0.25</v>
      </c>
      <c r="BJ514" s="79">
        <f t="shared" si="286"/>
        <v>9.1461353280180499E-2</v>
      </c>
      <c r="BK514" s="80">
        <f t="shared" si="287"/>
        <v>498.16999999999996</v>
      </c>
      <c r="BL514" s="80">
        <f t="shared" si="288"/>
        <v>50.149024390243881</v>
      </c>
      <c r="BM514" s="79">
        <f t="shared" si="289"/>
        <v>9.145957400623099E-2</v>
      </c>
      <c r="BN514" s="81">
        <f t="shared" si="290"/>
        <v>0.73029126213592233</v>
      </c>
      <c r="BO514" s="82">
        <f t="shared" si="291"/>
        <v>150.44</v>
      </c>
      <c r="BP514" s="81">
        <f t="shared" si="292"/>
        <v>0.73029126213592233</v>
      </c>
      <c r="BQ514" s="81">
        <f t="shared" si="293"/>
        <v>0.88718836368790288</v>
      </c>
      <c r="BR514" s="81">
        <f t="shared" si="294"/>
        <v>1.1306302296599609</v>
      </c>
      <c r="BS514" s="82">
        <f t="shared" si="295"/>
        <v>206</v>
      </c>
      <c r="BT514" s="82">
        <f t="shared" si="296"/>
        <v>232.90982730995194</v>
      </c>
      <c r="BU514" s="82">
        <f t="shared" si="297"/>
        <v>200.58902439024394</v>
      </c>
      <c r="BW514" s="82">
        <f>IFERROR(INDEX('Infos Clientes'!$T:$T,MATCH('Detalhe Por UC'!$C514,'Infos Clientes'!B:B,0)),"")</f>
        <v>385.63636363636363</v>
      </c>
      <c r="BX514" s="83">
        <f t="shared" si="298"/>
        <v>0</v>
      </c>
      <c r="BY514" s="84">
        <f t="shared" si="299"/>
        <v>0.21531519287722703</v>
      </c>
      <c r="BZ514" s="85">
        <f>IF(_xlfn.MINIFS('Detalhe Por UC'!R:R,'Detalhe Por UC'!C:C,C514,'Detalhe Por UC'!AD:AD,"&gt;"&amp;0)=0,"",_xlfn.MINIFS('Detalhe Por UC'!R:R,'Detalhe Por UC'!C:C,C514,'Detalhe Por UC'!AD:AD,"&gt;"&amp;0))</f>
        <v>45658</v>
      </c>
      <c r="CA514" s="114">
        <f ca="1">IF(OR(S514&gt;0,AD514&gt;0),IFERROR(
SUMIFS(INDIRECT("'Infos Clientes'!$W"&amp;INDEX('Infos Clientes'!$C:$C,MATCH(C514,'Infos Clientes'!$H:$H,0))&amp;":$CZ"&amp;INDEX('Infos Clientes'!$C:$C,MATCH(C514,'Infos Clientes'!$H:$H,0))),'Infos Clientes'!$W$2:$CZ$2,"&gt;"&amp;$R514-365,'Infos Clientes'!$W$2:$CZ$2,"&lt;="&amp;$R514)/
COUNTIFS(INDIRECT("'Infos Clientes'!$W"&amp;INDEX('Infos Clientes'!$C:$C,MATCH(C514,'Infos Clientes'!$H:$H,0))&amp;":$CZ"&amp;INDEX('Infos Clientes'!$C:$C,MATCH(C514,'Infos Clientes'!$H:$H,0))),"&gt;="&amp;0,'Infos Clientes'!$W$2:$CZ$2,"&gt;"&amp;$R514-365,'Infos Clientes'!$W$2:$CZ$2,"&lt;="&amp;$R514),""),"")</f>
        <v>385.83333333333331</v>
      </c>
      <c r="CB514" s="87">
        <f>VLOOKUP(C514,'Infos Clientes'!B:L,11,0)</f>
        <v>0</v>
      </c>
      <c r="CC514" s="88" t="str">
        <f t="shared" si="300"/>
        <v>A Unidade Consumidora 10/63920-3 economizou R$50,15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514" s="40" t="s">
        <v>249</v>
      </c>
      <c r="CE514" s="18">
        <v>347.73</v>
      </c>
      <c r="CF514" s="115">
        <f t="shared" si="301"/>
        <v>0</v>
      </c>
    </row>
    <row r="515" spans="1:85" ht="16.2" hidden="1" customHeight="1" x14ac:dyDescent="0.3">
      <c r="A515" s="105" t="str">
        <f>INDEX('Infos Clientes'!$D:$D,MATCH('Detalhe Por UC'!C515,'Infos Clientes'!B:B,0))</f>
        <v>IGREJA DO EVANGELHO QUADRANGULAR</v>
      </c>
      <c r="B515" s="106" t="str">
        <f>INDEX('Infos Clientes'!$F:$F,MATCH('Detalhe Por UC'!C515,'Infos Clientes'!B:B,0))</f>
        <v>62.955.505/3757-21</v>
      </c>
      <c r="C515" s="44" t="s">
        <v>187</v>
      </c>
      <c r="D515" t="s">
        <v>351</v>
      </c>
      <c r="E515" s="1" t="s">
        <v>352</v>
      </c>
      <c r="F515" s="56" t="str">
        <f>INDEX('Infos Clientes'!$I:$I,MATCH('Detalhe Por UC'!C515,'Infos Clientes'!B:B,0))</f>
        <v>BT</v>
      </c>
      <c r="G515" s="56" t="str">
        <f>INDEX('Infos Clientes'!$J:$J,MATCH('Detalhe Por UC'!C515,'Infos Clientes'!B:B,0))</f>
        <v>trifasico</v>
      </c>
      <c r="H515" s="108" t="s">
        <v>138</v>
      </c>
      <c r="I515" s="58">
        <f>IFERROR(VLOOKUP(C515,'Infos Clientes'!B:E,4,),"")</f>
        <v>362</v>
      </c>
      <c r="J515" s="109">
        <v>0.25</v>
      </c>
      <c r="K515" s="59">
        <f>INDEX('Infos Clientes'!$M:$M,MATCH('Detalhe Por UC'!C515,'Infos Clientes'!B:B,0))</f>
        <v>0.25</v>
      </c>
      <c r="L515" s="125">
        <v>0</v>
      </c>
      <c r="M515" s="56">
        <f>INDEX('Infos Clientes'!$N:$N,MATCH('Detalhe Por UC'!C515,'Infos Clientes'!B:B,0))</f>
        <v>0</v>
      </c>
      <c r="N515" s="56">
        <f t="shared" si="266"/>
        <v>0</v>
      </c>
      <c r="O515" s="56">
        <f t="shared" si="267"/>
        <v>9</v>
      </c>
      <c r="P515" s="56">
        <f t="shared" si="302"/>
        <v>0</v>
      </c>
      <c r="Q515" s="61">
        <f>IFERROR(IFERROR(INDEX('Infos Clientes'!$A$2:$V$9884,MATCH($C515,'Infos Clientes'!$B$2:$B$9884,0),MATCH(Q$8,'Infos Clientes'!$A$2:$V$2,0)),"")
+IF(OR(INDEX('Infos Clientes'!$A$2:$V$9884,MATCH($C515,'Infos Clientes'!$B$2:$B$9884,0),MATCH("Tempo de Fidelidade (meses)",'Infos Clientes'!$A$2:$V$2,0))=0,R515&gt;=MAX(R:R)),0,
ROUND((MAX(R:R)-R515)/(365/12),0)),"")</f>
        <v>0</v>
      </c>
      <c r="R515" s="111">
        <v>45778</v>
      </c>
      <c r="S515" s="63">
        <v>0.02</v>
      </c>
      <c r="T515" s="113" t="str">
        <f>IF($H515="GIROSSOL II",AP515/INDEX('Resumo Operacional'!$A$1:$P$1103,17,MATCH('Detalhe Por UC'!$R515,'Resumo Operacional'!$A$1:$P$1,0)),
IF($H515="GIROSSOL II e III",AP515/INDEX('Resumo Operacional'!$A$1:$P$1103,17,MATCH('Detalhe Por UC'!$R515,'Resumo Operacional'!$A$1:$P$1,0)),
""))</f>
        <v/>
      </c>
      <c r="U515" s="113">
        <f>IF($H515="GIROSSOL III",AP515/INDEX('Resumo Operacional'!$A$1:$P$1103,53,MATCH('Detalhe Por UC'!$R515,'Resumo Operacional'!$A$1:$P$1,0)),
IF($H515="GIROSSOL II e III",AP515/INDEX('Resumo Operacional'!$A$1:$P$1103,53,MATCH('Detalhe Por UC'!$R515,'Resumo Operacional'!$A$1:$P$1,0)),
""))</f>
        <v>1.9916803227026346E-2</v>
      </c>
      <c r="V515" s="45"/>
      <c r="X515" s="18">
        <v>1.1411487810109386</v>
      </c>
      <c r="Y515" s="18">
        <v>0</v>
      </c>
      <c r="Z515" s="18">
        <v>0.98422669151191944</v>
      </c>
      <c r="AA515" s="18">
        <v>0</v>
      </c>
      <c r="AB515" s="143">
        <v>355</v>
      </c>
      <c r="AC515" s="143">
        <v>0</v>
      </c>
      <c r="AD515" s="143">
        <v>158</v>
      </c>
      <c r="AE515" s="35"/>
      <c r="AF515" s="143">
        <v>0</v>
      </c>
      <c r="AG515" s="143">
        <v>0</v>
      </c>
      <c r="AH515" s="48">
        <v>60.31</v>
      </c>
      <c r="AI515" s="143">
        <v>0</v>
      </c>
      <c r="AJ515" s="143">
        <v>0</v>
      </c>
      <c r="AN515" s="71">
        <f t="shared" si="268"/>
        <v>0</v>
      </c>
      <c r="AO515" s="71">
        <f t="shared" si="269"/>
        <v>0</v>
      </c>
      <c r="AP515" s="71">
        <f t="shared" si="270"/>
        <v>158</v>
      </c>
      <c r="AQ515" s="72">
        <f>IF(OR($H515="GIROSSOL II",$H515="GIROSSOL II e III"),INDEX('Resumo Operacional'!$A$1:$P$1103,MATCH("Energia Injetada prevista total Fatura da Usina (TUSD)",'Resumo Operacional'!$B$1:$B$1103,0),MATCH('Detalhe Por UC'!$R515,'Resumo Operacional'!$A$1:$P$1,0))*$S515,INDEX('Resumo Operacional'!$A$1:$P$1103,53,MATCH('Detalhe Por UC'!$R515,'Resumo Operacional'!$A$1:$P$1,0))*$S515)</f>
        <v>158.66</v>
      </c>
      <c r="AR515" s="71">
        <f t="shared" si="271"/>
        <v>-0.65999999999999659</v>
      </c>
      <c r="AS515" s="73">
        <f t="shared" si="272"/>
        <v>309.90999999999997</v>
      </c>
      <c r="AT515" s="74">
        <f t="shared" si="273"/>
        <v>309.90999999999997</v>
      </c>
      <c r="AU515" s="74">
        <f t="shared" si="274"/>
        <v>0.82730460201290024</v>
      </c>
      <c r="AV515" s="74">
        <f t="shared" si="275"/>
        <v>116.63086294416246</v>
      </c>
      <c r="AW515" s="74">
        <f t="shared" si="276"/>
        <v>0</v>
      </c>
      <c r="AX515" s="74">
        <f t="shared" si="277"/>
        <v>155.50781725888328</v>
      </c>
      <c r="AY515" s="74">
        <f t="shared" si="278"/>
        <v>116.63</v>
      </c>
      <c r="AZ515" s="49">
        <v>116.63</v>
      </c>
      <c r="BA515" s="49">
        <v>116.63</v>
      </c>
      <c r="BB515" s="117">
        <v>116.63</v>
      </c>
      <c r="BC515" s="73" t="str">
        <f t="shared" si="279"/>
        <v/>
      </c>
      <c r="BD515" s="73">
        <f t="shared" si="280"/>
        <v>465.41781725888325</v>
      </c>
      <c r="BE515" s="73">
        <f t="shared" si="281"/>
        <v>426.54086294416243</v>
      </c>
      <c r="BF515" s="77">
        <f t="shared" si="282"/>
        <v>38.880000000000003</v>
      </c>
      <c r="BG515" s="77">
        <f t="shared" si="283"/>
        <v>11.664</v>
      </c>
      <c r="BH515" s="77">
        <f t="shared" si="284"/>
        <v>155.50781725888328</v>
      </c>
      <c r="BI515" s="78">
        <f t="shared" si="285"/>
        <v>0.25</v>
      </c>
      <c r="BJ515" s="79">
        <f t="shared" si="286"/>
        <v>8.35378418234759E-2</v>
      </c>
      <c r="BK515" s="80">
        <f t="shared" si="287"/>
        <v>426.53999999999996</v>
      </c>
      <c r="BL515" s="80">
        <f t="shared" si="288"/>
        <v>38.877817258883283</v>
      </c>
      <c r="BM515" s="79">
        <f t="shared" si="289"/>
        <v>8.353315197053994E-2</v>
      </c>
      <c r="BN515" s="81">
        <f t="shared" si="290"/>
        <v>0.73816455696202532</v>
      </c>
      <c r="BO515" s="82">
        <f t="shared" si="291"/>
        <v>116.63</v>
      </c>
      <c r="BP515" s="81">
        <f t="shared" si="292"/>
        <v>0.73816455696202532</v>
      </c>
      <c r="BQ515" s="81">
        <f t="shared" si="293"/>
        <v>0.89508664646104452</v>
      </c>
      <c r="BR515" s="81">
        <f t="shared" si="294"/>
        <v>1.1411487810109386</v>
      </c>
      <c r="BS515" s="82">
        <f t="shared" si="295"/>
        <v>158</v>
      </c>
      <c r="BT515" s="82">
        <f t="shared" si="296"/>
        <v>180.30150739972831</v>
      </c>
      <c r="BU515" s="82">
        <f t="shared" si="297"/>
        <v>155.50781725888328</v>
      </c>
      <c r="BW515" s="82">
        <f>IFERROR(INDEX('Infos Clientes'!$T:$T,MATCH('Detalhe Por UC'!$C515,'Infos Clientes'!B:B,0)),"")</f>
        <v>365.90909090909093</v>
      </c>
      <c r="BX515" s="83">
        <f t="shared" si="298"/>
        <v>0</v>
      </c>
      <c r="BY515" s="84">
        <f t="shared" si="299"/>
        <v>0.21562669009023414</v>
      </c>
      <c r="BZ515" s="85">
        <f>IF(_xlfn.MINIFS('Detalhe Por UC'!R:R,'Detalhe Por UC'!C:C,C515,'Detalhe Por UC'!AD:AD,"&gt;"&amp;0)=0,"",_xlfn.MINIFS('Detalhe Por UC'!R:R,'Detalhe Por UC'!C:C,C515,'Detalhe Por UC'!AD:AD,"&gt;"&amp;0))</f>
        <v>45658</v>
      </c>
      <c r="CA515" s="114">
        <f ca="1">IF(OR(S515&gt;0,AD515&gt;0),IFERROR(
SUMIFS(INDIRECT("'Infos Clientes'!$W"&amp;INDEX('Infos Clientes'!$C:$C,MATCH(C515,'Infos Clientes'!$H:$H,0))&amp;":$CZ"&amp;INDEX('Infos Clientes'!$C:$C,MATCH(C515,'Infos Clientes'!$H:$H,0))),'Infos Clientes'!$W$2:$CZ$2,"&gt;"&amp;$R515-365,'Infos Clientes'!$W$2:$CZ$2,"&lt;="&amp;$R515)/
COUNTIFS(INDIRECT("'Infos Clientes'!$W"&amp;INDEX('Infos Clientes'!$C:$C,MATCH(C515,'Infos Clientes'!$H:$H,0))&amp;":$CZ"&amp;INDEX('Infos Clientes'!$C:$C,MATCH(C515,'Infos Clientes'!$H:$H,0))),"&gt;="&amp;0,'Infos Clientes'!$W$2:$CZ$2,"&gt;"&amp;$R515-365,'Infos Clientes'!$W$2:$CZ$2,"&lt;="&amp;$R515),""),"")</f>
        <v>359.41666666666669</v>
      </c>
      <c r="CB515" s="87">
        <f>VLOOKUP(C515,'Infos Clientes'!B:L,11,0)</f>
        <v>0</v>
      </c>
      <c r="CC515" s="88" t="str">
        <f t="shared" si="300"/>
        <v>A Unidade Consumidora 10/3123706-8 economizou R$38,88 na fatura referente à mai/2025  consumindo 158 kWh em créditos de energia renovável conforme fatura de energia. A economia foi de 25% em relação ao que seria pago para a Energisa considerando os créditos consumidos. Atenção: Mantenha as contas da Energisa em dia para evitar cortes.</v>
      </c>
      <c r="CD515" s="40" t="s">
        <v>83</v>
      </c>
      <c r="CE515" s="18">
        <v>309.91000000000003</v>
      </c>
      <c r="CF515" s="115">
        <f t="shared" si="301"/>
        <v>0</v>
      </c>
      <c r="CG515" t="s">
        <v>359</v>
      </c>
    </row>
    <row r="516" spans="1:85" ht="16.2" hidden="1" customHeight="1" x14ac:dyDescent="0.3">
      <c r="A516" s="105" t="str">
        <f>INDEX('Infos Clientes'!$D:$D,MATCH('Detalhe Por UC'!C516,'Infos Clientes'!B:B,0))</f>
        <v>IGREJA DO EVANGELHO QUADRANGULAR</v>
      </c>
      <c r="B516" s="106" t="str">
        <f>INDEX('Infos Clientes'!$F:$F,MATCH('Detalhe Por UC'!C516,'Infos Clientes'!B:B,0))</f>
        <v>62.955.505/4051-40</v>
      </c>
      <c r="C516" s="44" t="s">
        <v>152</v>
      </c>
      <c r="D516" t="s">
        <v>351</v>
      </c>
      <c r="E516" s="1" t="s">
        <v>352</v>
      </c>
      <c r="F516" s="56" t="str">
        <f>INDEX('Infos Clientes'!$I:$I,MATCH('Detalhe Por UC'!C516,'Infos Clientes'!B:B,0))</f>
        <v>BT</v>
      </c>
      <c r="G516" s="56" t="str">
        <f>INDEX('Infos Clientes'!$J:$J,MATCH('Detalhe Por UC'!C516,'Infos Clientes'!B:B,0))</f>
        <v>bifasico</v>
      </c>
      <c r="H516" s="108" t="s">
        <v>138</v>
      </c>
      <c r="I516" s="58">
        <f>IFERROR(VLOOKUP(C516,'Infos Clientes'!B:E,4,),"")</f>
        <v>351</v>
      </c>
      <c r="J516" s="109">
        <v>0.25</v>
      </c>
      <c r="K516" s="59">
        <f>INDEX('Infos Clientes'!$M:$M,MATCH('Detalhe Por UC'!C516,'Infos Clientes'!B:B,0))</f>
        <v>0.25</v>
      </c>
      <c r="L516" s="125">
        <v>0</v>
      </c>
      <c r="M516" s="56">
        <f>INDEX('Infos Clientes'!$N:$N,MATCH('Detalhe Por UC'!C516,'Infos Clientes'!B:B,0))</f>
        <v>0</v>
      </c>
      <c r="N516" s="56">
        <f t="shared" si="266"/>
        <v>0</v>
      </c>
      <c r="O516" s="56">
        <f t="shared" si="267"/>
        <v>9</v>
      </c>
      <c r="P516" s="56">
        <f t="shared" si="302"/>
        <v>0</v>
      </c>
      <c r="Q516" s="61">
        <f>IFERROR(IFERROR(INDEX('Infos Clientes'!$A$2:$V$9884,MATCH($C516,'Infos Clientes'!$B$2:$B$9884,0),MATCH(Q$8,'Infos Clientes'!$A$2:$V$2,0)),"")
+IF(OR(INDEX('Infos Clientes'!$A$2:$V$9884,MATCH($C516,'Infos Clientes'!$B$2:$B$9884,0),MATCH("Tempo de Fidelidade (meses)",'Infos Clientes'!$A$2:$V$2,0))=0,R516&gt;=MAX(R:R)),0,
ROUND((MAX(R:R)-R516)/(365/12),0)),"")</f>
        <v>0</v>
      </c>
      <c r="R516" s="111">
        <v>45778</v>
      </c>
      <c r="S516" s="63">
        <v>0.02</v>
      </c>
      <c r="T516" s="113" t="str">
        <f>IF($H516="GIROSSOL II",AP516/INDEX('Resumo Operacional'!$A$1:$P$1103,17,MATCH('Detalhe Por UC'!$R516,'Resumo Operacional'!$A$1:$P$1,0)),
IF($H516="GIROSSOL II e III",AP516/INDEX('Resumo Operacional'!$A$1:$P$1103,17,MATCH('Detalhe Por UC'!$R516,'Resumo Operacional'!$A$1:$P$1,0)),
""))</f>
        <v/>
      </c>
      <c r="U516" s="113">
        <f>IF($H516="GIROSSOL III",AP516/INDEX('Resumo Operacional'!$A$1:$P$1103,53,MATCH('Detalhe Por UC'!$R516,'Resumo Operacional'!$A$1:$P$1,0)),
IF($H516="GIROSSOL II e III",AP516/INDEX('Resumo Operacional'!$A$1:$P$1103,53,MATCH('Detalhe Por UC'!$R516,'Resumo Operacional'!$A$1:$P$1,0)),
""))</f>
        <v>1.9916803227026346E-2</v>
      </c>
      <c r="V516" s="45"/>
      <c r="X516" s="18">
        <v>1.1392865585950693</v>
      </c>
      <c r="Y516" s="18">
        <v>0</v>
      </c>
      <c r="Z516" s="18">
        <v>0.98234311877188285</v>
      </c>
      <c r="AA516" s="18">
        <v>0</v>
      </c>
      <c r="AB516" s="143">
        <v>252</v>
      </c>
      <c r="AC516" s="143">
        <v>0</v>
      </c>
      <c r="AD516" s="143">
        <v>158</v>
      </c>
      <c r="AE516" s="35"/>
      <c r="AF516" s="143">
        <v>0</v>
      </c>
      <c r="AG516" s="143">
        <v>0</v>
      </c>
      <c r="AH516" s="48">
        <v>29.310000000000002</v>
      </c>
      <c r="AI516" s="143">
        <v>0</v>
      </c>
      <c r="AJ516" s="143">
        <v>0</v>
      </c>
      <c r="AN516" s="71">
        <f t="shared" si="268"/>
        <v>0</v>
      </c>
      <c r="AO516" s="71">
        <f t="shared" si="269"/>
        <v>0</v>
      </c>
      <c r="AP516" s="71">
        <f t="shared" si="270"/>
        <v>158</v>
      </c>
      <c r="AQ516" s="72">
        <f>IF(OR($H516="GIROSSOL II",$H516="GIROSSOL II e III"),INDEX('Resumo Operacional'!$A$1:$P$1103,MATCH("Energia Injetada prevista total Fatura da Usina (TUSD)",'Resumo Operacional'!$B$1:$B$1103,0),MATCH('Detalhe Por UC'!$R516,'Resumo Operacional'!$A$1:$P$1,0))*$S516,INDEX('Resumo Operacional'!$A$1:$P$1103,53,MATCH('Detalhe Por UC'!$R516,'Resumo Operacional'!$A$1:$P$1,0))*$S516)</f>
        <v>158.66</v>
      </c>
      <c r="AR516" s="71">
        <f t="shared" si="271"/>
        <v>-0.65999999999999659</v>
      </c>
      <c r="AS516" s="73">
        <f t="shared" si="272"/>
        <v>161.19999999999996</v>
      </c>
      <c r="AT516" s="74">
        <f t="shared" si="273"/>
        <v>161.19999999999996</v>
      </c>
      <c r="AU516" s="74">
        <f t="shared" si="274"/>
        <v>0.82539967894869637</v>
      </c>
      <c r="AV516" s="74">
        <f t="shared" si="275"/>
        <v>116.40765957446813</v>
      </c>
      <c r="AW516" s="74">
        <f t="shared" si="276"/>
        <v>0</v>
      </c>
      <c r="AX516" s="74">
        <f t="shared" si="277"/>
        <v>155.21021276595749</v>
      </c>
      <c r="AY516" s="74">
        <f t="shared" si="278"/>
        <v>116.41</v>
      </c>
      <c r="AZ516" s="49">
        <v>116.41</v>
      </c>
      <c r="BA516" s="49">
        <v>116.41</v>
      </c>
      <c r="BB516" s="117">
        <v>116.41</v>
      </c>
      <c r="BC516" s="73" t="str">
        <f t="shared" si="279"/>
        <v/>
      </c>
      <c r="BD516" s="73">
        <f t="shared" si="280"/>
        <v>316.41021276595745</v>
      </c>
      <c r="BE516" s="73">
        <f t="shared" si="281"/>
        <v>277.60765957446807</v>
      </c>
      <c r="BF516" s="77">
        <f t="shared" si="282"/>
        <v>38.799999999999997</v>
      </c>
      <c r="BG516" s="77">
        <f t="shared" si="283"/>
        <v>11.639999999999999</v>
      </c>
      <c r="BH516" s="77">
        <f t="shared" si="284"/>
        <v>155.21021276595749</v>
      </c>
      <c r="BI516" s="78">
        <f t="shared" si="285"/>
        <v>0.25</v>
      </c>
      <c r="BJ516" s="79">
        <f t="shared" si="286"/>
        <v>0.12262562469404112</v>
      </c>
      <c r="BK516" s="80">
        <f t="shared" si="287"/>
        <v>277.60999999999996</v>
      </c>
      <c r="BL516" s="80">
        <f t="shared" si="288"/>
        <v>38.800212765957497</v>
      </c>
      <c r="BM516" s="79">
        <f t="shared" si="289"/>
        <v>0.12262629713111463</v>
      </c>
      <c r="BN516" s="81">
        <f t="shared" si="290"/>
        <v>0.73677215189873413</v>
      </c>
      <c r="BO516" s="82">
        <f t="shared" si="291"/>
        <v>116.41</v>
      </c>
      <c r="BP516" s="81">
        <f t="shared" si="292"/>
        <v>0.73677215189873413</v>
      </c>
      <c r="BQ516" s="81">
        <f t="shared" si="293"/>
        <v>0.89371559172192061</v>
      </c>
      <c r="BR516" s="81">
        <f t="shared" si="294"/>
        <v>1.1392865585950693</v>
      </c>
      <c r="BS516" s="82">
        <f t="shared" si="295"/>
        <v>158</v>
      </c>
      <c r="BT516" s="82">
        <f t="shared" si="296"/>
        <v>180.00727625802097</v>
      </c>
      <c r="BU516" s="82">
        <f t="shared" si="297"/>
        <v>155.21021276595749</v>
      </c>
      <c r="BW516" s="82">
        <f>IFERROR(INDEX('Infos Clientes'!$T:$T,MATCH('Detalhe Por UC'!$C516,'Infos Clientes'!B:B,0)),"")</f>
        <v>246.72727272727272</v>
      </c>
      <c r="BX516" s="83">
        <f t="shared" si="298"/>
        <v>0</v>
      </c>
      <c r="BY516" s="84">
        <f t="shared" si="299"/>
        <v>0.21554802434953568</v>
      </c>
      <c r="BZ516" s="85">
        <f>IF(_xlfn.MINIFS('Detalhe Por UC'!R:R,'Detalhe Por UC'!C:C,C516,'Detalhe Por UC'!AD:AD,"&gt;"&amp;0)=0,"",_xlfn.MINIFS('Detalhe Por UC'!R:R,'Detalhe Por UC'!C:C,C516,'Detalhe Por UC'!AD:AD,"&gt;"&amp;0))</f>
        <v>45658</v>
      </c>
      <c r="CA516" s="114">
        <f ca="1">IF(OR(S516&gt;0,AD516&gt;0),IFERROR(
SUMIFS(INDIRECT("'Infos Clientes'!$W"&amp;INDEX('Infos Clientes'!$C:$C,MATCH(C516,'Infos Clientes'!$H:$H,0))&amp;":$CZ"&amp;INDEX('Infos Clientes'!$C:$C,MATCH(C516,'Infos Clientes'!$H:$H,0))),'Infos Clientes'!$W$2:$CZ$2,"&gt;"&amp;$R516-365,'Infos Clientes'!$W$2:$CZ$2,"&lt;="&amp;$R516)/
COUNTIFS(INDIRECT("'Infos Clientes'!$W"&amp;INDEX('Infos Clientes'!$C:$C,MATCH(C516,'Infos Clientes'!$H:$H,0))&amp;":$CZ"&amp;INDEX('Infos Clientes'!$C:$C,MATCH(C516,'Infos Clientes'!$H:$H,0))),"&gt;="&amp;0,'Infos Clientes'!$W$2:$CZ$2,"&gt;"&amp;$R516-365,'Infos Clientes'!$W$2:$CZ$2,"&lt;="&amp;$R516),""),"")</f>
        <v>265.5</v>
      </c>
      <c r="CB516" s="87">
        <f>VLOOKUP(C516,'Infos Clientes'!B:L,11,0)</f>
        <v>0</v>
      </c>
      <c r="CC516" s="88" t="str">
        <f t="shared" si="300"/>
        <v>A Unidade Consumidora 10/129490-9 economizou R$38,8 na fatura referente à mai/2025  consumindo 158 kWh em créditos de energia renovável conforme fatura de energia. A economia foi de 25% em relação ao que seria pago para a Energisa considerando os créditos consumidos. Atenção: Mantenha as contas da Energisa em dia para evitar cortes.</v>
      </c>
      <c r="CD516" s="40" t="s">
        <v>37</v>
      </c>
      <c r="CE516" s="18">
        <v>161.19999999999999</v>
      </c>
      <c r="CF516" s="115">
        <f t="shared" si="301"/>
        <v>0</v>
      </c>
      <c r="CG516" t="s">
        <v>359</v>
      </c>
    </row>
    <row r="517" spans="1:85" ht="16.2" hidden="1" customHeight="1" x14ac:dyDescent="0.3">
      <c r="A517" s="105" t="str">
        <f>INDEX('Infos Clientes'!$D:$D,MATCH('Detalhe Por UC'!C517,'Infos Clientes'!B:B,0))</f>
        <v>IGREJA DO EVANGELHO QUADRANGULAR</v>
      </c>
      <c r="B517" s="106" t="str">
        <f>INDEX('Infos Clientes'!$F:$F,MATCH('Detalhe Por UC'!C517,'Infos Clientes'!B:B,0))</f>
        <v>62.955.505/0172-13</v>
      </c>
      <c r="C517" s="107" t="s">
        <v>246</v>
      </c>
      <c r="D517" t="s">
        <v>351</v>
      </c>
      <c r="E517" s="1" t="s">
        <v>352</v>
      </c>
      <c r="F517" s="56" t="str">
        <f>INDEX('Infos Clientes'!$I:$I,MATCH('Detalhe Por UC'!C517,'Infos Clientes'!B:B,0))</f>
        <v>BT</v>
      </c>
      <c r="G517" s="56">
        <f>INDEX('Infos Clientes'!$J:$J,MATCH('Detalhe Por UC'!C517,'Infos Clientes'!B:B,0))</f>
        <v>0</v>
      </c>
      <c r="H517" s="108" t="s">
        <v>138</v>
      </c>
      <c r="I517" s="58">
        <f>IFERROR(VLOOKUP(C517,'Infos Clientes'!B:E,4,),"")</f>
        <v>0</v>
      </c>
      <c r="J517" s="109">
        <v>0.25</v>
      </c>
      <c r="K517" s="59">
        <f>INDEX('Infos Clientes'!$M:$M,MATCH('Detalhe Por UC'!C517,'Infos Clientes'!B:B,0))</f>
        <v>0.25</v>
      </c>
      <c r="L517" s="125">
        <v>0</v>
      </c>
      <c r="M517" s="56">
        <f>INDEX('Infos Clientes'!$N:$N,MATCH('Detalhe Por UC'!C517,'Infos Clientes'!B:B,0))</f>
        <v>0</v>
      </c>
      <c r="N517" s="56">
        <f t="shared" si="266"/>
        <v>0</v>
      </c>
      <c r="O517" s="56">
        <f t="shared" si="267"/>
        <v>0</v>
      </c>
      <c r="P517" s="56">
        <f t="shared" si="302"/>
        <v>0</v>
      </c>
      <c r="Q517" s="61">
        <f>IFERROR(IFERROR(INDEX('Infos Clientes'!$A$2:$V$9884,MATCH($C517,'Infos Clientes'!$B$2:$B$9884,0),MATCH(Q$8,'Infos Clientes'!$A$2:$V$2,0)),"")
+IF(OR(INDEX('Infos Clientes'!$A$2:$V$9884,MATCH($C517,'Infos Clientes'!$B$2:$B$9884,0),MATCH("Tempo de Fidelidade (meses)",'Infos Clientes'!$A$2:$V$2,0))=0,R517&gt;=MAX(R:R)),0,
ROUND((MAX(R:R)-R517)/(365/12),0)),"")</f>
        <v>0</v>
      </c>
      <c r="R517" s="111">
        <v>45778</v>
      </c>
      <c r="S517" s="63">
        <v>0</v>
      </c>
      <c r="T517" s="113" t="str">
        <f>IF($H517="GIROSSOL II",AP517/INDEX('Resumo Operacional'!$A$1:$P$1103,17,MATCH('Detalhe Por UC'!$R517,'Resumo Operacional'!$A$1:$P$1,0)),
IF($H517="GIROSSOL II e III",AP517/INDEX('Resumo Operacional'!$A$1:$P$1103,17,MATCH('Detalhe Por UC'!$R517,'Resumo Operacional'!$A$1:$P$1,0)),
""))</f>
        <v/>
      </c>
      <c r="U517" s="113">
        <f>IF($H517="GIROSSOL III",AP517/INDEX('Resumo Operacional'!$A$1:$P$1103,53,MATCH('Detalhe Por UC'!$R517,'Resumo Operacional'!$A$1:$P$1,0)),
IF($H517="GIROSSOL II e III",AP517/INDEX('Resumo Operacional'!$A$1:$P$1103,53,MATCH('Detalhe Por UC'!$R517,'Resumo Operacional'!$A$1:$P$1,0)),
""))</f>
        <v>0</v>
      </c>
      <c r="V517" s="45"/>
      <c r="X517" s="18"/>
      <c r="Y517" s="18"/>
      <c r="Z517" s="18"/>
      <c r="AA517" s="18"/>
      <c r="AB517" s="143"/>
      <c r="AC517" s="143"/>
      <c r="AD517" s="143"/>
      <c r="AE517" s="35"/>
      <c r="AF517" s="143"/>
      <c r="AG517" s="143"/>
      <c r="AH517" s="48"/>
      <c r="AI517" s="143"/>
      <c r="AJ517" s="143"/>
      <c r="AN517" s="71" t="str">
        <f t="shared" si="268"/>
        <v/>
      </c>
      <c r="AO517" s="71" t="str">
        <f t="shared" si="269"/>
        <v/>
      </c>
      <c r="AP517" s="71">
        <f t="shared" si="270"/>
        <v>0</v>
      </c>
      <c r="AQ517" s="72">
        <f>IF(OR($H517="GIROSSOL II",$H517="GIROSSOL II e III"),INDEX('Resumo Operacional'!$A$1:$P$1103,MATCH("Energia Injetada prevista total Fatura da Usina (TUSD)",'Resumo Operacional'!$B$1:$B$1103,0),MATCH('Detalhe Por UC'!$R517,'Resumo Operacional'!$A$1:$P$1,0))*$S517,INDEX('Resumo Operacional'!$A$1:$P$1103,53,MATCH('Detalhe Por UC'!$R517,'Resumo Operacional'!$A$1:$P$1,0))*$S517)</f>
        <v>0</v>
      </c>
      <c r="AR517" s="71" t="str">
        <f t="shared" si="271"/>
        <v/>
      </c>
      <c r="AS517" s="73">
        <f t="shared" si="272"/>
        <v>0</v>
      </c>
      <c r="AT517" s="74">
        <f t="shared" si="273"/>
        <v>0</v>
      </c>
      <c r="AU517" s="74" t="str">
        <f t="shared" si="274"/>
        <v/>
      </c>
      <c r="AV517" s="74">
        <f t="shared" si="275"/>
        <v>0</v>
      </c>
      <c r="AW517" s="74">
        <f t="shared" si="276"/>
        <v>0</v>
      </c>
      <c r="AX517" s="74">
        <f t="shared" si="277"/>
        <v>0</v>
      </c>
      <c r="AY517" s="74" t="str">
        <f t="shared" si="278"/>
        <v/>
      </c>
      <c r="BA517" s="49">
        <v>0</v>
      </c>
      <c r="BC517" s="73" t="str">
        <f t="shared" si="279"/>
        <v/>
      </c>
      <c r="BD517" s="73">
        <f t="shared" si="280"/>
        <v>0</v>
      </c>
      <c r="BE517" s="73">
        <f t="shared" si="281"/>
        <v>0</v>
      </c>
      <c r="BF517" s="77">
        <f t="shared" si="282"/>
        <v>0</v>
      </c>
      <c r="BG517" s="77">
        <f t="shared" si="283"/>
        <v>0</v>
      </c>
      <c r="BH517" s="77">
        <f t="shared" si="284"/>
        <v>0</v>
      </c>
      <c r="BI517" s="78" t="str">
        <f t="shared" si="285"/>
        <v/>
      </c>
      <c r="BJ517" s="79" t="str">
        <f t="shared" si="286"/>
        <v/>
      </c>
      <c r="BK517" s="80" t="str">
        <f t="shared" si="287"/>
        <v/>
      </c>
      <c r="BL517" s="80" t="str">
        <f t="shared" si="288"/>
        <v/>
      </c>
      <c r="BM517" s="79" t="str">
        <f t="shared" si="289"/>
        <v/>
      </c>
      <c r="BN517" s="81" t="str">
        <f t="shared" si="290"/>
        <v/>
      </c>
      <c r="BO517" s="82" t="str">
        <f t="shared" si="291"/>
        <v/>
      </c>
      <c r="BP517" s="81" t="str">
        <f t="shared" si="292"/>
        <v/>
      </c>
      <c r="BQ517" s="81" t="str">
        <f t="shared" si="293"/>
        <v/>
      </c>
      <c r="BR517" s="81" t="str">
        <f t="shared" si="294"/>
        <v/>
      </c>
      <c r="BS517" s="82">
        <f t="shared" si="295"/>
        <v>0</v>
      </c>
      <c r="BT517" s="82" t="str">
        <f t="shared" si="296"/>
        <v/>
      </c>
      <c r="BU517" s="82">
        <f t="shared" si="297"/>
        <v>0</v>
      </c>
      <c r="BW517" s="82">
        <f>IFERROR(INDEX('Infos Clientes'!$T:$T,MATCH('Detalhe Por UC'!$C517,'Infos Clientes'!B:B,0)),"")</f>
        <v>0</v>
      </c>
      <c r="BX517" s="83">
        <f t="shared" si="298"/>
        <v>0</v>
      </c>
      <c r="BY517" s="84" t="str">
        <f t="shared" si="299"/>
        <v/>
      </c>
      <c r="BZ517" s="85" t="str">
        <f>IF(_xlfn.MINIFS('Detalhe Por UC'!R:R,'Detalhe Por UC'!C:C,C517,'Detalhe Por UC'!AD:AD,"&gt;"&amp;0)=0,"",_xlfn.MINIFS('Detalhe Por UC'!R:R,'Detalhe Por UC'!C:C,C517,'Detalhe Por UC'!AD:AD,"&gt;"&amp;0))</f>
        <v/>
      </c>
      <c r="CA517" s="114" t="str">
        <f ca="1">IF(OR(S517&gt;0,AD517&gt;0),IFERROR(
SUMIFS(INDIRECT("'Infos Clientes'!$W"&amp;INDEX('Infos Clientes'!$C:$C,MATCH(C517,'Infos Clientes'!$H:$H,0))&amp;":$CZ"&amp;INDEX('Infos Clientes'!$C:$C,MATCH(C517,'Infos Clientes'!$H:$H,0))),'Infos Clientes'!$W$2:$CZ$2,"&gt;"&amp;$R517-365,'Infos Clientes'!$W$2:$CZ$2,"&lt;="&amp;$R517)/
COUNTIFS(INDIRECT("'Infos Clientes'!$W"&amp;INDEX('Infos Clientes'!$C:$C,MATCH(C517,'Infos Clientes'!$H:$H,0))&amp;":$CZ"&amp;INDEX('Infos Clientes'!$C:$C,MATCH(C517,'Infos Clientes'!$H:$H,0))),"&gt;="&amp;0,'Infos Clientes'!$W$2:$CZ$2,"&gt;"&amp;$R517-365,'Infos Clientes'!$W$2:$CZ$2,"&lt;="&amp;$R517),""),"")</f>
        <v/>
      </c>
      <c r="CB517" s="87">
        <f>VLOOKUP(C517,'Infos Clientes'!B:L,11,0)</f>
        <v>0</v>
      </c>
      <c r="CC517" s="88" t="str">
        <f t="shared" si="300"/>
        <v>A Unidade Consumidora 10/2338577-6 economizou R$0 na fatura referente à mai/2025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517" s="40" t="s">
        <v>78</v>
      </c>
      <c r="CE517" s="18"/>
      <c r="CF517" s="115">
        <f t="shared" si="301"/>
        <v>0</v>
      </c>
    </row>
    <row r="518" spans="1:85" ht="16.2" hidden="1" customHeight="1" x14ac:dyDescent="0.3">
      <c r="A518" s="105" t="str">
        <f>INDEX('Infos Clientes'!$D:$D,MATCH('Detalhe Por UC'!C518,'Infos Clientes'!B:B,0))</f>
        <v>IGREJA DO EVANGELHO QUADRANGULAR</v>
      </c>
      <c r="B518" s="106" t="str">
        <f>INDEX('Infos Clientes'!$F:$F,MATCH('Detalhe Por UC'!C518,'Infos Clientes'!B:B,0))</f>
        <v>62.955.505/2690-26</v>
      </c>
      <c r="C518" s="44" t="s">
        <v>201</v>
      </c>
      <c r="D518" t="s">
        <v>351</v>
      </c>
      <c r="E518" s="1" t="s">
        <v>352</v>
      </c>
      <c r="F518" s="56" t="str">
        <f>INDEX('Infos Clientes'!$I:$I,MATCH('Detalhe Por UC'!C518,'Infos Clientes'!B:B,0))</f>
        <v>BT</v>
      </c>
      <c r="G518" s="56" t="str">
        <f>INDEX('Infos Clientes'!$J:$J,MATCH('Detalhe Por UC'!C518,'Infos Clientes'!B:B,0))</f>
        <v>bifasico</v>
      </c>
      <c r="H518" s="108" t="s">
        <v>138</v>
      </c>
      <c r="I518" s="58">
        <f>IFERROR(VLOOKUP(C518,'Infos Clientes'!B:E,4,),"")</f>
        <v>319</v>
      </c>
      <c r="J518" s="109">
        <v>0.25</v>
      </c>
      <c r="K518" s="59">
        <f>INDEX('Infos Clientes'!$M:$M,MATCH('Detalhe Por UC'!C518,'Infos Clientes'!B:B,0))</f>
        <v>0.25</v>
      </c>
      <c r="L518" s="125">
        <v>0</v>
      </c>
      <c r="M518" s="56">
        <f>INDEX('Infos Clientes'!$N:$N,MATCH('Detalhe Por UC'!C518,'Infos Clientes'!B:B,0))</f>
        <v>0</v>
      </c>
      <c r="N518" s="56">
        <f t="shared" si="266"/>
        <v>0</v>
      </c>
      <c r="O518" s="56">
        <f t="shared" si="267"/>
        <v>8</v>
      </c>
      <c r="P518" s="56">
        <f t="shared" si="302"/>
        <v>0</v>
      </c>
      <c r="Q518" s="61">
        <f>IFERROR(IFERROR(INDEX('Infos Clientes'!$A$2:$V$9884,MATCH($C518,'Infos Clientes'!$B$2:$B$9884,0),MATCH(Q$8,'Infos Clientes'!$A$2:$V$2,0)),"")
+IF(OR(INDEX('Infos Clientes'!$A$2:$V$9884,MATCH($C518,'Infos Clientes'!$B$2:$B$9884,0),MATCH("Tempo de Fidelidade (meses)",'Infos Clientes'!$A$2:$V$2,0))=0,R518&gt;=MAX(R:R)),0,
ROUND((MAX(R:R)-R518)/(365/12),0)),"")</f>
        <v>0</v>
      </c>
      <c r="R518" s="111">
        <v>45778</v>
      </c>
      <c r="S518" s="63">
        <v>0.02</v>
      </c>
      <c r="T518" s="113" t="str">
        <f>IF($H518="GIROSSOL II",AP518/INDEX('Resumo Operacional'!$A$1:$P$1103,17,MATCH('Detalhe Por UC'!$R518,'Resumo Operacional'!$A$1:$P$1,0)),
IF($H518="GIROSSOL II e III",AP518/INDEX('Resumo Operacional'!$A$1:$P$1103,17,MATCH('Detalhe Por UC'!$R518,'Resumo Operacional'!$A$1:$P$1,0)),
""))</f>
        <v/>
      </c>
      <c r="U518" s="113">
        <f>IF($H518="GIROSSOL III",AP518/INDEX('Resumo Operacional'!$A$1:$P$1103,53,MATCH('Detalhe Por UC'!$R518,'Resumo Operacional'!$A$1:$P$1,0)),
IF($H518="GIROSSOL II e III",AP518/INDEX('Resumo Operacional'!$A$1:$P$1103,53,MATCH('Detalhe Por UC'!$R518,'Resumo Operacional'!$A$1:$P$1,0)),
""))</f>
        <v>2.59674776251103E-2</v>
      </c>
      <c r="V518" s="45"/>
      <c r="X518" s="18">
        <v>1.1210804195804196</v>
      </c>
      <c r="Y518" s="18">
        <v>0</v>
      </c>
      <c r="Z518" s="18">
        <v>0.9670825242718446</v>
      </c>
      <c r="AA518" s="18">
        <v>0</v>
      </c>
      <c r="AB518" s="143">
        <v>286</v>
      </c>
      <c r="AC518" s="143">
        <v>0</v>
      </c>
      <c r="AD518" s="143">
        <v>206</v>
      </c>
      <c r="AE518" s="35"/>
      <c r="AF518" s="143">
        <v>0</v>
      </c>
      <c r="AG518" s="143">
        <v>0</v>
      </c>
      <c r="AH518" s="48">
        <v>59.51</v>
      </c>
      <c r="AI518" s="143">
        <v>0</v>
      </c>
      <c r="AJ518" s="143">
        <v>0</v>
      </c>
      <c r="AN518" s="71">
        <f t="shared" si="268"/>
        <v>0</v>
      </c>
      <c r="AO518" s="71">
        <f t="shared" si="269"/>
        <v>0</v>
      </c>
      <c r="AP518" s="71">
        <f t="shared" si="270"/>
        <v>206</v>
      </c>
      <c r="AQ518" s="72">
        <f>IF(OR($H518="GIROSSOL II",$H518="GIROSSOL II e III"),INDEX('Resumo Operacional'!$A$1:$P$1103,MATCH("Energia Injetada prevista total Fatura da Usina (TUSD)",'Resumo Operacional'!$B$1:$B$1103,0),MATCH('Detalhe Por UC'!$R518,'Resumo Operacional'!$A$1:$P$1,0))*$S518,INDEX('Resumo Operacional'!$A$1:$P$1103,53,MATCH('Detalhe Por UC'!$R518,'Resumo Operacional'!$A$1:$P$1,0))*$S518)</f>
        <v>158.66</v>
      </c>
      <c r="AR518" s="71">
        <f t="shared" si="271"/>
        <v>47.34</v>
      </c>
      <c r="AS518" s="73">
        <f t="shared" si="272"/>
        <v>180.92000000000002</v>
      </c>
      <c r="AT518" s="74">
        <f t="shared" si="273"/>
        <v>180.92000000000002</v>
      </c>
      <c r="AU518" s="74">
        <f t="shared" si="274"/>
        <v>0.81308462896326961</v>
      </c>
      <c r="AV518" s="74">
        <f t="shared" si="275"/>
        <v>149.41424999999998</v>
      </c>
      <c r="AW518" s="74">
        <f t="shared" si="276"/>
        <v>0</v>
      </c>
      <c r="AX518" s="74">
        <f t="shared" si="277"/>
        <v>199.21899999999999</v>
      </c>
      <c r="AY518" s="74">
        <f t="shared" si="278"/>
        <v>149.41</v>
      </c>
      <c r="AZ518" s="49">
        <v>149.41</v>
      </c>
      <c r="BA518" s="49">
        <v>149.41</v>
      </c>
      <c r="BB518" s="49">
        <v>199.21899999999999</v>
      </c>
      <c r="BC518" s="73">
        <f t="shared" si="279"/>
        <v>49.808999999999997</v>
      </c>
      <c r="BD518" s="73">
        <f t="shared" si="280"/>
        <v>380.13900000000001</v>
      </c>
      <c r="BE518" s="73">
        <f t="shared" si="281"/>
        <v>330.33425</v>
      </c>
      <c r="BF518" s="77">
        <f t="shared" si="282"/>
        <v>49.8</v>
      </c>
      <c r="BG518" s="77">
        <f t="shared" si="283"/>
        <v>14.939999999999998</v>
      </c>
      <c r="BH518" s="77">
        <f t="shared" si="284"/>
        <v>199.21899999999999</v>
      </c>
      <c r="BI518" s="78">
        <f t="shared" si="285"/>
        <v>0.25</v>
      </c>
      <c r="BJ518" s="79">
        <f t="shared" si="286"/>
        <v>0.13100471143450157</v>
      </c>
      <c r="BK518" s="80">
        <f t="shared" si="287"/>
        <v>330.33000000000004</v>
      </c>
      <c r="BL518" s="80">
        <f t="shared" si="288"/>
        <v>49.808999999999969</v>
      </c>
      <c r="BM518" s="79">
        <f t="shared" si="289"/>
        <v>0.13102838698476074</v>
      </c>
      <c r="BN518" s="81">
        <f t="shared" si="290"/>
        <v>0.72529126213592232</v>
      </c>
      <c r="BO518" s="82">
        <f t="shared" si="291"/>
        <v>149.41</v>
      </c>
      <c r="BP518" s="81">
        <f t="shared" si="292"/>
        <v>0.72529126213592232</v>
      </c>
      <c r="BQ518" s="81">
        <f t="shared" si="293"/>
        <v>0.87928915744449732</v>
      </c>
      <c r="BR518" s="81">
        <f t="shared" si="294"/>
        <v>1.1210804195804196</v>
      </c>
      <c r="BS518" s="82">
        <f t="shared" si="295"/>
        <v>206</v>
      </c>
      <c r="BT518" s="82">
        <f t="shared" si="296"/>
        <v>230.94256643356644</v>
      </c>
      <c r="BU518" s="82">
        <f t="shared" si="297"/>
        <v>199.21899999999999</v>
      </c>
      <c r="BW518" s="82">
        <f>IFERROR(INDEX('Infos Clientes'!$T:$T,MATCH('Detalhe Por UC'!$C518,'Infos Clientes'!B:B,0)),"")</f>
        <v>293</v>
      </c>
      <c r="BX518" s="83">
        <f t="shared" si="298"/>
        <v>0</v>
      </c>
      <c r="BY518" s="84">
        <f t="shared" si="299"/>
        <v>0.21567700043001028</v>
      </c>
      <c r="BZ518" s="85">
        <f>IF(_xlfn.MINIFS('Detalhe Por UC'!R:R,'Detalhe Por UC'!C:C,C518,'Detalhe Por UC'!AD:AD,"&gt;"&amp;0)=0,"",_xlfn.MINIFS('Detalhe Por UC'!R:R,'Detalhe Por UC'!C:C,C518,'Detalhe Por UC'!AD:AD,"&gt;"&amp;0))</f>
        <v>45658</v>
      </c>
      <c r="CA518" s="114">
        <f ca="1">IF(OR(S518&gt;0,AD518&gt;0),IFERROR(
SUMIFS(INDIRECT("'Infos Clientes'!$W"&amp;INDEX('Infos Clientes'!$C:$C,MATCH(C518,'Infos Clientes'!$H:$H,0))&amp;":$CZ"&amp;INDEX('Infos Clientes'!$C:$C,MATCH(C518,'Infos Clientes'!$H:$H,0))),'Infos Clientes'!$W$2:$CZ$2,"&gt;"&amp;$R518-365,'Infos Clientes'!$W$2:$CZ$2,"&lt;="&amp;$R518)/
COUNTIFS(INDIRECT("'Infos Clientes'!$W"&amp;INDEX('Infos Clientes'!$C:$C,MATCH(C518,'Infos Clientes'!$H:$H,0))&amp;":$CZ"&amp;INDEX('Infos Clientes'!$C:$C,MATCH(C518,'Infos Clientes'!$H:$H,0))),"&gt;="&amp;0,'Infos Clientes'!$W$2:$CZ$2,"&gt;"&amp;$R518-365,'Infos Clientes'!$W$2:$CZ$2,"&lt;="&amp;$R518),""),"")</f>
        <v>281</v>
      </c>
      <c r="CB518" s="87">
        <f>VLOOKUP(C518,'Infos Clientes'!B:L,11,0)</f>
        <v>0</v>
      </c>
      <c r="CC518" s="88" t="str">
        <f t="shared" si="300"/>
        <v>A Unidade Consumidora 10/41548-9 economizou R$49,8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518" s="40" t="s">
        <v>249</v>
      </c>
      <c r="CE518" s="18">
        <v>180.92</v>
      </c>
      <c r="CF518" s="115">
        <f t="shared" si="301"/>
        <v>0</v>
      </c>
    </row>
    <row r="519" spans="1:85" ht="16.2" hidden="1" customHeight="1" x14ac:dyDescent="0.3">
      <c r="A519" s="105" t="str">
        <f>INDEX('Infos Clientes'!$D:$D,MATCH('Detalhe Por UC'!C519,'Infos Clientes'!B:B,0))</f>
        <v>IGREJA DO EVANGELHO QUADRANGULAR</v>
      </c>
      <c r="B519" s="106" t="str">
        <f>INDEX('Infos Clientes'!$F:$F,MATCH('Detalhe Por UC'!C519,'Infos Clientes'!B:B,0))</f>
        <v>62.955.505/1822-57</v>
      </c>
      <c r="C519" s="44" t="s">
        <v>216</v>
      </c>
      <c r="D519" t="s">
        <v>351</v>
      </c>
      <c r="E519" s="1" t="s">
        <v>352</v>
      </c>
      <c r="F519" s="56" t="str">
        <f>INDEX('Infos Clientes'!$I:$I,MATCH('Detalhe Por UC'!C519,'Infos Clientes'!B:B,0))</f>
        <v>BT</v>
      </c>
      <c r="G519" s="56" t="str">
        <f>INDEX('Infos Clientes'!$J:$J,MATCH('Detalhe Por UC'!C519,'Infos Clientes'!B:B,0))</f>
        <v>trifasico</v>
      </c>
      <c r="H519" s="108" t="s">
        <v>138</v>
      </c>
      <c r="I519" s="58">
        <f>IFERROR(VLOOKUP(C519,'Infos Clientes'!B:E,4,),"")</f>
        <v>319</v>
      </c>
      <c r="J519" s="109">
        <v>0.25</v>
      </c>
      <c r="K519" s="59">
        <f>INDEX('Infos Clientes'!$M:$M,MATCH('Detalhe Por UC'!C519,'Infos Clientes'!B:B,0))</f>
        <v>0.25</v>
      </c>
      <c r="L519" s="125">
        <v>0</v>
      </c>
      <c r="M519" s="56">
        <f>INDEX('Infos Clientes'!$N:$N,MATCH('Detalhe Por UC'!C519,'Infos Clientes'!B:B,0))</f>
        <v>0</v>
      </c>
      <c r="N519" s="56">
        <f t="shared" si="266"/>
        <v>0</v>
      </c>
      <c r="O519" s="56">
        <f t="shared" si="267"/>
        <v>9</v>
      </c>
      <c r="P519" s="56">
        <f t="shared" si="302"/>
        <v>0</v>
      </c>
      <c r="Q519" s="61">
        <f>IFERROR(IFERROR(INDEX('Infos Clientes'!$A$2:$V$9884,MATCH($C519,'Infos Clientes'!$B$2:$B$9884,0),MATCH(Q$8,'Infos Clientes'!$A$2:$V$2,0)),"")
+IF(OR(INDEX('Infos Clientes'!$A$2:$V$9884,MATCH($C519,'Infos Clientes'!$B$2:$B$9884,0),MATCH("Tempo de Fidelidade (meses)",'Infos Clientes'!$A$2:$V$2,0))=0,R519&gt;=MAX(R:R)),0,
ROUND((MAX(R:R)-R519)/(365/12),0)),"")</f>
        <v>0</v>
      </c>
      <c r="R519" s="111">
        <v>45778</v>
      </c>
      <c r="S519" s="63">
        <v>0.01</v>
      </c>
      <c r="T519" s="113" t="str">
        <f>IF($H519="GIROSSOL II",AP519/INDEX('Resumo Operacional'!$A$1:$P$1103,17,MATCH('Detalhe Por UC'!$R519,'Resumo Operacional'!$A$1:$P$1,0)),
IF($H519="GIROSSOL II e III",AP519/INDEX('Resumo Operacional'!$A$1:$P$1103,17,MATCH('Detalhe Por UC'!$R519,'Resumo Operacional'!$A$1:$P$1,0)),
""))</f>
        <v/>
      </c>
      <c r="U519" s="113">
        <f>IF($H519="GIROSSOL III",AP519/INDEX('Resumo Operacional'!$A$1:$P$1103,53,MATCH('Detalhe Por UC'!$R519,'Resumo Operacional'!$A$1:$P$1,0)),
IF($H519="GIROSSOL II e III",AP519/INDEX('Resumo Operacional'!$A$1:$P$1103,53,MATCH('Detalhe Por UC'!$R519,'Resumo Operacional'!$A$1:$P$1,0)),
""))</f>
        <v>2.2942140426068323E-2</v>
      </c>
      <c r="V519" s="45"/>
      <c r="X519" s="18">
        <v>1.1356751914998766</v>
      </c>
      <c r="Y519" s="18">
        <v>0</v>
      </c>
      <c r="Z519" s="18">
        <v>0.97875048021513611</v>
      </c>
      <c r="AA519" s="18">
        <v>0</v>
      </c>
      <c r="AB519" s="143">
        <v>213</v>
      </c>
      <c r="AC519" s="143">
        <v>0</v>
      </c>
      <c r="AD519" s="143">
        <v>137</v>
      </c>
      <c r="AE519" s="35"/>
      <c r="AF519" s="143">
        <v>45</v>
      </c>
      <c r="AG519" s="143">
        <v>0</v>
      </c>
      <c r="AH519" s="48">
        <v>71.400000000000006</v>
      </c>
      <c r="AI519" s="143">
        <v>0</v>
      </c>
      <c r="AJ519" s="143">
        <v>0</v>
      </c>
      <c r="AN519" s="71">
        <f t="shared" si="268"/>
        <v>45</v>
      </c>
      <c r="AO519" s="71">
        <f t="shared" si="269"/>
        <v>0</v>
      </c>
      <c r="AP519" s="71">
        <f t="shared" si="270"/>
        <v>182</v>
      </c>
      <c r="AQ519" s="72">
        <f>IF(OR($H519="GIROSSOL II",$H519="GIROSSOL II e III"),INDEX('Resumo Operacional'!$A$1:$P$1103,MATCH("Energia Injetada prevista total Fatura da Usina (TUSD)",'Resumo Operacional'!$B$1:$B$1103,0),MATCH('Detalhe Por UC'!$R519,'Resumo Operacional'!$A$1:$P$1,0))*$S519,INDEX('Resumo Operacional'!$A$1:$P$1103,53,MATCH('Detalhe Por UC'!$R519,'Resumo Operacional'!$A$1:$P$1,0))*$S519)</f>
        <v>79.33</v>
      </c>
      <c r="AR519" s="71">
        <f t="shared" si="271"/>
        <v>102.67</v>
      </c>
      <c r="AS519" s="73">
        <f t="shared" si="272"/>
        <v>179.21000000000009</v>
      </c>
      <c r="AT519" s="74">
        <f t="shared" si="273"/>
        <v>179.21000000000009</v>
      </c>
      <c r="AU519" s="74">
        <f t="shared" si="274"/>
        <v>0.82182576893039561</v>
      </c>
      <c r="AV519" s="74">
        <f t="shared" si="275"/>
        <v>100.56661184210525</v>
      </c>
      <c r="AW519" s="74">
        <f t="shared" si="276"/>
        <v>0</v>
      </c>
      <c r="AX519" s="74">
        <f t="shared" si="277"/>
        <v>134.08881578947364</v>
      </c>
      <c r="AY519" s="74">
        <f t="shared" si="278"/>
        <v>100.57</v>
      </c>
      <c r="AZ519" s="49">
        <v>100.57</v>
      </c>
      <c r="BA519" s="49">
        <v>100.57</v>
      </c>
      <c r="BB519" s="117">
        <v>100.57</v>
      </c>
      <c r="BC519" s="73" t="str">
        <f t="shared" si="279"/>
        <v/>
      </c>
      <c r="BD519" s="73">
        <f t="shared" si="280"/>
        <v>313.29881578947374</v>
      </c>
      <c r="BE519" s="73">
        <f t="shared" si="281"/>
        <v>279.77661184210535</v>
      </c>
      <c r="BF519" s="77">
        <f t="shared" si="282"/>
        <v>33.520000000000003</v>
      </c>
      <c r="BG519" s="77">
        <f t="shared" si="283"/>
        <v>10.056000000000001</v>
      </c>
      <c r="BH519" s="77">
        <f t="shared" si="284"/>
        <v>134.08881578947364</v>
      </c>
      <c r="BI519" s="78">
        <f t="shared" si="285"/>
        <v>0.25</v>
      </c>
      <c r="BJ519" s="79">
        <f t="shared" si="286"/>
        <v>0.10699050973280511</v>
      </c>
      <c r="BK519" s="80">
        <f t="shared" si="287"/>
        <v>279.78000000000009</v>
      </c>
      <c r="BL519" s="80">
        <f t="shared" si="288"/>
        <v>33.518815789473649</v>
      </c>
      <c r="BM519" s="79">
        <f t="shared" si="289"/>
        <v>0.1069867299211152</v>
      </c>
      <c r="BN519" s="81">
        <f t="shared" si="290"/>
        <v>0.73408759124087586</v>
      </c>
      <c r="BO519" s="82">
        <f t="shared" si="291"/>
        <v>100.57</v>
      </c>
      <c r="BP519" s="81">
        <f t="shared" si="292"/>
        <v>0.73408759124087586</v>
      </c>
      <c r="BQ519" s="81">
        <f t="shared" si="293"/>
        <v>0.89101230252561636</v>
      </c>
      <c r="BR519" s="81">
        <f t="shared" si="294"/>
        <v>1.1356751914998766</v>
      </c>
      <c r="BS519" s="82">
        <f t="shared" si="295"/>
        <v>137</v>
      </c>
      <c r="BT519" s="82">
        <f t="shared" si="296"/>
        <v>155.5875012354831</v>
      </c>
      <c r="BU519" s="82">
        <f t="shared" si="297"/>
        <v>134.08881578947364</v>
      </c>
      <c r="BW519" s="82">
        <f>IFERROR(INDEX('Infos Clientes'!$T:$T,MATCH('Detalhe Por UC'!$C519,'Infos Clientes'!B:B,0)),"")</f>
        <v>264</v>
      </c>
      <c r="BX519" s="83">
        <f t="shared" si="298"/>
        <v>0</v>
      </c>
      <c r="BY519" s="84">
        <f t="shared" si="299"/>
        <v>0.21543385891095854</v>
      </c>
      <c r="BZ519" s="85">
        <f>IF(_xlfn.MINIFS('Detalhe Por UC'!R:R,'Detalhe Por UC'!C:C,C519,'Detalhe Por UC'!AD:AD,"&gt;"&amp;0)=0,"",_xlfn.MINIFS('Detalhe Por UC'!R:R,'Detalhe Por UC'!C:C,C519,'Detalhe Por UC'!AD:AD,"&gt;"&amp;0))</f>
        <v>45658</v>
      </c>
      <c r="CA519" s="114">
        <f ca="1">IF(OR(S519&gt;0,AD519&gt;0),IFERROR(
SUMIFS(INDIRECT("'Infos Clientes'!$W"&amp;INDEX('Infos Clientes'!$C:$C,MATCH(C519,'Infos Clientes'!$H:$H,0))&amp;":$CZ"&amp;INDEX('Infos Clientes'!$C:$C,MATCH(C519,'Infos Clientes'!$H:$H,0))),'Infos Clientes'!$W$2:$CZ$2,"&gt;"&amp;$R519-365,'Infos Clientes'!$W$2:$CZ$2,"&lt;="&amp;$R519)/
COUNTIFS(INDIRECT("'Infos Clientes'!$W"&amp;INDEX('Infos Clientes'!$C:$C,MATCH(C519,'Infos Clientes'!$H:$H,0))&amp;":$CZ"&amp;INDEX('Infos Clientes'!$C:$C,MATCH(C519,'Infos Clientes'!$H:$H,0))),"&gt;="&amp;0,'Infos Clientes'!$W$2:$CZ$2,"&gt;"&amp;$R519-365,'Infos Clientes'!$W$2:$CZ$2,"&lt;="&amp;$R519),""),"")</f>
        <v>265</v>
      </c>
      <c r="CB519" s="87">
        <f>VLOOKUP(C519,'Infos Clientes'!B:L,11,0)</f>
        <v>0</v>
      </c>
      <c r="CC519" s="88" t="str">
        <f t="shared" si="300"/>
        <v>A Unidade Consumidora 10/52987-5 economizou R$33,52 na fatura referente à mai/2025  consumindo 137 kWh em créditos de energia renovável conforme fatura de energia. A economia foi de 25% em relação ao que seria pago para a Energisa considerando os créditos consumidos. Atenção: Mantenha as contas da Energisa em dia para evitar cortes.</v>
      </c>
      <c r="CD519" s="40" t="s">
        <v>249</v>
      </c>
      <c r="CE519" s="18">
        <v>179.21</v>
      </c>
      <c r="CF519" s="115">
        <f t="shared" si="301"/>
        <v>0</v>
      </c>
      <c r="CG519" t="s">
        <v>358</v>
      </c>
    </row>
    <row r="520" spans="1:85" ht="16.2" hidden="1" customHeight="1" x14ac:dyDescent="0.3">
      <c r="A520" s="105" t="str">
        <f>INDEX('Infos Clientes'!$D:$D,MATCH('Detalhe Por UC'!C520,'Infos Clientes'!B:B,0))</f>
        <v>IGREJA DO EVANGELHO QUADRANGULAR</v>
      </c>
      <c r="B520" s="106" t="str">
        <f>INDEX('Infos Clientes'!$F:$F,MATCH('Detalhe Por UC'!C520,'Infos Clientes'!B:B,0))</f>
        <v>62.955.505/2391-19</v>
      </c>
      <c r="C520" s="44" t="s">
        <v>193</v>
      </c>
      <c r="D520" t="s">
        <v>351</v>
      </c>
      <c r="E520" s="1" t="s">
        <v>352</v>
      </c>
      <c r="F520" s="56" t="str">
        <f>INDEX('Infos Clientes'!$I:$I,MATCH('Detalhe Por UC'!C520,'Infos Clientes'!B:B,0))</f>
        <v>BT</v>
      </c>
      <c r="G520" s="56" t="str">
        <f>INDEX('Infos Clientes'!$J:$J,MATCH('Detalhe Por UC'!C520,'Infos Clientes'!B:B,0))</f>
        <v>bifasico</v>
      </c>
      <c r="H520" s="108" t="s">
        <v>138</v>
      </c>
      <c r="I520" s="58">
        <f>IFERROR(VLOOKUP(C520,'Infos Clientes'!B:E,4,),"")</f>
        <v>306</v>
      </c>
      <c r="J520" s="109">
        <v>0.25</v>
      </c>
      <c r="K520" s="59">
        <f>INDEX('Infos Clientes'!$M:$M,MATCH('Detalhe Por UC'!C520,'Infos Clientes'!B:B,0))</f>
        <v>0.25</v>
      </c>
      <c r="L520" s="125">
        <v>0</v>
      </c>
      <c r="M520" s="56">
        <f>INDEX('Infos Clientes'!$N:$N,MATCH('Detalhe Por UC'!C520,'Infos Clientes'!B:B,0))</f>
        <v>0</v>
      </c>
      <c r="N520" s="56">
        <f t="shared" si="266"/>
        <v>0</v>
      </c>
      <c r="O520" s="56">
        <f t="shared" si="267"/>
        <v>9</v>
      </c>
      <c r="P520" s="56">
        <f t="shared" si="302"/>
        <v>0</v>
      </c>
      <c r="Q520" s="61">
        <f>IFERROR(IFERROR(INDEX('Infos Clientes'!$A$2:$V$9884,MATCH($C520,'Infos Clientes'!$B$2:$B$9884,0),MATCH(Q$8,'Infos Clientes'!$A$2:$V$2,0)),"")
+IF(OR(INDEX('Infos Clientes'!$A$2:$V$9884,MATCH($C520,'Infos Clientes'!$B$2:$B$9884,0),MATCH("Tempo de Fidelidade (meses)",'Infos Clientes'!$A$2:$V$2,0))=0,R520&gt;=MAX(R:R)),0,
ROUND((MAX(R:R)-R520)/(365/12),0)),"")</f>
        <v>0</v>
      </c>
      <c r="R520" s="111">
        <v>45778</v>
      </c>
      <c r="S520" s="63">
        <v>0.02</v>
      </c>
      <c r="T520" s="113" t="str">
        <f>IF($H520="GIROSSOL II",AP520/INDEX('Resumo Operacional'!$A$1:$P$1103,17,MATCH('Detalhe Por UC'!$R520,'Resumo Operacional'!$A$1:$P$1,0)),
IF($H520="GIROSSOL II e III",AP520/INDEX('Resumo Operacional'!$A$1:$P$1103,17,MATCH('Detalhe Por UC'!$R520,'Resumo Operacional'!$A$1:$P$1,0)),
""))</f>
        <v/>
      </c>
      <c r="U520" s="113">
        <f>IF($H520="GIROSSOL III",AP520/INDEX('Resumo Operacional'!$A$1:$P$1103,53,MATCH('Detalhe Por UC'!$R520,'Resumo Operacional'!$A$1:$P$1,0)),
IF($H520="GIROSSOL II e III",AP520/INDEX('Resumo Operacional'!$A$1:$P$1103,53,MATCH('Detalhe Por UC'!$R520,'Resumo Operacional'!$A$1:$P$1,0)),
""))</f>
        <v>4.5884280852136645E-2</v>
      </c>
      <c r="V520" s="45"/>
      <c r="X520" s="18">
        <v>1.1316129032258064</v>
      </c>
      <c r="Y520" s="18">
        <v>0</v>
      </c>
      <c r="Z520" s="18">
        <v>0.9747122302158272</v>
      </c>
      <c r="AA520" s="18">
        <v>0</v>
      </c>
      <c r="AB520" s="143">
        <v>279</v>
      </c>
      <c r="AC520" s="143">
        <v>0</v>
      </c>
      <c r="AD520" s="143">
        <v>278</v>
      </c>
      <c r="AE520" s="35"/>
      <c r="AF520" s="143">
        <v>86</v>
      </c>
      <c r="AG520" s="143">
        <v>0</v>
      </c>
      <c r="AH520" s="48">
        <v>0</v>
      </c>
      <c r="AI520" s="143">
        <v>0</v>
      </c>
      <c r="AJ520" s="143">
        <v>0</v>
      </c>
      <c r="AN520" s="71">
        <f t="shared" si="268"/>
        <v>86</v>
      </c>
      <c r="AO520" s="71">
        <f t="shared" si="269"/>
        <v>0</v>
      </c>
      <c r="AP520" s="71">
        <f t="shared" si="270"/>
        <v>364</v>
      </c>
      <c r="AQ520" s="72">
        <f>IF(OR($H520="GIROSSOL II",$H520="GIROSSOL II e III"),INDEX('Resumo Operacional'!$A$1:$P$1103,MATCH("Energia Injetada prevista total Fatura da Usina (TUSD)",'Resumo Operacional'!$B$1:$B$1103,0),MATCH('Detalhe Por UC'!$R520,'Resumo Operacional'!$A$1:$P$1,0))*$S520,INDEX('Resumo Operacional'!$A$1:$P$1103,53,MATCH('Detalhe Por UC'!$R520,'Resumo Operacional'!$A$1:$P$1,0))*$S520)</f>
        <v>158.66</v>
      </c>
      <c r="AR520" s="71">
        <f t="shared" si="271"/>
        <v>205.34</v>
      </c>
      <c r="AS520" s="73">
        <f t="shared" si="272"/>
        <v>44.75</v>
      </c>
      <c r="AT520" s="74">
        <f t="shared" si="273"/>
        <v>44.75</v>
      </c>
      <c r="AU520" s="74">
        <f t="shared" si="274"/>
        <v>0.81781155720584797</v>
      </c>
      <c r="AV520" s="74">
        <f t="shared" si="275"/>
        <v>203.22749999999999</v>
      </c>
      <c r="AW520" s="74">
        <f t="shared" si="276"/>
        <v>0</v>
      </c>
      <c r="AX520" s="74">
        <f t="shared" si="277"/>
        <v>270.96999999999997</v>
      </c>
      <c r="AY520" s="74">
        <f t="shared" si="278"/>
        <v>203.23</v>
      </c>
      <c r="AZ520" s="49">
        <v>203.23</v>
      </c>
      <c r="BA520" s="49">
        <v>203.23</v>
      </c>
      <c r="BB520" s="117">
        <v>203.23</v>
      </c>
      <c r="BC520" s="73" t="str">
        <f t="shared" si="279"/>
        <v/>
      </c>
      <c r="BD520" s="73">
        <f t="shared" si="280"/>
        <v>315.71999999999997</v>
      </c>
      <c r="BE520" s="73">
        <f t="shared" si="281"/>
        <v>247.97749999999999</v>
      </c>
      <c r="BF520" s="77">
        <f t="shared" si="282"/>
        <v>67.739999999999995</v>
      </c>
      <c r="BG520" s="77">
        <f t="shared" si="283"/>
        <v>20.321999999999999</v>
      </c>
      <c r="BH520" s="77">
        <f t="shared" si="284"/>
        <v>270.96999999999991</v>
      </c>
      <c r="BI520" s="78">
        <f t="shared" si="285"/>
        <v>0.25</v>
      </c>
      <c r="BJ520" s="79">
        <f t="shared" si="286"/>
        <v>0.21455720258456862</v>
      </c>
      <c r="BK520" s="80">
        <f t="shared" si="287"/>
        <v>247.98</v>
      </c>
      <c r="BL520" s="80">
        <f t="shared" si="288"/>
        <v>67.739999999999981</v>
      </c>
      <c r="BM520" s="79">
        <f t="shared" si="289"/>
        <v>0.21455720258456856</v>
      </c>
      <c r="BN520" s="81">
        <f t="shared" si="290"/>
        <v>0.73104316546762582</v>
      </c>
      <c r="BO520" s="82">
        <f t="shared" si="291"/>
        <v>203.23</v>
      </c>
      <c r="BP520" s="81">
        <f t="shared" si="292"/>
        <v>0.73104316546762582</v>
      </c>
      <c r="BQ520" s="81">
        <f t="shared" si="293"/>
        <v>0.88794383847760505</v>
      </c>
      <c r="BR520" s="81">
        <f t="shared" si="294"/>
        <v>1.1316129032258064</v>
      </c>
      <c r="BS520" s="82">
        <f t="shared" si="295"/>
        <v>278</v>
      </c>
      <c r="BT520" s="82">
        <f t="shared" si="296"/>
        <v>314.58838709677417</v>
      </c>
      <c r="BU520" s="82">
        <f t="shared" si="297"/>
        <v>270.96999999999997</v>
      </c>
      <c r="BW520" s="82">
        <f>IFERROR(INDEX('Infos Clientes'!$T:$T,MATCH('Detalhe Por UC'!$C520,'Infos Clientes'!B:B,0)),"")</f>
        <v>330.27272727272725</v>
      </c>
      <c r="BX520" s="83">
        <f t="shared" si="298"/>
        <v>0</v>
      </c>
      <c r="BY520" s="84">
        <f t="shared" si="299"/>
        <v>0.21532899108307421</v>
      </c>
      <c r="BZ520" s="85">
        <f>IF(_xlfn.MINIFS('Detalhe Por UC'!R:R,'Detalhe Por UC'!C:C,C520,'Detalhe Por UC'!AD:AD,"&gt;"&amp;0)=0,"",_xlfn.MINIFS('Detalhe Por UC'!R:R,'Detalhe Por UC'!C:C,C520,'Detalhe Por UC'!AD:AD,"&gt;"&amp;0))</f>
        <v>45658</v>
      </c>
      <c r="CA520" s="114">
        <f ca="1">IF(OR(S520&gt;0,AD520&gt;0),IFERROR(
SUMIFS(INDIRECT("'Infos Clientes'!$W"&amp;INDEX('Infos Clientes'!$C:$C,MATCH(C520,'Infos Clientes'!$H:$H,0))&amp;":$CZ"&amp;INDEX('Infos Clientes'!$C:$C,MATCH(C520,'Infos Clientes'!$H:$H,0))),'Infos Clientes'!$W$2:$CZ$2,"&gt;"&amp;$R520-365,'Infos Clientes'!$W$2:$CZ$2,"&lt;="&amp;$R520)/
COUNTIFS(INDIRECT("'Infos Clientes'!$W"&amp;INDEX('Infos Clientes'!$C:$C,MATCH(C520,'Infos Clientes'!$H:$H,0))&amp;":$CZ"&amp;INDEX('Infos Clientes'!$C:$C,MATCH(C520,'Infos Clientes'!$H:$H,0))),"&gt;="&amp;0,'Infos Clientes'!$W$2:$CZ$2,"&gt;"&amp;$R520-365,'Infos Clientes'!$W$2:$CZ$2,"&lt;="&amp;$R520),""),"")</f>
        <v>313.91666666666669</v>
      </c>
      <c r="CB520" s="87">
        <f>VLOOKUP(C520,'Infos Clientes'!B:L,11,0)</f>
        <v>0</v>
      </c>
      <c r="CC520" s="88" t="str">
        <f t="shared" si="300"/>
        <v>A Unidade Consumidora 10/341308-5 economizou R$67,74 na fatura referente à mai/2025  consumindo 278 kWh em créditos de energia renovável conforme fatura de energia. A economia foi de 25% em relação ao que seria pago para a Energisa considerando os créditos consumidos. Atenção: Mantenha as contas da Energisa em dia para evitar cortes.</v>
      </c>
      <c r="CD520" s="40" t="s">
        <v>249</v>
      </c>
      <c r="CE520" s="18">
        <v>44.75</v>
      </c>
      <c r="CF520" s="115">
        <f t="shared" si="301"/>
        <v>0</v>
      </c>
      <c r="CG520" t="s">
        <v>358</v>
      </c>
    </row>
    <row r="521" spans="1:85" ht="16.2" hidden="1" customHeight="1" x14ac:dyDescent="0.3">
      <c r="A521" s="105" t="str">
        <f>INDEX('Infos Clientes'!$D:$D,MATCH('Detalhe Por UC'!C521,'Infos Clientes'!B:B,0))</f>
        <v>IGREJA DO EVANGELHO QUADRANGULAR</v>
      </c>
      <c r="B521" s="106" t="str">
        <f>INDEX('Infos Clientes'!$F:$F,MATCH('Detalhe Por UC'!C521,'Infos Clientes'!B:B,0))</f>
        <v>62.955.505/1893-40</v>
      </c>
      <c r="C521" s="107" t="s">
        <v>214</v>
      </c>
      <c r="D521" t="s">
        <v>351</v>
      </c>
      <c r="E521" s="1" t="s">
        <v>352</v>
      </c>
      <c r="F521" s="56" t="str">
        <f>INDEX('Infos Clientes'!$I:$I,MATCH('Detalhe Por UC'!C521,'Infos Clientes'!B:B,0))</f>
        <v>BT</v>
      </c>
      <c r="G521" s="56" t="str">
        <f>INDEX('Infos Clientes'!$J:$J,MATCH('Detalhe Por UC'!C521,'Infos Clientes'!B:B,0))</f>
        <v>trifasico</v>
      </c>
      <c r="H521" s="108" t="s">
        <v>138</v>
      </c>
      <c r="I521" s="58">
        <f>IFERROR(VLOOKUP(C521,'Infos Clientes'!B:E,4,),"")</f>
        <v>349</v>
      </c>
      <c r="J521" s="109">
        <v>0.25</v>
      </c>
      <c r="K521" s="59">
        <f>INDEX('Infos Clientes'!$M:$M,MATCH('Detalhe Por UC'!C521,'Infos Clientes'!B:B,0))</f>
        <v>0.25</v>
      </c>
      <c r="L521" s="125">
        <v>0</v>
      </c>
      <c r="M521" s="56">
        <f>INDEX('Infos Clientes'!$N:$N,MATCH('Detalhe Por UC'!C521,'Infos Clientes'!B:B,0))</f>
        <v>0</v>
      </c>
      <c r="N521" s="56">
        <f t="shared" ref="N521:N584" si="303">COUNTIFS(C:C,C521,J:J,L521)</f>
        <v>0</v>
      </c>
      <c r="O521" s="56">
        <f t="shared" ref="O521:O584" si="304">COUNTIFS(C:C,C521,AD:AD,"&gt;0")</f>
        <v>1</v>
      </c>
      <c r="P521" s="56">
        <f t="shared" si="302"/>
        <v>0</v>
      </c>
      <c r="Q521" s="61">
        <f>IFERROR(IFERROR(INDEX('Infos Clientes'!$A$2:$V$9884,MATCH($C521,'Infos Clientes'!$B$2:$B$9884,0),MATCH(Q$8,'Infos Clientes'!$A$2:$V$2,0)),"")
+IF(OR(INDEX('Infos Clientes'!$A$2:$V$9884,MATCH($C521,'Infos Clientes'!$B$2:$B$9884,0),MATCH("Tempo de Fidelidade (meses)",'Infos Clientes'!$A$2:$V$2,0))=0,R521&gt;=MAX(R:R)),0,
ROUND((MAX(R:R)-R521)/(365/12),0)),"")</f>
        <v>0</v>
      </c>
      <c r="R521" s="111">
        <v>45778</v>
      </c>
      <c r="S521" s="63">
        <v>0.01</v>
      </c>
      <c r="T521" s="113" t="str">
        <f>IF($H521="GIROSSOL II",AP521/INDEX('Resumo Operacional'!$A$1:$P$1103,17,MATCH('Detalhe Por UC'!$R521,'Resumo Operacional'!$A$1:$P$1,0)),
IF($H521="GIROSSOL II e III",AP521/INDEX('Resumo Operacional'!$A$1:$P$1103,17,MATCH('Detalhe Por UC'!$R521,'Resumo Operacional'!$A$1:$P$1,0)),
""))</f>
        <v/>
      </c>
      <c r="U521" s="113">
        <f>IF($H521="GIROSSOL III",AP521/INDEX('Resumo Operacional'!$A$1:$P$1103,53,MATCH('Detalhe Por UC'!$R521,'Resumo Operacional'!$A$1:$P$1,0)),
IF($H521="GIROSSOL II e III",AP521/INDEX('Resumo Operacional'!$A$1:$P$1103,53,MATCH('Detalhe Por UC'!$R521,'Resumo Operacional'!$A$1:$P$1,0)),
""))</f>
        <v>0</v>
      </c>
      <c r="V521" s="45"/>
      <c r="X521" s="18"/>
      <c r="Y521" s="18"/>
      <c r="Z521" s="18"/>
      <c r="AA521" s="18"/>
      <c r="AB521" s="143"/>
      <c r="AC521" s="143"/>
      <c r="AD521" s="143"/>
      <c r="AE521" s="35"/>
      <c r="AF521" s="143"/>
      <c r="AG521" s="143"/>
      <c r="AH521" s="48"/>
      <c r="AI521" s="143"/>
      <c r="AJ521" s="143"/>
      <c r="AN521" s="71" t="str">
        <f t="shared" ref="AN521:AN584" si="305">IF(X521="","",AF521-SUMIFS(AF:AF,$C:$C,$C521,$R:$R,EDATE($R521,-1)))</f>
        <v/>
      </c>
      <c r="AO521" s="71" t="str">
        <f t="shared" ref="AO521:AO584" si="306">IF(X521="","",AG521-SUMIFS(AG:AG,$H:$H,$H521,$C:$C,$C521,$R:$R,EDATE($R521,-1)))</f>
        <v/>
      </c>
      <c r="AP521" s="71">
        <f t="shared" ref="AP521:AP584" si="307">IFERROR(IF(D521="CRÉD. CONSUMIDO",SUM(AD521,AE521,AN521,AO521),IF(D521="GERADO",AQ521)),"")</f>
        <v>0</v>
      </c>
      <c r="AQ521" s="72">
        <f>IF(OR($H521="GIROSSOL II",$H521="GIROSSOL II e III"),INDEX('Resumo Operacional'!$A$1:$P$1103,MATCH("Energia Injetada prevista total Fatura da Usina (TUSD)",'Resumo Operacional'!$B$1:$B$1103,0),MATCH('Detalhe Por UC'!$R521,'Resumo Operacional'!$A$1:$P$1,0))*$S521,INDEX('Resumo Operacional'!$A$1:$P$1103,53,MATCH('Detalhe Por UC'!$R521,'Resumo Operacional'!$A$1:$P$1,0))*$S521)</f>
        <v>79.33</v>
      </c>
      <c r="AR521" s="71" t="str">
        <f t="shared" ref="AR521:AR584" si="308">IF(X521="","",AP521-AQ521)</f>
        <v/>
      </c>
      <c r="AS521" s="73">
        <f t="shared" ref="AS521:AS584" si="309">IFERROR((X521*AB521-Z521*AD521+Y521*AC521-AA521*AE521)+AH521+
IF(F521&lt;&gt;"BT",0,
IF(AND(G521="trifasico",AD521=0,AB521&lt;100),X521*(100-(AB521-AD521)),
IF(AND(G521="bifasico",AD521=0,AB521&lt;50),X521*(50-(AB521-AD521)),
IF(AND(G521="monofasico",AD521=0,AB521&lt;30),X521*(30-(AB521-AD521)),0)))),"")</f>
        <v>0</v>
      </c>
      <c r="AT521" s="74">
        <f t="shared" ref="AT521:AT584" si="310">IFERROR(AS521+AI521+AJ521,"")</f>
        <v>0</v>
      </c>
      <c r="AU521" s="74" t="str">
        <f t="shared" ref="AU521:AU584" si="311">IFERROR((Z521*AD521+AA521*AE521)/(AD521+AE521)-((X521-Z521)*AD521+(Y521-AA521)*AE521)/(AD521+AE521),"")</f>
        <v/>
      </c>
      <c r="AV521" s="74">
        <f t="shared" ref="AV521:AV584" si="312">IFERROR(IF(AND(E521="FINAL-Ñ.COMP",D521="CRÉD. CONSUMIDO"),(X521*(1-J521)-(X521-Z521))*AD521+(Y521*(1-J521)-(Y521-AA521))*AE521,
IF(AND(E521="T.COMP",D521="CRÉD. CONSUMIDO"),Z521*(1-J521)*AD521+AA521*(1-J521)*AE521,
IF(AND(E521="T.S.IMP",D521="CRÉD. CONSUMIDO"),V521*(1-J521)*AD521+W521*(1-J521)*AE521,
IF(AND(E521="T.S.IMP",D521="GERADO"),V521*(1-J521)*AQ521+W521*(1-J521)*AQ521,
IF(AND(E521="T.COMP",D521="GERADO"),AU521*(1-J521)*AQ521,
IF(AND(E521="FINAL-Ñ.COMP",D521="GERADO"),(AU521*(1-J521)-(X521-Z521))*AQ521,"ERRO")))))),"")</f>
        <v>0</v>
      </c>
      <c r="AW521" s="74">
        <f t="shared" ref="AW521:AW584" si="313">IF(45658=R521,0,IF(
SUMIFS($BA:$BA,$C:$C,$C521,$R:$R,EDATE($R521,-1))
&gt;=0,
SUMIFS(AY:AY,$C:$C,$C521,$R:$R,EDATE($R521,-1))-SUMIFS(BA:BA,$C:$C,$C521,$R:$R,EDATE($R521,-1)),0))</f>
        <v>0</v>
      </c>
      <c r="AX521" s="74">
        <f t="shared" ref="AX521:AX584" si="314">IFERROR(IF(AND(E521="FINAL-Ñ.COMP",D521="CRÉD. CONSUMIDO"),(X521-(X521-Z521))*AD521+(Y521-(Y521-AA521))*AE521,
IF(AND(E521="T.COMP",D521="CRÉD. CONSUMIDO"),Z521*AD521+AA521*AE521,
IF(AND(E521="T.S.IMP",D521="CRÉD. CONSUMIDO"),V521*AD521+W521*AE521,
IF(AND(E521="T.S.IMP",D521="GERADO"),V521*AQ521+W521*AQ521,
IF(AND(E521="T.COMP",D521="GERADO"),AU521*AQ521,
IF(AND(E521="FINAL-Ñ.COMP",D521="GERADO"),(AU521-(X521-Z521))*AQ521,"ERRO"))))))+AW521,"")</f>
        <v>0</v>
      </c>
      <c r="AY521" s="74" t="str">
        <f t="shared" ref="AY521:AY584" si="315">IF(AV521=0,IF(AW521=0,"",AW521),IFERROR(ROUND(IF(SUMIFS($BA:$BA,$C:$C,$C521,$R:$R,EDATE($R521,-1))&gt;0,AV521+AW521,AV521),2),""))</f>
        <v/>
      </c>
      <c r="BA521" s="49">
        <v>0</v>
      </c>
      <c r="BC521" s="73" t="str">
        <f t="shared" ref="BC521:BC584" si="316">IF(BB521&gt;BA521,BB521-BA521,"")</f>
        <v/>
      </c>
      <c r="BD521" s="73">
        <f t="shared" ref="BD521:BD584" si="317">IF(AB521&gt;0,X521*AB521+Y521*AC521+AH521,AH521+
IF(AND(G521="trifasico",AB521-AD521=0),X521*(100-(AB521-AD521)),
IF(AND(G521="bifasico",AB521-AD521=0),X521*(50-(AB521-AD521)),
IF(AND(G521="monofasico",AB521-AD521=0),X521*(30-(AB521-AD521)),0))))</f>
        <v>0</v>
      </c>
      <c r="BE521" s="73">
        <f t="shared" ref="BE521:BE584" si="318">IFERROR(AS521+AV521,"")</f>
        <v>0</v>
      </c>
      <c r="BF521" s="77">
        <f t="shared" ref="BF521:BF584" si="319">ROUND(BD521-BE521,2)</f>
        <v>0</v>
      </c>
      <c r="BG521" s="77">
        <f t="shared" ref="BG521:BG584" si="320">BF521*0.3</f>
        <v>0</v>
      </c>
      <c r="BH521" s="77">
        <f t="shared" ref="BH521:BH584" si="321">(X521*AD521)-((X521-Z521)*AD521)</f>
        <v>0</v>
      </c>
      <c r="BI521" s="78" t="str">
        <f t="shared" ref="BI521:BI584" si="322">IFERROR(ROUND(IFERROR(IF(BF521=0,"",BF521/(AY521+Z521*J521*AD521+AA521*J521*AE521)),0),2),"")</f>
        <v/>
      </c>
      <c r="BJ521" s="79" t="str">
        <f t="shared" ref="BJ521:BJ584" si="323">IFERROR(BF521/BD521,"")</f>
        <v/>
      </c>
      <c r="BK521" s="80" t="str">
        <f t="shared" ref="BK521:BK584" si="324">IFERROR(AS521+AY521,"")</f>
        <v/>
      </c>
      <c r="BL521" s="80" t="str">
        <f t="shared" ref="BL521:BL584" si="325">IFERROR(BD521-BK521,"")</f>
        <v/>
      </c>
      <c r="BM521" s="79" t="str">
        <f t="shared" ref="BM521:BM584" si="326">IFERROR(IF(BL521=0,"",BL521/BD521),"")</f>
        <v/>
      </c>
      <c r="BN521" s="81" t="str">
        <f t="shared" ref="BN521:BN584" si="327">IFERROR(IF(AD521="","",AY521/(AD521+AE521)),"")</f>
        <v/>
      </c>
      <c r="BO521" s="82" t="str">
        <f t="shared" ref="BO521:BO584" si="328">IF(OR(BN521="",BN521=0),"",BN521*(AD521+AE521))</f>
        <v/>
      </c>
      <c r="BP521" s="81" t="str">
        <f t="shared" ref="BP521:BP584" si="329">IFERROR(IF(AD521="","",AY521/AD521),"")</f>
        <v/>
      </c>
      <c r="BQ521" s="81" t="str">
        <f t="shared" ref="BQ521:BQ584" si="330">IFERROR(BP521+(X521-Z521),"")</f>
        <v/>
      </c>
      <c r="BR521" s="81" t="str">
        <f t="shared" ref="BR521:BR584" si="331">IFERROR(IF(AD521="","",(X521*AD521+Y521*AE521)/(AD521+AE521)),"")</f>
        <v/>
      </c>
      <c r="BS521" s="82">
        <f t="shared" ref="BS521:BS584" si="332">IFERROR(IF(D521="gerado",AQ521,AD521),"")</f>
        <v>0</v>
      </c>
      <c r="BT521" s="82" t="str">
        <f t="shared" ref="BT521:BT584" si="333">IF(OR(BR521="",BR521=0),"",BR521*(AD521+AE521))</f>
        <v/>
      </c>
      <c r="BU521" s="82">
        <f t="shared" ref="BU521:BU584" si="334">IFERROR(BS521*Z521,"")</f>
        <v>0</v>
      </c>
      <c r="BW521" s="82">
        <f>IFERROR(INDEX('Infos Clientes'!$T:$T,MATCH('Detalhe Por UC'!$C521,'Infos Clientes'!B:B,0)),"")</f>
        <v>254.09090909090909</v>
      </c>
      <c r="BX521" s="83">
        <f t="shared" ref="BX521:BX584" si="335">IFERROR(BW521*Q521,"")</f>
        <v>0</v>
      </c>
      <c r="BY521" s="84" t="str">
        <f t="shared" ref="BY521:BY584" si="336">IFERROR((X521-BQ521)/X521,"")</f>
        <v/>
      </c>
      <c r="BZ521" s="85">
        <f>IF(_xlfn.MINIFS('Detalhe Por UC'!R:R,'Detalhe Por UC'!C:C,C521,'Detalhe Por UC'!AD:AD,"&gt;"&amp;0)=0,"",_xlfn.MINIFS('Detalhe Por UC'!R:R,'Detalhe Por UC'!C:C,C521,'Detalhe Por UC'!AD:AD,"&gt;"&amp;0))</f>
        <v>45658</v>
      </c>
      <c r="CA521" s="114">
        <f ca="1">IF(OR(S521&gt;0,AD521&gt;0),IFERROR(
SUMIFS(INDIRECT("'Infos Clientes'!$W"&amp;INDEX('Infos Clientes'!$C:$C,MATCH(C521,'Infos Clientes'!$H:$H,0))&amp;":$CZ"&amp;INDEX('Infos Clientes'!$C:$C,MATCH(C521,'Infos Clientes'!$H:$H,0))),'Infos Clientes'!$W$2:$CZ$2,"&gt;"&amp;$R521-365,'Infos Clientes'!$W$2:$CZ$2,"&lt;="&amp;$R521)/
COUNTIFS(INDIRECT("'Infos Clientes'!$W"&amp;INDEX('Infos Clientes'!$C:$C,MATCH(C521,'Infos Clientes'!$H:$H,0))&amp;":$CZ"&amp;INDEX('Infos Clientes'!$C:$C,MATCH(C521,'Infos Clientes'!$H:$H,0))),"&gt;="&amp;0,'Infos Clientes'!$W$2:$CZ$2,"&gt;"&amp;$R521-365,'Infos Clientes'!$W$2:$CZ$2,"&lt;="&amp;$R521),""),"")</f>
        <v>240.22222222222223</v>
      </c>
      <c r="CB521" s="87">
        <f>VLOOKUP(C521,'Infos Clientes'!B:L,11,0)</f>
        <v>0</v>
      </c>
      <c r="CC521" s="88" t="str">
        <f t="shared" ref="CC521:CC584" si="337">"A Unidade Consumidora "&amp;C521&amp;" economizou R$"&amp;BF521&amp;" na fatura referente à "&amp;TEXT(R521,"mmm/aaaa")&amp;"  consumindo "&amp;AD521&amp;" kWh em créditos de energia renovável conforme fatura de energia. A economia foi de "&amp;$J521*100&amp;"% em relação ao que seria pago para a Energisa considerando os créditos consumidos. Atenção: Mantenha as contas da Energisa em dia para evitar cortes."</f>
        <v>A Unidade Consumidora 10/512142-1 economizou R$0 na fatura referente à mai/2025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521" s="40" t="s">
        <v>249</v>
      </c>
      <c r="CE521" s="18"/>
      <c r="CF521" s="115">
        <f t="shared" ref="CF521:CF584" si="338">CE521-AT521</f>
        <v>0</v>
      </c>
    </row>
    <row r="522" spans="1:85" ht="16.2" hidden="1" customHeight="1" x14ac:dyDescent="0.3">
      <c r="A522" s="105" t="str">
        <f>INDEX('Infos Clientes'!$D:$D,MATCH('Detalhe Por UC'!C522,'Infos Clientes'!B:B,0))</f>
        <v>IGREJA DO EVANGELHO QUADRANGULAR</v>
      </c>
      <c r="B522" s="106" t="str">
        <f>INDEX('Infos Clientes'!$F:$F,MATCH('Detalhe Por UC'!C522,'Infos Clientes'!B:B,0))</f>
        <v>62.955.505/3358-51</v>
      </c>
      <c r="C522" s="44" t="s">
        <v>150</v>
      </c>
      <c r="D522" t="s">
        <v>351</v>
      </c>
      <c r="E522" s="1" t="s">
        <v>352</v>
      </c>
      <c r="F522" s="56" t="str">
        <f>INDEX('Infos Clientes'!$I:$I,MATCH('Detalhe Por UC'!C522,'Infos Clientes'!B:B,0))</f>
        <v>BT</v>
      </c>
      <c r="G522" s="56" t="str">
        <f>INDEX('Infos Clientes'!$J:$J,MATCH('Detalhe Por UC'!C522,'Infos Clientes'!B:B,0))</f>
        <v>trifasico</v>
      </c>
      <c r="H522" s="108" t="s">
        <v>138</v>
      </c>
      <c r="I522" s="58">
        <f>IFERROR(VLOOKUP(C522,'Infos Clientes'!B:E,4,),"")</f>
        <v>306</v>
      </c>
      <c r="J522" s="109">
        <v>0.25</v>
      </c>
      <c r="K522" s="59">
        <f>INDEX('Infos Clientes'!$M:$M,MATCH('Detalhe Por UC'!C522,'Infos Clientes'!B:B,0))</f>
        <v>0.25</v>
      </c>
      <c r="L522" s="125">
        <v>0</v>
      </c>
      <c r="M522" s="56">
        <f>INDEX('Infos Clientes'!$N:$N,MATCH('Detalhe Por UC'!C522,'Infos Clientes'!B:B,0))</f>
        <v>0</v>
      </c>
      <c r="N522" s="56">
        <f t="shared" si="303"/>
        <v>0</v>
      </c>
      <c r="O522" s="56">
        <f t="shared" si="304"/>
        <v>10</v>
      </c>
      <c r="P522" s="56">
        <f t="shared" ref="P522:P585" si="339">M522-N522</f>
        <v>0</v>
      </c>
      <c r="Q522" s="61">
        <f>IFERROR(IFERROR(INDEX('Infos Clientes'!$A$2:$V$9884,MATCH($C522,'Infos Clientes'!$B$2:$B$9884,0),MATCH(Q$8,'Infos Clientes'!$A$2:$V$2,0)),"")
+IF(OR(INDEX('Infos Clientes'!$A$2:$V$9884,MATCH($C522,'Infos Clientes'!$B$2:$B$9884,0),MATCH("Tempo de Fidelidade (meses)",'Infos Clientes'!$A$2:$V$2,0))=0,R522&gt;=MAX(R:R)),0,
ROUND((MAX(R:R)-R522)/(365/12),0)),"")</f>
        <v>0</v>
      </c>
      <c r="R522" s="111">
        <v>45778</v>
      </c>
      <c r="S522" s="63">
        <v>0.01</v>
      </c>
      <c r="T522" s="113" t="str">
        <f>IF($H522="GIROSSOL II",AP522/INDEX('Resumo Operacional'!$A$1:$P$1103,17,MATCH('Detalhe Por UC'!$R522,'Resumo Operacional'!$A$1:$P$1,0)),
IF($H522="GIROSSOL II e III",AP522/INDEX('Resumo Operacional'!$A$1:$P$1103,17,MATCH('Detalhe Por UC'!$R522,'Resumo Operacional'!$A$1:$P$1,0)),
""))</f>
        <v/>
      </c>
      <c r="U522" s="113">
        <f>IF($H522="GIROSSOL III",AP522/INDEX('Resumo Operacional'!$A$1:$P$1103,53,MATCH('Detalhe Por UC'!$R522,'Resumo Operacional'!$A$1:$P$1,0)),
IF($H522="GIROSSOL II e III",AP522/INDEX('Resumo Operacional'!$A$1:$P$1103,53,MATCH('Detalhe Por UC'!$R522,'Resumo Operacional'!$A$1:$P$1,0)),
""))</f>
        <v>1.298373881255515E-2</v>
      </c>
      <c r="V522" s="45"/>
      <c r="X522" s="18">
        <v>1.1236054421768709</v>
      </c>
      <c r="Y522" s="18">
        <v>0</v>
      </c>
      <c r="Z522" s="18">
        <v>0.96904233538075413</v>
      </c>
      <c r="AA522" s="18">
        <v>0</v>
      </c>
      <c r="AB522" s="143">
        <v>250</v>
      </c>
      <c r="AC522" s="143">
        <v>0</v>
      </c>
      <c r="AD522" s="143">
        <v>103</v>
      </c>
      <c r="AE522" s="35"/>
      <c r="AF522" s="143">
        <v>0</v>
      </c>
      <c r="AG522" s="143">
        <v>0</v>
      </c>
      <c r="AH522" s="48">
        <v>0</v>
      </c>
      <c r="AI522" s="143">
        <v>0</v>
      </c>
      <c r="AJ522" s="143">
        <v>0</v>
      </c>
      <c r="AN522" s="71">
        <f t="shared" si="305"/>
        <v>0</v>
      </c>
      <c r="AO522" s="71">
        <f t="shared" si="306"/>
        <v>0</v>
      </c>
      <c r="AP522" s="71">
        <f t="shared" si="307"/>
        <v>103</v>
      </c>
      <c r="AQ522" s="72">
        <f>IF(OR($H522="GIROSSOL II",$H522="GIROSSOL II e III"),INDEX('Resumo Operacional'!$A$1:$P$1103,MATCH("Energia Injetada prevista total Fatura da Usina (TUSD)",'Resumo Operacional'!$B$1:$B$1103,0),MATCH('Detalhe Por UC'!$R522,'Resumo Operacional'!$A$1:$P$1,0))*$S522,INDEX('Resumo Operacional'!$A$1:$P$1103,53,MATCH('Detalhe Por UC'!$R522,'Resumo Operacional'!$A$1:$P$1,0))*$S522)</f>
        <v>79.33</v>
      </c>
      <c r="AR522" s="71">
        <f t="shared" si="308"/>
        <v>23.67</v>
      </c>
      <c r="AS522" s="73">
        <f t="shared" si="309"/>
        <v>181.09000000000003</v>
      </c>
      <c r="AT522" s="74">
        <f t="shared" si="310"/>
        <v>181.09000000000003</v>
      </c>
      <c r="AU522" s="74">
        <f t="shared" si="311"/>
        <v>0.81447922858463739</v>
      </c>
      <c r="AV522" s="74">
        <f t="shared" si="312"/>
        <v>74.858520408163258</v>
      </c>
      <c r="AW522" s="74">
        <f t="shared" si="313"/>
        <v>0</v>
      </c>
      <c r="AX522" s="74">
        <f t="shared" si="314"/>
        <v>99.811360544217678</v>
      </c>
      <c r="AY522" s="74">
        <f t="shared" si="315"/>
        <v>74.86</v>
      </c>
      <c r="AZ522" s="49">
        <v>74.86</v>
      </c>
      <c r="BA522" s="49">
        <v>74.86</v>
      </c>
      <c r="BB522" s="49">
        <v>99.81</v>
      </c>
      <c r="BC522" s="73">
        <f t="shared" si="316"/>
        <v>24.950000000000003</v>
      </c>
      <c r="BD522" s="73">
        <f t="shared" si="317"/>
        <v>280.90136054421771</v>
      </c>
      <c r="BE522" s="73">
        <f t="shared" si="318"/>
        <v>255.94852040816329</v>
      </c>
      <c r="BF522" s="77">
        <f t="shared" si="319"/>
        <v>24.95</v>
      </c>
      <c r="BG522" s="77">
        <f t="shared" si="320"/>
        <v>7.4849999999999994</v>
      </c>
      <c r="BH522" s="77">
        <f t="shared" si="321"/>
        <v>99.811360544217678</v>
      </c>
      <c r="BI522" s="78">
        <f t="shared" si="322"/>
        <v>0.25</v>
      </c>
      <c r="BJ522" s="79">
        <f t="shared" si="323"/>
        <v>8.8821214506266261E-2</v>
      </c>
      <c r="BK522" s="80">
        <f t="shared" si="324"/>
        <v>255.95000000000005</v>
      </c>
      <c r="BL522" s="80">
        <f t="shared" si="325"/>
        <v>24.951360544217664</v>
      </c>
      <c r="BM522" s="79">
        <f t="shared" si="326"/>
        <v>8.8826058000847516E-2</v>
      </c>
      <c r="BN522" s="81">
        <f t="shared" si="327"/>
        <v>0.72679611650485432</v>
      </c>
      <c r="BO522" s="82">
        <f t="shared" si="328"/>
        <v>74.86</v>
      </c>
      <c r="BP522" s="81">
        <f t="shared" si="329"/>
        <v>0.72679611650485432</v>
      </c>
      <c r="BQ522" s="81">
        <f t="shared" si="330"/>
        <v>0.88135922330097105</v>
      </c>
      <c r="BR522" s="81">
        <f t="shared" si="331"/>
        <v>1.1236054421768709</v>
      </c>
      <c r="BS522" s="82">
        <f t="shared" si="332"/>
        <v>103</v>
      </c>
      <c r="BT522" s="82">
        <f t="shared" si="333"/>
        <v>115.73136054421769</v>
      </c>
      <c r="BU522" s="82">
        <f t="shared" si="334"/>
        <v>99.811360544217678</v>
      </c>
      <c r="BW522" s="82">
        <f>IFERROR(INDEX('Infos Clientes'!$T:$T,MATCH('Detalhe Por UC'!$C522,'Infos Clientes'!B:B,0)),"")</f>
        <v>209.54545454545453</v>
      </c>
      <c r="BX522" s="83">
        <f t="shared" si="335"/>
        <v>0</v>
      </c>
      <c r="BY522" s="84">
        <f t="shared" si="336"/>
        <v>0.21559722815739704</v>
      </c>
      <c r="BZ522" s="85">
        <f>IF(_xlfn.MINIFS('Detalhe Por UC'!R:R,'Detalhe Por UC'!C:C,C522,'Detalhe Por UC'!AD:AD,"&gt;"&amp;0)=0,"",_xlfn.MINIFS('Detalhe Por UC'!R:R,'Detalhe Por UC'!C:C,C522,'Detalhe Por UC'!AD:AD,"&gt;"&amp;0))</f>
        <v>45658</v>
      </c>
      <c r="CA522" s="114">
        <f ca="1">IF(OR(S522&gt;0,AD522&gt;0),IFERROR(
SUMIFS(INDIRECT("'Infos Clientes'!$W"&amp;INDEX('Infos Clientes'!$C:$C,MATCH(C522,'Infos Clientes'!$H:$H,0))&amp;":$CZ"&amp;INDEX('Infos Clientes'!$C:$C,MATCH(C522,'Infos Clientes'!$H:$H,0))),'Infos Clientes'!$W$2:$CZ$2,"&gt;"&amp;$R522-365,'Infos Clientes'!$W$2:$CZ$2,"&lt;="&amp;$R522)/
COUNTIFS(INDIRECT("'Infos Clientes'!$W"&amp;INDEX('Infos Clientes'!$C:$C,MATCH(C522,'Infos Clientes'!$H:$H,0))&amp;":$CZ"&amp;INDEX('Infos Clientes'!$C:$C,MATCH(C522,'Infos Clientes'!$H:$H,0))),"&gt;="&amp;0,'Infos Clientes'!$W$2:$CZ$2,"&gt;"&amp;$R522-365,'Infos Clientes'!$W$2:$CZ$2,"&lt;="&amp;$R522),""),"")</f>
        <v>217.08333333333334</v>
      </c>
      <c r="CB522" s="87">
        <f>VLOOKUP(C522,'Infos Clientes'!B:L,11,0)</f>
        <v>0</v>
      </c>
      <c r="CC522" s="88" t="str">
        <f t="shared" si="337"/>
        <v>A Unidade Consumidora 10/1288241-1 economizou R$24,95 na fatura referente à mai/2025  consumindo 103 kWh em créditos de energia renovável conforme fatura de energia. A economia foi de 25% em relação ao que seria pago para a Energisa considerando os créditos consumidos. Atenção: Mantenha as contas da Energisa em dia para evitar cortes.</v>
      </c>
      <c r="CD522" s="40" t="s">
        <v>37</v>
      </c>
      <c r="CE522" s="18">
        <v>181.09</v>
      </c>
      <c r="CF522" s="115">
        <f t="shared" si="338"/>
        <v>0</v>
      </c>
    </row>
    <row r="523" spans="1:85" ht="16.2" hidden="1" customHeight="1" x14ac:dyDescent="0.3">
      <c r="A523" s="105" t="str">
        <f>INDEX('Infos Clientes'!$D:$D,MATCH('Detalhe Por UC'!C523,'Infos Clientes'!B:B,0))</f>
        <v>IGREJA DO EVANGELHO QUADRANGULAR</v>
      </c>
      <c r="B523" s="106" t="str">
        <f>INDEX('Infos Clientes'!$F:$F,MATCH('Detalhe Por UC'!C523,'Infos Clientes'!B:B,0))</f>
        <v>62.955.505/0165-94</v>
      </c>
      <c r="C523" s="44" t="s">
        <v>169</v>
      </c>
      <c r="D523" t="s">
        <v>351</v>
      </c>
      <c r="E523" s="1" t="s">
        <v>352</v>
      </c>
      <c r="F523" s="56" t="str">
        <f>INDEX('Infos Clientes'!$I:$I,MATCH('Detalhe Por UC'!C523,'Infos Clientes'!B:B,0))</f>
        <v>BT</v>
      </c>
      <c r="G523" s="56" t="str">
        <f>INDEX('Infos Clientes'!$J:$J,MATCH('Detalhe Por UC'!C523,'Infos Clientes'!B:B,0))</f>
        <v>bifasico</v>
      </c>
      <c r="H523" s="108" t="s">
        <v>138</v>
      </c>
      <c r="I523" s="58">
        <f>IFERROR(VLOOKUP(C523,'Infos Clientes'!B:E,4,),"")</f>
        <v>302</v>
      </c>
      <c r="J523" s="109">
        <v>0.25</v>
      </c>
      <c r="K523" s="59">
        <f>INDEX('Infos Clientes'!$M:$M,MATCH('Detalhe Por UC'!C523,'Infos Clientes'!B:B,0))</f>
        <v>0.25</v>
      </c>
      <c r="L523" s="125">
        <v>0</v>
      </c>
      <c r="M523" s="56">
        <f>INDEX('Infos Clientes'!$N:$N,MATCH('Detalhe Por UC'!C523,'Infos Clientes'!B:B,0))</f>
        <v>0</v>
      </c>
      <c r="N523" s="56">
        <f t="shared" si="303"/>
        <v>0</v>
      </c>
      <c r="O523" s="56">
        <f t="shared" si="304"/>
        <v>9</v>
      </c>
      <c r="P523" s="56">
        <f t="shared" si="339"/>
        <v>0</v>
      </c>
      <c r="Q523" s="61">
        <f>IFERROR(IFERROR(INDEX('Infos Clientes'!$A$2:$V$9884,MATCH($C523,'Infos Clientes'!$B$2:$B$9884,0),MATCH(Q$8,'Infos Clientes'!$A$2:$V$2,0)),"")
+IF(OR(INDEX('Infos Clientes'!$A$2:$V$9884,MATCH($C523,'Infos Clientes'!$B$2:$B$9884,0),MATCH("Tempo de Fidelidade (meses)",'Infos Clientes'!$A$2:$V$2,0))=0,R523&gt;=MAX(R:R)),0,
ROUND((MAX(R:R)-R523)/(365/12),0)),"")</f>
        <v>0</v>
      </c>
      <c r="R523" s="111">
        <v>45778</v>
      </c>
      <c r="S523" s="63">
        <v>0.02</v>
      </c>
      <c r="T523" s="113" t="str">
        <f>IF($H523="GIROSSOL II",AP523/INDEX('Resumo Operacional'!$A$1:$P$1103,17,MATCH('Detalhe Por UC'!$R523,'Resumo Operacional'!$A$1:$P$1,0)),
IF($H523="GIROSSOL II e III",AP523/INDEX('Resumo Operacional'!$A$1:$P$1103,17,MATCH('Detalhe Por UC'!$R523,'Resumo Operacional'!$A$1:$P$1,0)),
""))</f>
        <v/>
      </c>
      <c r="U523" s="113">
        <f>IF($H523="GIROSSOL III",AP523/INDEX('Resumo Operacional'!$A$1:$P$1103,53,MATCH('Detalhe Por UC'!$R523,'Resumo Operacional'!$A$1:$P$1,0)),
IF($H523="GIROSSOL II e III",AP523/INDEX('Resumo Operacional'!$A$1:$P$1103,53,MATCH('Detalhe Por UC'!$R523,'Resumo Operacional'!$A$1:$P$1,0)),
""))</f>
        <v>2.59674776251103E-2</v>
      </c>
      <c r="V523" s="45"/>
      <c r="X523" s="18">
        <v>1.1307279591383521</v>
      </c>
      <c r="Y523" s="18">
        <v>0</v>
      </c>
      <c r="Z523" s="18">
        <v>0.97382266191471056</v>
      </c>
      <c r="AA523" s="18">
        <v>0</v>
      </c>
      <c r="AB523" s="143">
        <v>285</v>
      </c>
      <c r="AC523" s="143">
        <v>0</v>
      </c>
      <c r="AD523" s="143">
        <v>206</v>
      </c>
      <c r="AE523" s="35"/>
      <c r="AF523" s="143">
        <v>0</v>
      </c>
      <c r="AG523" s="143">
        <v>0</v>
      </c>
      <c r="AH523" s="48">
        <v>51.8</v>
      </c>
      <c r="AI523" s="143">
        <v>0</v>
      </c>
      <c r="AJ523" s="143">
        <v>0</v>
      </c>
      <c r="AN523" s="71">
        <f t="shared" si="305"/>
        <v>0</v>
      </c>
      <c r="AO523" s="71">
        <f t="shared" si="306"/>
        <v>0</v>
      </c>
      <c r="AP523" s="71">
        <f t="shared" si="307"/>
        <v>206</v>
      </c>
      <c r="AQ523" s="72">
        <f>IF(OR($H523="GIROSSOL II",$H523="GIROSSOL II e III"),INDEX('Resumo Operacional'!$A$1:$P$1103,MATCH("Energia Injetada prevista total Fatura da Usina (TUSD)",'Resumo Operacional'!$B$1:$B$1103,0),MATCH('Detalhe Por UC'!$R523,'Resumo Operacional'!$A$1:$P$1,0))*$S523,INDEX('Resumo Operacional'!$A$1:$P$1103,53,MATCH('Detalhe Por UC'!$R523,'Resumo Operacional'!$A$1:$P$1,0))*$S523)</f>
        <v>158.66</v>
      </c>
      <c r="AR523" s="71">
        <f t="shared" si="308"/>
        <v>47.34</v>
      </c>
      <c r="AS523" s="73">
        <f t="shared" si="309"/>
        <v>173.44999999999993</v>
      </c>
      <c r="AT523" s="74">
        <f t="shared" si="310"/>
        <v>173.44999999999993</v>
      </c>
      <c r="AU523" s="74">
        <f t="shared" si="311"/>
        <v>0.81691736469106901</v>
      </c>
      <c r="AV523" s="74">
        <f t="shared" si="312"/>
        <v>150.45560126582276</v>
      </c>
      <c r="AW523" s="74">
        <f t="shared" si="313"/>
        <v>0</v>
      </c>
      <c r="AX523" s="74">
        <f t="shared" si="314"/>
        <v>200.60746835443038</v>
      </c>
      <c r="AY523" s="74">
        <f t="shared" si="315"/>
        <v>150.46</v>
      </c>
      <c r="AZ523" s="49">
        <v>150.46</v>
      </c>
      <c r="BA523" s="49">
        <v>150.46</v>
      </c>
      <c r="BB523" s="117">
        <v>150.46</v>
      </c>
      <c r="BC523" s="73" t="str">
        <f t="shared" si="316"/>
        <v/>
      </c>
      <c r="BD523" s="73">
        <f t="shared" si="317"/>
        <v>374.05746835443034</v>
      </c>
      <c r="BE523" s="73">
        <f t="shared" si="318"/>
        <v>323.90560126582272</v>
      </c>
      <c r="BF523" s="77">
        <f t="shared" si="319"/>
        <v>50.15</v>
      </c>
      <c r="BG523" s="77">
        <f t="shared" si="320"/>
        <v>15.044999999999998</v>
      </c>
      <c r="BH523" s="77">
        <f t="shared" si="321"/>
        <v>200.60746835443038</v>
      </c>
      <c r="BI523" s="78">
        <f t="shared" si="322"/>
        <v>0.25</v>
      </c>
      <c r="BJ523" s="79">
        <f t="shared" si="323"/>
        <v>0.13407030802144396</v>
      </c>
      <c r="BK523" s="80">
        <f t="shared" si="324"/>
        <v>323.90999999999997</v>
      </c>
      <c r="BL523" s="80">
        <f t="shared" si="325"/>
        <v>50.147468354430373</v>
      </c>
      <c r="BM523" s="79">
        <f t="shared" si="326"/>
        <v>0.13406353995561501</v>
      </c>
      <c r="BN523" s="81">
        <f t="shared" si="327"/>
        <v>0.73038834951456311</v>
      </c>
      <c r="BO523" s="82">
        <f t="shared" si="328"/>
        <v>150.46</v>
      </c>
      <c r="BP523" s="81">
        <f t="shared" si="329"/>
        <v>0.73038834951456311</v>
      </c>
      <c r="BQ523" s="81">
        <f t="shared" si="330"/>
        <v>0.88729364673820466</v>
      </c>
      <c r="BR523" s="81">
        <f t="shared" si="331"/>
        <v>1.1307279591383521</v>
      </c>
      <c r="BS523" s="82">
        <f t="shared" si="332"/>
        <v>206</v>
      </c>
      <c r="BT523" s="82">
        <f t="shared" si="333"/>
        <v>232.92995958250054</v>
      </c>
      <c r="BU523" s="82">
        <f t="shared" si="334"/>
        <v>200.60746835443038</v>
      </c>
      <c r="BW523" s="82">
        <f>IFERROR(INDEX('Infos Clientes'!$T:$T,MATCH('Detalhe Por UC'!$C523,'Infos Clientes'!B:B,0)),"")</f>
        <v>287.36363636363637</v>
      </c>
      <c r="BX523" s="83">
        <f t="shared" si="335"/>
        <v>0</v>
      </c>
      <c r="BY523" s="84">
        <f t="shared" si="336"/>
        <v>0.21528990278585802</v>
      </c>
      <c r="BZ523" s="85">
        <f>IF(_xlfn.MINIFS('Detalhe Por UC'!R:R,'Detalhe Por UC'!C:C,C523,'Detalhe Por UC'!AD:AD,"&gt;"&amp;0)=0,"",_xlfn.MINIFS('Detalhe Por UC'!R:R,'Detalhe Por UC'!C:C,C523,'Detalhe Por UC'!AD:AD,"&gt;"&amp;0))</f>
        <v>45658</v>
      </c>
      <c r="CA523" s="114">
        <f ca="1">IF(OR(S523&gt;0,AD523&gt;0),IFERROR(
SUMIFS(INDIRECT("'Infos Clientes'!$W"&amp;INDEX('Infos Clientes'!$C:$C,MATCH(C523,'Infos Clientes'!$H:$H,0))&amp;":$CZ"&amp;INDEX('Infos Clientes'!$C:$C,MATCH(C523,'Infos Clientes'!$H:$H,0))),'Infos Clientes'!$W$2:$CZ$2,"&gt;"&amp;$R523-365,'Infos Clientes'!$W$2:$CZ$2,"&lt;="&amp;$R523)/
COUNTIFS(INDIRECT("'Infos Clientes'!$W"&amp;INDEX('Infos Clientes'!$C:$C,MATCH(C523,'Infos Clientes'!$H:$H,0))&amp;":$CZ"&amp;INDEX('Infos Clientes'!$C:$C,MATCH(C523,'Infos Clientes'!$H:$H,0))),"&gt;="&amp;0,'Infos Clientes'!$W$2:$CZ$2,"&gt;"&amp;$R523-365,'Infos Clientes'!$W$2:$CZ$2,"&lt;="&amp;$R523),""),"")</f>
        <v>276.5</v>
      </c>
      <c r="CB523" s="87">
        <f>VLOOKUP(C523,'Infos Clientes'!B:L,11,0)</f>
        <v>0</v>
      </c>
      <c r="CC523" s="88" t="str">
        <f t="shared" si="337"/>
        <v>A Unidade Consumidora 10/239312-2 economizou R$50,15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523" s="40" t="s">
        <v>80</v>
      </c>
      <c r="CE523" s="18">
        <v>173.45</v>
      </c>
      <c r="CF523" s="115">
        <f t="shared" si="338"/>
        <v>0</v>
      </c>
    </row>
    <row r="524" spans="1:85" ht="16.2" hidden="1" customHeight="1" x14ac:dyDescent="0.3">
      <c r="A524" s="105" t="str">
        <f>INDEX('Infos Clientes'!$D:$D,MATCH('Detalhe Por UC'!C524,'Infos Clientes'!B:B,0))</f>
        <v>IGREJA DO EVANGELHO QUADRANGULAR</v>
      </c>
      <c r="B524" s="106" t="str">
        <f>INDEX('Infos Clientes'!$F:$F,MATCH('Detalhe Por UC'!C524,'Infos Clientes'!B:B,0))</f>
        <v>62.955.505/3124-87</v>
      </c>
      <c r="C524" s="44" t="s">
        <v>185</v>
      </c>
      <c r="D524" t="s">
        <v>351</v>
      </c>
      <c r="E524" s="1" t="s">
        <v>352</v>
      </c>
      <c r="F524" s="56" t="str">
        <f>INDEX('Infos Clientes'!$I:$I,MATCH('Detalhe Por UC'!C524,'Infos Clientes'!B:B,0))</f>
        <v>BT</v>
      </c>
      <c r="G524" s="56" t="str">
        <f>INDEX('Infos Clientes'!$J:$J,MATCH('Detalhe Por UC'!C524,'Infos Clientes'!B:B,0))</f>
        <v>trifasico</v>
      </c>
      <c r="H524" s="108" t="s">
        <v>138</v>
      </c>
      <c r="I524" s="58">
        <f>IFERROR(VLOOKUP(C524,'Infos Clientes'!B:E,4,),"")</f>
        <v>357</v>
      </c>
      <c r="J524" s="109">
        <v>0.25</v>
      </c>
      <c r="K524" s="59">
        <f>INDEX('Infos Clientes'!$M:$M,MATCH('Detalhe Por UC'!C524,'Infos Clientes'!B:B,0))</f>
        <v>0.25</v>
      </c>
      <c r="L524" s="125">
        <v>0</v>
      </c>
      <c r="M524" s="56">
        <f>INDEX('Infos Clientes'!$N:$N,MATCH('Detalhe Por UC'!C524,'Infos Clientes'!B:B,0))</f>
        <v>0</v>
      </c>
      <c r="N524" s="56">
        <f t="shared" si="303"/>
        <v>0</v>
      </c>
      <c r="O524" s="56">
        <f t="shared" si="304"/>
        <v>3</v>
      </c>
      <c r="P524" s="56">
        <f t="shared" si="339"/>
        <v>0</v>
      </c>
      <c r="Q524" s="61">
        <f>IFERROR(IFERROR(INDEX('Infos Clientes'!$A$2:$V$9884,MATCH($C524,'Infos Clientes'!$B$2:$B$9884,0),MATCH(Q$8,'Infos Clientes'!$A$2:$V$2,0)),"")
+IF(OR(INDEX('Infos Clientes'!$A$2:$V$9884,MATCH($C524,'Infos Clientes'!$B$2:$B$9884,0),MATCH("Tempo de Fidelidade (meses)",'Infos Clientes'!$A$2:$V$2,0))=0,R524&gt;=MAX(R:R)),0,
ROUND((MAX(R:R)-R524)/(365/12),0)),"")</f>
        <v>0</v>
      </c>
      <c r="R524" s="111">
        <v>45778</v>
      </c>
      <c r="S524" s="63">
        <v>0.01</v>
      </c>
      <c r="T524" s="113" t="str">
        <f>IF($H524="GIROSSOL II",AP524/INDEX('Resumo Operacional'!$A$1:$P$1103,17,MATCH('Detalhe Por UC'!$R524,'Resumo Operacional'!$A$1:$P$1,0)),
IF($H524="GIROSSOL II e III",AP524/INDEX('Resumo Operacional'!$A$1:$P$1103,17,MATCH('Detalhe Por UC'!$R524,'Resumo Operacional'!$A$1:$P$1,0)),
""))</f>
        <v/>
      </c>
      <c r="U524" s="113">
        <f>IF($H524="GIROSSOL III",AP524/INDEX('Resumo Operacional'!$A$1:$P$1103,53,MATCH('Detalhe Por UC'!$R524,'Resumo Operacional'!$A$1:$P$1,0)),
IF($H524="GIROSSOL II e III",AP524/INDEX('Resumo Operacional'!$A$1:$P$1103,53,MATCH('Detalhe Por UC'!$R524,'Resumo Operacional'!$A$1:$P$1,0)),
""))</f>
        <v>1.298373881255515E-2</v>
      </c>
      <c r="V524" s="45"/>
      <c r="X524" s="18">
        <v>1.121074695121951</v>
      </c>
      <c r="Y524" s="18">
        <v>0</v>
      </c>
      <c r="Z524" s="18">
        <v>0.96711805555555541</v>
      </c>
      <c r="AA524" s="18">
        <v>0</v>
      </c>
      <c r="AB524" s="143">
        <v>123</v>
      </c>
      <c r="AC524" s="143">
        <v>0</v>
      </c>
      <c r="AD524" s="143">
        <v>27</v>
      </c>
      <c r="AE524" s="35"/>
      <c r="AF524" s="143">
        <v>368</v>
      </c>
      <c r="AG524" s="143">
        <v>0</v>
      </c>
      <c r="AH524" s="48">
        <v>40.11</v>
      </c>
      <c r="AI524" s="143">
        <v>0</v>
      </c>
      <c r="AJ524" s="143">
        <v>0</v>
      </c>
      <c r="AN524" s="71">
        <f t="shared" si="305"/>
        <v>76</v>
      </c>
      <c r="AO524" s="71">
        <f t="shared" si="306"/>
        <v>0</v>
      </c>
      <c r="AP524" s="71">
        <f t="shared" si="307"/>
        <v>103</v>
      </c>
      <c r="AQ524" s="72">
        <f>IF(OR($H524="GIROSSOL II",$H524="GIROSSOL II e III"),INDEX('Resumo Operacional'!$A$1:$P$1103,MATCH("Energia Injetada prevista total Fatura da Usina (TUSD)",'Resumo Operacional'!$B$1:$B$1103,0),MATCH('Detalhe Por UC'!$R524,'Resumo Operacional'!$A$1:$P$1,0))*$S524,INDEX('Resumo Operacional'!$A$1:$P$1103,53,MATCH('Detalhe Por UC'!$R524,'Resumo Operacional'!$A$1:$P$1,0))*$S524)</f>
        <v>79.33</v>
      </c>
      <c r="AR524" s="71">
        <f t="shared" si="308"/>
        <v>23.67</v>
      </c>
      <c r="AS524" s="73">
        <f t="shared" si="309"/>
        <v>151.88999999999999</v>
      </c>
      <c r="AT524" s="74">
        <f t="shared" si="310"/>
        <v>151.88999999999999</v>
      </c>
      <c r="AU524" s="74">
        <f t="shared" si="311"/>
        <v>0.81316141598915981</v>
      </c>
      <c r="AV524" s="74">
        <f t="shared" si="312"/>
        <v>19.584140624999996</v>
      </c>
      <c r="AW524" s="74">
        <f t="shared" si="313"/>
        <v>0</v>
      </c>
      <c r="AX524" s="74">
        <f t="shared" si="314"/>
        <v>26.112187499999997</v>
      </c>
      <c r="AY524" s="74">
        <f t="shared" si="315"/>
        <v>19.579999999999998</v>
      </c>
      <c r="AZ524" s="49">
        <v>19.579999999999998</v>
      </c>
      <c r="BA524" s="49">
        <v>19.579999999999998</v>
      </c>
      <c r="BB524" s="117">
        <v>19.579999999999998</v>
      </c>
      <c r="BC524" s="73" t="str">
        <f t="shared" si="316"/>
        <v/>
      </c>
      <c r="BD524" s="73">
        <f t="shared" si="317"/>
        <v>178.00218749999999</v>
      </c>
      <c r="BE524" s="73">
        <f t="shared" si="318"/>
        <v>171.47414062499999</v>
      </c>
      <c r="BF524" s="77">
        <f t="shared" si="319"/>
        <v>6.53</v>
      </c>
      <c r="BG524" s="77">
        <f t="shared" si="320"/>
        <v>1.9590000000000001</v>
      </c>
      <c r="BH524" s="77">
        <f t="shared" si="321"/>
        <v>26.112187499999994</v>
      </c>
      <c r="BI524" s="78">
        <f t="shared" si="322"/>
        <v>0.25</v>
      </c>
      <c r="BJ524" s="79">
        <f t="shared" si="323"/>
        <v>3.6684942425215986E-2</v>
      </c>
      <c r="BK524" s="80">
        <f t="shared" si="324"/>
        <v>171.46999999999997</v>
      </c>
      <c r="BL524" s="80">
        <f t="shared" si="325"/>
        <v>6.5321875000000205</v>
      </c>
      <c r="BM524" s="79">
        <f t="shared" si="326"/>
        <v>3.6697231600033124E-2</v>
      </c>
      <c r="BN524" s="81">
        <f t="shared" si="327"/>
        <v>0.72518518518518515</v>
      </c>
      <c r="BO524" s="82">
        <f t="shared" si="328"/>
        <v>19.579999999999998</v>
      </c>
      <c r="BP524" s="81">
        <f t="shared" si="329"/>
        <v>0.72518518518518515</v>
      </c>
      <c r="BQ524" s="81">
        <f t="shared" si="330"/>
        <v>0.87914182475158076</v>
      </c>
      <c r="BR524" s="81">
        <f t="shared" si="331"/>
        <v>1.121074695121951</v>
      </c>
      <c r="BS524" s="82">
        <f t="shared" si="332"/>
        <v>27</v>
      </c>
      <c r="BT524" s="82">
        <f t="shared" si="333"/>
        <v>30.269016768292676</v>
      </c>
      <c r="BU524" s="82">
        <f t="shared" si="334"/>
        <v>26.112187499999997</v>
      </c>
      <c r="BW524" s="82">
        <f>IFERROR(INDEX('Infos Clientes'!$T:$T,MATCH('Detalhe Por UC'!$C524,'Infos Clientes'!B:B,0)),"")</f>
        <v>178.4</v>
      </c>
      <c r="BX524" s="83">
        <f t="shared" si="335"/>
        <v>0</v>
      </c>
      <c r="BY524" s="84">
        <f t="shared" si="336"/>
        <v>0.21580441644350262</v>
      </c>
      <c r="BZ524" s="85">
        <f>IF(_xlfn.MINIFS('Detalhe Por UC'!R:R,'Detalhe Por UC'!C:C,C524,'Detalhe Por UC'!AD:AD,"&gt;"&amp;0)=0,"",_xlfn.MINIFS('Detalhe Por UC'!R:R,'Detalhe Por UC'!C:C,C524,'Detalhe Por UC'!AD:AD,"&gt;"&amp;0))</f>
        <v>45689</v>
      </c>
      <c r="CA524" s="114">
        <f ca="1">IF(OR(S524&gt;0,AD524&gt;0),IFERROR(
SUMIFS(INDIRECT("'Infos Clientes'!$W"&amp;INDEX('Infos Clientes'!$C:$C,MATCH(C524,'Infos Clientes'!$H:$H,0))&amp;":$CZ"&amp;INDEX('Infos Clientes'!$C:$C,MATCH(C524,'Infos Clientes'!$H:$H,0))),'Infos Clientes'!$W$2:$CZ$2,"&gt;"&amp;$R524-365,'Infos Clientes'!$W$2:$CZ$2,"&lt;="&amp;$R524)/
COUNTIFS(INDIRECT("'Infos Clientes'!$W"&amp;INDEX('Infos Clientes'!$C:$C,MATCH(C524,'Infos Clientes'!$H:$H,0))&amp;":$CZ"&amp;INDEX('Infos Clientes'!$C:$C,MATCH(C524,'Infos Clientes'!$H:$H,0))),"&gt;="&amp;0,'Infos Clientes'!$W$2:$CZ$2,"&gt;"&amp;$R524-365,'Infos Clientes'!$W$2:$CZ$2,"&lt;="&amp;$R524),""),"")</f>
        <v>166.3</v>
      </c>
      <c r="CB524" s="87">
        <f>VLOOKUP(C524,'Infos Clientes'!B:L,11,0)</f>
        <v>0</v>
      </c>
      <c r="CC524" s="88" t="str">
        <f t="shared" si="337"/>
        <v>A Unidade Consumidora 10/3054052-0 economizou R$6,53 na fatura referente à mai/2025  consumindo 27 kWh em créditos de energia renovável conforme fatura de energia. A economia foi de 25% em relação ao que seria pago para a Energisa considerando os créditos consumidos. Atenção: Mantenha as contas da Energisa em dia para evitar cortes.</v>
      </c>
      <c r="CD524" s="40" t="s">
        <v>186</v>
      </c>
      <c r="CE524" s="18">
        <v>151.88999999999999</v>
      </c>
      <c r="CF524" s="115">
        <f t="shared" si="338"/>
        <v>0</v>
      </c>
      <c r="CG524" t="s">
        <v>357</v>
      </c>
    </row>
    <row r="525" spans="1:85" ht="16.2" hidden="1" customHeight="1" x14ac:dyDescent="0.3">
      <c r="A525" s="105" t="str">
        <f>INDEX('Infos Clientes'!$D:$D,MATCH('Detalhe Por UC'!C525,'Infos Clientes'!B:B,0))</f>
        <v>IGREJA DO EVANGELHO QUADRANGULAR</v>
      </c>
      <c r="B525" s="106" t="str">
        <f>INDEX('Infos Clientes'!$F:$F,MATCH('Detalhe Por UC'!C525,'Infos Clientes'!B:B,0))</f>
        <v>62.955.505/0001-67</v>
      </c>
      <c r="C525" s="44" t="s">
        <v>142</v>
      </c>
      <c r="D525" t="s">
        <v>351</v>
      </c>
      <c r="E525" s="1" t="s">
        <v>352</v>
      </c>
      <c r="F525" s="56" t="str">
        <f>INDEX('Infos Clientes'!$I:$I,MATCH('Detalhe Por UC'!C525,'Infos Clientes'!B:B,0))</f>
        <v>BT</v>
      </c>
      <c r="G525" s="56" t="str">
        <f>INDEX('Infos Clientes'!$J:$J,MATCH('Detalhe Por UC'!C525,'Infos Clientes'!B:B,0))</f>
        <v>bifasico</v>
      </c>
      <c r="H525" s="108" t="s">
        <v>138</v>
      </c>
      <c r="I525" s="58">
        <f>IFERROR(VLOOKUP(C525,'Infos Clientes'!B:E,4,),"")</f>
        <v>319</v>
      </c>
      <c r="J525" s="109">
        <v>0.25</v>
      </c>
      <c r="K525" s="59">
        <f>INDEX('Infos Clientes'!$M:$M,MATCH('Detalhe Por UC'!C525,'Infos Clientes'!B:B,0))</f>
        <v>0.25</v>
      </c>
      <c r="L525" s="125">
        <v>0</v>
      </c>
      <c r="M525" s="56">
        <f>INDEX('Infos Clientes'!$N:$N,MATCH('Detalhe Por UC'!C525,'Infos Clientes'!B:B,0))</f>
        <v>0</v>
      </c>
      <c r="N525" s="56">
        <f t="shared" si="303"/>
        <v>0</v>
      </c>
      <c r="O525" s="56">
        <f t="shared" si="304"/>
        <v>9</v>
      </c>
      <c r="P525" s="56">
        <f t="shared" si="339"/>
        <v>0</v>
      </c>
      <c r="Q525" s="61">
        <f>IFERROR(IFERROR(INDEX('Infos Clientes'!$A$2:$V$9884,MATCH($C525,'Infos Clientes'!$B$2:$B$9884,0),MATCH(Q$8,'Infos Clientes'!$A$2:$V$2,0)),"")
+IF(OR(INDEX('Infos Clientes'!$A$2:$V$9884,MATCH($C525,'Infos Clientes'!$B$2:$B$9884,0),MATCH("Tempo de Fidelidade (meses)",'Infos Clientes'!$A$2:$V$2,0))=0,R525&gt;=MAX(R:R)),0,
ROUND((MAX(R:R)-R525)/(365/12),0)),"")</f>
        <v>0</v>
      </c>
      <c r="R525" s="111">
        <v>45778</v>
      </c>
      <c r="S525" s="63">
        <v>0.02</v>
      </c>
      <c r="T525" s="113" t="str">
        <f>IF($H525="GIROSSOL II",AP525/INDEX('Resumo Operacional'!$A$1:$P$1103,17,MATCH('Detalhe Por UC'!$R525,'Resumo Operacional'!$A$1:$P$1,0)),
IF($H525="GIROSSOL II e III",AP525/INDEX('Resumo Operacional'!$A$1:$P$1103,17,MATCH('Detalhe Por UC'!$R525,'Resumo Operacional'!$A$1:$P$1,0)),
""))</f>
        <v/>
      </c>
      <c r="U525" s="113">
        <f>IF($H525="GIROSSOL III",AP525/INDEX('Resumo Operacional'!$A$1:$P$1103,53,MATCH('Detalhe Por UC'!$R525,'Resumo Operacional'!$A$1:$P$1,0)),
IF($H525="GIROSSOL II e III",AP525/INDEX('Resumo Operacional'!$A$1:$P$1103,53,MATCH('Detalhe Por UC'!$R525,'Resumo Operacional'!$A$1:$P$1,0)),
""))</f>
        <v>2.59674776251103E-2</v>
      </c>
      <c r="V525" s="45"/>
      <c r="X525" s="18">
        <v>1.1279407894736844</v>
      </c>
      <c r="Y525" s="18">
        <v>0</v>
      </c>
      <c r="Z525" s="18">
        <v>0.97102452733776201</v>
      </c>
      <c r="AA525" s="18">
        <v>0</v>
      </c>
      <c r="AB525" s="143">
        <v>320</v>
      </c>
      <c r="AC525" s="143">
        <v>0</v>
      </c>
      <c r="AD525" s="143">
        <v>206</v>
      </c>
      <c r="AE525" s="35"/>
      <c r="AF525" s="143">
        <v>0</v>
      </c>
      <c r="AG525" s="143">
        <v>0</v>
      </c>
      <c r="AH525" s="48">
        <v>12.299999999999999</v>
      </c>
      <c r="AI525" s="143">
        <v>0</v>
      </c>
      <c r="AJ525" s="143">
        <v>0</v>
      </c>
      <c r="AN525" s="71">
        <f t="shared" si="305"/>
        <v>0</v>
      </c>
      <c r="AO525" s="71">
        <f t="shared" si="306"/>
        <v>0</v>
      </c>
      <c r="AP525" s="71">
        <f t="shared" si="307"/>
        <v>206</v>
      </c>
      <c r="AQ525" s="72">
        <f>IF(OR($H525="GIROSSOL II",$H525="GIROSSOL II e III"),INDEX('Resumo Operacional'!$A$1:$P$1103,MATCH("Energia Injetada prevista total Fatura da Usina (TUSD)",'Resumo Operacional'!$B$1:$B$1103,0),MATCH('Detalhe Por UC'!$R525,'Resumo Operacional'!$A$1:$P$1,0))*$S525,INDEX('Resumo Operacional'!$A$1:$P$1103,53,MATCH('Detalhe Por UC'!$R525,'Resumo Operacional'!$A$1:$P$1,0))*$S525)</f>
        <v>158.66</v>
      </c>
      <c r="AR525" s="71">
        <f t="shared" si="308"/>
        <v>47.34</v>
      </c>
      <c r="AS525" s="73">
        <f t="shared" si="309"/>
        <v>173.21000000000004</v>
      </c>
      <c r="AT525" s="74">
        <f t="shared" si="310"/>
        <v>173.21000000000004</v>
      </c>
      <c r="AU525" s="74">
        <f t="shared" si="311"/>
        <v>0.81410826520183965</v>
      </c>
      <c r="AV525" s="74">
        <f t="shared" si="312"/>
        <v>150.02328947368423</v>
      </c>
      <c r="AW525" s="74">
        <f t="shared" si="313"/>
        <v>0</v>
      </c>
      <c r="AX525" s="74">
        <f t="shared" si="314"/>
        <v>200.03105263157897</v>
      </c>
      <c r="AY525" s="74">
        <f t="shared" si="315"/>
        <v>150.02000000000001</v>
      </c>
      <c r="AZ525" s="49">
        <v>150.02000000000001</v>
      </c>
      <c r="BA525" s="49">
        <v>150.02000000000001</v>
      </c>
      <c r="BC525" s="73" t="str">
        <f t="shared" si="316"/>
        <v/>
      </c>
      <c r="BD525" s="73">
        <f t="shared" si="317"/>
        <v>373.24105263157901</v>
      </c>
      <c r="BE525" s="73">
        <f t="shared" si="318"/>
        <v>323.23328947368429</v>
      </c>
      <c r="BF525" s="77">
        <f t="shared" si="319"/>
        <v>50.01</v>
      </c>
      <c r="BG525" s="77">
        <f t="shared" si="320"/>
        <v>15.002999999999998</v>
      </c>
      <c r="BH525" s="77">
        <f t="shared" si="321"/>
        <v>200.03105263157897</v>
      </c>
      <c r="BI525" s="78">
        <f t="shared" si="322"/>
        <v>0.25</v>
      </c>
      <c r="BJ525" s="79">
        <f t="shared" si="323"/>
        <v>0.13398847647491813</v>
      </c>
      <c r="BK525" s="80">
        <f t="shared" si="324"/>
        <v>323.23</v>
      </c>
      <c r="BL525" s="80">
        <f t="shared" si="325"/>
        <v>50.011052631578991</v>
      </c>
      <c r="BM525" s="79">
        <f t="shared" si="326"/>
        <v>0.1339912967209001</v>
      </c>
      <c r="BN525" s="81">
        <f t="shared" si="327"/>
        <v>0.72825242718446603</v>
      </c>
      <c r="BO525" s="82">
        <f t="shared" si="328"/>
        <v>150.02000000000001</v>
      </c>
      <c r="BP525" s="81">
        <f t="shared" si="329"/>
        <v>0.72825242718446603</v>
      </c>
      <c r="BQ525" s="81">
        <f t="shared" si="330"/>
        <v>0.88516868932038839</v>
      </c>
      <c r="BR525" s="81">
        <f t="shared" si="331"/>
        <v>1.1279407894736844</v>
      </c>
      <c r="BS525" s="82">
        <f t="shared" si="332"/>
        <v>206</v>
      </c>
      <c r="BT525" s="82">
        <f t="shared" si="333"/>
        <v>232.35580263157897</v>
      </c>
      <c r="BU525" s="82">
        <f t="shared" si="334"/>
        <v>200.03105263157897</v>
      </c>
      <c r="BW525" s="82">
        <f>IFERROR(INDEX('Infos Clientes'!$T:$T,MATCH('Detalhe Por UC'!$C525,'Infos Clientes'!B:B,0)),"")</f>
        <v>244.81818181818181</v>
      </c>
      <c r="BX525" s="83">
        <f t="shared" si="335"/>
        <v>0</v>
      </c>
      <c r="BY525" s="84">
        <f t="shared" si="336"/>
        <v>0.21523479106254984</v>
      </c>
      <c r="BZ525" s="85">
        <f>IF(_xlfn.MINIFS('Detalhe Por UC'!R:R,'Detalhe Por UC'!C:C,C525,'Detalhe Por UC'!AD:AD,"&gt;"&amp;0)=0,"",_xlfn.MINIFS('Detalhe Por UC'!R:R,'Detalhe Por UC'!C:C,C525,'Detalhe Por UC'!AD:AD,"&gt;"&amp;0))</f>
        <v>45658</v>
      </c>
      <c r="CA525" s="114">
        <f ca="1">IF(OR(S525&gt;0,AD525&gt;0),IFERROR(
SUMIFS(INDIRECT("'Infos Clientes'!$W"&amp;INDEX('Infos Clientes'!$C:$C,MATCH(C525,'Infos Clientes'!$H:$H,0))&amp;":$CZ"&amp;INDEX('Infos Clientes'!$C:$C,MATCH(C525,'Infos Clientes'!$H:$H,0))),'Infos Clientes'!$W$2:$CZ$2,"&gt;"&amp;$R525-365,'Infos Clientes'!$W$2:$CZ$2,"&lt;="&amp;$R525)/
COUNTIFS(INDIRECT("'Infos Clientes'!$W"&amp;INDEX('Infos Clientes'!$C:$C,MATCH(C525,'Infos Clientes'!$H:$H,0))&amp;":$CZ"&amp;INDEX('Infos Clientes'!$C:$C,MATCH(C525,'Infos Clientes'!$H:$H,0))),"&gt;="&amp;0,'Infos Clientes'!$W$2:$CZ$2,"&gt;"&amp;$R525-365,'Infos Clientes'!$W$2:$CZ$2,"&lt;="&amp;$R525),""),"")</f>
        <v>296.5</v>
      </c>
      <c r="CB525" s="87">
        <f>VLOOKUP(C525,'Infos Clientes'!B:L,11,0)</f>
        <v>0</v>
      </c>
      <c r="CC525" s="88" t="str">
        <f t="shared" si="337"/>
        <v>A Unidade Consumidora 10/109074-5 economizou R$50,01 na fatura referente à mai/2025  consumindo 206 kWh em créditos de energia renovável conforme fatura de energia. A economia foi de 25% em relação ao que seria pago para a Energisa considerando os créditos consumidos. Atenção: Mantenha as contas da Energisa em dia para evitar cortes.</v>
      </c>
      <c r="CD525" s="40" t="s">
        <v>27</v>
      </c>
      <c r="CE525" s="18">
        <v>173.21</v>
      </c>
      <c r="CF525" s="115">
        <f t="shared" si="338"/>
        <v>0</v>
      </c>
    </row>
    <row r="526" spans="1:85" ht="16.2" hidden="1" customHeight="1" x14ac:dyDescent="0.3">
      <c r="A526" s="105" t="str">
        <f>INDEX('Infos Clientes'!$D:$D,MATCH('Detalhe Por UC'!C526,'Infos Clientes'!B:B,0))</f>
        <v>IGREJA DO EVANGELHO QUADRANGULAR</v>
      </c>
      <c r="B526" s="106" t="str">
        <f>INDEX('Infos Clientes'!$F:$F,MATCH('Detalhe Por UC'!C526,'Infos Clientes'!B:B,0))</f>
        <v>62.955.505/0408-94</v>
      </c>
      <c r="C526" s="44" t="s">
        <v>144</v>
      </c>
      <c r="D526" t="s">
        <v>351</v>
      </c>
      <c r="E526" s="1" t="s">
        <v>352</v>
      </c>
      <c r="F526" s="56" t="str">
        <f>INDEX('Infos Clientes'!$I:$I,MATCH('Detalhe Por UC'!C526,'Infos Clientes'!B:B,0))</f>
        <v>BT</v>
      </c>
      <c r="G526" s="56" t="str">
        <f>INDEX('Infos Clientes'!$J:$J,MATCH('Detalhe Por UC'!C526,'Infos Clientes'!B:B,0))</f>
        <v>bifasico</v>
      </c>
      <c r="H526" s="108" t="s">
        <v>138</v>
      </c>
      <c r="I526" s="58">
        <f>IFERROR(VLOOKUP(C526,'Infos Clientes'!B:E,4,),"")</f>
        <v>371</v>
      </c>
      <c r="J526" s="109">
        <v>0.25</v>
      </c>
      <c r="K526" s="59">
        <f>INDEX('Infos Clientes'!$M:$M,MATCH('Detalhe Por UC'!C526,'Infos Clientes'!B:B,0))</f>
        <v>0.25</v>
      </c>
      <c r="L526" s="125">
        <v>0</v>
      </c>
      <c r="M526" s="56">
        <f>INDEX('Infos Clientes'!$N:$N,MATCH('Detalhe Por UC'!C526,'Infos Clientes'!B:B,0))</f>
        <v>0</v>
      </c>
      <c r="N526" s="56">
        <f t="shared" si="303"/>
        <v>0</v>
      </c>
      <c r="O526" s="56">
        <f t="shared" si="304"/>
        <v>9</v>
      </c>
      <c r="P526" s="56">
        <f t="shared" si="339"/>
        <v>0</v>
      </c>
      <c r="Q526" s="61">
        <f>IFERROR(IFERROR(INDEX('Infos Clientes'!$A$2:$V$9884,MATCH($C526,'Infos Clientes'!$B$2:$B$9884,0),MATCH(Q$8,'Infos Clientes'!$A$2:$V$2,0)),"")
+IF(OR(INDEX('Infos Clientes'!$A$2:$V$9884,MATCH($C526,'Infos Clientes'!$B$2:$B$9884,0),MATCH("Tempo de Fidelidade (meses)",'Infos Clientes'!$A$2:$V$2,0))=0,R526&gt;=MAX(R:R)),0,
ROUND((MAX(R:R)-R526)/(365/12),0)),"")</f>
        <v>0</v>
      </c>
      <c r="R526" s="111">
        <v>45778</v>
      </c>
      <c r="S526" s="63">
        <v>0.01</v>
      </c>
      <c r="T526" s="113" t="str">
        <f>IF($H526="GIROSSOL II",AP526/INDEX('Resumo Operacional'!$A$1:$P$1103,17,MATCH('Detalhe Por UC'!$R526,'Resumo Operacional'!$A$1:$P$1,0)),
IF($H526="GIROSSOL II e III",AP526/INDEX('Resumo Operacional'!$A$1:$P$1103,17,MATCH('Detalhe Por UC'!$R526,'Resumo Operacional'!$A$1:$P$1,0)),
""))</f>
        <v/>
      </c>
      <c r="U526" s="113">
        <f>IF($H526="GIROSSOL III",AP526/INDEX('Resumo Operacional'!$A$1:$P$1103,53,MATCH('Detalhe Por UC'!$R526,'Resumo Operacional'!$A$1:$P$1,0)),
IF($H526="GIROSSOL II e III",AP526/INDEX('Resumo Operacional'!$A$1:$P$1103,53,MATCH('Detalhe Por UC'!$R526,'Resumo Operacional'!$A$1:$P$1,0)),
""))</f>
        <v>9.958401613513173E-3</v>
      </c>
      <c r="V526" s="45"/>
      <c r="X526" s="18">
        <v>1.1419050498447458</v>
      </c>
      <c r="Y526" s="18">
        <v>0</v>
      </c>
      <c r="Z526" s="18">
        <v>0.98496790449337102</v>
      </c>
      <c r="AA526" s="18">
        <v>0</v>
      </c>
      <c r="AB526" s="143">
        <v>290</v>
      </c>
      <c r="AC526" s="143">
        <v>0</v>
      </c>
      <c r="AD526" s="143">
        <v>79</v>
      </c>
      <c r="AE526" s="35"/>
      <c r="AF526" s="143">
        <v>0</v>
      </c>
      <c r="AG526" s="143">
        <v>0</v>
      </c>
      <c r="AH526" s="48">
        <v>20.78</v>
      </c>
      <c r="AI526" s="143">
        <v>0</v>
      </c>
      <c r="AJ526" s="143">
        <v>0</v>
      </c>
      <c r="AN526" s="71">
        <f t="shared" si="305"/>
        <v>0</v>
      </c>
      <c r="AO526" s="71">
        <f t="shared" si="306"/>
        <v>0</v>
      </c>
      <c r="AP526" s="71">
        <f t="shared" si="307"/>
        <v>79</v>
      </c>
      <c r="AQ526" s="72">
        <f>IF(OR($H526="GIROSSOL II",$H526="GIROSSOL II e III"),INDEX('Resumo Operacional'!$A$1:$P$1103,MATCH("Energia Injetada prevista total Fatura da Usina (TUSD)",'Resumo Operacional'!$B$1:$B$1103,0),MATCH('Detalhe Por UC'!$R526,'Resumo Operacional'!$A$1:$P$1,0))*$S526,INDEX('Resumo Operacional'!$A$1:$P$1103,53,MATCH('Detalhe Por UC'!$R526,'Resumo Operacional'!$A$1:$P$1,0))*$S526)</f>
        <v>79.33</v>
      </c>
      <c r="AR526" s="71">
        <f t="shared" si="308"/>
        <v>-0.32999999999999829</v>
      </c>
      <c r="AS526" s="73">
        <f t="shared" si="309"/>
        <v>274.12</v>
      </c>
      <c r="AT526" s="74">
        <f t="shared" si="310"/>
        <v>274.12</v>
      </c>
      <c r="AU526" s="74">
        <f t="shared" si="311"/>
        <v>0.8280307591419962</v>
      </c>
      <c r="AV526" s="74">
        <f t="shared" si="312"/>
        <v>58.359348341232234</v>
      </c>
      <c r="AW526" s="74">
        <f t="shared" si="313"/>
        <v>0</v>
      </c>
      <c r="AX526" s="74">
        <f t="shared" si="314"/>
        <v>77.812464454976308</v>
      </c>
      <c r="AY526" s="74">
        <f t="shared" si="315"/>
        <v>58.36</v>
      </c>
      <c r="AZ526" s="49">
        <v>58.36</v>
      </c>
      <c r="BA526" s="49">
        <v>58.36</v>
      </c>
      <c r="BB526" s="117">
        <v>58.36</v>
      </c>
      <c r="BC526" s="73" t="str">
        <f t="shared" si="316"/>
        <v/>
      </c>
      <c r="BD526" s="73">
        <f t="shared" si="317"/>
        <v>351.9324644549763</v>
      </c>
      <c r="BE526" s="73">
        <f t="shared" si="318"/>
        <v>332.47934834123225</v>
      </c>
      <c r="BF526" s="77">
        <f t="shared" si="319"/>
        <v>19.45</v>
      </c>
      <c r="BG526" s="77">
        <f t="shared" si="320"/>
        <v>5.835</v>
      </c>
      <c r="BH526" s="77">
        <f t="shared" si="321"/>
        <v>77.812464454976322</v>
      </c>
      <c r="BI526" s="78">
        <f t="shared" si="322"/>
        <v>0.25</v>
      </c>
      <c r="BJ526" s="79">
        <f t="shared" si="323"/>
        <v>5.5266285337220694E-2</v>
      </c>
      <c r="BK526" s="80">
        <f t="shared" si="324"/>
        <v>332.48</v>
      </c>
      <c r="BL526" s="80">
        <f t="shared" si="325"/>
        <v>19.45246445497628</v>
      </c>
      <c r="BM526" s="79">
        <f t="shared" si="326"/>
        <v>5.5273287973309118E-2</v>
      </c>
      <c r="BN526" s="81">
        <f t="shared" si="327"/>
        <v>0.73873417721518986</v>
      </c>
      <c r="BO526" s="82">
        <f t="shared" si="328"/>
        <v>58.36</v>
      </c>
      <c r="BP526" s="81">
        <f t="shared" si="329"/>
        <v>0.73873417721518986</v>
      </c>
      <c r="BQ526" s="81">
        <f t="shared" si="330"/>
        <v>0.89567132256656468</v>
      </c>
      <c r="BR526" s="81">
        <f t="shared" si="331"/>
        <v>1.1419050498447458</v>
      </c>
      <c r="BS526" s="82">
        <f t="shared" si="332"/>
        <v>79</v>
      </c>
      <c r="BT526" s="82">
        <f t="shared" si="333"/>
        <v>90.210498937734926</v>
      </c>
      <c r="BU526" s="82">
        <f t="shared" si="334"/>
        <v>77.812464454976308</v>
      </c>
      <c r="BW526" s="82">
        <f>IFERROR(INDEX('Infos Clientes'!$T:$T,MATCH('Detalhe Por UC'!$C526,'Infos Clientes'!B:B,0)),"")</f>
        <v>238.54545454545453</v>
      </c>
      <c r="BX526" s="83">
        <f t="shared" si="335"/>
        <v>0</v>
      </c>
      <c r="BY526" s="84">
        <f t="shared" si="336"/>
        <v>0.2156341521667316</v>
      </c>
      <c r="BZ526" s="85">
        <f>IF(_xlfn.MINIFS('Detalhe Por UC'!R:R,'Detalhe Por UC'!C:C,C526,'Detalhe Por UC'!AD:AD,"&gt;"&amp;0)=0,"",_xlfn.MINIFS('Detalhe Por UC'!R:R,'Detalhe Por UC'!C:C,C526,'Detalhe Por UC'!AD:AD,"&gt;"&amp;0))</f>
        <v>45658</v>
      </c>
      <c r="CA526" s="114">
        <f ca="1">IF(OR(S526&gt;0,AD526&gt;0),IFERROR(
SUMIFS(INDIRECT("'Infos Clientes'!$W"&amp;INDEX('Infos Clientes'!$C:$C,MATCH(C526,'Infos Clientes'!$H:$H,0))&amp;":$CZ"&amp;INDEX('Infos Clientes'!$C:$C,MATCH(C526,'Infos Clientes'!$H:$H,0))),'Infos Clientes'!$W$2:$CZ$2,"&gt;"&amp;$R526-365,'Infos Clientes'!$W$2:$CZ$2,"&lt;="&amp;$R526)/
COUNTIFS(INDIRECT("'Infos Clientes'!$W"&amp;INDEX('Infos Clientes'!$C:$C,MATCH(C526,'Infos Clientes'!$H:$H,0))&amp;":$CZ"&amp;INDEX('Infos Clientes'!$C:$C,MATCH(C526,'Infos Clientes'!$H:$H,0))),"&gt;="&amp;0,'Infos Clientes'!$W$2:$CZ$2,"&gt;"&amp;$R526-365,'Infos Clientes'!$W$2:$CZ$2,"&lt;="&amp;$R526),""),"")</f>
        <v>242.16666666666666</v>
      </c>
      <c r="CB526" s="87">
        <f>VLOOKUP(C526,'Infos Clientes'!B:L,11,0)</f>
        <v>0</v>
      </c>
      <c r="CC526" s="88" t="str">
        <f t="shared" si="337"/>
        <v>A Unidade Consumidora 10/1130988-7 economizou R$19,45 na fatura referente à mai/2025  consumindo 79 kWh em créditos de energia renovável conforme fatura de energia. A economia foi de 25% em relação ao que seria pago para a Energisa considerando os créditos consumidos. Atenção: Mantenha as contas da Energisa em dia para evitar cortes.</v>
      </c>
      <c r="CD526" s="40" t="s">
        <v>31</v>
      </c>
      <c r="CE526" s="18">
        <v>274.12</v>
      </c>
      <c r="CF526" s="115">
        <f t="shared" si="338"/>
        <v>0</v>
      </c>
      <c r="CG526" t="s">
        <v>359</v>
      </c>
    </row>
    <row r="527" spans="1:85" ht="16.2" hidden="1" customHeight="1" x14ac:dyDescent="0.3">
      <c r="A527" s="105" t="str">
        <f>INDEX('Infos Clientes'!$D:$D,MATCH('Detalhe Por UC'!C527,'Infos Clientes'!B:B,0))</f>
        <v>IGREJA DO EVANGELHO QUADRANGULAR</v>
      </c>
      <c r="B527" s="106" t="str">
        <f>INDEX('Infos Clientes'!$F:$F,MATCH('Detalhe Por UC'!C527,'Infos Clientes'!B:B,0))</f>
        <v>62.955.505/0168-37</v>
      </c>
      <c r="C527" s="145" t="s">
        <v>228</v>
      </c>
      <c r="D527" t="s">
        <v>351</v>
      </c>
      <c r="E527" s="1" t="s">
        <v>352</v>
      </c>
      <c r="F527" s="56" t="str">
        <f>INDEX('Infos Clientes'!$I:$I,MATCH('Detalhe Por UC'!C527,'Infos Clientes'!B:B,0))</f>
        <v>BT</v>
      </c>
      <c r="G527" s="56" t="str">
        <f>INDEX('Infos Clientes'!$J:$J,MATCH('Detalhe Por UC'!C527,'Infos Clientes'!B:B,0))</f>
        <v>trifasico</v>
      </c>
      <c r="H527" s="108" t="s">
        <v>138</v>
      </c>
      <c r="I527" s="58">
        <f>IFERROR(VLOOKUP(C527,'Infos Clientes'!B:E,4,),"")</f>
        <v>302</v>
      </c>
      <c r="J527" s="109">
        <v>0.25</v>
      </c>
      <c r="K527" s="59">
        <f>INDEX('Infos Clientes'!$M:$M,MATCH('Detalhe Por UC'!C527,'Infos Clientes'!B:B,0))</f>
        <v>0.25</v>
      </c>
      <c r="L527" s="125">
        <v>0</v>
      </c>
      <c r="M527" s="56">
        <f>INDEX('Infos Clientes'!$N:$N,MATCH('Detalhe Por UC'!C527,'Infos Clientes'!B:B,0))</f>
        <v>0</v>
      </c>
      <c r="N527" s="56">
        <f t="shared" si="303"/>
        <v>0</v>
      </c>
      <c r="O527" s="56">
        <f t="shared" si="304"/>
        <v>9</v>
      </c>
      <c r="P527" s="56">
        <f t="shared" si="339"/>
        <v>0</v>
      </c>
      <c r="Q527" s="61">
        <f>IFERROR(IFERROR(INDEX('Infos Clientes'!$A$2:$V$9884,MATCH($C527,'Infos Clientes'!$B$2:$B$9884,0),MATCH(Q$8,'Infos Clientes'!$A$2:$V$2,0)),"")
+IF(OR(INDEX('Infos Clientes'!$A$2:$V$9884,MATCH($C527,'Infos Clientes'!$B$2:$B$9884,0),MATCH("Tempo de Fidelidade (meses)",'Infos Clientes'!$A$2:$V$2,0))=0,R527&gt;=MAX(R:R)),0,
ROUND((MAX(R:R)-R527)/(365/12),0)),"")</f>
        <v>0</v>
      </c>
      <c r="R527" s="111">
        <v>45778</v>
      </c>
      <c r="S527" s="63">
        <v>0.02</v>
      </c>
      <c r="T527" s="113" t="str">
        <f>IF($H527="GIROSSOL II",AP527/INDEX('Resumo Operacional'!$A$1:$P$1103,17,MATCH('Detalhe Por UC'!$R527,'Resumo Operacional'!$A$1:$P$1,0)),
IF($H527="GIROSSOL II e III",AP527/INDEX('Resumo Operacional'!$A$1:$P$1103,17,MATCH('Detalhe Por UC'!$R527,'Resumo Operacional'!$A$1:$P$1,0)),
""))</f>
        <v/>
      </c>
      <c r="U527" s="113">
        <f>IF($H527="GIROSSOL III",AP527/INDEX('Resumo Operacional'!$A$1:$P$1103,53,MATCH('Detalhe Por UC'!$R527,'Resumo Operacional'!$A$1:$P$1,0)),
IF($H527="GIROSSOL II e III",AP527/INDEX('Resumo Operacional'!$A$1:$P$1103,53,MATCH('Detalhe Por UC'!$R527,'Resumo Operacional'!$A$1:$P$1,0)),
""))</f>
        <v>2.59674776251103E-2</v>
      </c>
      <c r="V527" s="45"/>
      <c r="X527" s="18">
        <v>1.1309558498896248</v>
      </c>
      <c r="Y527" s="18">
        <v>0</v>
      </c>
      <c r="Z527" s="18">
        <v>0.97400275482093668</v>
      </c>
      <c r="AA527" s="18">
        <v>0</v>
      </c>
      <c r="AB527" s="143">
        <v>302</v>
      </c>
      <c r="AC527" s="143">
        <v>0</v>
      </c>
      <c r="AD527" s="143">
        <v>242</v>
      </c>
      <c r="AE527" s="35"/>
      <c r="AF527" s="143">
        <v>0</v>
      </c>
      <c r="AG527" s="143">
        <v>0</v>
      </c>
      <c r="AH527" s="48">
        <v>53.22</v>
      </c>
      <c r="AI527" s="143">
        <v>0</v>
      </c>
      <c r="AJ527" s="143">
        <v>0</v>
      </c>
      <c r="AN527" s="71">
        <f t="shared" si="305"/>
        <v>-36</v>
      </c>
      <c r="AO527" s="71">
        <f t="shared" si="306"/>
        <v>0</v>
      </c>
      <c r="AP527" s="71">
        <f t="shared" si="307"/>
        <v>206</v>
      </c>
      <c r="AQ527" s="72">
        <f>IF(OR($H527="GIROSSOL II",$H527="GIROSSOL II e III"),INDEX('Resumo Operacional'!$A$1:$P$1103,MATCH("Energia Injetada prevista total Fatura da Usina (TUSD)",'Resumo Operacional'!$B$1:$B$1103,0),MATCH('Detalhe Por UC'!$R527,'Resumo Operacional'!$A$1:$P$1,0))*$S527,INDEX('Resumo Operacional'!$A$1:$P$1103,53,MATCH('Detalhe Por UC'!$R527,'Resumo Operacional'!$A$1:$P$1,0))*$S527)</f>
        <v>158.66</v>
      </c>
      <c r="AR527" s="71">
        <f t="shared" si="308"/>
        <v>47.34</v>
      </c>
      <c r="AS527" s="73">
        <f t="shared" si="309"/>
        <v>159.06</v>
      </c>
      <c r="AT527" s="74">
        <f t="shared" si="310"/>
        <v>159.06</v>
      </c>
      <c r="AU527" s="74">
        <f t="shared" si="311"/>
        <v>0.81704965975224852</v>
      </c>
      <c r="AV527" s="74">
        <f t="shared" si="312"/>
        <v>176.78149999999999</v>
      </c>
      <c r="AW527" s="74">
        <f t="shared" si="313"/>
        <v>0</v>
      </c>
      <c r="AX527" s="74">
        <f t="shared" si="314"/>
        <v>235.70866666666669</v>
      </c>
      <c r="AY527" s="74">
        <f t="shared" si="315"/>
        <v>176.78</v>
      </c>
      <c r="AZ527" s="49">
        <v>176.78</v>
      </c>
      <c r="BA527" s="49">
        <v>176.78</v>
      </c>
      <c r="BB527" s="117">
        <v>176.78</v>
      </c>
      <c r="BC527" s="73" t="str">
        <f t="shared" si="316"/>
        <v/>
      </c>
      <c r="BD527" s="73">
        <f t="shared" si="317"/>
        <v>394.76866666666672</v>
      </c>
      <c r="BE527" s="73">
        <f t="shared" si="318"/>
        <v>335.8415</v>
      </c>
      <c r="BF527" s="77">
        <f t="shared" si="319"/>
        <v>58.93</v>
      </c>
      <c r="BG527" s="77">
        <f t="shared" si="320"/>
        <v>17.678999999999998</v>
      </c>
      <c r="BH527" s="77">
        <f t="shared" si="321"/>
        <v>235.70866666666666</v>
      </c>
      <c r="BI527" s="78">
        <f t="shared" si="322"/>
        <v>0.25</v>
      </c>
      <c r="BJ527" s="79">
        <f t="shared" si="323"/>
        <v>0.14927729826581979</v>
      </c>
      <c r="BK527" s="80">
        <f t="shared" si="324"/>
        <v>335.84000000000003</v>
      </c>
      <c r="BL527" s="80">
        <f t="shared" si="325"/>
        <v>58.928666666666686</v>
      </c>
      <c r="BM527" s="79">
        <f t="shared" si="326"/>
        <v>0.14927392076034407</v>
      </c>
      <c r="BN527" s="81">
        <f t="shared" si="327"/>
        <v>0.7304958677685951</v>
      </c>
      <c r="BO527" s="82">
        <f t="shared" si="328"/>
        <v>176.78</v>
      </c>
      <c r="BP527" s="81">
        <f t="shared" si="329"/>
        <v>0.7304958677685951</v>
      </c>
      <c r="BQ527" s="81">
        <f t="shared" si="330"/>
        <v>0.88744896283728325</v>
      </c>
      <c r="BR527" s="81">
        <f t="shared" si="331"/>
        <v>1.1309558498896246</v>
      </c>
      <c r="BS527" s="82">
        <f t="shared" si="332"/>
        <v>242</v>
      </c>
      <c r="BT527" s="82">
        <f t="shared" si="333"/>
        <v>273.69131567328918</v>
      </c>
      <c r="BU527" s="82">
        <f t="shared" si="334"/>
        <v>235.70866666666669</v>
      </c>
      <c r="BW527" s="82">
        <f>IFERROR(INDEX('Infos Clientes'!$T:$T,MATCH('Detalhe Por UC'!$C527,'Infos Clientes'!B:B,0)),"")</f>
        <v>286.18181818181819</v>
      </c>
      <c r="BX527" s="83">
        <f t="shared" si="335"/>
        <v>0</v>
      </c>
      <c r="BY527" s="84">
        <f t="shared" si="336"/>
        <v>0.21531069234586525</v>
      </c>
      <c r="BZ527" s="85">
        <f>IF(_xlfn.MINIFS('Detalhe Por UC'!R:R,'Detalhe Por UC'!C:C,C527,'Detalhe Por UC'!AD:AD,"&gt;"&amp;0)=0,"",_xlfn.MINIFS('Detalhe Por UC'!R:R,'Detalhe Por UC'!C:C,C527,'Detalhe Por UC'!AD:AD,"&gt;"&amp;0))</f>
        <v>45658</v>
      </c>
      <c r="CA527" s="114">
        <f ca="1">IF(OR(S527&gt;0,AD527&gt;0),IFERROR(
SUMIFS(INDIRECT("'Infos Clientes'!$W"&amp;INDEX('Infos Clientes'!$C:$C,MATCH(C527,'Infos Clientes'!$H:$H,0))&amp;":$CZ"&amp;INDEX('Infos Clientes'!$C:$C,MATCH(C527,'Infos Clientes'!$H:$H,0))),'Infos Clientes'!$W$2:$CZ$2,"&gt;"&amp;$R527-365,'Infos Clientes'!$W$2:$CZ$2,"&lt;="&amp;$R527)/
COUNTIFS(INDIRECT("'Infos Clientes'!$W"&amp;INDEX('Infos Clientes'!$C:$C,MATCH(C527,'Infos Clientes'!$H:$H,0))&amp;":$CZ"&amp;INDEX('Infos Clientes'!$C:$C,MATCH(C527,'Infos Clientes'!$H:$H,0))),"&gt;="&amp;0,'Infos Clientes'!$W$2:$CZ$2,"&gt;"&amp;$R527-365,'Infos Clientes'!$W$2:$CZ$2,"&lt;="&amp;$R527),""),"")</f>
        <v>295.66666666666669</v>
      </c>
      <c r="CB527" s="87">
        <f>VLOOKUP(C527,'Infos Clientes'!B:L,11,0)</f>
        <v>0</v>
      </c>
      <c r="CC527" s="88" t="str">
        <f t="shared" si="337"/>
        <v>A Unidade Consumidora 10/78338-1 economizou R$58,93 na fatura referente à mai/2025  consumindo 242 kWh em créditos de energia renovável conforme fatura de energia. A economia foi de 25% em relação ao que seria pago para a Energisa considerando os créditos consumidos. Atenção: Mantenha as contas da Energisa em dia para evitar cortes.</v>
      </c>
      <c r="CD527" s="40" t="s">
        <v>249</v>
      </c>
      <c r="CE527" s="18">
        <v>159.06</v>
      </c>
      <c r="CF527" s="115">
        <f t="shared" si="338"/>
        <v>0</v>
      </c>
      <c r="CG527" t="s">
        <v>357</v>
      </c>
    </row>
    <row r="528" spans="1:85" ht="16.2" hidden="1" customHeight="1" x14ac:dyDescent="0.3">
      <c r="A528" s="105" t="str">
        <f>INDEX('Infos Clientes'!$D:$D,MATCH('Detalhe Por UC'!C528,'Infos Clientes'!B:B,0))</f>
        <v>IGREJA DO EVANGELHO QUADRANGULAR</v>
      </c>
      <c r="B528" s="106" t="str">
        <f>INDEX('Infos Clientes'!$F:$F,MATCH('Detalhe Por UC'!C528,'Infos Clientes'!B:B,0))</f>
        <v>62.955.505/3671-17</v>
      </c>
      <c r="C528" s="44" t="s">
        <v>217</v>
      </c>
      <c r="D528" t="s">
        <v>351</v>
      </c>
      <c r="E528" s="1" t="s">
        <v>352</v>
      </c>
      <c r="F528" s="56" t="str">
        <f>INDEX('Infos Clientes'!$I:$I,MATCH('Detalhe Por UC'!C528,'Infos Clientes'!B:B,0))</f>
        <v>BT</v>
      </c>
      <c r="G528" s="56" t="str">
        <f>INDEX('Infos Clientes'!$J:$J,MATCH('Detalhe Por UC'!C528,'Infos Clientes'!B:B,0))</f>
        <v>bifasico</v>
      </c>
      <c r="H528" s="108" t="s">
        <v>138</v>
      </c>
      <c r="I528" s="58">
        <f>IFERROR(VLOOKUP(C528,'Infos Clientes'!B:E,4,),"")</f>
        <v>362</v>
      </c>
      <c r="J528" s="109">
        <v>0.25</v>
      </c>
      <c r="K528" s="59">
        <f>INDEX('Infos Clientes'!$M:$M,MATCH('Detalhe Por UC'!C528,'Infos Clientes'!B:B,0))</f>
        <v>0.25</v>
      </c>
      <c r="L528" s="125">
        <v>0</v>
      </c>
      <c r="M528" s="56">
        <f>INDEX('Infos Clientes'!$N:$N,MATCH('Detalhe Por UC'!C528,'Infos Clientes'!B:B,0))</f>
        <v>0</v>
      </c>
      <c r="N528" s="56">
        <f t="shared" si="303"/>
        <v>0</v>
      </c>
      <c r="O528" s="56">
        <f t="shared" si="304"/>
        <v>8</v>
      </c>
      <c r="P528" s="56">
        <f t="shared" si="339"/>
        <v>0</v>
      </c>
      <c r="Q528" s="61">
        <f>IFERROR(IFERROR(INDEX('Infos Clientes'!$A$2:$V$9884,MATCH($C528,'Infos Clientes'!$B$2:$B$9884,0),MATCH(Q$8,'Infos Clientes'!$A$2:$V$2,0)),"")
+IF(OR(INDEX('Infos Clientes'!$A$2:$V$9884,MATCH($C528,'Infos Clientes'!$B$2:$B$9884,0),MATCH("Tempo de Fidelidade (meses)",'Infos Clientes'!$A$2:$V$2,0))=0,R528&gt;=MAX(R:R)),0,
ROUND((MAX(R:R)-R528)/(365/12),0)),"")</f>
        <v>0</v>
      </c>
      <c r="R528" s="111">
        <v>45778</v>
      </c>
      <c r="S528" s="63">
        <v>0.01</v>
      </c>
      <c r="T528" s="113" t="str">
        <f>IF($H528="GIROSSOL II",AP528/INDEX('Resumo Operacional'!$A$1:$P$1103,17,MATCH('Detalhe Por UC'!$R528,'Resumo Operacional'!$A$1:$P$1,0)),
IF($H528="GIROSSOL II e III",AP528/INDEX('Resumo Operacional'!$A$1:$P$1103,17,MATCH('Detalhe Por UC'!$R528,'Resumo Operacional'!$A$1:$P$1,0)),
""))</f>
        <v/>
      </c>
      <c r="U528" s="113">
        <f>IF($H528="GIROSSOL III",AP528/INDEX('Resumo Operacional'!$A$1:$P$1103,53,MATCH('Detalhe Por UC'!$R528,'Resumo Operacional'!$A$1:$P$1,0)),
IF($H528="GIROSSOL II e III",AP528/INDEX('Resumo Operacional'!$A$1:$P$1103,53,MATCH('Detalhe Por UC'!$R528,'Resumo Operacional'!$A$1:$P$1,0)),
""))</f>
        <v>1.298373881255515E-2</v>
      </c>
      <c r="V528" s="45"/>
      <c r="X528" s="18">
        <v>1.1275463917525774</v>
      </c>
      <c r="Y528" s="18">
        <v>0</v>
      </c>
      <c r="Z528" s="18">
        <v>0.97073684210526301</v>
      </c>
      <c r="AA528" s="18">
        <v>0</v>
      </c>
      <c r="AB528" s="143">
        <v>97</v>
      </c>
      <c r="AC528" s="143">
        <v>0</v>
      </c>
      <c r="AD528" s="143">
        <v>57</v>
      </c>
      <c r="AE528" s="35"/>
      <c r="AF528" s="143">
        <v>46</v>
      </c>
      <c r="AG528" s="143">
        <v>0</v>
      </c>
      <c r="AH528" s="48">
        <v>26.64</v>
      </c>
      <c r="AI528" s="143">
        <v>0</v>
      </c>
      <c r="AJ528" s="143">
        <v>0</v>
      </c>
      <c r="AN528" s="71">
        <f t="shared" si="305"/>
        <v>46</v>
      </c>
      <c r="AO528" s="71">
        <f t="shared" si="306"/>
        <v>0</v>
      </c>
      <c r="AP528" s="71">
        <f t="shared" si="307"/>
        <v>103</v>
      </c>
      <c r="AQ528" s="72">
        <f>IF(OR($H528="GIROSSOL II",$H528="GIROSSOL II e III"),INDEX('Resumo Operacional'!$A$1:$P$1103,MATCH("Energia Injetada prevista total Fatura da Usina (TUSD)",'Resumo Operacional'!$B$1:$B$1103,0),MATCH('Detalhe Por UC'!$R528,'Resumo Operacional'!$A$1:$P$1,0))*$S528,INDEX('Resumo Operacional'!$A$1:$P$1103,53,MATCH('Detalhe Por UC'!$R528,'Resumo Operacional'!$A$1:$P$1,0))*$S528)</f>
        <v>79.33</v>
      </c>
      <c r="AR528" s="71">
        <f t="shared" si="308"/>
        <v>23.67</v>
      </c>
      <c r="AS528" s="73">
        <f t="shared" si="309"/>
        <v>80.680000000000021</v>
      </c>
      <c r="AT528" s="74">
        <f t="shared" si="310"/>
        <v>80.680000000000021</v>
      </c>
      <c r="AU528" s="74">
        <f t="shared" si="311"/>
        <v>0.81392729245794859</v>
      </c>
      <c r="AV528" s="74">
        <f t="shared" si="312"/>
        <v>41.498999999999995</v>
      </c>
      <c r="AW528" s="74">
        <f t="shared" si="313"/>
        <v>0</v>
      </c>
      <c r="AX528" s="74">
        <f t="shared" si="314"/>
        <v>55.331999999999994</v>
      </c>
      <c r="AY528" s="74">
        <f t="shared" si="315"/>
        <v>41.5</v>
      </c>
      <c r="AZ528" s="49">
        <v>41.5</v>
      </c>
      <c r="BA528" s="49">
        <v>41.5</v>
      </c>
      <c r="BB528" s="49">
        <v>41.5</v>
      </c>
      <c r="BC528" s="73" t="str">
        <f t="shared" si="316"/>
        <v/>
      </c>
      <c r="BD528" s="73">
        <f t="shared" si="317"/>
        <v>136.012</v>
      </c>
      <c r="BE528" s="73">
        <f t="shared" si="318"/>
        <v>122.17900000000002</v>
      </c>
      <c r="BF528" s="77">
        <f t="shared" si="319"/>
        <v>13.83</v>
      </c>
      <c r="BG528" s="77">
        <f t="shared" si="320"/>
        <v>4.149</v>
      </c>
      <c r="BH528" s="77">
        <f t="shared" si="321"/>
        <v>55.331999999999987</v>
      </c>
      <c r="BI528" s="78">
        <f t="shared" si="322"/>
        <v>0.25</v>
      </c>
      <c r="BJ528" s="79">
        <f t="shared" si="323"/>
        <v>0.10168220451136664</v>
      </c>
      <c r="BK528" s="80">
        <f t="shared" si="324"/>
        <v>122.18000000000002</v>
      </c>
      <c r="BL528" s="80">
        <f t="shared" si="325"/>
        <v>13.831999999999979</v>
      </c>
      <c r="BM528" s="79">
        <f t="shared" si="326"/>
        <v>0.10169690909625606</v>
      </c>
      <c r="BN528" s="81">
        <f t="shared" si="327"/>
        <v>0.72807017543859653</v>
      </c>
      <c r="BO528" s="82">
        <f t="shared" si="328"/>
        <v>41.5</v>
      </c>
      <c r="BP528" s="81">
        <f t="shared" si="329"/>
        <v>0.72807017543859653</v>
      </c>
      <c r="BQ528" s="81">
        <f t="shared" si="330"/>
        <v>0.88487972508591095</v>
      </c>
      <c r="BR528" s="81">
        <f t="shared" si="331"/>
        <v>1.1275463917525774</v>
      </c>
      <c r="BS528" s="82">
        <f t="shared" si="332"/>
        <v>57</v>
      </c>
      <c r="BT528" s="82">
        <f t="shared" si="333"/>
        <v>64.270144329896908</v>
      </c>
      <c r="BU528" s="82">
        <f t="shared" si="334"/>
        <v>55.331999999999994</v>
      </c>
      <c r="BW528" s="82">
        <f>IFERROR(INDEX('Infos Clientes'!$T:$T,MATCH('Detalhe Por UC'!$C528,'Infos Clientes'!B:B,0)),"")</f>
        <v>122.45454545454545</v>
      </c>
      <c r="BX528" s="83">
        <f t="shared" si="335"/>
        <v>0</v>
      </c>
      <c r="BY528" s="84">
        <f t="shared" si="336"/>
        <v>0.21521656974972248</v>
      </c>
      <c r="BZ528" s="85">
        <f>IF(_xlfn.MINIFS('Detalhe Por UC'!R:R,'Detalhe Por UC'!C:C,C528,'Detalhe Por UC'!AD:AD,"&gt;"&amp;0)=0,"",_xlfn.MINIFS('Detalhe Por UC'!R:R,'Detalhe Por UC'!C:C,C528,'Detalhe Por UC'!AD:AD,"&gt;"&amp;0))</f>
        <v>45658</v>
      </c>
      <c r="CA528" s="114">
        <f ca="1">IF(OR(S528&gt;0,AD528&gt;0),IFERROR(
SUMIFS(INDIRECT("'Infos Clientes'!$W"&amp;INDEX('Infos Clientes'!$C:$C,MATCH(C528,'Infos Clientes'!$H:$H,0))&amp;":$CZ"&amp;INDEX('Infos Clientes'!$C:$C,MATCH(C528,'Infos Clientes'!$H:$H,0))),'Infos Clientes'!$W$2:$CZ$2,"&gt;"&amp;$R528-365,'Infos Clientes'!$W$2:$CZ$2,"&lt;="&amp;$R528)/
COUNTIFS(INDIRECT("'Infos Clientes'!$W"&amp;INDEX('Infos Clientes'!$C:$C,MATCH(C528,'Infos Clientes'!$H:$H,0))&amp;":$CZ"&amp;INDEX('Infos Clientes'!$C:$C,MATCH(C528,'Infos Clientes'!$H:$H,0))),"&gt;="&amp;0,'Infos Clientes'!$W$2:$CZ$2,"&gt;"&amp;$R528-365,'Infos Clientes'!$W$2:$CZ$2,"&lt;="&amp;$R528),""),"")</f>
        <v>138.41666666666666</v>
      </c>
      <c r="CB528" s="87">
        <f>VLOOKUP(C528,'Infos Clientes'!B:L,11,0)</f>
        <v>0</v>
      </c>
      <c r="CC528" s="88" t="str">
        <f t="shared" si="337"/>
        <v>A Unidade Consumidora 10/530195-7 economizou R$13,83 na fatura referente à mai/2025  consumindo 57 kWh em créditos de energia renovável conforme fatura de energia. A economia foi de 25% em relação ao que seria pago para a Energisa considerando os créditos consumidos. Atenção: Mantenha as contas da Energisa em dia para evitar cortes.</v>
      </c>
      <c r="CD528" s="40" t="s">
        <v>249</v>
      </c>
      <c r="CE528" s="18">
        <v>80.680000000000007</v>
      </c>
      <c r="CF528" s="115">
        <f t="shared" si="338"/>
        <v>0</v>
      </c>
    </row>
    <row r="529" spans="1:85" ht="16.2" hidden="1" customHeight="1" x14ac:dyDescent="0.3">
      <c r="A529" s="105" t="str">
        <f>INDEX('Infos Clientes'!$D:$D,MATCH('Detalhe Por UC'!C529,'Infos Clientes'!B:B,0))</f>
        <v>IGREJA DO EVANGELHO QUADRANGULAR</v>
      </c>
      <c r="B529" s="106" t="str">
        <f>INDEX('Infos Clientes'!$F:$F,MATCH('Detalhe Por UC'!C529,'Infos Clientes'!B:B,0))</f>
        <v>62.955.505/0154-31</v>
      </c>
      <c r="C529" s="44" t="s">
        <v>183</v>
      </c>
      <c r="D529" t="s">
        <v>351</v>
      </c>
      <c r="E529" s="1" t="s">
        <v>352</v>
      </c>
      <c r="F529" s="56" t="str">
        <f>INDEX('Infos Clientes'!$I:$I,MATCH('Detalhe Por UC'!C529,'Infos Clientes'!B:B,0))</f>
        <v>BT</v>
      </c>
      <c r="G529" s="56" t="str">
        <f>INDEX('Infos Clientes'!$J:$J,MATCH('Detalhe Por UC'!C529,'Infos Clientes'!B:B,0))</f>
        <v>bifasico</v>
      </c>
      <c r="H529" s="108" t="s">
        <v>138</v>
      </c>
      <c r="I529" s="58">
        <f>IFERROR(VLOOKUP(C529,'Infos Clientes'!B:E,4,),"")</f>
        <v>319</v>
      </c>
      <c r="J529" s="109">
        <v>0.25</v>
      </c>
      <c r="K529" s="59">
        <f>INDEX('Infos Clientes'!$M:$M,MATCH('Detalhe Por UC'!C529,'Infos Clientes'!B:B,0))</f>
        <v>0.25</v>
      </c>
      <c r="L529" s="125">
        <v>0</v>
      </c>
      <c r="M529" s="56">
        <f>INDEX('Infos Clientes'!$N:$N,MATCH('Detalhe Por UC'!C529,'Infos Clientes'!B:B,0))</f>
        <v>0</v>
      </c>
      <c r="N529" s="56">
        <f t="shared" si="303"/>
        <v>0</v>
      </c>
      <c r="O529" s="56">
        <f t="shared" si="304"/>
        <v>9</v>
      </c>
      <c r="P529" s="56">
        <f t="shared" si="339"/>
        <v>0</v>
      </c>
      <c r="Q529" s="61">
        <f>IFERROR(IFERROR(INDEX('Infos Clientes'!$A$2:$V$9884,MATCH($C529,'Infos Clientes'!$B$2:$B$9884,0),MATCH(Q$8,'Infos Clientes'!$A$2:$V$2,0)),"")
+IF(OR(INDEX('Infos Clientes'!$A$2:$V$9884,MATCH($C529,'Infos Clientes'!$B$2:$B$9884,0),MATCH("Tempo de Fidelidade (meses)",'Infos Clientes'!$A$2:$V$2,0))=0,R529&gt;=MAX(R:R)),0,
ROUND((MAX(R:R)-R529)/(365/12),0)),"")</f>
        <v>0</v>
      </c>
      <c r="R529" s="111">
        <v>45778</v>
      </c>
      <c r="S529" s="63">
        <v>0.02</v>
      </c>
      <c r="T529" s="113" t="str">
        <f>IF($H529="GIROSSOL II",AP529/INDEX('Resumo Operacional'!$A$1:$P$1103,17,MATCH('Detalhe Por UC'!$R529,'Resumo Operacional'!$A$1:$P$1,0)),
IF($H529="GIROSSOL II e III",AP529/INDEX('Resumo Operacional'!$A$1:$P$1103,17,MATCH('Detalhe Por UC'!$R529,'Resumo Operacional'!$A$1:$P$1,0)),
""))</f>
        <v/>
      </c>
      <c r="U529" s="113">
        <f>IF($H529="GIROSSOL III",AP529/INDEX('Resumo Operacional'!$A$1:$P$1103,53,MATCH('Detalhe Por UC'!$R529,'Resumo Operacional'!$A$1:$P$1,0)),
IF($H529="GIROSSOL II e III",AP529/INDEX('Resumo Operacional'!$A$1:$P$1103,53,MATCH('Detalhe Por UC'!$R529,'Resumo Operacional'!$A$1:$P$1,0)),
""))</f>
        <v>1.9916803227026346E-2</v>
      </c>
      <c r="V529" s="45"/>
      <c r="X529" s="18">
        <v>1.1400390895908201</v>
      </c>
      <c r="Y529" s="18">
        <v>0</v>
      </c>
      <c r="Z529" s="18">
        <v>0.98311491685281716</v>
      </c>
      <c r="AA529" s="18">
        <v>0</v>
      </c>
      <c r="AB529" s="143">
        <v>311</v>
      </c>
      <c r="AC529" s="143">
        <v>0</v>
      </c>
      <c r="AD529" s="143">
        <v>158</v>
      </c>
      <c r="AE529" s="35"/>
      <c r="AF529" s="143">
        <v>0</v>
      </c>
      <c r="AG529" s="143">
        <v>0</v>
      </c>
      <c r="AH529" s="48">
        <v>59.51</v>
      </c>
      <c r="AI529" s="143">
        <v>0</v>
      </c>
      <c r="AJ529" s="143">
        <v>0</v>
      </c>
      <c r="AN529" s="71">
        <f t="shared" si="305"/>
        <v>0</v>
      </c>
      <c r="AO529" s="71">
        <f t="shared" si="306"/>
        <v>0</v>
      </c>
      <c r="AP529" s="71">
        <f t="shared" si="307"/>
        <v>158</v>
      </c>
      <c r="AQ529" s="72">
        <f>IF(OR($H529="GIROSSOL II",$H529="GIROSSOL II e III"),INDEX('Resumo Operacional'!$A$1:$P$1103,MATCH("Energia Injetada prevista total Fatura da Usina (TUSD)",'Resumo Operacional'!$B$1:$B$1103,0),MATCH('Detalhe Por UC'!$R529,'Resumo Operacional'!$A$1:$P$1,0))*$S529,INDEX('Resumo Operacional'!$A$1:$P$1103,53,MATCH('Detalhe Por UC'!$R529,'Resumo Operacional'!$A$1:$P$1,0))*$S529)</f>
        <v>158.66</v>
      </c>
      <c r="AR529" s="71">
        <f t="shared" si="308"/>
        <v>-0.65999999999999659</v>
      </c>
      <c r="AS529" s="73">
        <f t="shared" si="309"/>
        <v>258.72999999999996</v>
      </c>
      <c r="AT529" s="74">
        <f t="shared" si="310"/>
        <v>258.72999999999996</v>
      </c>
      <c r="AU529" s="74">
        <f t="shared" si="311"/>
        <v>0.82619074411481419</v>
      </c>
      <c r="AV529" s="74">
        <f t="shared" si="312"/>
        <v>116.49911764705882</v>
      </c>
      <c r="AW529" s="74">
        <f t="shared" si="313"/>
        <v>0</v>
      </c>
      <c r="AX529" s="74">
        <f t="shared" si="314"/>
        <v>155.33215686274511</v>
      </c>
      <c r="AY529" s="74">
        <f t="shared" si="315"/>
        <v>116.5</v>
      </c>
      <c r="AZ529" s="49">
        <v>116.5</v>
      </c>
      <c r="BA529" s="49">
        <v>116.5</v>
      </c>
      <c r="BC529" s="73" t="str">
        <f t="shared" si="316"/>
        <v/>
      </c>
      <c r="BD529" s="73">
        <f t="shared" si="317"/>
        <v>414.06215686274504</v>
      </c>
      <c r="BE529" s="73">
        <f t="shared" si="318"/>
        <v>375.22911764705879</v>
      </c>
      <c r="BF529" s="77">
        <f t="shared" si="319"/>
        <v>38.83</v>
      </c>
      <c r="BG529" s="77">
        <f t="shared" si="320"/>
        <v>11.648999999999999</v>
      </c>
      <c r="BH529" s="77">
        <f t="shared" si="321"/>
        <v>155.33215686274511</v>
      </c>
      <c r="BI529" s="78">
        <f t="shared" si="322"/>
        <v>0.25</v>
      </c>
      <c r="BJ529" s="79">
        <f t="shared" si="323"/>
        <v>9.3778190922363183E-2</v>
      </c>
      <c r="BK529" s="80">
        <f t="shared" si="324"/>
        <v>375.22999999999996</v>
      </c>
      <c r="BL529" s="80">
        <f t="shared" si="325"/>
        <v>38.83215686274508</v>
      </c>
      <c r="BM529" s="79">
        <f t="shared" si="326"/>
        <v>9.3783399953686952E-2</v>
      </c>
      <c r="BN529" s="81">
        <f t="shared" si="327"/>
        <v>0.73734177215189878</v>
      </c>
      <c r="BO529" s="82">
        <f t="shared" si="328"/>
        <v>116.5</v>
      </c>
      <c r="BP529" s="81">
        <f t="shared" si="329"/>
        <v>0.73734177215189878</v>
      </c>
      <c r="BQ529" s="81">
        <f t="shared" si="330"/>
        <v>0.89426594488990174</v>
      </c>
      <c r="BR529" s="81">
        <f t="shared" si="331"/>
        <v>1.1400390895908201</v>
      </c>
      <c r="BS529" s="82">
        <f t="shared" si="332"/>
        <v>158</v>
      </c>
      <c r="BT529" s="82">
        <f t="shared" si="333"/>
        <v>180.12617615534958</v>
      </c>
      <c r="BU529" s="82">
        <f t="shared" si="334"/>
        <v>155.33215686274511</v>
      </c>
      <c r="BW529" s="82">
        <f>IFERROR(INDEX('Infos Clientes'!$T:$T,MATCH('Detalhe Por UC'!$C529,'Infos Clientes'!B:B,0)),"")</f>
        <v>250.27272727272728</v>
      </c>
      <c r="BX529" s="83">
        <f t="shared" si="335"/>
        <v>0</v>
      </c>
      <c r="BY529" s="84">
        <f t="shared" si="336"/>
        <v>0.21558308565466</v>
      </c>
      <c r="BZ529" s="85">
        <f>IF(_xlfn.MINIFS('Detalhe Por UC'!R:R,'Detalhe Por UC'!C:C,C529,'Detalhe Por UC'!AD:AD,"&gt;"&amp;0)=0,"",_xlfn.MINIFS('Detalhe Por UC'!R:R,'Detalhe Por UC'!C:C,C529,'Detalhe Por UC'!AD:AD,"&gt;"&amp;0))</f>
        <v>45658</v>
      </c>
      <c r="CA529" s="114">
        <f ca="1">IF(OR(S529&gt;0,AD529&gt;0),IFERROR(
SUMIFS(INDIRECT("'Infos Clientes'!$W"&amp;INDEX('Infos Clientes'!$C:$C,MATCH(C529,'Infos Clientes'!$H:$H,0))&amp;":$CZ"&amp;INDEX('Infos Clientes'!$C:$C,MATCH(C529,'Infos Clientes'!$H:$H,0))),'Infos Clientes'!$W$2:$CZ$2,"&gt;"&amp;$R529-365,'Infos Clientes'!$W$2:$CZ$2,"&lt;="&amp;$R529)/
COUNTIFS(INDIRECT("'Infos Clientes'!$W"&amp;INDEX('Infos Clientes'!$C:$C,MATCH(C529,'Infos Clientes'!$H:$H,0))&amp;":$CZ"&amp;INDEX('Infos Clientes'!$C:$C,MATCH(C529,'Infos Clientes'!$H:$H,0))),"&gt;="&amp;0,'Infos Clientes'!$W$2:$CZ$2,"&gt;"&amp;$R529-365,'Infos Clientes'!$W$2:$CZ$2,"&lt;="&amp;$R529),""),"")</f>
        <v>275.33333333333331</v>
      </c>
      <c r="CB529" s="87">
        <f>VLOOKUP(C529,'Infos Clientes'!B:L,11,0)</f>
        <v>0</v>
      </c>
      <c r="CC529" s="88" t="str">
        <f t="shared" si="337"/>
        <v>A Unidade Consumidora 10/3040565-8 economizou R$38,83 na fatura referente à mai/2025  consumindo 158 kWh em créditos de energia renovável conforme fatura de energia. A economia foi de 25% em relação ao que seria pago para a Energisa considerando os créditos consumidos. Atenção: Mantenha as contas da Energisa em dia para evitar cortes.</v>
      </c>
      <c r="CD529" s="40" t="s">
        <v>27</v>
      </c>
      <c r="CE529" s="18">
        <v>258.73</v>
      </c>
      <c r="CF529" s="115">
        <f t="shared" si="338"/>
        <v>0</v>
      </c>
      <c r="CG529" t="s">
        <v>359</v>
      </c>
    </row>
    <row r="530" spans="1:85" ht="16.2" hidden="1" customHeight="1" x14ac:dyDescent="0.3">
      <c r="A530" s="105" t="str">
        <f>INDEX('Infos Clientes'!$D:$D,MATCH('Detalhe Por UC'!C530,'Infos Clientes'!B:B,0))</f>
        <v>IGREJA DO EVANGELHO QUADRANGULAR</v>
      </c>
      <c r="B530" s="106" t="str">
        <f>INDEX('Infos Clientes'!$F:$F,MATCH('Detalhe Por UC'!C530,'Infos Clientes'!B:B,0))</f>
        <v>62.955.505/2488-86</v>
      </c>
      <c r="C530" s="44" t="s">
        <v>195</v>
      </c>
      <c r="D530" t="s">
        <v>351</v>
      </c>
      <c r="E530" s="1" t="s">
        <v>352</v>
      </c>
      <c r="F530" s="56" t="str">
        <f>INDEX('Infos Clientes'!$I:$I,MATCH('Detalhe Por UC'!C530,'Infos Clientes'!B:B,0))</f>
        <v>BT</v>
      </c>
      <c r="G530" s="56" t="str">
        <f>INDEX('Infos Clientes'!$J:$J,MATCH('Detalhe Por UC'!C530,'Infos Clientes'!B:B,0))</f>
        <v>trifasico</v>
      </c>
      <c r="H530" s="108" t="s">
        <v>138</v>
      </c>
      <c r="I530" s="58">
        <f>IFERROR(VLOOKUP(C530,'Infos Clientes'!B:E,4,),"")</f>
        <v>306</v>
      </c>
      <c r="J530" s="109">
        <v>0.25</v>
      </c>
      <c r="K530" s="59">
        <f>INDEX('Infos Clientes'!$M:$M,MATCH('Detalhe Por UC'!C530,'Infos Clientes'!B:B,0))</f>
        <v>0.25</v>
      </c>
      <c r="L530" s="125">
        <v>0</v>
      </c>
      <c r="M530" s="56">
        <f>INDEX('Infos Clientes'!$N:$N,MATCH('Detalhe Por UC'!C530,'Infos Clientes'!B:B,0))</f>
        <v>0</v>
      </c>
      <c r="N530" s="56">
        <f t="shared" si="303"/>
        <v>0</v>
      </c>
      <c r="O530" s="56">
        <f t="shared" si="304"/>
        <v>9</v>
      </c>
      <c r="P530" s="56">
        <f t="shared" si="339"/>
        <v>0</v>
      </c>
      <c r="Q530" s="61">
        <f>IFERROR(IFERROR(INDEX('Infos Clientes'!$A$2:$V$9884,MATCH($C530,'Infos Clientes'!$B$2:$B$9884,0),MATCH(Q$8,'Infos Clientes'!$A$2:$V$2,0)),"")
+IF(OR(INDEX('Infos Clientes'!$A$2:$V$9884,MATCH($C530,'Infos Clientes'!$B$2:$B$9884,0),MATCH("Tempo de Fidelidade (meses)",'Infos Clientes'!$A$2:$V$2,0))=0,R530&gt;=MAX(R:R)),0,
ROUND((MAX(R:R)-R530)/(365/12),0)),"")</f>
        <v>0</v>
      </c>
      <c r="R530" s="111">
        <v>45778</v>
      </c>
      <c r="S530" s="63">
        <v>0.02</v>
      </c>
      <c r="T530" s="113" t="str">
        <f>IF($H530="GIROSSOL II",AP530/INDEX('Resumo Operacional'!$A$1:$P$1103,17,MATCH('Detalhe Por UC'!$R530,'Resumo Operacional'!$A$1:$P$1,0)),
IF($H530="GIROSSOL II e III",AP530/INDEX('Resumo Operacional'!$A$1:$P$1103,17,MATCH('Detalhe Por UC'!$R530,'Resumo Operacional'!$A$1:$P$1,0)),
""))</f>
        <v/>
      </c>
      <c r="U530" s="113">
        <f>IF($H530="GIROSSOL III",AP530/INDEX('Resumo Operacional'!$A$1:$P$1103,53,MATCH('Detalhe Por UC'!$R530,'Resumo Operacional'!$A$1:$P$1,0)),
IF($H530="GIROSSOL II e III",AP530/INDEX('Resumo Operacional'!$A$1:$P$1103,53,MATCH('Detalhe Por UC'!$R530,'Resumo Operacional'!$A$1:$P$1,0)),
""))</f>
        <v>4.5884280852136645E-2</v>
      </c>
      <c r="V530" s="45"/>
      <c r="X530" s="18">
        <v>1.1342005323868678</v>
      </c>
      <c r="Y530" s="18">
        <v>0</v>
      </c>
      <c r="Z530" s="18">
        <v>0.9772677865612649</v>
      </c>
      <c r="AA530" s="18">
        <v>0</v>
      </c>
      <c r="AB530" s="143">
        <v>245</v>
      </c>
      <c r="AC530" s="143">
        <v>0</v>
      </c>
      <c r="AD530" s="143">
        <v>176</v>
      </c>
      <c r="AE530" s="35"/>
      <c r="AF530" s="143">
        <v>188</v>
      </c>
      <c r="AG530" s="143">
        <v>0</v>
      </c>
      <c r="AH530" s="48">
        <v>16.27</v>
      </c>
      <c r="AI530" s="143">
        <v>0</v>
      </c>
      <c r="AJ530" s="143">
        <v>0</v>
      </c>
      <c r="AN530" s="71">
        <f t="shared" si="305"/>
        <v>188</v>
      </c>
      <c r="AO530" s="71">
        <f t="shared" si="306"/>
        <v>0</v>
      </c>
      <c r="AP530" s="71">
        <f t="shared" si="307"/>
        <v>364</v>
      </c>
      <c r="AQ530" s="72">
        <f>IF(OR($H530="GIROSSOL II",$H530="GIROSSOL II e III"),INDEX('Resumo Operacional'!$A$1:$P$1103,MATCH("Energia Injetada prevista total Fatura da Usina (TUSD)",'Resumo Operacional'!$B$1:$B$1103,0),MATCH('Detalhe Por UC'!$R530,'Resumo Operacional'!$A$1:$P$1,0))*$S530,INDEX('Resumo Operacional'!$A$1:$P$1103,53,MATCH('Detalhe Por UC'!$R530,'Resumo Operacional'!$A$1:$P$1,0))*$S530)</f>
        <v>158.66</v>
      </c>
      <c r="AR530" s="71">
        <f t="shared" si="308"/>
        <v>205.34</v>
      </c>
      <c r="AS530" s="73">
        <f t="shared" si="309"/>
        <v>122.14999999999999</v>
      </c>
      <c r="AT530" s="74">
        <f t="shared" si="310"/>
        <v>122.14999999999999</v>
      </c>
      <c r="AU530" s="74">
        <f t="shared" si="311"/>
        <v>0.82033504073566199</v>
      </c>
      <c r="AV530" s="74">
        <f t="shared" si="312"/>
        <v>128.99934782608696</v>
      </c>
      <c r="AW530" s="74">
        <f t="shared" si="313"/>
        <v>0</v>
      </c>
      <c r="AX530" s="74">
        <f t="shared" si="314"/>
        <v>171.99913043478261</v>
      </c>
      <c r="AY530" s="74">
        <f t="shared" si="315"/>
        <v>129</v>
      </c>
      <c r="AZ530" s="49">
        <v>129</v>
      </c>
      <c r="BA530" s="49">
        <v>129</v>
      </c>
      <c r="BB530" s="49">
        <v>172</v>
      </c>
      <c r="BC530" s="73">
        <f t="shared" si="316"/>
        <v>43</v>
      </c>
      <c r="BD530" s="73">
        <f t="shared" si="317"/>
        <v>294.14913043478259</v>
      </c>
      <c r="BE530" s="73">
        <f t="shared" si="318"/>
        <v>251.14934782608697</v>
      </c>
      <c r="BF530" s="77">
        <f t="shared" si="319"/>
        <v>43</v>
      </c>
      <c r="BG530" s="77">
        <f t="shared" si="320"/>
        <v>12.9</v>
      </c>
      <c r="BH530" s="77">
        <f t="shared" si="321"/>
        <v>171.99913043478264</v>
      </c>
      <c r="BI530" s="78">
        <f t="shared" si="322"/>
        <v>0.25</v>
      </c>
      <c r="BJ530" s="79">
        <f t="shared" si="323"/>
        <v>0.14618435191850335</v>
      </c>
      <c r="BK530" s="80">
        <f t="shared" si="324"/>
        <v>251.14999999999998</v>
      </c>
      <c r="BL530" s="80">
        <f t="shared" si="325"/>
        <v>42.999130434782614</v>
      </c>
      <c r="BM530" s="79">
        <f t="shared" si="326"/>
        <v>0.14618139571320674</v>
      </c>
      <c r="BN530" s="81">
        <f t="shared" si="327"/>
        <v>0.73295454545454541</v>
      </c>
      <c r="BO530" s="82">
        <f t="shared" si="328"/>
        <v>129</v>
      </c>
      <c r="BP530" s="81">
        <f t="shared" si="329"/>
        <v>0.73295454545454541</v>
      </c>
      <c r="BQ530" s="81">
        <f t="shared" si="330"/>
        <v>0.88988729128014832</v>
      </c>
      <c r="BR530" s="81">
        <f t="shared" si="331"/>
        <v>1.1342005323868678</v>
      </c>
      <c r="BS530" s="82">
        <f t="shared" si="332"/>
        <v>176</v>
      </c>
      <c r="BT530" s="82">
        <f t="shared" si="333"/>
        <v>199.61929370008875</v>
      </c>
      <c r="BU530" s="82">
        <f t="shared" si="334"/>
        <v>171.99913043478261</v>
      </c>
      <c r="BW530" s="82">
        <f>IFERROR(INDEX('Infos Clientes'!$T:$T,MATCH('Detalhe Por UC'!$C530,'Infos Clientes'!B:B,0)),"")</f>
        <v>249.81818181818181</v>
      </c>
      <c r="BX530" s="83">
        <f t="shared" si="335"/>
        <v>0</v>
      </c>
      <c r="BY530" s="84">
        <f t="shared" si="336"/>
        <v>0.21540568367797763</v>
      </c>
      <c r="BZ530" s="85">
        <f>IF(_xlfn.MINIFS('Detalhe Por UC'!R:R,'Detalhe Por UC'!C:C,C530,'Detalhe Por UC'!AD:AD,"&gt;"&amp;0)=0,"",_xlfn.MINIFS('Detalhe Por UC'!R:R,'Detalhe Por UC'!C:C,C530,'Detalhe Por UC'!AD:AD,"&gt;"&amp;0))</f>
        <v>45658</v>
      </c>
      <c r="CA530" s="114">
        <f ca="1">IF(OR(S530&gt;0,AD530&gt;0),IFERROR(
SUMIFS(INDIRECT("'Infos Clientes'!$W"&amp;INDEX('Infos Clientes'!$C:$C,MATCH(C530,'Infos Clientes'!$H:$H,0))&amp;":$CZ"&amp;INDEX('Infos Clientes'!$C:$C,MATCH(C530,'Infos Clientes'!$H:$H,0))),'Infos Clientes'!$W$2:$CZ$2,"&gt;"&amp;$R530-365,'Infos Clientes'!$W$2:$CZ$2,"&lt;="&amp;$R530)/
COUNTIFS(INDIRECT("'Infos Clientes'!$W"&amp;INDEX('Infos Clientes'!$C:$C,MATCH(C530,'Infos Clientes'!$H:$H,0))&amp;":$CZ"&amp;INDEX('Infos Clientes'!$C:$C,MATCH(C530,'Infos Clientes'!$H:$H,0))),"&gt;="&amp;0,'Infos Clientes'!$W$2:$CZ$2,"&gt;"&amp;$R530-365,'Infos Clientes'!$W$2:$CZ$2,"&lt;="&amp;$R530),""),"")</f>
        <v>283.83333333333331</v>
      </c>
      <c r="CB530" s="87">
        <f>VLOOKUP(C530,'Infos Clientes'!B:L,11,0)</f>
        <v>0</v>
      </c>
      <c r="CC530" s="88" t="str">
        <f t="shared" si="337"/>
        <v>A Unidade Consumidora 10/395471-6 economizou R$43 na fatura referente à mai/2025  consumindo 176 kWh em créditos de energia renovável conforme fatura de energia. A economia foi de 25% em relação ao que seria pago para a Energisa considerando os créditos consumidos. Atenção: Mantenha as contas da Energisa em dia para evitar cortes.</v>
      </c>
      <c r="CD530" s="40" t="s">
        <v>249</v>
      </c>
      <c r="CE530" s="18">
        <v>122.15</v>
      </c>
      <c r="CF530" s="115">
        <f t="shared" si="338"/>
        <v>0</v>
      </c>
      <c r="CG530" t="s">
        <v>358</v>
      </c>
    </row>
    <row r="531" spans="1:85" ht="16.2" hidden="1" customHeight="1" x14ac:dyDescent="0.3">
      <c r="A531" s="105" t="str">
        <f>INDEX('Infos Clientes'!$D:$D,MATCH('Detalhe Por UC'!C531,'Infos Clientes'!B:B,0))</f>
        <v>IGREJA DO EVANGELHO QUADRANGULAR</v>
      </c>
      <c r="B531" s="106" t="str">
        <f>INDEX('Infos Clientes'!$F:$F,MATCH('Detalhe Por UC'!C531,'Infos Clientes'!B:B,0))</f>
        <v>62.955.505/0155-12</v>
      </c>
      <c r="C531" s="44" t="s">
        <v>189</v>
      </c>
      <c r="D531" t="s">
        <v>351</v>
      </c>
      <c r="E531" s="1" t="s">
        <v>352</v>
      </c>
      <c r="F531" s="56" t="str">
        <f>INDEX('Infos Clientes'!$I:$I,MATCH('Detalhe Por UC'!C531,'Infos Clientes'!B:B,0))</f>
        <v>BT</v>
      </c>
      <c r="G531" s="56" t="str">
        <f>INDEX('Infos Clientes'!$J:$J,MATCH('Detalhe Por UC'!C531,'Infos Clientes'!B:B,0))</f>
        <v>bifasico</v>
      </c>
      <c r="H531" s="108" t="s">
        <v>138</v>
      </c>
      <c r="I531" s="58">
        <f>IFERROR(VLOOKUP(C531,'Infos Clientes'!B:E,4,),"")</f>
        <v>358</v>
      </c>
      <c r="J531" s="109">
        <v>0.25</v>
      </c>
      <c r="K531" s="59">
        <f>INDEX('Infos Clientes'!$M:$M,MATCH('Detalhe Por UC'!C531,'Infos Clientes'!B:B,0))</f>
        <v>0.25</v>
      </c>
      <c r="L531" s="125">
        <v>0</v>
      </c>
      <c r="M531" s="56">
        <f>INDEX('Infos Clientes'!$N:$N,MATCH('Detalhe Por UC'!C531,'Infos Clientes'!B:B,0))</f>
        <v>0</v>
      </c>
      <c r="N531" s="56">
        <f t="shared" si="303"/>
        <v>0</v>
      </c>
      <c r="O531" s="56">
        <f t="shared" si="304"/>
        <v>8</v>
      </c>
      <c r="P531" s="56">
        <f t="shared" si="339"/>
        <v>0</v>
      </c>
      <c r="Q531" s="61">
        <f>IFERROR(IFERROR(INDEX('Infos Clientes'!$A$2:$V$9884,MATCH($C531,'Infos Clientes'!$B$2:$B$9884,0),MATCH(Q$8,'Infos Clientes'!$A$2:$V$2,0)),"")
+IF(OR(INDEX('Infos Clientes'!$A$2:$V$9884,MATCH($C531,'Infos Clientes'!$B$2:$B$9884,0),MATCH("Tempo de Fidelidade (meses)",'Infos Clientes'!$A$2:$V$2,0))=0,R531&gt;=MAX(R:R)),0,
ROUND((MAX(R:R)-R531)/(365/12),0)),"")</f>
        <v>0</v>
      </c>
      <c r="R531" s="111">
        <v>45778</v>
      </c>
      <c r="S531" s="63">
        <v>0.01</v>
      </c>
      <c r="T531" s="113" t="str">
        <f>IF($H531="GIROSSOL II",AP531/INDEX('Resumo Operacional'!$A$1:$P$1103,17,MATCH('Detalhe Por UC'!$R531,'Resumo Operacional'!$A$1:$P$1,0)),
IF($H531="GIROSSOL II e III",AP531/INDEX('Resumo Operacional'!$A$1:$P$1103,17,MATCH('Detalhe Por UC'!$R531,'Resumo Operacional'!$A$1:$P$1,0)),
""))</f>
        <v/>
      </c>
      <c r="U531" s="113">
        <f>IF($H531="GIROSSOL III",AP531/INDEX('Resumo Operacional'!$A$1:$P$1103,53,MATCH('Detalhe Por UC'!$R531,'Resumo Operacional'!$A$1:$P$1,0)),
IF($H531="GIROSSOL II e III",AP531/INDEX('Resumo Operacional'!$A$1:$P$1103,53,MATCH('Detalhe Por UC'!$R531,'Resumo Operacional'!$A$1:$P$1,0)),
""))</f>
        <v>1.298373881255515E-2</v>
      </c>
      <c r="V531" s="45"/>
      <c r="X531" s="18">
        <v>1.1307096994535519</v>
      </c>
      <c r="Y531" s="18">
        <v>0</v>
      </c>
      <c r="Z531" s="18">
        <v>0.97378519417475728</v>
      </c>
      <c r="AA531" s="18">
        <v>0</v>
      </c>
      <c r="AB531" s="143">
        <v>183</v>
      </c>
      <c r="AC531" s="143">
        <v>0</v>
      </c>
      <c r="AD531" s="143">
        <v>103</v>
      </c>
      <c r="AE531" s="35"/>
      <c r="AF531" s="143">
        <v>0</v>
      </c>
      <c r="AG531" s="143">
        <v>0</v>
      </c>
      <c r="AH531" s="48">
        <v>79.540000000000006</v>
      </c>
      <c r="AI531" s="143">
        <v>0</v>
      </c>
      <c r="AJ531" s="143">
        <v>0</v>
      </c>
      <c r="AN531" s="71">
        <f t="shared" si="305"/>
        <v>0</v>
      </c>
      <c r="AO531" s="71">
        <f t="shared" si="306"/>
        <v>0</v>
      </c>
      <c r="AP531" s="71">
        <f t="shared" si="307"/>
        <v>103</v>
      </c>
      <c r="AQ531" s="72">
        <f>IF(OR($H531="GIROSSOL II",$H531="GIROSSOL II e III"),INDEX('Resumo Operacional'!$A$1:$P$1103,MATCH("Energia Injetada prevista total Fatura da Usina (TUSD)",'Resumo Operacional'!$B$1:$B$1103,0),MATCH('Detalhe Por UC'!$R531,'Resumo Operacional'!$A$1:$P$1,0))*$S531,INDEX('Resumo Operacional'!$A$1:$P$1103,53,MATCH('Detalhe Por UC'!$R531,'Resumo Operacional'!$A$1:$P$1,0))*$S531)</f>
        <v>79.33</v>
      </c>
      <c r="AR531" s="71">
        <f t="shared" si="308"/>
        <v>23.67</v>
      </c>
      <c r="AS531" s="73">
        <f t="shared" si="309"/>
        <v>186.16</v>
      </c>
      <c r="AT531" s="74">
        <f t="shared" si="310"/>
        <v>186.16</v>
      </c>
      <c r="AU531" s="74">
        <f t="shared" si="311"/>
        <v>0.81686068889596264</v>
      </c>
      <c r="AV531" s="74">
        <f t="shared" si="312"/>
        <v>75.224906249999989</v>
      </c>
      <c r="AW531" s="74">
        <f t="shared" si="313"/>
        <v>0</v>
      </c>
      <c r="AX531" s="74">
        <f t="shared" si="314"/>
        <v>100.299875</v>
      </c>
      <c r="AY531" s="74">
        <f t="shared" si="315"/>
        <v>75.22</v>
      </c>
      <c r="AZ531" s="49">
        <v>75.22</v>
      </c>
      <c r="BA531" s="49">
        <v>75.22</v>
      </c>
      <c r="BB531" s="117">
        <v>75.22</v>
      </c>
      <c r="BC531" s="73" t="str">
        <f t="shared" si="316"/>
        <v/>
      </c>
      <c r="BD531" s="73">
        <f t="shared" si="317"/>
        <v>286.45987500000001</v>
      </c>
      <c r="BE531" s="73">
        <f t="shared" si="318"/>
        <v>261.38490624999997</v>
      </c>
      <c r="BF531" s="77">
        <f t="shared" si="319"/>
        <v>25.07</v>
      </c>
      <c r="BG531" s="77">
        <f t="shared" si="320"/>
        <v>7.5209999999999999</v>
      </c>
      <c r="BH531" s="77">
        <f t="shared" si="321"/>
        <v>100.29987499999999</v>
      </c>
      <c r="BI531" s="78">
        <f t="shared" si="322"/>
        <v>0.25</v>
      </c>
      <c r="BJ531" s="79">
        <f t="shared" si="323"/>
        <v>8.7516619910554663E-2</v>
      </c>
      <c r="BK531" s="80">
        <f t="shared" si="324"/>
        <v>261.38</v>
      </c>
      <c r="BL531" s="80">
        <f t="shared" si="325"/>
        <v>25.079875000000015</v>
      </c>
      <c r="BM531" s="79">
        <f t="shared" si="326"/>
        <v>8.7551092452302484E-2</v>
      </c>
      <c r="BN531" s="81">
        <f t="shared" si="327"/>
        <v>0.73029126213592233</v>
      </c>
      <c r="BO531" s="82">
        <f t="shared" si="328"/>
        <v>75.22</v>
      </c>
      <c r="BP531" s="81">
        <f t="shared" si="329"/>
        <v>0.73029126213592233</v>
      </c>
      <c r="BQ531" s="81">
        <f t="shared" si="330"/>
        <v>0.88721576741471697</v>
      </c>
      <c r="BR531" s="81">
        <f t="shared" si="331"/>
        <v>1.1307096994535519</v>
      </c>
      <c r="BS531" s="82">
        <f t="shared" si="332"/>
        <v>103</v>
      </c>
      <c r="BT531" s="82">
        <f t="shared" si="333"/>
        <v>116.46309904371584</v>
      </c>
      <c r="BU531" s="82">
        <f t="shared" si="334"/>
        <v>100.299875</v>
      </c>
      <c r="BW531" s="82">
        <f>IFERROR(INDEX('Infos Clientes'!$T:$T,MATCH('Detalhe Por UC'!$C531,'Infos Clientes'!B:B,0)),"")</f>
        <v>164.36363636363637</v>
      </c>
      <c r="BX531" s="83">
        <f t="shared" si="335"/>
        <v>0</v>
      </c>
      <c r="BY531" s="84">
        <f t="shared" si="336"/>
        <v>0.2153461071011511</v>
      </c>
      <c r="BZ531" s="85">
        <f>IF(_xlfn.MINIFS('Detalhe Por UC'!R:R,'Detalhe Por UC'!C:C,C531,'Detalhe Por UC'!AD:AD,"&gt;"&amp;0)=0,"",_xlfn.MINIFS('Detalhe Por UC'!R:R,'Detalhe Por UC'!C:C,C531,'Detalhe Por UC'!AD:AD,"&gt;"&amp;0))</f>
        <v>45658</v>
      </c>
      <c r="CA531" s="114">
        <f ca="1">IF(OR(S531&gt;0,AD531&gt;0),IFERROR(
SUMIFS(INDIRECT("'Infos Clientes'!$W"&amp;INDEX('Infos Clientes'!$C:$C,MATCH(C531,'Infos Clientes'!$H:$H,0))&amp;":$CZ"&amp;INDEX('Infos Clientes'!$C:$C,MATCH(C531,'Infos Clientes'!$H:$H,0))),'Infos Clientes'!$W$2:$CZ$2,"&gt;"&amp;$R531-365,'Infos Clientes'!$W$2:$CZ$2,"&lt;="&amp;$R531)/
COUNTIFS(INDIRECT("'Infos Clientes'!$W"&amp;INDEX('Infos Clientes'!$C:$C,MATCH(C531,'Infos Clientes'!$H:$H,0))&amp;":$CZ"&amp;INDEX('Infos Clientes'!$C:$C,MATCH(C531,'Infos Clientes'!$H:$H,0))),"&gt;="&amp;0,'Infos Clientes'!$W$2:$CZ$2,"&gt;"&amp;$R531-365,'Infos Clientes'!$W$2:$CZ$2,"&lt;="&amp;$R531),""),"")</f>
        <v>177.16666666666666</v>
      </c>
      <c r="CB531" s="87">
        <f>VLOOKUP(C531,'Infos Clientes'!B:L,11,0)</f>
        <v>0</v>
      </c>
      <c r="CC531" s="88" t="str">
        <f t="shared" si="337"/>
        <v>A Unidade Consumidora 10/3125732-2 economizou R$25,07 na fatura referente à mai/2025  consumindo 103 kWh em créditos de energia renovável conforme fatura de energia. A economia foi de 25% em relação ao que seria pago para a Energisa considerando os créditos consumidos. Atenção: Mantenha as contas da Energisa em dia para evitar cortes.</v>
      </c>
      <c r="CD531" s="40" t="s">
        <v>159</v>
      </c>
      <c r="CE531" s="18">
        <v>186.16</v>
      </c>
      <c r="CF531" s="115">
        <f t="shared" si="338"/>
        <v>0</v>
      </c>
    </row>
    <row r="532" spans="1:85" ht="16.2" hidden="1" customHeight="1" x14ac:dyDescent="0.3">
      <c r="A532" s="105" t="str">
        <f>INDEX('Infos Clientes'!$D:$D,MATCH('Detalhe Por UC'!C532,'Infos Clientes'!B:B,0))</f>
        <v>IGREJA DO EVANGELHO QUADRANGULAR</v>
      </c>
      <c r="B532" s="106" t="str">
        <f>INDEX('Infos Clientes'!$F:$F,MATCH('Detalhe Por UC'!C532,'Infos Clientes'!B:B,0))</f>
        <v>62.955.505/1355-00</v>
      </c>
      <c r="C532" s="107" t="s">
        <v>245</v>
      </c>
      <c r="D532" t="s">
        <v>351</v>
      </c>
      <c r="E532" s="1" t="s">
        <v>352</v>
      </c>
      <c r="F532" s="56" t="str">
        <f>INDEX('Infos Clientes'!$I:$I,MATCH('Detalhe Por UC'!C532,'Infos Clientes'!B:B,0))</f>
        <v>BT</v>
      </c>
      <c r="G532" s="56">
        <f>INDEX('Infos Clientes'!$J:$J,MATCH('Detalhe Por UC'!C532,'Infos Clientes'!B:B,0))</f>
        <v>0</v>
      </c>
      <c r="H532" s="108" t="s">
        <v>138</v>
      </c>
      <c r="I532" s="58">
        <f>IFERROR(VLOOKUP(C532,'Infos Clientes'!B:E,4,),"")</f>
        <v>0</v>
      </c>
      <c r="J532" s="109">
        <v>0.25</v>
      </c>
      <c r="K532" s="59">
        <f>INDEX('Infos Clientes'!$M:$M,MATCH('Detalhe Por UC'!C532,'Infos Clientes'!B:B,0))</f>
        <v>0.25</v>
      </c>
      <c r="L532" s="125">
        <v>0</v>
      </c>
      <c r="M532" s="56">
        <f>INDEX('Infos Clientes'!$N:$N,MATCH('Detalhe Por UC'!C532,'Infos Clientes'!B:B,0))</f>
        <v>0</v>
      </c>
      <c r="N532" s="56">
        <f t="shared" si="303"/>
        <v>0</v>
      </c>
      <c r="O532" s="56">
        <f t="shared" si="304"/>
        <v>0</v>
      </c>
      <c r="P532" s="56">
        <f t="shared" si="339"/>
        <v>0</v>
      </c>
      <c r="Q532" s="61">
        <f>IFERROR(IFERROR(INDEX('Infos Clientes'!$A$2:$V$9884,MATCH($C532,'Infos Clientes'!$B$2:$B$9884,0),MATCH(Q$8,'Infos Clientes'!$A$2:$V$2,0)),"")
+IF(OR(INDEX('Infos Clientes'!$A$2:$V$9884,MATCH($C532,'Infos Clientes'!$B$2:$B$9884,0),MATCH("Tempo de Fidelidade (meses)",'Infos Clientes'!$A$2:$V$2,0))=0,R532&gt;=MAX(R:R)),0,
ROUND((MAX(R:R)-R532)/(365/12),0)),"")</f>
        <v>0</v>
      </c>
      <c r="R532" s="111">
        <v>45778</v>
      </c>
      <c r="S532" s="63">
        <v>0</v>
      </c>
      <c r="T532" s="113" t="str">
        <f>IF($H532="GIROSSOL II",AP532/INDEX('Resumo Operacional'!$A$1:$P$1103,17,MATCH('Detalhe Por UC'!$R532,'Resumo Operacional'!$A$1:$P$1,0)),
IF($H532="GIROSSOL II e III",AP532/INDEX('Resumo Operacional'!$A$1:$P$1103,17,MATCH('Detalhe Por UC'!$R532,'Resumo Operacional'!$A$1:$P$1,0)),
""))</f>
        <v/>
      </c>
      <c r="U532" s="113">
        <f>IF($H532="GIROSSOL III",AP532/INDEX('Resumo Operacional'!$A$1:$P$1103,53,MATCH('Detalhe Por UC'!$R532,'Resumo Operacional'!$A$1:$P$1,0)),
IF($H532="GIROSSOL II e III",AP532/INDEX('Resumo Operacional'!$A$1:$P$1103,53,MATCH('Detalhe Por UC'!$R532,'Resumo Operacional'!$A$1:$P$1,0)),
""))</f>
        <v>0</v>
      </c>
      <c r="V532" s="45"/>
      <c r="X532" s="18"/>
      <c r="Y532" s="18"/>
      <c r="Z532" s="18"/>
      <c r="AA532" s="18"/>
      <c r="AB532" s="143"/>
      <c r="AC532" s="143"/>
      <c r="AD532" s="143"/>
      <c r="AE532" s="35"/>
      <c r="AF532" s="143"/>
      <c r="AG532" s="143"/>
      <c r="AH532" s="48"/>
      <c r="AI532" s="143"/>
      <c r="AJ532" s="143"/>
      <c r="AN532" s="71" t="str">
        <f t="shared" si="305"/>
        <v/>
      </c>
      <c r="AO532" s="71" t="str">
        <f t="shared" si="306"/>
        <v/>
      </c>
      <c r="AP532" s="71">
        <f t="shared" si="307"/>
        <v>0</v>
      </c>
      <c r="AQ532" s="72">
        <f>IF(OR($H532="GIROSSOL II",$H532="GIROSSOL II e III"),INDEX('Resumo Operacional'!$A$1:$P$1103,MATCH("Energia Injetada prevista total Fatura da Usina (TUSD)",'Resumo Operacional'!$B$1:$B$1103,0),MATCH('Detalhe Por UC'!$R532,'Resumo Operacional'!$A$1:$P$1,0))*$S532,INDEX('Resumo Operacional'!$A$1:$P$1103,53,MATCH('Detalhe Por UC'!$R532,'Resumo Operacional'!$A$1:$P$1,0))*$S532)</f>
        <v>0</v>
      </c>
      <c r="AR532" s="71" t="str">
        <f t="shared" si="308"/>
        <v/>
      </c>
      <c r="AS532" s="73">
        <f t="shared" si="309"/>
        <v>0</v>
      </c>
      <c r="AT532" s="74">
        <f t="shared" si="310"/>
        <v>0</v>
      </c>
      <c r="AU532" s="74" t="str">
        <f t="shared" si="311"/>
        <v/>
      </c>
      <c r="AV532" s="74">
        <f t="shared" si="312"/>
        <v>0</v>
      </c>
      <c r="AW532" s="74">
        <f t="shared" si="313"/>
        <v>0</v>
      </c>
      <c r="AX532" s="74">
        <f t="shared" si="314"/>
        <v>0</v>
      </c>
      <c r="AY532" s="74" t="str">
        <f t="shared" si="315"/>
        <v/>
      </c>
      <c r="BA532" s="49">
        <v>0</v>
      </c>
      <c r="BC532" s="73" t="str">
        <f t="shared" si="316"/>
        <v/>
      </c>
      <c r="BD532" s="73">
        <f t="shared" si="317"/>
        <v>0</v>
      </c>
      <c r="BE532" s="73">
        <f t="shared" si="318"/>
        <v>0</v>
      </c>
      <c r="BF532" s="77">
        <f t="shared" si="319"/>
        <v>0</v>
      </c>
      <c r="BG532" s="77">
        <f t="shared" si="320"/>
        <v>0</v>
      </c>
      <c r="BH532" s="77">
        <f t="shared" si="321"/>
        <v>0</v>
      </c>
      <c r="BI532" s="78" t="str">
        <f t="shared" si="322"/>
        <v/>
      </c>
      <c r="BJ532" s="79" t="str">
        <f t="shared" si="323"/>
        <v/>
      </c>
      <c r="BK532" s="80" t="str">
        <f t="shared" si="324"/>
        <v/>
      </c>
      <c r="BL532" s="80" t="str">
        <f t="shared" si="325"/>
        <v/>
      </c>
      <c r="BM532" s="79" t="str">
        <f t="shared" si="326"/>
        <v/>
      </c>
      <c r="BN532" s="81" t="str">
        <f t="shared" si="327"/>
        <v/>
      </c>
      <c r="BO532" s="82" t="str">
        <f t="shared" si="328"/>
        <v/>
      </c>
      <c r="BP532" s="81" t="str">
        <f t="shared" si="329"/>
        <v/>
      </c>
      <c r="BQ532" s="81" t="str">
        <f t="shared" si="330"/>
        <v/>
      </c>
      <c r="BR532" s="81" t="str">
        <f t="shared" si="331"/>
        <v/>
      </c>
      <c r="BS532" s="82">
        <f t="shared" si="332"/>
        <v>0</v>
      </c>
      <c r="BT532" s="82" t="str">
        <f t="shared" si="333"/>
        <v/>
      </c>
      <c r="BU532" s="82">
        <f t="shared" si="334"/>
        <v>0</v>
      </c>
      <c r="BW532" s="82">
        <f>IFERROR(INDEX('Infos Clientes'!$T:$T,MATCH('Detalhe Por UC'!$C532,'Infos Clientes'!B:B,0)),"")</f>
        <v>0</v>
      </c>
      <c r="BX532" s="83">
        <f t="shared" si="335"/>
        <v>0</v>
      </c>
      <c r="BY532" s="84" t="str">
        <f t="shared" si="336"/>
        <v/>
      </c>
      <c r="BZ532" s="85" t="str">
        <f>IF(_xlfn.MINIFS('Detalhe Por UC'!R:R,'Detalhe Por UC'!C:C,C532,'Detalhe Por UC'!AD:AD,"&gt;"&amp;0)=0,"",_xlfn.MINIFS('Detalhe Por UC'!R:R,'Detalhe Por UC'!C:C,C532,'Detalhe Por UC'!AD:AD,"&gt;"&amp;0))</f>
        <v/>
      </c>
      <c r="CA532" s="114" t="str">
        <f ca="1">IF(OR(S532&gt;0,AD532&gt;0),IFERROR(
SUMIFS(INDIRECT("'Infos Clientes'!$W"&amp;INDEX('Infos Clientes'!$C:$C,MATCH(C532,'Infos Clientes'!$H:$H,0))&amp;":$CZ"&amp;INDEX('Infos Clientes'!$C:$C,MATCH(C532,'Infos Clientes'!$H:$H,0))),'Infos Clientes'!$W$2:$CZ$2,"&gt;"&amp;$R532-365,'Infos Clientes'!$W$2:$CZ$2,"&lt;="&amp;$R532)/
COUNTIFS(INDIRECT("'Infos Clientes'!$W"&amp;INDEX('Infos Clientes'!$C:$C,MATCH(C532,'Infos Clientes'!$H:$H,0))&amp;":$CZ"&amp;INDEX('Infos Clientes'!$C:$C,MATCH(C532,'Infos Clientes'!$H:$H,0))),"&gt;="&amp;0,'Infos Clientes'!$W$2:$CZ$2,"&gt;"&amp;$R532-365,'Infos Clientes'!$W$2:$CZ$2,"&lt;="&amp;$R532),""),"")</f>
        <v/>
      </c>
      <c r="CB532" s="87">
        <f>VLOOKUP(C532,'Infos Clientes'!B:L,11,0)</f>
        <v>0</v>
      </c>
      <c r="CC532" s="88" t="str">
        <f t="shared" si="337"/>
        <v>A Unidade Consumidora 10/2344751-9 economizou R$0 na fatura referente à mai/2025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532" s="40" t="s">
        <v>78</v>
      </c>
      <c r="CE532" s="18"/>
      <c r="CF532" s="115">
        <f t="shared" si="338"/>
        <v>0</v>
      </c>
    </row>
    <row r="533" spans="1:85" ht="16.2" hidden="1" customHeight="1" x14ac:dyDescent="0.3">
      <c r="A533" s="105" t="str">
        <f>INDEX('Infos Clientes'!$D:$D,MATCH('Detalhe Por UC'!C533,'Infos Clientes'!B:B,0))</f>
        <v>IGREJA DO EVANGELHO QUADRANGULAR</v>
      </c>
      <c r="B533" s="106" t="str">
        <f>INDEX('Infos Clientes'!$F:$F,MATCH('Detalhe Por UC'!C533,'Infos Clientes'!B:B,0))</f>
        <v>62.955.505/0160-80</v>
      </c>
      <c r="C533" s="107" t="s">
        <v>190</v>
      </c>
      <c r="D533" t="s">
        <v>351</v>
      </c>
      <c r="E533" s="1" t="s">
        <v>352</v>
      </c>
      <c r="F533" s="56" t="str">
        <f>INDEX('Infos Clientes'!$I:$I,MATCH('Detalhe Por UC'!C533,'Infos Clientes'!B:B,0))</f>
        <v>BT</v>
      </c>
      <c r="G533" s="56" t="str">
        <f>INDEX('Infos Clientes'!$J:$J,MATCH('Detalhe Por UC'!C533,'Infos Clientes'!B:B,0))</f>
        <v>bifasico</v>
      </c>
      <c r="H533" s="108" t="s">
        <v>138</v>
      </c>
      <c r="I533" s="58">
        <f>IFERROR(VLOOKUP(C533,'Infos Clientes'!B:E,4,),"")</f>
        <v>357</v>
      </c>
      <c r="J533" s="109">
        <v>0.25</v>
      </c>
      <c r="K533" s="59">
        <f>INDEX('Infos Clientes'!$M:$M,MATCH('Detalhe Por UC'!C533,'Infos Clientes'!B:B,0))</f>
        <v>0.25</v>
      </c>
      <c r="L533" s="125">
        <v>0</v>
      </c>
      <c r="M533" s="56">
        <f>INDEX('Infos Clientes'!$N:$N,MATCH('Detalhe Por UC'!C533,'Infos Clientes'!B:B,0))</f>
        <v>0</v>
      </c>
      <c r="N533" s="56">
        <f t="shared" si="303"/>
        <v>0</v>
      </c>
      <c r="O533" s="56">
        <f t="shared" si="304"/>
        <v>3</v>
      </c>
      <c r="P533" s="56">
        <f t="shared" si="339"/>
        <v>0</v>
      </c>
      <c r="Q533" s="61">
        <f>IFERROR(IFERROR(INDEX('Infos Clientes'!$A$2:$V$9884,MATCH($C533,'Infos Clientes'!$B$2:$B$9884,0),MATCH(Q$8,'Infos Clientes'!$A$2:$V$2,0)),"")
+IF(OR(INDEX('Infos Clientes'!$A$2:$V$9884,MATCH($C533,'Infos Clientes'!$B$2:$B$9884,0),MATCH("Tempo de Fidelidade (meses)",'Infos Clientes'!$A$2:$V$2,0))=0,R533&gt;=MAX(R:R)),0,
ROUND((MAX(R:R)-R533)/(365/12),0)),"")</f>
        <v>0</v>
      </c>
      <c r="R533" s="111">
        <v>45778</v>
      </c>
      <c r="S533" s="63">
        <v>0.01</v>
      </c>
      <c r="T533" s="113" t="str">
        <f>IF($H533="GIROSSOL II",AP533/INDEX('Resumo Operacional'!$A$1:$P$1103,17,MATCH('Detalhe Por UC'!$R533,'Resumo Operacional'!$A$1:$P$1,0)),
IF($H533="GIROSSOL II e III",AP533/INDEX('Resumo Operacional'!$A$1:$P$1103,17,MATCH('Detalhe Por UC'!$R533,'Resumo Operacional'!$A$1:$P$1,0)),
""))</f>
        <v/>
      </c>
      <c r="U533" s="113">
        <f>IF($H533="GIROSSOL III",AP533/INDEX('Resumo Operacional'!$A$1:$P$1103,53,MATCH('Detalhe Por UC'!$R533,'Resumo Operacional'!$A$1:$P$1,0)),
IF($H533="GIROSSOL II e III",AP533/INDEX('Resumo Operacional'!$A$1:$P$1103,53,MATCH('Detalhe Por UC'!$R533,'Resumo Operacional'!$A$1:$P$1,0)),
""))</f>
        <v>0</v>
      </c>
      <c r="V533" s="45"/>
      <c r="X533" s="18"/>
      <c r="Y533" s="18"/>
      <c r="Z533" s="18"/>
      <c r="AA533" s="18"/>
      <c r="AB533" s="143"/>
      <c r="AC533" s="143"/>
      <c r="AD533" s="143"/>
      <c r="AE533" s="35"/>
      <c r="AF533" s="143"/>
      <c r="AG533" s="143"/>
      <c r="AH533" s="48"/>
      <c r="AI533" s="143"/>
      <c r="AJ533" s="143"/>
      <c r="AN533" s="71" t="str">
        <f t="shared" si="305"/>
        <v/>
      </c>
      <c r="AO533" s="71" t="str">
        <f t="shared" si="306"/>
        <v/>
      </c>
      <c r="AP533" s="71">
        <f t="shared" si="307"/>
        <v>0</v>
      </c>
      <c r="AQ533" s="72">
        <f>IF(OR($H533="GIROSSOL II",$H533="GIROSSOL II e III"),INDEX('Resumo Operacional'!$A$1:$P$1103,MATCH("Energia Injetada prevista total Fatura da Usina (TUSD)",'Resumo Operacional'!$B$1:$B$1103,0),MATCH('Detalhe Por UC'!$R533,'Resumo Operacional'!$A$1:$P$1,0))*$S533,INDEX('Resumo Operacional'!$A$1:$P$1103,53,MATCH('Detalhe Por UC'!$R533,'Resumo Operacional'!$A$1:$P$1,0))*$S533)</f>
        <v>79.33</v>
      </c>
      <c r="AR533" s="71" t="str">
        <f t="shared" si="308"/>
        <v/>
      </c>
      <c r="AS533" s="73">
        <f t="shared" si="309"/>
        <v>0</v>
      </c>
      <c r="AT533" s="74">
        <f t="shared" si="310"/>
        <v>0</v>
      </c>
      <c r="AU533" s="74" t="str">
        <f t="shared" si="311"/>
        <v/>
      </c>
      <c r="AV533" s="74">
        <f t="shared" si="312"/>
        <v>0</v>
      </c>
      <c r="AW533" s="74">
        <f t="shared" si="313"/>
        <v>0</v>
      </c>
      <c r="AX533" s="74">
        <f t="shared" si="314"/>
        <v>0</v>
      </c>
      <c r="AY533" s="74" t="str">
        <f t="shared" si="315"/>
        <v/>
      </c>
      <c r="BA533" s="49">
        <v>0</v>
      </c>
      <c r="BC533" s="73" t="str">
        <f t="shared" si="316"/>
        <v/>
      </c>
      <c r="BD533" s="73">
        <f t="shared" si="317"/>
        <v>0</v>
      </c>
      <c r="BE533" s="73">
        <f t="shared" si="318"/>
        <v>0</v>
      </c>
      <c r="BF533" s="77">
        <f t="shared" si="319"/>
        <v>0</v>
      </c>
      <c r="BG533" s="77">
        <f t="shared" si="320"/>
        <v>0</v>
      </c>
      <c r="BH533" s="77">
        <f t="shared" si="321"/>
        <v>0</v>
      </c>
      <c r="BI533" s="78" t="str">
        <f t="shared" si="322"/>
        <v/>
      </c>
      <c r="BJ533" s="79" t="str">
        <f t="shared" si="323"/>
        <v/>
      </c>
      <c r="BK533" s="80" t="str">
        <f t="shared" si="324"/>
        <v/>
      </c>
      <c r="BL533" s="80" t="str">
        <f t="shared" si="325"/>
        <v/>
      </c>
      <c r="BM533" s="79" t="str">
        <f t="shared" si="326"/>
        <v/>
      </c>
      <c r="BN533" s="81" t="str">
        <f t="shared" si="327"/>
        <v/>
      </c>
      <c r="BO533" s="82" t="str">
        <f t="shared" si="328"/>
        <v/>
      </c>
      <c r="BP533" s="81" t="str">
        <f t="shared" si="329"/>
        <v/>
      </c>
      <c r="BQ533" s="81" t="str">
        <f t="shared" si="330"/>
        <v/>
      </c>
      <c r="BR533" s="81" t="str">
        <f t="shared" si="331"/>
        <v/>
      </c>
      <c r="BS533" s="82">
        <f t="shared" si="332"/>
        <v>0</v>
      </c>
      <c r="BT533" s="82" t="str">
        <f t="shared" si="333"/>
        <v/>
      </c>
      <c r="BU533" s="82">
        <f t="shared" si="334"/>
        <v>0</v>
      </c>
      <c r="BW533" s="82">
        <f>IFERROR(INDEX('Infos Clientes'!$T:$T,MATCH('Detalhe Por UC'!$C533,'Infos Clientes'!B:B,0)),"")</f>
        <v>167.54545454545453</v>
      </c>
      <c r="BX533" s="83">
        <f t="shared" si="335"/>
        <v>0</v>
      </c>
      <c r="BY533" s="84" t="str">
        <f t="shared" si="336"/>
        <v/>
      </c>
      <c r="BZ533" s="85">
        <f>IF(_xlfn.MINIFS('Detalhe Por UC'!R:R,'Detalhe Por UC'!C:C,C533,'Detalhe Por UC'!AD:AD,"&gt;"&amp;0)=0,"",_xlfn.MINIFS('Detalhe Por UC'!R:R,'Detalhe Por UC'!C:C,C533,'Detalhe Por UC'!AD:AD,"&gt;"&amp;0))</f>
        <v>45658</v>
      </c>
      <c r="CA533" s="114">
        <f ca="1">IF(OR(S533&gt;0,AD533&gt;0),IFERROR(
SUMIFS(INDIRECT("'Infos Clientes'!$W"&amp;INDEX('Infos Clientes'!$C:$C,MATCH(C533,'Infos Clientes'!$H:$H,0))&amp;":$CZ"&amp;INDEX('Infos Clientes'!$C:$C,MATCH(C533,'Infos Clientes'!$H:$H,0))),'Infos Clientes'!$W$2:$CZ$2,"&gt;"&amp;$R533-365,'Infos Clientes'!$W$2:$CZ$2,"&lt;="&amp;$R533)/
COUNTIFS(INDIRECT("'Infos Clientes'!$W"&amp;INDEX('Infos Clientes'!$C:$C,MATCH(C533,'Infos Clientes'!$H:$H,0))&amp;":$CZ"&amp;INDEX('Infos Clientes'!$C:$C,MATCH(C533,'Infos Clientes'!$H:$H,0))),"&gt;="&amp;0,'Infos Clientes'!$W$2:$CZ$2,"&gt;"&amp;$R533-365,'Infos Clientes'!$W$2:$CZ$2,"&lt;="&amp;$R533),""),"")</f>
        <v>379.16666666666669</v>
      </c>
      <c r="CB533" s="87">
        <f>VLOOKUP(C533,'Infos Clientes'!B:L,11,0)</f>
        <v>0</v>
      </c>
      <c r="CC533" s="88" t="str">
        <f t="shared" si="337"/>
        <v>A Unidade Consumidora 10/31292-6 economizou R$0 na fatura referente à mai/2025  consumindo  kWh em créditos de energia renovável conforme fatura de energia. A economia foi de 25% em relação ao que seria pago para a Energisa considerando os créditos consumidos. Atenção: Mantenha as contas da Energisa em dia para evitar cortes.</v>
      </c>
      <c r="CD533" s="40"/>
      <c r="CE533" s="18"/>
      <c r="CF533" s="115">
        <f t="shared" si="338"/>
        <v>0</v>
      </c>
    </row>
    <row r="534" spans="1:85" ht="16.2" hidden="1" customHeight="1" x14ac:dyDescent="0.3">
      <c r="A534" s="105" t="str">
        <f>INDEX('Infos Clientes'!$D:$D,MATCH('Detalhe Por UC'!C534,'Infos Clientes'!B:B,0))</f>
        <v>IGREJA DO EVANGELHO QUADRANGULAR</v>
      </c>
      <c r="B534" s="106" t="str">
        <f>INDEX('Infos Clientes'!$F:$F,MATCH('Detalhe Por UC'!C534,'Infos Clientes'!B:B,0))</f>
        <v>62.955.505/0155-12</v>
      </c>
      <c r="C534" s="44" t="s">
        <v>205</v>
      </c>
      <c r="D534" t="s">
        <v>351</v>
      </c>
      <c r="E534" s="1" t="s">
        <v>352</v>
      </c>
      <c r="F534" s="56" t="str">
        <f>INDEX('Infos Clientes'!$I:$I,MATCH('Detalhe Por UC'!C534,'Infos Clientes'!B:B,0))</f>
        <v>BT</v>
      </c>
      <c r="G534" s="56" t="str">
        <f>INDEX('Infos Clientes'!$J:$J,MATCH('Detalhe Por UC'!C534,'Infos Clientes'!B:B,0))</f>
        <v>bifasico</v>
      </c>
      <c r="H534" s="108" t="s">
        <v>138</v>
      </c>
      <c r="I534" s="58">
        <f>IFERROR(VLOOKUP(C534,'Infos Clientes'!B:E,4,),"")</f>
        <v>358</v>
      </c>
      <c r="J534" s="109">
        <v>0.25</v>
      </c>
      <c r="K534" s="59">
        <f>INDEX('Infos Clientes'!$M:$M,MATCH('Detalhe Por UC'!C534,'Infos Clientes'!B:B,0))</f>
        <v>0.25</v>
      </c>
      <c r="L534" s="125">
        <v>0</v>
      </c>
      <c r="M534" s="56">
        <f>INDEX('Infos Clientes'!$N:$N,MATCH('Detalhe Por UC'!C534,'Infos Clientes'!B:B,0))</f>
        <v>0</v>
      </c>
      <c r="N534" s="56">
        <f t="shared" si="303"/>
        <v>0</v>
      </c>
      <c r="O534" s="56">
        <f t="shared" si="304"/>
        <v>10</v>
      </c>
      <c r="P534" s="56">
        <f t="shared" si="339"/>
        <v>0</v>
      </c>
      <c r="Q534" s="61">
        <f>IFERROR(IFERROR(INDEX('Infos Clientes'!$A$2:$V$9884,MATCH($C534,'Infos Clientes'!$B$2:$B$9884,0),MATCH(Q$8,'Infos Clientes'!$A$2:$V$2,0)),"")
+IF(OR(INDEX('Infos Clientes'!$A$2:$V$9884,MATCH($C534,'Infos Clientes'!$B$2:$B$9884,0),MATCH("Tempo de Fidelidade (meses)",'Infos Clientes'!$A$2:$V$2,0))=0,R534&gt;=MAX(R:R)),0,
ROUND((MAX(R:R)-R534)/(365/12),0)),"")</f>
        <v>0</v>
      </c>
      <c r="R534" s="111">
        <v>45778</v>
      </c>
      <c r="S534" s="63">
        <v>0.01</v>
      </c>
      <c r="T534" s="113" t="str">
        <f>IF($H534="GIROSSOL II",AP534/INDEX('Resumo Operacional'!$A$1:$P$1103,17,MATCH('Detalhe Por UC'!$R534,'Resumo Operacional'!$A$1:$P$1,0)),
IF($H534="GIROSSOL II e III",AP534/INDEX('Resumo Operacional'!$A$1:$P$1103,17,MATCH('Detalhe Por UC'!$R534,'Resumo Operacional'!$A$1:$P$1,0)),
""))</f>
        <v/>
      </c>
      <c r="U534" s="113">
        <f>IF($H534="GIROSSOL III",AP534/INDEX('Resumo Operacional'!$A$1:$P$1103,53,MATCH('Detalhe Por UC'!$R534,'Resumo Operacional'!$A$1:$P$1,0)),
IF($H534="GIROSSOL II e III",AP534/INDEX('Resumo Operacional'!$A$1:$P$1103,53,MATCH('Detalhe Por UC'!$R534,'Resumo Operacional'!$A$1:$P$1,0)),
""))</f>
        <v>1.298373881255515E-2</v>
      </c>
      <c r="V534" s="45"/>
      <c r="X534" s="18">
        <v>1.1257504484751846</v>
      </c>
      <c r="Y534" s="18">
        <v>0</v>
      </c>
      <c r="Z534" s="18">
        <v>0.97021589205397341</v>
      </c>
      <c r="AA534" s="18">
        <v>0</v>
      </c>
      <c r="AB534" s="143">
        <v>173</v>
      </c>
      <c r="AC534" s="143">
        <v>0</v>
      </c>
      <c r="AD534" s="143">
        <v>115</v>
      </c>
      <c r="AE534" s="35"/>
      <c r="AF534" s="143">
        <v>0</v>
      </c>
      <c r="AG534" s="143">
        <v>0</v>
      </c>
      <c r="AH534" s="48">
        <v>53.199999999999996</v>
      </c>
      <c r="AI534" s="143">
        <v>0</v>
      </c>
      <c r="AJ534" s="143">
        <v>0</v>
      </c>
      <c r="AN534" s="71">
        <f t="shared" si="305"/>
        <v>-12</v>
      </c>
      <c r="AO534" s="71">
        <f t="shared" si="306"/>
        <v>0</v>
      </c>
      <c r="AP534" s="71">
        <f t="shared" si="307"/>
        <v>103</v>
      </c>
      <c r="AQ534" s="72">
        <f>IF(OR($H534="GIROSSOL II",$H534="GIROSSOL II e III"),INDEX('Resumo Operacional'!$A$1:$P$1103,MATCH("Energia Injetada prevista total Fatura da Usina (TUSD)",'Resumo Operacional'!$B$1:$B$1103,0),MATCH('Detalhe Por UC'!$R534,'Resumo Operacional'!$A$1:$P$1,0))*$S534,INDEX('Resumo Operacional'!$A$1:$P$1103,53,MATCH('Detalhe Por UC'!$R534,'Resumo Operacional'!$A$1:$P$1,0))*$S534)</f>
        <v>79.33</v>
      </c>
      <c r="AR534" s="71">
        <f t="shared" si="308"/>
        <v>23.67</v>
      </c>
      <c r="AS534" s="73">
        <f t="shared" si="309"/>
        <v>136.38</v>
      </c>
      <c r="AT534" s="74">
        <f t="shared" si="310"/>
        <v>136.38</v>
      </c>
      <c r="AU534" s="74">
        <f t="shared" si="311"/>
        <v>0.81468133563276224</v>
      </c>
      <c r="AV534" s="74">
        <f t="shared" si="312"/>
        <v>83.681120689655202</v>
      </c>
      <c r="AW534" s="74">
        <f t="shared" si="313"/>
        <v>0</v>
      </c>
      <c r="AX534" s="74">
        <f t="shared" si="314"/>
        <v>111.57482758620694</v>
      </c>
      <c r="AY534" s="74">
        <f t="shared" si="315"/>
        <v>83.68</v>
      </c>
      <c r="AZ534" s="49">
        <v>83.68</v>
      </c>
      <c r="BA534" s="49">
        <v>83.68</v>
      </c>
      <c r="BB534" s="117">
        <v>83.68</v>
      </c>
      <c r="BC534" s="73" t="str">
        <f t="shared" si="316"/>
        <v/>
      </c>
      <c r="BD534" s="73">
        <f t="shared" si="317"/>
        <v>247.95482758620693</v>
      </c>
      <c r="BE534" s="73">
        <f t="shared" si="318"/>
        <v>220.06112068965518</v>
      </c>
      <c r="BF534" s="77">
        <f t="shared" si="319"/>
        <v>27.89</v>
      </c>
      <c r="BG534" s="77">
        <f t="shared" si="320"/>
        <v>8.3669999999999991</v>
      </c>
      <c r="BH534" s="77">
        <f t="shared" si="321"/>
        <v>111.57482758620694</v>
      </c>
      <c r="BI534" s="78">
        <f t="shared" si="322"/>
        <v>0.25</v>
      </c>
      <c r="BJ534" s="79">
        <f t="shared" si="323"/>
        <v>0.11248016532488536</v>
      </c>
      <c r="BK534" s="80">
        <f t="shared" si="324"/>
        <v>220.06</v>
      </c>
      <c r="BL534" s="80">
        <f t="shared" si="325"/>
        <v>27.894827586206929</v>
      </c>
      <c r="BM534" s="79">
        <f t="shared" si="326"/>
        <v>0.1124996349446299</v>
      </c>
      <c r="BN534" s="81">
        <f t="shared" si="327"/>
        <v>0.72765217391304349</v>
      </c>
      <c r="BO534" s="82">
        <f t="shared" si="328"/>
        <v>83.68</v>
      </c>
      <c r="BP534" s="81">
        <f t="shared" si="329"/>
        <v>0.72765217391304349</v>
      </c>
      <c r="BQ534" s="81">
        <f t="shared" si="330"/>
        <v>0.88318673033425465</v>
      </c>
      <c r="BR534" s="81">
        <f t="shared" si="331"/>
        <v>1.1257504484751846</v>
      </c>
      <c r="BS534" s="82">
        <f t="shared" si="332"/>
        <v>115</v>
      </c>
      <c r="BT534" s="82">
        <f t="shared" si="333"/>
        <v>129.46130157464623</v>
      </c>
      <c r="BU534" s="82">
        <f t="shared" si="334"/>
        <v>111.57482758620694</v>
      </c>
      <c r="BW534" s="82">
        <f>IFERROR(INDEX('Infos Clientes'!$T:$T,MATCH('Detalhe Por UC'!$C534,'Infos Clientes'!B:B,0)),"")</f>
        <v>178</v>
      </c>
      <c r="BX534" s="83">
        <f t="shared" si="335"/>
        <v>0</v>
      </c>
      <c r="BY534" s="84">
        <f t="shared" si="336"/>
        <v>0.21546846236613057</v>
      </c>
      <c r="BZ534" s="85">
        <f>IF(_xlfn.MINIFS('Detalhe Por UC'!R:R,'Detalhe Por UC'!C:C,C534,'Detalhe Por UC'!AD:AD,"&gt;"&amp;0)=0,"",_xlfn.MINIFS('Detalhe Por UC'!R:R,'Detalhe Por UC'!C:C,C534,'Detalhe Por UC'!AD:AD,"&gt;"&amp;0))</f>
        <v>45658</v>
      </c>
      <c r="CA534" s="114">
        <f ca="1">IF(OR(S534&gt;0,AD534&gt;0),IFERROR(
SUMIFS(INDIRECT("'Infos Clientes'!$W"&amp;INDEX('Infos Clientes'!$C:$C,MATCH(C534,'Infos Clientes'!$H:$H,0))&amp;":$CZ"&amp;INDEX('Infos Clientes'!$C:$C,MATCH(C534,'Infos Clientes'!$H:$H,0))),'Infos Clientes'!$W$2:$CZ$2,"&gt;"&amp;$R534-365,'Infos Clientes'!$W$2:$CZ$2,"&lt;="&amp;$R534)/
COUNTIFS(INDIRECT("'Infos Clientes'!$W"&amp;INDEX('Infos Clientes'!$C:$C,MATCH(C534,'Infos Clientes'!$H:$H,0))&amp;":$CZ"&amp;INDEX('Infos Clientes'!$C:$C,MATCH(C534,'Infos Clientes'!$H:$H,0))),"&gt;="&amp;0,'Infos Clientes'!$W$2:$CZ$2,"&gt;"&amp;$R534-365,'Infos Clientes'!$W$2:$CZ$2,"&lt;="&amp;$R534),""),"")</f>
        <v>168.25</v>
      </c>
      <c r="CB534" s="87">
        <f>VLOOKUP(C534,'Infos Clientes'!B:L,11,0)</f>
        <v>0</v>
      </c>
      <c r="CC534" s="88" t="str">
        <f t="shared" si="337"/>
        <v>A Unidade Consumidora 10/466560-0 economizou R$27,89 na fatura referente à mai/2025  consumindo 115 kWh em créditos de energia renovável conforme fatura de energia. A economia foi de 25% em relação ao que seria pago para a Energisa considerando os créditos consumidos. Atenção: Mantenha as contas da Energisa em dia para evitar cortes.</v>
      </c>
      <c r="CD534" s="40" t="s">
        <v>249</v>
      </c>
      <c r="CE534" s="18">
        <v>136.38</v>
      </c>
      <c r="CF534" s="115">
        <f t="shared" si="338"/>
        <v>0</v>
      </c>
      <c r="CG534" t="s">
        <v>357</v>
      </c>
    </row>
    <row r="535" spans="1:85" ht="16.2" hidden="1" customHeight="1" x14ac:dyDescent="0.3">
      <c r="A535" s="105" t="str">
        <f>INDEX('Infos Clientes'!$D:$D,MATCH('Detalhe Por UC'!C535,'Infos Clientes'!B:B,0))</f>
        <v>IGREJA DO EVANGELHO QUADRANGULAR</v>
      </c>
      <c r="B535" s="106" t="str">
        <f>INDEX('Infos Clientes'!$F:$F,MATCH('Detalhe Por UC'!C535,'Infos Clientes'!B:B,0))</f>
        <v>62.955.505/0001-67</v>
      </c>
      <c r="C535" s="44" t="s">
        <v>240</v>
      </c>
      <c r="D535" t="s">
        <v>351</v>
      </c>
      <c r="E535" s="1" t="s">
        <v>352</v>
      </c>
      <c r="F535" s="56" t="str">
        <f>INDEX('Infos Clientes'!$I:$I,MATCH('Detalhe Por UC'!C535,'Infos Clientes'!B:B,0))</f>
        <v>BT</v>
      </c>
      <c r="G535" s="56" t="str">
        <f>INDEX('Infos Clientes'!$J:$J,MATCH('Detalhe Por UC'!C535,'Infos Clientes'!B:B,0))</f>
        <v>trifasico</v>
      </c>
      <c r="H535" s="108" t="s">
        <v>138</v>
      </c>
      <c r="I535" s="58">
        <f>IFERROR(VLOOKUP(C535,'Infos Clientes'!B:E,4,),"")</f>
        <v>360</v>
      </c>
      <c r="J535" s="109">
        <v>0.25</v>
      </c>
      <c r="K535" s="59">
        <f>INDEX('Infos Clientes'!$M:$M,MATCH('Detalhe Por UC'!C535,'Infos Clientes'!B:B,0))</f>
        <v>0.25</v>
      </c>
      <c r="L535" s="125">
        <v>0</v>
      </c>
      <c r="M535" s="56">
        <f>INDEX('Infos Clientes'!$N:$N,MATCH('Detalhe Por UC'!C535,'Infos Clientes'!B:B,0))</f>
        <v>0</v>
      </c>
      <c r="N535" s="56">
        <f t="shared" si="303"/>
        <v>0</v>
      </c>
      <c r="O535" s="56">
        <f t="shared" si="304"/>
        <v>10</v>
      </c>
      <c r="P535" s="56">
        <f t="shared" si="339"/>
        <v>0</v>
      </c>
      <c r="Q535" s="61">
        <f>IFERROR(IFERROR(INDEX('Infos Clientes'!$A$2:$V$9884,MATCH($C535,'Infos Clientes'!$B$2:$B$9884,0),MATCH(Q$8,'Infos Clientes'!$A$2:$V$2,0)),"")
+IF(OR(INDEX('Infos Clientes'!$A$2:$V$9884,MATCH($C535,'Infos Clientes'!$B$2:$B$9884,0),MATCH("Tempo de Fidelidade (meses)",'Infos Clientes'!$A$2:$V$2,0))=0,R535&gt;=MAX(R:R)),0,
ROUND((MAX(R:R)-R535)/(365/12),0)),"")</f>
        <v>0</v>
      </c>
      <c r="R535" s="111">
        <v>45778</v>
      </c>
      <c r="S535" s="63">
        <v>0.02</v>
      </c>
      <c r="T535" s="113" t="str">
        <f>IF($H535="GIROSSOL II",AP535/INDEX('Resumo Operacional'!$A$1:$P$1103,17,MATCH('Detalhe Por UC'!$R535,'Resumo Operacional'!$A$1:$P$1,0)),
IF($H535="GIROSSOL II e III",AP535/INDEX('Resumo Operacional'!$A$1:$P$1103,17,MATCH('Detalhe Por UC'!$R535,'Resumo Operacional'!$A$1:$P$1,0)),
""))</f>
        <v/>
      </c>
      <c r="U535" s="113">
        <f>IF($H535="GIROSSOL III",AP535/INDEX('Resumo Operacional'!$A$1:$P$1103,53,MATCH('Detalhe Por UC'!$R535,'Resumo Operacional'!$A$1:$P$1,0)),
IF($H535="GIROSSOL II e III",AP535/INDEX('Resumo Operacional'!$A$1:$P$1103,53,MATCH('Detalhe Por UC'!$R535,'Resumo Operacional'!$A$1:$P$1,0)),
""))</f>
        <v>4.5884280852136645E-2</v>
      </c>
      <c r="V535" s="45"/>
      <c r="X535" s="18">
        <v>1.1322857142857143</v>
      </c>
      <c r="Y535" s="18">
        <v>0</v>
      </c>
      <c r="Z535" s="18">
        <v>0.97535714285714281</v>
      </c>
      <c r="AA535" s="18">
        <v>0</v>
      </c>
      <c r="AB535" s="143">
        <v>455</v>
      </c>
      <c r="AC535" s="143">
        <v>0</v>
      </c>
      <c r="AD535" s="143">
        <v>364</v>
      </c>
      <c r="AE535" s="35"/>
      <c r="AF535" s="143">
        <v>0</v>
      </c>
      <c r="AG535" s="143">
        <v>0</v>
      </c>
      <c r="AH535" s="48">
        <v>92.51</v>
      </c>
      <c r="AI535" s="143">
        <v>0</v>
      </c>
      <c r="AJ535" s="143">
        <v>0</v>
      </c>
      <c r="AN535" s="71">
        <f t="shared" si="305"/>
        <v>0</v>
      </c>
      <c r="AO535" s="71">
        <f t="shared" si="306"/>
        <v>0</v>
      </c>
      <c r="AP535" s="71">
        <f t="shared" si="307"/>
        <v>364</v>
      </c>
      <c r="AQ535" s="72">
        <f>IF(OR($H535="GIROSSOL II",$H535="GIROSSOL II e III"),INDEX('Resumo Operacional'!$A$1:$P$1103,MATCH("Energia Injetada prevista total Fatura da Usina (TUSD)",'Resumo Operacional'!$B$1:$B$1103,0),MATCH('Detalhe Por UC'!$R535,'Resumo Operacional'!$A$1:$P$1,0))*$S535,INDEX('Resumo Operacional'!$A$1:$P$1103,53,MATCH('Detalhe Por UC'!$R535,'Resumo Operacional'!$A$1:$P$1,0))*$S535)</f>
        <v>158.66</v>
      </c>
      <c r="AR535" s="71">
        <f t="shared" si="308"/>
        <v>205.34</v>
      </c>
      <c r="AS535" s="73">
        <f t="shared" si="309"/>
        <v>252.67000000000007</v>
      </c>
      <c r="AT535" s="74">
        <f t="shared" si="310"/>
        <v>252.67000000000007</v>
      </c>
      <c r="AU535" s="74">
        <f t="shared" si="311"/>
        <v>0.81842857142857128</v>
      </c>
      <c r="AV535" s="74">
        <f t="shared" si="312"/>
        <v>266.27249999999998</v>
      </c>
      <c r="AW535" s="74">
        <f t="shared" si="313"/>
        <v>0</v>
      </c>
      <c r="AX535" s="74">
        <f t="shared" si="314"/>
        <v>355.03</v>
      </c>
      <c r="AY535" s="74">
        <f t="shared" si="315"/>
        <v>266.27</v>
      </c>
      <c r="AZ535" s="49">
        <v>266.27</v>
      </c>
      <c r="BA535" s="49">
        <v>266.27</v>
      </c>
      <c r="BB535" s="49">
        <v>355.03</v>
      </c>
      <c r="BC535" s="73">
        <f t="shared" si="316"/>
        <v>88.759999999999991</v>
      </c>
      <c r="BD535" s="73">
        <f t="shared" si="317"/>
        <v>607.70000000000005</v>
      </c>
      <c r="BE535" s="73">
        <f t="shared" si="318"/>
        <v>518.94250000000011</v>
      </c>
      <c r="BF535" s="77">
        <f t="shared" si="319"/>
        <v>88.76</v>
      </c>
      <c r="BG535" s="77">
        <f t="shared" si="320"/>
        <v>26.628</v>
      </c>
      <c r="BH535" s="77">
        <f t="shared" si="321"/>
        <v>355.03000000000003</v>
      </c>
      <c r="BI535" s="78">
        <f t="shared" si="322"/>
        <v>0.25</v>
      </c>
      <c r="BJ535" s="79">
        <f t="shared" si="323"/>
        <v>0.14605891064670068</v>
      </c>
      <c r="BK535" s="80">
        <f t="shared" si="324"/>
        <v>518.94000000000005</v>
      </c>
      <c r="BL535" s="80">
        <f t="shared" si="325"/>
        <v>88.759999999999991</v>
      </c>
      <c r="BM535" s="79">
        <f t="shared" si="326"/>
        <v>0.14605891064670065</v>
      </c>
      <c r="BN535" s="81">
        <f t="shared" si="327"/>
        <v>0.73151098901098899</v>
      </c>
      <c r="BO535" s="82">
        <f t="shared" si="328"/>
        <v>266.27</v>
      </c>
      <c r="BP535" s="81">
        <f t="shared" si="329"/>
        <v>0.73151098901098899</v>
      </c>
      <c r="BQ535" s="81">
        <f t="shared" si="330"/>
        <v>0.88843956043956052</v>
      </c>
      <c r="BR535" s="81">
        <f t="shared" si="331"/>
        <v>1.1322857142857143</v>
      </c>
      <c r="BS535" s="82">
        <f t="shared" si="332"/>
        <v>364</v>
      </c>
      <c r="BT535" s="82">
        <f t="shared" si="333"/>
        <v>412.15200000000004</v>
      </c>
      <c r="BU535" s="82">
        <f t="shared" si="334"/>
        <v>355.03</v>
      </c>
      <c r="BW535" s="82">
        <f>IFERROR(INDEX('Infos Clientes'!$T:$T,MATCH('Detalhe Por UC'!$C535,'Infos Clientes'!B:B,0)),"")</f>
        <v>413.36363636363637</v>
      </c>
      <c r="BX535" s="83">
        <f t="shared" si="335"/>
        <v>0</v>
      </c>
      <c r="BY535" s="84">
        <f t="shared" si="336"/>
        <v>0.21535744094411768</v>
      </c>
      <c r="BZ535" s="85">
        <f>IF(_xlfn.MINIFS('Detalhe Por UC'!R:R,'Detalhe Por UC'!C:C,C535,'Detalhe Por UC'!AD:AD,"&gt;"&amp;0)=0,"",_xlfn.MINIFS('Detalhe Por UC'!R:R,'Detalhe Por UC'!C:C,C535,'Detalhe Por UC'!AD:AD,"&gt;"&amp;0))</f>
        <v>45658</v>
      </c>
      <c r="CA535" s="114">
        <f ca="1">IF(OR(S535&gt;0,AD535&gt;0),IFERROR(
SUMIFS(INDIRECT("'Infos Clientes'!$W"&amp;INDEX('Infos Clientes'!$C:$C,MATCH(C535,'Infos Clientes'!$H:$H,0))&amp;":$CZ"&amp;INDEX('Infos Clientes'!$C:$C,MATCH(C535,'Infos Clientes'!$H:$H,0))),'Infos Clientes'!$W$2:$CZ$2,"&gt;"&amp;$R535-365,'Infos Clientes'!$W$2:$CZ$2,"&lt;="&amp;$R535)/
COUNTIFS(INDIRECT("'Infos Clientes'!$W"&amp;INDEX('Infos Clientes'!$C:$C,MATCH(C535,'Infos Clientes'!$H:$H,0))&amp;":$CZ"&amp;INDEX('Infos Clientes'!$C:$C,MATCH(C535,'Infos Clientes'!$H:$H,0))),"&gt;="&amp;0,'Infos Clientes'!$W$2:$CZ$2,"&gt;"&amp;$R535-365,'Infos Clientes'!$W$2:$CZ$2,"&lt;="&amp;$R535),""),"")</f>
        <v>395.41666666666669</v>
      </c>
      <c r="CB535" s="87">
        <f>VLOOKUP(C535,'Infos Clientes'!B:L,11,0)</f>
        <v>0</v>
      </c>
      <c r="CC535" s="88" t="str">
        <f t="shared" si="337"/>
        <v>A Unidade Consumidora 10/260761-2 economizou R$88,76 na fatura referente à mai/2025  consumindo 364 kWh em créditos de energia renovável conforme fatura de energia. A economia foi de 25% em relação ao que seria pago para a Energisa considerando os créditos consumidos. Atenção: Mantenha as contas da Energisa em dia para evitar cortes.</v>
      </c>
      <c r="CD535" s="40" t="s">
        <v>56</v>
      </c>
      <c r="CE535" s="18">
        <v>252.67</v>
      </c>
      <c r="CF535" s="115">
        <f t="shared" si="338"/>
        <v>0</v>
      </c>
      <c r="CG535" t="s">
        <v>358</v>
      </c>
    </row>
    <row r="536" spans="1:85" ht="16.2" hidden="1" customHeight="1" x14ac:dyDescent="0.3">
      <c r="A536" s="105" t="str">
        <f>INDEX('Infos Clientes'!$D:$D,MATCH('Detalhe Por UC'!C536,'Infos Clientes'!B:B,0))</f>
        <v>IGREJA DO EVANGELHO QUADRANGULAR</v>
      </c>
      <c r="B536" s="106" t="str">
        <f>INDEX('Infos Clientes'!$F:$F,MATCH('Detalhe Por UC'!C536,'Infos Clientes'!B:B,0))</f>
        <v>62.955.505/3586-30</v>
      </c>
      <c r="C536" s="44" t="s">
        <v>242</v>
      </c>
      <c r="D536" t="s">
        <v>351</v>
      </c>
      <c r="E536" s="1" t="s">
        <v>352</v>
      </c>
      <c r="F536" s="56" t="str">
        <f>INDEX('Infos Clientes'!$I:$I,MATCH('Detalhe Por UC'!C536,'Infos Clientes'!B:B,0))</f>
        <v>BT</v>
      </c>
      <c r="G536" s="56" t="str">
        <f>INDEX('Infos Clientes'!$J:$J,MATCH('Detalhe Por UC'!C536,'Infos Clientes'!B:B,0))</f>
        <v>trifasico</v>
      </c>
      <c r="H536" s="108" t="s">
        <v>138</v>
      </c>
      <c r="I536" s="58">
        <f>IFERROR(VLOOKUP(C536,'Infos Clientes'!B:E,4,),"")</f>
        <v>371</v>
      </c>
      <c r="J536" s="109">
        <v>0.25</v>
      </c>
      <c r="K536" s="59">
        <f>INDEX('Infos Clientes'!$M:$M,MATCH('Detalhe Por UC'!C536,'Infos Clientes'!B:B,0))</f>
        <v>0.25</v>
      </c>
      <c r="L536" s="125">
        <v>0</v>
      </c>
      <c r="M536" s="56">
        <f>INDEX('Infos Clientes'!$N:$N,MATCH('Detalhe Por UC'!C536,'Infos Clientes'!B:B,0))</f>
        <v>0</v>
      </c>
      <c r="N536" s="56">
        <f t="shared" si="303"/>
        <v>0</v>
      </c>
      <c r="O536" s="56">
        <f t="shared" si="304"/>
        <v>7</v>
      </c>
      <c r="P536" s="56">
        <f t="shared" si="339"/>
        <v>0</v>
      </c>
      <c r="Q536" s="61">
        <f>IFERROR(IFERROR(INDEX('Infos Clientes'!$A$2:$V$9884,MATCH($C536,'Infos Clientes'!$B$2:$B$9884,0),MATCH(Q$8,'Infos Clientes'!$A$2:$V$2,0)),"")
+IF(OR(INDEX('Infos Clientes'!$A$2:$V$9884,MATCH($C536,'Infos Clientes'!$B$2:$B$9884,0),MATCH("Tempo de Fidelidade (meses)",'Infos Clientes'!$A$2:$V$2,0))=0,R536&gt;=MAX(R:R)),0,
ROUND((MAX(R:R)-R536)/(365/12),0)),"")</f>
        <v>0</v>
      </c>
      <c r="R536" s="111">
        <v>45778</v>
      </c>
      <c r="S536" s="63">
        <v>0.01</v>
      </c>
      <c r="T536" s="113" t="str">
        <f>IF($H536="GIROSSOL II",AP536/INDEX('Resumo Operacional'!$A$1:$P$1103,17,MATCH('Detalhe Por UC'!$R536,'Resumo Operacional'!$A$1:$P$1,0)),
IF($H536="GIROSSOL II e III",AP536/INDEX('Resumo Operacional'!$A$1:$P$1103,17,MATCH('Detalhe Por UC'!$R536,'Resumo Operacional'!$A$1:$P$1,0)),
""))</f>
        <v/>
      </c>
      <c r="U536" s="113">
        <f>IF($H536="GIROSSOL III",AP536/INDEX('Resumo Operacional'!$A$1:$P$1103,53,MATCH('Detalhe Por UC'!$R536,'Resumo Operacional'!$A$1:$P$1,0)),
IF($H536="GIROSSOL II e III",AP536/INDEX('Resumo Operacional'!$A$1:$P$1103,53,MATCH('Detalhe Por UC'!$R536,'Resumo Operacional'!$A$1:$P$1,0)),
""))</f>
        <v>2.2942140426068323E-2</v>
      </c>
      <c r="V536" s="45"/>
      <c r="X536" s="18">
        <v>1.1341581632653062</v>
      </c>
      <c r="Y536" s="18">
        <v>0</v>
      </c>
      <c r="Z536" s="18">
        <v>0.97755102040816344</v>
      </c>
      <c r="AA536" s="18">
        <v>0</v>
      </c>
      <c r="AB536" s="143">
        <v>112</v>
      </c>
      <c r="AC536" s="143">
        <v>0</v>
      </c>
      <c r="AD536" s="143">
        <v>14</v>
      </c>
      <c r="AE536" s="35"/>
      <c r="AF536" s="143">
        <v>257</v>
      </c>
      <c r="AG536" s="143">
        <v>0</v>
      </c>
      <c r="AH536" s="48">
        <v>26.21</v>
      </c>
      <c r="AI536" s="143">
        <v>0</v>
      </c>
      <c r="AJ536" s="143">
        <v>0</v>
      </c>
      <c r="AN536" s="71">
        <f t="shared" si="305"/>
        <v>168</v>
      </c>
      <c r="AO536" s="71">
        <f t="shared" si="306"/>
        <v>0</v>
      </c>
      <c r="AP536" s="71">
        <f t="shared" si="307"/>
        <v>182</v>
      </c>
      <c r="AQ536" s="72">
        <f>IF(OR($H536="GIROSSOL II",$H536="GIROSSOL II e III"),INDEX('Resumo Operacional'!$A$1:$P$1103,MATCH("Energia Injetada prevista total Fatura da Usina (TUSD)",'Resumo Operacional'!$B$1:$B$1103,0),MATCH('Detalhe Por UC'!$R536,'Resumo Operacional'!$A$1:$P$1,0))*$S536,INDEX('Resumo Operacional'!$A$1:$P$1103,53,MATCH('Detalhe Por UC'!$R536,'Resumo Operacional'!$A$1:$P$1,0))*$S536)</f>
        <v>79.33</v>
      </c>
      <c r="AR536" s="71">
        <f t="shared" si="308"/>
        <v>102.67</v>
      </c>
      <c r="AS536" s="73">
        <f t="shared" si="309"/>
        <v>139.55000000000001</v>
      </c>
      <c r="AT536" s="74">
        <f t="shared" si="310"/>
        <v>139.55000000000001</v>
      </c>
      <c r="AU536" s="74">
        <f t="shared" si="311"/>
        <v>0.82094387755102072</v>
      </c>
      <c r="AV536" s="74">
        <f t="shared" si="312"/>
        <v>10.264285714285716</v>
      </c>
      <c r="AW536" s="74">
        <f t="shared" si="313"/>
        <v>0</v>
      </c>
      <c r="AX536" s="74">
        <f t="shared" si="314"/>
        <v>13.685714285714289</v>
      </c>
      <c r="AY536" s="74">
        <f t="shared" si="315"/>
        <v>10.26</v>
      </c>
      <c r="AZ536" s="49">
        <v>10.26</v>
      </c>
      <c r="BA536" s="49">
        <v>10.26</v>
      </c>
      <c r="BB536" s="117">
        <v>10.26</v>
      </c>
      <c r="BC536" s="73" t="str">
        <f t="shared" si="316"/>
        <v/>
      </c>
      <c r="BD536" s="73">
        <f t="shared" si="317"/>
        <v>153.23571428571429</v>
      </c>
      <c r="BE536" s="73">
        <f t="shared" si="318"/>
        <v>149.81428571428572</v>
      </c>
      <c r="BF536" s="77">
        <f t="shared" si="319"/>
        <v>3.42</v>
      </c>
      <c r="BG536" s="77">
        <f t="shared" si="320"/>
        <v>1.026</v>
      </c>
      <c r="BH536" s="77">
        <f t="shared" si="321"/>
        <v>13.685714285714287</v>
      </c>
      <c r="BI536" s="78">
        <f t="shared" si="322"/>
        <v>0.25</v>
      </c>
      <c r="BJ536" s="79">
        <f t="shared" si="323"/>
        <v>2.2318556845196475E-2</v>
      </c>
      <c r="BK536" s="80">
        <f t="shared" si="324"/>
        <v>149.81</v>
      </c>
      <c r="BL536" s="80">
        <f t="shared" si="325"/>
        <v>3.4257142857142924</v>
      </c>
      <c r="BM536" s="79">
        <f t="shared" si="326"/>
        <v>2.2355847666993004E-2</v>
      </c>
      <c r="BN536" s="81">
        <f t="shared" si="327"/>
        <v>0.73285714285714287</v>
      </c>
      <c r="BO536" s="82">
        <f t="shared" si="328"/>
        <v>10.26</v>
      </c>
      <c r="BP536" s="81">
        <f t="shared" si="329"/>
        <v>0.73285714285714287</v>
      </c>
      <c r="BQ536" s="81">
        <f t="shared" si="330"/>
        <v>0.8894642857142856</v>
      </c>
      <c r="BR536" s="81">
        <f t="shared" si="331"/>
        <v>1.1341581632653062</v>
      </c>
      <c r="BS536" s="82">
        <f t="shared" si="332"/>
        <v>14</v>
      </c>
      <c r="BT536" s="82">
        <f t="shared" si="333"/>
        <v>15.878214285714286</v>
      </c>
      <c r="BU536" s="82">
        <f t="shared" si="334"/>
        <v>13.685714285714289</v>
      </c>
      <c r="BW536" s="82">
        <f>IFERROR(INDEX('Infos Clientes'!$T:$T,MATCH('Detalhe Por UC'!$C536,'Infos Clientes'!B:B,0)),"")</f>
        <v>175.90909090909091</v>
      </c>
      <c r="BX536" s="83">
        <f t="shared" si="335"/>
        <v>0</v>
      </c>
      <c r="BY536" s="84">
        <f t="shared" si="336"/>
        <v>0.21574934209046551</v>
      </c>
      <c r="BZ536" s="85">
        <f>IF(_xlfn.MINIFS('Detalhe Por UC'!R:R,'Detalhe Por UC'!C:C,C536,'Detalhe Por UC'!AD:AD,"&gt;"&amp;0)=0,"",_xlfn.MINIFS('Detalhe Por UC'!R:R,'Detalhe Por UC'!C:C,C536,'Detalhe Por UC'!AD:AD,"&gt;"&amp;0))</f>
        <v>45658</v>
      </c>
      <c r="CA536" s="114">
        <f ca="1">IF(OR(S536&gt;0,AD536&gt;0),IFERROR(
SUMIFS(INDIRECT("'Infos Clientes'!$W"&amp;INDEX('Infos Clientes'!$C:$C,MATCH(C536,'Infos Clientes'!$H:$H,0))&amp;":$CZ"&amp;INDEX('Infos Clientes'!$C:$C,MATCH(C536,'Infos Clientes'!$H:$H,0))),'Infos Clientes'!$W$2:$CZ$2,"&gt;"&amp;$R536-365,'Infos Clientes'!$W$2:$CZ$2,"&lt;="&amp;$R536)/
COUNTIFS(INDIRECT("'Infos Clientes'!$W"&amp;INDEX('Infos Clientes'!$C:$C,MATCH(C536,'Infos Clientes'!$H:$H,0))&amp;":$CZ"&amp;INDEX('Infos Clientes'!$C:$C,MATCH(C536,'Infos Clientes'!$H:$H,0))),"&gt;="&amp;0,'Infos Clientes'!$W$2:$CZ$2,"&gt;"&amp;$R536-365,'Infos Clientes'!$W$2:$CZ$2,"&lt;="&amp;$R536),""),"")</f>
        <v>157.25</v>
      </c>
      <c r="CB536" s="87">
        <f>VLOOKUP(C536,'Infos Clientes'!B:L,11,0)</f>
        <v>0</v>
      </c>
      <c r="CC536" s="88" t="str">
        <f t="shared" si="337"/>
        <v>A Unidade Consumidora 10/908866-7 economizou R$3,42 na fatura referente à mai/2025  consumindo 14 kWh em créditos de energia renovável conforme fatura de energia. A economia foi de 25% em relação ao que seria pago para a Energisa considerando os créditos consumidos. Atenção: Mantenha as contas da Energisa em dia para evitar cortes.</v>
      </c>
      <c r="CD536" s="40" t="s">
        <v>249</v>
      </c>
      <c r="CE536" s="18">
        <v>139.55000000000001</v>
      </c>
      <c r="CF536" s="115">
        <f t="shared" si="338"/>
        <v>0</v>
      </c>
      <c r="CG536" t="s">
        <v>358</v>
      </c>
    </row>
    <row r="537" spans="1:85" ht="16.2" hidden="1" customHeight="1" x14ac:dyDescent="0.3">
      <c r="A537" s="105" t="str">
        <f>INDEX('Infos Clientes'!$D:$D,MATCH('Detalhe Por UC'!C537,'Infos Clientes'!B:B,0))</f>
        <v>IGREJA DO EVANGELHO QUADRANGULAR</v>
      </c>
      <c r="B537" s="106" t="str">
        <f>INDEX('Infos Clientes'!$F:$F,MATCH('Detalhe Por UC'!C537,'Infos Clientes'!B:B,0))</f>
        <v>62.955.505/0151-99</v>
      </c>
      <c r="C537" s="44" t="s">
        <v>102</v>
      </c>
      <c r="D537" t="s">
        <v>351</v>
      </c>
      <c r="E537" s="1" t="s">
        <v>352</v>
      </c>
      <c r="F537" s="56" t="str">
        <f>INDEX('Infos Clientes'!$I:$I,MATCH('Detalhe Por UC'!C537,'Infos Clientes'!B:B,0))</f>
        <v>BT</v>
      </c>
      <c r="G537" s="56" t="str">
        <f>INDEX('Infos Clientes'!$J:$J,MATCH('Detalhe Por UC'!C537,'Infos Clientes'!B:B,0))</f>
        <v>trifasico</v>
      </c>
      <c r="H537" s="47" t="str">
        <f t="shared" ref="H537:H551" si="340">HYPERLINK("https://geraebcsp.sharepoint.com/sites/gestao.gdc/Shared Documents/EGS/2- Faturas/"&amp; TEXT($R537,"AAA") &amp;"/"&amp; TEXT($R537,"MM") &amp;"."&amp; TEXT($R537,"AAA") &amp;"/"&amp;"_10-"&amp; RIGHT($C537,LEN($C537)-3) &amp;"_" &amp; TEXT($R537,"AAAA") &amp;"-"&amp; TEXT($R537,"MM") &amp;".pdf","GIROSSOL II")</f>
        <v>GIROSSOL II</v>
      </c>
      <c r="I537" s="58">
        <f>IFERROR(VLOOKUP(C537,'Infos Clientes'!B:E,4,),"")</f>
        <v>306</v>
      </c>
      <c r="J537" s="109">
        <v>0.23725425614394724</v>
      </c>
      <c r="K537" s="59">
        <f>INDEX('Infos Clientes'!$M:$M,MATCH('Detalhe Por UC'!C537,'Infos Clientes'!B:B,0))</f>
        <v>0.25</v>
      </c>
      <c r="L537" s="125">
        <v>0</v>
      </c>
      <c r="M537" s="56">
        <f>INDEX('Infos Clientes'!$N:$N,MATCH('Detalhe Por UC'!C537,'Infos Clientes'!B:B,0))</f>
        <v>0</v>
      </c>
      <c r="N537" s="56">
        <f t="shared" si="303"/>
        <v>0</v>
      </c>
      <c r="O537" s="56">
        <f t="shared" si="304"/>
        <v>12</v>
      </c>
      <c r="P537" s="56">
        <f t="shared" si="339"/>
        <v>0</v>
      </c>
      <c r="Q537" s="61">
        <f>IFERROR(IFERROR(INDEX('Infos Clientes'!$A$2:$V$9884,MATCH($C537,'Infos Clientes'!$B$2:$B$9884,0),MATCH(Q$8,'Infos Clientes'!$A$2:$V$2,0)),"")
+IF(OR(INDEX('Infos Clientes'!$A$2:$V$9884,MATCH($C537,'Infos Clientes'!$B$2:$B$9884,0),MATCH("Tempo de Fidelidade (meses)",'Infos Clientes'!$A$2:$V$2,0))=0,R537&gt;=MAX(R:R)),0,
ROUND((MAX(R:R)-R537)/(365/12),0)),"")</f>
        <v>0</v>
      </c>
      <c r="R537" s="111">
        <v>45809</v>
      </c>
      <c r="S537" s="17">
        <v>0.21</v>
      </c>
      <c r="T537" s="113">
        <f>IF($H537="GIROSSOL II",AP537/INDEX('Resumo Operacional'!$A$1:$P$1103,17,MATCH('Detalhe Por UC'!$R537,'Resumo Operacional'!$A$1:$P$1,0)),
IF($H537="GIROSSOL II e III",AP537/INDEX('Resumo Operacional'!$A$1:$P$1103,17,MATCH('Detalhe Por UC'!$R537,'Resumo Operacional'!$A$1:$P$1,0)),
""))</f>
        <v>9.3667546174142483E-2</v>
      </c>
      <c r="U537" s="113" t="str">
        <f>IF($H537="GIROSSOL III",AP537/INDEX('Resumo Operacional'!$A$1:$P$1103,53,MATCH('Detalhe Por UC'!$R537,'Resumo Operacional'!$A$1:$P$1,0)),
IF($H537="GIROSSOL II e III",AP537/INDEX('Resumo Operacional'!$A$1:$P$1103,53,MATCH('Detalhe Por UC'!$R537,'Resumo Operacional'!$A$1:$P$1,0)),
""))</f>
        <v/>
      </c>
      <c r="V537" s="45"/>
      <c r="X537" s="18">
        <v>1.1864379844961241</v>
      </c>
      <c r="Y537" s="18">
        <v>0</v>
      </c>
      <c r="Z537" s="18">
        <v>1.1517603722373013</v>
      </c>
      <c r="AA537" s="18"/>
      <c r="AB537" s="18">
        <v>2580</v>
      </c>
      <c r="AC537" s="18"/>
      <c r="AD537" s="143">
        <v>2579</v>
      </c>
      <c r="AE537" s="35"/>
      <c r="AF537" s="18">
        <v>4938</v>
      </c>
      <c r="AG537" s="18">
        <v>0</v>
      </c>
      <c r="AH537" s="48">
        <v>4.78</v>
      </c>
      <c r="AI537" s="18">
        <v>0</v>
      </c>
      <c r="AJ537" s="18">
        <v>0</v>
      </c>
      <c r="AL537" s="146"/>
      <c r="AN537" s="71">
        <f t="shared" si="305"/>
        <v>-946</v>
      </c>
      <c r="AO537" s="71">
        <f t="shared" si="306"/>
        <v>0</v>
      </c>
      <c r="AP537" s="71">
        <f t="shared" si="307"/>
        <v>1633</v>
      </c>
      <c r="AQ537" s="72">
        <f>IF(OR($H537="GIROSSOL II",$H537="GIROSSOL II e III"),INDEX('Resumo Operacional'!$A$1:$P$1103,MATCH("Energia Injetada prevista total Fatura da Usina (TUSD)",'Resumo Operacional'!$B$1:$B$1103,0),MATCH('Detalhe Por UC'!$R537,'Resumo Operacional'!$A$1:$P$1,0))*$S537,INDEX('Resumo Operacional'!$A$1:$P$1103,53,MATCH('Detalhe Por UC'!$R537,'Resumo Operacional'!$A$1:$P$1,0))*$S537)</f>
        <v>3661.14</v>
      </c>
      <c r="AR537" s="71">
        <f t="shared" si="308"/>
        <v>-2028.1399999999999</v>
      </c>
      <c r="AS537" s="73">
        <f t="shared" si="309"/>
        <v>95.399999999999892</v>
      </c>
      <c r="AT537" s="74">
        <f t="shared" si="310"/>
        <v>95.399999999999892</v>
      </c>
      <c r="AU537" s="74">
        <f t="shared" si="311"/>
        <v>1.1170827599784785</v>
      </c>
      <c r="AV537" s="74">
        <f t="shared" si="312"/>
        <v>2265.6523300925805</v>
      </c>
      <c r="AW537" s="74">
        <f t="shared" si="313"/>
        <v>0</v>
      </c>
      <c r="AX537" s="74">
        <f t="shared" si="314"/>
        <v>2970.3900000000003</v>
      </c>
      <c r="AY537" s="74">
        <f t="shared" si="315"/>
        <v>2265.65</v>
      </c>
      <c r="AZ537" s="43">
        <v>2227.79</v>
      </c>
      <c r="BA537" s="43">
        <v>2227.79</v>
      </c>
      <c r="BB537" s="43">
        <v>2227.79</v>
      </c>
      <c r="BC537" s="73" t="str">
        <f t="shared" si="316"/>
        <v/>
      </c>
      <c r="BD537" s="73">
        <f t="shared" si="317"/>
        <v>3065.7900000000004</v>
      </c>
      <c r="BE537" s="73">
        <f t="shared" si="318"/>
        <v>2361.0523300925806</v>
      </c>
      <c r="BF537" s="77">
        <f t="shared" si="319"/>
        <v>704.74</v>
      </c>
      <c r="BG537" s="77">
        <f t="shared" si="320"/>
        <v>211.422</v>
      </c>
      <c r="BH537" s="77">
        <f t="shared" si="321"/>
        <v>2970.3900000000003</v>
      </c>
      <c r="BI537" s="78">
        <f t="shared" si="322"/>
        <v>0.24</v>
      </c>
      <c r="BJ537" s="79">
        <f t="shared" si="323"/>
        <v>0.22987223521506689</v>
      </c>
      <c r="BK537" s="80">
        <f t="shared" si="324"/>
        <v>2361.0500000000002</v>
      </c>
      <c r="BL537" s="80">
        <f t="shared" si="325"/>
        <v>704.74000000000024</v>
      </c>
      <c r="BM537" s="79">
        <f t="shared" si="326"/>
        <v>0.22987223521506697</v>
      </c>
      <c r="BN537" s="81">
        <f t="shared" si="327"/>
        <v>0.87849941837921675</v>
      </c>
      <c r="BO537" s="82">
        <f t="shared" si="328"/>
        <v>2265.65</v>
      </c>
      <c r="BP537" s="81">
        <f t="shared" si="329"/>
        <v>0.87849941837921675</v>
      </c>
      <c r="BQ537" s="81">
        <f t="shared" si="330"/>
        <v>0.91317703063803957</v>
      </c>
      <c r="BR537" s="81">
        <f t="shared" si="331"/>
        <v>1.1864379844961241</v>
      </c>
      <c r="BS537" s="82">
        <f t="shared" si="332"/>
        <v>2579</v>
      </c>
      <c r="BT537" s="82">
        <f t="shared" si="333"/>
        <v>3059.8235620155042</v>
      </c>
      <c r="BU537" s="82">
        <f t="shared" si="334"/>
        <v>2970.3900000000003</v>
      </c>
      <c r="BW537" s="82">
        <f>IFERROR(INDEX('Infos Clientes'!$T:$T,MATCH('Detalhe Por UC'!$C537,'Infos Clientes'!B:B,0)),"")</f>
        <v>2675.750833333333</v>
      </c>
      <c r="BX537" s="83">
        <f t="shared" si="335"/>
        <v>0</v>
      </c>
      <c r="BY537" s="84">
        <f t="shared" si="336"/>
        <v>0.23032046969917058</v>
      </c>
      <c r="BZ537" s="85">
        <f>IF(_xlfn.MINIFS('Detalhe Por UC'!R:R,'Detalhe Por UC'!C:C,C537,'Detalhe Por UC'!AD:AD,"&gt;"&amp;0)=0,"",_xlfn.MINIFS('Detalhe Por UC'!R:R,'Detalhe Por UC'!C:C,C537,'Detalhe Por UC'!AD:AD,"&gt;"&amp;0))</f>
        <v>45627</v>
      </c>
      <c r="CA537" s="114">
        <f ca="1">IF(OR(S537&gt;0,AD537&gt;0),IFERROR(
SUMIFS(INDIRECT("'Infos Clientes'!$W"&amp;INDEX('Infos Clientes'!$C:$C,MATCH(C537,'Infos Clientes'!$H:$H,0))&amp;":$CZ"&amp;INDEX('Infos Clientes'!$C:$C,MATCH(C537,'Infos Clientes'!$H:$H,0))),'Infos Clientes'!$W$2:$CZ$2,"&gt;"&amp;$R537-365,'Infos Clientes'!$W$2:$CZ$2,"&lt;="&amp;$R537)/
COUNTIFS(INDIRECT("'Infos Clientes'!$W"&amp;INDEX('Infos Clientes'!$C:$C,MATCH(C537,'Infos Clientes'!$H:$H,0))&amp;":$CZ"&amp;INDEX('Infos Clientes'!$C:$C,MATCH(C537,'Infos Clientes'!$H:$H,0))),"&gt;="&amp;0,'Infos Clientes'!$W$2:$CZ$2,"&gt;"&amp;$R537-365,'Infos Clientes'!$W$2:$CZ$2,"&lt;="&amp;$R537),""),"")</f>
        <v>2665.2125000000001</v>
      </c>
      <c r="CB537" s="87">
        <f>VLOOKUP(C537,'Infos Clientes'!B:L,11,0)</f>
        <v>0</v>
      </c>
      <c r="CC537" s="88" t="str">
        <f t="shared" si="337"/>
        <v>A Unidade Consumidora 10/364440-8 economizou R$704,74 na fatura referente à jun/2025  consumindo 2579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37" s="40" t="s">
        <v>86</v>
      </c>
      <c r="CE537" s="43"/>
      <c r="CF537" s="115">
        <f t="shared" si="338"/>
        <v>-95.399999999999892</v>
      </c>
    </row>
    <row r="538" spans="1:85" ht="16.2" hidden="1" customHeight="1" x14ac:dyDescent="0.3">
      <c r="A538" s="105" t="str">
        <f>INDEX('Infos Clientes'!$D:$D,MATCH('Detalhe Por UC'!C538,'Infos Clientes'!B:B,0))</f>
        <v>IGREJA DO EVANGELHO QUADRANGULAR</v>
      </c>
      <c r="B538" s="106" t="str">
        <f>INDEX('Infos Clientes'!$F:$F,MATCH('Detalhe Por UC'!C538,'Infos Clientes'!B:B,0))</f>
        <v>62.955.505/3932-07</v>
      </c>
      <c r="C538" s="44" t="s">
        <v>119</v>
      </c>
      <c r="D538" t="s">
        <v>351</v>
      </c>
      <c r="E538" s="1" t="s">
        <v>352</v>
      </c>
      <c r="F538" s="56" t="str">
        <f>INDEX('Infos Clientes'!$I:$I,MATCH('Detalhe Por UC'!C538,'Infos Clientes'!B:B,0))</f>
        <v>BT</v>
      </c>
      <c r="G538" s="56" t="str">
        <f>INDEX('Infos Clientes'!$J:$J,MATCH('Detalhe Por UC'!C538,'Infos Clientes'!B:B,0))</f>
        <v>trifasico</v>
      </c>
      <c r="H538" s="47" t="str">
        <f t="shared" si="340"/>
        <v>GIROSSOL II</v>
      </c>
      <c r="I538" s="58">
        <f>IFERROR(VLOOKUP(C538,'Infos Clientes'!B:E,4,),"")</f>
        <v>302</v>
      </c>
      <c r="J538" s="109">
        <v>0.23725425614394724</v>
      </c>
      <c r="K538" s="59">
        <f>INDEX('Infos Clientes'!$M:$M,MATCH('Detalhe Por UC'!C538,'Infos Clientes'!B:B,0))</f>
        <v>0.25</v>
      </c>
      <c r="L538" s="125">
        <v>0</v>
      </c>
      <c r="M538" s="56">
        <f>INDEX('Infos Clientes'!$N:$N,MATCH('Detalhe Por UC'!C538,'Infos Clientes'!B:B,0))</f>
        <v>0</v>
      </c>
      <c r="N538" s="56">
        <f t="shared" si="303"/>
        <v>0</v>
      </c>
      <c r="O538" s="56">
        <f t="shared" si="304"/>
        <v>12</v>
      </c>
      <c r="P538" s="56">
        <f t="shared" si="339"/>
        <v>0</v>
      </c>
      <c r="Q538" s="61">
        <f>IFERROR(IFERROR(INDEX('Infos Clientes'!$A$2:$V$9884,MATCH($C538,'Infos Clientes'!$B$2:$B$9884,0),MATCH(Q$8,'Infos Clientes'!$A$2:$V$2,0)),"")
+IF(OR(INDEX('Infos Clientes'!$A$2:$V$9884,MATCH($C538,'Infos Clientes'!$B$2:$B$9884,0),MATCH("Tempo de Fidelidade (meses)",'Infos Clientes'!$A$2:$V$2,0))=0,R538&gt;=MAX(R:R)),0,
ROUND((MAX(R:R)-R538)/(365/12),0)),"")</f>
        <v>0</v>
      </c>
      <c r="R538" s="111">
        <v>45809</v>
      </c>
      <c r="S538" s="17">
        <v>0.1</v>
      </c>
      <c r="T538" s="113">
        <f>IF($H538="GIROSSOL II",AP538/INDEX('Resumo Operacional'!$A$1:$P$1103,17,MATCH('Detalhe Por UC'!$R538,'Resumo Operacional'!$A$1:$P$1,0)),
IF($H538="GIROSSOL II e III",AP538/INDEX('Resumo Operacional'!$A$1:$P$1103,17,MATCH('Detalhe Por UC'!$R538,'Resumo Operacional'!$A$1:$P$1,0)),
""))</f>
        <v>4.4568085350464609E-2</v>
      </c>
      <c r="U538" s="113" t="str">
        <f>IF($H538="GIROSSOL III",AP538/INDEX('Resumo Operacional'!$A$1:$P$1103,53,MATCH('Detalhe Por UC'!$R538,'Resumo Operacional'!$A$1:$P$1,0)),
IF($H538="GIROSSOL II e III",AP538/INDEX('Resumo Operacional'!$A$1:$P$1103,53,MATCH('Detalhe Por UC'!$R538,'Resumo Operacional'!$A$1:$P$1,0)),
""))</f>
        <v/>
      </c>
      <c r="V538" s="45"/>
      <c r="X538" s="18">
        <v>1.1602018431946513</v>
      </c>
      <c r="Y538" s="18">
        <v>0</v>
      </c>
      <c r="Z538" s="18">
        <v>1.1602003197892639</v>
      </c>
      <c r="AA538" s="18"/>
      <c r="AB538" s="18">
        <v>1369.62</v>
      </c>
      <c r="AC538" s="18"/>
      <c r="AD538" s="143">
        <v>777</v>
      </c>
      <c r="AE538" s="35"/>
      <c r="AF538" s="18">
        <v>0</v>
      </c>
      <c r="AG538" s="18">
        <v>0</v>
      </c>
      <c r="AH538" s="48">
        <v>215.87</v>
      </c>
      <c r="AI538" s="18">
        <v>0</v>
      </c>
      <c r="AJ538" s="18">
        <v>0</v>
      </c>
      <c r="AL538" s="146"/>
      <c r="AN538" s="71">
        <f t="shared" si="305"/>
        <v>0</v>
      </c>
      <c r="AO538" s="71">
        <f t="shared" si="306"/>
        <v>0</v>
      </c>
      <c r="AP538" s="71">
        <f t="shared" si="307"/>
        <v>777</v>
      </c>
      <c r="AQ538" s="72">
        <f>IF(OR($H538="GIROSSOL II",$H538="GIROSSOL II e III"),INDEX('Resumo Operacional'!$A$1:$P$1103,MATCH("Energia Injetada prevista total Fatura da Usina (TUSD)",'Resumo Operacional'!$B$1:$B$1103,0),MATCH('Detalhe Por UC'!$R538,'Resumo Operacional'!$A$1:$P$1,0))*$S538,INDEX('Resumo Operacional'!$A$1:$P$1103,53,MATCH('Detalhe Por UC'!$R538,'Resumo Operacional'!$A$1:$P$1,0))*$S538)</f>
        <v>1743.4</v>
      </c>
      <c r="AR538" s="71">
        <f t="shared" si="308"/>
        <v>-966.40000000000009</v>
      </c>
      <c r="AS538" s="73">
        <f t="shared" si="309"/>
        <v>903.43000000000006</v>
      </c>
      <c r="AT538" s="74">
        <f t="shared" si="310"/>
        <v>903.43000000000006</v>
      </c>
      <c r="AU538" s="74">
        <f t="shared" si="311"/>
        <v>1.1601987963838765</v>
      </c>
      <c r="AV538" s="74">
        <f t="shared" si="312"/>
        <v>687.59671406514099</v>
      </c>
      <c r="AW538" s="74">
        <f t="shared" si="313"/>
        <v>0</v>
      </c>
      <c r="AX538" s="74">
        <f t="shared" si="314"/>
        <v>901.47564847625802</v>
      </c>
      <c r="AY538" s="74">
        <f t="shared" si="315"/>
        <v>687.6</v>
      </c>
      <c r="AZ538" s="43">
        <v>676.11</v>
      </c>
      <c r="BA538" s="43">
        <v>676.11</v>
      </c>
      <c r="BB538" s="43">
        <v>676.11</v>
      </c>
      <c r="BC538" s="73" t="str">
        <f t="shared" si="316"/>
        <v/>
      </c>
      <c r="BD538" s="73">
        <f t="shared" si="317"/>
        <v>1804.9056484762582</v>
      </c>
      <c r="BE538" s="73">
        <f t="shared" si="318"/>
        <v>1591.0267140651411</v>
      </c>
      <c r="BF538" s="77">
        <f t="shared" si="319"/>
        <v>213.88</v>
      </c>
      <c r="BG538" s="77">
        <f t="shared" si="320"/>
        <v>64.164000000000001</v>
      </c>
      <c r="BH538" s="77">
        <f t="shared" si="321"/>
        <v>901.47564847625802</v>
      </c>
      <c r="BI538" s="78">
        <f t="shared" si="322"/>
        <v>0.24</v>
      </c>
      <c r="BJ538" s="79">
        <f t="shared" si="323"/>
        <v>0.1184992690230441</v>
      </c>
      <c r="BK538" s="80">
        <f t="shared" si="324"/>
        <v>1591.0300000000002</v>
      </c>
      <c r="BL538" s="80">
        <f t="shared" si="325"/>
        <v>213.87564847625799</v>
      </c>
      <c r="BM538" s="79">
        <f t="shared" si="326"/>
        <v>0.118496858080541</v>
      </c>
      <c r="BN538" s="81">
        <f t="shared" si="327"/>
        <v>0.88494208494208493</v>
      </c>
      <c r="BO538" s="82">
        <f t="shared" si="328"/>
        <v>687.6</v>
      </c>
      <c r="BP538" s="81">
        <f t="shared" si="329"/>
        <v>0.88494208494208493</v>
      </c>
      <c r="BQ538" s="81">
        <f t="shared" si="330"/>
        <v>0.88494360834747232</v>
      </c>
      <c r="BR538" s="81">
        <f t="shared" si="331"/>
        <v>1.1602018431946513</v>
      </c>
      <c r="BS538" s="82">
        <f t="shared" si="332"/>
        <v>777</v>
      </c>
      <c r="BT538" s="82">
        <f t="shared" si="333"/>
        <v>901.47683216224402</v>
      </c>
      <c r="BU538" s="82">
        <f t="shared" si="334"/>
        <v>901.47564847625802</v>
      </c>
      <c r="BW538" s="82">
        <f>IFERROR(INDEX('Infos Clientes'!$T:$T,MATCH('Detalhe Por UC'!$C538,'Infos Clientes'!B:B,0)),"")</f>
        <v>1810.6008333333332</v>
      </c>
      <c r="BX538" s="83">
        <f t="shared" si="335"/>
        <v>0</v>
      </c>
      <c r="BY538" s="84">
        <f t="shared" si="336"/>
        <v>0.23725029955929647</v>
      </c>
      <c r="BZ538" s="85">
        <f>IF(_xlfn.MINIFS('Detalhe Por UC'!R:R,'Detalhe Por UC'!C:C,C538,'Detalhe Por UC'!AD:AD,"&gt;"&amp;0)=0,"",_xlfn.MINIFS('Detalhe Por UC'!R:R,'Detalhe Por UC'!C:C,C538,'Detalhe Por UC'!AD:AD,"&gt;"&amp;0))</f>
        <v>45627</v>
      </c>
      <c r="CA538" s="114">
        <f ca="1">IF(OR(S538&gt;0,AD538&gt;0),IFERROR(
SUMIFS(INDIRECT("'Infos Clientes'!$W"&amp;INDEX('Infos Clientes'!$C:$C,MATCH(C538,'Infos Clientes'!$H:$H,0))&amp;":$CZ"&amp;INDEX('Infos Clientes'!$C:$C,MATCH(C538,'Infos Clientes'!$H:$H,0))),'Infos Clientes'!$W$2:$CZ$2,"&gt;"&amp;$R538-365,'Infos Clientes'!$W$2:$CZ$2,"&lt;="&amp;$R538)/
COUNTIFS(INDIRECT("'Infos Clientes'!$W"&amp;INDEX('Infos Clientes'!$C:$C,MATCH(C538,'Infos Clientes'!$H:$H,0))&amp;":$CZ"&amp;INDEX('Infos Clientes'!$C:$C,MATCH(C538,'Infos Clientes'!$H:$H,0))),"&gt;="&amp;0,'Infos Clientes'!$W$2:$CZ$2,"&gt;"&amp;$R538-365,'Infos Clientes'!$W$2:$CZ$2,"&lt;="&amp;$R538),""),"")</f>
        <v>1808.1258333333335</v>
      </c>
      <c r="CB538" s="87">
        <f>VLOOKUP(C538,'Infos Clientes'!B:L,11,0)</f>
        <v>0</v>
      </c>
      <c r="CC538" s="88" t="str">
        <f t="shared" si="337"/>
        <v>A Unidade Consumidora 10/5202-7 economizou R$213,88 na fatura referente à jun/2025  consumindo 777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38" s="40" t="s">
        <v>107</v>
      </c>
      <c r="CE538" s="43"/>
      <c r="CF538" s="115">
        <f t="shared" si="338"/>
        <v>-903.43000000000006</v>
      </c>
    </row>
    <row r="539" spans="1:85" ht="16.2" hidden="1" customHeight="1" x14ac:dyDescent="0.3">
      <c r="A539" s="105" t="str">
        <f>INDEX('Infos Clientes'!$D:$D,MATCH('Detalhe Por UC'!C539,'Infos Clientes'!B:B,0))</f>
        <v>IGREJA DO EVANGELHO QUADRANGULAR</v>
      </c>
      <c r="B539" s="106" t="str">
        <f>INDEX('Infos Clientes'!$F:$F,MATCH('Detalhe Por UC'!C539,'Infos Clientes'!B:B,0))</f>
        <v>62.955.505/0172-13</v>
      </c>
      <c r="C539" s="44" t="s">
        <v>54</v>
      </c>
      <c r="D539" t="s">
        <v>351</v>
      </c>
      <c r="E539" s="1" t="s">
        <v>352</v>
      </c>
      <c r="F539" s="56" t="str">
        <f>INDEX('Infos Clientes'!$I:$I,MATCH('Detalhe Por UC'!C539,'Infos Clientes'!B:B,0))</f>
        <v>BT</v>
      </c>
      <c r="G539" s="56" t="str">
        <f>INDEX('Infos Clientes'!$J:$J,MATCH('Detalhe Por UC'!C539,'Infos Clientes'!B:B,0))</f>
        <v>trifasico</v>
      </c>
      <c r="H539" s="47" t="str">
        <f t="shared" si="340"/>
        <v>GIROSSOL II</v>
      </c>
      <c r="I539" s="58">
        <f>IFERROR(VLOOKUP(C539,'Infos Clientes'!B:E,4,),"")</f>
        <v>371</v>
      </c>
      <c r="J539" s="109">
        <v>0.23725425614394724</v>
      </c>
      <c r="K539" s="59">
        <f>INDEX('Infos Clientes'!$M:$M,MATCH('Detalhe Por UC'!C539,'Infos Clientes'!B:B,0))</f>
        <v>0.25</v>
      </c>
      <c r="L539" s="125">
        <v>0</v>
      </c>
      <c r="M539" s="56">
        <f>INDEX('Infos Clientes'!$N:$N,MATCH('Detalhe Por UC'!C539,'Infos Clientes'!B:B,0))</f>
        <v>0</v>
      </c>
      <c r="N539" s="56">
        <f t="shared" si="303"/>
        <v>0</v>
      </c>
      <c r="O539" s="56">
        <f t="shared" si="304"/>
        <v>12</v>
      </c>
      <c r="P539" s="56">
        <f t="shared" si="339"/>
        <v>0</v>
      </c>
      <c r="Q539" s="61">
        <f>IFERROR(IFERROR(INDEX('Infos Clientes'!$A$2:$V$9884,MATCH($C539,'Infos Clientes'!$B$2:$B$9884,0),MATCH(Q$8,'Infos Clientes'!$A$2:$V$2,0)),"")
+IF(OR(INDEX('Infos Clientes'!$A$2:$V$9884,MATCH($C539,'Infos Clientes'!$B$2:$B$9884,0),MATCH("Tempo de Fidelidade (meses)",'Infos Clientes'!$A$2:$V$2,0))=0,R539&gt;=MAX(R:R)),0,
ROUND((MAX(R:R)-R539)/(365/12),0)),"")</f>
        <v>0</v>
      </c>
      <c r="R539" s="111">
        <v>45809</v>
      </c>
      <c r="S539" s="17">
        <v>5.0000000000000001E-3</v>
      </c>
      <c r="T539" s="113">
        <f>IF($H539="GIROSSOL II",AP539/INDEX('Resumo Operacional'!$A$1:$P$1103,17,MATCH('Detalhe Por UC'!$R539,'Resumo Operacional'!$A$1:$P$1,0)),
IF($H539="GIROSSOL II e III",AP539/INDEX('Resumo Operacional'!$A$1:$P$1103,17,MATCH('Detalhe Por UC'!$R539,'Resumo Operacional'!$A$1:$P$1,0)),
""))</f>
        <v>-0.14947803143283239</v>
      </c>
      <c r="U539" s="113" t="str">
        <f>IF($H539="GIROSSOL III",AP539/INDEX('Resumo Operacional'!$A$1:$P$1103,53,MATCH('Detalhe Por UC'!$R539,'Resumo Operacional'!$A$1:$P$1,0)),
IF($H539="GIROSSOL II e III",AP539/INDEX('Resumo Operacional'!$A$1:$P$1103,53,MATCH('Detalhe Por UC'!$R539,'Resumo Operacional'!$A$1:$P$1,0)),
""))</f>
        <v/>
      </c>
      <c r="V539" s="45"/>
      <c r="X539" s="18">
        <v>1.1632310954063603</v>
      </c>
      <c r="Y539" s="18">
        <v>0</v>
      </c>
      <c r="Z539" s="18">
        <v>1.1631934426229507</v>
      </c>
      <c r="AA539" s="18"/>
      <c r="AB539" s="18">
        <v>283</v>
      </c>
      <c r="AC539" s="18"/>
      <c r="AD539" s="143">
        <v>183</v>
      </c>
      <c r="AE539" s="35"/>
      <c r="AF539" s="18"/>
      <c r="AG539" s="18"/>
      <c r="AH539" s="48">
        <v>27.14</v>
      </c>
      <c r="AI539" s="18">
        <v>0</v>
      </c>
      <c r="AJ539" s="18">
        <v>0</v>
      </c>
      <c r="AL539" s="146"/>
      <c r="AN539" s="71">
        <f t="shared" si="305"/>
        <v>-2789</v>
      </c>
      <c r="AO539" s="71">
        <f t="shared" si="306"/>
        <v>0</v>
      </c>
      <c r="AP539" s="71">
        <f t="shared" si="307"/>
        <v>-2606</v>
      </c>
      <c r="AQ539" s="72">
        <f>IF(OR($H539="GIROSSOL II",$H539="GIROSSOL II e III"),INDEX('Resumo Operacional'!$A$1:$P$1103,MATCH("Energia Injetada prevista total Fatura da Usina (TUSD)",'Resumo Operacional'!$B$1:$B$1103,0),MATCH('Detalhe Por UC'!$R539,'Resumo Operacional'!$A$1:$P$1,0))*$S539,INDEX('Resumo Operacional'!$A$1:$P$1103,53,MATCH('Detalhe Por UC'!$R539,'Resumo Operacional'!$A$1:$P$1,0))*$S539)</f>
        <v>87.17</v>
      </c>
      <c r="AR539" s="71">
        <f t="shared" si="308"/>
        <v>-2693.17</v>
      </c>
      <c r="AS539" s="73">
        <f t="shared" si="309"/>
        <v>143.47000000000003</v>
      </c>
      <c r="AT539" s="74">
        <f t="shared" si="310"/>
        <v>143.47000000000003</v>
      </c>
      <c r="AU539" s="74">
        <f t="shared" si="311"/>
        <v>1.163155789839541</v>
      </c>
      <c r="AV539" s="74">
        <f t="shared" si="312"/>
        <v>162.36141511847234</v>
      </c>
      <c r="AW539" s="74">
        <f t="shared" si="313"/>
        <v>0</v>
      </c>
      <c r="AX539" s="74">
        <f t="shared" si="314"/>
        <v>212.86439999999996</v>
      </c>
      <c r="AY539" s="74">
        <f t="shared" si="315"/>
        <v>162.36000000000001</v>
      </c>
      <c r="AZ539" s="43">
        <v>159.65</v>
      </c>
      <c r="BA539" s="43">
        <v>159.65</v>
      </c>
      <c r="BB539" s="43">
        <v>159.65</v>
      </c>
      <c r="BC539" s="73" t="str">
        <f t="shared" si="316"/>
        <v/>
      </c>
      <c r="BD539" s="73">
        <f t="shared" si="317"/>
        <v>356.33439999999996</v>
      </c>
      <c r="BE539" s="73">
        <f t="shared" si="318"/>
        <v>305.83141511847236</v>
      </c>
      <c r="BF539" s="77">
        <f t="shared" si="319"/>
        <v>50.5</v>
      </c>
      <c r="BG539" s="77">
        <f t="shared" si="320"/>
        <v>15.149999999999999</v>
      </c>
      <c r="BH539" s="77">
        <f t="shared" si="321"/>
        <v>212.86439999999996</v>
      </c>
      <c r="BI539" s="78">
        <f t="shared" si="322"/>
        <v>0.24</v>
      </c>
      <c r="BJ539" s="79">
        <f t="shared" si="323"/>
        <v>0.14172081056445857</v>
      </c>
      <c r="BK539" s="80">
        <f t="shared" si="324"/>
        <v>305.83000000000004</v>
      </c>
      <c r="BL539" s="80">
        <f t="shared" si="325"/>
        <v>50.504399999999919</v>
      </c>
      <c r="BM539" s="79">
        <f t="shared" si="326"/>
        <v>0.14173315851626989</v>
      </c>
      <c r="BN539" s="81">
        <f t="shared" si="327"/>
        <v>0.88721311475409848</v>
      </c>
      <c r="BO539" s="82">
        <f t="shared" si="328"/>
        <v>162.36000000000001</v>
      </c>
      <c r="BP539" s="81">
        <f t="shared" si="329"/>
        <v>0.88721311475409848</v>
      </c>
      <c r="BQ539" s="81">
        <f t="shared" si="330"/>
        <v>0.88725076753750809</v>
      </c>
      <c r="BR539" s="81">
        <f t="shared" si="331"/>
        <v>1.1632310954063603</v>
      </c>
      <c r="BS539" s="82">
        <f t="shared" si="332"/>
        <v>183</v>
      </c>
      <c r="BT539" s="82">
        <f t="shared" si="333"/>
        <v>212.87129045936393</v>
      </c>
      <c r="BU539" s="82">
        <f t="shared" si="334"/>
        <v>212.86439999999996</v>
      </c>
      <c r="BW539" s="82">
        <f>IFERROR(INDEX('Infos Clientes'!$T:$T,MATCH('Detalhe Por UC'!$C539,'Infos Clientes'!B:B,0)),"")</f>
        <v>418.16666666666669</v>
      </c>
      <c r="BX539" s="83">
        <f t="shared" si="335"/>
        <v>0</v>
      </c>
      <c r="BY539" s="84">
        <f t="shared" si="336"/>
        <v>0.23725322419483799</v>
      </c>
      <c r="BZ539" s="85">
        <f>IF(_xlfn.MINIFS('Detalhe Por UC'!R:R,'Detalhe Por UC'!C:C,C539,'Detalhe Por UC'!AD:AD,"&gt;"&amp;0)=0,"",_xlfn.MINIFS('Detalhe Por UC'!R:R,'Detalhe Por UC'!C:C,C539,'Detalhe Por UC'!AD:AD,"&gt;"&amp;0))</f>
        <v>45627</v>
      </c>
      <c r="CA539" s="114">
        <f ca="1">IF(OR(S539&gt;0,AD539&gt;0),IFERROR(
SUMIFS(INDIRECT("'Infos Clientes'!$W"&amp;INDEX('Infos Clientes'!$C:$C,MATCH(C539,'Infos Clientes'!$H:$H,0))&amp;":$CZ"&amp;INDEX('Infos Clientes'!$C:$C,MATCH(C539,'Infos Clientes'!$H:$H,0))),'Infos Clientes'!$W$2:$CZ$2,"&gt;"&amp;$R539-365,'Infos Clientes'!$W$2:$CZ$2,"&lt;="&amp;$R539)/
COUNTIFS(INDIRECT("'Infos Clientes'!$W"&amp;INDEX('Infos Clientes'!$C:$C,MATCH(C539,'Infos Clientes'!$H:$H,0))&amp;":$CZ"&amp;INDEX('Infos Clientes'!$C:$C,MATCH(C539,'Infos Clientes'!$H:$H,0))),"&gt;="&amp;0,'Infos Clientes'!$W$2:$CZ$2,"&gt;"&amp;$R539-365,'Infos Clientes'!$W$2:$CZ$2,"&lt;="&amp;$R539),""),"")</f>
        <v>371.83333333333331</v>
      </c>
      <c r="CB539" s="87">
        <f>VLOOKUP(C539,'Infos Clientes'!B:L,11,0)</f>
        <v>0</v>
      </c>
      <c r="CC539" s="88" t="str">
        <f t="shared" si="337"/>
        <v>A Unidade Consumidora 10/1672452-8 economizou R$50,5 na fatura referente à jun/2025  consumindo 183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39" s="40" t="s">
        <v>56</v>
      </c>
      <c r="CE539" s="43"/>
      <c r="CF539" s="115">
        <f t="shared" si="338"/>
        <v>-143.47000000000003</v>
      </c>
    </row>
    <row r="540" spans="1:85" ht="16.2" hidden="1" customHeight="1" x14ac:dyDescent="0.3">
      <c r="A540" s="105" t="str">
        <f>INDEX('Infos Clientes'!$D:$D,MATCH('Detalhe Por UC'!C540,'Infos Clientes'!B:B,0))</f>
        <v>IGREJA DO EVANGELHO QUADRANGULAR</v>
      </c>
      <c r="B540" s="106" t="str">
        <f>INDEX('Infos Clientes'!$F:$F,MATCH('Detalhe Por UC'!C540,'Infos Clientes'!B:B,0))</f>
        <v>62.955.505/0160-80</v>
      </c>
      <c r="C540" s="44" t="s">
        <v>61</v>
      </c>
      <c r="D540" t="s">
        <v>351</v>
      </c>
      <c r="E540" s="1" t="s">
        <v>352</v>
      </c>
      <c r="F540" s="56" t="str">
        <f>INDEX('Infos Clientes'!$I:$I,MATCH('Detalhe Por UC'!C540,'Infos Clientes'!B:B,0))</f>
        <v>BT</v>
      </c>
      <c r="G540" s="56" t="str">
        <f>INDEX('Infos Clientes'!$J:$J,MATCH('Detalhe Por UC'!C540,'Infos Clientes'!B:B,0))</f>
        <v>trifasico</v>
      </c>
      <c r="H540" s="47" t="str">
        <f t="shared" si="340"/>
        <v>GIROSSOL II</v>
      </c>
      <c r="I540" s="58">
        <f>IFERROR(VLOOKUP(C540,'Infos Clientes'!B:E,4,),"")</f>
        <v>357</v>
      </c>
      <c r="J540" s="109">
        <v>0.23725425614394724</v>
      </c>
      <c r="K540" s="59">
        <f>INDEX('Infos Clientes'!$M:$M,MATCH('Detalhe Por UC'!C540,'Infos Clientes'!B:B,0))</f>
        <v>0.25</v>
      </c>
      <c r="L540" s="125">
        <v>0</v>
      </c>
      <c r="M540" s="56">
        <f>INDEX('Infos Clientes'!$N:$N,MATCH('Detalhe Por UC'!C540,'Infos Clientes'!B:B,0))</f>
        <v>0</v>
      </c>
      <c r="N540" s="56">
        <f t="shared" si="303"/>
        <v>0</v>
      </c>
      <c r="O540" s="56">
        <f t="shared" si="304"/>
        <v>11</v>
      </c>
      <c r="P540" s="56">
        <f t="shared" si="339"/>
        <v>0</v>
      </c>
      <c r="Q540" s="61">
        <f>IFERROR(IFERROR(INDEX('Infos Clientes'!$A$2:$V$9884,MATCH($C540,'Infos Clientes'!$B$2:$B$9884,0),MATCH(Q$8,'Infos Clientes'!$A$2:$V$2,0)),"")
+IF(OR(INDEX('Infos Clientes'!$A$2:$V$9884,MATCH($C540,'Infos Clientes'!$B$2:$B$9884,0),MATCH("Tempo de Fidelidade (meses)",'Infos Clientes'!$A$2:$V$2,0))=0,R540&gt;=MAX(R:R)),0,
ROUND((MAX(R:R)-R540)/(365/12),0)),"")</f>
        <v>0</v>
      </c>
      <c r="R540" s="111">
        <v>45809</v>
      </c>
      <c r="S540" s="17">
        <v>0.02</v>
      </c>
      <c r="T540" s="113">
        <f>IF($H540="GIROSSOL II",AP540/INDEX('Resumo Operacional'!$A$1:$P$1103,17,MATCH('Detalhe Por UC'!$R540,'Resumo Operacional'!$A$1:$P$1,0)),
IF($H540="GIROSSOL II e III",AP540/INDEX('Resumo Operacional'!$A$1:$P$1103,17,MATCH('Detalhe Por UC'!$R540,'Resumo Operacional'!$A$1:$P$1,0)),
""))</f>
        <v>0</v>
      </c>
      <c r="U540" s="113" t="str">
        <f>IF($H540="GIROSSOL III",AP540/INDEX('Resumo Operacional'!$A$1:$P$1103,53,MATCH('Detalhe Por UC'!$R540,'Resumo Operacional'!$A$1:$P$1,0)),
IF($H540="GIROSSOL II e III",AP540/INDEX('Resumo Operacional'!$A$1:$P$1103,53,MATCH('Detalhe Por UC'!$R540,'Resumo Operacional'!$A$1:$P$1,0)),
""))</f>
        <v/>
      </c>
      <c r="V540" s="45"/>
      <c r="X540" s="18">
        <v>1.1754</v>
      </c>
      <c r="Y540" s="18">
        <v>0</v>
      </c>
      <c r="Z540" s="18">
        <v>0</v>
      </c>
      <c r="AA540" s="18"/>
      <c r="AB540" s="18">
        <v>700</v>
      </c>
      <c r="AC540" s="18"/>
      <c r="AD540" s="143">
        <v>0</v>
      </c>
      <c r="AE540" s="35"/>
      <c r="AF540" s="18">
        <v>0</v>
      </c>
      <c r="AG540" s="18">
        <v>0</v>
      </c>
      <c r="AH540" s="48">
        <v>0</v>
      </c>
      <c r="AI540" s="18">
        <v>0</v>
      </c>
      <c r="AJ540" s="18">
        <v>0</v>
      </c>
      <c r="AL540" s="146"/>
      <c r="AN540" s="71">
        <f t="shared" si="305"/>
        <v>0</v>
      </c>
      <c r="AO540" s="71">
        <f t="shared" si="306"/>
        <v>0</v>
      </c>
      <c r="AP540" s="71">
        <f t="shared" si="307"/>
        <v>0</v>
      </c>
      <c r="AQ540" s="72">
        <f>IF(OR($H540="GIROSSOL II",$H540="GIROSSOL II e III"),INDEX('Resumo Operacional'!$A$1:$P$1103,MATCH("Energia Injetada prevista total Fatura da Usina (TUSD)",'Resumo Operacional'!$B$1:$B$1103,0),MATCH('Detalhe Por UC'!$R540,'Resumo Operacional'!$A$1:$P$1,0))*$S540,INDEX('Resumo Operacional'!$A$1:$P$1103,53,MATCH('Detalhe Por UC'!$R540,'Resumo Operacional'!$A$1:$P$1,0))*$S540)</f>
        <v>348.68</v>
      </c>
      <c r="AR540" s="71">
        <f t="shared" si="308"/>
        <v>-348.68</v>
      </c>
      <c r="AS540" s="73">
        <f t="shared" si="309"/>
        <v>822.78</v>
      </c>
      <c r="AT540" s="74">
        <f t="shared" si="310"/>
        <v>822.78</v>
      </c>
      <c r="AU540" s="74" t="str">
        <f t="shared" si="311"/>
        <v/>
      </c>
      <c r="AV540" s="74">
        <f t="shared" si="312"/>
        <v>0</v>
      </c>
      <c r="AW540" s="74">
        <f t="shared" si="313"/>
        <v>0</v>
      </c>
      <c r="AX540" s="74">
        <f t="shared" si="314"/>
        <v>0</v>
      </c>
      <c r="AY540" s="74" t="str">
        <f t="shared" si="315"/>
        <v/>
      </c>
      <c r="AZ540" s="43" t="s">
        <v>354</v>
      </c>
      <c r="BA540" s="43">
        <v>0</v>
      </c>
      <c r="BC540" s="73" t="str">
        <f t="shared" si="316"/>
        <v/>
      </c>
      <c r="BD540" s="73">
        <f t="shared" si="317"/>
        <v>822.78</v>
      </c>
      <c r="BE540" s="73">
        <f t="shared" si="318"/>
        <v>822.78</v>
      </c>
      <c r="BF540" s="77">
        <f t="shared" si="319"/>
        <v>0</v>
      </c>
      <c r="BG540" s="77">
        <f t="shared" si="320"/>
        <v>0</v>
      </c>
      <c r="BH540" s="77">
        <f t="shared" si="321"/>
        <v>0</v>
      </c>
      <c r="BI540" s="78" t="str">
        <f t="shared" si="322"/>
        <v/>
      </c>
      <c r="BJ540" s="79">
        <f t="shared" si="323"/>
        <v>0</v>
      </c>
      <c r="BK540" s="80" t="str">
        <f t="shared" si="324"/>
        <v/>
      </c>
      <c r="BL540" s="80" t="str">
        <f t="shared" si="325"/>
        <v/>
      </c>
      <c r="BM540" s="79" t="str">
        <f t="shared" si="326"/>
        <v/>
      </c>
      <c r="BN540" s="81" t="str">
        <f t="shared" si="327"/>
        <v/>
      </c>
      <c r="BO540" s="82" t="str">
        <f t="shared" si="328"/>
        <v/>
      </c>
      <c r="BP540" s="81" t="str">
        <f t="shared" si="329"/>
        <v/>
      </c>
      <c r="BQ540" s="81" t="str">
        <f t="shared" si="330"/>
        <v/>
      </c>
      <c r="BR540" s="81" t="str">
        <f t="shared" si="331"/>
        <v/>
      </c>
      <c r="BS540" s="82">
        <f t="shared" si="332"/>
        <v>0</v>
      </c>
      <c r="BT540" s="82" t="str">
        <f t="shared" si="333"/>
        <v/>
      </c>
      <c r="BU540" s="82">
        <f t="shared" si="334"/>
        <v>0</v>
      </c>
      <c r="BW540" s="82">
        <f>IFERROR(INDEX('Infos Clientes'!$T:$T,MATCH('Detalhe Por UC'!$C540,'Infos Clientes'!B:B,0)),"")</f>
        <v>958.25</v>
      </c>
      <c r="BX540" s="83">
        <f t="shared" si="335"/>
        <v>0</v>
      </c>
      <c r="BY540" s="84" t="str">
        <f t="shared" si="336"/>
        <v/>
      </c>
      <c r="BZ540" s="85">
        <f>IF(_xlfn.MINIFS('Detalhe Por UC'!R:R,'Detalhe Por UC'!C:C,C540,'Detalhe Por UC'!AD:AD,"&gt;"&amp;0)=0,"",_xlfn.MINIFS('Detalhe Por UC'!R:R,'Detalhe Por UC'!C:C,C540,'Detalhe Por UC'!AD:AD,"&gt;"&amp;0))</f>
        <v>45627</v>
      </c>
      <c r="CA540" s="114">
        <f ca="1">IF(OR(S540&gt;0,AD540&gt;0),IFERROR(
SUMIFS(INDIRECT("'Infos Clientes'!$W"&amp;INDEX('Infos Clientes'!$C:$C,MATCH(C540,'Infos Clientes'!$H:$H,0))&amp;":$CZ"&amp;INDEX('Infos Clientes'!$C:$C,MATCH(C540,'Infos Clientes'!$H:$H,0))),'Infos Clientes'!$W$2:$CZ$2,"&gt;"&amp;$R540-365,'Infos Clientes'!$W$2:$CZ$2,"&lt;="&amp;$R540)/
COUNTIFS(INDIRECT("'Infos Clientes'!$W"&amp;INDEX('Infos Clientes'!$C:$C,MATCH(C540,'Infos Clientes'!$H:$H,0))&amp;":$CZ"&amp;INDEX('Infos Clientes'!$C:$C,MATCH(C540,'Infos Clientes'!$H:$H,0))),"&gt;="&amp;0,'Infos Clientes'!$W$2:$CZ$2,"&gt;"&amp;$R540-365,'Infos Clientes'!$W$2:$CZ$2,"&lt;="&amp;$R540),""),"")</f>
        <v>934.16666666666663</v>
      </c>
      <c r="CB540" s="87">
        <f>VLOOKUP(C540,'Infos Clientes'!B:L,11,0)</f>
        <v>0</v>
      </c>
      <c r="CC540" s="88" t="str">
        <f t="shared" si="337"/>
        <v>A Unidade Consumidora 10/18015-8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0" s="40" t="s">
        <v>63</v>
      </c>
      <c r="CE540" s="43"/>
      <c r="CF540" s="115">
        <f t="shared" si="338"/>
        <v>-822.78</v>
      </c>
    </row>
    <row r="541" spans="1:85" ht="16.2" hidden="1" customHeight="1" x14ac:dyDescent="0.3">
      <c r="A541" s="105" t="str">
        <f>INDEX('Infos Clientes'!$D:$D,MATCH('Detalhe Por UC'!C541,'Infos Clientes'!B:B,0))</f>
        <v>IGREJA DO EVANGELHO QUADRANGULAR</v>
      </c>
      <c r="B541" s="106" t="str">
        <f>INDEX('Infos Clientes'!$F:$F,MATCH('Detalhe Por UC'!C541,'Infos Clientes'!B:B,0))</f>
        <v>62.955.505/0676-60</v>
      </c>
      <c r="C541" s="44" t="s">
        <v>91</v>
      </c>
      <c r="D541" t="s">
        <v>351</v>
      </c>
      <c r="E541" s="1" t="s">
        <v>352</v>
      </c>
      <c r="F541" s="56" t="str">
        <f>INDEX('Infos Clientes'!$I:$I,MATCH('Detalhe Por UC'!C541,'Infos Clientes'!B:B,0))</f>
        <v>BT</v>
      </c>
      <c r="G541" s="56" t="str">
        <f>INDEX('Infos Clientes'!$J:$J,MATCH('Detalhe Por UC'!C541,'Infos Clientes'!B:B,0))</f>
        <v>trifasico</v>
      </c>
      <c r="H541" s="47" t="str">
        <f t="shared" si="340"/>
        <v>GIROSSOL II</v>
      </c>
      <c r="I541" s="58">
        <f>IFERROR(VLOOKUP(C541,'Infos Clientes'!B:E,4,),"")</f>
        <v>357</v>
      </c>
      <c r="J541" s="109">
        <v>0.23725425614394724</v>
      </c>
      <c r="K541" s="59">
        <f>INDEX('Infos Clientes'!$M:$M,MATCH('Detalhe Por UC'!C541,'Infos Clientes'!B:B,0))</f>
        <v>0.25</v>
      </c>
      <c r="L541" s="125">
        <v>0</v>
      </c>
      <c r="M541" s="56">
        <f>INDEX('Infos Clientes'!$N:$N,MATCH('Detalhe Por UC'!C541,'Infos Clientes'!B:B,0))</f>
        <v>0</v>
      </c>
      <c r="N541" s="56">
        <f t="shared" si="303"/>
        <v>0</v>
      </c>
      <c r="O541" s="56">
        <f t="shared" si="304"/>
        <v>12</v>
      </c>
      <c r="P541" s="56">
        <f t="shared" si="339"/>
        <v>0</v>
      </c>
      <c r="Q541" s="61">
        <f>IFERROR(IFERROR(INDEX('Infos Clientes'!$A$2:$V$9884,MATCH($C541,'Infos Clientes'!$B$2:$B$9884,0),MATCH(Q$8,'Infos Clientes'!$A$2:$V$2,0)),"")
+IF(OR(INDEX('Infos Clientes'!$A$2:$V$9884,MATCH($C541,'Infos Clientes'!$B$2:$B$9884,0),MATCH("Tempo de Fidelidade (meses)",'Infos Clientes'!$A$2:$V$2,0))=0,R541&gt;=MAX(R:R)),0,
ROUND((MAX(R:R)-R541)/(365/12),0)),"")</f>
        <v>0</v>
      </c>
      <c r="R541" s="111">
        <v>45809</v>
      </c>
      <c r="S541" s="17">
        <v>0.04</v>
      </c>
      <c r="T541" s="113">
        <f>IF($H541="GIROSSOL II",AP541/INDEX('Resumo Operacional'!$A$1:$P$1103,17,MATCH('Detalhe Por UC'!$R541,'Resumo Operacional'!$A$1:$P$1,0)),
IF($H541="GIROSSOL II e III",AP541/INDEX('Resumo Operacional'!$A$1:$P$1103,17,MATCH('Detalhe Por UC'!$R541,'Resumo Operacional'!$A$1:$P$1,0)),
""))</f>
        <v>0</v>
      </c>
      <c r="U541" s="113" t="str">
        <f>IF($H541="GIROSSOL III",AP541/INDEX('Resumo Operacional'!$A$1:$P$1103,53,MATCH('Detalhe Por UC'!$R541,'Resumo Operacional'!$A$1:$P$1,0)),
IF($H541="GIROSSOL II e III",AP541/INDEX('Resumo Operacional'!$A$1:$P$1103,53,MATCH('Detalhe Por UC'!$R541,'Resumo Operacional'!$A$1:$P$1,0)),
""))</f>
        <v/>
      </c>
      <c r="V541" s="45"/>
      <c r="X541" s="18">
        <v>1.1631175257731958</v>
      </c>
      <c r="Y541" s="18">
        <v>0</v>
      </c>
      <c r="Z541" s="18">
        <v>1.1631236111111112</v>
      </c>
      <c r="AA541" s="18"/>
      <c r="AB541" s="18">
        <v>388</v>
      </c>
      <c r="AC541" s="18"/>
      <c r="AD541" s="143">
        <v>288</v>
      </c>
      <c r="AE541" s="35"/>
      <c r="AF541" s="18">
        <v>466</v>
      </c>
      <c r="AG541" s="18">
        <v>0</v>
      </c>
      <c r="AH541" s="48">
        <v>0</v>
      </c>
      <c r="AI541" s="18">
        <v>0</v>
      </c>
      <c r="AJ541" s="18">
        <v>0</v>
      </c>
      <c r="AL541" s="146"/>
      <c r="AN541" s="71">
        <f t="shared" si="305"/>
        <v>-288</v>
      </c>
      <c r="AO541" s="71">
        <f t="shared" si="306"/>
        <v>0</v>
      </c>
      <c r="AP541" s="71">
        <f t="shared" si="307"/>
        <v>0</v>
      </c>
      <c r="AQ541" s="72">
        <f>IF(OR($H541="GIROSSOL II",$H541="GIROSSOL II e III"),INDEX('Resumo Operacional'!$A$1:$P$1103,MATCH("Energia Injetada prevista total Fatura da Usina (TUSD)",'Resumo Operacional'!$B$1:$B$1103,0),MATCH('Detalhe Por UC'!$R541,'Resumo Operacional'!$A$1:$P$1,0))*$S541,INDEX('Resumo Operacional'!$A$1:$P$1103,53,MATCH('Detalhe Por UC'!$R541,'Resumo Operacional'!$A$1:$P$1,0))*$S541)</f>
        <v>697.36</v>
      </c>
      <c r="AR541" s="71">
        <f t="shared" si="308"/>
        <v>-697.36</v>
      </c>
      <c r="AS541" s="73">
        <f t="shared" si="309"/>
        <v>116.31</v>
      </c>
      <c r="AT541" s="74">
        <f t="shared" si="310"/>
        <v>116.31</v>
      </c>
      <c r="AU541" s="74">
        <f t="shared" si="311"/>
        <v>1.1631296964490265</v>
      </c>
      <c r="AV541" s="74">
        <f t="shared" si="312"/>
        <v>255.50426417860302</v>
      </c>
      <c r="AW541" s="74">
        <f t="shared" si="313"/>
        <v>0</v>
      </c>
      <c r="AX541" s="74">
        <f t="shared" si="314"/>
        <v>334.9796</v>
      </c>
      <c r="AY541" s="74">
        <f t="shared" si="315"/>
        <v>255.5</v>
      </c>
      <c r="AZ541" s="43">
        <v>251.23</v>
      </c>
      <c r="BA541" s="43">
        <v>251.23</v>
      </c>
      <c r="BB541" s="43">
        <v>251.23</v>
      </c>
      <c r="BC541" s="73" t="str">
        <f t="shared" si="316"/>
        <v/>
      </c>
      <c r="BD541" s="73">
        <f t="shared" si="317"/>
        <v>451.28960000000001</v>
      </c>
      <c r="BE541" s="73">
        <f t="shared" si="318"/>
        <v>371.81426417860303</v>
      </c>
      <c r="BF541" s="77">
        <f t="shared" si="319"/>
        <v>79.48</v>
      </c>
      <c r="BG541" s="77">
        <f t="shared" si="320"/>
        <v>23.844000000000001</v>
      </c>
      <c r="BH541" s="77">
        <f t="shared" si="321"/>
        <v>334.9796</v>
      </c>
      <c r="BI541" s="78">
        <f t="shared" si="322"/>
        <v>0.24</v>
      </c>
      <c r="BJ541" s="79">
        <f t="shared" si="323"/>
        <v>0.1761175085798565</v>
      </c>
      <c r="BK541" s="80">
        <f t="shared" si="324"/>
        <v>371.81</v>
      </c>
      <c r="BL541" s="80">
        <f t="shared" si="325"/>
        <v>79.479600000000005</v>
      </c>
      <c r="BM541" s="79">
        <f t="shared" si="326"/>
        <v>0.17611662223104632</v>
      </c>
      <c r="BN541" s="81">
        <f t="shared" si="327"/>
        <v>0.88715277777777779</v>
      </c>
      <c r="BO541" s="82">
        <f t="shared" si="328"/>
        <v>255.5</v>
      </c>
      <c r="BP541" s="81">
        <f t="shared" si="329"/>
        <v>0.88715277777777779</v>
      </c>
      <c r="BQ541" s="81">
        <f t="shared" si="330"/>
        <v>0.88714669243986244</v>
      </c>
      <c r="BR541" s="81">
        <f t="shared" si="331"/>
        <v>1.1631175257731958</v>
      </c>
      <c r="BS541" s="82">
        <f t="shared" si="332"/>
        <v>288</v>
      </c>
      <c r="BT541" s="82">
        <f t="shared" si="333"/>
        <v>334.97784742268038</v>
      </c>
      <c r="BU541" s="82">
        <f t="shared" si="334"/>
        <v>334.9796</v>
      </c>
      <c r="BW541" s="82">
        <f>IFERROR(INDEX('Infos Clientes'!$T:$T,MATCH('Detalhe Por UC'!$C541,'Infos Clientes'!B:B,0)),"")</f>
        <v>708</v>
      </c>
      <c r="BX541" s="83">
        <f t="shared" si="335"/>
        <v>0</v>
      </c>
      <c r="BY541" s="84">
        <f t="shared" si="336"/>
        <v>0.23726822717238191</v>
      </c>
      <c r="BZ541" s="85">
        <f>IF(_xlfn.MINIFS('Detalhe Por UC'!R:R,'Detalhe Por UC'!C:C,C541,'Detalhe Por UC'!AD:AD,"&gt;"&amp;0)=0,"",_xlfn.MINIFS('Detalhe Por UC'!R:R,'Detalhe Por UC'!C:C,C541,'Detalhe Por UC'!AD:AD,"&gt;"&amp;0))</f>
        <v>45627</v>
      </c>
      <c r="CA541" s="114">
        <f ca="1">IF(OR(S541&gt;0,AD541&gt;0),IFERROR(
SUMIFS(INDIRECT("'Infos Clientes'!$W"&amp;INDEX('Infos Clientes'!$C:$C,MATCH(C541,'Infos Clientes'!$H:$H,0))&amp;":$CZ"&amp;INDEX('Infos Clientes'!$C:$C,MATCH(C541,'Infos Clientes'!$H:$H,0))),'Infos Clientes'!$W$2:$CZ$2,"&gt;"&amp;$R541-365,'Infos Clientes'!$W$2:$CZ$2,"&lt;="&amp;$R541)/
COUNTIFS(INDIRECT("'Infos Clientes'!$W"&amp;INDEX('Infos Clientes'!$C:$C,MATCH(C541,'Infos Clientes'!$H:$H,0))&amp;":$CZ"&amp;INDEX('Infos Clientes'!$C:$C,MATCH(C541,'Infos Clientes'!$H:$H,0))),"&gt;="&amp;0,'Infos Clientes'!$W$2:$CZ$2,"&gt;"&amp;$R541-365,'Infos Clientes'!$W$2:$CZ$2,"&lt;="&amp;$R541),""),"")</f>
        <v>657.16666666666663</v>
      </c>
      <c r="CB541" s="87">
        <f>VLOOKUP(C541,'Infos Clientes'!B:L,11,0)</f>
        <v>0</v>
      </c>
      <c r="CC541" s="88" t="str">
        <f t="shared" si="337"/>
        <v>A Unidade Consumidora 10/29964-4 economizou R$79,48 na fatura referente à jun/2025  consumindo 288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1" s="40" t="s">
        <v>93</v>
      </c>
      <c r="CE541" s="43"/>
      <c r="CF541" s="115">
        <f t="shared" si="338"/>
        <v>-116.31</v>
      </c>
    </row>
    <row r="542" spans="1:85" ht="16.2" hidden="1" customHeight="1" x14ac:dyDescent="0.3">
      <c r="A542" s="105" t="str">
        <f>INDEX('Infos Clientes'!$D:$D,MATCH('Detalhe Por UC'!C542,'Infos Clientes'!B:B,0))</f>
        <v>IGREJA DO EVANGELHO QUADRANGULAR</v>
      </c>
      <c r="B542" s="106" t="str">
        <f>INDEX('Infos Clientes'!$F:$F,MATCH('Detalhe Por UC'!C542,'Infos Clientes'!B:B,0))</f>
        <v>62.955.505/2157-91</v>
      </c>
      <c r="C542" s="147" t="s">
        <v>64</v>
      </c>
      <c r="D542" t="s">
        <v>351</v>
      </c>
      <c r="E542" s="1" t="s">
        <v>352</v>
      </c>
      <c r="F542" s="56" t="str">
        <f>INDEX('Infos Clientes'!$I:$I,MATCH('Detalhe Por UC'!C542,'Infos Clientes'!B:B,0))</f>
        <v>BT</v>
      </c>
      <c r="G542" s="56" t="str">
        <f>INDEX('Infos Clientes'!$J:$J,MATCH('Detalhe Por UC'!C542,'Infos Clientes'!B:B,0))</f>
        <v>trifasico</v>
      </c>
      <c r="H542" s="47" t="str">
        <f t="shared" si="340"/>
        <v>GIROSSOL II</v>
      </c>
      <c r="I542" s="58">
        <f>IFERROR(VLOOKUP(C542,'Infos Clientes'!B:E,4,),"")</f>
        <v>349</v>
      </c>
      <c r="J542" s="109">
        <v>0.23725425614394724</v>
      </c>
      <c r="K542" s="59">
        <f>INDEX('Infos Clientes'!$M:$M,MATCH('Detalhe Por UC'!C542,'Infos Clientes'!B:B,0))</f>
        <v>0.25</v>
      </c>
      <c r="L542" s="125">
        <v>0</v>
      </c>
      <c r="M542" s="56">
        <f>INDEX('Infos Clientes'!$N:$N,MATCH('Detalhe Por UC'!C542,'Infos Clientes'!B:B,0))</f>
        <v>0</v>
      </c>
      <c r="N542" s="56">
        <f t="shared" si="303"/>
        <v>0</v>
      </c>
      <c r="O542" s="56">
        <f t="shared" si="304"/>
        <v>12</v>
      </c>
      <c r="P542" s="56">
        <f t="shared" si="339"/>
        <v>0</v>
      </c>
      <c r="Q542" s="61">
        <f>IFERROR(IFERROR(INDEX('Infos Clientes'!$A$2:$V$9884,MATCH($C542,'Infos Clientes'!$B$2:$B$9884,0),MATCH(Q$8,'Infos Clientes'!$A$2:$V$2,0)),"")
+IF(OR(INDEX('Infos Clientes'!$A$2:$V$9884,MATCH($C542,'Infos Clientes'!$B$2:$B$9884,0),MATCH("Tempo de Fidelidade (meses)",'Infos Clientes'!$A$2:$V$2,0))=0,R542&gt;=MAX(R:R)),0,
ROUND((MAX(R:R)-R542)/(365/12),0)),"")</f>
        <v>0</v>
      </c>
      <c r="R542" s="111">
        <v>45809</v>
      </c>
      <c r="S542" s="17">
        <v>0.01</v>
      </c>
      <c r="T542" s="113">
        <f>IF($H542="GIROSSOL II",AP542/INDEX('Resumo Operacional'!$A$1:$P$1103,17,MATCH('Detalhe Por UC'!$R542,'Resumo Operacional'!$A$1:$P$1,0)),
IF($H542="GIROSSOL II e III",AP542/INDEX('Resumo Operacional'!$A$1:$P$1103,17,MATCH('Detalhe Por UC'!$R542,'Resumo Operacional'!$A$1:$P$1,0)),
""))</f>
        <v>5.6842950556384074E-2</v>
      </c>
      <c r="U542" s="113" t="str">
        <f>IF($H542="GIROSSOL III",AP542/INDEX('Resumo Operacional'!$A$1:$P$1103,53,MATCH('Detalhe Por UC'!$R542,'Resumo Operacional'!$A$1:$P$1,0)),
IF($H542="GIROSSOL II e III",AP542/INDEX('Resumo Operacional'!$A$1:$P$1103,53,MATCH('Detalhe Por UC'!$R542,'Resumo Operacional'!$A$1:$P$1,0)),
""))</f>
        <v/>
      </c>
      <c r="V542" s="45"/>
      <c r="W542" s="143"/>
      <c r="X542" s="143">
        <v>1.1793335664335665</v>
      </c>
      <c r="Y542" s="143">
        <v>0</v>
      </c>
      <c r="Z542" s="143">
        <v>1.1793133738601822</v>
      </c>
      <c r="AA542" s="143"/>
      <c r="AB542" s="143">
        <v>429</v>
      </c>
      <c r="AC542" s="143"/>
      <c r="AD542" s="143">
        <v>329</v>
      </c>
      <c r="AE542" s="35"/>
      <c r="AF542" s="143">
        <v>662</v>
      </c>
      <c r="AG542" s="143">
        <v>0</v>
      </c>
      <c r="AH542" s="143">
        <v>92.51</v>
      </c>
      <c r="AI542" s="143">
        <v>0</v>
      </c>
      <c r="AJ542" s="143">
        <v>0</v>
      </c>
      <c r="AL542" s="146"/>
      <c r="AN542" s="71">
        <f t="shared" si="305"/>
        <v>662</v>
      </c>
      <c r="AO542" s="71">
        <f t="shared" si="306"/>
        <v>0</v>
      </c>
      <c r="AP542" s="71">
        <f t="shared" si="307"/>
        <v>991</v>
      </c>
      <c r="AQ542" s="72">
        <f>IF(OR($H542="GIROSSOL II",$H542="GIROSSOL II e III"),INDEX('Resumo Operacional'!$A$1:$P$1103,MATCH("Energia Injetada prevista total Fatura da Usina (TUSD)",'Resumo Operacional'!$B$1:$B$1103,0),MATCH('Detalhe Por UC'!$R542,'Resumo Operacional'!$A$1:$P$1,0))*$S542,INDEX('Resumo Operacional'!$A$1:$P$1103,53,MATCH('Detalhe Por UC'!$R542,'Resumo Operacional'!$A$1:$P$1,0))*$S542)</f>
        <v>174.34</v>
      </c>
      <c r="AR542" s="71">
        <f t="shared" si="308"/>
        <v>816.66</v>
      </c>
      <c r="AS542" s="73">
        <f t="shared" si="309"/>
        <v>210.45000000000005</v>
      </c>
      <c r="AT542" s="74">
        <f t="shared" si="310"/>
        <v>210.45000000000005</v>
      </c>
      <c r="AU542" s="74">
        <f t="shared" si="311"/>
        <v>1.1792931812867979</v>
      </c>
      <c r="AV542" s="74">
        <f t="shared" si="312"/>
        <v>295.94084841625971</v>
      </c>
      <c r="AW542" s="74">
        <f t="shared" si="313"/>
        <v>0</v>
      </c>
      <c r="AX542" s="74">
        <f t="shared" si="314"/>
        <v>387.99409999999995</v>
      </c>
      <c r="AY542" s="74">
        <f t="shared" si="315"/>
        <v>295.94</v>
      </c>
      <c r="AZ542" s="43">
        <v>291</v>
      </c>
      <c r="BA542" s="43">
        <v>291</v>
      </c>
      <c r="BB542" s="43">
        <v>291</v>
      </c>
      <c r="BC542" s="73" t="str">
        <f t="shared" si="316"/>
        <v/>
      </c>
      <c r="BD542" s="73">
        <f t="shared" si="317"/>
        <v>598.44410000000005</v>
      </c>
      <c r="BE542" s="73">
        <f t="shared" si="318"/>
        <v>506.39084841625976</v>
      </c>
      <c r="BF542" s="77">
        <f t="shared" si="319"/>
        <v>92.05</v>
      </c>
      <c r="BG542" s="77">
        <f t="shared" si="320"/>
        <v>27.614999999999998</v>
      </c>
      <c r="BH542" s="77">
        <f t="shared" si="321"/>
        <v>387.99409999999995</v>
      </c>
      <c r="BI542" s="78">
        <f t="shared" si="322"/>
        <v>0.24</v>
      </c>
      <c r="BJ542" s="79">
        <f t="shared" si="323"/>
        <v>0.15381553598740466</v>
      </c>
      <c r="BK542" s="80">
        <f t="shared" si="324"/>
        <v>506.39000000000004</v>
      </c>
      <c r="BL542" s="80">
        <f t="shared" si="325"/>
        <v>92.054100000000005</v>
      </c>
      <c r="BM542" s="79">
        <f t="shared" si="326"/>
        <v>0.15382238708678053</v>
      </c>
      <c r="BN542" s="81">
        <f t="shared" si="327"/>
        <v>0.89951367781155012</v>
      </c>
      <c r="BO542" s="82">
        <f t="shared" si="328"/>
        <v>295.94</v>
      </c>
      <c r="BP542" s="81">
        <f t="shared" si="329"/>
        <v>0.89951367781155012</v>
      </c>
      <c r="BQ542" s="81">
        <f t="shared" si="330"/>
        <v>0.89953387038493438</v>
      </c>
      <c r="BR542" s="81">
        <f t="shared" si="331"/>
        <v>1.1793335664335665</v>
      </c>
      <c r="BS542" s="82">
        <f t="shared" si="332"/>
        <v>329</v>
      </c>
      <c r="BT542" s="82">
        <f t="shared" si="333"/>
        <v>388.00074335664334</v>
      </c>
      <c r="BU542" s="82">
        <f t="shared" si="334"/>
        <v>387.99409999999995</v>
      </c>
      <c r="BW542" s="82">
        <f>IFERROR(INDEX('Infos Clientes'!$T:$T,MATCH('Detalhe Por UC'!$C542,'Infos Clientes'!B:B,0)),"")</f>
        <v>802.5</v>
      </c>
      <c r="BX542" s="83">
        <f t="shared" si="335"/>
        <v>0</v>
      </c>
      <c r="BY542" s="84">
        <f t="shared" si="336"/>
        <v>0.23725238050738853</v>
      </c>
      <c r="BZ542" s="85">
        <f>IF(_xlfn.MINIFS('Detalhe Por UC'!R:R,'Detalhe Por UC'!C:C,C542,'Detalhe Por UC'!AD:AD,"&gt;"&amp;0)=0,"",_xlfn.MINIFS('Detalhe Por UC'!R:R,'Detalhe Por UC'!C:C,C542,'Detalhe Por UC'!AD:AD,"&gt;"&amp;0))</f>
        <v>45627</v>
      </c>
      <c r="CA542" s="114">
        <f ca="1">IF(OR(S542&gt;0,AD542&gt;0),IFERROR(
SUMIFS(INDIRECT("'Infos Clientes'!$W"&amp;INDEX('Infos Clientes'!$C:$C,MATCH(C542,'Infos Clientes'!$H:$H,0))&amp;":$CZ"&amp;INDEX('Infos Clientes'!$C:$C,MATCH(C542,'Infos Clientes'!$H:$H,0))),'Infos Clientes'!$W$2:$CZ$2,"&gt;"&amp;$R542-365,'Infos Clientes'!$W$2:$CZ$2,"&lt;="&amp;$R542)/
COUNTIFS(INDIRECT("'Infos Clientes'!$W"&amp;INDEX('Infos Clientes'!$C:$C,MATCH(C542,'Infos Clientes'!$H:$H,0))&amp;":$CZ"&amp;INDEX('Infos Clientes'!$C:$C,MATCH(C542,'Infos Clientes'!$H:$H,0))),"&gt;="&amp;0,'Infos Clientes'!$W$2:$CZ$2,"&gt;"&amp;$R542-365,'Infos Clientes'!$W$2:$CZ$2,"&lt;="&amp;$R542),""),"")</f>
        <v>741.66666666666663</v>
      </c>
      <c r="CB542" s="87">
        <f>VLOOKUP(C542,'Infos Clientes'!B:L,11,0)</f>
        <v>0</v>
      </c>
      <c r="CC542" s="88" t="str">
        <f t="shared" si="337"/>
        <v>A Unidade Consumidora 10/191945-5 economizou R$92,05 na fatura referente à jun/2025  consumindo 329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2" s="40" t="s">
        <v>66</v>
      </c>
      <c r="CE542" s="43"/>
      <c r="CF542" s="115">
        <f t="shared" si="338"/>
        <v>-210.45000000000005</v>
      </c>
    </row>
    <row r="543" spans="1:85" ht="16.2" hidden="1" customHeight="1" x14ac:dyDescent="0.3">
      <c r="A543" s="105" t="str">
        <f>INDEX('Infos Clientes'!$D:$D,MATCH('Detalhe Por UC'!C543,'Infos Clientes'!B:B,0))</f>
        <v>IGREJA DO EVANGELHO QUADRANGULAR</v>
      </c>
      <c r="B543" s="106" t="str">
        <f>INDEX('Infos Clientes'!$F:$F,MATCH('Detalhe Por UC'!C543,'Infos Clientes'!B:B,0))</f>
        <v>62.955.505/3216-30</v>
      </c>
      <c r="C543" s="44" t="s">
        <v>116</v>
      </c>
      <c r="D543" t="s">
        <v>351</v>
      </c>
      <c r="E543" s="1" t="s">
        <v>352</v>
      </c>
      <c r="F543" s="56" t="str">
        <f>INDEX('Infos Clientes'!$I:$I,MATCH('Detalhe Por UC'!C543,'Infos Clientes'!B:B,0))</f>
        <v>BT</v>
      </c>
      <c r="G543" s="56" t="str">
        <f>INDEX('Infos Clientes'!$J:$J,MATCH('Detalhe Por UC'!C543,'Infos Clientes'!B:B,0))</f>
        <v>trifasico</v>
      </c>
      <c r="H543" s="47" t="str">
        <f t="shared" si="340"/>
        <v>GIROSSOL II</v>
      </c>
      <c r="I543" s="58">
        <f>IFERROR(VLOOKUP(C543,'Infos Clientes'!B:E,4,),"")</f>
        <v>371</v>
      </c>
      <c r="J543" s="109">
        <v>0.23725425614394724</v>
      </c>
      <c r="K543" s="59">
        <f>INDEX('Infos Clientes'!$M:$M,MATCH('Detalhe Por UC'!C543,'Infos Clientes'!B:B,0))</f>
        <v>0.25</v>
      </c>
      <c r="L543" s="125">
        <v>0</v>
      </c>
      <c r="M543" s="56">
        <f>INDEX('Infos Clientes'!$N:$N,MATCH('Detalhe Por UC'!C543,'Infos Clientes'!B:B,0))</f>
        <v>0</v>
      </c>
      <c r="N543" s="56">
        <f t="shared" si="303"/>
        <v>0</v>
      </c>
      <c r="O543" s="56">
        <f t="shared" si="304"/>
        <v>9</v>
      </c>
      <c r="P543" s="56">
        <f t="shared" si="339"/>
        <v>0</v>
      </c>
      <c r="Q543" s="61">
        <f>IFERROR(IFERROR(INDEX('Infos Clientes'!$A$2:$V$9884,MATCH($C543,'Infos Clientes'!$B$2:$B$9884,0),MATCH(Q$8,'Infos Clientes'!$A$2:$V$2,0)),"")
+IF(OR(INDEX('Infos Clientes'!$A$2:$V$9884,MATCH($C543,'Infos Clientes'!$B$2:$B$9884,0),MATCH("Tempo de Fidelidade (meses)",'Infos Clientes'!$A$2:$V$2,0))=0,R543&gt;=MAX(R:R)),0,
ROUND((MAX(R:R)-R543)/(365/12),0)),"")</f>
        <v>0</v>
      </c>
      <c r="R543" s="111">
        <v>45809</v>
      </c>
      <c r="S543" s="17">
        <v>0</v>
      </c>
      <c r="T543" s="113">
        <f>IF($H543="GIROSSOL II",AP543/INDEX('Resumo Operacional'!$A$1:$P$1103,17,MATCH('Detalhe Por UC'!$R543,'Resumo Operacional'!$A$1:$P$1,0)),
IF($H543="GIROSSOL II e III",AP543/INDEX('Resumo Operacional'!$A$1:$P$1103,17,MATCH('Detalhe Por UC'!$R543,'Resumo Operacional'!$A$1:$P$1,0)),
""))</f>
        <v>0</v>
      </c>
      <c r="U543" s="113" t="str">
        <f>IF($H543="GIROSSOL III",AP543/INDEX('Resumo Operacional'!$A$1:$P$1103,53,MATCH('Detalhe Por UC'!$R543,'Resumo Operacional'!$A$1:$P$1,0)),
IF($H543="GIROSSOL II e III",AP543/INDEX('Resumo Operacional'!$A$1:$P$1103,53,MATCH('Detalhe Por UC'!$R543,'Resumo Operacional'!$A$1:$P$1,0)),
""))</f>
        <v/>
      </c>
      <c r="V543" s="45"/>
      <c r="X543" s="18">
        <v>1.1551604278074865</v>
      </c>
      <c r="Y543" s="18">
        <v>0</v>
      </c>
      <c r="Z543" s="18">
        <v>0</v>
      </c>
      <c r="AA543" s="18"/>
      <c r="AB543" s="18">
        <v>374</v>
      </c>
      <c r="AC543" s="18"/>
      <c r="AD543" s="143">
        <v>0</v>
      </c>
      <c r="AE543" s="35"/>
      <c r="AF543" s="18">
        <v>0</v>
      </c>
      <c r="AG543" s="18">
        <v>0</v>
      </c>
      <c r="AH543" s="48">
        <v>80.180000000000007</v>
      </c>
      <c r="AI543" s="18">
        <v>0</v>
      </c>
      <c r="AJ543" s="18">
        <v>0</v>
      </c>
      <c r="AL543" s="146"/>
      <c r="AN543" s="71">
        <f t="shared" si="305"/>
        <v>0</v>
      </c>
      <c r="AO543" s="71">
        <f t="shared" si="306"/>
        <v>0</v>
      </c>
      <c r="AP543" s="71">
        <f t="shared" si="307"/>
        <v>0</v>
      </c>
      <c r="AQ543" s="72">
        <f>IF(OR($H543="GIROSSOL II",$H543="GIROSSOL II e III"),INDEX('Resumo Operacional'!$A$1:$P$1103,MATCH("Energia Injetada prevista total Fatura da Usina (TUSD)",'Resumo Operacional'!$B$1:$B$1103,0),MATCH('Detalhe Por UC'!$R543,'Resumo Operacional'!$A$1:$P$1,0))*$S543,INDEX('Resumo Operacional'!$A$1:$P$1103,53,MATCH('Detalhe Por UC'!$R543,'Resumo Operacional'!$A$1:$P$1,0))*$S543)</f>
        <v>0</v>
      </c>
      <c r="AR543" s="71">
        <f t="shared" si="308"/>
        <v>0</v>
      </c>
      <c r="AS543" s="73">
        <f t="shared" si="309"/>
        <v>512.21</v>
      </c>
      <c r="AT543" s="74">
        <f t="shared" si="310"/>
        <v>512.21</v>
      </c>
      <c r="AU543" s="74" t="str">
        <f t="shared" si="311"/>
        <v/>
      </c>
      <c r="AV543" s="74">
        <f t="shared" si="312"/>
        <v>0</v>
      </c>
      <c r="AW543" s="74">
        <f t="shared" si="313"/>
        <v>0</v>
      </c>
      <c r="AX543" s="74">
        <f t="shared" si="314"/>
        <v>0</v>
      </c>
      <c r="AY543" s="74" t="str">
        <f t="shared" si="315"/>
        <v/>
      </c>
      <c r="AZ543" s="43" t="s">
        <v>354</v>
      </c>
      <c r="BA543" s="43">
        <v>0</v>
      </c>
      <c r="BC543" s="73" t="str">
        <f t="shared" si="316"/>
        <v/>
      </c>
      <c r="BD543" s="73">
        <f t="shared" si="317"/>
        <v>512.21</v>
      </c>
      <c r="BE543" s="73">
        <f t="shared" si="318"/>
        <v>512.21</v>
      </c>
      <c r="BF543" s="77">
        <f t="shared" si="319"/>
        <v>0</v>
      </c>
      <c r="BG543" s="77">
        <f t="shared" si="320"/>
        <v>0</v>
      </c>
      <c r="BH543" s="77">
        <f t="shared" si="321"/>
        <v>0</v>
      </c>
      <c r="BI543" s="78" t="str">
        <f t="shared" si="322"/>
        <v/>
      </c>
      <c r="BJ543" s="79">
        <f t="shared" si="323"/>
        <v>0</v>
      </c>
      <c r="BK543" s="80" t="str">
        <f t="shared" si="324"/>
        <v/>
      </c>
      <c r="BL543" s="80" t="str">
        <f t="shared" si="325"/>
        <v/>
      </c>
      <c r="BM543" s="79" t="str">
        <f t="shared" si="326"/>
        <v/>
      </c>
      <c r="BN543" s="81" t="str">
        <f t="shared" si="327"/>
        <v/>
      </c>
      <c r="BO543" s="82" t="str">
        <f t="shared" si="328"/>
        <v/>
      </c>
      <c r="BP543" s="81" t="str">
        <f t="shared" si="329"/>
        <v/>
      </c>
      <c r="BQ543" s="81" t="str">
        <f t="shared" si="330"/>
        <v/>
      </c>
      <c r="BR543" s="81" t="str">
        <f t="shared" si="331"/>
        <v/>
      </c>
      <c r="BS543" s="82">
        <f t="shared" si="332"/>
        <v>0</v>
      </c>
      <c r="BT543" s="82" t="str">
        <f t="shared" si="333"/>
        <v/>
      </c>
      <c r="BU543" s="82">
        <f t="shared" si="334"/>
        <v>0</v>
      </c>
      <c r="BW543" s="82">
        <f>IFERROR(INDEX('Infos Clientes'!$T:$T,MATCH('Detalhe Por UC'!$C543,'Infos Clientes'!B:B,0)),"")</f>
        <v>513.41666666666663</v>
      </c>
      <c r="BX543" s="83">
        <f t="shared" si="335"/>
        <v>0</v>
      </c>
      <c r="BY543" s="84" t="str">
        <f t="shared" si="336"/>
        <v/>
      </c>
      <c r="BZ543" s="85">
        <f>IF(_xlfn.MINIFS('Detalhe Por UC'!R:R,'Detalhe Por UC'!C:C,C543,'Detalhe Por UC'!AD:AD,"&gt;"&amp;0)=0,"",_xlfn.MINIFS('Detalhe Por UC'!R:R,'Detalhe Por UC'!C:C,C543,'Detalhe Por UC'!AD:AD,"&gt;"&amp;0))</f>
        <v>45627</v>
      </c>
      <c r="CA543" s="114" t="str">
        <f ca="1">IF(OR(S543&gt;0,AD543&gt;0),IFERROR(
SUMIFS(INDIRECT("'Infos Clientes'!$W"&amp;INDEX('Infos Clientes'!$C:$C,MATCH(C543,'Infos Clientes'!$H:$H,0))&amp;":$CZ"&amp;INDEX('Infos Clientes'!$C:$C,MATCH(C543,'Infos Clientes'!$H:$H,0))),'Infos Clientes'!$W$2:$CZ$2,"&gt;"&amp;$R543-365,'Infos Clientes'!$W$2:$CZ$2,"&lt;="&amp;$R543)/
COUNTIFS(INDIRECT("'Infos Clientes'!$W"&amp;INDEX('Infos Clientes'!$C:$C,MATCH(C543,'Infos Clientes'!$H:$H,0))&amp;":$CZ"&amp;INDEX('Infos Clientes'!$C:$C,MATCH(C543,'Infos Clientes'!$H:$H,0))),"&gt;="&amp;0,'Infos Clientes'!$W$2:$CZ$2,"&gt;"&amp;$R543-365,'Infos Clientes'!$W$2:$CZ$2,"&lt;="&amp;$R543),""),"")</f>
        <v/>
      </c>
      <c r="CB543" s="87">
        <f>VLOOKUP(C543,'Infos Clientes'!B:L,11,0)</f>
        <v>0</v>
      </c>
      <c r="CC543" s="88" t="str">
        <f t="shared" si="337"/>
        <v>A Unidade Consumidora 10/513413-5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3" s="40" t="s">
        <v>118</v>
      </c>
      <c r="CE543" s="43"/>
      <c r="CF543" s="115">
        <f t="shared" si="338"/>
        <v>-512.21</v>
      </c>
    </row>
    <row r="544" spans="1:85" ht="16.2" hidden="1" customHeight="1" x14ac:dyDescent="0.3">
      <c r="A544" s="105" t="str">
        <f>INDEX('Infos Clientes'!$D:$D,MATCH('Detalhe Por UC'!C544,'Infos Clientes'!B:B,0))</f>
        <v>IGREJA DO EVANGELHO QUADRANGULAR</v>
      </c>
      <c r="B544" s="106" t="str">
        <f>INDEX('Infos Clientes'!$F:$F,MATCH('Detalhe Por UC'!C544,'Infos Clientes'!B:B,0))</f>
        <v>62.955.505/3671-17</v>
      </c>
      <c r="C544" s="44" t="s">
        <v>111</v>
      </c>
      <c r="D544" t="s">
        <v>351</v>
      </c>
      <c r="E544" s="1" t="s">
        <v>352</v>
      </c>
      <c r="F544" s="56" t="str">
        <f>INDEX('Infos Clientes'!$I:$I,MATCH('Detalhe Por UC'!C544,'Infos Clientes'!B:B,0))</f>
        <v>BT</v>
      </c>
      <c r="G544" s="56" t="str">
        <f>INDEX('Infos Clientes'!$J:$J,MATCH('Detalhe Por UC'!C544,'Infos Clientes'!B:B,0))</f>
        <v>trifasico</v>
      </c>
      <c r="H544" s="47" t="str">
        <f t="shared" si="340"/>
        <v>GIROSSOL II</v>
      </c>
      <c r="I544" s="58">
        <f>IFERROR(VLOOKUP(C544,'Infos Clientes'!B:E,4,),"")</f>
        <v>358</v>
      </c>
      <c r="J544" s="109">
        <v>0.23725425614394724</v>
      </c>
      <c r="K544" s="59">
        <f>INDEX('Infos Clientes'!$M:$M,MATCH('Detalhe Por UC'!C544,'Infos Clientes'!B:B,0))</f>
        <v>0.25</v>
      </c>
      <c r="L544" s="125">
        <v>0</v>
      </c>
      <c r="M544" s="56">
        <f>INDEX('Infos Clientes'!$N:$N,MATCH('Detalhe Por UC'!C544,'Infos Clientes'!B:B,0))</f>
        <v>0</v>
      </c>
      <c r="N544" s="56">
        <f t="shared" si="303"/>
        <v>0</v>
      </c>
      <c r="O544" s="56">
        <f t="shared" si="304"/>
        <v>12</v>
      </c>
      <c r="P544" s="56">
        <f t="shared" si="339"/>
        <v>0</v>
      </c>
      <c r="Q544" s="61">
        <f>IFERROR(IFERROR(INDEX('Infos Clientes'!$A$2:$V$9884,MATCH($C544,'Infos Clientes'!$B$2:$B$9884,0),MATCH(Q$8,'Infos Clientes'!$A$2:$V$2,0)),"")
+IF(OR(INDEX('Infos Clientes'!$A$2:$V$9884,MATCH($C544,'Infos Clientes'!$B$2:$B$9884,0),MATCH("Tempo de Fidelidade (meses)",'Infos Clientes'!$A$2:$V$2,0))=0,R544&gt;=MAX(R:R)),0,
ROUND((MAX(R:R)-R544)/(365/12),0)),"")</f>
        <v>0</v>
      </c>
      <c r="R544" s="111">
        <v>45809</v>
      </c>
      <c r="S544" s="17">
        <v>0.02</v>
      </c>
      <c r="T544" s="113">
        <f>IF($H544="GIROSSOL II",AP544/INDEX('Resumo Operacional'!$A$1:$P$1103,17,MATCH('Detalhe Por UC'!$R544,'Resumo Operacional'!$A$1:$P$1,0)),
IF($H544="GIROSSOL II e III",AP544/INDEX('Resumo Operacional'!$A$1:$P$1103,17,MATCH('Detalhe Por UC'!$R544,'Resumo Operacional'!$A$1:$P$1,0)),
""))</f>
        <v>0</v>
      </c>
      <c r="U544" s="113" t="str">
        <f>IF($H544="GIROSSOL III",AP544/INDEX('Resumo Operacional'!$A$1:$P$1103,53,MATCH('Detalhe Por UC'!$R544,'Resumo Operacional'!$A$1:$P$1,0)),
IF($H544="GIROSSOL II e III",AP544/INDEX('Resumo Operacional'!$A$1:$P$1103,53,MATCH('Detalhe Por UC'!$R544,'Resumo Operacional'!$A$1:$P$1,0)),
""))</f>
        <v/>
      </c>
      <c r="V544" s="45"/>
      <c r="X544" s="18">
        <v>1.167199573410735</v>
      </c>
      <c r="Y544" s="18">
        <v>0</v>
      </c>
      <c r="Z544" s="18">
        <v>1.1671715091893542</v>
      </c>
      <c r="AA544" s="18"/>
      <c r="AB544" s="18">
        <v>326</v>
      </c>
      <c r="AC544" s="18"/>
      <c r="AD544" s="143">
        <v>47</v>
      </c>
      <c r="AE544" s="35"/>
      <c r="AF544" s="18">
        <v>0</v>
      </c>
      <c r="AG544" s="18">
        <v>0</v>
      </c>
      <c r="AH544" s="48">
        <v>62.36</v>
      </c>
      <c r="AI544" s="18">
        <v>0</v>
      </c>
      <c r="AJ544" s="18">
        <v>0</v>
      </c>
      <c r="AL544" s="146"/>
      <c r="AN544" s="71">
        <f t="shared" si="305"/>
        <v>-47</v>
      </c>
      <c r="AO544" s="71">
        <f t="shared" si="306"/>
        <v>0</v>
      </c>
      <c r="AP544" s="71">
        <f t="shared" si="307"/>
        <v>0</v>
      </c>
      <c r="AQ544" s="72">
        <f>IF(OR($H544="GIROSSOL II",$H544="GIROSSOL II e III"),INDEX('Resumo Operacional'!$A$1:$P$1103,MATCH("Energia Injetada prevista total Fatura da Usina (TUSD)",'Resumo Operacional'!$B$1:$B$1103,0),MATCH('Detalhe Por UC'!$R544,'Resumo Operacional'!$A$1:$P$1,0))*$S544,INDEX('Resumo Operacional'!$A$1:$P$1103,53,MATCH('Detalhe Por UC'!$R544,'Resumo Operacional'!$A$1:$P$1,0))*$S544)</f>
        <v>348.68</v>
      </c>
      <c r="AR544" s="71">
        <f t="shared" si="308"/>
        <v>-348.68</v>
      </c>
      <c r="AS544" s="73">
        <f t="shared" si="309"/>
        <v>388.01</v>
      </c>
      <c r="AT544" s="74">
        <f t="shared" si="310"/>
        <v>388.01</v>
      </c>
      <c r="AU544" s="74">
        <f t="shared" si="311"/>
        <v>1.1671434449679734</v>
      </c>
      <c r="AV544" s="74">
        <f t="shared" si="312"/>
        <v>41.841989746258605</v>
      </c>
      <c r="AW544" s="74">
        <f t="shared" si="313"/>
        <v>0</v>
      </c>
      <c r="AX544" s="74">
        <f t="shared" si="314"/>
        <v>54.857060931899646</v>
      </c>
      <c r="AY544" s="74">
        <f t="shared" si="315"/>
        <v>41.84</v>
      </c>
      <c r="AZ544" s="43">
        <v>41.14</v>
      </c>
      <c r="BA544" s="43">
        <v>41.14</v>
      </c>
      <c r="BB544" s="43">
        <v>41.14</v>
      </c>
      <c r="BC544" s="73" t="str">
        <f t="shared" si="316"/>
        <v/>
      </c>
      <c r="BD544" s="73">
        <f t="shared" si="317"/>
        <v>442.86706093189963</v>
      </c>
      <c r="BE544" s="73">
        <f t="shared" si="318"/>
        <v>429.8519897462586</v>
      </c>
      <c r="BF544" s="77">
        <f t="shared" si="319"/>
        <v>13.02</v>
      </c>
      <c r="BG544" s="77">
        <f t="shared" si="320"/>
        <v>3.9059999999999997</v>
      </c>
      <c r="BH544" s="77">
        <f t="shared" si="321"/>
        <v>54.857060931899646</v>
      </c>
      <c r="BI544" s="78">
        <f t="shared" si="322"/>
        <v>0.24</v>
      </c>
      <c r="BJ544" s="79">
        <f t="shared" si="323"/>
        <v>2.9399341582556995E-2</v>
      </c>
      <c r="BK544" s="80">
        <f t="shared" si="324"/>
        <v>429.85</v>
      </c>
      <c r="BL544" s="80">
        <f t="shared" si="325"/>
        <v>13.017060931899607</v>
      </c>
      <c r="BM544" s="79">
        <f t="shared" si="326"/>
        <v>2.9392705125796795E-2</v>
      </c>
      <c r="BN544" s="81">
        <f t="shared" si="327"/>
        <v>0.89021276595744692</v>
      </c>
      <c r="BO544" s="82">
        <f t="shared" si="328"/>
        <v>41.84</v>
      </c>
      <c r="BP544" s="81">
        <f t="shared" si="329"/>
        <v>0.89021276595744692</v>
      </c>
      <c r="BQ544" s="81">
        <f t="shared" si="330"/>
        <v>0.89024083017882771</v>
      </c>
      <c r="BR544" s="81">
        <f t="shared" si="331"/>
        <v>1.167199573410735</v>
      </c>
      <c r="BS544" s="82">
        <f t="shared" si="332"/>
        <v>47</v>
      </c>
      <c r="BT544" s="82">
        <f t="shared" si="333"/>
        <v>54.858379950304546</v>
      </c>
      <c r="BU544" s="82">
        <f t="shared" si="334"/>
        <v>54.857060931899646</v>
      </c>
      <c r="BW544" s="82">
        <f>IFERROR(INDEX('Infos Clientes'!$T:$T,MATCH('Detalhe Por UC'!$C544,'Infos Clientes'!B:B,0)),"")</f>
        <v>586</v>
      </c>
      <c r="BX544" s="83">
        <f t="shared" si="335"/>
        <v>0</v>
      </c>
      <c r="BY544" s="84">
        <f t="shared" si="336"/>
        <v>0.23728482218562816</v>
      </c>
      <c r="BZ544" s="85">
        <f>IF(_xlfn.MINIFS('Detalhe Por UC'!R:R,'Detalhe Por UC'!C:C,C544,'Detalhe Por UC'!AD:AD,"&gt;"&amp;0)=0,"",_xlfn.MINIFS('Detalhe Por UC'!R:R,'Detalhe Por UC'!C:C,C544,'Detalhe Por UC'!AD:AD,"&gt;"&amp;0))</f>
        <v>45627</v>
      </c>
      <c r="CA544" s="114">
        <f ca="1">IF(OR(S544&gt;0,AD544&gt;0),IFERROR(
SUMIFS(INDIRECT("'Infos Clientes'!$W"&amp;INDEX('Infos Clientes'!$C:$C,MATCH(C544,'Infos Clientes'!$H:$H,0))&amp;":$CZ"&amp;INDEX('Infos Clientes'!$C:$C,MATCH(C544,'Infos Clientes'!$H:$H,0))),'Infos Clientes'!$W$2:$CZ$2,"&gt;"&amp;$R544-365,'Infos Clientes'!$W$2:$CZ$2,"&lt;="&amp;$R544)/
COUNTIFS(INDIRECT("'Infos Clientes'!$W"&amp;INDEX('Infos Clientes'!$C:$C,MATCH(C544,'Infos Clientes'!$H:$H,0))&amp;":$CZ"&amp;INDEX('Infos Clientes'!$C:$C,MATCH(C544,'Infos Clientes'!$H:$H,0))),"&gt;="&amp;0,'Infos Clientes'!$W$2:$CZ$2,"&gt;"&amp;$R544-365,'Infos Clientes'!$W$2:$CZ$2,"&lt;="&amp;$R544),""),"")</f>
        <v>568.5</v>
      </c>
      <c r="CB544" s="87">
        <f>VLOOKUP(C544,'Infos Clientes'!B:L,11,0)</f>
        <v>0</v>
      </c>
      <c r="CC544" s="88" t="str">
        <f t="shared" si="337"/>
        <v>A Unidade Consumidora 10/510330-4 economizou R$13,02 na fatura referente à jun/2025  consumindo 47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4" s="40" t="s">
        <v>113</v>
      </c>
      <c r="CE544" s="43"/>
      <c r="CF544" s="115">
        <f t="shared" si="338"/>
        <v>-388.01</v>
      </c>
    </row>
    <row r="545" spans="1:84" ht="16.2" hidden="1" customHeight="1" x14ac:dyDescent="0.3">
      <c r="A545" s="105" t="str">
        <f>INDEX('Infos Clientes'!$D:$D,MATCH('Detalhe Por UC'!C545,'Infos Clientes'!B:B,0))</f>
        <v>IGREJA DO EVANGELHO QUADRANGULAR</v>
      </c>
      <c r="B545" s="106" t="str">
        <f>INDEX('Infos Clientes'!$F:$F,MATCH('Detalhe Por UC'!C545,'Infos Clientes'!B:B,0))</f>
        <v>62.955.505/0160-80</v>
      </c>
      <c r="C545" s="44" t="s">
        <v>97</v>
      </c>
      <c r="D545" t="s">
        <v>351</v>
      </c>
      <c r="E545" s="1" t="s">
        <v>352</v>
      </c>
      <c r="F545" s="56" t="str">
        <f>INDEX('Infos Clientes'!$I:$I,MATCH('Detalhe Por UC'!C545,'Infos Clientes'!B:B,0))</f>
        <v>BT</v>
      </c>
      <c r="G545" s="56" t="str">
        <f>INDEX('Infos Clientes'!$J:$J,MATCH('Detalhe Por UC'!C545,'Infos Clientes'!B:B,0))</f>
        <v>trifasico</v>
      </c>
      <c r="H545" s="47" t="str">
        <f t="shared" si="340"/>
        <v>GIROSSOL II</v>
      </c>
      <c r="I545" s="58">
        <f>IFERROR(VLOOKUP(C545,'Infos Clientes'!B:E,4,),"")</f>
        <v>357</v>
      </c>
      <c r="J545" s="109">
        <v>0.23725425614394724</v>
      </c>
      <c r="K545" s="59">
        <f>INDEX('Infos Clientes'!$M:$M,MATCH('Detalhe Por UC'!C545,'Infos Clientes'!B:B,0))</f>
        <v>0.25</v>
      </c>
      <c r="L545" s="125">
        <v>0</v>
      </c>
      <c r="M545" s="56">
        <f>INDEX('Infos Clientes'!$N:$N,MATCH('Detalhe Por UC'!C545,'Infos Clientes'!B:B,0))</f>
        <v>0</v>
      </c>
      <c r="N545" s="56">
        <f t="shared" si="303"/>
        <v>0</v>
      </c>
      <c r="O545" s="56">
        <f t="shared" si="304"/>
        <v>11</v>
      </c>
      <c r="P545" s="56">
        <f t="shared" si="339"/>
        <v>0</v>
      </c>
      <c r="Q545" s="61">
        <f>IFERROR(IFERROR(INDEX('Infos Clientes'!$A$2:$V$9884,MATCH($C545,'Infos Clientes'!$B$2:$B$9884,0),MATCH(Q$8,'Infos Clientes'!$A$2:$V$2,0)),"")
+IF(OR(INDEX('Infos Clientes'!$A$2:$V$9884,MATCH($C545,'Infos Clientes'!$B$2:$B$9884,0),MATCH("Tempo de Fidelidade (meses)",'Infos Clientes'!$A$2:$V$2,0))=0,R545&gt;=MAX(R:R)),0,
ROUND((MAX(R:R)-R545)/(365/12),0)),"")</f>
        <v>0</v>
      </c>
      <c r="R545" s="111">
        <v>45809</v>
      </c>
      <c r="S545" s="17">
        <v>0.02</v>
      </c>
      <c r="T545" s="113">
        <f>IF($H545="GIROSSOL II",AP545/INDEX('Resumo Operacional'!$A$1:$P$1103,17,MATCH('Detalhe Por UC'!$R545,'Resumo Operacional'!$A$1:$P$1,0)),
IF($H545="GIROSSOL II e III",AP545/INDEX('Resumo Operacional'!$A$1:$P$1103,17,MATCH('Detalhe Por UC'!$R545,'Resumo Operacional'!$A$1:$P$1,0)),
""))</f>
        <v>8.890673396810829E-3</v>
      </c>
      <c r="U545" s="113" t="str">
        <f>IF($H545="GIROSSOL III",AP545/INDEX('Resumo Operacional'!$A$1:$P$1103,53,MATCH('Detalhe Por UC'!$R545,'Resumo Operacional'!$A$1:$P$1,0)),
IF($H545="GIROSSOL II e III",AP545/INDEX('Resumo Operacional'!$A$1:$P$1103,53,MATCH('Detalhe Por UC'!$R545,'Resumo Operacional'!$A$1:$P$1,0)),
""))</f>
        <v/>
      </c>
      <c r="V545" s="45"/>
      <c r="X545" s="18">
        <v>1.1528770287141075</v>
      </c>
      <c r="Y545" s="18">
        <v>0</v>
      </c>
      <c r="Z545" s="18">
        <v>1.1528080808080809</v>
      </c>
      <c r="AA545" s="18"/>
      <c r="AB545" s="18">
        <v>356</v>
      </c>
      <c r="AC545" s="18"/>
      <c r="AD545" s="143">
        <v>176</v>
      </c>
      <c r="AE545" s="35"/>
      <c r="AF545" s="18">
        <v>0</v>
      </c>
      <c r="AG545" s="18">
        <v>0</v>
      </c>
      <c r="AH545" s="48">
        <v>61.67</v>
      </c>
      <c r="AI545" s="18">
        <v>0</v>
      </c>
      <c r="AJ545" s="18">
        <v>0</v>
      </c>
      <c r="AL545" s="146"/>
      <c r="AN545" s="71">
        <f t="shared" si="305"/>
        <v>-21</v>
      </c>
      <c r="AO545" s="71">
        <f t="shared" si="306"/>
        <v>0</v>
      </c>
      <c r="AP545" s="71">
        <f t="shared" si="307"/>
        <v>155</v>
      </c>
      <c r="AQ545" s="72">
        <f>IF(OR($H545="GIROSSOL II",$H545="GIROSSOL II e III"),INDEX('Resumo Operacional'!$A$1:$P$1103,MATCH("Energia Injetada prevista total Fatura da Usina (TUSD)",'Resumo Operacional'!$B$1:$B$1103,0),MATCH('Detalhe Por UC'!$R545,'Resumo Operacional'!$A$1:$P$1,0))*$S545,INDEX('Resumo Operacional'!$A$1:$P$1103,53,MATCH('Detalhe Por UC'!$R545,'Resumo Operacional'!$A$1:$P$1,0))*$S545)</f>
        <v>348.68</v>
      </c>
      <c r="AR545" s="71">
        <f t="shared" si="308"/>
        <v>-193.68</v>
      </c>
      <c r="AS545" s="73">
        <f t="shared" si="309"/>
        <v>269.20000000000005</v>
      </c>
      <c r="AT545" s="74">
        <f t="shared" si="310"/>
        <v>269.20000000000005</v>
      </c>
      <c r="AU545" s="74">
        <f t="shared" si="311"/>
        <v>1.1527391329020544</v>
      </c>
      <c r="AV545" s="74">
        <f t="shared" si="312"/>
        <v>154.7567044529842</v>
      </c>
      <c r="AW545" s="74">
        <f t="shared" si="313"/>
        <v>0</v>
      </c>
      <c r="AX545" s="74">
        <f t="shared" si="314"/>
        <v>202.89422222222225</v>
      </c>
      <c r="AY545" s="74">
        <f t="shared" si="315"/>
        <v>154.76</v>
      </c>
      <c r="AZ545" s="43">
        <v>152.16999999999999</v>
      </c>
      <c r="BA545" s="43">
        <v>152.16999999999999</v>
      </c>
      <c r="BB545" s="43">
        <v>152.16999999999999</v>
      </c>
      <c r="BC545" s="73" t="str">
        <f t="shared" si="316"/>
        <v/>
      </c>
      <c r="BD545" s="73">
        <f t="shared" si="317"/>
        <v>472.0942222222223</v>
      </c>
      <c r="BE545" s="73">
        <f t="shared" si="318"/>
        <v>423.95670445298424</v>
      </c>
      <c r="BF545" s="77">
        <f t="shared" si="319"/>
        <v>48.14</v>
      </c>
      <c r="BG545" s="77">
        <f t="shared" si="320"/>
        <v>14.442</v>
      </c>
      <c r="BH545" s="77">
        <f t="shared" si="321"/>
        <v>202.89422222222225</v>
      </c>
      <c r="BI545" s="78">
        <f t="shared" si="322"/>
        <v>0.24</v>
      </c>
      <c r="BJ545" s="79">
        <f t="shared" si="323"/>
        <v>0.10197116959702958</v>
      </c>
      <c r="BK545" s="80">
        <f t="shared" si="324"/>
        <v>423.96000000000004</v>
      </c>
      <c r="BL545" s="80">
        <f t="shared" si="325"/>
        <v>48.134222222222263</v>
      </c>
      <c r="BM545" s="79">
        <f t="shared" si="326"/>
        <v>0.10195893098552838</v>
      </c>
      <c r="BN545" s="81">
        <f t="shared" si="327"/>
        <v>0.87931818181818178</v>
      </c>
      <c r="BO545" s="82">
        <f t="shared" si="328"/>
        <v>154.76</v>
      </c>
      <c r="BP545" s="81">
        <f t="shared" si="329"/>
        <v>0.87931818181818178</v>
      </c>
      <c r="BQ545" s="81">
        <f t="shared" si="330"/>
        <v>0.87938712972420829</v>
      </c>
      <c r="BR545" s="81">
        <f t="shared" si="331"/>
        <v>1.1528770287141075</v>
      </c>
      <c r="BS545" s="82">
        <f t="shared" si="332"/>
        <v>176</v>
      </c>
      <c r="BT545" s="82">
        <f t="shared" si="333"/>
        <v>202.90635705368291</v>
      </c>
      <c r="BU545" s="82">
        <f t="shared" si="334"/>
        <v>202.89422222222225</v>
      </c>
      <c r="BW545" s="82">
        <f>IFERROR(INDEX('Infos Clientes'!$T:$T,MATCH('Detalhe Por UC'!$C545,'Infos Clientes'!B:B,0)),"")</f>
        <v>468.66666666666669</v>
      </c>
      <c r="BX545" s="83">
        <f t="shared" si="335"/>
        <v>0</v>
      </c>
      <c r="BY545" s="84">
        <f t="shared" si="336"/>
        <v>0.23722382541956233</v>
      </c>
      <c r="BZ545" s="85">
        <f>IF(_xlfn.MINIFS('Detalhe Por UC'!R:R,'Detalhe Por UC'!C:C,C545,'Detalhe Por UC'!AD:AD,"&gt;"&amp;0)=0,"",_xlfn.MINIFS('Detalhe Por UC'!R:R,'Detalhe Por UC'!C:C,C545,'Detalhe Por UC'!AD:AD,"&gt;"&amp;0))</f>
        <v>45627</v>
      </c>
      <c r="CA545" s="114">
        <f ca="1">IF(OR(S545&gt;0,AD545&gt;0),IFERROR(
SUMIFS(INDIRECT("'Infos Clientes'!$W"&amp;INDEX('Infos Clientes'!$C:$C,MATCH(C545,'Infos Clientes'!$H:$H,0))&amp;":$CZ"&amp;INDEX('Infos Clientes'!$C:$C,MATCH(C545,'Infos Clientes'!$H:$H,0))),'Infos Clientes'!$W$2:$CZ$2,"&gt;"&amp;$R545-365,'Infos Clientes'!$W$2:$CZ$2,"&lt;="&amp;$R545)/
COUNTIFS(INDIRECT("'Infos Clientes'!$W"&amp;INDEX('Infos Clientes'!$C:$C,MATCH(C545,'Infos Clientes'!$H:$H,0))&amp;":$CZ"&amp;INDEX('Infos Clientes'!$C:$C,MATCH(C545,'Infos Clientes'!$H:$H,0))),"&gt;="&amp;0,'Infos Clientes'!$W$2:$CZ$2,"&gt;"&amp;$R545-365,'Infos Clientes'!$W$2:$CZ$2,"&lt;="&amp;$R545),""),"")</f>
        <v>465.08333333333331</v>
      </c>
      <c r="CB545" s="87">
        <f>VLOOKUP(C545,'Infos Clientes'!B:L,11,0)</f>
        <v>0</v>
      </c>
      <c r="CC545" s="88" t="str">
        <f t="shared" si="337"/>
        <v>A Unidade Consumidora 10/3030784-7 economizou R$48,14 na fatura referente à jun/2025  consumindo 176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5" s="40" t="s">
        <v>98</v>
      </c>
      <c r="CE545" s="43"/>
      <c r="CF545" s="115">
        <f t="shared" si="338"/>
        <v>-269.20000000000005</v>
      </c>
    </row>
    <row r="546" spans="1:84" ht="21.75" hidden="1" customHeight="1" x14ac:dyDescent="0.3">
      <c r="A546" s="105" t="str">
        <f>INDEX('Infos Clientes'!$D:$D,MATCH('Detalhe Por UC'!C546,'Infos Clientes'!B:B,0))</f>
        <v>IGREJA DO EVANGELHO QUADRANGULAR</v>
      </c>
      <c r="B546" s="106" t="str">
        <f>INDEX('Infos Clientes'!$F:$F,MATCH('Detalhe Por UC'!C546,'Infos Clientes'!B:B,0))</f>
        <v>62.955.505/4194-43</v>
      </c>
      <c r="C546" s="44" t="s">
        <v>99</v>
      </c>
      <c r="D546" t="s">
        <v>351</v>
      </c>
      <c r="E546" s="1" t="s">
        <v>352</v>
      </c>
      <c r="F546" s="56" t="str">
        <f>INDEX('Infos Clientes'!$I:$I,MATCH('Detalhe Por UC'!C546,'Infos Clientes'!B:B,0))</f>
        <v>BT</v>
      </c>
      <c r="G546" s="56" t="str">
        <f>INDEX('Infos Clientes'!$J:$J,MATCH('Detalhe Por UC'!C546,'Infos Clientes'!B:B,0))</f>
        <v>trifasico</v>
      </c>
      <c r="H546" s="47" t="str">
        <f t="shared" si="340"/>
        <v>GIROSSOL II</v>
      </c>
      <c r="I546" s="58">
        <f>IFERROR(VLOOKUP(C546,'Infos Clientes'!B:E,4,),"")</f>
        <v>331</v>
      </c>
      <c r="J546" s="109">
        <v>0.23725425614394724</v>
      </c>
      <c r="K546" s="59">
        <f>INDEX('Infos Clientes'!$M:$M,MATCH('Detalhe Por UC'!C546,'Infos Clientes'!B:B,0))</f>
        <v>0.25</v>
      </c>
      <c r="L546" s="125">
        <v>0</v>
      </c>
      <c r="M546" s="56">
        <f>INDEX('Infos Clientes'!$N:$N,MATCH('Detalhe Por UC'!C546,'Infos Clientes'!B:B,0))</f>
        <v>0</v>
      </c>
      <c r="N546" s="56">
        <f t="shared" si="303"/>
        <v>0</v>
      </c>
      <c r="O546" s="56">
        <f t="shared" si="304"/>
        <v>12</v>
      </c>
      <c r="P546" s="56">
        <f t="shared" si="339"/>
        <v>0</v>
      </c>
      <c r="Q546" s="61">
        <f>IFERROR(IFERROR(INDEX('Infos Clientes'!$A$2:$V$9884,MATCH($C546,'Infos Clientes'!$B$2:$B$9884,0),MATCH(Q$8,'Infos Clientes'!$A$2:$V$2,0)),"")
+IF(OR(INDEX('Infos Clientes'!$A$2:$V$9884,MATCH($C546,'Infos Clientes'!$B$2:$B$9884,0),MATCH("Tempo de Fidelidade (meses)",'Infos Clientes'!$A$2:$V$2,0))=0,R546&gt;=MAX(R:R)),0,
ROUND((MAX(R:R)-R546)/(365/12),0)),"")</f>
        <v>0</v>
      </c>
      <c r="R546" s="111">
        <v>45809</v>
      </c>
      <c r="S546" s="17">
        <v>0.02</v>
      </c>
      <c r="T546" s="113">
        <f>IF($H546="GIROSSOL II",AP546/INDEX('Resumo Operacional'!$A$1:$P$1103,17,MATCH('Detalhe Por UC'!$R546,'Resumo Operacional'!$A$1:$P$1,0)),
IF($H546="GIROSSOL II e III",AP546/INDEX('Resumo Operacional'!$A$1:$P$1103,17,MATCH('Detalhe Por UC'!$R546,'Resumo Operacional'!$A$1:$P$1,0)),
""))</f>
        <v>0</v>
      </c>
      <c r="U546" s="113" t="str">
        <f>IF($H546="GIROSSOL III",AP546/INDEX('Resumo Operacional'!$A$1:$P$1103,53,MATCH('Detalhe Por UC'!$R546,'Resumo Operacional'!$A$1:$P$1,0)),
IF($H546="GIROSSOL II e III",AP546/INDEX('Resumo Operacional'!$A$1:$P$1103,53,MATCH('Detalhe Por UC'!$R546,'Resumo Operacional'!$A$1:$P$1,0)),
""))</f>
        <v/>
      </c>
      <c r="V546" s="45"/>
      <c r="X546" s="18">
        <v>1.170382553606238</v>
      </c>
      <c r="Y546" s="18">
        <v>0</v>
      </c>
      <c r="Z546" s="18">
        <v>1.1703536184210528</v>
      </c>
      <c r="AA546" s="18"/>
      <c r="AB546" s="18">
        <v>216</v>
      </c>
      <c r="AC546" s="18"/>
      <c r="AD546" s="143">
        <v>64</v>
      </c>
      <c r="AE546" s="35"/>
      <c r="AF546" s="18">
        <v>0</v>
      </c>
      <c r="AG546" s="18">
        <v>0</v>
      </c>
      <c r="AH546" s="48">
        <v>0</v>
      </c>
      <c r="AI546" s="18">
        <v>0</v>
      </c>
      <c r="AJ546" s="18">
        <v>0</v>
      </c>
      <c r="AL546" s="146"/>
      <c r="AN546" s="71">
        <f t="shared" si="305"/>
        <v>-64</v>
      </c>
      <c r="AO546" s="71">
        <f t="shared" si="306"/>
        <v>0</v>
      </c>
      <c r="AP546" s="71">
        <f t="shared" si="307"/>
        <v>0</v>
      </c>
      <c r="AQ546" s="72">
        <f>IF(OR($H546="GIROSSOL II",$H546="GIROSSOL II e III"),INDEX('Resumo Operacional'!$A$1:$P$1103,MATCH("Energia Injetada prevista total Fatura da Usina (TUSD)",'Resumo Operacional'!$B$1:$B$1103,0),MATCH('Detalhe Por UC'!$R546,'Resumo Operacional'!$A$1:$P$1,0))*$S546,INDEX('Resumo Operacional'!$A$1:$P$1103,53,MATCH('Detalhe Por UC'!$R546,'Resumo Operacional'!$A$1:$P$1,0))*$S546)</f>
        <v>348.68</v>
      </c>
      <c r="AR546" s="71">
        <f t="shared" si="308"/>
        <v>-348.68</v>
      </c>
      <c r="AS546" s="73">
        <f t="shared" si="309"/>
        <v>177.90000000000003</v>
      </c>
      <c r="AT546" s="74">
        <f t="shared" si="310"/>
        <v>177.90000000000003</v>
      </c>
      <c r="AU546" s="74">
        <f t="shared" si="311"/>
        <v>1.1703246832358676</v>
      </c>
      <c r="AV546" s="74">
        <f t="shared" si="312"/>
        <v>57.131663440460088</v>
      </c>
      <c r="AW546" s="74">
        <f t="shared" si="313"/>
        <v>0</v>
      </c>
      <c r="AX546" s="74">
        <f t="shared" si="314"/>
        <v>74.902631578947378</v>
      </c>
      <c r="AY546" s="74">
        <f t="shared" si="315"/>
        <v>57.13</v>
      </c>
      <c r="AZ546" s="43">
        <v>56.18</v>
      </c>
      <c r="BA546" s="43">
        <v>56.18</v>
      </c>
      <c r="BB546" s="43">
        <v>56.18</v>
      </c>
      <c r="BC546" s="73" t="str">
        <f t="shared" si="316"/>
        <v/>
      </c>
      <c r="BD546" s="73">
        <f t="shared" si="317"/>
        <v>252.8026315789474</v>
      </c>
      <c r="BE546" s="73">
        <f t="shared" si="318"/>
        <v>235.03166344046014</v>
      </c>
      <c r="BF546" s="77">
        <f t="shared" si="319"/>
        <v>17.77</v>
      </c>
      <c r="BG546" s="77">
        <f t="shared" si="320"/>
        <v>5.3309999999999995</v>
      </c>
      <c r="BH546" s="77">
        <f t="shared" si="321"/>
        <v>74.902631578947378</v>
      </c>
      <c r="BI546" s="78">
        <f t="shared" si="322"/>
        <v>0.24</v>
      </c>
      <c r="BJ546" s="79">
        <f t="shared" si="323"/>
        <v>7.0291989798573873E-2</v>
      </c>
      <c r="BK546" s="80">
        <f t="shared" si="324"/>
        <v>235.03000000000003</v>
      </c>
      <c r="BL546" s="80">
        <f t="shared" si="325"/>
        <v>17.772631578947369</v>
      </c>
      <c r="BM546" s="79">
        <f t="shared" si="326"/>
        <v>7.0302399417061359E-2</v>
      </c>
      <c r="BN546" s="81">
        <f t="shared" si="327"/>
        <v>0.89265625000000004</v>
      </c>
      <c r="BO546" s="82">
        <f t="shared" si="328"/>
        <v>57.13</v>
      </c>
      <c r="BP546" s="81">
        <f t="shared" si="329"/>
        <v>0.89265625000000004</v>
      </c>
      <c r="BQ546" s="81">
        <f t="shared" si="330"/>
        <v>0.89268518518518525</v>
      </c>
      <c r="BR546" s="81">
        <f t="shared" si="331"/>
        <v>1.170382553606238</v>
      </c>
      <c r="BS546" s="82">
        <f t="shared" si="332"/>
        <v>64</v>
      </c>
      <c r="BT546" s="82">
        <f t="shared" si="333"/>
        <v>74.904483430799232</v>
      </c>
      <c r="BU546" s="82">
        <f t="shared" si="334"/>
        <v>74.902631578947378</v>
      </c>
      <c r="BW546" s="82">
        <f>IFERROR(INDEX('Infos Clientes'!$T:$T,MATCH('Detalhe Por UC'!$C546,'Infos Clientes'!B:B,0)),"")</f>
        <v>433.16666666666669</v>
      </c>
      <c r="BX546" s="83">
        <f t="shared" si="335"/>
        <v>0</v>
      </c>
      <c r="BY546" s="84">
        <f t="shared" si="336"/>
        <v>0.23727059803258216</v>
      </c>
      <c r="BZ546" s="85">
        <f>IF(_xlfn.MINIFS('Detalhe Por UC'!R:R,'Detalhe Por UC'!C:C,C546,'Detalhe Por UC'!AD:AD,"&gt;"&amp;0)=0,"",_xlfn.MINIFS('Detalhe Por UC'!R:R,'Detalhe Por UC'!C:C,C546,'Detalhe Por UC'!AD:AD,"&gt;"&amp;0))</f>
        <v>45627</v>
      </c>
      <c r="CA546" s="114">
        <f ca="1">IF(OR(S546&gt;0,AD546&gt;0),IFERROR(
SUMIFS(INDIRECT("'Infos Clientes'!$W"&amp;INDEX('Infos Clientes'!$C:$C,MATCH(C546,'Infos Clientes'!$H:$H,0))&amp;":$CZ"&amp;INDEX('Infos Clientes'!$C:$C,MATCH(C546,'Infos Clientes'!$H:$H,0))),'Infos Clientes'!$W$2:$CZ$2,"&gt;"&amp;$R546-365,'Infos Clientes'!$W$2:$CZ$2,"&lt;="&amp;$R546)/
COUNTIFS(INDIRECT("'Infos Clientes'!$W"&amp;INDEX('Infos Clientes'!$C:$C,MATCH(C546,'Infos Clientes'!$H:$H,0))&amp;":$CZ"&amp;INDEX('Infos Clientes'!$C:$C,MATCH(C546,'Infos Clientes'!$H:$H,0))),"&gt;="&amp;0,'Infos Clientes'!$W$2:$CZ$2,"&gt;"&amp;$R546-365,'Infos Clientes'!$W$2:$CZ$2,"&lt;="&amp;$R546),""),"")</f>
        <v>391.58333333333331</v>
      </c>
      <c r="CB546" s="87">
        <f>VLOOKUP(C546,'Infos Clientes'!B:L,11,0)</f>
        <v>0</v>
      </c>
      <c r="CC546" s="88" t="str">
        <f t="shared" si="337"/>
        <v>A Unidade Consumidora 10/3092868-3 economizou R$17,77 na fatura referente à jun/2025  consumindo 64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6" s="40" t="s">
        <v>100</v>
      </c>
      <c r="CE546" s="43"/>
      <c r="CF546" s="115">
        <f t="shared" si="338"/>
        <v>-177.90000000000003</v>
      </c>
    </row>
    <row r="547" spans="1:84" ht="16.2" hidden="1" customHeight="1" x14ac:dyDescent="0.3">
      <c r="A547" s="105" t="str">
        <f>INDEX('Infos Clientes'!$D:$D,MATCH('Detalhe Por UC'!C547,'Infos Clientes'!B:B,0))</f>
        <v>IGREJA DO EVANGELHO QUADRANGULAR</v>
      </c>
      <c r="B547" s="106" t="str">
        <f>INDEX('Infos Clientes'!$F:$F,MATCH('Detalhe Por UC'!C547,'Infos Clientes'!B:B,0))</f>
        <v>62.955.505/0884-04</v>
      </c>
      <c r="C547" s="147" t="s">
        <v>88</v>
      </c>
      <c r="D547" t="s">
        <v>351</v>
      </c>
      <c r="E547" s="1" t="s">
        <v>352</v>
      </c>
      <c r="F547" s="56" t="str">
        <f>INDEX('Infos Clientes'!$I:$I,MATCH('Detalhe Por UC'!C547,'Infos Clientes'!B:B,0))</f>
        <v>BT</v>
      </c>
      <c r="G547" s="56" t="str">
        <f>INDEX('Infos Clientes'!$J:$J,MATCH('Detalhe Por UC'!C547,'Infos Clientes'!B:B,0))</f>
        <v>trifasico</v>
      </c>
      <c r="H547" s="47" t="str">
        <f t="shared" si="340"/>
        <v>GIROSSOL II</v>
      </c>
      <c r="I547" s="58">
        <f>IFERROR(VLOOKUP(C547,'Infos Clientes'!B:E,4,),"")</f>
        <v>994</v>
      </c>
      <c r="J547" s="109">
        <v>0.23725425614394724</v>
      </c>
      <c r="K547" s="59">
        <f>INDEX('Infos Clientes'!$M:$M,MATCH('Detalhe Por UC'!C547,'Infos Clientes'!B:B,0))</f>
        <v>0.25</v>
      </c>
      <c r="L547" s="125">
        <v>0</v>
      </c>
      <c r="M547" s="56">
        <f>INDEX('Infos Clientes'!$N:$N,MATCH('Detalhe Por UC'!C547,'Infos Clientes'!B:B,0))</f>
        <v>0</v>
      </c>
      <c r="N547" s="56">
        <f t="shared" si="303"/>
        <v>0</v>
      </c>
      <c r="O547" s="56">
        <f t="shared" si="304"/>
        <v>12</v>
      </c>
      <c r="P547" s="56">
        <f t="shared" si="339"/>
        <v>0</v>
      </c>
      <c r="Q547" s="61">
        <f>IFERROR(IFERROR(INDEX('Infos Clientes'!$A$2:$V$9884,MATCH($C547,'Infos Clientes'!$B$2:$B$9884,0),MATCH(Q$8,'Infos Clientes'!$A$2:$V$2,0)),"")
+IF(OR(INDEX('Infos Clientes'!$A$2:$V$9884,MATCH($C547,'Infos Clientes'!$B$2:$B$9884,0),MATCH("Tempo de Fidelidade (meses)",'Infos Clientes'!$A$2:$V$2,0))=0,R547&gt;=MAX(R:R)),0,
ROUND((MAX(R:R)-R547)/(365/12),0)),"")</f>
        <v>0</v>
      </c>
      <c r="R547" s="111">
        <v>45809</v>
      </c>
      <c r="S547" s="17">
        <v>0.02</v>
      </c>
      <c r="T547" s="113">
        <f>IF($H547="GIROSSOL II",AP547/INDEX('Resumo Operacional'!$A$1:$P$1103,17,MATCH('Detalhe Por UC'!$R547,'Resumo Operacional'!$A$1:$P$1,0)),
IF($H547="GIROSSOL II e III",AP547/INDEX('Resumo Operacional'!$A$1:$P$1103,17,MATCH('Detalhe Por UC'!$R547,'Resumo Operacional'!$A$1:$P$1,0)),
""))</f>
        <v>2.0649305953883215E-3</v>
      </c>
      <c r="U547" s="113" t="str">
        <f>IF($H547="GIROSSOL III",AP547/INDEX('Resumo Operacional'!$A$1:$P$1103,53,MATCH('Detalhe Por UC'!$R547,'Resumo Operacional'!$A$1:$P$1,0)),
IF($H547="GIROSSOL II e III",AP547/INDEX('Resumo Operacional'!$A$1:$P$1103,53,MATCH('Detalhe Por UC'!$R547,'Resumo Operacional'!$A$1:$P$1,0)),
""))</f>
        <v/>
      </c>
      <c r="V547" s="45"/>
      <c r="X547" s="18">
        <v>1.1780159292035399</v>
      </c>
      <c r="Y547" s="18">
        <v>0</v>
      </c>
      <c r="Z547" s="18">
        <v>1.1780285714285716</v>
      </c>
      <c r="AA547" s="18"/>
      <c r="AB547" s="18">
        <v>226</v>
      </c>
      <c r="AC547" s="18"/>
      <c r="AD547" s="143">
        <v>126</v>
      </c>
      <c r="AE547" s="35"/>
      <c r="AF547" s="18">
        <v>832</v>
      </c>
      <c r="AG547" s="18">
        <v>0</v>
      </c>
      <c r="AH547" s="48">
        <v>43.17</v>
      </c>
      <c r="AI547" s="18">
        <v>0</v>
      </c>
      <c r="AJ547" s="18">
        <v>0</v>
      </c>
      <c r="AL547" s="146"/>
      <c r="AN547" s="71">
        <f t="shared" si="305"/>
        <v>-90</v>
      </c>
      <c r="AO547" s="71">
        <f t="shared" si="306"/>
        <v>0</v>
      </c>
      <c r="AP547" s="71">
        <f t="shared" si="307"/>
        <v>36</v>
      </c>
      <c r="AQ547" s="72">
        <f>IF(OR($H547="GIROSSOL II",$H547="GIROSSOL II e III"),INDEX('Resumo Operacional'!$A$1:$P$1103,MATCH("Energia Injetada prevista total Fatura da Usina (TUSD)",'Resumo Operacional'!$B$1:$B$1103,0),MATCH('Detalhe Por UC'!$R547,'Resumo Operacional'!$A$1:$P$1,0))*$S547,INDEX('Resumo Operacional'!$A$1:$P$1103,53,MATCH('Detalhe Por UC'!$R547,'Resumo Operacional'!$A$1:$P$1,0))*$S547)</f>
        <v>348.68</v>
      </c>
      <c r="AR547" s="71">
        <f t="shared" si="308"/>
        <v>-312.68</v>
      </c>
      <c r="AS547" s="73">
        <f t="shared" si="309"/>
        <v>160.96999999999997</v>
      </c>
      <c r="AT547" s="74">
        <f t="shared" si="310"/>
        <v>160.96999999999997</v>
      </c>
      <c r="AU547" s="74">
        <f t="shared" si="311"/>
        <v>1.1780412136536034</v>
      </c>
      <c r="AV547" s="74">
        <f t="shared" si="312"/>
        <v>113.21557115374411</v>
      </c>
      <c r="AW547" s="74">
        <f t="shared" si="313"/>
        <v>0</v>
      </c>
      <c r="AX547" s="74">
        <f t="shared" si="314"/>
        <v>148.43160000000003</v>
      </c>
      <c r="AY547" s="74">
        <f t="shared" si="315"/>
        <v>113.22</v>
      </c>
      <c r="AZ547" s="43">
        <v>111.32</v>
      </c>
      <c r="BA547" s="43">
        <v>111.32</v>
      </c>
      <c r="BB547" s="49">
        <v>148.43</v>
      </c>
      <c r="BC547" s="73">
        <f t="shared" si="316"/>
        <v>37.110000000000014</v>
      </c>
      <c r="BD547" s="73">
        <f t="shared" si="317"/>
        <v>309.40160000000003</v>
      </c>
      <c r="BE547" s="73">
        <f t="shared" si="318"/>
        <v>274.18557115374409</v>
      </c>
      <c r="BF547" s="77">
        <f t="shared" si="319"/>
        <v>35.22</v>
      </c>
      <c r="BG547" s="77">
        <f t="shared" si="320"/>
        <v>10.565999999999999</v>
      </c>
      <c r="BH547" s="77">
        <f t="shared" si="321"/>
        <v>148.43160000000003</v>
      </c>
      <c r="BI547" s="78">
        <f t="shared" si="322"/>
        <v>0.24</v>
      </c>
      <c r="BJ547" s="79">
        <f t="shared" si="323"/>
        <v>0.11383263693529702</v>
      </c>
      <c r="BK547" s="80">
        <f t="shared" si="324"/>
        <v>274.18999999999994</v>
      </c>
      <c r="BL547" s="80">
        <f t="shared" si="325"/>
        <v>35.211600000000089</v>
      </c>
      <c r="BM547" s="79">
        <f t="shared" si="326"/>
        <v>0.11380548775442689</v>
      </c>
      <c r="BN547" s="81">
        <f t="shared" si="327"/>
        <v>0.89857142857142858</v>
      </c>
      <c r="BO547" s="82">
        <f t="shared" si="328"/>
        <v>113.22</v>
      </c>
      <c r="BP547" s="81">
        <f t="shared" si="329"/>
        <v>0.89857142857142858</v>
      </c>
      <c r="BQ547" s="81">
        <f t="shared" si="330"/>
        <v>0.89855878634639685</v>
      </c>
      <c r="BR547" s="81">
        <f t="shared" si="331"/>
        <v>1.1780159292035399</v>
      </c>
      <c r="BS547" s="82">
        <f t="shared" si="332"/>
        <v>126</v>
      </c>
      <c r="BT547" s="82">
        <f t="shared" si="333"/>
        <v>148.43000707964603</v>
      </c>
      <c r="BU547" s="82">
        <f t="shared" si="334"/>
        <v>148.43160000000003</v>
      </c>
      <c r="BW547" s="82">
        <f>IFERROR(INDEX('Infos Clientes'!$T:$T,MATCH('Detalhe Por UC'!$C547,'Infos Clientes'!B:B,0)),"")</f>
        <v>335.75</v>
      </c>
      <c r="BX547" s="83">
        <f t="shared" si="335"/>
        <v>0</v>
      </c>
      <c r="BY547" s="84">
        <f t="shared" si="336"/>
        <v>0.23722696436378826</v>
      </c>
      <c r="BZ547" s="85">
        <f>IF(_xlfn.MINIFS('Detalhe Por UC'!R:R,'Detalhe Por UC'!C:C,C547,'Detalhe Por UC'!AD:AD,"&gt;"&amp;0)=0,"",_xlfn.MINIFS('Detalhe Por UC'!R:R,'Detalhe Por UC'!C:C,C547,'Detalhe Por UC'!AD:AD,"&gt;"&amp;0))</f>
        <v>45627</v>
      </c>
      <c r="CA547" s="114">
        <f ca="1">IF(OR(S547&gt;0,AD547&gt;0),IFERROR(
SUMIFS(INDIRECT("'Infos Clientes'!$W"&amp;INDEX('Infos Clientes'!$C:$C,MATCH(C547,'Infos Clientes'!$H:$H,0))&amp;":$CZ"&amp;INDEX('Infos Clientes'!$C:$C,MATCH(C547,'Infos Clientes'!$H:$H,0))),'Infos Clientes'!$W$2:$CZ$2,"&gt;"&amp;$R547-365,'Infos Clientes'!$W$2:$CZ$2,"&lt;="&amp;$R547)/
COUNTIFS(INDIRECT("'Infos Clientes'!$W"&amp;INDEX('Infos Clientes'!$C:$C,MATCH(C547,'Infos Clientes'!$H:$H,0))&amp;":$CZ"&amp;INDEX('Infos Clientes'!$C:$C,MATCH(C547,'Infos Clientes'!$H:$H,0))),"&gt;="&amp;0,'Infos Clientes'!$W$2:$CZ$2,"&gt;"&amp;$R547-365,'Infos Clientes'!$W$2:$CZ$2,"&lt;="&amp;$R547),""),"")</f>
        <v>331.08333333333331</v>
      </c>
      <c r="CB547" s="87">
        <f>VLOOKUP(C547,'Infos Clientes'!B:L,11,0)</f>
        <v>0</v>
      </c>
      <c r="CC547" s="88" t="str">
        <f t="shared" si="337"/>
        <v>A Unidade Consumidora 10/276283-9 economizou R$35,22 na fatura referente à jun/2025  consumindo 126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7" s="40" t="s">
        <v>90</v>
      </c>
      <c r="CE547" s="43"/>
      <c r="CF547" s="115">
        <f t="shared" si="338"/>
        <v>-160.96999999999997</v>
      </c>
    </row>
    <row r="548" spans="1:84" ht="16.2" hidden="1" customHeight="1" x14ac:dyDescent="0.3">
      <c r="A548" s="105" t="str">
        <f>INDEX('Infos Clientes'!$D:$D,MATCH('Detalhe Por UC'!C548,'Infos Clientes'!B:B,0))</f>
        <v>IGREJA DO EVANGELHO QUADRANGULAR</v>
      </c>
      <c r="B548" s="106" t="str">
        <f>INDEX('Infos Clientes'!$F:$F,MATCH('Detalhe Por UC'!C548,'Infos Clientes'!B:B,0))</f>
        <v>62.955.505/3593-60</v>
      </c>
      <c r="C548" s="44" t="s">
        <v>123</v>
      </c>
      <c r="D548" t="s">
        <v>351</v>
      </c>
      <c r="E548" s="1" t="s">
        <v>352</v>
      </c>
      <c r="F548" s="56" t="str">
        <f>INDEX('Infos Clientes'!$I:$I,MATCH('Detalhe Por UC'!C548,'Infos Clientes'!B:B,0))</f>
        <v>BT</v>
      </c>
      <c r="G548" s="56" t="str">
        <f>INDEX('Infos Clientes'!$J:$J,MATCH('Detalhe Por UC'!C548,'Infos Clientes'!B:B,0))</f>
        <v>trifasico</v>
      </c>
      <c r="H548" s="47" t="str">
        <f t="shared" si="340"/>
        <v>GIROSSOL II</v>
      </c>
      <c r="I548" s="58">
        <f>IFERROR(VLOOKUP(C548,'Infos Clientes'!B:E,4,),"")</f>
        <v>351</v>
      </c>
      <c r="J548" s="109">
        <v>0.23725425614394724</v>
      </c>
      <c r="K548" s="59">
        <f>INDEX('Infos Clientes'!$M:$M,MATCH('Detalhe Por UC'!C548,'Infos Clientes'!B:B,0))</f>
        <v>0.25</v>
      </c>
      <c r="L548" s="125">
        <v>0</v>
      </c>
      <c r="M548" s="56">
        <f>INDEX('Infos Clientes'!$N:$N,MATCH('Detalhe Por UC'!C548,'Infos Clientes'!B:B,0))</f>
        <v>0</v>
      </c>
      <c r="N548" s="56">
        <f t="shared" si="303"/>
        <v>0</v>
      </c>
      <c r="O548" s="56">
        <f t="shared" si="304"/>
        <v>12</v>
      </c>
      <c r="P548" s="56">
        <f t="shared" si="339"/>
        <v>0</v>
      </c>
      <c r="Q548" s="61">
        <f>IFERROR(IFERROR(INDEX('Infos Clientes'!$A$2:$V$9884,MATCH($C548,'Infos Clientes'!$B$2:$B$9884,0),MATCH(Q$8,'Infos Clientes'!$A$2:$V$2,0)),"")
+IF(OR(INDEX('Infos Clientes'!$A$2:$V$9884,MATCH($C548,'Infos Clientes'!$B$2:$B$9884,0),MATCH("Tempo de Fidelidade (meses)",'Infos Clientes'!$A$2:$V$2,0))=0,R548&gt;=MAX(R:R)),0,
ROUND((MAX(R:R)-R548)/(365/12),0)),"")</f>
        <v>0</v>
      </c>
      <c r="R548" s="111">
        <v>45809</v>
      </c>
      <c r="S548" s="17">
        <v>0.04</v>
      </c>
      <c r="T548" s="113">
        <f>IF($H548="GIROSSOL II",AP548/INDEX('Resumo Operacional'!$A$1:$P$1103,17,MATCH('Detalhe Por UC'!$R548,'Resumo Operacional'!$A$1:$P$1,0)),
IF($H548="GIROSSOL II e III",AP548/INDEX('Resumo Operacional'!$A$1:$P$1103,17,MATCH('Detalhe Por UC'!$R548,'Resumo Operacional'!$A$1:$P$1,0)),
""))</f>
        <v>-6.4012848457037974E-2</v>
      </c>
      <c r="U548" s="113" t="str">
        <f>IF($H548="GIROSSOL III",AP548/INDEX('Resumo Operacional'!$A$1:$P$1103,53,MATCH('Detalhe Por UC'!$R548,'Resumo Operacional'!$A$1:$P$1,0)),
IF($H548="GIROSSOL II e III",AP548/INDEX('Resumo Operacional'!$A$1:$P$1103,53,MATCH('Detalhe Por UC'!$R548,'Resumo Operacional'!$A$1:$P$1,0)),
""))</f>
        <v/>
      </c>
      <c r="V548" s="45"/>
      <c r="X548" s="18">
        <v>1.1784338066880442</v>
      </c>
      <c r="Y548" s="18">
        <v>0</v>
      </c>
      <c r="Z548" s="18">
        <v>1.0676831356243122</v>
      </c>
      <c r="AA548" s="18"/>
      <c r="AB548" s="18">
        <v>295</v>
      </c>
      <c r="AC548" s="18"/>
      <c r="AD548" s="143">
        <v>221</v>
      </c>
      <c r="AE548" s="35"/>
      <c r="AF548" s="18"/>
      <c r="AG548" s="18"/>
      <c r="AH548" s="48">
        <v>62.360000000000007</v>
      </c>
      <c r="AI548" s="18">
        <v>0</v>
      </c>
      <c r="AJ548" s="18">
        <v>0</v>
      </c>
      <c r="AL548" s="146"/>
      <c r="AN548" s="71">
        <f t="shared" si="305"/>
        <v>-1337</v>
      </c>
      <c r="AO548" s="71">
        <f t="shared" si="306"/>
        <v>0</v>
      </c>
      <c r="AP548" s="71">
        <f t="shared" si="307"/>
        <v>-1116</v>
      </c>
      <c r="AQ548" s="72">
        <f>IF(OR($H548="GIROSSOL II",$H548="GIROSSOL II e III"),INDEX('Resumo Operacional'!$A$1:$P$1103,MATCH("Energia Injetada prevista total Fatura da Usina (TUSD)",'Resumo Operacional'!$B$1:$B$1103,0),MATCH('Detalhe Por UC'!$R548,'Resumo Operacional'!$A$1:$P$1,0))*$S548,INDEX('Resumo Operacional'!$A$1:$P$1103,53,MATCH('Detalhe Por UC'!$R548,'Resumo Operacional'!$A$1:$P$1,0))*$S548)</f>
        <v>697.36</v>
      </c>
      <c r="AR548" s="71">
        <f t="shared" si="308"/>
        <v>-1813.3600000000001</v>
      </c>
      <c r="AS548" s="73">
        <f t="shared" si="309"/>
        <v>174.04000000000008</v>
      </c>
      <c r="AT548" s="74">
        <f t="shared" si="310"/>
        <v>174.04000000000008</v>
      </c>
      <c r="AU548" s="74">
        <f t="shared" si="311"/>
        <v>0.95693246456058012</v>
      </c>
      <c r="AV548" s="74">
        <f t="shared" si="312"/>
        <v>179.97593961403666</v>
      </c>
      <c r="AW548" s="74">
        <f t="shared" si="313"/>
        <v>0</v>
      </c>
      <c r="AX548" s="74">
        <f t="shared" si="314"/>
        <v>235.95797297297298</v>
      </c>
      <c r="AY548" s="74">
        <f t="shared" si="315"/>
        <v>179.98</v>
      </c>
      <c r="AZ548" s="43">
        <v>176.97</v>
      </c>
      <c r="BA548" s="43">
        <v>176.97</v>
      </c>
      <c r="BC548" s="73" t="str">
        <f t="shared" si="316"/>
        <v/>
      </c>
      <c r="BD548" s="73">
        <f t="shared" si="317"/>
        <v>409.99797297297306</v>
      </c>
      <c r="BE548" s="73">
        <f t="shared" si="318"/>
        <v>354.01593961403671</v>
      </c>
      <c r="BF548" s="77">
        <f t="shared" si="319"/>
        <v>55.98</v>
      </c>
      <c r="BG548" s="77">
        <f t="shared" si="320"/>
        <v>16.793999999999997</v>
      </c>
      <c r="BH548" s="77">
        <f t="shared" si="321"/>
        <v>235.95797297297298</v>
      </c>
      <c r="BI548" s="78">
        <f t="shared" si="322"/>
        <v>0.24</v>
      </c>
      <c r="BJ548" s="79">
        <f t="shared" si="323"/>
        <v>0.13653726040174882</v>
      </c>
      <c r="BK548" s="80">
        <f t="shared" si="324"/>
        <v>354.0200000000001</v>
      </c>
      <c r="BL548" s="80">
        <f t="shared" si="325"/>
        <v>55.977972972972964</v>
      </c>
      <c r="BM548" s="79">
        <f t="shared" si="326"/>
        <v>0.13653231640894725</v>
      </c>
      <c r="BN548" s="81">
        <f t="shared" si="327"/>
        <v>0.81438914027149312</v>
      </c>
      <c r="BO548" s="82">
        <f t="shared" si="328"/>
        <v>179.98</v>
      </c>
      <c r="BP548" s="81">
        <f t="shared" si="329"/>
        <v>0.81438914027149312</v>
      </c>
      <c r="BQ548" s="81">
        <f t="shared" si="330"/>
        <v>0.92513981133522516</v>
      </c>
      <c r="BR548" s="81">
        <f t="shared" si="331"/>
        <v>1.1784338066880442</v>
      </c>
      <c r="BS548" s="82">
        <f t="shared" si="332"/>
        <v>221</v>
      </c>
      <c r="BT548" s="82">
        <f t="shared" si="333"/>
        <v>260.43387127805778</v>
      </c>
      <c r="BU548" s="82">
        <f t="shared" si="334"/>
        <v>235.95797297297298</v>
      </c>
      <c r="BW548" s="82">
        <f>IFERROR(INDEX('Infos Clientes'!$T:$T,MATCH('Detalhe Por UC'!$C548,'Infos Clientes'!B:B,0)),"")</f>
        <v>409.33333333333331</v>
      </c>
      <c r="BX548" s="83">
        <f t="shared" si="335"/>
        <v>0</v>
      </c>
      <c r="BY548" s="84">
        <f t="shared" si="336"/>
        <v>0.21494121597266022</v>
      </c>
      <c r="BZ548" s="85">
        <f>IF(_xlfn.MINIFS('Detalhe Por UC'!R:R,'Detalhe Por UC'!C:C,C548,'Detalhe Por UC'!AD:AD,"&gt;"&amp;0)=0,"",_xlfn.MINIFS('Detalhe Por UC'!R:R,'Detalhe Por UC'!C:C,C548,'Detalhe Por UC'!AD:AD,"&gt;"&amp;0))</f>
        <v>45627</v>
      </c>
      <c r="CA548" s="114">
        <f ca="1">IF(OR(S548&gt;0,AD548&gt;0),IFERROR(
SUMIFS(INDIRECT("'Infos Clientes'!$W"&amp;INDEX('Infos Clientes'!$C:$C,MATCH(C548,'Infos Clientes'!$H:$H,0))&amp;":$CZ"&amp;INDEX('Infos Clientes'!$C:$C,MATCH(C548,'Infos Clientes'!$H:$H,0))),'Infos Clientes'!$W$2:$CZ$2,"&gt;"&amp;$R548-365,'Infos Clientes'!$W$2:$CZ$2,"&lt;="&amp;$R548)/
COUNTIFS(INDIRECT("'Infos Clientes'!$W"&amp;INDEX('Infos Clientes'!$C:$C,MATCH(C548,'Infos Clientes'!$H:$H,0))&amp;":$CZ"&amp;INDEX('Infos Clientes'!$C:$C,MATCH(C548,'Infos Clientes'!$H:$H,0))),"&gt;="&amp;0,'Infos Clientes'!$W$2:$CZ$2,"&gt;"&amp;$R548-365,'Infos Clientes'!$W$2:$CZ$2,"&lt;="&amp;$R548),""),"")</f>
        <v>398.66666666666669</v>
      </c>
      <c r="CB548" s="87">
        <f>VLOOKUP(C548,'Infos Clientes'!B:L,11,0)</f>
        <v>0</v>
      </c>
      <c r="CC548" s="88" t="str">
        <f t="shared" si="337"/>
        <v>A Unidade Consumidora 10/532723-4 economizou R$55,98 na fatura referente à jun/2025  consumindo 221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8" s="40" t="s">
        <v>125</v>
      </c>
      <c r="CE548" s="43"/>
      <c r="CF548" s="115">
        <f t="shared" si="338"/>
        <v>-174.04000000000008</v>
      </c>
    </row>
    <row r="549" spans="1:84" ht="16.2" hidden="1" customHeight="1" x14ac:dyDescent="0.3">
      <c r="A549" s="105" t="str">
        <f>INDEX('Infos Clientes'!$D:$D,MATCH('Detalhe Por UC'!C549,'Infos Clientes'!B:B,0))</f>
        <v>IGREJA DO EVANGELHO QUADRANGULAR</v>
      </c>
      <c r="B549" s="106" t="str">
        <f>INDEX('Infos Clientes'!$F:$F,MATCH('Detalhe Por UC'!C549,'Infos Clientes'!B:B,0))</f>
        <v>62.955.505/1822-57</v>
      </c>
      <c r="C549" s="44" t="s">
        <v>25</v>
      </c>
      <c r="D549" t="s">
        <v>351</v>
      </c>
      <c r="E549" s="1" t="s">
        <v>352</v>
      </c>
      <c r="F549" s="56" t="str">
        <f>INDEX('Infos Clientes'!$I:$I,MATCH('Detalhe Por UC'!C549,'Infos Clientes'!B:B,0))</f>
        <v>BT</v>
      </c>
      <c r="G549" s="56" t="str">
        <f>INDEX('Infos Clientes'!$J:$J,MATCH('Detalhe Por UC'!C549,'Infos Clientes'!B:B,0))</f>
        <v>trifasico</v>
      </c>
      <c r="H549" s="47" t="str">
        <f t="shared" si="340"/>
        <v>GIROSSOL II</v>
      </c>
      <c r="I549" s="58">
        <f>IFERROR(VLOOKUP(C549,'Infos Clientes'!B:E,4,),"")</f>
        <v>319</v>
      </c>
      <c r="J549" s="109">
        <v>0.23725425614394724</v>
      </c>
      <c r="K549" s="59">
        <f>INDEX('Infos Clientes'!$M:$M,MATCH('Detalhe Por UC'!C549,'Infos Clientes'!B:B,0))</f>
        <v>0.25</v>
      </c>
      <c r="L549" s="125">
        <v>0</v>
      </c>
      <c r="M549" s="56">
        <f>INDEX('Infos Clientes'!$N:$N,MATCH('Detalhe Por UC'!C549,'Infos Clientes'!B:B,0))</f>
        <v>0</v>
      </c>
      <c r="N549" s="56">
        <f t="shared" si="303"/>
        <v>0</v>
      </c>
      <c r="O549" s="56">
        <f t="shared" si="304"/>
        <v>12</v>
      </c>
      <c r="P549" s="56">
        <f t="shared" si="339"/>
        <v>0</v>
      </c>
      <c r="Q549" s="61">
        <f>IFERROR(IFERROR(INDEX('Infos Clientes'!$A$2:$V$9884,MATCH($C549,'Infos Clientes'!$B$2:$B$9884,0),MATCH(Q$8,'Infos Clientes'!$A$2:$V$2,0)),"")
+IF(OR(INDEX('Infos Clientes'!$A$2:$V$9884,MATCH($C549,'Infos Clientes'!$B$2:$B$9884,0),MATCH("Tempo de Fidelidade (meses)",'Infos Clientes'!$A$2:$V$2,0))=0,R549&gt;=MAX(R:R)),0,
ROUND((MAX(R:R)-R549)/(365/12),0)),"")</f>
        <v>0</v>
      </c>
      <c r="R549" s="111">
        <v>45809</v>
      </c>
      <c r="S549" s="17">
        <v>0.06</v>
      </c>
      <c r="T549" s="113">
        <f>IF($H549="GIROSSOL II",AP549/INDEX('Resumo Operacional'!$A$1:$P$1103,17,MATCH('Detalhe Por UC'!$R549,'Resumo Operacional'!$A$1:$P$1,0)),
IF($H549="GIROSSOL II e III",AP549/INDEX('Resumo Operacional'!$A$1:$P$1103,17,MATCH('Detalhe Por UC'!$R549,'Resumo Operacional'!$A$1:$P$1,0)),
""))</f>
        <v>-0.13049214179190088</v>
      </c>
      <c r="U549" s="113" t="str">
        <f>IF($H549="GIROSSOL III",AP549/INDEX('Resumo Operacional'!$A$1:$P$1103,53,MATCH('Detalhe Por UC'!$R549,'Resumo Operacional'!$A$1:$P$1,0)),
IF($H549="GIROSSOL II e III",AP549/INDEX('Resumo Operacional'!$A$1:$P$1103,53,MATCH('Detalhe Por UC'!$R549,'Resumo Operacional'!$A$1:$P$1,0)),
""))</f>
        <v/>
      </c>
      <c r="V549" s="45"/>
      <c r="X549" s="18">
        <v>1.1756230127186009</v>
      </c>
      <c r="Y549" s="18">
        <v>0</v>
      </c>
      <c r="Z549" s="18">
        <v>1.0527750477750477</v>
      </c>
      <c r="AA549" s="18"/>
      <c r="AB549" s="18">
        <v>272</v>
      </c>
      <c r="AC549" s="18"/>
      <c r="AD549" s="143">
        <v>198</v>
      </c>
      <c r="AE549" s="35"/>
      <c r="AF549" s="18"/>
      <c r="AG549" s="18"/>
      <c r="AH549" s="48">
        <v>63.019999999999996</v>
      </c>
      <c r="AI549" s="18">
        <v>0</v>
      </c>
      <c r="AJ549" s="18">
        <v>0</v>
      </c>
      <c r="AL549" s="146"/>
      <c r="AN549" s="71">
        <f t="shared" si="305"/>
        <v>-2473</v>
      </c>
      <c r="AO549" s="71">
        <f t="shared" si="306"/>
        <v>0</v>
      </c>
      <c r="AP549" s="71">
        <f t="shared" si="307"/>
        <v>-2275</v>
      </c>
      <c r="AQ549" s="72">
        <f>IF(OR($H549="GIROSSOL II",$H549="GIROSSOL II e III"),INDEX('Resumo Operacional'!$A$1:$P$1103,MATCH("Energia Injetada prevista total Fatura da Usina (TUSD)",'Resumo Operacional'!$B$1:$B$1103,0),MATCH('Detalhe Por UC'!$R549,'Resumo Operacional'!$A$1:$P$1,0))*$S549,INDEX('Resumo Operacional'!$A$1:$P$1103,53,MATCH('Detalhe Por UC'!$R549,'Resumo Operacional'!$A$1:$P$1,0))*$S549)</f>
        <v>1046.04</v>
      </c>
      <c r="AR549" s="71">
        <f t="shared" si="308"/>
        <v>-3321.04</v>
      </c>
      <c r="AS549" s="73">
        <f t="shared" si="309"/>
        <v>174.33999999999997</v>
      </c>
      <c r="AT549" s="74">
        <f t="shared" si="310"/>
        <v>174.33999999999997</v>
      </c>
      <c r="AU549" s="74">
        <f t="shared" si="311"/>
        <v>0.9299270828314945</v>
      </c>
      <c r="AV549" s="74">
        <f t="shared" si="312"/>
        <v>158.99393801179752</v>
      </c>
      <c r="AW549" s="74">
        <f t="shared" si="313"/>
        <v>0</v>
      </c>
      <c r="AX549" s="74">
        <f t="shared" si="314"/>
        <v>208.44945945945943</v>
      </c>
      <c r="AY549" s="74">
        <f t="shared" si="315"/>
        <v>158.99</v>
      </c>
      <c r="AZ549" s="43">
        <v>156.34</v>
      </c>
      <c r="BA549" s="43">
        <v>156.34</v>
      </c>
      <c r="BB549" s="43">
        <v>156.34</v>
      </c>
      <c r="BC549" s="73" t="str">
        <f t="shared" si="316"/>
        <v/>
      </c>
      <c r="BD549" s="73">
        <f t="shared" si="317"/>
        <v>382.78945945945941</v>
      </c>
      <c r="BE549" s="73">
        <f t="shared" si="318"/>
        <v>333.3339380117975</v>
      </c>
      <c r="BF549" s="77">
        <f t="shared" si="319"/>
        <v>49.46</v>
      </c>
      <c r="BG549" s="77">
        <f t="shared" si="320"/>
        <v>14.837999999999999</v>
      </c>
      <c r="BH549" s="77">
        <f t="shared" si="321"/>
        <v>208.44945945945943</v>
      </c>
      <c r="BI549" s="78">
        <f t="shared" si="322"/>
        <v>0.24</v>
      </c>
      <c r="BJ549" s="79">
        <f t="shared" si="323"/>
        <v>0.12920940944884671</v>
      </c>
      <c r="BK549" s="80">
        <f t="shared" si="324"/>
        <v>333.33</v>
      </c>
      <c r="BL549" s="80">
        <f t="shared" si="325"/>
        <v>49.459459459459424</v>
      </c>
      <c r="BM549" s="79">
        <f t="shared" si="326"/>
        <v>0.12920799733958607</v>
      </c>
      <c r="BN549" s="81">
        <f t="shared" si="327"/>
        <v>0.80297979797979802</v>
      </c>
      <c r="BO549" s="82">
        <f t="shared" si="328"/>
        <v>158.99</v>
      </c>
      <c r="BP549" s="81">
        <f t="shared" si="329"/>
        <v>0.80297979797979802</v>
      </c>
      <c r="BQ549" s="81">
        <f t="shared" si="330"/>
        <v>0.92582776292335123</v>
      </c>
      <c r="BR549" s="81">
        <f t="shared" si="331"/>
        <v>1.1756230127186009</v>
      </c>
      <c r="BS549" s="82">
        <f t="shared" si="332"/>
        <v>198</v>
      </c>
      <c r="BT549" s="82">
        <f t="shared" si="333"/>
        <v>232.77335651828298</v>
      </c>
      <c r="BU549" s="82">
        <f t="shared" si="334"/>
        <v>208.44945945945943</v>
      </c>
      <c r="BW549" s="82">
        <f>IFERROR(INDEX('Infos Clientes'!$T:$T,MATCH('Detalhe Por UC'!$C549,'Infos Clientes'!B:B,0)),"")</f>
        <v>453.58333333333331</v>
      </c>
      <c r="BX549" s="83">
        <f t="shared" si="335"/>
        <v>0</v>
      </c>
      <c r="BY549" s="84">
        <f t="shared" si="336"/>
        <v>0.21247904055365843</v>
      </c>
      <c r="BZ549" s="85">
        <f>IF(_xlfn.MINIFS('Detalhe Por UC'!R:R,'Detalhe Por UC'!C:C,C549,'Detalhe Por UC'!AD:AD,"&gt;"&amp;0)=0,"",_xlfn.MINIFS('Detalhe Por UC'!R:R,'Detalhe Por UC'!C:C,C549,'Detalhe Por UC'!AD:AD,"&gt;"&amp;0))</f>
        <v>45627</v>
      </c>
      <c r="CA549" s="114">
        <f ca="1">IF(OR(S549&gt;0,AD549&gt;0),IFERROR(
SUMIFS(INDIRECT("'Infos Clientes'!$W"&amp;INDEX('Infos Clientes'!$C:$C,MATCH(C549,'Infos Clientes'!$H:$H,0))&amp;":$CZ"&amp;INDEX('Infos Clientes'!$C:$C,MATCH(C549,'Infos Clientes'!$H:$H,0))),'Infos Clientes'!$W$2:$CZ$2,"&gt;"&amp;$R549-365,'Infos Clientes'!$W$2:$CZ$2,"&lt;="&amp;$R549)/
COUNTIFS(INDIRECT("'Infos Clientes'!$W"&amp;INDEX('Infos Clientes'!$C:$C,MATCH(C549,'Infos Clientes'!$H:$H,0))&amp;":$CZ"&amp;INDEX('Infos Clientes'!$C:$C,MATCH(C549,'Infos Clientes'!$H:$H,0))),"&gt;="&amp;0,'Infos Clientes'!$W$2:$CZ$2,"&gt;"&amp;$R549-365,'Infos Clientes'!$W$2:$CZ$2,"&lt;="&amp;$R549),""),"")</f>
        <v>401.25</v>
      </c>
      <c r="CB549" s="87">
        <f>VLOOKUP(C549,'Infos Clientes'!B:L,11,0)</f>
        <v>0</v>
      </c>
      <c r="CC549" s="88" t="str">
        <f t="shared" si="337"/>
        <v>A Unidade Consumidora 10/1035655-8 economizou R$49,46 na fatura referente à jun/2025  consumindo 198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49" s="40" t="s">
        <v>27</v>
      </c>
      <c r="CE549" s="43"/>
      <c r="CF549" s="115">
        <f t="shared" si="338"/>
        <v>-174.33999999999997</v>
      </c>
    </row>
    <row r="550" spans="1:84" ht="16.2" hidden="1" customHeight="1" x14ac:dyDescent="0.3">
      <c r="A550" s="105" t="str">
        <f>INDEX('Infos Clientes'!$D:$D,MATCH('Detalhe Por UC'!C550,'Infos Clientes'!B:B,0))</f>
        <v>IGREJA DO EVANGELHO QUADRANGULAR</v>
      </c>
      <c r="B550" s="106" t="str">
        <f>INDEX('Infos Clientes'!$F:$F,MATCH('Detalhe Por UC'!C550,'Infos Clientes'!B:B,0))</f>
        <v>62.955.505/1935-34</v>
      </c>
      <c r="C550" s="147" t="s">
        <v>120</v>
      </c>
      <c r="D550" t="s">
        <v>351</v>
      </c>
      <c r="E550" s="1" t="s">
        <v>352</v>
      </c>
      <c r="F550" s="56" t="str">
        <f>INDEX('Infos Clientes'!$I:$I,MATCH('Detalhe Por UC'!C550,'Infos Clientes'!B:B,0))</f>
        <v>BT</v>
      </c>
      <c r="G550" s="56" t="str">
        <f>INDEX('Infos Clientes'!$J:$J,MATCH('Detalhe Por UC'!C550,'Infos Clientes'!B:B,0))</f>
        <v>trifasico</v>
      </c>
      <c r="H550" s="47" t="str">
        <f t="shared" si="340"/>
        <v>GIROSSOL II</v>
      </c>
      <c r="I550" s="58">
        <f>IFERROR(VLOOKUP(C550,'Infos Clientes'!B:E,4,),"")</f>
        <v>994</v>
      </c>
      <c r="J550" s="109">
        <v>0.23725425614394724</v>
      </c>
      <c r="K550" s="59">
        <f>INDEX('Infos Clientes'!$M:$M,MATCH('Detalhe Por UC'!C550,'Infos Clientes'!B:B,0))</f>
        <v>0.25</v>
      </c>
      <c r="L550" s="125">
        <v>0</v>
      </c>
      <c r="M550" s="56">
        <f>INDEX('Infos Clientes'!$N:$N,MATCH('Detalhe Por UC'!C550,'Infos Clientes'!B:B,0))</f>
        <v>0</v>
      </c>
      <c r="N550" s="56">
        <f t="shared" si="303"/>
        <v>0</v>
      </c>
      <c r="O550" s="56">
        <f t="shared" si="304"/>
        <v>12</v>
      </c>
      <c r="P550" s="56">
        <f t="shared" si="339"/>
        <v>0</v>
      </c>
      <c r="Q550" s="61">
        <f>IFERROR(IFERROR(INDEX('Infos Clientes'!$A$2:$V$9884,MATCH($C550,'Infos Clientes'!$B$2:$B$9884,0),MATCH(Q$8,'Infos Clientes'!$A$2:$V$2,0)),"")
+IF(OR(INDEX('Infos Clientes'!$A$2:$V$9884,MATCH($C550,'Infos Clientes'!$B$2:$B$9884,0),MATCH("Tempo de Fidelidade (meses)",'Infos Clientes'!$A$2:$V$2,0))=0,R550&gt;=MAX(R:R)),0,
ROUND((MAX(R:R)-R550)/(365/12),0)),"")</f>
        <v>0</v>
      </c>
      <c r="R550" s="111">
        <v>45809</v>
      </c>
      <c r="S550" s="17">
        <v>0.01</v>
      </c>
      <c r="T550" s="113">
        <f>IF($H550="GIROSSOL II",AP550/INDEX('Resumo Operacional'!$A$1:$P$1103,17,MATCH('Detalhe Por UC'!$R550,'Resumo Operacional'!$A$1:$P$1,0)),
IF($H550="GIROSSOL II e III",AP550/INDEX('Resumo Operacional'!$A$1:$P$1103,17,MATCH('Detalhe Por UC'!$R550,'Resumo Operacional'!$A$1:$P$1,0)),
""))</f>
        <v>2.6385224274406333E-2</v>
      </c>
      <c r="U550" s="113" t="str">
        <f>IF($H550="GIROSSOL III",AP550/INDEX('Resumo Operacional'!$A$1:$P$1103,53,MATCH('Detalhe Por UC'!$R550,'Resumo Operacional'!$A$1:$P$1,0)),
IF($H550="GIROSSOL II e III",AP550/INDEX('Resumo Operacional'!$A$1:$P$1103,53,MATCH('Detalhe Por UC'!$R550,'Resumo Operacional'!$A$1:$P$1,0)),
""))</f>
        <v/>
      </c>
      <c r="V550" s="45"/>
      <c r="W550" s="143"/>
      <c r="X550" s="143">
        <v>1.1601000000000001</v>
      </c>
      <c r="Y550" s="143">
        <v>0</v>
      </c>
      <c r="Z550" s="143">
        <v>1.1601000000000001</v>
      </c>
      <c r="AA550" s="143"/>
      <c r="AB550" s="143">
        <v>225</v>
      </c>
      <c r="AC550" s="143"/>
      <c r="AD550" s="143">
        <v>125</v>
      </c>
      <c r="AE550" s="35"/>
      <c r="AF550" s="143">
        <v>335</v>
      </c>
      <c r="AG550" s="143">
        <v>0</v>
      </c>
      <c r="AH550" s="143">
        <v>47.92</v>
      </c>
      <c r="AI550" s="143">
        <v>0</v>
      </c>
      <c r="AJ550" s="143">
        <v>0</v>
      </c>
      <c r="AL550" s="146"/>
      <c r="AN550" s="71">
        <f t="shared" si="305"/>
        <v>335</v>
      </c>
      <c r="AO550" s="71">
        <f t="shared" si="306"/>
        <v>0</v>
      </c>
      <c r="AP550" s="71">
        <f t="shared" si="307"/>
        <v>460</v>
      </c>
      <c r="AQ550" s="72">
        <f>IF(OR($H550="GIROSSOL II",$H550="GIROSSOL II e III"),INDEX('Resumo Operacional'!$A$1:$P$1103,MATCH("Energia Injetada prevista total Fatura da Usina (TUSD)",'Resumo Operacional'!$B$1:$B$1103,0),MATCH('Detalhe Por UC'!$R550,'Resumo Operacional'!$A$1:$P$1,0))*$S550,INDEX('Resumo Operacional'!$A$1:$P$1103,53,MATCH('Detalhe Por UC'!$R550,'Resumo Operacional'!$A$1:$P$1,0))*$S550)</f>
        <v>174.34</v>
      </c>
      <c r="AR550" s="71">
        <f t="shared" si="308"/>
        <v>285.65999999999997</v>
      </c>
      <c r="AS550" s="73">
        <f t="shared" si="309"/>
        <v>163.93</v>
      </c>
      <c r="AT550" s="74">
        <f t="shared" si="310"/>
        <v>163.93</v>
      </c>
      <c r="AU550" s="74">
        <f t="shared" si="311"/>
        <v>1.1601000000000001</v>
      </c>
      <c r="AV550" s="74">
        <f t="shared" si="312"/>
        <v>110.60766718092586</v>
      </c>
      <c r="AW550" s="74">
        <f t="shared" si="313"/>
        <v>0</v>
      </c>
      <c r="AX550" s="74">
        <f t="shared" si="314"/>
        <v>145.01250000000002</v>
      </c>
      <c r="AY550" s="74">
        <f t="shared" si="315"/>
        <v>110.61</v>
      </c>
      <c r="AZ550" s="43">
        <v>108.76</v>
      </c>
      <c r="BA550" s="43">
        <v>108.76</v>
      </c>
      <c r="BB550" s="43">
        <v>108.76</v>
      </c>
      <c r="BC550" s="73" t="str">
        <f t="shared" si="316"/>
        <v/>
      </c>
      <c r="BD550" s="73">
        <f t="shared" si="317"/>
        <v>308.94250000000005</v>
      </c>
      <c r="BE550" s="73">
        <f t="shared" si="318"/>
        <v>274.53766718092584</v>
      </c>
      <c r="BF550" s="77">
        <f t="shared" si="319"/>
        <v>34.4</v>
      </c>
      <c r="BG550" s="77">
        <f t="shared" si="320"/>
        <v>10.319999999999999</v>
      </c>
      <c r="BH550" s="77">
        <f t="shared" si="321"/>
        <v>145.01250000000002</v>
      </c>
      <c r="BI550" s="78">
        <f t="shared" si="322"/>
        <v>0.24</v>
      </c>
      <c r="BJ550" s="79">
        <f t="shared" si="323"/>
        <v>0.11134758086051609</v>
      </c>
      <c r="BK550" s="80">
        <f t="shared" si="324"/>
        <v>274.54000000000002</v>
      </c>
      <c r="BL550" s="80">
        <f t="shared" si="325"/>
        <v>34.402500000000032</v>
      </c>
      <c r="BM550" s="79">
        <f t="shared" si="326"/>
        <v>0.11135567298121828</v>
      </c>
      <c r="BN550" s="81">
        <f t="shared" si="327"/>
        <v>0.88488</v>
      </c>
      <c r="BO550" s="82">
        <f t="shared" si="328"/>
        <v>110.61</v>
      </c>
      <c r="BP550" s="81">
        <f t="shared" si="329"/>
        <v>0.88488</v>
      </c>
      <c r="BQ550" s="81">
        <f t="shared" si="330"/>
        <v>0.88488</v>
      </c>
      <c r="BR550" s="81">
        <f t="shared" si="331"/>
        <v>1.1601000000000001</v>
      </c>
      <c r="BS550" s="82">
        <f t="shared" si="332"/>
        <v>125</v>
      </c>
      <c r="BT550" s="82">
        <f t="shared" si="333"/>
        <v>145.01250000000002</v>
      </c>
      <c r="BU550" s="82">
        <f t="shared" si="334"/>
        <v>145.01250000000002</v>
      </c>
      <c r="BW550" s="82">
        <f>IFERROR(INDEX('Infos Clientes'!$T:$T,MATCH('Detalhe Por UC'!$C550,'Infos Clientes'!B:B,0)),"")</f>
        <v>350.91666666666669</v>
      </c>
      <c r="BX550" s="83">
        <f t="shared" si="335"/>
        <v>0</v>
      </c>
      <c r="BY550" s="84">
        <f t="shared" si="336"/>
        <v>0.23723816912335152</v>
      </c>
      <c r="BZ550" s="85">
        <f>IF(_xlfn.MINIFS('Detalhe Por UC'!R:R,'Detalhe Por UC'!C:C,C550,'Detalhe Por UC'!AD:AD,"&gt;"&amp;0)=0,"",_xlfn.MINIFS('Detalhe Por UC'!R:R,'Detalhe Por UC'!C:C,C550,'Detalhe Por UC'!AD:AD,"&gt;"&amp;0))</f>
        <v>45627</v>
      </c>
      <c r="CA550" s="114">
        <f ca="1">IF(OR(S550&gt;0,AD550&gt;0),IFERROR(
SUMIFS(INDIRECT("'Infos Clientes'!$W"&amp;INDEX('Infos Clientes'!$C:$C,MATCH(C550,'Infos Clientes'!$H:$H,0))&amp;":$CZ"&amp;INDEX('Infos Clientes'!$C:$C,MATCH(C550,'Infos Clientes'!$H:$H,0))),'Infos Clientes'!$W$2:$CZ$2,"&gt;"&amp;$R550-365,'Infos Clientes'!$W$2:$CZ$2,"&lt;="&amp;$R550)/
COUNTIFS(INDIRECT("'Infos Clientes'!$W"&amp;INDEX('Infos Clientes'!$C:$C,MATCH(C550,'Infos Clientes'!$H:$H,0))&amp;":$CZ"&amp;INDEX('Infos Clientes'!$C:$C,MATCH(C550,'Infos Clientes'!$H:$H,0))),"&gt;="&amp;0,'Infos Clientes'!$W$2:$CZ$2,"&gt;"&amp;$R550-365,'Infos Clientes'!$W$2:$CZ$2,"&lt;="&amp;$R550),""),"")</f>
        <v>336.91666666666669</v>
      </c>
      <c r="CB550" s="87">
        <f>VLOOKUP(C550,'Infos Clientes'!B:L,11,0)</f>
        <v>0</v>
      </c>
      <c r="CC550" s="88" t="str">
        <f t="shared" si="337"/>
        <v>A Unidade Consumidora 10/532081-7 economizou R$34,4 na fatura referente à jun/2025  consumindo 125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0" s="40" t="s">
        <v>122</v>
      </c>
      <c r="CE550" s="43"/>
      <c r="CF550" s="115">
        <f t="shared" si="338"/>
        <v>-163.93</v>
      </c>
    </row>
    <row r="551" spans="1:84" ht="16.2" hidden="1" customHeight="1" x14ac:dyDescent="0.3">
      <c r="A551" s="105" t="str">
        <f>INDEX('Infos Clientes'!$D:$D,MATCH('Detalhe Por UC'!C551,'Infos Clientes'!B:B,0))</f>
        <v>IGREJA DO EVANGELHO QUADRANGULAR</v>
      </c>
      <c r="B551" s="106" t="str">
        <f>INDEX('Infos Clientes'!$F:$F,MATCH('Detalhe Por UC'!C551,'Infos Clientes'!B:B,0))</f>
        <v>62.955.505/0153-50</v>
      </c>
      <c r="C551" s="44" t="s">
        <v>45</v>
      </c>
      <c r="D551" t="s">
        <v>351</v>
      </c>
      <c r="E551" s="1" t="s">
        <v>352</v>
      </c>
      <c r="F551" s="56" t="str">
        <f>INDEX('Infos Clientes'!$I:$I,MATCH('Detalhe Por UC'!C551,'Infos Clientes'!B:B,0))</f>
        <v>BT</v>
      </c>
      <c r="G551" s="56" t="str">
        <f>INDEX('Infos Clientes'!$J:$J,MATCH('Detalhe Por UC'!C551,'Infos Clientes'!B:B,0))</f>
        <v>trifasico</v>
      </c>
      <c r="H551" s="47" t="str">
        <f t="shared" si="340"/>
        <v>GIROSSOL II</v>
      </c>
      <c r="I551" s="58">
        <f>IFERROR(VLOOKUP(C551,'Infos Clientes'!B:E,4,),"")</f>
        <v>994</v>
      </c>
      <c r="J551" s="109">
        <v>0.23725425614394724</v>
      </c>
      <c r="K551" s="59">
        <f>INDEX('Infos Clientes'!$M:$M,MATCH('Detalhe Por UC'!C551,'Infos Clientes'!B:B,0))</f>
        <v>0.25</v>
      </c>
      <c r="L551" s="125">
        <v>0</v>
      </c>
      <c r="M551" s="56">
        <f>INDEX('Infos Clientes'!$N:$N,MATCH('Detalhe Por UC'!C551,'Infos Clientes'!B:B,0))</f>
        <v>0</v>
      </c>
      <c r="N551" s="56">
        <f t="shared" si="303"/>
        <v>0</v>
      </c>
      <c r="O551" s="56">
        <f t="shared" si="304"/>
        <v>12</v>
      </c>
      <c r="P551" s="56">
        <f t="shared" si="339"/>
        <v>0</v>
      </c>
      <c r="Q551" s="61">
        <f>IFERROR(IFERROR(INDEX('Infos Clientes'!$A$2:$V$9884,MATCH($C551,'Infos Clientes'!$B$2:$B$9884,0),MATCH(Q$8,'Infos Clientes'!$A$2:$V$2,0)),"")
+IF(OR(INDEX('Infos Clientes'!$A$2:$V$9884,MATCH($C551,'Infos Clientes'!$B$2:$B$9884,0),MATCH("Tempo de Fidelidade (meses)",'Infos Clientes'!$A$2:$V$2,0))=0,R551&gt;=MAX(R:R)),0,
ROUND((MAX(R:R)-R551)/(365/12),0)),"")</f>
        <v>0</v>
      </c>
      <c r="R551" s="111">
        <v>45809</v>
      </c>
      <c r="S551" s="17">
        <v>0.02</v>
      </c>
      <c r="T551" s="113">
        <f>IF($H551="GIROSSOL II",AP551/INDEX('Resumo Operacional'!$A$1:$P$1103,17,MATCH('Detalhe Por UC'!$R551,'Resumo Operacional'!$A$1:$P$1,0)),
IF($H551="GIROSSOL II e III",AP551/INDEX('Resumo Operacional'!$A$1:$P$1103,17,MATCH('Detalhe Por UC'!$R551,'Resumo Operacional'!$A$1:$P$1,0)),
""))</f>
        <v>8.890673396810829E-3</v>
      </c>
      <c r="U551" s="113" t="str">
        <f>IF($H551="GIROSSOL III",AP551/INDEX('Resumo Operacional'!$A$1:$P$1103,53,MATCH('Detalhe Por UC'!$R551,'Resumo Operacional'!$A$1:$P$1,0)),
IF($H551="GIROSSOL II e III",AP551/INDEX('Resumo Operacional'!$A$1:$P$1103,53,MATCH('Detalhe Por UC'!$R551,'Resumo Operacional'!$A$1:$P$1,0)),
""))</f>
        <v/>
      </c>
      <c r="V551" s="45"/>
      <c r="X551" s="18">
        <v>1.1618021164021164</v>
      </c>
      <c r="Y551" s="18">
        <v>0</v>
      </c>
      <c r="Z551" s="18">
        <v>1.1618044943820225</v>
      </c>
      <c r="AA551" s="18"/>
      <c r="AB551" s="18">
        <v>189</v>
      </c>
      <c r="AC551" s="18"/>
      <c r="AD551" s="143">
        <v>89</v>
      </c>
      <c r="AE551" s="35"/>
      <c r="AF551" s="18">
        <v>505</v>
      </c>
      <c r="AG551" s="18">
        <v>0</v>
      </c>
      <c r="AH551" s="48">
        <v>42.46</v>
      </c>
      <c r="AI551" s="18">
        <v>0</v>
      </c>
      <c r="AJ551" s="18">
        <v>0</v>
      </c>
      <c r="AL551" s="146"/>
      <c r="AN551" s="71">
        <f t="shared" si="305"/>
        <v>66</v>
      </c>
      <c r="AO551" s="71">
        <f t="shared" si="306"/>
        <v>0</v>
      </c>
      <c r="AP551" s="71">
        <f t="shared" si="307"/>
        <v>155</v>
      </c>
      <c r="AQ551" s="72">
        <f>IF(OR($H551="GIROSSOL II",$H551="GIROSSOL II e III"),INDEX('Resumo Operacional'!$A$1:$P$1103,MATCH("Energia Injetada prevista total Fatura da Usina (TUSD)",'Resumo Operacional'!$B$1:$B$1103,0),MATCH('Detalhe Por UC'!$R551,'Resumo Operacional'!$A$1:$P$1,0))*$S551,INDEX('Resumo Operacional'!$A$1:$P$1103,53,MATCH('Detalhe Por UC'!$R551,'Resumo Operacional'!$A$1:$P$1,0))*$S551)</f>
        <v>348.68</v>
      </c>
      <c r="AR551" s="71">
        <f t="shared" si="308"/>
        <v>-193.68</v>
      </c>
      <c r="AS551" s="73">
        <f t="shared" si="309"/>
        <v>158.64000000000001</v>
      </c>
      <c r="AT551" s="74">
        <f t="shared" si="310"/>
        <v>158.64000000000001</v>
      </c>
      <c r="AU551" s="74">
        <f t="shared" si="311"/>
        <v>1.1618068723619286</v>
      </c>
      <c r="AV551" s="74">
        <f t="shared" si="312"/>
        <v>78.868367562162163</v>
      </c>
      <c r="AW551" s="74">
        <f t="shared" si="313"/>
        <v>0</v>
      </c>
      <c r="AX551" s="74">
        <f t="shared" si="314"/>
        <v>103.4006</v>
      </c>
      <c r="AY551" s="74">
        <f t="shared" si="315"/>
        <v>78.87</v>
      </c>
      <c r="AZ551" s="43">
        <v>77.55</v>
      </c>
      <c r="BA551" s="43">
        <v>77.55</v>
      </c>
      <c r="BB551" s="43">
        <v>77.55</v>
      </c>
      <c r="BC551" s="73" t="str">
        <f t="shared" si="316"/>
        <v/>
      </c>
      <c r="BD551" s="73">
        <f t="shared" si="317"/>
        <v>262.04059999999998</v>
      </c>
      <c r="BE551" s="73">
        <f t="shared" si="318"/>
        <v>237.50836756216216</v>
      </c>
      <c r="BF551" s="77">
        <f t="shared" si="319"/>
        <v>24.53</v>
      </c>
      <c r="BG551" s="77">
        <f t="shared" si="320"/>
        <v>7.359</v>
      </c>
      <c r="BH551" s="77">
        <f t="shared" si="321"/>
        <v>103.40060000000001</v>
      </c>
      <c r="BI551" s="78">
        <f t="shared" si="322"/>
        <v>0.24</v>
      </c>
      <c r="BJ551" s="79">
        <f t="shared" si="323"/>
        <v>9.3611447996989783E-2</v>
      </c>
      <c r="BK551" s="80">
        <f t="shared" si="324"/>
        <v>237.51000000000002</v>
      </c>
      <c r="BL551" s="80">
        <f t="shared" si="325"/>
        <v>24.530599999999964</v>
      </c>
      <c r="BM551" s="79">
        <f t="shared" si="326"/>
        <v>9.361373771850609E-2</v>
      </c>
      <c r="BN551" s="81">
        <f t="shared" si="327"/>
        <v>0.88617977528089897</v>
      </c>
      <c r="BO551" s="82">
        <f t="shared" si="328"/>
        <v>78.87</v>
      </c>
      <c r="BP551" s="81">
        <f t="shared" si="329"/>
        <v>0.88617977528089897</v>
      </c>
      <c r="BQ551" s="81">
        <f t="shared" si="330"/>
        <v>0.88617739730099288</v>
      </c>
      <c r="BR551" s="81">
        <f t="shared" si="331"/>
        <v>1.1618021164021164</v>
      </c>
      <c r="BS551" s="82">
        <f t="shared" si="332"/>
        <v>89</v>
      </c>
      <c r="BT551" s="82">
        <f t="shared" si="333"/>
        <v>103.40038835978837</v>
      </c>
      <c r="BU551" s="82">
        <f t="shared" si="334"/>
        <v>103.4006</v>
      </c>
      <c r="BW551" s="82">
        <f>IFERROR(INDEX('Infos Clientes'!$T:$T,MATCH('Detalhe Por UC'!$C551,'Infos Clientes'!B:B,0)),"")</f>
        <v>362.41666666666669</v>
      </c>
      <c r="BX551" s="83">
        <f t="shared" si="335"/>
        <v>0</v>
      </c>
      <c r="BY551" s="84">
        <f t="shared" si="336"/>
        <v>0.23723895421595689</v>
      </c>
      <c r="BZ551" s="85">
        <f>IF(_xlfn.MINIFS('Detalhe Por UC'!R:R,'Detalhe Por UC'!C:C,C551,'Detalhe Por UC'!AD:AD,"&gt;"&amp;0)=0,"",_xlfn.MINIFS('Detalhe Por UC'!R:R,'Detalhe Por UC'!C:C,C551,'Detalhe Por UC'!AD:AD,"&gt;"&amp;0))</f>
        <v>45627</v>
      </c>
      <c r="CA551" s="114">
        <f ca="1">IF(OR(S551&gt;0,AD551&gt;0),IFERROR(
SUMIFS(INDIRECT("'Infos Clientes'!$W"&amp;INDEX('Infos Clientes'!$C:$C,MATCH(C551,'Infos Clientes'!$H:$H,0))&amp;":$CZ"&amp;INDEX('Infos Clientes'!$C:$C,MATCH(C551,'Infos Clientes'!$H:$H,0))),'Infos Clientes'!$W$2:$CZ$2,"&gt;"&amp;$R551-365,'Infos Clientes'!$W$2:$CZ$2,"&lt;="&amp;$R551)/
COUNTIFS(INDIRECT("'Infos Clientes'!$W"&amp;INDEX('Infos Clientes'!$C:$C,MATCH(C551,'Infos Clientes'!$H:$H,0))&amp;":$CZ"&amp;INDEX('Infos Clientes'!$C:$C,MATCH(C551,'Infos Clientes'!$H:$H,0))),"&gt;="&amp;0,'Infos Clientes'!$W$2:$CZ$2,"&gt;"&amp;$R551-365,'Infos Clientes'!$W$2:$CZ$2,"&lt;="&amp;$R551),""),"")</f>
        <v>333.58333333333331</v>
      </c>
      <c r="CB551" s="87">
        <f>VLOOKUP(C551,'Infos Clientes'!B:L,11,0)</f>
        <v>0</v>
      </c>
      <c r="CC551" s="88" t="str">
        <f t="shared" si="337"/>
        <v>A Unidade Consumidora 10/156956-5 economizou R$24,53 na fatura referente à jun/2025  consumindo 89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1" s="40" t="s">
        <v>47</v>
      </c>
      <c r="CE551" s="43"/>
      <c r="CF551" s="115">
        <f t="shared" si="338"/>
        <v>-158.64000000000001</v>
      </c>
    </row>
    <row r="552" spans="1:84" ht="16.2" hidden="1" customHeight="1" x14ac:dyDescent="0.3">
      <c r="A552" s="105" t="str">
        <f>INDEX('Infos Clientes'!$D:$D,MATCH('Detalhe Por UC'!C552,'Infos Clientes'!B:B,0))</f>
        <v>IGREJA DO EVANGELHO QUADRANGULAR</v>
      </c>
      <c r="B552" s="106" t="str">
        <f>INDEX('Infos Clientes'!$F:$F,MATCH('Detalhe Por UC'!C552,'Infos Clientes'!B:B,0))</f>
        <v>62.955.505/0914-56</v>
      </c>
      <c r="C552" s="107" t="s">
        <v>132</v>
      </c>
      <c r="D552" t="s">
        <v>351</v>
      </c>
      <c r="E552" s="1" t="s">
        <v>352</v>
      </c>
      <c r="F552" s="56">
        <f>INDEX('Infos Clientes'!$I:$I,MATCH('Detalhe Por UC'!C552,'Infos Clientes'!B:B,0))</f>
        <v>0</v>
      </c>
      <c r="G552" s="56">
        <f>INDEX('Infos Clientes'!$J:$J,MATCH('Detalhe Por UC'!C552,'Infos Clientes'!B:B,0))</f>
        <v>0</v>
      </c>
      <c r="H552" s="108" t="s">
        <v>24</v>
      </c>
      <c r="I552" s="58">
        <f>IFERROR(VLOOKUP(C552,'Infos Clientes'!B:E,4,),"")</f>
        <v>0</v>
      </c>
      <c r="J552" s="109">
        <v>0.23725425614394724</v>
      </c>
      <c r="K552" s="59">
        <f>INDEX('Infos Clientes'!$M:$M,MATCH('Detalhe Por UC'!C552,'Infos Clientes'!B:B,0))</f>
        <v>0</v>
      </c>
      <c r="L552" s="125">
        <v>0</v>
      </c>
      <c r="M552" s="56">
        <f>INDEX('Infos Clientes'!$N:$N,MATCH('Detalhe Por UC'!C552,'Infos Clientes'!B:B,0))</f>
        <v>0</v>
      </c>
      <c r="N552" s="56">
        <f t="shared" si="303"/>
        <v>6</v>
      </c>
      <c r="O552" s="56">
        <f t="shared" si="304"/>
        <v>0</v>
      </c>
      <c r="P552" s="56">
        <f t="shared" si="339"/>
        <v>-6</v>
      </c>
      <c r="Q552" s="61">
        <f>IFERROR(IFERROR(INDEX('Infos Clientes'!$A$2:$V$9884,MATCH($C552,'Infos Clientes'!$B$2:$B$9884,0),MATCH(Q$8,'Infos Clientes'!$A$2:$V$2,0)),"")
+IF(OR(INDEX('Infos Clientes'!$A$2:$V$9884,MATCH($C552,'Infos Clientes'!$B$2:$B$9884,0),MATCH("Tempo de Fidelidade (meses)",'Infos Clientes'!$A$2:$V$2,0))=0,R552&gt;=MAX(R:R)),0,
ROUND((MAX(R:R)-R552)/(365/12),0)),"")</f>
        <v>0</v>
      </c>
      <c r="R552" s="111">
        <v>45809</v>
      </c>
      <c r="S552" s="17">
        <v>0.02</v>
      </c>
      <c r="T552" s="113">
        <f>IF($H552="GIROSSOL II",AP552/INDEX('Resumo Operacional'!$A$1:$P$1103,17,MATCH('Detalhe Por UC'!$R552,'Resumo Operacional'!$A$1:$P$1,0)),
IF($H552="GIROSSOL II e III",AP552/INDEX('Resumo Operacional'!$A$1:$P$1103,17,MATCH('Detalhe Por UC'!$R552,'Resumo Operacional'!$A$1:$P$1,0)),
""))</f>
        <v>0</v>
      </c>
      <c r="U552" s="113" t="str">
        <f>IF($H552="GIROSSOL III",AP552/INDEX('Resumo Operacional'!$A$1:$P$1103,53,MATCH('Detalhe Por UC'!$R552,'Resumo Operacional'!$A$1:$P$1,0)),
IF($H552="GIROSSOL II e III",AP552/INDEX('Resumo Operacional'!$A$1:$P$1103,53,MATCH('Detalhe Por UC'!$R552,'Resumo Operacional'!$A$1:$P$1,0)),
""))</f>
        <v/>
      </c>
      <c r="V552" s="45"/>
      <c r="X552" s="18"/>
      <c r="Y552" s="18"/>
      <c r="Z552" s="18"/>
      <c r="AA552" s="18"/>
      <c r="AB552" s="18"/>
      <c r="AC552" s="18"/>
      <c r="AD552" s="143"/>
      <c r="AE552" s="35"/>
      <c r="AF552" s="18"/>
      <c r="AG552" s="18"/>
      <c r="AH552" s="48"/>
      <c r="AI552" s="18"/>
      <c r="AJ552" s="18"/>
      <c r="AL552" s="146"/>
      <c r="AN552" s="71" t="str">
        <f t="shared" si="305"/>
        <v/>
      </c>
      <c r="AO552" s="71" t="str">
        <f t="shared" si="306"/>
        <v/>
      </c>
      <c r="AP552" s="71">
        <f t="shared" si="307"/>
        <v>0</v>
      </c>
      <c r="AQ552" s="72">
        <f>IF(OR($H552="GIROSSOL II",$H552="GIROSSOL II e III"),INDEX('Resumo Operacional'!$A$1:$P$1103,MATCH("Energia Injetada prevista total Fatura da Usina (TUSD)",'Resumo Operacional'!$B$1:$B$1103,0),MATCH('Detalhe Por UC'!$R552,'Resumo Operacional'!$A$1:$P$1,0))*$S552,INDEX('Resumo Operacional'!$A$1:$P$1103,53,MATCH('Detalhe Por UC'!$R552,'Resumo Operacional'!$A$1:$P$1,0))*$S552)</f>
        <v>348.68</v>
      </c>
      <c r="AR552" s="71" t="str">
        <f t="shared" si="308"/>
        <v/>
      </c>
      <c r="AS552" s="73">
        <f t="shared" si="309"/>
        <v>0</v>
      </c>
      <c r="AT552" s="74">
        <f t="shared" si="310"/>
        <v>0</v>
      </c>
      <c r="AU552" s="74" t="str">
        <f t="shared" si="311"/>
        <v/>
      </c>
      <c r="AV552" s="74">
        <f t="shared" si="312"/>
        <v>0</v>
      </c>
      <c r="AW552" s="74">
        <f t="shared" si="313"/>
        <v>0</v>
      </c>
      <c r="AX552" s="74">
        <f t="shared" si="314"/>
        <v>0</v>
      </c>
      <c r="AY552" s="74" t="str">
        <f t="shared" si="315"/>
        <v/>
      </c>
      <c r="AZ552" s="43" t="s">
        <v>354</v>
      </c>
      <c r="BA552" s="43"/>
      <c r="BC552" s="73" t="str">
        <f t="shared" si="316"/>
        <v/>
      </c>
      <c r="BD552" s="73">
        <f t="shared" si="317"/>
        <v>0</v>
      </c>
      <c r="BE552" s="73">
        <f t="shared" si="318"/>
        <v>0</v>
      </c>
      <c r="BF552" s="77">
        <f t="shared" si="319"/>
        <v>0</v>
      </c>
      <c r="BG552" s="77">
        <f t="shared" si="320"/>
        <v>0</v>
      </c>
      <c r="BH552" s="77">
        <f t="shared" si="321"/>
        <v>0</v>
      </c>
      <c r="BI552" s="78" t="str">
        <f t="shared" si="322"/>
        <v/>
      </c>
      <c r="BJ552" s="79" t="str">
        <f t="shared" si="323"/>
        <v/>
      </c>
      <c r="BK552" s="80" t="str">
        <f t="shared" si="324"/>
        <v/>
      </c>
      <c r="BL552" s="80" t="str">
        <f t="shared" si="325"/>
        <v/>
      </c>
      <c r="BM552" s="79" t="str">
        <f t="shared" si="326"/>
        <v/>
      </c>
      <c r="BN552" s="81" t="str">
        <f t="shared" si="327"/>
        <v/>
      </c>
      <c r="BO552" s="82" t="str">
        <f t="shared" si="328"/>
        <v/>
      </c>
      <c r="BP552" s="81" t="str">
        <f t="shared" si="329"/>
        <v/>
      </c>
      <c r="BQ552" s="81" t="str">
        <f t="shared" si="330"/>
        <v/>
      </c>
      <c r="BR552" s="81" t="str">
        <f t="shared" si="331"/>
        <v/>
      </c>
      <c r="BS552" s="82">
        <f t="shared" si="332"/>
        <v>0</v>
      </c>
      <c r="BT552" s="82" t="str">
        <f t="shared" si="333"/>
        <v/>
      </c>
      <c r="BU552" s="82">
        <f t="shared" si="334"/>
        <v>0</v>
      </c>
      <c r="BW552" s="82">
        <f>IFERROR(INDEX('Infos Clientes'!$T:$T,MATCH('Detalhe Por UC'!$C552,'Infos Clientes'!B:B,0)),"")</f>
        <v>0</v>
      </c>
      <c r="BX552" s="83">
        <f t="shared" si="335"/>
        <v>0</v>
      </c>
      <c r="BY552" s="84" t="str">
        <f t="shared" si="336"/>
        <v/>
      </c>
      <c r="BZ552" s="85" t="str">
        <f>IF(_xlfn.MINIFS('Detalhe Por UC'!R:R,'Detalhe Por UC'!C:C,C552,'Detalhe Por UC'!AD:AD,"&gt;"&amp;0)=0,"",_xlfn.MINIFS('Detalhe Por UC'!R:R,'Detalhe Por UC'!C:C,C552,'Detalhe Por UC'!AD:AD,"&gt;"&amp;0))</f>
        <v/>
      </c>
      <c r="CA552" s="114">
        <f ca="1">IF(OR(S552&gt;0,AD552&gt;0),IFERROR(
SUMIFS(INDIRECT("'Infos Clientes'!$W"&amp;INDEX('Infos Clientes'!$C:$C,MATCH(C552,'Infos Clientes'!$H:$H,0))&amp;":$CZ"&amp;INDEX('Infos Clientes'!$C:$C,MATCH(C552,'Infos Clientes'!$H:$H,0))),'Infos Clientes'!$W$2:$CZ$2,"&gt;"&amp;$R552-365,'Infos Clientes'!$W$2:$CZ$2,"&lt;="&amp;$R552)/
COUNTIFS(INDIRECT("'Infos Clientes'!$W"&amp;INDEX('Infos Clientes'!$C:$C,MATCH(C552,'Infos Clientes'!$H:$H,0))&amp;":$CZ"&amp;INDEX('Infos Clientes'!$C:$C,MATCH(C552,'Infos Clientes'!$H:$H,0))),"&gt;="&amp;0,'Infos Clientes'!$W$2:$CZ$2,"&gt;"&amp;$R552-365,'Infos Clientes'!$W$2:$CZ$2,"&lt;="&amp;$R552),""),"")</f>
        <v>136</v>
      </c>
      <c r="CB552" s="87">
        <f>VLOOKUP(C552,'Infos Clientes'!B:L,11,0)</f>
        <v>0</v>
      </c>
      <c r="CC552" s="88" t="str">
        <f t="shared" si="337"/>
        <v>A Unidade Consumidora 10/104720-8 economizou R$0 na fatura referente à jun/2025  consumindo 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2" s="40"/>
      <c r="CE552" s="43"/>
      <c r="CF552" s="115">
        <f t="shared" si="338"/>
        <v>0</v>
      </c>
    </row>
    <row r="553" spans="1:84" ht="16.2" hidden="1" customHeight="1" x14ac:dyDescent="0.3">
      <c r="A553" s="105" t="str">
        <f>INDEX('Infos Clientes'!$D:$D,MATCH('Detalhe Por UC'!C553,'Infos Clientes'!B:B,0))</f>
        <v>IGREJA DO EVANGELHO QUADRANGULAR</v>
      </c>
      <c r="B553" s="106" t="str">
        <f>INDEX('Infos Clientes'!$F:$F,MATCH('Detalhe Por UC'!C553,'Infos Clientes'!B:B,0))</f>
        <v>62.955.505/0160-80</v>
      </c>
      <c r="C553" s="44" t="s">
        <v>114</v>
      </c>
      <c r="D553" t="s">
        <v>351</v>
      </c>
      <c r="E553" s="1" t="s">
        <v>352</v>
      </c>
      <c r="F553" s="56" t="str">
        <f>INDEX('Infos Clientes'!$I:$I,MATCH('Detalhe Por UC'!C553,'Infos Clientes'!B:B,0))</f>
        <v>BT</v>
      </c>
      <c r="G553" s="56" t="str">
        <f>INDEX('Infos Clientes'!$J:$J,MATCH('Detalhe Por UC'!C553,'Infos Clientes'!B:B,0))</f>
        <v>bifasico</v>
      </c>
      <c r="H553" s="47" t="str">
        <f t="shared" ref="H553:H579" si="341">HYPERLINK("https://geraebcsp.sharepoint.com/sites/gestao.gdc/Shared Documents/EGS/2- Faturas/"&amp; TEXT($R553,"AAA") &amp;"/"&amp; TEXT($R553,"MM") &amp;"."&amp; TEXT($R553,"AAA") &amp;"/"&amp;"_10-"&amp; RIGHT($C553,LEN($C553)-3) &amp;"_" &amp; TEXT($R553,"AAAA") &amp;"-"&amp; TEXT($R553,"MM") &amp;".pdf","GIROSSOL II")</f>
        <v>GIROSSOL II</v>
      </c>
      <c r="I553" s="58">
        <f>IFERROR(VLOOKUP(C553,'Infos Clientes'!B:E,4,),"")</f>
        <v>357</v>
      </c>
      <c r="J553" s="109">
        <v>0.23725425614394724</v>
      </c>
      <c r="K553" s="59">
        <f>INDEX('Infos Clientes'!$M:$M,MATCH('Detalhe Por UC'!C553,'Infos Clientes'!B:B,0))</f>
        <v>0.25</v>
      </c>
      <c r="L553" s="125">
        <v>0</v>
      </c>
      <c r="M553" s="56">
        <f>INDEX('Infos Clientes'!$N:$N,MATCH('Detalhe Por UC'!C553,'Infos Clientes'!B:B,0))</f>
        <v>0</v>
      </c>
      <c r="N553" s="56">
        <f t="shared" si="303"/>
        <v>0</v>
      </c>
      <c r="O553" s="56">
        <f t="shared" si="304"/>
        <v>12</v>
      </c>
      <c r="P553" s="56">
        <f t="shared" si="339"/>
        <v>0</v>
      </c>
      <c r="Q553" s="61">
        <f>IFERROR(IFERROR(INDEX('Infos Clientes'!$A$2:$V$9884,MATCH($C553,'Infos Clientes'!$B$2:$B$9884,0),MATCH(Q$8,'Infos Clientes'!$A$2:$V$2,0)),"")
+IF(OR(INDEX('Infos Clientes'!$A$2:$V$9884,MATCH($C553,'Infos Clientes'!$B$2:$B$9884,0),MATCH("Tempo de Fidelidade (meses)",'Infos Clientes'!$A$2:$V$2,0))=0,R553&gt;=MAX(R:R)),0,
ROUND((MAX(R:R)-R553)/(365/12),0)),"")</f>
        <v>0</v>
      </c>
      <c r="R553" s="111">
        <v>45809</v>
      </c>
      <c r="S553" s="17">
        <v>0.02</v>
      </c>
      <c r="T553" s="113">
        <f>IF($H553="GIROSSOL II",AP553/INDEX('Resumo Operacional'!$A$1:$P$1103,17,MATCH('Detalhe Por UC'!$R553,'Resumo Operacional'!$A$1:$P$1,0)),
IF($H553="GIROSSOL II e III",AP553/INDEX('Resumo Operacional'!$A$1:$P$1103,17,MATCH('Detalhe Por UC'!$R553,'Resumo Operacional'!$A$1:$P$1,0)),
""))</f>
        <v>8.890673396810829E-3</v>
      </c>
      <c r="U553" s="113" t="str">
        <f>IF($H553="GIROSSOL III",AP553/INDEX('Resumo Operacional'!$A$1:$P$1103,53,MATCH('Detalhe Por UC'!$R553,'Resumo Operacional'!$A$1:$P$1,0)),
IF($H553="GIROSSOL II e III",AP553/INDEX('Resumo Operacional'!$A$1:$P$1103,53,MATCH('Detalhe Por UC'!$R553,'Resumo Operacional'!$A$1:$P$1,0)),
""))</f>
        <v/>
      </c>
      <c r="V553" s="45"/>
      <c r="X553" s="18">
        <v>1.1558967064230223</v>
      </c>
      <c r="Y553" s="18">
        <v>0</v>
      </c>
      <c r="Z553" s="18">
        <v>1.0967927927927927</v>
      </c>
      <c r="AA553" s="18"/>
      <c r="AB553" s="18">
        <v>247</v>
      </c>
      <c r="AC553" s="18"/>
      <c r="AD553" s="143">
        <v>210</v>
      </c>
      <c r="AE553" s="35"/>
      <c r="AF553" s="18">
        <v>517</v>
      </c>
      <c r="AG553" s="18">
        <v>0</v>
      </c>
      <c r="AH553" s="48">
        <v>61.67</v>
      </c>
      <c r="AI553" s="18">
        <v>0</v>
      </c>
      <c r="AJ553" s="18">
        <v>0</v>
      </c>
      <c r="AL553" s="146"/>
      <c r="AN553" s="71">
        <f t="shared" si="305"/>
        <v>-55</v>
      </c>
      <c r="AO553" s="71">
        <f t="shared" si="306"/>
        <v>0</v>
      </c>
      <c r="AP553" s="71">
        <f t="shared" si="307"/>
        <v>155</v>
      </c>
      <c r="AQ553" s="72">
        <f>IF(OR($H553="GIROSSOL II",$H553="GIROSSOL II e III"),INDEX('Resumo Operacional'!$A$1:$P$1103,MATCH("Energia Injetada prevista total Fatura da Usina (TUSD)",'Resumo Operacional'!$B$1:$B$1103,0),MATCH('Detalhe Por UC'!$R553,'Resumo Operacional'!$A$1:$P$1,0))*$S553,INDEX('Resumo Operacional'!$A$1:$P$1103,53,MATCH('Detalhe Por UC'!$R553,'Resumo Operacional'!$A$1:$P$1,0))*$S553)</f>
        <v>348.68</v>
      </c>
      <c r="AR553" s="71">
        <f t="shared" si="308"/>
        <v>-193.68</v>
      </c>
      <c r="AS553" s="73">
        <f t="shared" si="309"/>
        <v>116.85000000000001</v>
      </c>
      <c r="AT553" s="74">
        <f t="shared" si="310"/>
        <v>116.85000000000001</v>
      </c>
      <c r="AU553" s="74">
        <f t="shared" si="311"/>
        <v>1.0376888791625631</v>
      </c>
      <c r="AV553" s="74">
        <f t="shared" si="312"/>
        <v>175.6805472648862</v>
      </c>
      <c r="AW553" s="74">
        <f t="shared" si="313"/>
        <v>0</v>
      </c>
      <c r="AX553" s="74">
        <f t="shared" si="314"/>
        <v>230.32648648648649</v>
      </c>
      <c r="AY553" s="74">
        <f t="shared" si="315"/>
        <v>175.68</v>
      </c>
      <c r="AZ553" s="43">
        <v>172.74</v>
      </c>
      <c r="BA553" s="43">
        <v>172.74</v>
      </c>
      <c r="BB553" s="43">
        <v>172.74</v>
      </c>
      <c r="BC553" s="73" t="str">
        <f t="shared" si="316"/>
        <v/>
      </c>
      <c r="BD553" s="73">
        <f t="shared" si="317"/>
        <v>347.17648648648651</v>
      </c>
      <c r="BE553" s="73">
        <f t="shared" si="318"/>
        <v>292.5305472648862</v>
      </c>
      <c r="BF553" s="77">
        <f t="shared" si="319"/>
        <v>54.65</v>
      </c>
      <c r="BG553" s="77">
        <f t="shared" si="320"/>
        <v>16.395</v>
      </c>
      <c r="BH553" s="77">
        <f t="shared" si="321"/>
        <v>230.32648648648649</v>
      </c>
      <c r="BI553" s="78">
        <f t="shared" si="322"/>
        <v>0.24</v>
      </c>
      <c r="BJ553" s="79">
        <f t="shared" si="323"/>
        <v>0.15741273423517751</v>
      </c>
      <c r="BK553" s="80">
        <f t="shared" si="324"/>
        <v>292.53000000000003</v>
      </c>
      <c r="BL553" s="80">
        <f t="shared" si="325"/>
        <v>54.646486486486481</v>
      </c>
      <c r="BM553" s="79">
        <f t="shared" si="326"/>
        <v>0.15740261398322994</v>
      </c>
      <c r="BN553" s="81">
        <f t="shared" si="327"/>
        <v>0.83657142857142863</v>
      </c>
      <c r="BO553" s="82">
        <f t="shared" si="328"/>
        <v>175.68</v>
      </c>
      <c r="BP553" s="81">
        <f t="shared" si="329"/>
        <v>0.83657142857142863</v>
      </c>
      <c r="BQ553" s="81">
        <f t="shared" si="330"/>
        <v>0.89567534220165823</v>
      </c>
      <c r="BR553" s="81">
        <f t="shared" si="331"/>
        <v>1.1558967064230223</v>
      </c>
      <c r="BS553" s="82">
        <f t="shared" si="332"/>
        <v>210</v>
      </c>
      <c r="BT553" s="82">
        <f t="shared" si="333"/>
        <v>242.73830834883469</v>
      </c>
      <c r="BU553" s="82">
        <f t="shared" si="334"/>
        <v>230.32648648648649</v>
      </c>
      <c r="BW553" s="82">
        <f>IFERROR(INDEX('Infos Clientes'!$T:$T,MATCH('Detalhe Por UC'!$C553,'Infos Clientes'!B:B,0)),"")</f>
        <v>215.58333333333334</v>
      </c>
      <c r="BX553" s="83">
        <f t="shared" si="335"/>
        <v>0</v>
      </c>
      <c r="BY553" s="84">
        <f t="shared" si="336"/>
        <v>0.22512510224778784</v>
      </c>
      <c r="BZ553" s="85">
        <f>IF(_xlfn.MINIFS('Detalhe Por UC'!R:R,'Detalhe Por UC'!C:C,C553,'Detalhe Por UC'!AD:AD,"&gt;"&amp;0)=0,"",_xlfn.MINIFS('Detalhe Por UC'!R:R,'Detalhe Por UC'!C:C,C553,'Detalhe Por UC'!AD:AD,"&gt;"&amp;0))</f>
        <v>45627</v>
      </c>
      <c r="CA553" s="114">
        <f ca="1">IF(OR(S553&gt;0,AD553&gt;0),IFERROR(
SUMIFS(INDIRECT("'Infos Clientes'!$W"&amp;INDEX('Infos Clientes'!$C:$C,MATCH(C553,'Infos Clientes'!$H:$H,0))&amp;":$CZ"&amp;INDEX('Infos Clientes'!$C:$C,MATCH(C553,'Infos Clientes'!$H:$H,0))),'Infos Clientes'!$W$2:$CZ$2,"&gt;"&amp;$R553-365,'Infos Clientes'!$W$2:$CZ$2,"&lt;="&amp;$R553)/
COUNTIFS(INDIRECT("'Infos Clientes'!$W"&amp;INDEX('Infos Clientes'!$C:$C,MATCH(C553,'Infos Clientes'!$H:$H,0))&amp;":$CZ"&amp;INDEX('Infos Clientes'!$C:$C,MATCH(C553,'Infos Clientes'!$H:$H,0))),"&gt;="&amp;0,'Infos Clientes'!$W$2:$CZ$2,"&gt;"&amp;$R553-365,'Infos Clientes'!$W$2:$CZ$2,"&lt;="&amp;$R553),""),"")</f>
        <v>222.41666666666666</v>
      </c>
      <c r="CB553" s="87">
        <f>VLOOKUP(C553,'Infos Clientes'!B:L,11,0)</f>
        <v>0</v>
      </c>
      <c r="CC553" s="88" t="str">
        <f t="shared" si="337"/>
        <v>A Unidade Consumidora 10/511753-6 economizou R$54,65 na fatura referente à jun/2025  consumindo 210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3" s="40" t="s">
        <v>115</v>
      </c>
      <c r="CE553" s="43"/>
      <c r="CF553" s="115">
        <f t="shared" si="338"/>
        <v>-116.85000000000001</v>
      </c>
    </row>
    <row r="554" spans="1:84" ht="16.2" hidden="1" customHeight="1" x14ac:dyDescent="0.3">
      <c r="A554" s="105" t="str">
        <f>INDEX('Infos Clientes'!$D:$D,MATCH('Detalhe Por UC'!C554,'Infos Clientes'!B:B,0))</f>
        <v>IGREJA DO EVANGELHO QUADRANGULAR</v>
      </c>
      <c r="B554" s="106" t="str">
        <f>INDEX('Infos Clientes'!$F:$F,MATCH('Detalhe Por UC'!C554,'Infos Clientes'!B:B,0))</f>
        <v>62.955.505/4027-10</v>
      </c>
      <c r="C554" s="44" t="s">
        <v>126</v>
      </c>
      <c r="D554" t="s">
        <v>351</v>
      </c>
      <c r="E554" s="1" t="s">
        <v>352</v>
      </c>
      <c r="F554" s="56" t="str">
        <f>INDEX('Infos Clientes'!$I:$I,MATCH('Detalhe Por UC'!C554,'Infos Clientes'!B:B,0))</f>
        <v>BT</v>
      </c>
      <c r="G554" s="56" t="str">
        <f>INDEX('Infos Clientes'!$J:$J,MATCH('Detalhe Por UC'!C554,'Infos Clientes'!B:B,0))</f>
        <v>trifasico</v>
      </c>
      <c r="H554" s="47" t="str">
        <f t="shared" si="341"/>
        <v>GIROSSOL II</v>
      </c>
      <c r="I554" s="58">
        <f>IFERROR(VLOOKUP(C554,'Infos Clientes'!B:E,4,),"")</f>
        <v>994</v>
      </c>
      <c r="J554" s="109">
        <v>0.23725425614394724</v>
      </c>
      <c r="K554" s="59">
        <f>INDEX('Infos Clientes'!$M:$M,MATCH('Detalhe Por UC'!C554,'Infos Clientes'!B:B,0))</f>
        <v>0.25</v>
      </c>
      <c r="L554" s="125">
        <v>0</v>
      </c>
      <c r="M554" s="56">
        <f>INDEX('Infos Clientes'!$N:$N,MATCH('Detalhe Por UC'!C554,'Infos Clientes'!B:B,0))</f>
        <v>0</v>
      </c>
      <c r="N554" s="56">
        <f t="shared" si="303"/>
        <v>0</v>
      </c>
      <c r="O554" s="56">
        <f t="shared" si="304"/>
        <v>12</v>
      </c>
      <c r="P554" s="56">
        <f t="shared" si="339"/>
        <v>0</v>
      </c>
      <c r="Q554" s="61">
        <f>IFERROR(IFERROR(INDEX('Infos Clientes'!$A$2:$V$9884,MATCH($C554,'Infos Clientes'!$B$2:$B$9884,0),MATCH(Q$8,'Infos Clientes'!$A$2:$V$2,0)),"")
+IF(OR(INDEX('Infos Clientes'!$A$2:$V$9884,MATCH($C554,'Infos Clientes'!$B$2:$B$9884,0),MATCH("Tempo de Fidelidade (meses)",'Infos Clientes'!$A$2:$V$2,0))=0,R554&gt;=MAX(R:R)),0,
ROUND((MAX(R:R)-R554)/(365/12),0)),"")</f>
        <v>0</v>
      </c>
      <c r="R554" s="111">
        <v>45809</v>
      </c>
      <c r="S554" s="17">
        <v>0.02</v>
      </c>
      <c r="T554" s="113">
        <f>IF($H554="GIROSSOL II",AP554/INDEX('Resumo Operacional'!$A$1:$P$1103,17,MATCH('Detalhe Por UC'!$R554,'Resumo Operacional'!$A$1:$P$1,0)),
IF($H554="GIROSSOL II e III",AP554/INDEX('Resumo Operacional'!$A$1:$P$1103,17,MATCH('Detalhe Por UC'!$R554,'Resumo Operacional'!$A$1:$P$1,0)),
""))</f>
        <v>-2.9310542617873123E-2</v>
      </c>
      <c r="U554" s="113" t="str">
        <f>IF($H554="GIROSSOL III",AP554/INDEX('Resumo Operacional'!$A$1:$P$1103,53,MATCH('Detalhe Por UC'!$R554,'Resumo Operacional'!$A$1:$P$1,0)),
IF($H554="GIROSSOL II e III",AP554/INDEX('Resumo Operacional'!$A$1:$P$1103,53,MATCH('Detalhe Por UC'!$R554,'Resumo Operacional'!$A$1:$P$1,0)),
""))</f>
        <v/>
      </c>
      <c r="V554" s="45"/>
      <c r="X554" s="18">
        <v>1.1705701149425287</v>
      </c>
      <c r="Y554" s="18">
        <v>0</v>
      </c>
      <c r="Z554" s="18">
        <v>1.0866608058608058</v>
      </c>
      <c r="AA554" s="18"/>
      <c r="AB554" s="18">
        <v>348</v>
      </c>
      <c r="AC554" s="18"/>
      <c r="AD554" s="143">
        <v>273</v>
      </c>
      <c r="AE554" s="35"/>
      <c r="AF554" s="18"/>
      <c r="AG554" s="18"/>
      <c r="AH554" s="48">
        <v>71.790000000000006</v>
      </c>
      <c r="AI554" s="18">
        <v>0</v>
      </c>
      <c r="AJ554" s="18">
        <v>0</v>
      </c>
      <c r="AL554" s="146"/>
      <c r="AN554" s="71">
        <f t="shared" si="305"/>
        <v>-784</v>
      </c>
      <c r="AO554" s="71">
        <f t="shared" si="306"/>
        <v>0</v>
      </c>
      <c r="AP554" s="71">
        <f t="shared" si="307"/>
        <v>-511</v>
      </c>
      <c r="AQ554" s="72">
        <f>IF(OR($H554="GIROSSOL II",$H554="GIROSSOL II e III"),INDEX('Resumo Operacional'!$A$1:$P$1103,MATCH("Energia Injetada prevista total Fatura da Usina (TUSD)",'Resumo Operacional'!$B$1:$B$1103,0),MATCH('Detalhe Por UC'!$R554,'Resumo Operacional'!$A$1:$P$1,0))*$S554,INDEX('Resumo Operacional'!$A$1:$P$1103,53,MATCH('Detalhe Por UC'!$R554,'Resumo Operacional'!$A$1:$P$1,0))*$S554)</f>
        <v>348.68</v>
      </c>
      <c r="AR554" s="71">
        <f t="shared" si="308"/>
        <v>-859.68000000000006</v>
      </c>
      <c r="AS554" s="73">
        <f t="shared" si="309"/>
        <v>182.49000000000007</v>
      </c>
      <c r="AT554" s="74">
        <f t="shared" si="310"/>
        <v>182.49000000000007</v>
      </c>
      <c r="AU554" s="74">
        <f t="shared" si="311"/>
        <v>1.0027514967790829</v>
      </c>
      <c r="AV554" s="74">
        <f t="shared" si="312"/>
        <v>226.27493197914643</v>
      </c>
      <c r="AW554" s="74">
        <f t="shared" si="313"/>
        <v>0</v>
      </c>
      <c r="AX554" s="74">
        <f t="shared" si="314"/>
        <v>296.65839999999997</v>
      </c>
      <c r="AY554" s="74">
        <f t="shared" si="315"/>
        <v>226.27</v>
      </c>
      <c r="AZ554" s="43">
        <v>222.49</v>
      </c>
      <c r="BA554" s="43">
        <v>222.49</v>
      </c>
      <c r="BB554" s="43">
        <v>222.49</v>
      </c>
      <c r="BC554" s="73" t="str">
        <f t="shared" si="316"/>
        <v/>
      </c>
      <c r="BD554" s="73">
        <f t="shared" si="317"/>
        <v>479.14840000000004</v>
      </c>
      <c r="BE554" s="73">
        <f t="shared" si="318"/>
        <v>408.76493197914647</v>
      </c>
      <c r="BF554" s="77">
        <f t="shared" si="319"/>
        <v>70.38</v>
      </c>
      <c r="BG554" s="77">
        <f t="shared" si="320"/>
        <v>21.113999999999997</v>
      </c>
      <c r="BH554" s="77">
        <f t="shared" si="321"/>
        <v>296.65840000000003</v>
      </c>
      <c r="BI554" s="78">
        <f t="shared" si="322"/>
        <v>0.24</v>
      </c>
      <c r="BJ554" s="79">
        <f t="shared" si="323"/>
        <v>0.14688559953450744</v>
      </c>
      <c r="BK554" s="80">
        <f t="shared" si="324"/>
        <v>408.7600000000001</v>
      </c>
      <c r="BL554" s="80">
        <f t="shared" si="325"/>
        <v>70.388399999999933</v>
      </c>
      <c r="BM554" s="79">
        <f t="shared" si="326"/>
        <v>0.14690313063760607</v>
      </c>
      <c r="BN554" s="81">
        <f t="shared" si="327"/>
        <v>0.82882783882783884</v>
      </c>
      <c r="BO554" s="82">
        <f t="shared" si="328"/>
        <v>226.27</v>
      </c>
      <c r="BP554" s="81">
        <f t="shared" si="329"/>
        <v>0.82882783882783884</v>
      </c>
      <c r="BQ554" s="81">
        <f t="shared" si="330"/>
        <v>0.91273714790956173</v>
      </c>
      <c r="BR554" s="81">
        <f t="shared" si="331"/>
        <v>1.1705701149425287</v>
      </c>
      <c r="BS554" s="82">
        <f t="shared" si="332"/>
        <v>273</v>
      </c>
      <c r="BT554" s="82">
        <f t="shared" si="333"/>
        <v>319.56564137931036</v>
      </c>
      <c r="BU554" s="82">
        <f t="shared" si="334"/>
        <v>296.65839999999997</v>
      </c>
      <c r="BW554" s="82">
        <f>IFERROR(INDEX('Infos Clientes'!$T:$T,MATCH('Detalhe Por UC'!$C554,'Infos Clientes'!B:B,0)),"")</f>
        <v>274.25</v>
      </c>
      <c r="BX554" s="83">
        <f t="shared" si="335"/>
        <v>0</v>
      </c>
      <c r="BY554" s="84">
        <f t="shared" si="336"/>
        <v>0.22026272817124309</v>
      </c>
      <c r="BZ554" s="85">
        <f>IF(_xlfn.MINIFS('Detalhe Por UC'!R:R,'Detalhe Por UC'!C:C,C554,'Detalhe Por UC'!AD:AD,"&gt;"&amp;0)=0,"",_xlfn.MINIFS('Detalhe Por UC'!R:R,'Detalhe Por UC'!C:C,C554,'Detalhe Por UC'!AD:AD,"&gt;"&amp;0))</f>
        <v>45627</v>
      </c>
      <c r="CA554" s="114">
        <f ca="1">IF(OR(S554&gt;0,AD554&gt;0),IFERROR(
SUMIFS(INDIRECT("'Infos Clientes'!$W"&amp;INDEX('Infos Clientes'!$C:$C,MATCH(C554,'Infos Clientes'!$H:$H,0))&amp;":$CZ"&amp;INDEX('Infos Clientes'!$C:$C,MATCH(C554,'Infos Clientes'!$H:$H,0))),'Infos Clientes'!$W$2:$CZ$2,"&gt;"&amp;$R554-365,'Infos Clientes'!$W$2:$CZ$2,"&lt;="&amp;$R554)/
COUNTIFS(INDIRECT("'Infos Clientes'!$W"&amp;INDEX('Infos Clientes'!$C:$C,MATCH(C554,'Infos Clientes'!$H:$H,0))&amp;":$CZ"&amp;INDEX('Infos Clientes'!$C:$C,MATCH(C554,'Infos Clientes'!$H:$H,0))),"&gt;="&amp;0,'Infos Clientes'!$W$2:$CZ$2,"&gt;"&amp;$R554-365,'Infos Clientes'!$W$2:$CZ$2,"&lt;="&amp;$R554),""),"")</f>
        <v>307.58333333333331</v>
      </c>
      <c r="CB554" s="87">
        <f>VLOOKUP(C554,'Infos Clientes'!B:L,11,0)</f>
        <v>0</v>
      </c>
      <c r="CC554" s="88" t="str">
        <f t="shared" si="337"/>
        <v>A Unidade Consumidora 10/931327-1 economizou R$70,38 na fatura referente à jun/2025  consumindo 273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4" s="40" t="s">
        <v>128</v>
      </c>
      <c r="CE554" s="43"/>
      <c r="CF554" s="115">
        <f t="shared" si="338"/>
        <v>-182.49000000000007</v>
      </c>
    </row>
    <row r="555" spans="1:84" ht="16.2" hidden="1" customHeight="1" x14ac:dyDescent="0.3">
      <c r="A555" s="105" t="str">
        <f>INDEX('Infos Clientes'!$D:$D,MATCH('Detalhe Por UC'!C555,'Infos Clientes'!B:B,0))</f>
        <v>IGREJA DO EVANGELHO QUADRANGULAR</v>
      </c>
      <c r="B555" s="106" t="str">
        <f>INDEX('Infos Clientes'!$F:$F,MATCH('Detalhe Por UC'!C555,'Infos Clientes'!B:B,0))</f>
        <v>62.955.505/4612-10</v>
      </c>
      <c r="C555" s="147" t="s">
        <v>60</v>
      </c>
      <c r="D555" t="s">
        <v>351</v>
      </c>
      <c r="E555" s="1" t="s">
        <v>352</v>
      </c>
      <c r="F555" s="56" t="str">
        <f>INDEX('Infos Clientes'!$I:$I,MATCH('Detalhe Por UC'!C555,'Infos Clientes'!B:B,0))</f>
        <v>BT</v>
      </c>
      <c r="G555" s="56" t="str">
        <f>INDEX('Infos Clientes'!$J:$J,MATCH('Detalhe Por UC'!C555,'Infos Clientes'!B:B,0))</f>
        <v>trifasico</v>
      </c>
      <c r="H555" s="47" t="str">
        <f t="shared" si="341"/>
        <v>GIROSSOL II</v>
      </c>
      <c r="I555" s="58">
        <f>IFERROR(VLOOKUP(C555,'Infos Clientes'!B:E,4,),"")</f>
        <v>306</v>
      </c>
      <c r="J555" s="109">
        <v>0.23725425614394724</v>
      </c>
      <c r="K555" s="59">
        <f>INDEX('Infos Clientes'!$M:$M,MATCH('Detalhe Por UC'!C555,'Infos Clientes'!B:B,0))</f>
        <v>0.25</v>
      </c>
      <c r="L555" s="125">
        <v>0</v>
      </c>
      <c r="M555" s="56">
        <f>INDEX('Infos Clientes'!$N:$N,MATCH('Detalhe Por UC'!C555,'Infos Clientes'!B:B,0))</f>
        <v>0</v>
      </c>
      <c r="N555" s="56">
        <f t="shared" si="303"/>
        <v>0</v>
      </c>
      <c r="O555" s="56">
        <f t="shared" si="304"/>
        <v>12</v>
      </c>
      <c r="P555" s="56">
        <f t="shared" si="339"/>
        <v>0</v>
      </c>
      <c r="Q555" s="61">
        <f>IFERROR(IFERROR(INDEX('Infos Clientes'!$A$2:$V$9884,MATCH($C555,'Infos Clientes'!$B$2:$B$9884,0),MATCH(Q$8,'Infos Clientes'!$A$2:$V$2,0)),"")
+IF(OR(INDEX('Infos Clientes'!$A$2:$V$9884,MATCH($C555,'Infos Clientes'!$B$2:$B$9884,0),MATCH("Tempo de Fidelidade (meses)",'Infos Clientes'!$A$2:$V$2,0))=0,R555&gt;=MAX(R:R)),0,
ROUND((MAX(R:R)-R555)/(365/12),0)),"")</f>
        <v>0</v>
      </c>
      <c r="R555" s="111">
        <v>45809</v>
      </c>
      <c r="S555" s="138">
        <v>0.01</v>
      </c>
      <c r="T555" s="113">
        <f>IF($H555="GIROSSOL II",AP555/INDEX('Resumo Operacional'!$A$1:$P$1103,17,MATCH('Detalhe Por UC'!$R555,'Resumo Operacional'!$A$1:$P$1,0)),
IF($H555="GIROSSOL II e III",AP555/INDEX('Resumo Operacional'!$A$1:$P$1103,17,MATCH('Detalhe Por UC'!$R555,'Resumo Operacional'!$A$1:$P$1,0)),
""))</f>
        <v>1.8813812091315819E-2</v>
      </c>
      <c r="U555" s="113" t="str">
        <f>IF($H555="GIROSSOL III",AP555/INDEX('Resumo Operacional'!$A$1:$P$1103,53,MATCH('Detalhe Por UC'!$R555,'Resumo Operacional'!$A$1:$P$1,0)),
IF($H555="GIROSSOL II e III",AP555/INDEX('Resumo Operacional'!$A$1:$P$1103,53,MATCH('Detalhe Por UC'!$R555,'Resumo Operacional'!$A$1:$P$1,0)),
""))</f>
        <v/>
      </c>
      <c r="V555" s="45"/>
      <c r="W555" s="143"/>
      <c r="X555" s="143">
        <v>1.1618285714285717</v>
      </c>
      <c r="Y555" s="143">
        <v>0</v>
      </c>
      <c r="Z555" s="143">
        <v>1.1617636363636366</v>
      </c>
      <c r="AA555" s="143"/>
      <c r="AB555" s="143">
        <v>210</v>
      </c>
      <c r="AC555" s="143"/>
      <c r="AD555" s="143">
        <v>110</v>
      </c>
      <c r="AE555" s="35"/>
      <c r="AF555" s="143">
        <v>218</v>
      </c>
      <c r="AG555" s="143">
        <v>0</v>
      </c>
      <c r="AH555" s="143">
        <v>67.84</v>
      </c>
      <c r="AI555" s="143">
        <v>0</v>
      </c>
      <c r="AJ555" s="143">
        <v>0</v>
      </c>
      <c r="AL555" s="146"/>
      <c r="AN555" s="71">
        <f t="shared" si="305"/>
        <v>218</v>
      </c>
      <c r="AO555" s="71">
        <f t="shared" si="306"/>
        <v>0</v>
      </c>
      <c r="AP555" s="71">
        <f t="shared" si="307"/>
        <v>328</v>
      </c>
      <c r="AQ555" s="72">
        <f>IF(OR($H555="GIROSSOL II",$H555="GIROSSOL II e III"),INDEX('Resumo Operacional'!$A$1:$P$1103,MATCH("Energia Injetada prevista total Fatura da Usina (TUSD)",'Resumo Operacional'!$B$1:$B$1103,0),MATCH('Detalhe Por UC'!$R555,'Resumo Operacional'!$A$1:$P$1,0))*$S555,INDEX('Resumo Operacional'!$A$1:$P$1103,53,MATCH('Detalhe Por UC'!$R555,'Resumo Operacional'!$A$1:$P$1,0))*$S555)</f>
        <v>174.34</v>
      </c>
      <c r="AR555" s="71">
        <f t="shared" si="308"/>
        <v>153.66</v>
      </c>
      <c r="AS555" s="73">
        <f t="shared" si="309"/>
        <v>184.03000000000003</v>
      </c>
      <c r="AT555" s="74">
        <f t="shared" si="310"/>
        <v>184.03000000000003</v>
      </c>
      <c r="AU555" s="74">
        <f t="shared" si="311"/>
        <v>1.1616987012987015</v>
      </c>
      <c r="AV555" s="74">
        <f t="shared" si="312"/>
        <v>97.474329590340432</v>
      </c>
      <c r="AW555" s="74">
        <f t="shared" si="313"/>
        <v>0</v>
      </c>
      <c r="AX555" s="74">
        <f t="shared" si="314"/>
        <v>127.79400000000003</v>
      </c>
      <c r="AY555" s="74">
        <f t="shared" si="315"/>
        <v>97.47</v>
      </c>
      <c r="AZ555" s="43">
        <v>95.85</v>
      </c>
      <c r="BA555" s="43">
        <v>95.85</v>
      </c>
      <c r="BB555" s="43">
        <v>95.85</v>
      </c>
      <c r="BC555" s="73" t="str">
        <f t="shared" si="316"/>
        <v/>
      </c>
      <c r="BD555" s="73">
        <f t="shared" si="317"/>
        <v>311.82400000000007</v>
      </c>
      <c r="BE555" s="73">
        <f t="shared" si="318"/>
        <v>281.50432959034049</v>
      </c>
      <c r="BF555" s="77">
        <f t="shared" si="319"/>
        <v>30.32</v>
      </c>
      <c r="BG555" s="77">
        <f t="shared" si="320"/>
        <v>9.0960000000000001</v>
      </c>
      <c r="BH555" s="77">
        <f t="shared" si="321"/>
        <v>127.79400000000001</v>
      </c>
      <c r="BI555" s="78">
        <f t="shared" si="322"/>
        <v>0.24</v>
      </c>
      <c r="BJ555" s="79">
        <f t="shared" si="323"/>
        <v>9.7234337318487338E-2</v>
      </c>
      <c r="BK555" s="80">
        <f t="shared" si="324"/>
        <v>281.5</v>
      </c>
      <c r="BL555" s="80">
        <f t="shared" si="325"/>
        <v>30.324000000000069</v>
      </c>
      <c r="BM555" s="79">
        <f t="shared" si="326"/>
        <v>9.7247165067474162E-2</v>
      </c>
      <c r="BN555" s="81">
        <f t="shared" si="327"/>
        <v>0.88609090909090904</v>
      </c>
      <c r="BO555" s="82">
        <f t="shared" si="328"/>
        <v>97.47</v>
      </c>
      <c r="BP555" s="81">
        <f t="shared" si="329"/>
        <v>0.88609090909090904</v>
      </c>
      <c r="BQ555" s="81">
        <f t="shared" si="330"/>
        <v>0.88615584415584414</v>
      </c>
      <c r="BR555" s="81">
        <f t="shared" si="331"/>
        <v>1.1618285714285717</v>
      </c>
      <c r="BS555" s="82">
        <f t="shared" si="332"/>
        <v>110</v>
      </c>
      <c r="BT555" s="82">
        <f t="shared" si="333"/>
        <v>127.80114285714288</v>
      </c>
      <c r="BU555" s="82">
        <f t="shared" si="334"/>
        <v>127.79400000000003</v>
      </c>
      <c r="BW555" s="82">
        <f>IFERROR(INDEX('Infos Clientes'!$T:$T,MATCH('Detalhe Por UC'!$C555,'Infos Clientes'!B:B,0)),"")</f>
        <v>279.08333333333331</v>
      </c>
      <c r="BX555" s="83">
        <f t="shared" si="335"/>
        <v>0</v>
      </c>
      <c r="BY555" s="84">
        <f t="shared" si="336"/>
        <v>0.23727487346413192</v>
      </c>
      <c r="BZ555" s="85">
        <f>IF(_xlfn.MINIFS('Detalhe Por UC'!R:R,'Detalhe Por UC'!C:C,C555,'Detalhe Por UC'!AD:AD,"&gt;"&amp;0)=0,"",_xlfn.MINIFS('Detalhe Por UC'!R:R,'Detalhe Por UC'!C:C,C555,'Detalhe Por UC'!AD:AD,"&gt;"&amp;0))</f>
        <v>45627</v>
      </c>
      <c r="CA555" s="114">
        <f ca="1">IF(OR(S555&gt;0,AD555&gt;0),IFERROR(
SUMIFS(INDIRECT("'Infos Clientes'!$W"&amp;INDEX('Infos Clientes'!$C:$C,MATCH(C555,'Infos Clientes'!$H:$H,0))&amp;":$CZ"&amp;INDEX('Infos Clientes'!$C:$C,MATCH(C555,'Infos Clientes'!$H:$H,0))),'Infos Clientes'!$W$2:$CZ$2,"&gt;"&amp;$R555-365,'Infos Clientes'!$W$2:$CZ$2,"&lt;="&amp;$R555)/
COUNTIFS(INDIRECT("'Infos Clientes'!$W"&amp;INDEX('Infos Clientes'!$C:$C,MATCH(C555,'Infos Clientes'!$H:$H,0))&amp;":$CZ"&amp;INDEX('Infos Clientes'!$C:$C,MATCH(C555,'Infos Clientes'!$H:$H,0))),"&gt;="&amp;0,'Infos Clientes'!$W$2:$CZ$2,"&gt;"&amp;$R555-365,'Infos Clientes'!$W$2:$CZ$2,"&lt;="&amp;$R555),""),"")</f>
        <v>269.16666666666669</v>
      </c>
      <c r="CB555" s="87">
        <f>VLOOKUP(C555,'Infos Clientes'!B:L,11,0)</f>
        <v>0</v>
      </c>
      <c r="CC555" s="88" t="str">
        <f t="shared" si="337"/>
        <v>A Unidade Consumidora 10/1698130-0 economizou R$30,32 na fatura referente à jun/2025  consumindo 110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5" s="40" t="s">
        <v>59</v>
      </c>
      <c r="CE555" s="43"/>
      <c r="CF555" s="115">
        <f t="shared" si="338"/>
        <v>-184.03000000000003</v>
      </c>
    </row>
    <row r="556" spans="1:84" ht="16.2" hidden="1" customHeight="1" x14ac:dyDescent="0.3">
      <c r="A556" s="105" t="str">
        <f>INDEX('Infos Clientes'!$D:$D,MATCH('Detalhe Por UC'!C556,'Infos Clientes'!B:B,0))</f>
        <v>IGREJA DO EVANGELHO QUADRANGULAR</v>
      </c>
      <c r="B556" s="106" t="str">
        <f>INDEX('Infos Clientes'!$F:$F,MATCH('Detalhe Por UC'!C556,'Infos Clientes'!B:B,0))</f>
        <v>62.955.505/0914-56</v>
      </c>
      <c r="C556" s="44" t="s">
        <v>134</v>
      </c>
      <c r="D556" t="s">
        <v>351</v>
      </c>
      <c r="E556" s="1" t="s">
        <v>352</v>
      </c>
      <c r="F556" s="56" t="str">
        <f>INDEX('Infos Clientes'!$I:$I,MATCH('Detalhe Por UC'!C556,'Infos Clientes'!B:B,0))</f>
        <v>BT</v>
      </c>
      <c r="G556" s="56" t="str">
        <f>INDEX('Infos Clientes'!$J:$J,MATCH('Detalhe Por UC'!C556,'Infos Clientes'!B:B,0))</f>
        <v>monofasico</v>
      </c>
      <c r="H556" s="47" t="str">
        <f t="shared" si="341"/>
        <v>GIROSSOL II</v>
      </c>
      <c r="I556" s="58">
        <f>IFERROR(VLOOKUP(C556,'Infos Clientes'!B:E,4,),"")</f>
        <v>0</v>
      </c>
      <c r="J556" s="109">
        <v>0.23725425614394724</v>
      </c>
      <c r="K556" s="59">
        <f>INDEX('Infos Clientes'!$M:$M,MATCH('Detalhe Por UC'!C556,'Infos Clientes'!B:B,0))</f>
        <v>0.25</v>
      </c>
      <c r="L556" s="125">
        <v>0</v>
      </c>
      <c r="M556" s="56">
        <f>INDEX('Infos Clientes'!$N:$N,MATCH('Detalhe Por UC'!C556,'Infos Clientes'!B:B,0))</f>
        <v>0</v>
      </c>
      <c r="N556" s="56">
        <f t="shared" si="303"/>
        <v>0</v>
      </c>
      <c r="O556" s="56">
        <f t="shared" si="304"/>
        <v>10</v>
      </c>
      <c r="P556" s="56">
        <f t="shared" si="339"/>
        <v>0</v>
      </c>
      <c r="Q556" s="61">
        <f>IFERROR(IFERROR(INDEX('Infos Clientes'!$A$2:$V$9884,MATCH($C556,'Infos Clientes'!$B$2:$B$9884,0),MATCH(Q$8,'Infos Clientes'!$A$2:$V$2,0)),"")
+IF(OR(INDEX('Infos Clientes'!$A$2:$V$9884,MATCH($C556,'Infos Clientes'!$B$2:$B$9884,0),MATCH("Tempo de Fidelidade (meses)",'Infos Clientes'!$A$2:$V$2,0))=0,R556&gt;=MAX(R:R)),0,
ROUND((MAX(R:R)-R556)/(365/12),0)),"")</f>
        <v>0</v>
      </c>
      <c r="R556" s="111">
        <v>45809</v>
      </c>
      <c r="S556" s="17">
        <v>0.02</v>
      </c>
      <c r="T556" s="113">
        <f>IF($H556="GIROSSOL II",AP556/INDEX('Resumo Operacional'!$A$1:$P$1103,17,MATCH('Detalhe Por UC'!$R556,'Resumo Operacional'!$A$1:$P$1,0)),
IF($H556="GIROSSOL II e III",AP556/INDEX('Resumo Operacional'!$A$1:$P$1103,17,MATCH('Detalhe Por UC'!$R556,'Resumo Operacional'!$A$1:$P$1,0)),
""))</f>
        <v>-3.5562693587243316E-2</v>
      </c>
      <c r="U556" s="113" t="str">
        <f>IF($H556="GIROSSOL III",AP556/INDEX('Resumo Operacional'!$A$1:$P$1103,53,MATCH('Detalhe Por UC'!$R556,'Resumo Operacional'!$A$1:$P$1,0)),
IF($H556="GIROSSOL II e III",AP556/INDEX('Resumo Operacional'!$A$1:$P$1103,53,MATCH('Detalhe Por UC'!$R556,'Resumo Operacional'!$A$1:$P$1,0)),
""))</f>
        <v/>
      </c>
      <c r="V556" s="45"/>
      <c r="X556" s="143">
        <v>1.1763934426229508</v>
      </c>
      <c r="Y556" s="143">
        <v>0</v>
      </c>
      <c r="Z556" s="143">
        <v>1.0662499999999999</v>
      </c>
      <c r="AA556" s="143"/>
      <c r="AB556" s="143">
        <v>122</v>
      </c>
      <c r="AC556" s="143"/>
      <c r="AD556" s="143">
        <v>104</v>
      </c>
      <c r="AE556" s="35"/>
      <c r="AF556" s="143"/>
      <c r="AG556" s="143"/>
      <c r="AH556" s="143">
        <v>50.55</v>
      </c>
      <c r="AI556" s="143">
        <v>0</v>
      </c>
      <c r="AJ556" s="143">
        <v>0</v>
      </c>
      <c r="AL556" s="146"/>
      <c r="AN556" s="71">
        <f t="shared" si="305"/>
        <v>-724</v>
      </c>
      <c r="AO556" s="71">
        <f t="shared" si="306"/>
        <v>0</v>
      </c>
      <c r="AP556" s="71">
        <f t="shared" si="307"/>
        <v>-620</v>
      </c>
      <c r="AQ556" s="72">
        <f>IF(OR($H556="GIROSSOL II",$H556="GIROSSOL II e III"),INDEX('Resumo Operacional'!$A$1:$P$1103,MATCH("Energia Injetada prevista total Fatura da Usina (TUSD)",'Resumo Operacional'!$B$1:$B$1103,0),MATCH('Detalhe Por UC'!$R556,'Resumo Operacional'!$A$1:$P$1,0))*$S556,INDEX('Resumo Operacional'!$A$1:$P$1103,53,MATCH('Detalhe Por UC'!$R556,'Resumo Operacional'!$A$1:$P$1,0))*$S556)</f>
        <v>348.68</v>
      </c>
      <c r="AR556" s="71">
        <f t="shared" si="308"/>
        <v>-968.68000000000006</v>
      </c>
      <c r="AS556" s="73">
        <f t="shared" si="309"/>
        <v>83.179999999999993</v>
      </c>
      <c r="AT556" s="74">
        <f t="shared" si="310"/>
        <v>83.179999999999993</v>
      </c>
      <c r="AU556" s="74">
        <f t="shared" si="311"/>
        <v>0.95610655737704908</v>
      </c>
      <c r="AV556" s="74">
        <f t="shared" si="312"/>
        <v>84.580875536197681</v>
      </c>
      <c r="AW556" s="74">
        <f t="shared" si="313"/>
        <v>0</v>
      </c>
      <c r="AX556" s="74">
        <f t="shared" si="314"/>
        <v>110.88999999999999</v>
      </c>
      <c r="AY556" s="74">
        <f t="shared" si="315"/>
        <v>84.58</v>
      </c>
      <c r="AZ556" s="43">
        <v>83.17</v>
      </c>
      <c r="BA556" s="43">
        <v>83.17</v>
      </c>
      <c r="BC556" s="73" t="str">
        <f t="shared" si="316"/>
        <v/>
      </c>
      <c r="BD556" s="73">
        <f t="shared" si="317"/>
        <v>194.07</v>
      </c>
      <c r="BE556" s="73">
        <f t="shared" si="318"/>
        <v>167.76087553619766</v>
      </c>
      <c r="BF556" s="77">
        <f t="shared" si="319"/>
        <v>26.31</v>
      </c>
      <c r="BG556" s="77">
        <f t="shared" si="320"/>
        <v>7.8929999999999989</v>
      </c>
      <c r="BH556" s="77">
        <f t="shared" si="321"/>
        <v>110.88999999999999</v>
      </c>
      <c r="BI556" s="78">
        <f t="shared" si="322"/>
        <v>0.24</v>
      </c>
      <c r="BJ556" s="79">
        <f t="shared" si="323"/>
        <v>0.13556963982068326</v>
      </c>
      <c r="BK556" s="80">
        <f t="shared" si="324"/>
        <v>167.76</v>
      </c>
      <c r="BL556" s="80">
        <f t="shared" si="325"/>
        <v>26.310000000000002</v>
      </c>
      <c r="BM556" s="79">
        <f t="shared" si="326"/>
        <v>0.13556963982068326</v>
      </c>
      <c r="BN556" s="81">
        <f t="shared" si="327"/>
        <v>0.81326923076923074</v>
      </c>
      <c r="BO556" s="82">
        <f t="shared" si="328"/>
        <v>84.58</v>
      </c>
      <c r="BP556" s="81">
        <f t="shared" si="329"/>
        <v>0.81326923076923074</v>
      </c>
      <c r="BQ556" s="81">
        <f t="shared" si="330"/>
        <v>0.92341267339218158</v>
      </c>
      <c r="BR556" s="81">
        <f t="shared" si="331"/>
        <v>1.1763934426229508</v>
      </c>
      <c r="BS556" s="82">
        <f t="shared" si="332"/>
        <v>104</v>
      </c>
      <c r="BT556" s="82">
        <f t="shared" si="333"/>
        <v>122.34491803278688</v>
      </c>
      <c r="BU556" s="82">
        <f t="shared" si="334"/>
        <v>110.88999999999999</v>
      </c>
      <c r="BW556" s="82">
        <f>IFERROR(INDEX('Infos Clientes'!$T:$T,MATCH('Detalhe Por UC'!$C556,'Infos Clientes'!B:B,0)),"")</f>
        <v>0</v>
      </c>
      <c r="BX556" s="83">
        <f t="shared" si="335"/>
        <v>0</v>
      </c>
      <c r="BY556" s="84">
        <f t="shared" si="336"/>
        <v>0.21504775533830714</v>
      </c>
      <c r="BZ556" s="85">
        <f>IF(_xlfn.MINIFS('Detalhe Por UC'!R:R,'Detalhe Por UC'!C:C,C556,'Detalhe Por UC'!AD:AD,"&gt;"&amp;0)=0,"",_xlfn.MINIFS('Detalhe Por UC'!R:R,'Detalhe Por UC'!C:C,C556,'Detalhe Por UC'!AD:AD,"&gt;"&amp;0))</f>
        <v>45658</v>
      </c>
      <c r="CA556" s="114">
        <f ca="1">IF(OR(S556&gt;0,AD556&gt;0),IFERROR(
SUMIFS(INDIRECT("'Infos Clientes'!$W"&amp;INDEX('Infos Clientes'!$C:$C,MATCH(C556,'Infos Clientes'!$H:$H,0))&amp;":$CZ"&amp;INDEX('Infos Clientes'!$C:$C,MATCH(C556,'Infos Clientes'!$H:$H,0))),'Infos Clientes'!$W$2:$CZ$2,"&gt;"&amp;$R556-365,'Infos Clientes'!$W$2:$CZ$2,"&lt;="&amp;$R556)/
COUNTIFS(INDIRECT("'Infos Clientes'!$W"&amp;INDEX('Infos Clientes'!$C:$C,MATCH(C556,'Infos Clientes'!$H:$H,0))&amp;":$CZ"&amp;INDEX('Infos Clientes'!$C:$C,MATCH(C556,'Infos Clientes'!$H:$H,0))),"&gt;="&amp;0,'Infos Clientes'!$W$2:$CZ$2,"&gt;"&amp;$R556-365,'Infos Clientes'!$W$2:$CZ$2,"&lt;="&amp;$R556),""),"")</f>
        <v>157.16666666666666</v>
      </c>
      <c r="CB556" s="87">
        <f>VLOOKUP(C556,'Infos Clientes'!B:L,11,0)</f>
        <v>0</v>
      </c>
      <c r="CC556" s="88" t="str">
        <f t="shared" si="337"/>
        <v>A Unidade Consumidora 10/150263-2 economizou R$26,31 na fatura referente à jun/2025  consumindo 104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6" s="40"/>
      <c r="CE556" s="43"/>
      <c r="CF556" s="115">
        <f t="shared" si="338"/>
        <v>-83.179999999999993</v>
      </c>
    </row>
    <row r="557" spans="1:84" ht="16.2" hidden="1" customHeight="1" x14ac:dyDescent="0.3">
      <c r="A557" s="105" t="str">
        <f>INDEX('Infos Clientes'!$D:$D,MATCH('Detalhe Por UC'!C557,'Infos Clientes'!B:B,0))</f>
        <v>IGREJA DO EVANGELHO QUADRANGULAR</v>
      </c>
      <c r="B557" s="106" t="str">
        <f>INDEX('Infos Clientes'!$F:$F,MATCH('Detalhe Por UC'!C557,'Infos Clientes'!B:B,0))</f>
        <v>62.955.505/0156-01</v>
      </c>
      <c r="C557" s="44" t="s">
        <v>32</v>
      </c>
      <c r="D557" t="s">
        <v>351</v>
      </c>
      <c r="E557" s="1" t="s">
        <v>352</v>
      </c>
      <c r="F557" s="56" t="str">
        <f>INDEX('Infos Clientes'!$I:$I,MATCH('Detalhe Por UC'!C557,'Infos Clientes'!B:B,0))</f>
        <v>BT</v>
      </c>
      <c r="G557" s="56" t="str">
        <f>INDEX('Infos Clientes'!$J:$J,MATCH('Detalhe Por UC'!C557,'Infos Clientes'!B:B,0))</f>
        <v>trifasico</v>
      </c>
      <c r="H557" s="47" t="str">
        <f t="shared" si="341"/>
        <v>GIROSSOL II</v>
      </c>
      <c r="I557" s="58">
        <f>IFERROR(VLOOKUP(C557,'Infos Clientes'!B:E,4,),"")</f>
        <v>319</v>
      </c>
      <c r="J557" s="109">
        <v>0.23725425614394724</v>
      </c>
      <c r="K557" s="59">
        <f>INDEX('Infos Clientes'!$M:$M,MATCH('Detalhe Por UC'!C557,'Infos Clientes'!B:B,0))</f>
        <v>0.25</v>
      </c>
      <c r="L557" s="125">
        <v>0</v>
      </c>
      <c r="M557" s="56">
        <f>INDEX('Infos Clientes'!$N:$N,MATCH('Detalhe Por UC'!C557,'Infos Clientes'!B:B,0))</f>
        <v>0</v>
      </c>
      <c r="N557" s="56">
        <f t="shared" si="303"/>
        <v>0</v>
      </c>
      <c r="O557" s="56">
        <f t="shared" si="304"/>
        <v>9</v>
      </c>
      <c r="P557" s="56">
        <f t="shared" si="339"/>
        <v>0</v>
      </c>
      <c r="Q557" s="61">
        <f>IFERROR(IFERROR(INDEX('Infos Clientes'!$A$2:$V$9884,MATCH($C557,'Infos Clientes'!$B$2:$B$9884,0),MATCH(Q$8,'Infos Clientes'!$A$2:$V$2,0)),"")
+IF(OR(INDEX('Infos Clientes'!$A$2:$V$9884,MATCH($C557,'Infos Clientes'!$B$2:$B$9884,0),MATCH("Tempo de Fidelidade (meses)",'Infos Clientes'!$A$2:$V$2,0))=0,R557&gt;=MAX(R:R)),0,
ROUND((MAX(R:R)-R557)/(365/12),0)),"")</f>
        <v>0</v>
      </c>
      <c r="R557" s="111">
        <v>45809</v>
      </c>
      <c r="S557" s="17">
        <v>0</v>
      </c>
      <c r="T557" s="113">
        <f>IF($H557="GIROSSOL II",AP557/INDEX('Resumo Operacional'!$A$1:$P$1103,17,MATCH('Detalhe Por UC'!$R557,'Resumo Operacional'!$A$1:$P$1,0)),
IF($H557="GIROSSOL II e III",AP557/INDEX('Resumo Operacional'!$A$1:$P$1103,17,MATCH('Detalhe Por UC'!$R557,'Resumo Operacional'!$A$1:$P$1,0)),
""))</f>
        <v>0</v>
      </c>
      <c r="U557" s="113" t="str">
        <f>IF($H557="GIROSSOL III",AP557/INDEX('Resumo Operacional'!$A$1:$P$1103,53,MATCH('Detalhe Por UC'!$R557,'Resumo Operacional'!$A$1:$P$1,0)),
IF($H557="GIROSSOL II e III",AP557/INDEX('Resumo Operacional'!$A$1:$P$1103,53,MATCH('Detalhe Por UC'!$R557,'Resumo Operacional'!$A$1:$P$1,0)),
""))</f>
        <v/>
      </c>
      <c r="V557" s="45"/>
      <c r="X557" s="18">
        <v>1.1574257425742573</v>
      </c>
      <c r="Y557" s="18">
        <v>0</v>
      </c>
      <c r="Z557" s="18">
        <v>0</v>
      </c>
      <c r="AA557" s="18"/>
      <c r="AB557" s="18">
        <v>202</v>
      </c>
      <c r="AC557" s="18"/>
      <c r="AD557" s="143">
        <v>0</v>
      </c>
      <c r="AE557" s="35"/>
      <c r="AF557" s="18">
        <v>0</v>
      </c>
      <c r="AG557" s="18">
        <v>0</v>
      </c>
      <c r="AH557" s="48">
        <v>28.01</v>
      </c>
      <c r="AI557" s="18">
        <v>0</v>
      </c>
      <c r="AJ557" s="18">
        <v>0</v>
      </c>
      <c r="AL557" s="146"/>
      <c r="AN557" s="71">
        <f t="shared" si="305"/>
        <v>0</v>
      </c>
      <c r="AO557" s="71">
        <f t="shared" si="306"/>
        <v>0</v>
      </c>
      <c r="AP557" s="71">
        <f t="shared" si="307"/>
        <v>0</v>
      </c>
      <c r="AQ557" s="72">
        <f>IF(OR($H557="GIROSSOL II",$H557="GIROSSOL II e III"),INDEX('Resumo Operacional'!$A$1:$P$1103,MATCH("Energia Injetada prevista total Fatura da Usina (TUSD)",'Resumo Operacional'!$B$1:$B$1103,0),MATCH('Detalhe Por UC'!$R557,'Resumo Operacional'!$A$1:$P$1,0))*$S557,INDEX('Resumo Operacional'!$A$1:$P$1103,53,MATCH('Detalhe Por UC'!$R557,'Resumo Operacional'!$A$1:$P$1,0))*$S557)</f>
        <v>0</v>
      </c>
      <c r="AR557" s="71">
        <f t="shared" si="308"/>
        <v>0</v>
      </c>
      <c r="AS557" s="73">
        <f t="shared" si="309"/>
        <v>261.81</v>
      </c>
      <c r="AT557" s="74">
        <f t="shared" si="310"/>
        <v>261.81</v>
      </c>
      <c r="AU557" s="74" t="str">
        <f t="shared" si="311"/>
        <v/>
      </c>
      <c r="AV557" s="74">
        <f t="shared" si="312"/>
        <v>0</v>
      </c>
      <c r="AW557" s="74">
        <f t="shared" si="313"/>
        <v>0</v>
      </c>
      <c r="AX557" s="74">
        <f t="shared" si="314"/>
        <v>0</v>
      </c>
      <c r="AY557" s="74" t="str">
        <f t="shared" si="315"/>
        <v/>
      </c>
      <c r="AZ557" s="43" t="s">
        <v>354</v>
      </c>
      <c r="BA557" s="43">
        <v>0</v>
      </c>
      <c r="BC557" s="73" t="str">
        <f t="shared" si="316"/>
        <v/>
      </c>
      <c r="BD557" s="73">
        <f t="shared" si="317"/>
        <v>261.81</v>
      </c>
      <c r="BE557" s="73">
        <f t="shared" si="318"/>
        <v>261.81</v>
      </c>
      <c r="BF557" s="77">
        <f t="shared" si="319"/>
        <v>0</v>
      </c>
      <c r="BG557" s="77">
        <f t="shared" si="320"/>
        <v>0</v>
      </c>
      <c r="BH557" s="77">
        <f t="shared" si="321"/>
        <v>0</v>
      </c>
      <c r="BI557" s="78" t="str">
        <f t="shared" si="322"/>
        <v/>
      </c>
      <c r="BJ557" s="79">
        <f t="shared" si="323"/>
        <v>0</v>
      </c>
      <c r="BK557" s="80" t="str">
        <f t="shared" si="324"/>
        <v/>
      </c>
      <c r="BL557" s="80" t="str">
        <f t="shared" si="325"/>
        <v/>
      </c>
      <c r="BM557" s="79" t="str">
        <f t="shared" si="326"/>
        <v/>
      </c>
      <c r="BN557" s="81" t="str">
        <f t="shared" si="327"/>
        <v/>
      </c>
      <c r="BO557" s="82" t="str">
        <f t="shared" si="328"/>
        <v/>
      </c>
      <c r="BP557" s="81" t="str">
        <f t="shared" si="329"/>
        <v/>
      </c>
      <c r="BQ557" s="81" t="str">
        <f t="shared" si="330"/>
        <v/>
      </c>
      <c r="BR557" s="81" t="str">
        <f t="shared" si="331"/>
        <v/>
      </c>
      <c r="BS557" s="82">
        <f t="shared" si="332"/>
        <v>0</v>
      </c>
      <c r="BT557" s="82" t="str">
        <f t="shared" si="333"/>
        <v/>
      </c>
      <c r="BU557" s="82">
        <f t="shared" si="334"/>
        <v>0</v>
      </c>
      <c r="BW557" s="82">
        <f>IFERROR(INDEX('Infos Clientes'!$T:$T,MATCH('Detalhe Por UC'!$C557,'Infos Clientes'!B:B,0)),"")</f>
        <v>236.08333333333334</v>
      </c>
      <c r="BX557" s="83">
        <f t="shared" si="335"/>
        <v>0</v>
      </c>
      <c r="BY557" s="84" t="str">
        <f t="shared" si="336"/>
        <v/>
      </c>
      <c r="BZ557" s="85">
        <f>IF(_xlfn.MINIFS('Detalhe Por UC'!R:R,'Detalhe Por UC'!C:C,C557,'Detalhe Por UC'!AD:AD,"&gt;"&amp;0)=0,"",_xlfn.MINIFS('Detalhe Por UC'!R:R,'Detalhe Por UC'!C:C,C557,'Detalhe Por UC'!AD:AD,"&gt;"&amp;0))</f>
        <v>45627</v>
      </c>
      <c r="CA557" s="114" t="str">
        <f ca="1">IF(OR(S557&gt;0,AD557&gt;0),IFERROR(
SUMIFS(INDIRECT("'Infos Clientes'!$W"&amp;INDEX('Infos Clientes'!$C:$C,MATCH(C557,'Infos Clientes'!$H:$H,0))&amp;":$CZ"&amp;INDEX('Infos Clientes'!$C:$C,MATCH(C557,'Infos Clientes'!$H:$H,0))),'Infos Clientes'!$W$2:$CZ$2,"&gt;"&amp;$R557-365,'Infos Clientes'!$W$2:$CZ$2,"&lt;="&amp;$R557)/
COUNTIFS(INDIRECT("'Infos Clientes'!$W"&amp;INDEX('Infos Clientes'!$C:$C,MATCH(C557,'Infos Clientes'!$H:$H,0))&amp;":$CZ"&amp;INDEX('Infos Clientes'!$C:$C,MATCH(C557,'Infos Clientes'!$H:$H,0))),"&gt;="&amp;0,'Infos Clientes'!$W$2:$CZ$2,"&gt;"&amp;$R557-365,'Infos Clientes'!$W$2:$CZ$2,"&lt;="&amp;$R557),""),"")</f>
        <v/>
      </c>
      <c r="CB557" s="87">
        <f>VLOOKUP(C557,'Infos Clientes'!B:L,11,0)</f>
        <v>0</v>
      </c>
      <c r="CC557" s="88" t="str">
        <f t="shared" si="337"/>
        <v>A Unidade Consumidora 10/113971-6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7" s="40" t="s">
        <v>34</v>
      </c>
      <c r="CE557" s="43"/>
      <c r="CF557" s="115">
        <f t="shared" si="338"/>
        <v>-261.81</v>
      </c>
    </row>
    <row r="558" spans="1:84" ht="16.2" hidden="1" customHeight="1" x14ac:dyDescent="0.3">
      <c r="A558" s="105" t="str">
        <f>INDEX('Infos Clientes'!$D:$D,MATCH('Detalhe Por UC'!C558,'Infos Clientes'!B:B,0))</f>
        <v>IGREJA DO EVANGELHO QUADRANGULAR</v>
      </c>
      <c r="B558" s="106" t="str">
        <f>INDEX('Infos Clientes'!$F:$F,MATCH('Detalhe Por UC'!C558,'Infos Clientes'!B:B,0))</f>
        <v>62.955.505/1490-47</v>
      </c>
      <c r="C558" s="44" t="s">
        <v>35</v>
      </c>
      <c r="D558" t="s">
        <v>351</v>
      </c>
      <c r="E558" s="1" t="s">
        <v>352</v>
      </c>
      <c r="F558" s="56" t="str">
        <f>INDEX('Infos Clientes'!$I:$I,MATCH('Detalhe Por UC'!C558,'Infos Clientes'!B:B,0))</f>
        <v>BT</v>
      </c>
      <c r="G558" s="56" t="str">
        <f>INDEX('Infos Clientes'!$J:$J,MATCH('Detalhe Por UC'!C558,'Infos Clientes'!B:B,0))</f>
        <v>trifasico</v>
      </c>
      <c r="H558" s="47" t="str">
        <f t="shared" si="341"/>
        <v>GIROSSOL II</v>
      </c>
      <c r="I558" s="58">
        <f>IFERROR(VLOOKUP(C558,'Infos Clientes'!B:E,4,),"")</f>
        <v>319</v>
      </c>
      <c r="J558" s="109">
        <v>0.23725425614394724</v>
      </c>
      <c r="K558" s="59">
        <f>INDEX('Infos Clientes'!$M:$M,MATCH('Detalhe Por UC'!C558,'Infos Clientes'!B:B,0))</f>
        <v>0.25</v>
      </c>
      <c r="L558" s="125">
        <v>0</v>
      </c>
      <c r="M558" s="56">
        <f>INDEX('Infos Clientes'!$N:$N,MATCH('Detalhe Por UC'!C558,'Infos Clientes'!B:B,0))</f>
        <v>0</v>
      </c>
      <c r="N558" s="56">
        <f t="shared" si="303"/>
        <v>0</v>
      </c>
      <c r="O558" s="56">
        <f t="shared" si="304"/>
        <v>12</v>
      </c>
      <c r="P558" s="56">
        <f t="shared" si="339"/>
        <v>0</v>
      </c>
      <c r="Q558" s="61">
        <f>IFERROR(IFERROR(INDEX('Infos Clientes'!$A$2:$V$9884,MATCH($C558,'Infos Clientes'!$B$2:$B$9884,0),MATCH(Q$8,'Infos Clientes'!$A$2:$V$2,0)),"")
+IF(OR(INDEX('Infos Clientes'!$A$2:$V$9884,MATCH($C558,'Infos Clientes'!$B$2:$B$9884,0),MATCH("Tempo de Fidelidade (meses)",'Infos Clientes'!$A$2:$V$2,0))=0,R558&gt;=MAX(R:R)),0,
ROUND((MAX(R:R)-R558)/(365/12),0)),"")</f>
        <v>0</v>
      </c>
      <c r="R558" s="111">
        <v>45809</v>
      </c>
      <c r="S558" s="17">
        <v>0.01</v>
      </c>
      <c r="T558" s="113">
        <f>IF($H558="GIROSSOL II",AP558/INDEX('Resumo Operacional'!$A$1:$P$1103,17,MATCH('Detalhe Por UC'!$R558,'Resumo Operacional'!$A$1:$P$1,0)),
IF($H558="GIROSSOL II e III",AP558/INDEX('Resumo Operacional'!$A$1:$P$1103,17,MATCH('Detalhe Por UC'!$R558,'Resumo Operacional'!$A$1:$P$1,0)),
""))</f>
        <v>4.4166571068027993E-3</v>
      </c>
      <c r="U558" s="113" t="str">
        <f>IF($H558="GIROSSOL III",AP558/INDEX('Resumo Operacional'!$A$1:$P$1103,53,MATCH('Detalhe Por UC'!$R558,'Resumo Operacional'!$A$1:$P$1,0)),
IF($H558="GIROSSOL II e III",AP558/INDEX('Resumo Operacional'!$A$1:$P$1103,53,MATCH('Detalhe Por UC'!$R558,'Resumo Operacional'!$A$1:$P$1,0)),
""))</f>
        <v/>
      </c>
      <c r="V558" s="45"/>
      <c r="X558" s="18">
        <v>1.1604086687306501</v>
      </c>
      <c r="Y558" s="18">
        <v>0</v>
      </c>
      <c r="Z558" s="18">
        <v>1.1603677130044843</v>
      </c>
      <c r="AA558" s="18"/>
      <c r="AB558" s="18">
        <v>323</v>
      </c>
      <c r="AC558" s="18"/>
      <c r="AD558" s="143">
        <v>223</v>
      </c>
      <c r="AE558" s="35"/>
      <c r="AF558" s="18">
        <v>39</v>
      </c>
      <c r="AG558" s="18">
        <v>0</v>
      </c>
      <c r="AH558" s="48">
        <v>66.3</v>
      </c>
      <c r="AI558" s="18">
        <v>0</v>
      </c>
      <c r="AJ558" s="18">
        <v>0</v>
      </c>
      <c r="AL558" s="146"/>
      <c r="AN558" s="71">
        <f t="shared" si="305"/>
        <v>-146</v>
      </c>
      <c r="AO558" s="71">
        <f t="shared" si="306"/>
        <v>0</v>
      </c>
      <c r="AP558" s="71">
        <f t="shared" si="307"/>
        <v>77</v>
      </c>
      <c r="AQ558" s="72">
        <f>IF(OR($H558="GIROSSOL II",$H558="GIROSSOL II e III"),INDEX('Resumo Operacional'!$A$1:$P$1103,MATCH("Energia Injetada prevista total Fatura da Usina (TUSD)",'Resumo Operacional'!$B$1:$B$1103,0),MATCH('Detalhe Por UC'!$R558,'Resumo Operacional'!$A$1:$P$1,0))*$S558,INDEX('Resumo Operacional'!$A$1:$P$1103,53,MATCH('Detalhe Por UC'!$R558,'Resumo Operacional'!$A$1:$P$1,0))*$S558)</f>
        <v>174.34</v>
      </c>
      <c r="AR558" s="71">
        <f t="shared" si="308"/>
        <v>-97.34</v>
      </c>
      <c r="AS558" s="73">
        <f t="shared" si="309"/>
        <v>182.34999999999997</v>
      </c>
      <c r="AT558" s="74">
        <f t="shared" si="310"/>
        <v>182.34999999999997</v>
      </c>
      <c r="AU558" s="74">
        <f t="shared" si="311"/>
        <v>1.1603267572783185</v>
      </c>
      <c r="AV558" s="74">
        <f t="shared" si="312"/>
        <v>197.3696141716799</v>
      </c>
      <c r="AW558" s="74">
        <f t="shared" si="313"/>
        <v>0</v>
      </c>
      <c r="AX558" s="74">
        <f t="shared" si="314"/>
        <v>258.762</v>
      </c>
      <c r="AY558" s="74">
        <f t="shared" si="315"/>
        <v>197.37</v>
      </c>
      <c r="AZ558" s="43">
        <v>194.07</v>
      </c>
      <c r="BA558" s="43">
        <f>194.07</f>
        <v>194.07</v>
      </c>
      <c r="BB558" s="43">
        <v>194.07</v>
      </c>
      <c r="BC558" s="73" t="str">
        <f t="shared" si="316"/>
        <v/>
      </c>
      <c r="BD558" s="73">
        <f t="shared" si="317"/>
        <v>441.11199999999997</v>
      </c>
      <c r="BE558" s="73">
        <f t="shared" si="318"/>
        <v>379.71961417167984</v>
      </c>
      <c r="BF558" s="77">
        <f t="shared" si="319"/>
        <v>61.39</v>
      </c>
      <c r="BG558" s="77">
        <f t="shared" si="320"/>
        <v>18.416999999999998</v>
      </c>
      <c r="BH558" s="77">
        <f t="shared" si="321"/>
        <v>258.762</v>
      </c>
      <c r="BI558" s="78">
        <f t="shared" si="322"/>
        <v>0.24</v>
      </c>
      <c r="BJ558" s="79">
        <f t="shared" si="323"/>
        <v>0.13917100418941222</v>
      </c>
      <c r="BK558" s="80">
        <f t="shared" si="324"/>
        <v>379.71999999999997</v>
      </c>
      <c r="BL558" s="80">
        <f t="shared" si="325"/>
        <v>61.391999999999996</v>
      </c>
      <c r="BM558" s="79">
        <f t="shared" si="326"/>
        <v>0.13917553818531347</v>
      </c>
      <c r="BN558" s="81">
        <f t="shared" si="327"/>
        <v>0.8850672645739911</v>
      </c>
      <c r="BO558" s="82">
        <f t="shared" si="328"/>
        <v>197.37</v>
      </c>
      <c r="BP558" s="81">
        <f t="shared" si="329"/>
        <v>0.8850672645739911</v>
      </c>
      <c r="BQ558" s="81">
        <f t="shared" si="330"/>
        <v>0.8851082203001569</v>
      </c>
      <c r="BR558" s="81">
        <f t="shared" si="331"/>
        <v>1.1604086687306501</v>
      </c>
      <c r="BS558" s="82">
        <f t="shared" si="332"/>
        <v>223</v>
      </c>
      <c r="BT558" s="82">
        <f t="shared" si="333"/>
        <v>258.77113312693496</v>
      </c>
      <c r="BU558" s="82">
        <f t="shared" si="334"/>
        <v>258.762</v>
      </c>
      <c r="BW558" s="82">
        <f>IFERROR(INDEX('Infos Clientes'!$T:$T,MATCH('Detalhe Por UC'!$C558,'Infos Clientes'!B:B,0)),"")</f>
        <v>182.25</v>
      </c>
      <c r="BX558" s="83">
        <f t="shared" si="335"/>
        <v>0</v>
      </c>
      <c r="BY558" s="84">
        <f t="shared" si="336"/>
        <v>0.23724439143637158</v>
      </c>
      <c r="BZ558" s="85">
        <f>IF(_xlfn.MINIFS('Detalhe Por UC'!R:R,'Detalhe Por UC'!C:C,C558,'Detalhe Por UC'!AD:AD,"&gt;"&amp;0)=0,"",_xlfn.MINIFS('Detalhe Por UC'!R:R,'Detalhe Por UC'!C:C,C558,'Detalhe Por UC'!AD:AD,"&gt;"&amp;0))</f>
        <v>45627</v>
      </c>
      <c r="CA558" s="114">
        <f ca="1">IF(OR(S558&gt;0,AD558&gt;0),IFERROR(
SUMIFS(INDIRECT("'Infos Clientes'!$W"&amp;INDEX('Infos Clientes'!$C:$C,MATCH(C558,'Infos Clientes'!$H:$H,0))&amp;":$CZ"&amp;INDEX('Infos Clientes'!$C:$C,MATCH(C558,'Infos Clientes'!$H:$H,0))),'Infos Clientes'!$W$2:$CZ$2,"&gt;"&amp;$R558-365,'Infos Clientes'!$W$2:$CZ$2,"&lt;="&amp;$R558)/
COUNTIFS(INDIRECT("'Infos Clientes'!$W"&amp;INDEX('Infos Clientes'!$C:$C,MATCH(C558,'Infos Clientes'!$H:$H,0))&amp;":$CZ"&amp;INDEX('Infos Clientes'!$C:$C,MATCH(C558,'Infos Clientes'!$H:$H,0))),"&gt;="&amp;0,'Infos Clientes'!$W$2:$CZ$2,"&gt;"&amp;$R558-365,'Infos Clientes'!$W$2:$CZ$2,"&lt;="&amp;$R558),""),"")</f>
        <v>234.66666666666666</v>
      </c>
      <c r="CB558" s="87">
        <f>VLOOKUP(C558,'Infos Clientes'!B:L,11,0)</f>
        <v>0</v>
      </c>
      <c r="CC558" s="88" t="str">
        <f t="shared" si="337"/>
        <v>A Unidade Consumidora 10/1184751-4 economizou R$61,39 na fatura referente à jun/2025  consumindo 223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8" s="40" t="s">
        <v>37</v>
      </c>
      <c r="CE558" s="43"/>
      <c r="CF558" s="115">
        <f t="shared" si="338"/>
        <v>-182.34999999999997</v>
      </c>
    </row>
    <row r="559" spans="1:84" ht="16.2" hidden="1" customHeight="1" x14ac:dyDescent="0.3">
      <c r="A559" s="105" t="str">
        <f>INDEX('Infos Clientes'!$D:$D,MATCH('Detalhe Por UC'!C559,'Infos Clientes'!B:B,0))</f>
        <v>IGREJA DO EVANGELHO QUADRANGULAR</v>
      </c>
      <c r="B559" s="106" t="str">
        <f>INDEX('Infos Clientes'!$F:$F,MATCH('Detalhe Por UC'!C559,'Infos Clientes'!B:B,0))</f>
        <v>62.955.505/0172-13</v>
      </c>
      <c r="C559" s="44" t="s">
        <v>79</v>
      </c>
      <c r="D559" t="s">
        <v>351</v>
      </c>
      <c r="E559" s="1" t="s">
        <v>352</v>
      </c>
      <c r="F559" s="56" t="str">
        <f>INDEX('Infos Clientes'!$I:$I,MATCH('Detalhe Por UC'!C559,'Infos Clientes'!B:B,0))</f>
        <v>BT</v>
      </c>
      <c r="G559" s="56" t="str">
        <f>INDEX('Infos Clientes'!$J:$J,MATCH('Detalhe Por UC'!C559,'Infos Clientes'!B:B,0))</f>
        <v>trifasico</v>
      </c>
      <c r="H559" s="47" t="str">
        <f t="shared" si="341"/>
        <v>GIROSSOL II</v>
      </c>
      <c r="I559" s="58">
        <f>IFERROR(VLOOKUP(C559,'Infos Clientes'!B:E,4,),"")</f>
        <v>371</v>
      </c>
      <c r="J559" s="109">
        <v>0.23725425614394724</v>
      </c>
      <c r="K559" s="59">
        <f>INDEX('Infos Clientes'!$M:$M,MATCH('Detalhe Por UC'!C559,'Infos Clientes'!B:B,0))</f>
        <v>0.25</v>
      </c>
      <c r="L559" s="125">
        <v>0</v>
      </c>
      <c r="M559" s="56">
        <f>INDEX('Infos Clientes'!$N:$N,MATCH('Detalhe Por UC'!C559,'Infos Clientes'!B:B,0))</f>
        <v>0</v>
      </c>
      <c r="N559" s="56">
        <f t="shared" si="303"/>
        <v>0</v>
      </c>
      <c r="O559" s="56">
        <f t="shared" si="304"/>
        <v>8</v>
      </c>
      <c r="P559" s="56">
        <f t="shared" si="339"/>
        <v>0</v>
      </c>
      <c r="Q559" s="61">
        <f>IFERROR(IFERROR(INDEX('Infos Clientes'!$A$2:$V$9884,MATCH($C559,'Infos Clientes'!$B$2:$B$9884,0),MATCH(Q$8,'Infos Clientes'!$A$2:$V$2,0)),"")
+IF(OR(INDEX('Infos Clientes'!$A$2:$V$9884,MATCH($C559,'Infos Clientes'!$B$2:$B$9884,0),MATCH("Tempo de Fidelidade (meses)",'Infos Clientes'!$A$2:$V$2,0))=0,R559&gt;=MAX(R:R)),0,
ROUND((MAX(R:R)-R559)/(365/12),0)),"")</f>
        <v>0</v>
      </c>
      <c r="R559" s="111">
        <v>45809</v>
      </c>
      <c r="S559" s="17">
        <v>6.0000000000000001E-3</v>
      </c>
      <c r="T559" s="113">
        <f>IF($H559="GIROSSOL II",AP559/INDEX('Resumo Operacional'!$A$1:$P$1103,17,MATCH('Detalhe Por UC'!$R559,'Resumo Operacional'!$A$1:$P$1,0)),
IF($H559="GIROSSOL II e III",AP559/INDEX('Resumo Operacional'!$A$1:$P$1103,17,MATCH('Detalhe Por UC'!$R559,'Resumo Operacional'!$A$1:$P$1,0)),
""))</f>
        <v>-2.8507514052999887E-2</v>
      </c>
      <c r="U559" s="113" t="str">
        <f>IF($H559="GIROSSOL III",AP559/INDEX('Resumo Operacional'!$A$1:$P$1103,53,MATCH('Detalhe Por UC'!$R559,'Resumo Operacional'!$A$1:$P$1,0)),
IF($H559="GIROSSOL II e III",AP559/INDEX('Resumo Operacional'!$A$1:$P$1103,53,MATCH('Detalhe Por UC'!$R559,'Resumo Operacional'!$A$1:$P$1,0)),
""))</f>
        <v/>
      </c>
      <c r="V559" s="45"/>
      <c r="W559" s="18"/>
      <c r="X559" s="21">
        <v>1.1703000000000001</v>
      </c>
      <c r="Y559" s="18">
        <v>0</v>
      </c>
      <c r="Z559" s="18">
        <v>0</v>
      </c>
      <c r="AA559" s="18"/>
      <c r="AB559" s="18">
        <v>0</v>
      </c>
      <c r="AC559" s="18"/>
      <c r="AD559" s="143">
        <v>0</v>
      </c>
      <c r="AE559" s="35"/>
      <c r="AF559" s="18"/>
      <c r="AG559" s="18"/>
      <c r="AH559" s="48">
        <v>8.4699999999999989</v>
      </c>
      <c r="AI559" s="18">
        <v>0</v>
      </c>
      <c r="AJ559" s="18">
        <v>0</v>
      </c>
      <c r="AL559" s="146"/>
      <c r="AN559" s="71">
        <f t="shared" si="305"/>
        <v>-497</v>
      </c>
      <c r="AO559" s="71">
        <f t="shared" si="306"/>
        <v>0</v>
      </c>
      <c r="AP559" s="71">
        <f t="shared" si="307"/>
        <v>-497</v>
      </c>
      <c r="AQ559" s="72">
        <f>IF(OR($H559="GIROSSOL II",$H559="GIROSSOL II e III"),INDEX('Resumo Operacional'!$A$1:$P$1103,MATCH("Energia Injetada prevista total Fatura da Usina (TUSD)",'Resumo Operacional'!$B$1:$B$1103,0),MATCH('Detalhe Por UC'!$R559,'Resumo Operacional'!$A$1:$P$1,0))*$S559,INDEX('Resumo Operacional'!$A$1:$P$1103,53,MATCH('Detalhe Por UC'!$R559,'Resumo Operacional'!$A$1:$P$1,0))*$S559)</f>
        <v>104.604</v>
      </c>
      <c r="AR559" s="71">
        <f t="shared" si="308"/>
        <v>-601.60400000000004</v>
      </c>
      <c r="AS559" s="73">
        <f t="shared" si="309"/>
        <v>125.50000000000001</v>
      </c>
      <c r="AT559" s="74">
        <f t="shared" si="310"/>
        <v>125.50000000000001</v>
      </c>
      <c r="AU559" s="74" t="str">
        <f t="shared" si="311"/>
        <v/>
      </c>
      <c r="AV559" s="74">
        <f t="shared" si="312"/>
        <v>0</v>
      </c>
      <c r="AW559" s="74">
        <f t="shared" si="313"/>
        <v>0</v>
      </c>
      <c r="AX559" s="74">
        <f t="shared" si="314"/>
        <v>0</v>
      </c>
      <c r="AY559" s="74" t="str">
        <f t="shared" si="315"/>
        <v/>
      </c>
      <c r="AZ559" s="43" t="s">
        <v>354</v>
      </c>
      <c r="BA559" s="43">
        <v>0</v>
      </c>
      <c r="BC559" s="73" t="str">
        <f t="shared" si="316"/>
        <v/>
      </c>
      <c r="BD559" s="73">
        <f t="shared" si="317"/>
        <v>125.50000000000001</v>
      </c>
      <c r="BE559" s="73">
        <f t="shared" si="318"/>
        <v>125.50000000000001</v>
      </c>
      <c r="BF559" s="77">
        <f t="shared" si="319"/>
        <v>0</v>
      </c>
      <c r="BG559" s="77">
        <f t="shared" si="320"/>
        <v>0</v>
      </c>
      <c r="BH559" s="77">
        <f t="shared" si="321"/>
        <v>0</v>
      </c>
      <c r="BI559" s="78" t="str">
        <f t="shared" si="322"/>
        <v/>
      </c>
      <c r="BJ559" s="79">
        <f t="shared" si="323"/>
        <v>0</v>
      </c>
      <c r="BK559" s="80" t="str">
        <f t="shared" si="324"/>
        <v/>
      </c>
      <c r="BL559" s="80" t="str">
        <f t="shared" si="325"/>
        <v/>
      </c>
      <c r="BM559" s="79" t="str">
        <f t="shared" si="326"/>
        <v/>
      </c>
      <c r="BN559" s="81" t="str">
        <f t="shared" si="327"/>
        <v/>
      </c>
      <c r="BO559" s="82" t="str">
        <f t="shared" si="328"/>
        <v/>
      </c>
      <c r="BP559" s="81" t="str">
        <f t="shared" si="329"/>
        <v/>
      </c>
      <c r="BQ559" s="81" t="str">
        <f t="shared" si="330"/>
        <v/>
      </c>
      <c r="BR559" s="81" t="str">
        <f t="shared" si="331"/>
        <v/>
      </c>
      <c r="BS559" s="82">
        <f t="shared" si="332"/>
        <v>0</v>
      </c>
      <c r="BT559" s="82" t="str">
        <f t="shared" si="333"/>
        <v/>
      </c>
      <c r="BU559" s="82">
        <f t="shared" si="334"/>
        <v>0</v>
      </c>
      <c r="BW559" s="82">
        <f>IFERROR(INDEX('Infos Clientes'!$T:$T,MATCH('Detalhe Por UC'!$C559,'Infos Clientes'!B:B,0)),"")</f>
        <v>166.66666666666666</v>
      </c>
      <c r="BX559" s="83">
        <f t="shared" si="335"/>
        <v>0</v>
      </c>
      <c r="BY559" s="84" t="str">
        <f t="shared" si="336"/>
        <v/>
      </c>
      <c r="BZ559" s="85">
        <f>IF(_xlfn.MINIFS('Detalhe Por UC'!R:R,'Detalhe Por UC'!C:C,C559,'Detalhe Por UC'!AD:AD,"&gt;"&amp;0)=0,"",_xlfn.MINIFS('Detalhe Por UC'!R:R,'Detalhe Por UC'!C:C,C559,'Detalhe Por UC'!AD:AD,"&gt;"&amp;0))</f>
        <v>45627</v>
      </c>
      <c r="CA559" s="114">
        <f ca="1">IF(OR(S559&gt;0,AD559&gt;0),IFERROR(
SUMIFS(INDIRECT("'Infos Clientes'!$W"&amp;INDEX('Infos Clientes'!$C:$C,MATCH(C559,'Infos Clientes'!$H:$H,0))&amp;":$CZ"&amp;INDEX('Infos Clientes'!$C:$C,MATCH(C559,'Infos Clientes'!$H:$H,0))),'Infos Clientes'!$W$2:$CZ$2,"&gt;"&amp;$R559-365,'Infos Clientes'!$W$2:$CZ$2,"&lt;="&amp;$R559)/
COUNTIFS(INDIRECT("'Infos Clientes'!$W"&amp;INDEX('Infos Clientes'!$C:$C,MATCH(C559,'Infos Clientes'!$H:$H,0))&amp;":$CZ"&amp;INDEX('Infos Clientes'!$C:$C,MATCH(C559,'Infos Clientes'!$H:$H,0))),"&gt;="&amp;0,'Infos Clientes'!$W$2:$CZ$2,"&gt;"&amp;$R559-365,'Infos Clientes'!$W$2:$CZ$2,"&lt;="&amp;$R559),""),"")</f>
        <v>184.36363636363637</v>
      </c>
      <c r="CB559" s="87">
        <f>VLOOKUP(C559,'Infos Clientes'!B:L,11,0)</f>
        <v>0</v>
      </c>
      <c r="CC559" s="88" t="str">
        <f t="shared" si="337"/>
        <v>A Unidade Consumidora 10/237441-1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59" s="40" t="s">
        <v>80</v>
      </c>
      <c r="CE559" s="43"/>
      <c r="CF559" s="115">
        <f t="shared" si="338"/>
        <v>-125.50000000000001</v>
      </c>
    </row>
    <row r="560" spans="1:84" ht="16.2" hidden="1" customHeight="1" x14ac:dyDescent="0.3">
      <c r="A560" s="105" t="str">
        <f>INDEX('Infos Clientes'!$D:$D,MATCH('Detalhe Por UC'!C560,'Infos Clientes'!B:B,0))</f>
        <v>IGREJA DO EVANGELHO QUADRANGULAR</v>
      </c>
      <c r="B560" s="106" t="str">
        <f>INDEX('Infos Clientes'!$F:$F,MATCH('Detalhe Por UC'!C560,'Infos Clientes'!B:B,0))</f>
        <v>62.955.505/4612-10</v>
      </c>
      <c r="C560" s="44" t="s">
        <v>57</v>
      </c>
      <c r="D560" t="s">
        <v>351</v>
      </c>
      <c r="E560" s="1" t="s">
        <v>352</v>
      </c>
      <c r="F560" s="56" t="str">
        <f>INDEX('Infos Clientes'!$I:$I,MATCH('Detalhe Por UC'!C560,'Infos Clientes'!B:B,0))</f>
        <v>BT</v>
      </c>
      <c r="G560" s="56" t="str">
        <f>INDEX('Infos Clientes'!$J:$J,MATCH('Detalhe Por UC'!C560,'Infos Clientes'!B:B,0))</f>
        <v>trifasico</v>
      </c>
      <c r="H560" s="47" t="str">
        <f t="shared" si="341"/>
        <v>GIROSSOL II</v>
      </c>
      <c r="I560" s="58">
        <f>IFERROR(VLOOKUP(C560,'Infos Clientes'!B:E,4,),"")</f>
        <v>306</v>
      </c>
      <c r="J560" s="109">
        <v>0.23725425614394724</v>
      </c>
      <c r="K560" s="59">
        <f>INDEX('Infos Clientes'!$M:$M,MATCH('Detalhe Por UC'!C560,'Infos Clientes'!B:B,0))</f>
        <v>0.25</v>
      </c>
      <c r="L560" s="125">
        <v>0</v>
      </c>
      <c r="M560" s="56">
        <f>INDEX('Infos Clientes'!$N:$N,MATCH('Detalhe Por UC'!C560,'Infos Clientes'!B:B,0))</f>
        <v>0</v>
      </c>
      <c r="N560" s="56">
        <f t="shared" si="303"/>
        <v>0</v>
      </c>
      <c r="O560" s="56">
        <f t="shared" si="304"/>
        <v>12</v>
      </c>
      <c r="P560" s="56">
        <f t="shared" si="339"/>
        <v>0</v>
      </c>
      <c r="Q560" s="61">
        <f>IFERROR(IFERROR(INDEX('Infos Clientes'!$A$2:$V$9884,MATCH($C560,'Infos Clientes'!$B$2:$B$9884,0),MATCH(Q$8,'Infos Clientes'!$A$2:$V$2,0)),"")
+IF(OR(INDEX('Infos Clientes'!$A$2:$V$9884,MATCH($C560,'Infos Clientes'!$B$2:$B$9884,0),MATCH("Tempo de Fidelidade (meses)",'Infos Clientes'!$A$2:$V$2,0))=0,R560&gt;=MAX(R:R)),0,
ROUND((MAX(R:R)-R560)/(365/12),0)),"")</f>
        <v>0</v>
      </c>
      <c r="R560" s="111">
        <v>45809</v>
      </c>
      <c r="S560" s="17">
        <v>6.0000000000000001E-3</v>
      </c>
      <c r="T560" s="113">
        <f>IF($H560="GIROSSOL II",AP560/INDEX('Resumo Operacional'!$A$1:$P$1103,17,MATCH('Detalhe Por UC'!$R560,'Resumo Operacional'!$A$1:$P$1,0)),
IF($H560="GIROSSOL II e III",AP560/INDEX('Resumo Operacional'!$A$1:$P$1103,17,MATCH('Detalhe Por UC'!$R560,'Resumo Operacional'!$A$1:$P$1,0)),
""))</f>
        <v>2.6385224274406332E-3</v>
      </c>
      <c r="U560" s="113" t="str">
        <f>IF($H560="GIROSSOL III",AP560/INDEX('Resumo Operacional'!$A$1:$P$1103,53,MATCH('Detalhe Por UC'!$R560,'Resumo Operacional'!$A$1:$P$1,0)),
IF($H560="GIROSSOL II e III",AP560/INDEX('Resumo Operacional'!$A$1:$P$1103,53,MATCH('Detalhe Por UC'!$R560,'Resumo Operacional'!$A$1:$P$1,0)),
""))</f>
        <v/>
      </c>
      <c r="V560" s="45"/>
      <c r="X560" s="18">
        <v>1.1620331655833864</v>
      </c>
      <c r="Y560" s="18">
        <v>0</v>
      </c>
      <c r="Z560" s="18">
        <v>1.161910134444532</v>
      </c>
      <c r="AA560" s="18"/>
      <c r="AB560" s="18">
        <v>599</v>
      </c>
      <c r="AC560" s="18"/>
      <c r="AD560" s="143">
        <v>46</v>
      </c>
      <c r="AE560" s="35"/>
      <c r="AF560" s="18">
        <v>0</v>
      </c>
      <c r="AG560" s="18">
        <v>0</v>
      </c>
      <c r="AH560" s="48">
        <v>92.51</v>
      </c>
      <c r="AI560" s="18">
        <v>0</v>
      </c>
      <c r="AJ560" s="18">
        <v>0</v>
      </c>
      <c r="AL560" s="146"/>
      <c r="AN560" s="71">
        <f t="shared" si="305"/>
        <v>0</v>
      </c>
      <c r="AO560" s="71">
        <f t="shared" si="306"/>
        <v>0</v>
      </c>
      <c r="AP560" s="71">
        <f t="shared" si="307"/>
        <v>46</v>
      </c>
      <c r="AQ560" s="72">
        <f>IF(OR($H560="GIROSSOL II",$H560="GIROSSOL II e III"),INDEX('Resumo Operacional'!$A$1:$P$1103,MATCH("Energia Injetada prevista total Fatura da Usina (TUSD)",'Resumo Operacional'!$B$1:$B$1103,0),MATCH('Detalhe Por UC'!$R560,'Resumo Operacional'!$A$1:$P$1,0))*$S560,INDEX('Resumo Operacional'!$A$1:$P$1103,53,MATCH('Detalhe Por UC'!$R560,'Resumo Operacional'!$A$1:$P$1,0))*$S560)</f>
        <v>104.604</v>
      </c>
      <c r="AR560" s="71">
        <f t="shared" si="308"/>
        <v>-58.603999999999999</v>
      </c>
      <c r="AS560" s="73">
        <f t="shared" si="309"/>
        <v>735.12</v>
      </c>
      <c r="AT560" s="74">
        <f t="shared" si="310"/>
        <v>735.12</v>
      </c>
      <c r="AU560" s="74">
        <f t="shared" si="311"/>
        <v>1.1617871033056775</v>
      </c>
      <c r="AV560" s="74">
        <f t="shared" si="312"/>
        <v>40.767132450375918</v>
      </c>
      <c r="AW560" s="74">
        <f t="shared" si="313"/>
        <v>0</v>
      </c>
      <c r="AX560" s="74">
        <f t="shared" si="314"/>
        <v>53.447866184448472</v>
      </c>
      <c r="AY560" s="74">
        <f t="shared" si="315"/>
        <v>40.770000000000003</v>
      </c>
      <c r="AZ560" s="43">
        <v>40.090000000000003</v>
      </c>
      <c r="BA560" s="43">
        <v>40.090000000000003</v>
      </c>
      <c r="BB560" s="43">
        <v>40.090000000000003</v>
      </c>
      <c r="BC560" s="73" t="str">
        <f t="shared" si="316"/>
        <v/>
      </c>
      <c r="BD560" s="73">
        <f t="shared" si="317"/>
        <v>788.56786618444846</v>
      </c>
      <c r="BE560" s="73">
        <f t="shared" si="318"/>
        <v>775.88713245037593</v>
      </c>
      <c r="BF560" s="77">
        <f t="shared" si="319"/>
        <v>12.68</v>
      </c>
      <c r="BG560" s="77">
        <f t="shared" si="320"/>
        <v>3.8039999999999998</v>
      </c>
      <c r="BH560" s="77">
        <f t="shared" si="321"/>
        <v>53.447866184448472</v>
      </c>
      <c r="BI560" s="78">
        <f t="shared" si="322"/>
        <v>0.24</v>
      </c>
      <c r="BJ560" s="79">
        <f t="shared" si="323"/>
        <v>1.6079782785663382E-2</v>
      </c>
      <c r="BK560" s="80">
        <f t="shared" si="324"/>
        <v>775.89</v>
      </c>
      <c r="BL560" s="80">
        <f t="shared" si="325"/>
        <v>12.677866184448476</v>
      </c>
      <c r="BM560" s="79">
        <f t="shared" si="326"/>
        <v>1.6077076847921017E-2</v>
      </c>
      <c r="BN560" s="81">
        <f t="shared" si="327"/>
        <v>0.88630434782608702</v>
      </c>
      <c r="BO560" s="82">
        <f t="shared" si="328"/>
        <v>40.770000000000003</v>
      </c>
      <c r="BP560" s="81">
        <f t="shared" si="329"/>
        <v>0.88630434782608702</v>
      </c>
      <c r="BQ560" s="81">
        <f t="shared" si="330"/>
        <v>0.8864273789649415</v>
      </c>
      <c r="BR560" s="81">
        <f t="shared" si="331"/>
        <v>1.1620331655833864</v>
      </c>
      <c r="BS560" s="82">
        <f t="shared" si="332"/>
        <v>46</v>
      </c>
      <c r="BT560" s="82">
        <f t="shared" si="333"/>
        <v>53.453525616835776</v>
      </c>
      <c r="BU560" s="82">
        <f t="shared" si="334"/>
        <v>53.447866184448472</v>
      </c>
      <c r="BW560" s="82">
        <f>IFERROR(INDEX('Infos Clientes'!$T:$T,MATCH('Detalhe Por UC'!$C560,'Infos Clientes'!B:B,0)),"")</f>
        <v>511.41666666666669</v>
      </c>
      <c r="BX560" s="83">
        <f t="shared" si="335"/>
        <v>0</v>
      </c>
      <c r="BY560" s="84">
        <f t="shared" si="336"/>
        <v>0.23717549101111926</v>
      </c>
      <c r="BZ560" s="85">
        <f>IF(_xlfn.MINIFS('Detalhe Por UC'!R:R,'Detalhe Por UC'!C:C,C560,'Detalhe Por UC'!AD:AD,"&gt;"&amp;0)=0,"",_xlfn.MINIFS('Detalhe Por UC'!R:R,'Detalhe Por UC'!C:C,C560,'Detalhe Por UC'!AD:AD,"&gt;"&amp;0))</f>
        <v>45627</v>
      </c>
      <c r="CA560" s="114">
        <f ca="1">IF(OR(S560&gt;0,AD560&gt;0),IFERROR(
SUMIFS(INDIRECT("'Infos Clientes'!$W"&amp;INDEX('Infos Clientes'!$C:$C,MATCH(C560,'Infos Clientes'!$H:$H,0))&amp;":$CZ"&amp;INDEX('Infos Clientes'!$C:$C,MATCH(C560,'Infos Clientes'!$H:$H,0))),'Infos Clientes'!$W$2:$CZ$2,"&gt;"&amp;$R560-365,'Infos Clientes'!$W$2:$CZ$2,"&lt;="&amp;$R560)/
COUNTIFS(INDIRECT("'Infos Clientes'!$W"&amp;INDEX('Infos Clientes'!$C:$C,MATCH(C560,'Infos Clientes'!$H:$H,0))&amp;":$CZ"&amp;INDEX('Infos Clientes'!$C:$C,MATCH(C560,'Infos Clientes'!$H:$H,0))),"&gt;="&amp;0,'Infos Clientes'!$W$2:$CZ$2,"&gt;"&amp;$R560-365,'Infos Clientes'!$W$2:$CZ$2,"&lt;="&amp;$R560),""),"")</f>
        <v>738</v>
      </c>
      <c r="CB560" s="87">
        <f>VLOOKUP(C560,'Infos Clientes'!B:L,11,0)</f>
        <v>0</v>
      </c>
      <c r="CC560" s="88" t="str">
        <f t="shared" si="337"/>
        <v>A Unidade Consumidora 10/1695011-5 economizou R$12,68 na fatura referente à jun/2025  consumindo 46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0" s="40" t="s">
        <v>59</v>
      </c>
      <c r="CE560" s="43"/>
      <c r="CF560" s="115">
        <f t="shared" si="338"/>
        <v>-735.12</v>
      </c>
    </row>
    <row r="561" spans="1:84" ht="16.2" hidden="1" customHeight="1" x14ac:dyDescent="0.3">
      <c r="A561" s="105" t="str">
        <f>INDEX('Infos Clientes'!$D:$D,MATCH('Detalhe Por UC'!C561,'Infos Clientes'!B:B,0))</f>
        <v>IGREJA DO EVANGELHO QUADRANGULAR</v>
      </c>
      <c r="B561" s="106" t="str">
        <f>INDEX('Infos Clientes'!$F:$F,MATCH('Detalhe Por UC'!C561,'Infos Clientes'!B:B,0))</f>
        <v>62.955.505/4194-43</v>
      </c>
      <c r="C561" s="44" t="s">
        <v>135</v>
      </c>
      <c r="D561" t="s">
        <v>351</v>
      </c>
      <c r="E561" s="1" t="s">
        <v>352</v>
      </c>
      <c r="F561" s="56" t="str">
        <f>INDEX('Infos Clientes'!$I:$I,MATCH('Detalhe Por UC'!C561,'Infos Clientes'!B:B,0))</f>
        <v>BT</v>
      </c>
      <c r="G561" s="56" t="str">
        <f>INDEX('Infos Clientes'!$J:$J,MATCH('Detalhe Por UC'!C561,'Infos Clientes'!B:B,0))</f>
        <v>trifasico</v>
      </c>
      <c r="H561" s="47" t="str">
        <f t="shared" si="341"/>
        <v>GIROSSOL II</v>
      </c>
      <c r="I561" s="58">
        <f>IFERROR(VLOOKUP(C561,'Infos Clientes'!B:E,4,),"")</f>
        <v>0</v>
      </c>
      <c r="J561" s="109">
        <v>0.23725425614394724</v>
      </c>
      <c r="K561" s="59">
        <f>INDEX('Infos Clientes'!$M:$M,MATCH('Detalhe Por UC'!C561,'Infos Clientes'!B:B,0))</f>
        <v>0.25</v>
      </c>
      <c r="L561" s="125">
        <v>0</v>
      </c>
      <c r="M561" s="56">
        <f>INDEX('Infos Clientes'!$N:$N,MATCH('Detalhe Por UC'!C561,'Infos Clientes'!B:B,0))</f>
        <v>0</v>
      </c>
      <c r="N561" s="56">
        <f t="shared" si="303"/>
        <v>0</v>
      </c>
      <c r="O561" s="56">
        <f t="shared" si="304"/>
        <v>7</v>
      </c>
      <c r="P561" s="56">
        <f t="shared" si="339"/>
        <v>0</v>
      </c>
      <c r="Q561" s="61">
        <f>IFERROR(IFERROR(INDEX('Infos Clientes'!$A$2:$V$9884,MATCH($C561,'Infos Clientes'!$B$2:$B$9884,0),MATCH(Q$8,'Infos Clientes'!$A$2:$V$2,0)),"")
+IF(OR(INDEX('Infos Clientes'!$A$2:$V$9884,MATCH($C561,'Infos Clientes'!$B$2:$B$9884,0),MATCH("Tempo de Fidelidade (meses)",'Infos Clientes'!$A$2:$V$2,0))=0,R561&gt;=MAX(R:R)),0,
ROUND((MAX(R:R)-R561)/(365/12),0)),"")</f>
        <v>0</v>
      </c>
      <c r="R561" s="111">
        <v>45809</v>
      </c>
      <c r="S561" s="17">
        <v>0</v>
      </c>
      <c r="T561" s="113">
        <f>IF($H561="GIROSSOL II",AP561/INDEX('Resumo Operacional'!$A$1:$P$1103,17,MATCH('Detalhe Por UC'!$R561,'Resumo Operacional'!$A$1:$P$1,0)),
IF($H561="GIROSSOL II e III",AP561/INDEX('Resumo Operacional'!$A$1:$P$1103,17,MATCH('Detalhe Por UC'!$R561,'Resumo Operacional'!$A$1:$P$1,0)),
""))</f>
        <v>0</v>
      </c>
      <c r="U561" s="113" t="str">
        <f>IF($H561="GIROSSOL III",AP561/INDEX('Resumo Operacional'!$A$1:$P$1103,53,MATCH('Detalhe Por UC'!$R561,'Resumo Operacional'!$A$1:$P$1,0)),
IF($H561="GIROSSOL II e III",AP561/INDEX('Resumo Operacional'!$A$1:$P$1103,53,MATCH('Detalhe Por UC'!$R561,'Resumo Operacional'!$A$1:$P$1,0)),
""))</f>
        <v/>
      </c>
      <c r="V561" s="45"/>
      <c r="X561" s="18">
        <v>1.1681481481481482</v>
      </c>
      <c r="Y561" s="18">
        <v>0</v>
      </c>
      <c r="Z561" s="18">
        <v>0</v>
      </c>
      <c r="AA561" s="18"/>
      <c r="AB561" s="18">
        <v>135</v>
      </c>
      <c r="AC561" s="18"/>
      <c r="AD561" s="143">
        <v>0</v>
      </c>
      <c r="AE561" s="35"/>
      <c r="AF561" s="18">
        <v>0</v>
      </c>
      <c r="AG561" s="18">
        <v>0</v>
      </c>
      <c r="AH561" s="48">
        <v>16.45</v>
      </c>
      <c r="AI561" s="18">
        <v>0</v>
      </c>
      <c r="AJ561" s="18">
        <v>0</v>
      </c>
      <c r="AL561" s="146"/>
      <c r="AN561" s="71">
        <f t="shared" si="305"/>
        <v>0</v>
      </c>
      <c r="AO561" s="71">
        <f t="shared" si="306"/>
        <v>0</v>
      </c>
      <c r="AP561" s="71">
        <f t="shared" si="307"/>
        <v>0</v>
      </c>
      <c r="AQ561" s="72">
        <f>IF(OR($H561="GIROSSOL II",$H561="GIROSSOL II e III"),INDEX('Resumo Operacional'!$A$1:$P$1103,MATCH("Energia Injetada prevista total Fatura da Usina (TUSD)",'Resumo Operacional'!$B$1:$B$1103,0),MATCH('Detalhe Por UC'!$R561,'Resumo Operacional'!$A$1:$P$1,0))*$S561,INDEX('Resumo Operacional'!$A$1:$P$1103,53,MATCH('Detalhe Por UC'!$R561,'Resumo Operacional'!$A$1:$P$1,0))*$S561)</f>
        <v>0</v>
      </c>
      <c r="AR561" s="71">
        <f t="shared" si="308"/>
        <v>0</v>
      </c>
      <c r="AS561" s="73">
        <f t="shared" si="309"/>
        <v>174.14999999999998</v>
      </c>
      <c r="AT561" s="74">
        <f t="shared" si="310"/>
        <v>174.14999999999998</v>
      </c>
      <c r="AU561" s="74" t="str">
        <f t="shared" si="311"/>
        <v/>
      </c>
      <c r="AV561" s="74">
        <f t="shared" si="312"/>
        <v>0</v>
      </c>
      <c r="AW561" s="74">
        <f t="shared" si="313"/>
        <v>0</v>
      </c>
      <c r="AX561" s="74">
        <f t="shared" si="314"/>
        <v>0</v>
      </c>
      <c r="AY561" s="74" t="str">
        <f t="shared" si="315"/>
        <v/>
      </c>
      <c r="AZ561" s="43" t="s">
        <v>354</v>
      </c>
      <c r="BA561" s="43">
        <v>0</v>
      </c>
      <c r="BC561" s="73" t="str">
        <f t="shared" si="316"/>
        <v/>
      </c>
      <c r="BD561" s="73">
        <f t="shared" si="317"/>
        <v>174.14999999999998</v>
      </c>
      <c r="BE561" s="73">
        <f t="shared" si="318"/>
        <v>174.14999999999998</v>
      </c>
      <c r="BF561" s="77">
        <f t="shared" si="319"/>
        <v>0</v>
      </c>
      <c r="BG561" s="77">
        <f t="shared" si="320"/>
        <v>0</v>
      </c>
      <c r="BH561" s="77">
        <f t="shared" si="321"/>
        <v>0</v>
      </c>
      <c r="BI561" s="78" t="str">
        <f t="shared" si="322"/>
        <v/>
      </c>
      <c r="BJ561" s="79">
        <f t="shared" si="323"/>
        <v>0</v>
      </c>
      <c r="BK561" s="80" t="str">
        <f t="shared" si="324"/>
        <v/>
      </c>
      <c r="BL561" s="80" t="str">
        <f t="shared" si="325"/>
        <v/>
      </c>
      <c r="BM561" s="79" t="str">
        <f t="shared" si="326"/>
        <v/>
      </c>
      <c r="BN561" s="81" t="str">
        <f t="shared" si="327"/>
        <v/>
      </c>
      <c r="BO561" s="82" t="str">
        <f t="shared" si="328"/>
        <v/>
      </c>
      <c r="BP561" s="81" t="str">
        <f t="shared" si="329"/>
        <v/>
      </c>
      <c r="BQ561" s="81" t="str">
        <f t="shared" si="330"/>
        <v/>
      </c>
      <c r="BR561" s="81" t="str">
        <f t="shared" si="331"/>
        <v/>
      </c>
      <c r="BS561" s="82">
        <f t="shared" si="332"/>
        <v>0</v>
      </c>
      <c r="BT561" s="82" t="str">
        <f t="shared" si="333"/>
        <v/>
      </c>
      <c r="BU561" s="82">
        <f t="shared" si="334"/>
        <v>0</v>
      </c>
      <c r="BW561" s="82">
        <f>IFERROR(INDEX('Infos Clientes'!$T:$T,MATCH('Detalhe Por UC'!$C561,'Infos Clientes'!B:B,0)),"")</f>
        <v>0</v>
      </c>
      <c r="BX561" s="83">
        <f t="shared" si="335"/>
        <v>0</v>
      </c>
      <c r="BY561" s="84" t="str">
        <f t="shared" si="336"/>
        <v/>
      </c>
      <c r="BZ561" s="85">
        <f>IF(_xlfn.MINIFS('Detalhe Por UC'!R:R,'Detalhe Por UC'!C:C,C561,'Detalhe Por UC'!AD:AD,"&gt;"&amp;0)=0,"",_xlfn.MINIFS('Detalhe Por UC'!R:R,'Detalhe Por UC'!C:C,C561,'Detalhe Por UC'!AD:AD,"&gt;"&amp;0))</f>
        <v>45689</v>
      </c>
      <c r="CA561" s="114" t="str">
        <f ca="1">IF(OR(S561&gt;0,AD561&gt;0),IFERROR(
SUMIFS(INDIRECT("'Infos Clientes'!$W"&amp;INDEX('Infos Clientes'!$C:$C,MATCH(C561,'Infos Clientes'!$H:$H,0))&amp;":$CZ"&amp;INDEX('Infos Clientes'!$C:$C,MATCH(C561,'Infos Clientes'!$H:$H,0))),'Infos Clientes'!$W$2:$CZ$2,"&gt;"&amp;$R561-365,'Infos Clientes'!$W$2:$CZ$2,"&lt;="&amp;$R561)/
COUNTIFS(INDIRECT("'Infos Clientes'!$W"&amp;INDEX('Infos Clientes'!$C:$C,MATCH(C561,'Infos Clientes'!$H:$H,0))&amp;":$CZ"&amp;INDEX('Infos Clientes'!$C:$C,MATCH(C561,'Infos Clientes'!$H:$H,0))),"&gt;="&amp;0,'Infos Clientes'!$W$2:$CZ$2,"&gt;"&amp;$R561-365,'Infos Clientes'!$W$2:$CZ$2,"&lt;="&amp;$R561),""),"")</f>
        <v/>
      </c>
      <c r="CB561" s="87">
        <f>VLOOKUP(C561,'Infos Clientes'!B:L,11,0)</f>
        <v>0</v>
      </c>
      <c r="CC561" s="88" t="str">
        <f t="shared" si="337"/>
        <v>A Unidade Consumidora 10/1433087-2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1" s="40"/>
      <c r="CE561" s="43"/>
      <c r="CF561" s="115">
        <f t="shared" si="338"/>
        <v>-174.14999999999998</v>
      </c>
    </row>
    <row r="562" spans="1:84" ht="16.2" hidden="1" customHeight="1" x14ac:dyDescent="0.3">
      <c r="A562" s="105" t="str">
        <f>INDEX('Infos Clientes'!$D:$D,MATCH('Detalhe Por UC'!C562,'Infos Clientes'!B:B,0))</f>
        <v>IGREJA DO EVANGELHO QUADRANGULAR</v>
      </c>
      <c r="B562" s="106" t="str">
        <f>INDEX('Infos Clientes'!$F:$F,MATCH('Detalhe Por UC'!C562,'Infos Clientes'!B:B,0))</f>
        <v>62.955.505/0001-67</v>
      </c>
      <c r="C562" s="44" t="s">
        <v>106</v>
      </c>
      <c r="D562" t="s">
        <v>351</v>
      </c>
      <c r="E562" s="1" t="s">
        <v>352</v>
      </c>
      <c r="F562" s="56" t="str">
        <f>INDEX('Infos Clientes'!$I:$I,MATCH('Detalhe Por UC'!C562,'Infos Clientes'!B:B,0))</f>
        <v>BT</v>
      </c>
      <c r="G562" s="56" t="str">
        <f>INDEX('Infos Clientes'!$J:$J,MATCH('Detalhe Por UC'!C562,'Infos Clientes'!B:B,0))</f>
        <v>bifasico</v>
      </c>
      <c r="H562" s="47" t="str">
        <f t="shared" si="341"/>
        <v>GIROSSOL II</v>
      </c>
      <c r="I562" s="58">
        <f>IFERROR(VLOOKUP(C562,'Infos Clientes'!B:E,4,),"")</f>
        <v>302</v>
      </c>
      <c r="J562" s="109">
        <v>0.23725425614394724</v>
      </c>
      <c r="K562" s="59">
        <f>INDEX('Infos Clientes'!$M:$M,MATCH('Detalhe Por UC'!C562,'Infos Clientes'!B:B,0))</f>
        <v>0.25</v>
      </c>
      <c r="L562" s="125">
        <v>0</v>
      </c>
      <c r="M562" s="56">
        <f>INDEX('Infos Clientes'!$N:$N,MATCH('Detalhe Por UC'!C562,'Infos Clientes'!B:B,0))</f>
        <v>0</v>
      </c>
      <c r="N562" s="56">
        <f t="shared" si="303"/>
        <v>0</v>
      </c>
      <c r="O562" s="56">
        <f t="shared" si="304"/>
        <v>11</v>
      </c>
      <c r="P562" s="56">
        <f t="shared" si="339"/>
        <v>0</v>
      </c>
      <c r="Q562" s="61">
        <f>IFERROR(IFERROR(INDEX('Infos Clientes'!$A$2:$V$9884,MATCH($C562,'Infos Clientes'!$B$2:$B$9884,0),MATCH(Q$8,'Infos Clientes'!$A$2:$V$2,0)),"")
+IF(OR(INDEX('Infos Clientes'!$A$2:$V$9884,MATCH($C562,'Infos Clientes'!$B$2:$B$9884,0),MATCH("Tempo de Fidelidade (meses)",'Infos Clientes'!$A$2:$V$2,0))=0,R562&gt;=MAX(R:R)),0,
ROUND((MAX(R:R)-R562)/(365/12),0)),"")</f>
        <v>0</v>
      </c>
      <c r="R562" s="111">
        <v>45809</v>
      </c>
      <c r="S562" s="17">
        <v>5.0000000000000001E-3</v>
      </c>
      <c r="T562" s="113">
        <f>IF($H562="GIROSSOL II",AP562/INDEX('Resumo Operacional'!$A$1:$P$1103,17,MATCH('Detalhe Por UC'!$R562,'Resumo Operacional'!$A$1:$P$1,0)),
IF($H562="GIROSSOL II e III",AP562/INDEX('Resumo Operacional'!$A$1:$P$1103,17,MATCH('Detalhe Por UC'!$R562,'Resumo Operacional'!$A$1:$P$1,0)),
""))</f>
        <v>0</v>
      </c>
      <c r="U562" s="113" t="str">
        <f>IF($H562="GIROSSOL III",AP562/INDEX('Resumo Operacional'!$A$1:$P$1103,53,MATCH('Detalhe Por UC'!$R562,'Resumo Operacional'!$A$1:$P$1,0)),
IF($H562="GIROSSOL II e III",AP562/INDEX('Resumo Operacional'!$A$1:$P$1103,53,MATCH('Detalhe Por UC'!$R562,'Resumo Operacional'!$A$1:$P$1,0)),
""))</f>
        <v/>
      </c>
      <c r="V562" s="45"/>
      <c r="X562" s="18">
        <v>1.1791891891891892</v>
      </c>
      <c r="Y562" s="18">
        <v>0</v>
      </c>
      <c r="Z562" s="18">
        <v>0</v>
      </c>
      <c r="AA562" s="18"/>
      <c r="AB562" s="18">
        <v>185</v>
      </c>
      <c r="AC562" s="18"/>
      <c r="AD562" s="143">
        <v>0</v>
      </c>
      <c r="AE562" s="35"/>
      <c r="AF562" s="18">
        <v>0</v>
      </c>
      <c r="AG562" s="18">
        <v>0</v>
      </c>
      <c r="AH562" s="48">
        <v>5.72</v>
      </c>
      <c r="AI562" s="18">
        <v>0</v>
      </c>
      <c r="AJ562" s="18">
        <v>0</v>
      </c>
      <c r="AL562" s="146"/>
      <c r="AN562" s="71">
        <f t="shared" si="305"/>
        <v>0</v>
      </c>
      <c r="AO562" s="71">
        <f t="shared" si="306"/>
        <v>0</v>
      </c>
      <c r="AP562" s="71">
        <f t="shared" si="307"/>
        <v>0</v>
      </c>
      <c r="AQ562" s="72">
        <f>IF(OR($H562="GIROSSOL II",$H562="GIROSSOL II e III"),INDEX('Resumo Operacional'!$A$1:$P$1103,MATCH("Energia Injetada prevista total Fatura da Usina (TUSD)",'Resumo Operacional'!$B$1:$B$1103,0),MATCH('Detalhe Por UC'!$R562,'Resumo Operacional'!$A$1:$P$1,0))*$S562,INDEX('Resumo Operacional'!$A$1:$P$1103,53,MATCH('Detalhe Por UC'!$R562,'Resumo Operacional'!$A$1:$P$1,0))*$S562)</f>
        <v>87.17</v>
      </c>
      <c r="AR562" s="71">
        <f t="shared" si="308"/>
        <v>-87.17</v>
      </c>
      <c r="AS562" s="73">
        <f t="shared" si="309"/>
        <v>223.87</v>
      </c>
      <c r="AT562" s="74">
        <f t="shared" si="310"/>
        <v>223.87</v>
      </c>
      <c r="AU562" s="74" t="str">
        <f t="shared" si="311"/>
        <v/>
      </c>
      <c r="AV562" s="74">
        <f t="shared" si="312"/>
        <v>0</v>
      </c>
      <c r="AW562" s="74">
        <f t="shared" si="313"/>
        <v>-98.64</v>
      </c>
      <c r="AX562" s="74">
        <f t="shared" si="314"/>
        <v>-98.64</v>
      </c>
      <c r="AY562" s="74">
        <f t="shared" si="315"/>
        <v>-98.64</v>
      </c>
      <c r="AZ562" s="43"/>
      <c r="BA562" s="43">
        <v>1.0000000000000001E-5</v>
      </c>
      <c r="BC562" s="73" t="str">
        <f t="shared" si="316"/>
        <v/>
      </c>
      <c r="BD562" s="73">
        <f t="shared" si="317"/>
        <v>223.87</v>
      </c>
      <c r="BE562" s="73">
        <f t="shared" si="318"/>
        <v>223.87</v>
      </c>
      <c r="BF562" s="77">
        <f t="shared" si="319"/>
        <v>0</v>
      </c>
      <c r="BG562" s="77">
        <f t="shared" si="320"/>
        <v>0</v>
      </c>
      <c r="BH562" s="77">
        <f t="shared" si="321"/>
        <v>0</v>
      </c>
      <c r="BI562" s="78" t="str">
        <f t="shared" si="322"/>
        <v/>
      </c>
      <c r="BJ562" s="79">
        <f t="shared" si="323"/>
        <v>0</v>
      </c>
      <c r="BK562" s="80">
        <f t="shared" si="324"/>
        <v>125.23</v>
      </c>
      <c r="BL562" s="80">
        <f t="shared" si="325"/>
        <v>98.64</v>
      </c>
      <c r="BM562" s="79">
        <f t="shared" si="326"/>
        <v>0.44061285567516861</v>
      </c>
      <c r="BN562" s="81" t="str">
        <f t="shared" si="327"/>
        <v/>
      </c>
      <c r="BO562" s="82" t="str">
        <f t="shared" si="328"/>
        <v/>
      </c>
      <c r="BP562" s="81" t="str">
        <f t="shared" si="329"/>
        <v/>
      </c>
      <c r="BQ562" s="81" t="str">
        <f t="shared" si="330"/>
        <v/>
      </c>
      <c r="BR562" s="81" t="str">
        <f t="shared" si="331"/>
        <v/>
      </c>
      <c r="BS562" s="82">
        <f t="shared" si="332"/>
        <v>0</v>
      </c>
      <c r="BT562" s="82" t="str">
        <f t="shared" si="333"/>
        <v/>
      </c>
      <c r="BU562" s="82">
        <f t="shared" si="334"/>
        <v>0</v>
      </c>
      <c r="BW562" s="82">
        <f>IFERROR(INDEX('Infos Clientes'!$T:$T,MATCH('Detalhe Por UC'!$C562,'Infos Clientes'!B:B,0)),"")</f>
        <v>147.33333333333334</v>
      </c>
      <c r="BX562" s="83">
        <f t="shared" si="335"/>
        <v>0</v>
      </c>
      <c r="BY562" s="84" t="str">
        <f t="shared" si="336"/>
        <v/>
      </c>
      <c r="BZ562" s="85">
        <f>IF(_xlfn.MINIFS('Detalhe Por UC'!R:R,'Detalhe Por UC'!C:C,C562,'Detalhe Por UC'!AD:AD,"&gt;"&amp;0)=0,"",_xlfn.MINIFS('Detalhe Por UC'!R:R,'Detalhe Por UC'!C:C,C562,'Detalhe Por UC'!AD:AD,"&gt;"&amp;0))</f>
        <v>45627</v>
      </c>
      <c r="CA562" s="114">
        <f ca="1">IF(OR(S562&gt;0,AD562&gt;0),IFERROR(
SUMIFS(INDIRECT("'Infos Clientes'!$W"&amp;INDEX('Infos Clientes'!$C:$C,MATCH(C562,'Infos Clientes'!$H:$H,0))&amp;":$CZ"&amp;INDEX('Infos Clientes'!$C:$C,MATCH(C562,'Infos Clientes'!$H:$H,0))),'Infos Clientes'!$W$2:$CZ$2,"&gt;"&amp;$R562-365,'Infos Clientes'!$W$2:$CZ$2,"&lt;="&amp;$R562)/
COUNTIFS(INDIRECT("'Infos Clientes'!$W"&amp;INDEX('Infos Clientes'!$C:$C,MATCH(C562,'Infos Clientes'!$H:$H,0))&amp;":$CZ"&amp;INDEX('Infos Clientes'!$C:$C,MATCH(C562,'Infos Clientes'!$H:$H,0))),"&gt;="&amp;0,'Infos Clientes'!$W$2:$CZ$2,"&gt;"&amp;$R562-365,'Infos Clientes'!$W$2:$CZ$2,"&lt;="&amp;$R562),""),"")</f>
        <v>184.75</v>
      </c>
      <c r="CB562" s="87">
        <f>VLOOKUP(C562,'Infos Clientes'!B:L,11,0)</f>
        <v>0</v>
      </c>
      <c r="CC562" s="88" t="str">
        <f t="shared" si="337"/>
        <v>A Unidade Consumidora 10/452884-0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2" s="40" t="s">
        <v>107</v>
      </c>
      <c r="CE562" s="43"/>
      <c r="CF562" s="115">
        <f t="shared" si="338"/>
        <v>-223.87</v>
      </c>
    </row>
    <row r="563" spans="1:84" ht="16.2" hidden="1" customHeight="1" x14ac:dyDescent="0.3">
      <c r="A563" s="105" t="str">
        <f>INDEX('Infos Clientes'!$D:$D,MATCH('Detalhe Por UC'!C563,'Infos Clientes'!B:B,0))</f>
        <v>IGREJA DO EVANGELHO QUADRANGULAR</v>
      </c>
      <c r="B563" s="106" t="str">
        <f>INDEX('Infos Clientes'!$F:$F,MATCH('Detalhe Por UC'!C563,'Infos Clientes'!B:B,0))</f>
        <v>62.955.505/8921-14</v>
      </c>
      <c r="C563" s="44" t="s">
        <v>29</v>
      </c>
      <c r="D563" t="s">
        <v>351</v>
      </c>
      <c r="E563" s="1" t="s">
        <v>352</v>
      </c>
      <c r="F563" s="56" t="str">
        <f>INDEX('Infos Clientes'!$I:$I,MATCH('Detalhe Por UC'!C563,'Infos Clientes'!B:B,0))</f>
        <v>BT</v>
      </c>
      <c r="G563" s="56" t="str">
        <f>INDEX('Infos Clientes'!$J:$J,MATCH('Detalhe Por UC'!C563,'Infos Clientes'!B:B,0))</f>
        <v>trifasico</v>
      </c>
      <c r="H563" s="47" t="str">
        <f t="shared" si="341"/>
        <v>GIROSSOL II</v>
      </c>
      <c r="I563" s="58">
        <f>IFERROR(VLOOKUP(C563,'Infos Clientes'!B:E,4,),"")</f>
        <v>362</v>
      </c>
      <c r="J563" s="109">
        <v>0.23725425614394724</v>
      </c>
      <c r="K563" s="59">
        <f>INDEX('Infos Clientes'!$M:$M,MATCH('Detalhe Por UC'!C563,'Infos Clientes'!B:B,0))</f>
        <v>0.25</v>
      </c>
      <c r="L563" s="125">
        <v>0</v>
      </c>
      <c r="M563" s="56">
        <f>INDEX('Infos Clientes'!$N:$N,MATCH('Detalhe Por UC'!C563,'Infos Clientes'!B:B,0))</f>
        <v>0</v>
      </c>
      <c r="N563" s="56">
        <f t="shared" si="303"/>
        <v>0</v>
      </c>
      <c r="O563" s="56">
        <f t="shared" si="304"/>
        <v>12</v>
      </c>
      <c r="P563" s="56">
        <f t="shared" si="339"/>
        <v>0</v>
      </c>
      <c r="Q563" s="61">
        <f>IFERROR(IFERROR(INDEX('Infos Clientes'!$A$2:$V$9884,MATCH($C563,'Infos Clientes'!$B$2:$B$9884,0),MATCH(Q$8,'Infos Clientes'!$A$2:$V$2,0)),"")
+IF(OR(INDEX('Infos Clientes'!$A$2:$V$9884,MATCH($C563,'Infos Clientes'!$B$2:$B$9884,0),MATCH("Tempo de Fidelidade (meses)",'Infos Clientes'!$A$2:$V$2,0))=0,R563&gt;=MAX(R:R)),0,
ROUND((MAX(R:R)-R563)/(365/12),0)),"")</f>
        <v>0</v>
      </c>
      <c r="R563" s="111">
        <v>45809</v>
      </c>
      <c r="S563" s="17">
        <v>5.0000000000000001E-3</v>
      </c>
      <c r="T563" s="113">
        <f>IF($H563="GIROSSOL II",AP563/INDEX('Resumo Operacional'!$A$1:$P$1103,17,MATCH('Detalhe Por UC'!$R563,'Resumo Operacional'!$A$1:$P$1,0)),
IF($H563="GIROSSOL II e III",AP563/INDEX('Resumo Operacional'!$A$1:$P$1103,17,MATCH('Detalhe Por UC'!$R563,'Resumo Operacional'!$A$1:$P$1,0)),
""))</f>
        <v>-2.7589767121716187E-2</v>
      </c>
      <c r="U563" s="113" t="str">
        <f>IF($H563="GIROSSOL III",AP563/INDEX('Resumo Operacional'!$A$1:$P$1103,53,MATCH('Detalhe Por UC'!$R563,'Resumo Operacional'!$A$1:$P$1,0)),
IF($H563="GIROSSOL II e III",AP563/INDEX('Resumo Operacional'!$A$1:$P$1103,53,MATCH('Detalhe Por UC'!$R563,'Resumo Operacional'!$A$1:$P$1,0)),
""))</f>
        <v/>
      </c>
      <c r="V563" s="45"/>
      <c r="X563" s="18">
        <v>1.1781559322033899</v>
      </c>
      <c r="Y563" s="18">
        <v>0</v>
      </c>
      <c r="Z563" s="18">
        <v>1.1779111111111111</v>
      </c>
      <c r="AA563" s="18"/>
      <c r="AB563" s="18">
        <v>118</v>
      </c>
      <c r="AC563" s="18"/>
      <c r="AD563" s="143">
        <v>18</v>
      </c>
      <c r="AE563" s="35"/>
      <c r="AF563" s="18"/>
      <c r="AG563" s="18"/>
      <c r="AH563" s="48">
        <v>22.12</v>
      </c>
      <c r="AI563" s="18">
        <v>0</v>
      </c>
      <c r="AJ563" s="18">
        <v>0</v>
      </c>
      <c r="AL563" s="146"/>
      <c r="AN563" s="71">
        <f t="shared" si="305"/>
        <v>-499</v>
      </c>
      <c r="AO563" s="71">
        <f t="shared" si="306"/>
        <v>0</v>
      </c>
      <c r="AP563" s="71">
        <f t="shared" si="307"/>
        <v>-481</v>
      </c>
      <c r="AQ563" s="72">
        <f>IF(OR($H563="GIROSSOL II",$H563="GIROSSOL II e III"),INDEX('Resumo Operacional'!$A$1:$P$1103,MATCH("Energia Injetada prevista total Fatura da Usina (TUSD)",'Resumo Operacional'!$B$1:$B$1103,0),MATCH('Detalhe Por UC'!$R563,'Resumo Operacional'!$A$1:$P$1,0))*$S563,INDEX('Resumo Operacional'!$A$1:$P$1103,53,MATCH('Detalhe Por UC'!$R563,'Resumo Operacional'!$A$1:$P$1,0))*$S563)</f>
        <v>87.17</v>
      </c>
      <c r="AR563" s="71">
        <f t="shared" si="308"/>
        <v>-568.16999999999996</v>
      </c>
      <c r="AS563" s="73">
        <f t="shared" si="309"/>
        <v>139.94</v>
      </c>
      <c r="AT563" s="74">
        <f t="shared" si="310"/>
        <v>139.94</v>
      </c>
      <c r="AU563" s="74">
        <f t="shared" si="311"/>
        <v>1.1776662900188324</v>
      </c>
      <c r="AV563" s="74">
        <f t="shared" si="312"/>
        <v>16.172040359533575</v>
      </c>
      <c r="AW563" s="74">
        <f t="shared" si="313"/>
        <v>0</v>
      </c>
      <c r="AX563" s="74">
        <f t="shared" si="314"/>
        <v>21.202400000000001</v>
      </c>
      <c r="AY563" s="74">
        <f t="shared" si="315"/>
        <v>16.170000000000002</v>
      </c>
      <c r="AZ563" s="43">
        <v>15.9</v>
      </c>
      <c r="BA563" s="43">
        <v>15.9</v>
      </c>
      <c r="BB563" s="43">
        <v>15.9</v>
      </c>
      <c r="BC563" s="73" t="str">
        <f t="shared" si="316"/>
        <v/>
      </c>
      <c r="BD563" s="73">
        <f t="shared" si="317"/>
        <v>161.14240000000001</v>
      </c>
      <c r="BE563" s="73">
        <f t="shared" si="318"/>
        <v>156.11204035953358</v>
      </c>
      <c r="BF563" s="77">
        <f t="shared" si="319"/>
        <v>5.03</v>
      </c>
      <c r="BG563" s="77">
        <f t="shared" si="320"/>
        <v>1.5090000000000001</v>
      </c>
      <c r="BH563" s="77">
        <f t="shared" si="321"/>
        <v>21.202400000000001</v>
      </c>
      <c r="BI563" s="78">
        <f t="shared" si="322"/>
        <v>0.24</v>
      </c>
      <c r="BJ563" s="79">
        <f t="shared" si="323"/>
        <v>3.1214627559227118E-2</v>
      </c>
      <c r="BK563" s="80">
        <f t="shared" si="324"/>
        <v>156.11000000000001</v>
      </c>
      <c r="BL563" s="80">
        <f t="shared" si="325"/>
        <v>5.0323999999999955</v>
      </c>
      <c r="BM563" s="79">
        <f t="shared" si="326"/>
        <v>3.1229521218499881E-2</v>
      </c>
      <c r="BN563" s="81">
        <f t="shared" si="327"/>
        <v>0.89833333333333343</v>
      </c>
      <c r="BO563" s="82">
        <f t="shared" si="328"/>
        <v>16.170000000000002</v>
      </c>
      <c r="BP563" s="81">
        <f t="shared" si="329"/>
        <v>0.89833333333333343</v>
      </c>
      <c r="BQ563" s="81">
        <f t="shared" si="330"/>
        <v>0.89857815442561217</v>
      </c>
      <c r="BR563" s="81">
        <f t="shared" si="331"/>
        <v>1.1781559322033899</v>
      </c>
      <c r="BS563" s="82">
        <f t="shared" si="332"/>
        <v>18</v>
      </c>
      <c r="BT563" s="82">
        <f t="shared" si="333"/>
        <v>21.206806779661019</v>
      </c>
      <c r="BU563" s="82">
        <f t="shared" si="334"/>
        <v>21.202400000000001</v>
      </c>
      <c r="BW563" s="82">
        <f>IFERROR(INDEX('Infos Clientes'!$T:$T,MATCH('Detalhe Por UC'!$C563,'Infos Clientes'!B:B,0)),"")</f>
        <v>178.41666666666666</v>
      </c>
      <c r="BX563" s="83">
        <f t="shared" si="335"/>
        <v>0</v>
      </c>
      <c r="BY563" s="84">
        <f t="shared" si="336"/>
        <v>0.2373011671340573</v>
      </c>
      <c r="BZ563" s="85">
        <f>IF(_xlfn.MINIFS('Detalhe Por UC'!R:R,'Detalhe Por UC'!C:C,C563,'Detalhe Por UC'!AD:AD,"&gt;"&amp;0)=0,"",_xlfn.MINIFS('Detalhe Por UC'!R:R,'Detalhe Por UC'!C:C,C563,'Detalhe Por UC'!AD:AD,"&gt;"&amp;0))</f>
        <v>45627</v>
      </c>
      <c r="CA563" s="114">
        <f ca="1">IF(OR(S563&gt;0,AD563&gt;0),IFERROR(
SUMIFS(INDIRECT("'Infos Clientes'!$W"&amp;INDEX('Infos Clientes'!$C:$C,MATCH(C563,'Infos Clientes'!$H:$H,0))&amp;":$CZ"&amp;INDEX('Infos Clientes'!$C:$C,MATCH(C563,'Infos Clientes'!$H:$H,0))),'Infos Clientes'!$W$2:$CZ$2,"&gt;"&amp;$R563-365,'Infos Clientes'!$W$2:$CZ$2,"&lt;="&amp;$R563)/
COUNTIFS(INDIRECT("'Infos Clientes'!$W"&amp;INDEX('Infos Clientes'!$C:$C,MATCH(C563,'Infos Clientes'!$H:$H,0))&amp;":$CZ"&amp;INDEX('Infos Clientes'!$C:$C,MATCH(C563,'Infos Clientes'!$H:$H,0))),"&gt;="&amp;0,'Infos Clientes'!$W$2:$CZ$2,"&gt;"&amp;$R563-365,'Infos Clientes'!$W$2:$CZ$2,"&lt;="&amp;$R563),""),"")</f>
        <v>171.41666666666666</v>
      </c>
      <c r="CB563" s="87">
        <f>VLOOKUP(C563,'Infos Clientes'!B:L,11,0)</f>
        <v>0</v>
      </c>
      <c r="CC563" s="88" t="str">
        <f t="shared" si="337"/>
        <v>A Unidade Consumidora 10/1117293-9 economizou R$5,03 na fatura referente à jun/2025  consumindo 18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3" s="40" t="s">
        <v>31</v>
      </c>
      <c r="CE563" s="43"/>
      <c r="CF563" s="115">
        <f t="shared" si="338"/>
        <v>-139.94</v>
      </c>
    </row>
    <row r="564" spans="1:84" ht="16.2" hidden="1" customHeight="1" x14ac:dyDescent="0.3">
      <c r="A564" s="105" t="str">
        <f>INDEX('Infos Clientes'!$D:$D,MATCH('Detalhe Por UC'!C564,'Infos Clientes'!B:B,0))</f>
        <v>IGREJA DO EVANGELHO QUADRANGULAR</v>
      </c>
      <c r="B564" s="106" t="str">
        <f>INDEX('Infos Clientes'!$F:$F,MATCH('Detalhe Por UC'!C564,'Infos Clientes'!B:B,0))</f>
        <v>62.955.505/2730-58</v>
      </c>
      <c r="C564" s="44" t="s">
        <v>108</v>
      </c>
      <c r="D564" t="s">
        <v>351</v>
      </c>
      <c r="E564" s="1" t="s">
        <v>352</v>
      </c>
      <c r="F564" s="56" t="str">
        <f>INDEX('Infos Clientes'!$I:$I,MATCH('Detalhe Por UC'!C564,'Infos Clientes'!B:B,0))</f>
        <v>BT</v>
      </c>
      <c r="G564" s="56" t="str">
        <f>INDEX('Infos Clientes'!$J:$J,MATCH('Detalhe Por UC'!C564,'Infos Clientes'!B:B,0))</f>
        <v>trifasico</v>
      </c>
      <c r="H564" s="47" t="str">
        <f t="shared" si="341"/>
        <v>GIROSSOL II</v>
      </c>
      <c r="I564" s="58">
        <f>IFERROR(VLOOKUP(C564,'Infos Clientes'!B:E,4,),"")</f>
        <v>306</v>
      </c>
      <c r="J564" s="109">
        <v>0.23725425614394724</v>
      </c>
      <c r="K564" s="59">
        <f>INDEX('Infos Clientes'!$M:$M,MATCH('Detalhe Por UC'!C564,'Infos Clientes'!B:B,0))</f>
        <v>0.25</v>
      </c>
      <c r="L564" s="125">
        <v>0</v>
      </c>
      <c r="M564" s="56">
        <f>INDEX('Infos Clientes'!$N:$N,MATCH('Detalhe Por UC'!C564,'Infos Clientes'!B:B,0))</f>
        <v>0</v>
      </c>
      <c r="N564" s="56">
        <f t="shared" si="303"/>
        <v>0</v>
      </c>
      <c r="O564" s="56">
        <f t="shared" si="304"/>
        <v>12</v>
      </c>
      <c r="P564" s="56">
        <f t="shared" si="339"/>
        <v>0</v>
      </c>
      <c r="Q564" s="61">
        <f>IFERROR(IFERROR(INDEX('Infos Clientes'!$A$2:$V$9884,MATCH($C564,'Infos Clientes'!$B$2:$B$9884,0),MATCH(Q$8,'Infos Clientes'!$A$2:$V$2,0)),"")
+IF(OR(INDEX('Infos Clientes'!$A$2:$V$9884,MATCH($C564,'Infos Clientes'!$B$2:$B$9884,0),MATCH("Tempo de Fidelidade (meses)",'Infos Clientes'!$A$2:$V$2,0))=0,R564&gt;=MAX(R:R)),0,
ROUND((MAX(R:R)-R564)/(365/12),0)),"")</f>
        <v>0</v>
      </c>
      <c r="R564" s="111">
        <v>45809</v>
      </c>
      <c r="S564" s="17">
        <v>6.0000000000000001E-3</v>
      </c>
      <c r="T564" s="113">
        <f>IF($H564="GIROSSOL II",AP564/INDEX('Resumo Operacional'!$A$1:$P$1103,17,MATCH('Detalhe Por UC'!$R564,'Resumo Operacional'!$A$1:$P$1,0)),
IF($H564="GIROSSOL II e III",AP564/INDEX('Resumo Operacional'!$A$1:$P$1103,17,MATCH('Detalhe Por UC'!$R564,'Resumo Operacional'!$A$1:$P$1,0)),
""))</f>
        <v>-1.9674199839394287E-2</v>
      </c>
      <c r="U564" s="113" t="str">
        <f>IF($H564="GIROSSOL III",AP564/INDEX('Resumo Operacional'!$A$1:$P$1103,53,MATCH('Detalhe Por UC'!$R564,'Resumo Operacional'!$A$1:$P$1,0)),
IF($H564="GIROSSOL II e III",AP564/INDEX('Resumo Operacional'!$A$1:$P$1103,53,MATCH('Detalhe Por UC'!$R564,'Resumo Operacional'!$A$1:$P$1,0)),
""))</f>
        <v/>
      </c>
      <c r="V564" s="45"/>
      <c r="X564" s="18">
        <v>1.157637113402062</v>
      </c>
      <c r="Y564" s="18">
        <v>0</v>
      </c>
      <c r="Z564" s="18">
        <v>1.0953880567982881</v>
      </c>
      <c r="AA564" s="18"/>
      <c r="AB564" s="18">
        <v>150</v>
      </c>
      <c r="AC564" s="18"/>
      <c r="AD564" s="143">
        <v>53</v>
      </c>
      <c r="AE564" s="35"/>
      <c r="AF564" s="18"/>
      <c r="AG564" s="18"/>
      <c r="AH564" s="48">
        <v>2.3099999999999996</v>
      </c>
      <c r="AI564" s="18">
        <v>0</v>
      </c>
      <c r="AJ564" s="18">
        <v>0</v>
      </c>
      <c r="AL564" s="146"/>
      <c r="AN564" s="71">
        <f t="shared" si="305"/>
        <v>-396</v>
      </c>
      <c r="AO564" s="71">
        <f t="shared" si="306"/>
        <v>0</v>
      </c>
      <c r="AP564" s="71">
        <f t="shared" si="307"/>
        <v>-343</v>
      </c>
      <c r="AQ564" s="72">
        <f>IF(OR($H564="GIROSSOL II",$H564="GIROSSOL II e III"),INDEX('Resumo Operacional'!$A$1:$P$1103,MATCH("Energia Injetada prevista total Fatura da Usina (TUSD)",'Resumo Operacional'!$B$1:$B$1103,0),MATCH('Detalhe Por UC'!$R564,'Resumo Operacional'!$A$1:$P$1,0))*$S564,INDEX('Resumo Operacional'!$A$1:$P$1103,53,MATCH('Detalhe Por UC'!$R564,'Resumo Operacional'!$A$1:$P$1,0))*$S564)</f>
        <v>104.604</v>
      </c>
      <c r="AR564" s="71">
        <f t="shared" si="308"/>
        <v>-447.60399999999998</v>
      </c>
      <c r="AS564" s="73">
        <f t="shared" si="309"/>
        <v>117.90000000000003</v>
      </c>
      <c r="AT564" s="74">
        <f t="shared" si="310"/>
        <v>117.90000000000003</v>
      </c>
      <c r="AU564" s="74">
        <f t="shared" si="311"/>
        <v>1.0331390001945142</v>
      </c>
      <c r="AV564" s="74">
        <f t="shared" si="312"/>
        <v>44.281636644263266</v>
      </c>
      <c r="AW564" s="74">
        <f t="shared" si="313"/>
        <v>0</v>
      </c>
      <c r="AX564" s="74">
        <f t="shared" si="314"/>
        <v>58.055567010309268</v>
      </c>
      <c r="AY564" s="74">
        <f t="shared" si="315"/>
        <v>44.28</v>
      </c>
      <c r="AZ564" s="43">
        <v>43.54</v>
      </c>
      <c r="BA564" s="43">
        <v>43.54</v>
      </c>
      <c r="BB564" s="43">
        <v>43.54</v>
      </c>
      <c r="BC564" s="73" t="str">
        <f t="shared" si="316"/>
        <v/>
      </c>
      <c r="BD564" s="73">
        <f t="shared" si="317"/>
        <v>175.9555670103093</v>
      </c>
      <c r="BE564" s="73">
        <f t="shared" si="318"/>
        <v>162.18163664426331</v>
      </c>
      <c r="BF564" s="77">
        <f t="shared" si="319"/>
        <v>13.77</v>
      </c>
      <c r="BG564" s="77">
        <f t="shared" si="320"/>
        <v>4.1309999999999993</v>
      </c>
      <c r="BH564" s="77">
        <f t="shared" si="321"/>
        <v>58.055567010309275</v>
      </c>
      <c r="BI564" s="78">
        <f t="shared" si="322"/>
        <v>0.24</v>
      </c>
      <c r="BJ564" s="79">
        <f t="shared" si="323"/>
        <v>7.825839349085903E-2</v>
      </c>
      <c r="BK564" s="80">
        <f t="shared" si="324"/>
        <v>162.18000000000004</v>
      </c>
      <c r="BL564" s="80">
        <f t="shared" si="325"/>
        <v>13.77556701030926</v>
      </c>
      <c r="BM564" s="79">
        <f t="shared" si="326"/>
        <v>7.8290032218771149E-2</v>
      </c>
      <c r="BN564" s="81">
        <f t="shared" si="327"/>
        <v>0.83547169811320754</v>
      </c>
      <c r="BO564" s="82">
        <f t="shared" si="328"/>
        <v>44.28</v>
      </c>
      <c r="BP564" s="81">
        <f t="shared" si="329"/>
        <v>0.83547169811320754</v>
      </c>
      <c r="BQ564" s="81">
        <f t="shared" si="330"/>
        <v>0.89772075471698143</v>
      </c>
      <c r="BR564" s="81">
        <f t="shared" si="331"/>
        <v>1.157637113402062</v>
      </c>
      <c r="BS564" s="82">
        <f t="shared" si="332"/>
        <v>53</v>
      </c>
      <c r="BT564" s="82">
        <f t="shared" si="333"/>
        <v>61.354767010309288</v>
      </c>
      <c r="BU564" s="82">
        <f t="shared" si="334"/>
        <v>58.055567010309268</v>
      </c>
      <c r="BW564" s="82">
        <f>IFERROR(INDEX('Infos Clientes'!$T:$T,MATCH('Detalhe Por UC'!$C564,'Infos Clientes'!B:B,0)),"")</f>
        <v>187.5</v>
      </c>
      <c r="BX564" s="83">
        <f t="shared" si="335"/>
        <v>0</v>
      </c>
      <c r="BY564" s="84">
        <f t="shared" si="336"/>
        <v>0.22452317369234889</v>
      </c>
      <c r="BZ564" s="85">
        <f>IF(_xlfn.MINIFS('Detalhe Por UC'!R:R,'Detalhe Por UC'!C:C,C564,'Detalhe Por UC'!AD:AD,"&gt;"&amp;0)=0,"",_xlfn.MINIFS('Detalhe Por UC'!R:R,'Detalhe Por UC'!C:C,C564,'Detalhe Por UC'!AD:AD,"&gt;"&amp;0))</f>
        <v>45627</v>
      </c>
      <c r="CA564" s="114">
        <f ca="1">IF(OR(S564&gt;0,AD564&gt;0),IFERROR(
SUMIFS(INDIRECT("'Infos Clientes'!$W"&amp;INDEX('Infos Clientes'!$C:$C,MATCH(C564,'Infos Clientes'!$H:$H,0))&amp;":$CZ"&amp;INDEX('Infos Clientes'!$C:$C,MATCH(C564,'Infos Clientes'!$H:$H,0))),'Infos Clientes'!$W$2:$CZ$2,"&gt;"&amp;$R564-365,'Infos Clientes'!$W$2:$CZ$2,"&lt;="&amp;$R564)/
COUNTIFS(INDIRECT("'Infos Clientes'!$W"&amp;INDEX('Infos Clientes'!$C:$C,MATCH(C564,'Infos Clientes'!$H:$H,0))&amp;":$CZ"&amp;INDEX('Infos Clientes'!$C:$C,MATCH(C564,'Infos Clientes'!$H:$H,0))),"&gt;="&amp;0,'Infos Clientes'!$W$2:$CZ$2,"&gt;"&amp;$R564-365,'Infos Clientes'!$W$2:$CZ$2,"&lt;="&amp;$R564),""),"")</f>
        <v>187.5</v>
      </c>
      <c r="CB564" s="87">
        <f>VLOOKUP(C564,'Infos Clientes'!B:L,11,0)</f>
        <v>0</v>
      </c>
      <c r="CC564" s="88" t="str">
        <f t="shared" si="337"/>
        <v>A Unidade Consumidora 10/501586-2 economizou R$13,77 na fatura referente à jun/2025  consumindo 53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4" s="40" t="s">
        <v>110</v>
      </c>
      <c r="CE564" s="43"/>
      <c r="CF564" s="115">
        <f t="shared" si="338"/>
        <v>-117.90000000000003</v>
      </c>
    </row>
    <row r="565" spans="1:84" ht="16.2" hidden="1" customHeight="1" x14ac:dyDescent="0.3">
      <c r="A565" s="105" t="str">
        <f>INDEX('Infos Clientes'!$D:$D,MATCH('Detalhe Por UC'!C565,'Infos Clientes'!B:B,0))</f>
        <v>IGREJA DO EVANGELHO QUADRANGULAR</v>
      </c>
      <c r="B565" s="106" t="str">
        <f>INDEX('Infos Clientes'!$F:$F,MATCH('Detalhe Por UC'!C565,'Infos Clientes'!B:B,0))</f>
        <v>62.955.505/1973-60</v>
      </c>
      <c r="C565" s="44" t="s">
        <v>51</v>
      </c>
      <c r="D565" t="s">
        <v>351</v>
      </c>
      <c r="E565" s="1" t="s">
        <v>352</v>
      </c>
      <c r="F565" s="56" t="str">
        <f>INDEX('Infos Clientes'!$I:$I,MATCH('Detalhe Por UC'!C565,'Infos Clientes'!B:B,0))</f>
        <v>BT</v>
      </c>
      <c r="G565" s="56" t="str">
        <f>INDEX('Infos Clientes'!$J:$J,MATCH('Detalhe Por UC'!C565,'Infos Clientes'!B:B,0))</f>
        <v>trifasico</v>
      </c>
      <c r="H565" s="47" t="str">
        <f t="shared" si="341"/>
        <v>GIROSSOL II</v>
      </c>
      <c r="I565" s="58">
        <f>IFERROR(VLOOKUP(C565,'Infos Clientes'!B:E,4,),"")</f>
        <v>360</v>
      </c>
      <c r="J565" s="109">
        <v>0.23725425614394724</v>
      </c>
      <c r="K565" s="59">
        <f>INDEX('Infos Clientes'!$M:$M,MATCH('Detalhe Por UC'!C565,'Infos Clientes'!B:B,0))</f>
        <v>0.25</v>
      </c>
      <c r="L565" s="125">
        <v>0</v>
      </c>
      <c r="M565" s="56">
        <f>INDEX('Infos Clientes'!$N:$N,MATCH('Detalhe Por UC'!C565,'Infos Clientes'!B:B,0))</f>
        <v>0</v>
      </c>
      <c r="N565" s="56">
        <f t="shared" si="303"/>
        <v>0</v>
      </c>
      <c r="O565" s="56">
        <f t="shared" si="304"/>
        <v>9</v>
      </c>
      <c r="P565" s="56">
        <f t="shared" si="339"/>
        <v>0</v>
      </c>
      <c r="Q565" s="61">
        <f>IFERROR(IFERROR(INDEX('Infos Clientes'!$A$2:$V$9884,MATCH($C565,'Infos Clientes'!$B$2:$B$9884,0),MATCH(Q$8,'Infos Clientes'!$A$2:$V$2,0)),"")
+IF(OR(INDEX('Infos Clientes'!$A$2:$V$9884,MATCH($C565,'Infos Clientes'!$B$2:$B$9884,0),MATCH("Tempo de Fidelidade (meses)",'Infos Clientes'!$A$2:$V$2,0))=0,R565&gt;=MAX(R:R)),0,
ROUND((MAX(R:R)-R565)/(365/12),0)),"")</f>
        <v>0</v>
      </c>
      <c r="R565" s="111">
        <v>45809</v>
      </c>
      <c r="S565" s="17">
        <v>0.01</v>
      </c>
      <c r="T565" s="113">
        <f>IF($H565="GIROSSOL II",AP565/INDEX('Resumo Operacional'!$A$1:$P$1103,17,MATCH('Detalhe Por UC'!$R565,'Resumo Operacional'!$A$1:$P$1,0)),
IF($H565="GIROSSOL II e III",AP565/INDEX('Resumo Operacional'!$A$1:$P$1103,17,MATCH('Detalhe Por UC'!$R565,'Resumo Operacional'!$A$1:$P$1,0)),
""))</f>
        <v>0</v>
      </c>
      <c r="U565" s="113" t="str">
        <f>IF($H565="GIROSSOL III",AP565/INDEX('Resumo Operacional'!$A$1:$P$1103,53,MATCH('Detalhe Por UC'!$R565,'Resumo Operacional'!$A$1:$P$1,0)),
IF($H565="GIROSSOL II e III",AP565/INDEX('Resumo Operacional'!$A$1:$P$1103,53,MATCH('Detalhe Por UC'!$R565,'Resumo Operacional'!$A$1:$P$1,0)),
""))</f>
        <v/>
      </c>
      <c r="V565" s="45"/>
      <c r="X565" s="18">
        <v>1.1681756756756756</v>
      </c>
      <c r="Y565" s="18">
        <v>0</v>
      </c>
      <c r="Z565" s="18">
        <v>0</v>
      </c>
      <c r="AA565" s="18"/>
      <c r="AB565" s="18">
        <v>148</v>
      </c>
      <c r="AC565" s="18"/>
      <c r="AD565" s="143">
        <v>0</v>
      </c>
      <c r="AE565" s="35"/>
      <c r="AF565" s="18">
        <v>0</v>
      </c>
      <c r="AG565" s="18">
        <v>0</v>
      </c>
      <c r="AH565" s="48">
        <v>48.77</v>
      </c>
      <c r="AI565" s="18">
        <v>0</v>
      </c>
      <c r="AJ565" s="18">
        <v>0</v>
      </c>
      <c r="AL565" s="146"/>
      <c r="AN565" s="71">
        <f t="shared" si="305"/>
        <v>0</v>
      </c>
      <c r="AO565" s="71">
        <f t="shared" si="306"/>
        <v>0</v>
      </c>
      <c r="AP565" s="71">
        <f t="shared" si="307"/>
        <v>0</v>
      </c>
      <c r="AQ565" s="72">
        <f>IF(OR($H565="GIROSSOL II",$H565="GIROSSOL II e III"),INDEX('Resumo Operacional'!$A$1:$P$1103,MATCH("Energia Injetada prevista total Fatura da Usina (TUSD)",'Resumo Operacional'!$B$1:$B$1103,0),MATCH('Detalhe Por UC'!$R565,'Resumo Operacional'!$A$1:$P$1,0))*$S565,INDEX('Resumo Operacional'!$A$1:$P$1103,53,MATCH('Detalhe Por UC'!$R565,'Resumo Operacional'!$A$1:$P$1,0))*$S565)</f>
        <v>174.34</v>
      </c>
      <c r="AR565" s="71">
        <f t="shared" si="308"/>
        <v>-174.34</v>
      </c>
      <c r="AS565" s="73">
        <f t="shared" si="309"/>
        <v>221.66</v>
      </c>
      <c r="AT565" s="74">
        <f t="shared" si="310"/>
        <v>221.66</v>
      </c>
      <c r="AU565" s="74" t="str">
        <f t="shared" si="311"/>
        <v/>
      </c>
      <c r="AV565" s="74">
        <f t="shared" si="312"/>
        <v>0</v>
      </c>
      <c r="AW565" s="74">
        <f t="shared" si="313"/>
        <v>0</v>
      </c>
      <c r="AX565" s="74">
        <f t="shared" si="314"/>
        <v>0</v>
      </c>
      <c r="AY565" s="74" t="str">
        <f t="shared" si="315"/>
        <v/>
      </c>
      <c r="AZ565" s="43" t="s">
        <v>354</v>
      </c>
      <c r="BA565" s="43">
        <v>0</v>
      </c>
      <c r="BC565" s="73" t="str">
        <f t="shared" si="316"/>
        <v/>
      </c>
      <c r="BD565" s="73">
        <f t="shared" si="317"/>
        <v>221.66</v>
      </c>
      <c r="BE565" s="73">
        <f t="shared" si="318"/>
        <v>221.66</v>
      </c>
      <c r="BF565" s="77">
        <f t="shared" si="319"/>
        <v>0</v>
      </c>
      <c r="BG565" s="77">
        <f t="shared" si="320"/>
        <v>0</v>
      </c>
      <c r="BH565" s="77">
        <f t="shared" si="321"/>
        <v>0</v>
      </c>
      <c r="BI565" s="78" t="str">
        <f t="shared" si="322"/>
        <v/>
      </c>
      <c r="BJ565" s="79">
        <f t="shared" si="323"/>
        <v>0</v>
      </c>
      <c r="BK565" s="80" t="str">
        <f t="shared" si="324"/>
        <v/>
      </c>
      <c r="BL565" s="80" t="str">
        <f t="shared" si="325"/>
        <v/>
      </c>
      <c r="BM565" s="79" t="str">
        <f t="shared" si="326"/>
        <v/>
      </c>
      <c r="BN565" s="81" t="str">
        <f t="shared" si="327"/>
        <v/>
      </c>
      <c r="BO565" s="82" t="str">
        <f t="shared" si="328"/>
        <v/>
      </c>
      <c r="BP565" s="81" t="str">
        <f t="shared" si="329"/>
        <v/>
      </c>
      <c r="BQ565" s="81" t="str">
        <f t="shared" si="330"/>
        <v/>
      </c>
      <c r="BR565" s="81" t="str">
        <f t="shared" si="331"/>
        <v/>
      </c>
      <c r="BS565" s="82">
        <f t="shared" si="332"/>
        <v>0</v>
      </c>
      <c r="BT565" s="82" t="str">
        <f t="shared" si="333"/>
        <v/>
      </c>
      <c r="BU565" s="82">
        <f t="shared" si="334"/>
        <v>0</v>
      </c>
      <c r="BW565" s="82">
        <f>IFERROR(INDEX('Infos Clientes'!$T:$T,MATCH('Detalhe Por UC'!$C565,'Infos Clientes'!B:B,0)),"")</f>
        <v>185.66666666666666</v>
      </c>
      <c r="BX565" s="83">
        <f t="shared" si="335"/>
        <v>0</v>
      </c>
      <c r="BY565" s="84" t="str">
        <f t="shared" si="336"/>
        <v/>
      </c>
      <c r="BZ565" s="85">
        <f>IF(_xlfn.MINIFS('Detalhe Por UC'!R:R,'Detalhe Por UC'!C:C,C565,'Detalhe Por UC'!AD:AD,"&gt;"&amp;0)=0,"",_xlfn.MINIFS('Detalhe Por UC'!R:R,'Detalhe Por UC'!C:C,C565,'Detalhe Por UC'!AD:AD,"&gt;"&amp;0))</f>
        <v>45627</v>
      </c>
      <c r="CA565" s="114">
        <f ca="1">IF(OR(S565&gt;0,AD565&gt;0),IFERROR(
SUMIFS(INDIRECT("'Infos Clientes'!$W"&amp;INDEX('Infos Clientes'!$C:$C,MATCH(C565,'Infos Clientes'!$H:$H,0))&amp;":$CZ"&amp;INDEX('Infos Clientes'!$C:$C,MATCH(C565,'Infos Clientes'!$H:$H,0))),'Infos Clientes'!$W$2:$CZ$2,"&gt;"&amp;$R565-365,'Infos Clientes'!$W$2:$CZ$2,"&lt;="&amp;$R565)/
COUNTIFS(INDIRECT("'Infos Clientes'!$W"&amp;INDEX('Infos Clientes'!$C:$C,MATCH(C565,'Infos Clientes'!$H:$H,0))&amp;":$CZ"&amp;INDEX('Infos Clientes'!$C:$C,MATCH(C565,'Infos Clientes'!$H:$H,0))),"&gt;="&amp;0,'Infos Clientes'!$W$2:$CZ$2,"&gt;"&amp;$R565-365,'Infos Clientes'!$W$2:$CZ$2,"&lt;="&amp;$R565),""),"")</f>
        <v>257.08333333333331</v>
      </c>
      <c r="CB565" s="87">
        <f>VLOOKUP(C565,'Infos Clientes'!B:L,11,0)</f>
        <v>0</v>
      </c>
      <c r="CC565" s="88" t="str">
        <f t="shared" si="337"/>
        <v>A Unidade Consumidora 10/162736-3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5" s="40" t="s">
        <v>53</v>
      </c>
      <c r="CE565" s="43"/>
      <c r="CF565" s="115">
        <f t="shared" si="338"/>
        <v>-221.66</v>
      </c>
    </row>
    <row r="566" spans="1:84" ht="16.2" hidden="1" customHeight="1" x14ac:dyDescent="0.3">
      <c r="A566" s="105" t="str">
        <f>INDEX('Infos Clientes'!$D:$D,MATCH('Detalhe Por UC'!C566,'Infos Clientes'!B:B,0))</f>
        <v>IGREJA DO EVANGELHO QUADRANGULAR</v>
      </c>
      <c r="B566" s="106" t="str">
        <f>INDEX('Infos Clientes'!$F:$F,MATCH('Detalhe Por UC'!C566,'Infos Clientes'!B:B,0))</f>
        <v>62.955.505/0408-94</v>
      </c>
      <c r="C566" s="44" t="s">
        <v>76</v>
      </c>
      <c r="D566" t="s">
        <v>351</v>
      </c>
      <c r="E566" s="1" t="s">
        <v>352</v>
      </c>
      <c r="F566" s="56" t="str">
        <f>INDEX('Infos Clientes'!$I:$I,MATCH('Detalhe Por UC'!C566,'Infos Clientes'!B:B,0))</f>
        <v>BT</v>
      </c>
      <c r="G566" s="56" t="str">
        <f>INDEX('Infos Clientes'!$J:$J,MATCH('Detalhe Por UC'!C566,'Infos Clientes'!B:B,0))</f>
        <v>bifasico</v>
      </c>
      <c r="H566" s="47" t="str">
        <f t="shared" si="341"/>
        <v>GIROSSOL II</v>
      </c>
      <c r="I566" s="58">
        <f>IFERROR(VLOOKUP(C566,'Infos Clientes'!B:E,4,),"")</f>
        <v>371</v>
      </c>
      <c r="J566" s="109">
        <v>0.23725425614394724</v>
      </c>
      <c r="K566" s="59">
        <f>INDEX('Infos Clientes'!$M:$M,MATCH('Detalhe Por UC'!C566,'Infos Clientes'!B:B,0))</f>
        <v>0.25</v>
      </c>
      <c r="L566" s="125">
        <v>0</v>
      </c>
      <c r="M566" s="56">
        <f>INDEX('Infos Clientes'!$N:$N,MATCH('Detalhe Por UC'!C566,'Infos Clientes'!B:B,0))</f>
        <v>0</v>
      </c>
      <c r="N566" s="56">
        <f t="shared" si="303"/>
        <v>0</v>
      </c>
      <c r="O566" s="56">
        <f t="shared" si="304"/>
        <v>11</v>
      </c>
      <c r="P566" s="56">
        <f t="shared" si="339"/>
        <v>0</v>
      </c>
      <c r="Q566" s="61">
        <f>IFERROR(IFERROR(INDEX('Infos Clientes'!$A$2:$V$9884,MATCH($C566,'Infos Clientes'!$B$2:$B$9884,0),MATCH(Q$8,'Infos Clientes'!$A$2:$V$2,0)),"")
+IF(OR(INDEX('Infos Clientes'!$A$2:$V$9884,MATCH($C566,'Infos Clientes'!$B$2:$B$9884,0),MATCH("Tempo de Fidelidade (meses)",'Infos Clientes'!$A$2:$V$2,0))=0,R566&gt;=MAX(R:R)),0,
ROUND((MAX(R:R)-R566)/(365/12),0)),"")</f>
        <v>0</v>
      </c>
      <c r="R566" s="111">
        <v>45809</v>
      </c>
      <c r="S566" s="17">
        <v>0.01</v>
      </c>
      <c r="T566" s="113">
        <f>IF($H566="GIROSSOL II",AP566/INDEX('Resumo Operacional'!$A$1:$P$1103,17,MATCH('Detalhe Por UC'!$R566,'Resumo Operacional'!$A$1:$P$1,0)),
IF($H566="GIROSSOL II e III",AP566/INDEX('Resumo Operacional'!$A$1:$P$1103,17,MATCH('Detalhe Por UC'!$R566,'Resumo Operacional'!$A$1:$P$1,0)),
""))</f>
        <v>-3.9864632327635652E-2</v>
      </c>
      <c r="U566" s="113" t="str">
        <f>IF($H566="GIROSSOL III",AP566/INDEX('Resumo Operacional'!$A$1:$P$1103,53,MATCH('Detalhe Por UC'!$R566,'Resumo Operacional'!$A$1:$P$1,0)),
IF($H566="GIROSSOL II e III",AP566/INDEX('Resumo Operacional'!$A$1:$P$1103,53,MATCH('Detalhe Por UC'!$R566,'Resumo Operacional'!$A$1:$P$1,0)),
""))</f>
        <v/>
      </c>
      <c r="V566" s="45"/>
      <c r="X566" s="18">
        <v>1.1681859410430837</v>
      </c>
      <c r="Y566" s="18">
        <v>0</v>
      </c>
      <c r="Z566" s="18">
        <v>1.0782653061224488</v>
      </c>
      <c r="AA566" s="18"/>
      <c r="AB566" s="18">
        <v>63</v>
      </c>
      <c r="AC566" s="18"/>
      <c r="AD566" s="143">
        <v>14</v>
      </c>
      <c r="AE566" s="35"/>
      <c r="AF566" s="18"/>
      <c r="AG566" s="18"/>
      <c r="AH566" s="48">
        <v>0</v>
      </c>
      <c r="AI566" s="18">
        <v>0</v>
      </c>
      <c r="AJ566" s="18">
        <v>0</v>
      </c>
      <c r="AL566" s="146"/>
      <c r="AN566" s="71">
        <f t="shared" si="305"/>
        <v>-709</v>
      </c>
      <c r="AO566" s="71">
        <f t="shared" si="306"/>
        <v>0</v>
      </c>
      <c r="AP566" s="71">
        <f t="shared" si="307"/>
        <v>-695</v>
      </c>
      <c r="AQ566" s="72">
        <f>IF(OR($H566="GIROSSOL II",$H566="GIROSSOL II e III"),INDEX('Resumo Operacional'!$A$1:$P$1103,MATCH("Energia Injetada prevista total Fatura da Usina (TUSD)",'Resumo Operacional'!$B$1:$B$1103,0),MATCH('Detalhe Por UC'!$R566,'Resumo Operacional'!$A$1:$P$1,0))*$S566,INDEX('Resumo Operacional'!$A$1:$P$1103,53,MATCH('Detalhe Por UC'!$R566,'Resumo Operacional'!$A$1:$P$1,0))*$S566)</f>
        <v>174.34</v>
      </c>
      <c r="AR566" s="71">
        <f t="shared" si="308"/>
        <v>-869.34</v>
      </c>
      <c r="AS566" s="73">
        <f t="shared" si="309"/>
        <v>58.5</v>
      </c>
      <c r="AT566" s="74">
        <f t="shared" si="310"/>
        <v>58.5</v>
      </c>
      <c r="AU566" s="74">
        <f t="shared" si="311"/>
        <v>0.9883446712018138</v>
      </c>
      <c r="AV566" s="74">
        <f t="shared" si="312"/>
        <v>11.514191821895583</v>
      </c>
      <c r="AW566" s="74">
        <f t="shared" si="313"/>
        <v>0</v>
      </c>
      <c r="AX566" s="74">
        <f t="shared" si="314"/>
        <v>15.095714285714283</v>
      </c>
      <c r="AY566" s="74">
        <f t="shared" si="315"/>
        <v>11.51</v>
      </c>
      <c r="AZ566" s="43">
        <v>11.32</v>
      </c>
      <c r="BA566" s="43">
        <v>11.32</v>
      </c>
      <c r="BB566" s="43">
        <v>11.32</v>
      </c>
      <c r="BC566" s="73" t="str">
        <f t="shared" si="316"/>
        <v/>
      </c>
      <c r="BD566" s="73">
        <f t="shared" si="317"/>
        <v>73.59571428571428</v>
      </c>
      <c r="BE566" s="73">
        <f t="shared" si="318"/>
        <v>70.014191821895579</v>
      </c>
      <c r="BF566" s="77">
        <f t="shared" si="319"/>
        <v>3.58</v>
      </c>
      <c r="BG566" s="77">
        <f t="shared" si="320"/>
        <v>1.0740000000000001</v>
      </c>
      <c r="BH566" s="77">
        <f t="shared" si="321"/>
        <v>15.09571428571428</v>
      </c>
      <c r="BI566" s="78">
        <f t="shared" si="322"/>
        <v>0.24</v>
      </c>
      <c r="BJ566" s="79">
        <f t="shared" si="323"/>
        <v>4.8644136886852887E-2</v>
      </c>
      <c r="BK566" s="80">
        <f t="shared" si="324"/>
        <v>70.010000000000005</v>
      </c>
      <c r="BL566" s="80">
        <f t="shared" si="325"/>
        <v>3.5857142857142748</v>
      </c>
      <c r="BM566" s="79">
        <f t="shared" si="326"/>
        <v>4.8721781159617068E-2</v>
      </c>
      <c r="BN566" s="81">
        <f t="shared" si="327"/>
        <v>0.82214285714285718</v>
      </c>
      <c r="BO566" s="82">
        <f t="shared" si="328"/>
        <v>11.51</v>
      </c>
      <c r="BP566" s="81">
        <f t="shared" si="329"/>
        <v>0.82214285714285718</v>
      </c>
      <c r="BQ566" s="81">
        <f t="shared" si="330"/>
        <v>0.91206349206349213</v>
      </c>
      <c r="BR566" s="81">
        <f t="shared" si="331"/>
        <v>1.1681859410430835</v>
      </c>
      <c r="BS566" s="82">
        <f t="shared" si="332"/>
        <v>14</v>
      </c>
      <c r="BT566" s="82">
        <f t="shared" si="333"/>
        <v>16.35460317460317</v>
      </c>
      <c r="BU566" s="82">
        <f t="shared" si="334"/>
        <v>15.095714285714283</v>
      </c>
      <c r="BW566" s="82">
        <f>IFERROR(INDEX('Infos Clientes'!$T:$T,MATCH('Detalhe Por UC'!$C566,'Infos Clientes'!B:B,0)),"")</f>
        <v>157.66666666666666</v>
      </c>
      <c r="BX566" s="83">
        <f t="shared" si="335"/>
        <v>0</v>
      </c>
      <c r="BY566" s="84">
        <f t="shared" si="336"/>
        <v>0.21924801521827728</v>
      </c>
      <c r="BZ566" s="85">
        <f>IF(_xlfn.MINIFS('Detalhe Por UC'!R:R,'Detalhe Por UC'!C:C,C566,'Detalhe Por UC'!AD:AD,"&gt;"&amp;0)=0,"",_xlfn.MINIFS('Detalhe Por UC'!R:R,'Detalhe Por UC'!C:C,C566,'Detalhe Por UC'!AD:AD,"&gt;"&amp;0))</f>
        <v>45627</v>
      </c>
      <c r="CA566" s="114">
        <f ca="1">IF(OR(S566&gt;0,AD566&gt;0),IFERROR(
SUMIFS(INDIRECT("'Infos Clientes'!$W"&amp;INDEX('Infos Clientes'!$C:$C,MATCH(C566,'Infos Clientes'!$H:$H,0))&amp;":$CZ"&amp;INDEX('Infos Clientes'!$C:$C,MATCH(C566,'Infos Clientes'!$H:$H,0))),'Infos Clientes'!$W$2:$CZ$2,"&gt;"&amp;$R566-365,'Infos Clientes'!$W$2:$CZ$2,"&lt;="&amp;$R566)/
COUNTIFS(INDIRECT("'Infos Clientes'!$W"&amp;INDEX('Infos Clientes'!$C:$C,MATCH(C566,'Infos Clientes'!$H:$H,0))&amp;":$CZ"&amp;INDEX('Infos Clientes'!$C:$C,MATCH(C566,'Infos Clientes'!$H:$H,0))),"&gt;="&amp;0,'Infos Clientes'!$W$2:$CZ$2,"&gt;"&amp;$R566-365,'Infos Clientes'!$W$2:$CZ$2,"&lt;="&amp;$R566),""),"")</f>
        <v>130.33333333333334</v>
      </c>
      <c r="CB566" s="87">
        <f>VLOOKUP(C566,'Infos Clientes'!B:L,11,0)</f>
        <v>0</v>
      </c>
      <c r="CC566" s="88" t="str">
        <f t="shared" si="337"/>
        <v>A Unidade Consumidora 10/226667-4 economizou R$3,58 na fatura referente à jun/2025  consumindo 14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6" s="40" t="s">
        <v>78</v>
      </c>
      <c r="CE566" s="43"/>
      <c r="CF566" s="115">
        <f t="shared" si="338"/>
        <v>-58.5</v>
      </c>
    </row>
    <row r="567" spans="1:84" ht="16.2" hidden="1" customHeight="1" x14ac:dyDescent="0.3">
      <c r="A567" s="105" t="str">
        <f>INDEX('Infos Clientes'!$D:$D,MATCH('Detalhe Por UC'!C567,'Infos Clientes'!B:B,0))</f>
        <v>IGREJA DO EVANGELHO QUADRANGULAR</v>
      </c>
      <c r="B567" s="106" t="str">
        <f>INDEX('Infos Clientes'!$F:$F,MATCH('Detalhe Por UC'!C567,'Infos Clientes'!B:B,0))</f>
        <v>62.955.505/0800-98</v>
      </c>
      <c r="C567" s="44" t="s">
        <v>38</v>
      </c>
      <c r="D567" t="s">
        <v>351</v>
      </c>
      <c r="E567" s="1" t="s">
        <v>352</v>
      </c>
      <c r="F567" s="56" t="str">
        <f>INDEX('Infos Clientes'!$I:$I,MATCH('Detalhe Por UC'!C567,'Infos Clientes'!B:B,0))</f>
        <v>BT</v>
      </c>
      <c r="G567" s="56" t="str">
        <f>INDEX('Infos Clientes'!$J:$J,MATCH('Detalhe Por UC'!C567,'Infos Clientes'!B:B,0))</f>
        <v>trifasico</v>
      </c>
      <c r="H567" s="47" t="str">
        <f t="shared" si="341"/>
        <v>GIROSSOL II</v>
      </c>
      <c r="I567" s="58">
        <f>IFERROR(VLOOKUP(C567,'Infos Clientes'!B:E,4,),"")</f>
        <v>351</v>
      </c>
      <c r="J567" s="109">
        <v>0.23725425614394724</v>
      </c>
      <c r="K567" s="59">
        <f>INDEX('Infos Clientes'!$M:$M,MATCH('Detalhe Por UC'!C567,'Infos Clientes'!B:B,0))</f>
        <v>0.25</v>
      </c>
      <c r="L567" s="125">
        <v>0</v>
      </c>
      <c r="M567" s="56">
        <f>INDEX('Infos Clientes'!$N:$N,MATCH('Detalhe Por UC'!C567,'Infos Clientes'!B:B,0))</f>
        <v>0</v>
      </c>
      <c r="N567" s="56">
        <f t="shared" si="303"/>
        <v>0</v>
      </c>
      <c r="O567" s="56">
        <f t="shared" si="304"/>
        <v>7</v>
      </c>
      <c r="P567" s="56">
        <f t="shared" si="339"/>
        <v>0</v>
      </c>
      <c r="Q567" s="61">
        <f>IFERROR(IFERROR(INDEX('Infos Clientes'!$A$2:$V$9884,MATCH($C567,'Infos Clientes'!$B$2:$B$9884,0),MATCH(Q$8,'Infos Clientes'!$A$2:$V$2,0)),"")
+IF(OR(INDEX('Infos Clientes'!$A$2:$V$9884,MATCH($C567,'Infos Clientes'!$B$2:$B$9884,0),MATCH("Tempo de Fidelidade (meses)",'Infos Clientes'!$A$2:$V$2,0))=0,R567&gt;=MAX(R:R)),0,
ROUND((MAX(R:R)-R567)/(365/12),0)),"")</f>
        <v>0</v>
      </c>
      <c r="R567" s="111">
        <v>45809</v>
      </c>
      <c r="S567" s="17">
        <v>3.0000000000000001E-3</v>
      </c>
      <c r="T567" s="113">
        <f>IF($H567="GIROSSOL II",AP567/INDEX('Resumo Operacional'!$A$1:$P$1103,17,MATCH('Detalhe Por UC'!$R567,'Resumo Operacional'!$A$1:$P$1,0)),
IF($H567="GIROSSOL II e III",AP567/INDEX('Resumo Operacional'!$A$1:$P$1103,17,MATCH('Detalhe Por UC'!$R567,'Resumo Operacional'!$A$1:$P$1,0)),
""))</f>
        <v>-5.690030973958931E-2</v>
      </c>
      <c r="U567" s="113" t="str">
        <f>IF($H567="GIROSSOL III",AP567/INDEX('Resumo Operacional'!$A$1:$P$1103,53,MATCH('Detalhe Por UC'!$R567,'Resumo Operacional'!$A$1:$P$1,0)),
IF($H567="GIROSSOL II e III",AP567/INDEX('Resumo Operacional'!$A$1:$P$1103,53,MATCH('Detalhe Por UC'!$R567,'Resumo Operacional'!$A$1:$P$1,0)),
""))</f>
        <v/>
      </c>
      <c r="V567" s="45"/>
      <c r="W567" s="18"/>
      <c r="X567" s="21">
        <v>1.1680000000000001</v>
      </c>
      <c r="Y567" s="18">
        <v>0</v>
      </c>
      <c r="Z567" s="18">
        <v>0</v>
      </c>
      <c r="AA567" s="18"/>
      <c r="AB567" s="18">
        <v>0</v>
      </c>
      <c r="AC567" s="18"/>
      <c r="AD567" s="143">
        <v>0</v>
      </c>
      <c r="AE567" s="35"/>
      <c r="AF567" s="18"/>
      <c r="AG567" s="18"/>
      <c r="AH567" s="48">
        <v>2.3199999999999998</v>
      </c>
      <c r="AI567" s="18">
        <v>0</v>
      </c>
      <c r="AJ567" s="18">
        <v>0</v>
      </c>
      <c r="AL567" s="146"/>
      <c r="AN567" s="71">
        <f t="shared" si="305"/>
        <v>-992</v>
      </c>
      <c r="AO567" s="71">
        <f t="shared" si="306"/>
        <v>0</v>
      </c>
      <c r="AP567" s="71">
        <f t="shared" si="307"/>
        <v>-992</v>
      </c>
      <c r="AQ567" s="72">
        <f>IF(OR($H567="GIROSSOL II",$H567="GIROSSOL II e III"),INDEX('Resumo Operacional'!$A$1:$P$1103,MATCH("Energia Injetada prevista total Fatura da Usina (TUSD)",'Resumo Operacional'!$B$1:$B$1103,0),MATCH('Detalhe Por UC'!$R567,'Resumo Operacional'!$A$1:$P$1,0))*$S567,INDEX('Resumo Operacional'!$A$1:$P$1103,53,MATCH('Detalhe Por UC'!$R567,'Resumo Operacional'!$A$1:$P$1,0))*$S567)</f>
        <v>52.302</v>
      </c>
      <c r="AR567" s="71">
        <f t="shared" si="308"/>
        <v>-1044.3019999999999</v>
      </c>
      <c r="AS567" s="73">
        <f t="shared" si="309"/>
        <v>119.12</v>
      </c>
      <c r="AT567" s="74">
        <f t="shared" si="310"/>
        <v>119.12</v>
      </c>
      <c r="AU567" s="74" t="str">
        <f t="shared" si="311"/>
        <v/>
      </c>
      <c r="AV567" s="74">
        <f t="shared" si="312"/>
        <v>0</v>
      </c>
      <c r="AW567" s="74">
        <f t="shared" si="313"/>
        <v>0</v>
      </c>
      <c r="AX567" s="74">
        <f t="shared" si="314"/>
        <v>0</v>
      </c>
      <c r="AY567" s="74" t="str">
        <f t="shared" si="315"/>
        <v/>
      </c>
      <c r="AZ567" s="43" t="s">
        <v>354</v>
      </c>
      <c r="BA567" s="43">
        <v>0</v>
      </c>
      <c r="BC567" s="73" t="str">
        <f t="shared" si="316"/>
        <v/>
      </c>
      <c r="BD567" s="73">
        <f t="shared" si="317"/>
        <v>119.12</v>
      </c>
      <c r="BE567" s="73">
        <f t="shared" si="318"/>
        <v>119.12</v>
      </c>
      <c r="BF567" s="77">
        <f t="shared" si="319"/>
        <v>0</v>
      </c>
      <c r="BG567" s="77">
        <f t="shared" si="320"/>
        <v>0</v>
      </c>
      <c r="BH567" s="77">
        <f t="shared" si="321"/>
        <v>0</v>
      </c>
      <c r="BI567" s="78" t="str">
        <f t="shared" si="322"/>
        <v/>
      </c>
      <c r="BJ567" s="79">
        <f t="shared" si="323"/>
        <v>0</v>
      </c>
      <c r="BK567" s="80" t="str">
        <f t="shared" si="324"/>
        <v/>
      </c>
      <c r="BL567" s="80" t="str">
        <f t="shared" si="325"/>
        <v/>
      </c>
      <c r="BM567" s="79" t="str">
        <f t="shared" si="326"/>
        <v/>
      </c>
      <c r="BN567" s="81" t="str">
        <f t="shared" si="327"/>
        <v/>
      </c>
      <c r="BO567" s="82" t="str">
        <f t="shared" si="328"/>
        <v/>
      </c>
      <c r="BP567" s="81" t="str">
        <f t="shared" si="329"/>
        <v/>
      </c>
      <c r="BQ567" s="81" t="str">
        <f t="shared" si="330"/>
        <v/>
      </c>
      <c r="BR567" s="81" t="str">
        <f t="shared" si="331"/>
        <v/>
      </c>
      <c r="BS567" s="82">
        <f t="shared" si="332"/>
        <v>0</v>
      </c>
      <c r="BT567" s="82" t="str">
        <f t="shared" si="333"/>
        <v/>
      </c>
      <c r="BU567" s="82">
        <f t="shared" si="334"/>
        <v>0</v>
      </c>
      <c r="BW567" s="82">
        <f>IFERROR(INDEX('Infos Clientes'!$T:$T,MATCH('Detalhe Por UC'!$C567,'Infos Clientes'!B:B,0)),"")</f>
        <v>134.36363636363637</v>
      </c>
      <c r="BX567" s="83">
        <f t="shared" si="335"/>
        <v>0</v>
      </c>
      <c r="BY567" s="84" t="str">
        <f t="shared" si="336"/>
        <v/>
      </c>
      <c r="BZ567" s="85">
        <f>IF(_xlfn.MINIFS('Detalhe Por UC'!R:R,'Detalhe Por UC'!C:C,C567,'Detalhe Por UC'!AD:AD,"&gt;"&amp;0)=0,"",_xlfn.MINIFS('Detalhe Por UC'!R:R,'Detalhe Por UC'!C:C,C567,'Detalhe Por UC'!AD:AD,"&gt;"&amp;0))</f>
        <v>45627</v>
      </c>
      <c r="CA567" s="114">
        <f ca="1">IF(OR(S567&gt;0,AD567&gt;0),IFERROR(
SUMIFS(INDIRECT("'Infos Clientes'!$W"&amp;INDEX('Infos Clientes'!$C:$C,MATCH(C567,'Infos Clientes'!$H:$H,0))&amp;":$CZ"&amp;INDEX('Infos Clientes'!$C:$C,MATCH(C567,'Infos Clientes'!$H:$H,0))),'Infos Clientes'!$W$2:$CZ$2,"&gt;"&amp;$R567-365,'Infos Clientes'!$W$2:$CZ$2,"&lt;="&amp;$R567)/
COUNTIFS(INDIRECT("'Infos Clientes'!$W"&amp;INDEX('Infos Clientes'!$C:$C,MATCH(C567,'Infos Clientes'!$H:$H,0))&amp;":$CZ"&amp;INDEX('Infos Clientes'!$C:$C,MATCH(C567,'Infos Clientes'!$H:$H,0))),"&gt;="&amp;0,'Infos Clientes'!$W$2:$CZ$2,"&gt;"&amp;$R567-365,'Infos Clientes'!$W$2:$CZ$2,"&lt;="&amp;$R567),""),"")</f>
        <v>132.30000000000001</v>
      </c>
      <c r="CB567" s="87">
        <f>VLOOKUP(C567,'Infos Clientes'!B:L,11,0)</f>
        <v>0</v>
      </c>
      <c r="CC567" s="88" t="str">
        <f t="shared" si="337"/>
        <v>A Unidade Consumidora 10/135237-6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7" s="40" t="s">
        <v>40</v>
      </c>
      <c r="CE567" s="43"/>
      <c r="CF567" s="115">
        <f t="shared" si="338"/>
        <v>-119.12</v>
      </c>
    </row>
    <row r="568" spans="1:84" ht="16.2" hidden="1" customHeight="1" x14ac:dyDescent="0.3">
      <c r="A568" s="105" t="str">
        <f>INDEX('Infos Clientes'!$D:$D,MATCH('Detalhe Por UC'!C568,'Infos Clientes'!B:B,0))</f>
        <v>IGREJA DO EVANGELHO QUADRANGULAR</v>
      </c>
      <c r="B568" s="106" t="str">
        <f>INDEX('Infos Clientes'!$F:$F,MATCH('Detalhe Por UC'!C568,'Infos Clientes'!B:B,0))</f>
        <v>62.955.505/0170-51</v>
      </c>
      <c r="C568" s="44" t="s">
        <v>73</v>
      </c>
      <c r="D568" t="s">
        <v>351</v>
      </c>
      <c r="E568" s="1" t="s">
        <v>352</v>
      </c>
      <c r="F568" s="56" t="str">
        <f>INDEX('Infos Clientes'!$I:$I,MATCH('Detalhe Por UC'!C568,'Infos Clientes'!B:B,0))</f>
        <v>BT</v>
      </c>
      <c r="G568" s="56" t="str">
        <f>INDEX('Infos Clientes'!$J:$J,MATCH('Detalhe Por UC'!C568,'Infos Clientes'!B:B,0))</f>
        <v>bifasico</v>
      </c>
      <c r="H568" s="47" t="str">
        <f t="shared" si="341"/>
        <v>GIROSSOL II</v>
      </c>
      <c r="I568" s="58">
        <f>IFERROR(VLOOKUP(C568,'Infos Clientes'!B:E,4,),"")</f>
        <v>306</v>
      </c>
      <c r="J568" s="109">
        <v>0.23725425614394724</v>
      </c>
      <c r="K568" s="59">
        <f>INDEX('Infos Clientes'!$M:$M,MATCH('Detalhe Por UC'!C568,'Infos Clientes'!B:B,0))</f>
        <v>0.25</v>
      </c>
      <c r="L568" s="125">
        <v>0</v>
      </c>
      <c r="M568" s="56">
        <f>INDEX('Infos Clientes'!$N:$N,MATCH('Detalhe Por UC'!C568,'Infos Clientes'!B:B,0))</f>
        <v>0</v>
      </c>
      <c r="N568" s="56">
        <f t="shared" si="303"/>
        <v>0</v>
      </c>
      <c r="O568" s="56">
        <f t="shared" si="304"/>
        <v>12</v>
      </c>
      <c r="P568" s="56">
        <f t="shared" si="339"/>
        <v>0</v>
      </c>
      <c r="Q568" s="61">
        <f>IFERROR(IFERROR(INDEX('Infos Clientes'!$A$2:$V$9884,MATCH($C568,'Infos Clientes'!$B$2:$B$9884,0),MATCH(Q$8,'Infos Clientes'!$A$2:$V$2,0)),"")
+IF(OR(INDEX('Infos Clientes'!$A$2:$V$9884,MATCH($C568,'Infos Clientes'!$B$2:$B$9884,0),MATCH("Tempo de Fidelidade (meses)",'Infos Clientes'!$A$2:$V$2,0))=0,R568&gt;=MAX(R:R)),0,
ROUND((MAX(R:R)-R568)/(365/12),0)),"")</f>
        <v>0</v>
      </c>
      <c r="R568" s="111">
        <v>45809</v>
      </c>
      <c r="S568" s="17">
        <v>0.01</v>
      </c>
      <c r="T568" s="113">
        <f>IF($H568="GIROSSOL II",AP568/INDEX('Resumo Operacional'!$A$1:$P$1103,17,MATCH('Detalhe Por UC'!$R568,'Resumo Operacional'!$A$1:$P$1,0)),
IF($H568="GIROSSOL II e III",AP568/INDEX('Resumo Operacional'!$A$1:$P$1103,17,MATCH('Detalhe Por UC'!$R568,'Resumo Operacional'!$A$1:$P$1,0)),
""))</f>
        <v>-2.437765286222324E-2</v>
      </c>
      <c r="U568" s="113" t="str">
        <f>IF($H568="GIROSSOL III",AP568/INDEX('Resumo Operacional'!$A$1:$P$1103,53,MATCH('Detalhe Por UC'!$R568,'Resumo Operacional'!$A$1:$P$1,0)),
IF($H568="GIROSSOL II e III",AP568/INDEX('Resumo Operacional'!$A$1:$P$1103,53,MATCH('Detalhe Por UC'!$R568,'Resumo Operacional'!$A$1:$P$1,0)),
""))</f>
        <v/>
      </c>
      <c r="V568" s="45"/>
      <c r="X568" s="18">
        <v>1.1548115942028987</v>
      </c>
      <c r="Y568" s="18">
        <v>0</v>
      </c>
      <c r="Z568" s="18">
        <v>1.072796442687747</v>
      </c>
      <c r="AA568" s="18"/>
      <c r="AB568" s="18">
        <v>90</v>
      </c>
      <c r="AC568" s="18"/>
      <c r="AD568" s="143">
        <v>44</v>
      </c>
      <c r="AE568" s="35"/>
      <c r="AF568" s="18"/>
      <c r="AG568" s="18"/>
      <c r="AH568" s="48">
        <v>0</v>
      </c>
      <c r="AI568" s="18">
        <v>0</v>
      </c>
      <c r="AJ568" s="18">
        <v>0</v>
      </c>
      <c r="AL568" s="146"/>
      <c r="AN568" s="71">
        <f t="shared" si="305"/>
        <v>-469</v>
      </c>
      <c r="AO568" s="71">
        <f t="shared" si="306"/>
        <v>0</v>
      </c>
      <c r="AP568" s="71">
        <f t="shared" si="307"/>
        <v>-425</v>
      </c>
      <c r="AQ568" s="72">
        <f>IF(OR($H568="GIROSSOL II",$H568="GIROSSOL II e III"),INDEX('Resumo Operacional'!$A$1:$P$1103,MATCH("Energia Injetada prevista total Fatura da Usina (TUSD)",'Resumo Operacional'!$B$1:$B$1103,0),MATCH('Detalhe Por UC'!$R568,'Resumo Operacional'!$A$1:$P$1,0))*$S568,INDEX('Resumo Operacional'!$A$1:$P$1103,53,MATCH('Detalhe Por UC'!$R568,'Resumo Operacional'!$A$1:$P$1,0))*$S568)</f>
        <v>174.34</v>
      </c>
      <c r="AR568" s="71">
        <f t="shared" si="308"/>
        <v>-599.34</v>
      </c>
      <c r="AS568" s="73">
        <f t="shared" si="309"/>
        <v>56.730000000000018</v>
      </c>
      <c r="AT568" s="74">
        <f t="shared" si="310"/>
        <v>56.730000000000018</v>
      </c>
      <c r="AU568" s="74">
        <f t="shared" si="311"/>
        <v>0.99078129117259528</v>
      </c>
      <c r="AV568" s="74">
        <f t="shared" si="312"/>
        <v>36.003920510095689</v>
      </c>
      <c r="AW568" s="74">
        <f t="shared" si="313"/>
        <v>0</v>
      </c>
      <c r="AX568" s="74">
        <f t="shared" si="314"/>
        <v>47.203043478260867</v>
      </c>
      <c r="AY568" s="74">
        <f t="shared" si="315"/>
        <v>36</v>
      </c>
      <c r="AZ568" s="43">
        <v>35.4</v>
      </c>
      <c r="BA568" s="43">
        <v>35.4</v>
      </c>
      <c r="BB568" s="43">
        <v>35.4</v>
      </c>
      <c r="BC568" s="73" t="str">
        <f t="shared" si="316"/>
        <v/>
      </c>
      <c r="BD568" s="73">
        <f t="shared" si="317"/>
        <v>103.93304347826088</v>
      </c>
      <c r="BE568" s="73">
        <f t="shared" si="318"/>
        <v>92.733920510095714</v>
      </c>
      <c r="BF568" s="77">
        <f t="shared" si="319"/>
        <v>11.2</v>
      </c>
      <c r="BG568" s="77">
        <f t="shared" si="320"/>
        <v>3.36</v>
      </c>
      <c r="BH568" s="77">
        <f t="shared" si="321"/>
        <v>47.203043478260867</v>
      </c>
      <c r="BI568" s="78">
        <f t="shared" si="322"/>
        <v>0.24</v>
      </c>
      <c r="BJ568" s="79">
        <f t="shared" si="323"/>
        <v>0.10776168603532373</v>
      </c>
      <c r="BK568" s="80">
        <f t="shared" si="324"/>
        <v>92.730000000000018</v>
      </c>
      <c r="BL568" s="80">
        <f t="shared" si="325"/>
        <v>11.203043478260867</v>
      </c>
      <c r="BM568" s="79">
        <f t="shared" si="326"/>
        <v>0.10779096910218113</v>
      </c>
      <c r="BN568" s="81">
        <f t="shared" si="327"/>
        <v>0.81818181818181823</v>
      </c>
      <c r="BO568" s="82">
        <f t="shared" si="328"/>
        <v>36</v>
      </c>
      <c r="BP568" s="81">
        <f t="shared" si="329"/>
        <v>0.81818181818181823</v>
      </c>
      <c r="BQ568" s="81">
        <f t="shared" si="330"/>
        <v>0.90019696969696994</v>
      </c>
      <c r="BR568" s="81">
        <f t="shared" si="331"/>
        <v>1.1548115942028987</v>
      </c>
      <c r="BS568" s="82">
        <f t="shared" si="332"/>
        <v>44</v>
      </c>
      <c r="BT568" s="82">
        <f t="shared" si="333"/>
        <v>50.811710144927545</v>
      </c>
      <c r="BU568" s="82">
        <f t="shared" si="334"/>
        <v>47.203043478260867</v>
      </c>
      <c r="BW568" s="82">
        <f>IFERROR(INDEX('Infos Clientes'!$T:$T,MATCH('Detalhe Por UC'!$C568,'Infos Clientes'!B:B,0)),"")</f>
        <v>153.91666666666666</v>
      </c>
      <c r="BX568" s="83">
        <f t="shared" si="335"/>
        <v>0</v>
      </c>
      <c r="BY568" s="84">
        <f t="shared" si="336"/>
        <v>0.22048152770900684</v>
      </c>
      <c r="BZ568" s="85">
        <f>IF(_xlfn.MINIFS('Detalhe Por UC'!R:R,'Detalhe Por UC'!C:C,C568,'Detalhe Por UC'!AD:AD,"&gt;"&amp;0)=0,"",_xlfn.MINIFS('Detalhe Por UC'!R:R,'Detalhe Por UC'!C:C,C568,'Detalhe Por UC'!AD:AD,"&gt;"&amp;0))</f>
        <v>45627</v>
      </c>
      <c r="CA568" s="114">
        <f ca="1">IF(OR(S568&gt;0,AD568&gt;0),IFERROR(
SUMIFS(INDIRECT("'Infos Clientes'!$W"&amp;INDEX('Infos Clientes'!$C:$C,MATCH(C568,'Infos Clientes'!$H:$H,0))&amp;":$CZ"&amp;INDEX('Infos Clientes'!$C:$C,MATCH(C568,'Infos Clientes'!$H:$H,0))),'Infos Clientes'!$W$2:$CZ$2,"&gt;"&amp;$R568-365,'Infos Clientes'!$W$2:$CZ$2,"&lt;="&amp;$R568)/
COUNTIFS(INDIRECT("'Infos Clientes'!$W"&amp;INDEX('Infos Clientes'!$C:$C,MATCH(C568,'Infos Clientes'!$H:$H,0))&amp;":$CZ"&amp;INDEX('Infos Clientes'!$C:$C,MATCH(C568,'Infos Clientes'!$H:$H,0))),"&gt;="&amp;0,'Infos Clientes'!$W$2:$CZ$2,"&gt;"&amp;$R568-365,'Infos Clientes'!$W$2:$CZ$2,"&lt;="&amp;$R568),""),"")</f>
        <v>148.25</v>
      </c>
      <c r="CB568" s="87">
        <f>VLOOKUP(C568,'Infos Clientes'!B:L,11,0)</f>
        <v>0</v>
      </c>
      <c r="CC568" s="88" t="str">
        <f t="shared" si="337"/>
        <v>A Unidade Consumidora 10/218777-1 economizou R$11,2 na fatura referente à jun/2025  consumindo 44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8" s="40" t="s">
        <v>75</v>
      </c>
      <c r="CE568" s="43"/>
      <c r="CF568" s="115">
        <f t="shared" si="338"/>
        <v>-56.730000000000018</v>
      </c>
    </row>
    <row r="569" spans="1:84" ht="16.2" hidden="1" customHeight="1" x14ac:dyDescent="0.3">
      <c r="A569" s="105" t="str">
        <f>INDEX('Infos Clientes'!$D:$D,MATCH('Detalhe Por UC'!C569,'Infos Clientes'!B:B,0))</f>
        <v>IGREJA DO EVANGELHO QUADRANGULAR</v>
      </c>
      <c r="B569" s="106" t="str">
        <f>INDEX('Infos Clientes'!$F:$F,MATCH('Detalhe Por UC'!C569,'Infos Clientes'!B:B,0))</f>
        <v>62.955.505/0847-51</v>
      </c>
      <c r="C569" s="147" t="s">
        <v>41</v>
      </c>
      <c r="D569" t="s">
        <v>351</v>
      </c>
      <c r="E569" s="1" t="s">
        <v>352</v>
      </c>
      <c r="F569" s="56" t="str">
        <f>INDEX('Infos Clientes'!$I:$I,MATCH('Detalhe Por UC'!C569,'Infos Clientes'!B:B,0))</f>
        <v>BT</v>
      </c>
      <c r="G569" s="56" t="str">
        <f>INDEX('Infos Clientes'!$J:$J,MATCH('Detalhe Por UC'!C569,'Infos Clientes'!B:B,0))</f>
        <v>monofasico</v>
      </c>
      <c r="H569" s="47" t="str">
        <f t="shared" si="341"/>
        <v>GIROSSOL II</v>
      </c>
      <c r="I569" s="58">
        <f>IFERROR(VLOOKUP(C569,'Infos Clientes'!B:E,4,),"")</f>
        <v>349</v>
      </c>
      <c r="J569" s="109">
        <v>0.23725425614394724</v>
      </c>
      <c r="K569" s="59">
        <f>INDEX('Infos Clientes'!$M:$M,MATCH('Detalhe Por UC'!C569,'Infos Clientes'!B:B,0))</f>
        <v>0.25</v>
      </c>
      <c r="L569" s="125">
        <v>0</v>
      </c>
      <c r="M569" s="56">
        <f>INDEX('Infos Clientes'!$N:$N,MATCH('Detalhe Por UC'!C569,'Infos Clientes'!B:B,0))</f>
        <v>0</v>
      </c>
      <c r="N569" s="56">
        <f t="shared" si="303"/>
        <v>0</v>
      </c>
      <c r="O569" s="56">
        <f t="shared" si="304"/>
        <v>12</v>
      </c>
      <c r="P569" s="56">
        <f t="shared" si="339"/>
        <v>0</v>
      </c>
      <c r="Q569" s="61">
        <f>IFERROR(IFERROR(INDEX('Infos Clientes'!$A$2:$V$9884,MATCH($C569,'Infos Clientes'!$B$2:$B$9884,0),MATCH(Q$8,'Infos Clientes'!$A$2:$V$2,0)),"")
+IF(OR(INDEX('Infos Clientes'!$A$2:$V$9884,MATCH($C569,'Infos Clientes'!$B$2:$B$9884,0),MATCH("Tempo de Fidelidade (meses)",'Infos Clientes'!$A$2:$V$2,0))=0,R569&gt;=MAX(R:R)),0,
ROUND((MAX(R:R)-R569)/(365/12),0)),"")</f>
        <v>0</v>
      </c>
      <c r="R569" s="111">
        <v>45809</v>
      </c>
      <c r="S569" s="17">
        <v>0.01</v>
      </c>
      <c r="T569" s="113">
        <f>IF($H569="GIROSSOL II",AP569/INDEX('Resumo Operacional'!$A$1:$P$1103,17,MATCH('Detalhe Por UC'!$R569,'Resumo Operacional'!$A$1:$P$1,0)),
IF($H569="GIROSSOL II e III",AP569/INDEX('Resumo Operacional'!$A$1:$P$1103,17,MATCH('Detalhe Por UC'!$R569,'Resumo Operacional'!$A$1:$P$1,0)),
""))</f>
        <v>5.2770448548812663E-3</v>
      </c>
      <c r="U569" s="113" t="str">
        <f>IF($H569="GIROSSOL III",AP569/INDEX('Resumo Operacional'!$A$1:$P$1103,53,MATCH('Detalhe Por UC'!$R569,'Resumo Operacional'!$A$1:$P$1,0)),
IF($H569="GIROSSOL II e III",AP569/INDEX('Resumo Operacional'!$A$1:$P$1103,53,MATCH('Detalhe Por UC'!$R569,'Resumo Operacional'!$A$1:$P$1,0)),
""))</f>
        <v/>
      </c>
      <c r="V569" s="45"/>
      <c r="W569" s="143"/>
      <c r="X569" s="143">
        <v>1.1748901098901101</v>
      </c>
      <c r="Y569" s="143">
        <v>0</v>
      </c>
      <c r="Z569" s="143">
        <v>1.1309615384615384</v>
      </c>
      <c r="AA569" s="143"/>
      <c r="AB569" s="143">
        <v>126</v>
      </c>
      <c r="AC569" s="143"/>
      <c r="AD569" s="143">
        <v>100</v>
      </c>
      <c r="AE569" s="35"/>
      <c r="AF569" s="143">
        <v>200</v>
      </c>
      <c r="AG569" s="143">
        <v>0</v>
      </c>
      <c r="AH569" s="143">
        <v>61.67</v>
      </c>
      <c r="AI569" s="143">
        <v>0</v>
      </c>
      <c r="AJ569" s="143">
        <v>0</v>
      </c>
      <c r="AL569" s="146"/>
      <c r="AN569" s="71">
        <f t="shared" si="305"/>
        <v>-8</v>
      </c>
      <c r="AO569" s="71">
        <f t="shared" si="306"/>
        <v>0</v>
      </c>
      <c r="AP569" s="71">
        <f t="shared" si="307"/>
        <v>92</v>
      </c>
      <c r="AQ569" s="72">
        <f>IF(OR($H569="GIROSSOL II",$H569="GIROSSOL II e III"),INDEX('Resumo Operacional'!$A$1:$P$1103,MATCH("Energia Injetada prevista total Fatura da Usina (TUSD)",'Resumo Operacional'!$B$1:$B$1103,0),MATCH('Detalhe Por UC'!$R569,'Resumo Operacional'!$A$1:$P$1,0))*$S569,INDEX('Resumo Operacional'!$A$1:$P$1103,53,MATCH('Detalhe Por UC'!$R569,'Resumo Operacional'!$A$1:$P$1,0))*$S569)</f>
        <v>174.34</v>
      </c>
      <c r="AR569" s="71">
        <f t="shared" si="308"/>
        <v>-82.34</v>
      </c>
      <c r="AS569" s="73">
        <f t="shared" si="309"/>
        <v>96.610000000000028</v>
      </c>
      <c r="AT569" s="74">
        <f t="shared" si="310"/>
        <v>96.610000000000028</v>
      </c>
      <c r="AU569" s="74">
        <f t="shared" si="311"/>
        <v>1.0870329670329666</v>
      </c>
      <c r="AV569" s="74">
        <f t="shared" si="312"/>
        <v>86.263609992643183</v>
      </c>
      <c r="AW569" s="74">
        <f t="shared" si="313"/>
        <v>0</v>
      </c>
      <c r="AX569" s="74">
        <f t="shared" si="314"/>
        <v>113.09615384615384</v>
      </c>
      <c r="AY569" s="74">
        <f t="shared" si="315"/>
        <v>86.26</v>
      </c>
      <c r="AZ569" s="43">
        <v>84.82</v>
      </c>
      <c r="BA569" s="43">
        <v>84.82</v>
      </c>
      <c r="BB569" s="43">
        <v>84.82</v>
      </c>
      <c r="BC569" s="73" t="str">
        <f t="shared" si="316"/>
        <v/>
      </c>
      <c r="BD569" s="73">
        <f t="shared" si="317"/>
        <v>209.70615384615388</v>
      </c>
      <c r="BE569" s="73">
        <f t="shared" si="318"/>
        <v>182.8736099926432</v>
      </c>
      <c r="BF569" s="77">
        <f t="shared" si="319"/>
        <v>26.83</v>
      </c>
      <c r="BG569" s="77">
        <f t="shared" si="320"/>
        <v>8.0489999999999995</v>
      </c>
      <c r="BH569" s="77">
        <f t="shared" si="321"/>
        <v>113.09615384615383</v>
      </c>
      <c r="BI569" s="78">
        <f t="shared" si="322"/>
        <v>0.24</v>
      </c>
      <c r="BJ569" s="79">
        <f t="shared" si="323"/>
        <v>0.12794092833195164</v>
      </c>
      <c r="BK569" s="80">
        <f t="shared" si="324"/>
        <v>182.87000000000003</v>
      </c>
      <c r="BL569" s="80">
        <f t="shared" si="325"/>
        <v>26.836153846153849</v>
      </c>
      <c r="BM569" s="79">
        <f t="shared" si="326"/>
        <v>0.12797027342288475</v>
      </c>
      <c r="BN569" s="81">
        <f t="shared" si="327"/>
        <v>0.86260000000000003</v>
      </c>
      <c r="BO569" s="82">
        <f t="shared" si="328"/>
        <v>86.26</v>
      </c>
      <c r="BP569" s="81">
        <f t="shared" si="329"/>
        <v>0.86260000000000003</v>
      </c>
      <c r="BQ569" s="81">
        <f t="shared" si="330"/>
        <v>0.90652857142857179</v>
      </c>
      <c r="BR569" s="81">
        <f t="shared" si="331"/>
        <v>1.1748901098901101</v>
      </c>
      <c r="BS569" s="82">
        <f t="shared" si="332"/>
        <v>100</v>
      </c>
      <c r="BT569" s="82">
        <f t="shared" si="333"/>
        <v>117.48901098901101</v>
      </c>
      <c r="BU569" s="82">
        <f t="shared" si="334"/>
        <v>113.09615384615384</v>
      </c>
      <c r="BW569" s="82">
        <f>IFERROR(INDEX('Infos Clientes'!$T:$T,MATCH('Detalhe Por UC'!$C569,'Infos Clientes'!B:B,0)),"")</f>
        <v>156.25</v>
      </c>
      <c r="BX569" s="83">
        <f t="shared" si="335"/>
        <v>0</v>
      </c>
      <c r="BY569" s="84">
        <f t="shared" si="336"/>
        <v>0.22841416078192942</v>
      </c>
      <c r="BZ569" s="85">
        <f>IF(_xlfn.MINIFS('Detalhe Por UC'!R:R,'Detalhe Por UC'!C:C,C569,'Detalhe Por UC'!AD:AD,"&gt;"&amp;0)=0,"",_xlfn.MINIFS('Detalhe Por UC'!R:R,'Detalhe Por UC'!C:C,C569,'Detalhe Por UC'!AD:AD,"&gt;"&amp;0))</f>
        <v>45627</v>
      </c>
      <c r="CA569" s="114">
        <f ca="1">IF(OR(S569&gt;0,AD569&gt;0),IFERROR(
SUMIFS(INDIRECT("'Infos Clientes'!$W"&amp;INDEX('Infos Clientes'!$C:$C,MATCH(C569,'Infos Clientes'!$H:$H,0))&amp;":$CZ"&amp;INDEX('Infos Clientes'!$C:$C,MATCH(C569,'Infos Clientes'!$H:$H,0))),'Infos Clientes'!$W$2:$CZ$2,"&gt;"&amp;$R569-365,'Infos Clientes'!$W$2:$CZ$2,"&lt;="&amp;$R569)/
COUNTIFS(INDIRECT("'Infos Clientes'!$W"&amp;INDEX('Infos Clientes'!$C:$C,MATCH(C569,'Infos Clientes'!$H:$H,0))&amp;":$CZ"&amp;INDEX('Infos Clientes'!$C:$C,MATCH(C569,'Infos Clientes'!$H:$H,0))),"&gt;="&amp;0,'Infos Clientes'!$W$2:$CZ$2,"&gt;"&amp;$R569-365,'Infos Clientes'!$W$2:$CZ$2,"&lt;="&amp;$R569),""),"")</f>
        <v>151.58333333333334</v>
      </c>
      <c r="CB569" s="87">
        <f>VLOOKUP(C569,'Infos Clientes'!B:L,11,0)</f>
        <v>0</v>
      </c>
      <c r="CC569" s="88" t="str">
        <f t="shared" si="337"/>
        <v>A Unidade Consumidora 10/1548741-6 economizou R$26,83 na fatura referente à jun/2025  consumindo 100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69" s="40" t="s">
        <v>43</v>
      </c>
      <c r="CE569" s="43"/>
      <c r="CF569" s="115">
        <f t="shared" si="338"/>
        <v>-96.610000000000028</v>
      </c>
    </row>
    <row r="570" spans="1:84" ht="16.2" hidden="1" customHeight="1" x14ac:dyDescent="0.3">
      <c r="A570" s="105" t="str">
        <f>INDEX('Infos Clientes'!$D:$D,MATCH('Detalhe Por UC'!C570,'Infos Clientes'!B:B,0))</f>
        <v>IGREJA DO EVANGELHO QUADRANGULAR</v>
      </c>
      <c r="B570" s="106" t="str">
        <f>INDEX('Infos Clientes'!$F:$F,MATCH('Detalhe Por UC'!C570,'Infos Clientes'!B:B,0))</f>
        <v>62.955.505/0155-12</v>
      </c>
      <c r="C570" s="44" t="s">
        <v>129</v>
      </c>
      <c r="D570" t="s">
        <v>351</v>
      </c>
      <c r="E570" s="1" t="s">
        <v>352</v>
      </c>
      <c r="F570" s="56" t="str">
        <f>INDEX('Infos Clientes'!$I:$I,MATCH('Detalhe Por UC'!C570,'Infos Clientes'!B:B,0))</f>
        <v>BT</v>
      </c>
      <c r="G570" s="56" t="str">
        <f>INDEX('Infos Clientes'!$J:$J,MATCH('Detalhe Por UC'!C570,'Infos Clientes'!B:B,0))</f>
        <v>trifasico</v>
      </c>
      <c r="H570" s="47" t="str">
        <f t="shared" si="341"/>
        <v>GIROSSOL II</v>
      </c>
      <c r="I570" s="58">
        <f>IFERROR(VLOOKUP(C570,'Infos Clientes'!B:E,4,),"")</f>
        <v>358</v>
      </c>
      <c r="J570" s="109">
        <v>0.23725425614394724</v>
      </c>
      <c r="K570" s="59">
        <f>INDEX('Infos Clientes'!$M:$M,MATCH('Detalhe Por UC'!C570,'Infos Clientes'!B:B,0))</f>
        <v>0.25</v>
      </c>
      <c r="L570" s="125">
        <v>0</v>
      </c>
      <c r="M570" s="56">
        <f>INDEX('Infos Clientes'!$N:$N,MATCH('Detalhe Por UC'!C570,'Infos Clientes'!B:B,0))</f>
        <v>0</v>
      </c>
      <c r="N570" s="56">
        <f t="shared" si="303"/>
        <v>0</v>
      </c>
      <c r="O570" s="56">
        <f t="shared" si="304"/>
        <v>11</v>
      </c>
      <c r="P570" s="56">
        <f t="shared" si="339"/>
        <v>0</v>
      </c>
      <c r="Q570" s="61">
        <f>IFERROR(IFERROR(INDEX('Infos Clientes'!$A$2:$V$9884,MATCH($C570,'Infos Clientes'!$B$2:$B$9884,0),MATCH(Q$8,'Infos Clientes'!$A$2:$V$2,0)),"")
+IF(OR(INDEX('Infos Clientes'!$A$2:$V$9884,MATCH($C570,'Infos Clientes'!$B$2:$B$9884,0),MATCH("Tempo de Fidelidade (meses)",'Infos Clientes'!$A$2:$V$2,0))=0,R570&gt;=MAX(R:R)),0,
ROUND((MAX(R:R)-R570)/(365/12),0)),"")</f>
        <v>0</v>
      </c>
      <c r="R570" s="111">
        <v>45809</v>
      </c>
      <c r="S570" s="17">
        <v>5.0000000000000001E-3</v>
      </c>
      <c r="T570" s="113">
        <f>IF($H570="GIROSSOL II",AP570/INDEX('Resumo Operacional'!$A$1:$P$1103,17,MATCH('Detalhe Por UC'!$R570,'Resumo Operacional'!$A$1:$P$1,0)),
IF($H570="GIROSSOL II e III",AP570/INDEX('Resumo Operacional'!$A$1:$P$1103,17,MATCH('Detalhe Por UC'!$R570,'Resumo Operacional'!$A$1:$P$1,0)),
""))</f>
        <v>-7.7377538143856825E-2</v>
      </c>
      <c r="U570" s="113" t="str">
        <f>IF($H570="GIROSSOL III",AP570/INDEX('Resumo Operacional'!$A$1:$P$1103,53,MATCH('Detalhe Por UC'!$R570,'Resumo Operacional'!$A$1:$P$1,0)),
IF($H570="GIROSSOL II e III",AP570/INDEX('Resumo Operacional'!$A$1:$P$1103,53,MATCH('Detalhe Por UC'!$R570,'Resumo Operacional'!$A$1:$P$1,0)),
""))</f>
        <v/>
      </c>
      <c r="V570" s="45"/>
      <c r="W570" s="18"/>
      <c r="X570" s="21">
        <v>1.1538000000000002</v>
      </c>
      <c r="Y570" s="18">
        <v>0</v>
      </c>
      <c r="Z570" s="18">
        <v>0</v>
      </c>
      <c r="AA570" s="18"/>
      <c r="AB570" s="18">
        <v>0</v>
      </c>
      <c r="AC570" s="18"/>
      <c r="AD570" s="143">
        <v>0</v>
      </c>
      <c r="AE570" s="35"/>
      <c r="AF570" s="18"/>
      <c r="AG570" s="18"/>
      <c r="AH570" s="48">
        <v>47.480000000000004</v>
      </c>
      <c r="AI570" s="18">
        <v>0</v>
      </c>
      <c r="AJ570" s="18">
        <v>0</v>
      </c>
      <c r="AL570" s="146"/>
      <c r="AN570" s="71">
        <f t="shared" si="305"/>
        <v>-1349</v>
      </c>
      <c r="AO570" s="71">
        <f t="shared" si="306"/>
        <v>0</v>
      </c>
      <c r="AP570" s="71">
        <f t="shared" si="307"/>
        <v>-1349</v>
      </c>
      <c r="AQ570" s="72">
        <f>IF(OR($H570="GIROSSOL II",$H570="GIROSSOL II e III"),INDEX('Resumo Operacional'!$A$1:$P$1103,MATCH("Energia Injetada prevista total Fatura da Usina (TUSD)",'Resumo Operacional'!$B$1:$B$1103,0),MATCH('Detalhe Por UC'!$R570,'Resumo Operacional'!$A$1:$P$1,0))*$S570,INDEX('Resumo Operacional'!$A$1:$P$1103,53,MATCH('Detalhe Por UC'!$R570,'Resumo Operacional'!$A$1:$P$1,0))*$S570)</f>
        <v>87.17</v>
      </c>
      <c r="AR570" s="71">
        <f t="shared" si="308"/>
        <v>-1436.17</v>
      </c>
      <c r="AS570" s="73">
        <f t="shared" si="309"/>
        <v>162.86000000000001</v>
      </c>
      <c r="AT570" s="74">
        <f t="shared" si="310"/>
        <v>162.86000000000001</v>
      </c>
      <c r="AU570" s="74" t="str">
        <f t="shared" si="311"/>
        <v/>
      </c>
      <c r="AV570" s="74">
        <f t="shared" si="312"/>
        <v>0</v>
      </c>
      <c r="AW570" s="74">
        <f t="shared" si="313"/>
        <v>0</v>
      </c>
      <c r="AX570" s="74">
        <f t="shared" si="314"/>
        <v>0</v>
      </c>
      <c r="AY570" s="74" t="str">
        <f t="shared" si="315"/>
        <v/>
      </c>
      <c r="AZ570" s="43" t="s">
        <v>354</v>
      </c>
      <c r="BA570" s="43">
        <v>0</v>
      </c>
      <c r="BC570" s="73" t="str">
        <f t="shared" si="316"/>
        <v/>
      </c>
      <c r="BD570" s="73">
        <f t="shared" si="317"/>
        <v>162.86000000000001</v>
      </c>
      <c r="BE570" s="73">
        <f t="shared" si="318"/>
        <v>162.86000000000001</v>
      </c>
      <c r="BF570" s="77">
        <f t="shared" si="319"/>
        <v>0</v>
      </c>
      <c r="BG570" s="77">
        <f t="shared" si="320"/>
        <v>0</v>
      </c>
      <c r="BH570" s="77">
        <f t="shared" si="321"/>
        <v>0</v>
      </c>
      <c r="BI570" s="78" t="str">
        <f t="shared" si="322"/>
        <v/>
      </c>
      <c r="BJ570" s="79">
        <f t="shared" si="323"/>
        <v>0</v>
      </c>
      <c r="BK570" s="80" t="str">
        <f t="shared" si="324"/>
        <v/>
      </c>
      <c r="BL570" s="80" t="str">
        <f t="shared" si="325"/>
        <v/>
      </c>
      <c r="BM570" s="79" t="str">
        <f t="shared" si="326"/>
        <v/>
      </c>
      <c r="BN570" s="81" t="str">
        <f t="shared" si="327"/>
        <v/>
      </c>
      <c r="BO570" s="82" t="str">
        <f t="shared" si="328"/>
        <v/>
      </c>
      <c r="BP570" s="81" t="str">
        <f t="shared" si="329"/>
        <v/>
      </c>
      <c r="BQ570" s="81" t="str">
        <f t="shared" si="330"/>
        <v/>
      </c>
      <c r="BR570" s="81" t="str">
        <f t="shared" si="331"/>
        <v/>
      </c>
      <c r="BS570" s="82">
        <f t="shared" si="332"/>
        <v>0</v>
      </c>
      <c r="BT570" s="82" t="str">
        <f t="shared" si="333"/>
        <v/>
      </c>
      <c r="BU570" s="82">
        <f t="shared" si="334"/>
        <v>0</v>
      </c>
      <c r="BW570" s="82">
        <f>IFERROR(INDEX('Infos Clientes'!$T:$T,MATCH('Detalhe Por UC'!$C570,'Infos Clientes'!B:B,0)),"")</f>
        <v>123.5</v>
      </c>
      <c r="BX570" s="83">
        <f t="shared" si="335"/>
        <v>0</v>
      </c>
      <c r="BY570" s="84" t="str">
        <f t="shared" si="336"/>
        <v/>
      </c>
      <c r="BZ570" s="85">
        <f>IF(_xlfn.MINIFS('Detalhe Por UC'!R:R,'Detalhe Por UC'!C:C,C570,'Detalhe Por UC'!AD:AD,"&gt;"&amp;0)=0,"",_xlfn.MINIFS('Detalhe Por UC'!R:R,'Detalhe Por UC'!C:C,C570,'Detalhe Por UC'!AD:AD,"&gt;"&amp;0))</f>
        <v>45627</v>
      </c>
      <c r="CA570" s="114">
        <f ca="1">IF(OR(S570&gt;0,AD570&gt;0),IFERROR(
SUMIFS(INDIRECT("'Infos Clientes'!$W"&amp;INDEX('Infos Clientes'!$C:$C,MATCH(C570,'Infos Clientes'!$H:$H,0))&amp;":$CZ"&amp;INDEX('Infos Clientes'!$C:$C,MATCH(C570,'Infos Clientes'!$H:$H,0))),'Infos Clientes'!$W$2:$CZ$2,"&gt;"&amp;$R570-365,'Infos Clientes'!$W$2:$CZ$2,"&lt;="&amp;$R570)/
COUNTIFS(INDIRECT("'Infos Clientes'!$W"&amp;INDEX('Infos Clientes'!$C:$C,MATCH(C570,'Infos Clientes'!$H:$H,0))&amp;":$CZ"&amp;INDEX('Infos Clientes'!$C:$C,MATCH(C570,'Infos Clientes'!$H:$H,0))),"&gt;="&amp;0,'Infos Clientes'!$W$2:$CZ$2,"&gt;"&amp;$R570-365,'Infos Clientes'!$W$2:$CZ$2,"&lt;="&amp;$R570),""),"")</f>
        <v>110.81818181818181</v>
      </c>
      <c r="CB570" s="87">
        <f>VLOOKUP(C570,'Infos Clientes'!B:L,11,0)</f>
        <v>0</v>
      </c>
      <c r="CC570" s="88" t="str">
        <f t="shared" si="337"/>
        <v>A Unidade Consumidora 10/987178-1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0" s="40" t="s">
        <v>131</v>
      </c>
      <c r="CE570" s="43"/>
      <c r="CF570" s="115">
        <f t="shared" si="338"/>
        <v>-162.86000000000001</v>
      </c>
    </row>
    <row r="571" spans="1:84" ht="16.2" hidden="1" customHeight="1" x14ac:dyDescent="0.3">
      <c r="A571" s="105" t="str">
        <f>INDEX('Infos Clientes'!$D:$D,MATCH('Detalhe Por UC'!C571,'Infos Clientes'!B:B,0))</f>
        <v>IGREJA DO EVANGELHO QUADRANGULAR</v>
      </c>
      <c r="B571" s="106" t="str">
        <f>INDEX('Infos Clientes'!$F:$F,MATCH('Detalhe Por UC'!C571,'Infos Clientes'!B:B,0))</f>
        <v>62.955.505/1821-76</v>
      </c>
      <c r="C571" s="147" t="s">
        <v>81</v>
      </c>
      <c r="D571" t="s">
        <v>351</v>
      </c>
      <c r="E571" s="1" t="s">
        <v>352</v>
      </c>
      <c r="F571" s="56" t="str">
        <f>INDEX('Infos Clientes'!$I:$I,MATCH('Detalhe Por UC'!C571,'Infos Clientes'!B:B,0))</f>
        <v>BT</v>
      </c>
      <c r="G571" s="56" t="str">
        <f>INDEX('Infos Clientes'!$J:$J,MATCH('Detalhe Por UC'!C571,'Infos Clientes'!B:B,0))</f>
        <v>bifasico</v>
      </c>
      <c r="H571" s="47" t="str">
        <f t="shared" si="341"/>
        <v>GIROSSOL II</v>
      </c>
      <c r="I571" s="58">
        <f>IFERROR(VLOOKUP(C571,'Infos Clientes'!B:E,4,),"")</f>
        <v>362</v>
      </c>
      <c r="J571" s="109">
        <v>0.23725425614394724</v>
      </c>
      <c r="K571" s="59">
        <f>INDEX('Infos Clientes'!$M:$M,MATCH('Detalhe Por UC'!C571,'Infos Clientes'!B:B,0))</f>
        <v>0.25</v>
      </c>
      <c r="L571" s="125">
        <v>0</v>
      </c>
      <c r="M571" s="56">
        <f>INDEX('Infos Clientes'!$N:$N,MATCH('Detalhe Por UC'!C571,'Infos Clientes'!B:B,0))</f>
        <v>0</v>
      </c>
      <c r="N571" s="56">
        <f t="shared" si="303"/>
        <v>0</v>
      </c>
      <c r="O571" s="56">
        <f t="shared" si="304"/>
        <v>12</v>
      </c>
      <c r="P571" s="56">
        <f t="shared" si="339"/>
        <v>0</v>
      </c>
      <c r="Q571" s="61">
        <f>IFERROR(IFERROR(INDEX('Infos Clientes'!$A$2:$V$9884,MATCH($C571,'Infos Clientes'!$B$2:$B$9884,0),MATCH(Q$8,'Infos Clientes'!$A$2:$V$2,0)),"")
+IF(OR(INDEX('Infos Clientes'!$A$2:$V$9884,MATCH($C571,'Infos Clientes'!$B$2:$B$9884,0),MATCH("Tempo de Fidelidade (meses)",'Infos Clientes'!$A$2:$V$2,0))=0,R571&gt;=MAX(R:R)),0,
ROUND((MAX(R:R)-R571)/(365/12),0)),"")</f>
        <v>0</v>
      </c>
      <c r="R571" s="111">
        <v>45809</v>
      </c>
      <c r="S571" s="17">
        <v>5.0000000000000001E-3</v>
      </c>
      <c r="T571" s="113">
        <f>IF($H571="GIROSSOL II",AP571/INDEX('Resumo Operacional'!$A$1:$P$1103,17,MATCH('Detalhe Por UC'!$R571,'Resumo Operacional'!$A$1:$P$1,0)),
IF($H571="GIROSSOL II e III",AP571/INDEX('Resumo Operacional'!$A$1:$P$1103,17,MATCH('Detalhe Por UC'!$R571,'Resumo Operacional'!$A$1:$P$1,0)),
""))</f>
        <v>1.2848457037971779E-2</v>
      </c>
      <c r="U571" s="113" t="str">
        <f>IF($H571="GIROSSOL III",AP571/INDEX('Resumo Operacional'!$A$1:$P$1103,53,MATCH('Detalhe Por UC'!$R571,'Resumo Operacional'!$A$1:$P$1,0)),
IF($H571="GIROSSOL II e III",AP571/INDEX('Resumo Operacional'!$A$1:$P$1103,53,MATCH('Detalhe Por UC'!$R571,'Resumo Operacional'!$A$1:$P$1,0)),
""))</f>
        <v/>
      </c>
      <c r="V571" s="45"/>
      <c r="W571" s="143"/>
      <c r="X571" s="143">
        <v>1.1617636363636366</v>
      </c>
      <c r="Y571" s="143">
        <v>0</v>
      </c>
      <c r="Z571" s="143">
        <v>1.1617265306122448</v>
      </c>
      <c r="AA571" s="143"/>
      <c r="AB571" s="143">
        <v>99</v>
      </c>
      <c r="AC571" s="143"/>
      <c r="AD571" s="143">
        <v>49</v>
      </c>
      <c r="AE571" s="35"/>
      <c r="AF571" s="143">
        <v>175</v>
      </c>
      <c r="AG571" s="143">
        <v>0</v>
      </c>
      <c r="AH571" s="143">
        <v>12.75</v>
      </c>
      <c r="AI571" s="143">
        <v>0</v>
      </c>
      <c r="AJ571" s="143">
        <v>0</v>
      </c>
      <c r="AL571" s="146"/>
      <c r="AN571" s="71">
        <f t="shared" si="305"/>
        <v>175</v>
      </c>
      <c r="AO571" s="71">
        <f t="shared" si="306"/>
        <v>0</v>
      </c>
      <c r="AP571" s="71">
        <f t="shared" si="307"/>
        <v>224</v>
      </c>
      <c r="AQ571" s="72">
        <f>IF(OR($H571="GIROSSOL II",$H571="GIROSSOL II e III"),INDEX('Resumo Operacional'!$A$1:$P$1103,MATCH("Energia Injetada prevista total Fatura da Usina (TUSD)",'Resumo Operacional'!$B$1:$B$1103,0),MATCH('Detalhe Por UC'!$R571,'Resumo Operacional'!$A$1:$P$1,0))*$S571,INDEX('Resumo Operacional'!$A$1:$P$1103,53,MATCH('Detalhe Por UC'!$R571,'Resumo Operacional'!$A$1:$P$1,0))*$S571)</f>
        <v>87.17</v>
      </c>
      <c r="AR571" s="71">
        <f t="shared" si="308"/>
        <v>136.82999999999998</v>
      </c>
      <c r="AS571" s="73">
        <f t="shared" si="309"/>
        <v>70.840000000000018</v>
      </c>
      <c r="AT571" s="74">
        <f t="shared" si="310"/>
        <v>70.840000000000018</v>
      </c>
      <c r="AU571" s="74">
        <f t="shared" si="311"/>
        <v>1.1616894248608531</v>
      </c>
      <c r="AV571" s="74">
        <f t="shared" si="312"/>
        <v>43.418996370708257</v>
      </c>
      <c r="AW571" s="74">
        <f t="shared" si="313"/>
        <v>0</v>
      </c>
      <c r="AX571" s="74">
        <f t="shared" si="314"/>
        <v>56.924599999999998</v>
      </c>
      <c r="AY571" s="74">
        <f t="shared" si="315"/>
        <v>43.42</v>
      </c>
      <c r="AZ571" s="43">
        <v>42.69</v>
      </c>
      <c r="BA571" s="43">
        <v>42.69</v>
      </c>
      <c r="BC571" s="73" t="str">
        <f t="shared" si="316"/>
        <v/>
      </c>
      <c r="BD571" s="73">
        <f t="shared" si="317"/>
        <v>127.76460000000002</v>
      </c>
      <c r="BE571" s="73">
        <f t="shared" si="318"/>
        <v>114.25899637070827</v>
      </c>
      <c r="BF571" s="77">
        <f t="shared" si="319"/>
        <v>13.51</v>
      </c>
      <c r="BG571" s="77">
        <f t="shared" si="320"/>
        <v>4.0529999999999999</v>
      </c>
      <c r="BH571" s="77">
        <f t="shared" si="321"/>
        <v>56.924599999999998</v>
      </c>
      <c r="BI571" s="78">
        <f t="shared" si="322"/>
        <v>0.24</v>
      </c>
      <c r="BJ571" s="79">
        <f t="shared" si="323"/>
        <v>0.10574133993297047</v>
      </c>
      <c r="BK571" s="80">
        <f t="shared" si="324"/>
        <v>114.26000000000002</v>
      </c>
      <c r="BL571" s="80">
        <f t="shared" si="325"/>
        <v>13.504599999999996</v>
      </c>
      <c r="BM571" s="79">
        <f t="shared" si="326"/>
        <v>0.10569907470457383</v>
      </c>
      <c r="BN571" s="81">
        <f t="shared" si="327"/>
        <v>0.88612244897959191</v>
      </c>
      <c r="BO571" s="82">
        <f t="shared" si="328"/>
        <v>43.42</v>
      </c>
      <c r="BP571" s="81">
        <f t="shared" si="329"/>
        <v>0.88612244897959191</v>
      </c>
      <c r="BQ571" s="81">
        <f t="shared" si="330"/>
        <v>0.88615955473098362</v>
      </c>
      <c r="BR571" s="81">
        <f t="shared" si="331"/>
        <v>1.1617636363636366</v>
      </c>
      <c r="BS571" s="82">
        <f t="shared" si="332"/>
        <v>49</v>
      </c>
      <c r="BT571" s="82">
        <f t="shared" si="333"/>
        <v>56.926418181818192</v>
      </c>
      <c r="BU571" s="82">
        <f t="shared" si="334"/>
        <v>56.924599999999998</v>
      </c>
      <c r="BW571" s="82">
        <f>IFERROR(INDEX('Infos Clientes'!$T:$T,MATCH('Detalhe Por UC'!$C571,'Infos Clientes'!B:B,0)),"")</f>
        <v>153.91666666666666</v>
      </c>
      <c r="BX571" s="83">
        <f t="shared" si="335"/>
        <v>0</v>
      </c>
      <c r="BY571" s="84">
        <f t="shared" si="336"/>
        <v>0.2372290481524314</v>
      </c>
      <c r="BZ571" s="85">
        <f>IF(_xlfn.MINIFS('Detalhe Por UC'!R:R,'Detalhe Por UC'!C:C,C571,'Detalhe Por UC'!AD:AD,"&gt;"&amp;0)=0,"",_xlfn.MINIFS('Detalhe Por UC'!R:R,'Detalhe Por UC'!C:C,C571,'Detalhe Por UC'!AD:AD,"&gt;"&amp;0))</f>
        <v>45627</v>
      </c>
      <c r="CA571" s="114">
        <f ca="1">IF(OR(S571&gt;0,AD571&gt;0),IFERROR(
SUMIFS(INDIRECT("'Infos Clientes'!$W"&amp;INDEX('Infos Clientes'!$C:$C,MATCH(C571,'Infos Clientes'!$H:$H,0))&amp;":$CZ"&amp;INDEX('Infos Clientes'!$C:$C,MATCH(C571,'Infos Clientes'!$H:$H,0))),'Infos Clientes'!$W$2:$CZ$2,"&gt;"&amp;$R571-365,'Infos Clientes'!$W$2:$CZ$2,"&lt;="&amp;$R571)/
COUNTIFS(INDIRECT("'Infos Clientes'!$W"&amp;INDEX('Infos Clientes'!$C:$C,MATCH(C571,'Infos Clientes'!$H:$H,0))&amp;":$CZ"&amp;INDEX('Infos Clientes'!$C:$C,MATCH(C571,'Infos Clientes'!$H:$H,0))),"&gt;="&amp;0,'Infos Clientes'!$W$2:$CZ$2,"&gt;"&amp;$R571-365,'Infos Clientes'!$W$2:$CZ$2,"&lt;="&amp;$R571),""),"")</f>
        <v>181.41666666666666</v>
      </c>
      <c r="CB571" s="87">
        <f>VLOOKUP(C571,'Infos Clientes'!B:L,11,0)</f>
        <v>0</v>
      </c>
      <c r="CC571" s="88" t="str">
        <f t="shared" si="337"/>
        <v>A Unidade Consumidora 10/257864-9 economizou R$13,51 na fatura referente à jun/2025  consumindo 49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1" s="40" t="s">
        <v>83</v>
      </c>
      <c r="CE571" s="43"/>
      <c r="CF571" s="115">
        <f t="shared" si="338"/>
        <v>-70.840000000000018</v>
      </c>
    </row>
    <row r="572" spans="1:84" ht="16.2" hidden="1" customHeight="1" x14ac:dyDescent="0.3">
      <c r="A572" s="105" t="str">
        <f>INDEX('Infos Clientes'!$D:$D,MATCH('Detalhe Por UC'!C572,'Infos Clientes'!B:B,0))</f>
        <v>IGREJA DO EVANGELHO QUADRANGULAR</v>
      </c>
      <c r="B572" s="106" t="str">
        <f>INDEX('Infos Clientes'!$F:$F,MATCH('Detalhe Por UC'!C572,'Infos Clientes'!B:B,0))</f>
        <v>62.955.505/3932-07</v>
      </c>
      <c r="C572" s="44" t="s">
        <v>18</v>
      </c>
      <c r="D572" t="s">
        <v>351</v>
      </c>
      <c r="E572" s="1" t="s">
        <v>352</v>
      </c>
      <c r="F572" s="56" t="str">
        <f>INDEX('Infos Clientes'!$I:$I,MATCH('Detalhe Por UC'!C572,'Infos Clientes'!B:B,0))</f>
        <v>BT</v>
      </c>
      <c r="G572" s="56" t="str">
        <f>INDEX('Infos Clientes'!$J:$J,MATCH('Detalhe Por UC'!C572,'Infos Clientes'!B:B,0))</f>
        <v>bifasico</v>
      </c>
      <c r="H572" s="47" t="str">
        <f t="shared" si="341"/>
        <v>GIROSSOL II</v>
      </c>
      <c r="I572" s="58">
        <f>IFERROR(VLOOKUP(C572,'Infos Clientes'!B:E,4,),"")</f>
        <v>302</v>
      </c>
      <c r="J572" s="109">
        <v>0.23725425614394724</v>
      </c>
      <c r="K572" s="59">
        <f>INDEX('Infos Clientes'!$M:$M,MATCH('Detalhe Por UC'!C572,'Infos Clientes'!B:B,0))</f>
        <v>0.25</v>
      </c>
      <c r="L572" s="125">
        <v>0</v>
      </c>
      <c r="M572" s="56">
        <f>INDEX('Infos Clientes'!$N:$N,MATCH('Detalhe Por UC'!C572,'Infos Clientes'!B:B,0))</f>
        <v>0</v>
      </c>
      <c r="N572" s="56">
        <f t="shared" si="303"/>
        <v>0</v>
      </c>
      <c r="O572" s="56">
        <f t="shared" si="304"/>
        <v>12</v>
      </c>
      <c r="P572" s="56">
        <f t="shared" si="339"/>
        <v>0</v>
      </c>
      <c r="Q572" s="61">
        <f>IFERROR(IFERROR(INDEX('Infos Clientes'!$A$2:$V$9884,MATCH($C572,'Infos Clientes'!$B$2:$B$9884,0),MATCH(Q$8,'Infos Clientes'!$A$2:$V$2,0)),"")
+IF(OR(INDEX('Infos Clientes'!$A$2:$V$9884,MATCH($C572,'Infos Clientes'!$B$2:$B$9884,0),MATCH("Tempo de Fidelidade (meses)",'Infos Clientes'!$A$2:$V$2,0))=0,R572&gt;=MAX(R:R)),0,
ROUND((MAX(R:R)-R572)/(365/12),0)),"")</f>
        <v>0</v>
      </c>
      <c r="R572" s="111">
        <v>45809</v>
      </c>
      <c r="S572" s="17">
        <v>5.0000000000000001E-3</v>
      </c>
      <c r="T572" s="113">
        <f>IF($H572="GIROSSOL II",AP572/INDEX('Resumo Operacional'!$A$1:$P$1103,17,MATCH('Detalhe Por UC'!$R572,'Resumo Operacional'!$A$1:$P$1,0)),
IF($H572="GIROSSOL II e III",AP572/INDEX('Resumo Operacional'!$A$1:$P$1103,17,MATCH('Detalhe Por UC'!$R572,'Resumo Operacional'!$A$1:$P$1,0)),
""))</f>
        <v>-2.7991281404152805E-2</v>
      </c>
      <c r="U572" s="113" t="str">
        <f>IF($H572="GIROSSOL III",AP572/INDEX('Resumo Operacional'!$A$1:$P$1103,53,MATCH('Detalhe Por UC'!$R572,'Resumo Operacional'!$A$1:$P$1,0)),
IF($H572="GIROSSOL II e III",AP572/INDEX('Resumo Operacional'!$A$1:$P$1103,53,MATCH('Detalhe Por UC'!$R572,'Resumo Operacional'!$A$1:$P$1,0)),
""))</f>
        <v/>
      </c>
      <c r="V572" s="45"/>
      <c r="X572" s="18">
        <v>1.1786102564102565</v>
      </c>
      <c r="Y572" s="18">
        <v>0</v>
      </c>
      <c r="Z572" s="18">
        <v>1.1782714285714286</v>
      </c>
      <c r="AA572" s="18"/>
      <c r="AB572" s="18">
        <v>78</v>
      </c>
      <c r="AC572" s="18"/>
      <c r="AD572" s="143">
        <v>28</v>
      </c>
      <c r="AE572" s="35"/>
      <c r="AF572" s="18"/>
      <c r="AG572" s="18"/>
      <c r="AH572" s="48">
        <v>0</v>
      </c>
      <c r="AI572" s="18">
        <v>0</v>
      </c>
      <c r="AJ572" s="18">
        <v>0</v>
      </c>
      <c r="AL572" s="146"/>
      <c r="AN572" s="71">
        <f t="shared" si="305"/>
        <v>-516</v>
      </c>
      <c r="AO572" s="71">
        <f t="shared" si="306"/>
        <v>0</v>
      </c>
      <c r="AP572" s="71">
        <f t="shared" si="307"/>
        <v>-488</v>
      </c>
      <c r="AQ572" s="72">
        <f>IF(OR($H572="GIROSSOL II",$H572="GIROSSOL II e III"),INDEX('Resumo Operacional'!$A$1:$P$1103,MATCH("Energia Injetada prevista total Fatura da Usina (TUSD)",'Resumo Operacional'!$B$1:$B$1103,0),MATCH('Detalhe Por UC'!$R572,'Resumo Operacional'!$A$1:$P$1,0))*$S572,INDEX('Resumo Operacional'!$A$1:$P$1103,53,MATCH('Detalhe Por UC'!$R572,'Resumo Operacional'!$A$1:$P$1,0))*$S572)</f>
        <v>87.17</v>
      </c>
      <c r="AR572" s="71">
        <f t="shared" si="308"/>
        <v>-575.16999999999996</v>
      </c>
      <c r="AS572" s="73">
        <f t="shared" si="309"/>
        <v>58.94</v>
      </c>
      <c r="AT572" s="74">
        <f t="shared" si="310"/>
        <v>58.94</v>
      </c>
      <c r="AU572" s="74">
        <f t="shared" si="311"/>
        <v>1.177932600732601</v>
      </c>
      <c r="AV572" s="74">
        <f t="shared" si="312"/>
        <v>25.16420248300135</v>
      </c>
      <c r="AW572" s="74">
        <f t="shared" si="313"/>
        <v>0</v>
      </c>
      <c r="AX572" s="74">
        <f t="shared" si="314"/>
        <v>32.991600000000005</v>
      </c>
      <c r="AY572" s="74">
        <f t="shared" si="315"/>
        <v>25.16</v>
      </c>
      <c r="AZ572" s="43">
        <v>24.74</v>
      </c>
      <c r="BA572" s="43">
        <v>24.74</v>
      </c>
      <c r="BB572" s="43">
        <v>24.74</v>
      </c>
      <c r="BC572" s="73" t="str">
        <f t="shared" si="316"/>
        <v/>
      </c>
      <c r="BD572" s="73">
        <f t="shared" si="317"/>
        <v>91.931600000000003</v>
      </c>
      <c r="BE572" s="73">
        <f t="shared" si="318"/>
        <v>84.104202483001345</v>
      </c>
      <c r="BF572" s="77">
        <f t="shared" si="319"/>
        <v>7.83</v>
      </c>
      <c r="BG572" s="77">
        <f t="shared" si="320"/>
        <v>2.3489999999999998</v>
      </c>
      <c r="BH572" s="77">
        <f t="shared" si="321"/>
        <v>32.991600000000005</v>
      </c>
      <c r="BI572" s="78">
        <f t="shared" si="322"/>
        <v>0.24</v>
      </c>
      <c r="BJ572" s="79">
        <f t="shared" si="323"/>
        <v>8.5172019196881152E-2</v>
      </c>
      <c r="BK572" s="80">
        <f t="shared" si="324"/>
        <v>84.1</v>
      </c>
      <c r="BL572" s="80">
        <f t="shared" si="325"/>
        <v>7.8316000000000088</v>
      </c>
      <c r="BM572" s="79">
        <f t="shared" si="326"/>
        <v>8.5189423440906159E-2</v>
      </c>
      <c r="BN572" s="81">
        <f t="shared" si="327"/>
        <v>0.89857142857142858</v>
      </c>
      <c r="BO572" s="82">
        <f t="shared" si="328"/>
        <v>25.16</v>
      </c>
      <c r="BP572" s="81">
        <f t="shared" si="329"/>
        <v>0.89857142857142858</v>
      </c>
      <c r="BQ572" s="81">
        <f t="shared" si="330"/>
        <v>0.89891025641025646</v>
      </c>
      <c r="BR572" s="81">
        <f t="shared" si="331"/>
        <v>1.1786102564102567</v>
      </c>
      <c r="BS572" s="82">
        <f t="shared" si="332"/>
        <v>28</v>
      </c>
      <c r="BT572" s="82">
        <f t="shared" si="333"/>
        <v>33.001087179487186</v>
      </c>
      <c r="BU572" s="82">
        <f t="shared" si="334"/>
        <v>32.991600000000005</v>
      </c>
      <c r="BW572" s="82">
        <f>IFERROR(INDEX('Infos Clientes'!$T:$T,MATCH('Detalhe Por UC'!$C572,'Infos Clientes'!B:B,0)),"")</f>
        <v>99.833333333333329</v>
      </c>
      <c r="BX572" s="83">
        <f t="shared" si="335"/>
        <v>0</v>
      </c>
      <c r="BY572" s="84">
        <f t="shared" si="336"/>
        <v>0.23731339387109548</v>
      </c>
      <c r="BZ572" s="85">
        <f>IF(_xlfn.MINIFS('Detalhe Por UC'!R:R,'Detalhe Por UC'!C:C,C572,'Detalhe Por UC'!AD:AD,"&gt;"&amp;0)=0,"",_xlfn.MINIFS('Detalhe Por UC'!R:R,'Detalhe Por UC'!C:C,C572,'Detalhe Por UC'!AD:AD,"&gt;"&amp;0))</f>
        <v>45627</v>
      </c>
      <c r="CA572" s="114">
        <f ca="1">IF(OR(S572&gt;0,AD572&gt;0),IFERROR(
SUMIFS(INDIRECT("'Infos Clientes'!$W"&amp;INDEX('Infos Clientes'!$C:$C,MATCH(C572,'Infos Clientes'!$H:$H,0))&amp;":$CZ"&amp;INDEX('Infos Clientes'!$C:$C,MATCH(C572,'Infos Clientes'!$H:$H,0))),'Infos Clientes'!$W$2:$CZ$2,"&gt;"&amp;$R572-365,'Infos Clientes'!$W$2:$CZ$2,"&lt;="&amp;$R572)/
COUNTIFS(INDIRECT("'Infos Clientes'!$W"&amp;INDEX('Infos Clientes'!$C:$C,MATCH(C572,'Infos Clientes'!$H:$H,0))&amp;":$CZ"&amp;INDEX('Infos Clientes'!$C:$C,MATCH(C572,'Infos Clientes'!$H:$H,0))),"&gt;="&amp;0,'Infos Clientes'!$W$2:$CZ$2,"&gt;"&amp;$R572-365,'Infos Clientes'!$W$2:$CZ$2,"&lt;="&amp;$R572),""),"")</f>
        <v>125.08333333333333</v>
      </c>
      <c r="CB572" s="87">
        <f>VLOOKUP(C572,'Infos Clientes'!B:L,11,0)</f>
        <v>0</v>
      </c>
      <c r="CC572" s="88" t="str">
        <f t="shared" si="337"/>
        <v>A Unidade Consumidora 10/10232-7 economizou R$7,83 na fatura referente à jun/2025  consumindo 28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2" s="40" t="s">
        <v>21</v>
      </c>
      <c r="CE572" s="43"/>
      <c r="CF572" s="115">
        <f t="shared" si="338"/>
        <v>-58.94</v>
      </c>
    </row>
    <row r="573" spans="1:84" ht="16.2" hidden="1" customHeight="1" x14ac:dyDescent="0.3">
      <c r="A573" s="105" t="str">
        <f>INDEX('Infos Clientes'!$D:$D,MATCH('Detalhe Por UC'!C573,'Infos Clientes'!B:B,0))</f>
        <v>IGREJA DO EVANGELHO QUADRANGULAR</v>
      </c>
      <c r="B573" s="106" t="str">
        <f>INDEX('Infos Clientes'!$F:$F,MATCH('Detalhe Por UC'!C573,'Infos Clientes'!B:B,0))</f>
        <v>62.955.505/0001-67</v>
      </c>
      <c r="C573" s="44" t="s">
        <v>103</v>
      </c>
      <c r="D573" t="s">
        <v>351</v>
      </c>
      <c r="E573" s="1" t="s">
        <v>352</v>
      </c>
      <c r="F573" s="56" t="str">
        <f>INDEX('Infos Clientes'!$I:$I,MATCH('Detalhe Por UC'!C573,'Infos Clientes'!B:B,0))</f>
        <v>BT</v>
      </c>
      <c r="G573" s="56" t="str">
        <f>INDEX('Infos Clientes'!$J:$J,MATCH('Detalhe Por UC'!C573,'Infos Clientes'!B:B,0))</f>
        <v>monofasico</v>
      </c>
      <c r="H573" s="47" t="str">
        <f t="shared" si="341"/>
        <v>GIROSSOL II</v>
      </c>
      <c r="I573" s="58">
        <f>IFERROR(VLOOKUP(C573,'Infos Clientes'!B:E,4,),"")</f>
        <v>306</v>
      </c>
      <c r="J573" s="109">
        <v>0.23725425614394724</v>
      </c>
      <c r="K573" s="59">
        <f>INDEX('Infos Clientes'!$M:$M,MATCH('Detalhe Por UC'!C573,'Infos Clientes'!B:B,0))</f>
        <v>0.25</v>
      </c>
      <c r="L573" s="125">
        <v>0</v>
      </c>
      <c r="M573" s="56">
        <f>INDEX('Infos Clientes'!$N:$N,MATCH('Detalhe Por UC'!C573,'Infos Clientes'!B:B,0))</f>
        <v>0</v>
      </c>
      <c r="N573" s="56">
        <f t="shared" si="303"/>
        <v>0</v>
      </c>
      <c r="O573" s="56">
        <f t="shared" si="304"/>
        <v>12</v>
      </c>
      <c r="P573" s="56">
        <f t="shared" si="339"/>
        <v>0</v>
      </c>
      <c r="Q573" s="61">
        <f>IFERROR(IFERROR(INDEX('Infos Clientes'!$A$2:$V$9884,MATCH($C573,'Infos Clientes'!$B$2:$B$9884,0),MATCH(Q$8,'Infos Clientes'!$A$2:$V$2,0)),"")
+IF(OR(INDEX('Infos Clientes'!$A$2:$V$9884,MATCH($C573,'Infos Clientes'!$B$2:$B$9884,0),MATCH("Tempo de Fidelidade (meses)",'Infos Clientes'!$A$2:$V$2,0))=0,R573&gt;=MAX(R:R)),0,
ROUND((MAX(R:R)-R573)/(365/12),0)),"")</f>
        <v>0</v>
      </c>
      <c r="R573" s="111">
        <v>45809</v>
      </c>
      <c r="S573" s="17">
        <v>7.0000000000000001E-3</v>
      </c>
      <c r="T573" s="113">
        <f>IF($H573="GIROSSOL II",AP573/INDEX('Resumo Operacional'!$A$1:$P$1103,17,MATCH('Detalhe Por UC'!$R573,'Resumo Operacional'!$A$1:$P$1,0)),
IF($H573="GIROSSOL II e III",AP573/INDEX('Resumo Operacional'!$A$1:$P$1103,17,MATCH('Detalhe Por UC'!$R573,'Resumo Operacional'!$A$1:$P$1,0)),
""))</f>
        <v>-2.0591946770677987E-2</v>
      </c>
      <c r="U573" s="113" t="str">
        <f>IF($H573="GIROSSOL III",AP573/INDEX('Resumo Operacional'!$A$1:$P$1103,53,MATCH('Detalhe Por UC'!$R573,'Resumo Operacional'!$A$1:$P$1,0)),
IF($H573="GIROSSOL II e III",AP573/INDEX('Resumo Operacional'!$A$1:$P$1103,53,MATCH('Detalhe Por UC'!$R573,'Resumo Operacional'!$A$1:$P$1,0)),
""))</f>
        <v/>
      </c>
      <c r="V573" s="45"/>
      <c r="X573" s="18">
        <v>1.1613870967741935</v>
      </c>
      <c r="Y573" s="18">
        <v>0</v>
      </c>
      <c r="Z573" s="18">
        <v>1.0904074074074073</v>
      </c>
      <c r="AA573" s="18"/>
      <c r="AB573" s="18">
        <v>155</v>
      </c>
      <c r="AC573" s="18"/>
      <c r="AD573" s="143">
        <v>135</v>
      </c>
      <c r="AE573" s="35"/>
      <c r="AF573" s="18"/>
      <c r="AG573" s="18"/>
      <c r="AH573" s="48">
        <v>0.71000000000000008</v>
      </c>
      <c r="AI573" s="18">
        <v>0</v>
      </c>
      <c r="AJ573" s="18">
        <v>0</v>
      </c>
      <c r="AL573" s="146"/>
      <c r="AN573" s="71">
        <f t="shared" si="305"/>
        <v>-494</v>
      </c>
      <c r="AO573" s="71">
        <f t="shared" si="306"/>
        <v>0</v>
      </c>
      <c r="AP573" s="71">
        <f t="shared" si="307"/>
        <v>-359</v>
      </c>
      <c r="AQ573" s="72">
        <f>IF(OR($H573="GIROSSOL II",$H573="GIROSSOL II e III"),INDEX('Resumo Operacional'!$A$1:$P$1103,MATCH("Energia Injetada prevista total Fatura da Usina (TUSD)",'Resumo Operacional'!$B$1:$B$1103,0),MATCH('Detalhe Por UC'!$R573,'Resumo Operacional'!$A$1:$P$1,0))*$S573,INDEX('Resumo Operacional'!$A$1:$P$1103,53,MATCH('Detalhe Por UC'!$R573,'Resumo Operacional'!$A$1:$P$1,0))*$S573)</f>
        <v>122.038</v>
      </c>
      <c r="AR573" s="71">
        <f t="shared" si="308"/>
        <v>-481.03800000000001</v>
      </c>
      <c r="AS573" s="73">
        <f t="shared" si="309"/>
        <v>33.520000000000003</v>
      </c>
      <c r="AT573" s="74">
        <f t="shared" si="310"/>
        <v>33.520000000000003</v>
      </c>
      <c r="AU573" s="74">
        <f t="shared" si="311"/>
        <v>1.019427718040621</v>
      </c>
      <c r="AV573" s="74">
        <f t="shared" si="312"/>
        <v>112.27998722433023</v>
      </c>
      <c r="AW573" s="74">
        <f t="shared" si="313"/>
        <v>0</v>
      </c>
      <c r="AX573" s="74">
        <f t="shared" si="314"/>
        <v>147.20499999999998</v>
      </c>
      <c r="AY573" s="74">
        <f t="shared" si="315"/>
        <v>112.28</v>
      </c>
      <c r="AZ573" s="43">
        <v>110.4</v>
      </c>
      <c r="BA573" s="43">
        <v>110.4</v>
      </c>
      <c r="BB573" s="43">
        <v>110.4</v>
      </c>
      <c r="BC573" s="73" t="str">
        <f t="shared" si="316"/>
        <v/>
      </c>
      <c r="BD573" s="73">
        <f t="shared" si="317"/>
        <v>180.72499999999999</v>
      </c>
      <c r="BE573" s="73">
        <f t="shared" si="318"/>
        <v>145.79998722433024</v>
      </c>
      <c r="BF573" s="77">
        <f t="shared" si="319"/>
        <v>34.93</v>
      </c>
      <c r="BG573" s="77">
        <f t="shared" si="320"/>
        <v>10.478999999999999</v>
      </c>
      <c r="BH573" s="77">
        <f t="shared" si="321"/>
        <v>147.20499999999998</v>
      </c>
      <c r="BI573" s="78">
        <f t="shared" si="322"/>
        <v>0.24</v>
      </c>
      <c r="BJ573" s="79">
        <f t="shared" si="323"/>
        <v>0.19327707843408495</v>
      </c>
      <c r="BK573" s="80">
        <f t="shared" si="324"/>
        <v>145.80000000000001</v>
      </c>
      <c r="BL573" s="80">
        <f t="shared" si="325"/>
        <v>34.924999999999983</v>
      </c>
      <c r="BM573" s="79">
        <f t="shared" si="326"/>
        <v>0.1932494120901922</v>
      </c>
      <c r="BN573" s="81">
        <f t="shared" si="327"/>
        <v>0.83170370370370372</v>
      </c>
      <c r="BO573" s="82">
        <f t="shared" si="328"/>
        <v>112.28</v>
      </c>
      <c r="BP573" s="81">
        <f t="shared" si="329"/>
        <v>0.83170370370370372</v>
      </c>
      <c r="BQ573" s="81">
        <f t="shared" si="330"/>
        <v>0.90268339307048995</v>
      </c>
      <c r="BR573" s="81">
        <f t="shared" si="331"/>
        <v>1.1613870967741935</v>
      </c>
      <c r="BS573" s="82">
        <f t="shared" si="332"/>
        <v>135</v>
      </c>
      <c r="BT573" s="82">
        <f t="shared" si="333"/>
        <v>156.78725806451612</v>
      </c>
      <c r="BU573" s="82">
        <f t="shared" si="334"/>
        <v>147.20499999999998</v>
      </c>
      <c r="BW573" s="82">
        <f>IFERROR(INDEX('Infos Clientes'!$T:$T,MATCH('Detalhe Por UC'!$C573,'Infos Clientes'!B:B,0)),"")</f>
        <v>144</v>
      </c>
      <c r="BX573" s="83">
        <f t="shared" si="335"/>
        <v>0</v>
      </c>
      <c r="BY573" s="84">
        <f t="shared" si="336"/>
        <v>0.22275407090561372</v>
      </c>
      <c r="BZ573" s="85">
        <f>IF(_xlfn.MINIFS('Detalhe Por UC'!R:R,'Detalhe Por UC'!C:C,C573,'Detalhe Por UC'!AD:AD,"&gt;"&amp;0)=0,"",_xlfn.MINIFS('Detalhe Por UC'!R:R,'Detalhe Por UC'!C:C,C573,'Detalhe Por UC'!AD:AD,"&gt;"&amp;0))</f>
        <v>45627</v>
      </c>
      <c r="CA573" s="114">
        <f ca="1">IF(OR(S573&gt;0,AD573&gt;0),IFERROR(
SUMIFS(INDIRECT("'Infos Clientes'!$W"&amp;INDEX('Infos Clientes'!$C:$C,MATCH(C573,'Infos Clientes'!$H:$H,0))&amp;":$CZ"&amp;INDEX('Infos Clientes'!$C:$C,MATCH(C573,'Infos Clientes'!$H:$H,0))),'Infos Clientes'!$W$2:$CZ$2,"&gt;"&amp;$R573-365,'Infos Clientes'!$W$2:$CZ$2,"&lt;="&amp;$R573)/
COUNTIFS(INDIRECT("'Infos Clientes'!$W"&amp;INDEX('Infos Clientes'!$C:$C,MATCH(C573,'Infos Clientes'!$H:$H,0))&amp;":$CZ"&amp;INDEX('Infos Clientes'!$C:$C,MATCH(C573,'Infos Clientes'!$H:$H,0))),"&gt;="&amp;0,'Infos Clientes'!$W$2:$CZ$2,"&gt;"&amp;$R573-365,'Infos Clientes'!$W$2:$CZ$2,"&lt;="&amp;$R573),""),"")</f>
        <v>123.08333333333333</v>
      </c>
      <c r="CB573" s="87">
        <f>VLOOKUP(C573,'Infos Clientes'!B:L,11,0)</f>
        <v>0</v>
      </c>
      <c r="CC573" s="88" t="str">
        <f t="shared" si="337"/>
        <v>A Unidade Consumidora 10/384823-1 economizou R$34,93 na fatura referente à jun/2025  consumindo 135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3" s="40" t="s">
        <v>105</v>
      </c>
      <c r="CE573" s="43"/>
      <c r="CF573" s="115">
        <f t="shared" si="338"/>
        <v>-33.520000000000003</v>
      </c>
    </row>
    <row r="574" spans="1:84" ht="16.2" hidden="1" customHeight="1" x14ac:dyDescent="0.3">
      <c r="A574" s="105" t="str">
        <f>INDEX('Infos Clientes'!$D:$D,MATCH('Detalhe Por UC'!C574,'Infos Clientes'!B:B,0))</f>
        <v>IGREJA DO EVANGELHO QUADRANGULAR</v>
      </c>
      <c r="B574" s="106" t="str">
        <f>INDEX('Infos Clientes'!$F:$F,MATCH('Detalhe Por UC'!C574,'Infos Clientes'!B:B,0))</f>
        <v>62.955.505/3793-95</v>
      </c>
      <c r="C574" s="44" t="s">
        <v>84</v>
      </c>
      <c r="D574" t="s">
        <v>351</v>
      </c>
      <c r="E574" s="1" t="s">
        <v>352</v>
      </c>
      <c r="F574" s="56" t="str">
        <f>INDEX('Infos Clientes'!$I:$I,MATCH('Detalhe Por UC'!C574,'Infos Clientes'!B:B,0))</f>
        <v>BT</v>
      </c>
      <c r="G574" s="56" t="str">
        <f>INDEX('Infos Clientes'!$J:$J,MATCH('Detalhe Por UC'!C574,'Infos Clientes'!B:B,0))</f>
        <v>trifasico</v>
      </c>
      <c r="H574" s="47" t="str">
        <f t="shared" si="341"/>
        <v>GIROSSOL II</v>
      </c>
      <c r="I574" s="58">
        <f>IFERROR(VLOOKUP(C574,'Infos Clientes'!B:E,4,),"")</f>
        <v>302</v>
      </c>
      <c r="J574" s="109">
        <v>0.23725425614394724</v>
      </c>
      <c r="K574" s="59">
        <f>INDEX('Infos Clientes'!$M:$M,MATCH('Detalhe Por UC'!C574,'Infos Clientes'!B:B,0))</f>
        <v>0.25</v>
      </c>
      <c r="L574" s="125">
        <v>0</v>
      </c>
      <c r="M574" s="56">
        <f>INDEX('Infos Clientes'!$N:$N,MATCH('Detalhe Por UC'!C574,'Infos Clientes'!B:B,0))</f>
        <v>0</v>
      </c>
      <c r="N574" s="56">
        <f t="shared" si="303"/>
        <v>0</v>
      </c>
      <c r="O574" s="56">
        <f t="shared" si="304"/>
        <v>12</v>
      </c>
      <c r="P574" s="56">
        <f t="shared" si="339"/>
        <v>0</v>
      </c>
      <c r="Q574" s="61">
        <f>IFERROR(IFERROR(INDEX('Infos Clientes'!$A$2:$V$9884,MATCH($C574,'Infos Clientes'!$B$2:$B$9884,0),MATCH(Q$8,'Infos Clientes'!$A$2:$V$2,0)),"")
+IF(OR(INDEX('Infos Clientes'!$A$2:$V$9884,MATCH($C574,'Infos Clientes'!$B$2:$B$9884,0),MATCH("Tempo de Fidelidade (meses)",'Infos Clientes'!$A$2:$V$2,0))=0,R574&gt;=MAX(R:R)),0,
ROUND((MAX(R:R)-R574)/(365/12),0)),"")</f>
        <v>0</v>
      </c>
      <c r="R574" s="111">
        <v>45809</v>
      </c>
      <c r="S574" s="17">
        <v>0.06</v>
      </c>
      <c r="T574" s="113">
        <f>IF($H574="GIROSSOL II",AP574/INDEX('Resumo Operacional'!$A$1:$P$1103,17,MATCH('Detalhe Por UC'!$R574,'Resumo Operacional'!$A$1:$P$1,0)),
IF($H574="GIROSSOL II e III",AP574/INDEX('Resumo Operacional'!$A$1:$P$1103,17,MATCH('Detalhe Por UC'!$R574,'Resumo Operacional'!$A$1:$P$1,0)),
""))</f>
        <v>2.6729379373637719E-2</v>
      </c>
      <c r="U574" s="113" t="str">
        <f>IF($H574="GIROSSOL III",AP574/INDEX('Resumo Operacional'!$A$1:$P$1103,53,MATCH('Detalhe Por UC'!$R574,'Resumo Operacional'!$A$1:$P$1,0)),
IF($H574="GIROSSOL II e III",AP574/INDEX('Resumo Operacional'!$A$1:$P$1103,53,MATCH('Detalhe Por UC'!$R574,'Resumo Operacional'!$A$1:$P$1,0)),
""))</f>
        <v/>
      </c>
      <c r="V574" s="45"/>
      <c r="X574" s="18">
        <v>1.1552285714285713</v>
      </c>
      <c r="Y574" s="18">
        <v>0</v>
      </c>
      <c r="Z574" s="18">
        <v>1.1552364640883976</v>
      </c>
      <c r="AA574" s="18"/>
      <c r="AB574" s="18">
        <v>462</v>
      </c>
      <c r="AC574" s="18"/>
      <c r="AD574" s="143">
        <v>362</v>
      </c>
      <c r="AE574" s="35"/>
      <c r="AF574" s="18">
        <v>691</v>
      </c>
      <c r="AG574" s="18">
        <v>0</v>
      </c>
      <c r="AH574" s="48">
        <v>6.4099999999999993</v>
      </c>
      <c r="AI574" s="18">
        <v>0</v>
      </c>
      <c r="AJ574" s="18">
        <v>0</v>
      </c>
      <c r="AL574" s="146"/>
      <c r="AN574" s="71">
        <f t="shared" si="305"/>
        <v>104</v>
      </c>
      <c r="AO574" s="71">
        <f t="shared" si="306"/>
        <v>0</v>
      </c>
      <c r="AP574" s="71">
        <f t="shared" si="307"/>
        <v>466</v>
      </c>
      <c r="AQ574" s="72">
        <f>IF(OR($H574="GIROSSOL II",$H574="GIROSSOL II e III"),INDEX('Resumo Operacional'!$A$1:$P$1103,MATCH("Energia Injetada prevista total Fatura da Usina (TUSD)",'Resumo Operacional'!$B$1:$B$1103,0),MATCH('Detalhe Por UC'!$R574,'Resumo Operacional'!$A$1:$P$1,0))*$S574,INDEX('Resumo Operacional'!$A$1:$P$1103,53,MATCH('Detalhe Por UC'!$R574,'Resumo Operacional'!$A$1:$P$1,0))*$S574)</f>
        <v>1046.04</v>
      </c>
      <c r="AR574" s="71">
        <f t="shared" si="308"/>
        <v>-580.04</v>
      </c>
      <c r="AS574" s="73">
        <f t="shared" si="309"/>
        <v>121.92999999999992</v>
      </c>
      <c r="AT574" s="74">
        <f t="shared" si="310"/>
        <v>121.92999999999992</v>
      </c>
      <c r="AU574" s="74">
        <f t="shared" si="311"/>
        <v>1.155244356748224</v>
      </c>
      <c r="AV574" s="74">
        <f t="shared" si="312"/>
        <v>318.97691399932825</v>
      </c>
      <c r="AW574" s="74">
        <f t="shared" si="313"/>
        <v>0</v>
      </c>
      <c r="AX574" s="74">
        <f t="shared" si="314"/>
        <v>418.19559999999996</v>
      </c>
      <c r="AY574" s="74">
        <f t="shared" si="315"/>
        <v>318.98</v>
      </c>
      <c r="AZ574" s="43">
        <v>313.64999999999998</v>
      </c>
      <c r="BA574" s="43">
        <v>313.64999999999998</v>
      </c>
      <c r="BB574" s="43">
        <v>313.64999999999998</v>
      </c>
      <c r="BC574" s="73" t="str">
        <f t="shared" si="316"/>
        <v/>
      </c>
      <c r="BD574" s="73">
        <f t="shared" si="317"/>
        <v>540.12559999999985</v>
      </c>
      <c r="BE574" s="73">
        <f t="shared" si="318"/>
        <v>440.90691399932814</v>
      </c>
      <c r="BF574" s="77">
        <f t="shared" si="319"/>
        <v>99.22</v>
      </c>
      <c r="BG574" s="77">
        <f t="shared" si="320"/>
        <v>29.765999999999998</v>
      </c>
      <c r="BH574" s="77">
        <f t="shared" si="321"/>
        <v>418.1955999999999</v>
      </c>
      <c r="BI574" s="78">
        <f t="shared" si="322"/>
        <v>0.24</v>
      </c>
      <c r="BJ574" s="79">
        <f t="shared" si="323"/>
        <v>0.18369801394342358</v>
      </c>
      <c r="BK574" s="80">
        <f t="shared" si="324"/>
        <v>440.90999999999997</v>
      </c>
      <c r="BL574" s="80">
        <f t="shared" si="325"/>
        <v>99.215599999999881</v>
      </c>
      <c r="BM574" s="79">
        <f t="shared" si="326"/>
        <v>0.1836898676900334</v>
      </c>
      <c r="BN574" s="81">
        <f t="shared" si="327"/>
        <v>0.88116022099447522</v>
      </c>
      <c r="BO574" s="82">
        <f t="shared" si="328"/>
        <v>318.98</v>
      </c>
      <c r="BP574" s="81">
        <f t="shared" si="329"/>
        <v>0.88116022099447522</v>
      </c>
      <c r="BQ574" s="81">
        <f t="shared" si="330"/>
        <v>0.88115232833464885</v>
      </c>
      <c r="BR574" s="81">
        <f t="shared" si="331"/>
        <v>1.1552285714285713</v>
      </c>
      <c r="BS574" s="82">
        <f t="shared" si="332"/>
        <v>362</v>
      </c>
      <c r="BT574" s="82">
        <f t="shared" si="333"/>
        <v>418.19274285714278</v>
      </c>
      <c r="BU574" s="82">
        <f t="shared" si="334"/>
        <v>418.19559999999996</v>
      </c>
      <c r="BW574" s="82">
        <f>IFERROR(INDEX('Infos Clientes'!$T:$T,MATCH('Detalhe Por UC'!$C574,'Infos Clientes'!B:B,0)),"")</f>
        <v>818</v>
      </c>
      <c r="BX574" s="83">
        <f t="shared" si="335"/>
        <v>0</v>
      </c>
      <c r="BY574" s="84">
        <f t="shared" si="336"/>
        <v>0.23724849771936998</v>
      </c>
      <c r="BZ574" s="85">
        <f>IF(_xlfn.MINIFS('Detalhe Por UC'!R:R,'Detalhe Por UC'!C:C,C574,'Detalhe Por UC'!AD:AD,"&gt;"&amp;0)=0,"",_xlfn.MINIFS('Detalhe Por UC'!R:R,'Detalhe Por UC'!C:C,C574,'Detalhe Por UC'!AD:AD,"&gt;"&amp;0))</f>
        <v>45627</v>
      </c>
      <c r="CA574" s="114">
        <f ca="1">IF(OR(S574&gt;0,AD574&gt;0),IFERROR(
SUMIFS(INDIRECT("'Infos Clientes'!$W"&amp;INDEX('Infos Clientes'!$C:$C,MATCH(C574,'Infos Clientes'!$H:$H,0))&amp;":$CZ"&amp;INDEX('Infos Clientes'!$C:$C,MATCH(C574,'Infos Clientes'!$H:$H,0))),'Infos Clientes'!$W$2:$CZ$2,"&gt;"&amp;$R574-365,'Infos Clientes'!$W$2:$CZ$2,"&lt;="&amp;$R574)/
COUNTIFS(INDIRECT("'Infos Clientes'!$W"&amp;INDEX('Infos Clientes'!$C:$C,MATCH(C574,'Infos Clientes'!$H:$H,0))&amp;":$CZ"&amp;INDEX('Infos Clientes'!$C:$C,MATCH(C574,'Infos Clientes'!$H:$H,0))),"&gt;="&amp;0,'Infos Clientes'!$W$2:$CZ$2,"&gt;"&amp;$R574-365,'Infos Clientes'!$W$2:$CZ$2,"&lt;="&amp;$R574),""),"")</f>
        <v>862.25</v>
      </c>
      <c r="CB574" s="87">
        <f>VLOOKUP(C574,'Infos Clientes'!B:L,11,0)</f>
        <v>0</v>
      </c>
      <c r="CC574" s="88" t="str">
        <f t="shared" si="337"/>
        <v>A Unidade Consumidora 10/2599101-9 economizou R$99,22 na fatura referente à jun/2025  consumindo 362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4" s="40" t="s">
        <v>86</v>
      </c>
      <c r="CE574" s="43"/>
      <c r="CF574" s="115">
        <f t="shared" si="338"/>
        <v>-121.92999999999992</v>
      </c>
    </row>
    <row r="575" spans="1:84" ht="16.2" hidden="1" customHeight="1" x14ac:dyDescent="0.3">
      <c r="A575" s="105" t="str">
        <f>INDEX('Infos Clientes'!$D:$D,MATCH('Detalhe Por UC'!C575,'Infos Clientes'!B:B,0))</f>
        <v>IGREJA DO EVANGELHO QUADRANGULAR</v>
      </c>
      <c r="B575" s="106" t="str">
        <f>INDEX('Infos Clientes'!$F:$F,MATCH('Detalhe Por UC'!C575,'Infos Clientes'!B:B,0))</f>
        <v>62.955.505/0164-03</v>
      </c>
      <c r="C575" s="44" t="s">
        <v>70</v>
      </c>
      <c r="D575" t="s">
        <v>351</v>
      </c>
      <c r="E575" s="1" t="s">
        <v>352</v>
      </c>
      <c r="F575" s="56" t="str">
        <f>INDEX('Infos Clientes'!$I:$I,MATCH('Detalhe Por UC'!C575,'Infos Clientes'!B:B,0))</f>
        <v>BT</v>
      </c>
      <c r="G575" s="56" t="str">
        <f>INDEX('Infos Clientes'!$J:$J,MATCH('Detalhe Por UC'!C575,'Infos Clientes'!B:B,0))</f>
        <v>trifasico</v>
      </c>
      <c r="H575" s="47" t="str">
        <f t="shared" si="341"/>
        <v>GIROSSOL II</v>
      </c>
      <c r="I575" s="58">
        <f>IFERROR(VLOOKUP(C575,'Infos Clientes'!B:E,4,),"")</f>
        <v>371</v>
      </c>
      <c r="J575" s="109">
        <v>0.23725425614394724</v>
      </c>
      <c r="K575" s="59">
        <f>INDEX('Infos Clientes'!$M:$M,MATCH('Detalhe Por UC'!C575,'Infos Clientes'!B:B,0))</f>
        <v>0.25</v>
      </c>
      <c r="L575" s="125">
        <v>0</v>
      </c>
      <c r="M575" s="56">
        <f>INDEX('Infos Clientes'!$N:$N,MATCH('Detalhe Por UC'!C575,'Infos Clientes'!B:B,0))</f>
        <v>0</v>
      </c>
      <c r="N575" s="56">
        <f t="shared" si="303"/>
        <v>0</v>
      </c>
      <c r="O575" s="56">
        <f t="shared" si="304"/>
        <v>12</v>
      </c>
      <c r="P575" s="56">
        <f t="shared" si="339"/>
        <v>0</v>
      </c>
      <c r="Q575" s="61">
        <f>IFERROR(IFERROR(INDEX('Infos Clientes'!$A$2:$V$9884,MATCH($C575,'Infos Clientes'!$B$2:$B$9884,0),MATCH(Q$8,'Infos Clientes'!$A$2:$V$2,0)),"")
+IF(OR(INDEX('Infos Clientes'!$A$2:$V$9884,MATCH($C575,'Infos Clientes'!$B$2:$B$9884,0),MATCH("Tempo de Fidelidade (meses)",'Infos Clientes'!$A$2:$V$2,0))=0,R575&gt;=MAX(R:R)),0,
ROUND((MAX(R:R)-R575)/(365/12),0)),"")</f>
        <v>0</v>
      </c>
      <c r="R575" s="111">
        <v>45809</v>
      </c>
      <c r="S575" s="17">
        <v>4.2000000000000003E-2</v>
      </c>
      <c r="T575" s="113">
        <f>IF($H575="GIROSSOL II",AP575/INDEX('Resumo Operacional'!$A$1:$P$1103,17,MATCH('Detalhe Por UC'!$R575,'Resumo Operacional'!$A$1:$P$1,0)),
IF($H575="GIROSSOL II e III",AP575/INDEX('Resumo Operacional'!$A$1:$P$1103,17,MATCH('Detalhe Por UC'!$R575,'Resumo Operacional'!$A$1:$P$1,0)),
""))</f>
        <v>0</v>
      </c>
      <c r="U575" s="113" t="str">
        <f>IF($H575="GIROSSOL III",AP575/INDEX('Resumo Operacional'!$A$1:$P$1103,53,MATCH('Detalhe Por UC'!$R575,'Resumo Operacional'!$A$1:$P$1,0)),
IF($H575="GIROSSOL II e III",AP575/INDEX('Resumo Operacional'!$A$1:$P$1103,53,MATCH('Detalhe Por UC'!$R575,'Resumo Operacional'!$A$1:$P$1,0)),
""))</f>
        <v/>
      </c>
      <c r="V575" s="45"/>
      <c r="X575" s="18">
        <v>1.1704597741707834</v>
      </c>
      <c r="Y575" s="18">
        <v>0</v>
      </c>
      <c r="Z575" s="18">
        <v>1.170465268676278</v>
      </c>
      <c r="AA575" s="18"/>
      <c r="AB575" s="18">
        <v>520</v>
      </c>
      <c r="AC575" s="18"/>
      <c r="AD575" s="143">
        <v>84</v>
      </c>
      <c r="AE575" s="35"/>
      <c r="AF575" s="18">
        <v>0</v>
      </c>
      <c r="AG575" s="18">
        <v>0</v>
      </c>
      <c r="AH575" s="48">
        <v>131.06</v>
      </c>
      <c r="AI575" s="18">
        <v>0</v>
      </c>
      <c r="AJ575" s="18">
        <v>0</v>
      </c>
      <c r="AL575" s="146"/>
      <c r="AN575" s="71">
        <f t="shared" si="305"/>
        <v>-84</v>
      </c>
      <c r="AO575" s="71">
        <f t="shared" si="306"/>
        <v>0</v>
      </c>
      <c r="AP575" s="71">
        <f t="shared" si="307"/>
        <v>0</v>
      </c>
      <c r="AQ575" s="72">
        <f>IF(OR($H575="GIROSSOL II",$H575="GIROSSOL II e III"),INDEX('Resumo Operacional'!$A$1:$P$1103,MATCH("Energia Injetada prevista total Fatura da Usina (TUSD)",'Resumo Operacional'!$B$1:$B$1103,0),MATCH('Detalhe Por UC'!$R575,'Resumo Operacional'!$A$1:$P$1,0))*$S575,INDEX('Resumo Operacional'!$A$1:$P$1103,53,MATCH('Detalhe Por UC'!$R575,'Resumo Operacional'!$A$1:$P$1,0))*$S575)</f>
        <v>732.22800000000007</v>
      </c>
      <c r="AR575" s="71">
        <f t="shared" si="308"/>
        <v>-732.22800000000007</v>
      </c>
      <c r="AS575" s="73">
        <f t="shared" si="309"/>
        <v>641.38</v>
      </c>
      <c r="AT575" s="74">
        <f t="shared" si="310"/>
        <v>641.38</v>
      </c>
      <c r="AU575" s="74">
        <f t="shared" si="311"/>
        <v>1.1704707631817726</v>
      </c>
      <c r="AV575" s="74">
        <f t="shared" si="312"/>
        <v>74.992461769189632</v>
      </c>
      <c r="AW575" s="74">
        <f t="shared" si="313"/>
        <v>0</v>
      </c>
      <c r="AX575" s="74">
        <f t="shared" si="314"/>
        <v>98.319082568807346</v>
      </c>
      <c r="AY575" s="74">
        <f t="shared" si="315"/>
        <v>74.989999999999995</v>
      </c>
      <c r="AZ575" s="43">
        <v>73.739999999999995</v>
      </c>
      <c r="BA575" s="43">
        <v>73.739999999999995</v>
      </c>
      <c r="BB575" s="43">
        <v>73.739999999999995</v>
      </c>
      <c r="BC575" s="73" t="str">
        <f t="shared" si="316"/>
        <v/>
      </c>
      <c r="BD575" s="73">
        <f t="shared" si="317"/>
        <v>739.6990825688074</v>
      </c>
      <c r="BE575" s="73">
        <f t="shared" si="318"/>
        <v>716.37246176918961</v>
      </c>
      <c r="BF575" s="77">
        <f t="shared" si="319"/>
        <v>23.33</v>
      </c>
      <c r="BG575" s="77">
        <f t="shared" si="320"/>
        <v>6.9989999999999997</v>
      </c>
      <c r="BH575" s="77">
        <f t="shared" si="321"/>
        <v>98.31908256880736</v>
      </c>
      <c r="BI575" s="78">
        <f t="shared" si="322"/>
        <v>0.24</v>
      </c>
      <c r="BJ575" s="79">
        <f t="shared" si="323"/>
        <v>3.1539852555961256E-2</v>
      </c>
      <c r="BK575" s="80">
        <f t="shared" si="324"/>
        <v>716.37</v>
      </c>
      <c r="BL575" s="80">
        <f t="shared" si="325"/>
        <v>23.329082568807394</v>
      </c>
      <c r="BM575" s="79">
        <f t="shared" si="326"/>
        <v>3.1538612279727013E-2</v>
      </c>
      <c r="BN575" s="81">
        <f t="shared" si="327"/>
        <v>0.89273809523809522</v>
      </c>
      <c r="BO575" s="82">
        <f t="shared" si="328"/>
        <v>74.989999999999995</v>
      </c>
      <c r="BP575" s="81">
        <f t="shared" si="329"/>
        <v>0.89273809523809522</v>
      </c>
      <c r="BQ575" s="81">
        <f t="shared" si="330"/>
        <v>0.89273260073260063</v>
      </c>
      <c r="BR575" s="81">
        <f t="shared" si="331"/>
        <v>1.1704597741707834</v>
      </c>
      <c r="BS575" s="82">
        <f t="shared" si="332"/>
        <v>84</v>
      </c>
      <c r="BT575" s="82">
        <f t="shared" si="333"/>
        <v>98.31862103034581</v>
      </c>
      <c r="BU575" s="82">
        <f t="shared" si="334"/>
        <v>98.319082568807346</v>
      </c>
      <c r="BW575" s="82">
        <f>IFERROR(INDEX('Infos Clientes'!$T:$T,MATCH('Detalhe Por UC'!$C575,'Infos Clientes'!B:B,0)),"")</f>
        <v>796.66666666666663</v>
      </c>
      <c r="BX575" s="83">
        <f t="shared" si="335"/>
        <v>0</v>
      </c>
      <c r="BY575" s="84">
        <f t="shared" si="336"/>
        <v>0.2372804085769967</v>
      </c>
      <c r="BZ575" s="85">
        <f>IF(_xlfn.MINIFS('Detalhe Por UC'!R:R,'Detalhe Por UC'!C:C,C575,'Detalhe Por UC'!AD:AD,"&gt;"&amp;0)=0,"",_xlfn.MINIFS('Detalhe Por UC'!R:R,'Detalhe Por UC'!C:C,C575,'Detalhe Por UC'!AD:AD,"&gt;"&amp;0))</f>
        <v>45627</v>
      </c>
      <c r="CA575" s="114">
        <f ca="1">IF(OR(S575&gt;0,AD575&gt;0),IFERROR(
SUMIFS(INDIRECT("'Infos Clientes'!$W"&amp;INDEX('Infos Clientes'!$C:$C,MATCH(C575,'Infos Clientes'!$H:$H,0))&amp;":$CZ"&amp;INDEX('Infos Clientes'!$C:$C,MATCH(C575,'Infos Clientes'!$H:$H,0))),'Infos Clientes'!$W$2:$CZ$2,"&gt;"&amp;$R575-365,'Infos Clientes'!$W$2:$CZ$2,"&lt;="&amp;$R575)/
COUNTIFS(INDIRECT("'Infos Clientes'!$W"&amp;INDEX('Infos Clientes'!$C:$C,MATCH(C575,'Infos Clientes'!$H:$H,0))&amp;":$CZ"&amp;INDEX('Infos Clientes'!$C:$C,MATCH(C575,'Infos Clientes'!$H:$H,0))),"&gt;="&amp;0,'Infos Clientes'!$W$2:$CZ$2,"&gt;"&amp;$R575-365,'Infos Clientes'!$W$2:$CZ$2,"&lt;="&amp;$R575),""),"")</f>
        <v>766.66666666666663</v>
      </c>
      <c r="CB575" s="87">
        <f>VLOOKUP(C575,'Infos Clientes'!B:L,11,0)</f>
        <v>0</v>
      </c>
      <c r="CC575" s="88" t="str">
        <f t="shared" si="337"/>
        <v>A Unidade Consumidora 10/202838-9 economizou R$23,33 na fatura referente à jun/2025  consumindo 84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5" s="40" t="s">
        <v>72</v>
      </c>
      <c r="CE575" s="43"/>
      <c r="CF575" s="115">
        <f t="shared" si="338"/>
        <v>-641.38</v>
      </c>
    </row>
    <row r="576" spans="1:84" ht="16.2" hidden="1" customHeight="1" x14ac:dyDescent="0.3">
      <c r="A576" s="105" t="str">
        <f>INDEX('Infos Clientes'!$D:$D,MATCH('Detalhe Por UC'!C576,'Infos Clientes'!B:B,0))</f>
        <v>IGREJA DO EVANGELHO QUADRANGULAR</v>
      </c>
      <c r="B576" s="106" t="str">
        <f>INDEX('Infos Clientes'!$F:$F,MATCH('Detalhe Por UC'!C576,'Infos Clientes'!B:B,0))</f>
        <v>62.955.505/4194-43</v>
      </c>
      <c r="C576" s="44" t="s">
        <v>67</v>
      </c>
      <c r="D576" t="s">
        <v>351</v>
      </c>
      <c r="E576" s="1" t="s">
        <v>352</v>
      </c>
      <c r="F576" s="56" t="str">
        <f>INDEX('Infos Clientes'!$I:$I,MATCH('Detalhe Por UC'!C576,'Infos Clientes'!B:B,0))</f>
        <v>BT</v>
      </c>
      <c r="G576" s="56" t="str">
        <f>INDEX('Infos Clientes'!$J:$J,MATCH('Detalhe Por UC'!C576,'Infos Clientes'!B:B,0))</f>
        <v>bifasico</v>
      </c>
      <c r="H576" s="47" t="str">
        <f t="shared" si="341"/>
        <v>GIROSSOL II</v>
      </c>
      <c r="I576" s="58">
        <f>IFERROR(VLOOKUP(C576,'Infos Clientes'!B:E,4,),"")</f>
        <v>331</v>
      </c>
      <c r="J576" s="109">
        <v>0.23725425614394724</v>
      </c>
      <c r="K576" s="59">
        <f>INDEX('Infos Clientes'!$M:$M,MATCH('Detalhe Por UC'!C576,'Infos Clientes'!B:B,0))</f>
        <v>0.25</v>
      </c>
      <c r="L576" s="125">
        <v>0</v>
      </c>
      <c r="M576" s="56">
        <f>INDEX('Infos Clientes'!$N:$N,MATCH('Detalhe Por UC'!C576,'Infos Clientes'!B:B,0))</f>
        <v>0</v>
      </c>
      <c r="N576" s="56">
        <f t="shared" si="303"/>
        <v>0</v>
      </c>
      <c r="O576" s="56">
        <f t="shared" si="304"/>
        <v>12</v>
      </c>
      <c r="P576" s="56">
        <f t="shared" si="339"/>
        <v>0</v>
      </c>
      <c r="Q576" s="61">
        <f>IFERROR(IFERROR(INDEX('Infos Clientes'!$A$2:$V$9884,MATCH($C576,'Infos Clientes'!$B$2:$B$9884,0),MATCH(Q$8,'Infos Clientes'!$A$2:$V$2,0)),"")
+IF(OR(INDEX('Infos Clientes'!$A$2:$V$9884,MATCH($C576,'Infos Clientes'!$B$2:$B$9884,0),MATCH("Tempo de Fidelidade (meses)",'Infos Clientes'!$A$2:$V$2,0))=0,R576&gt;=MAX(R:R)),0,
ROUND((MAX(R:R)-R576)/(365/12),0)),"")</f>
        <v>0</v>
      </c>
      <c r="R576" s="111">
        <v>45809</v>
      </c>
      <c r="S576" s="17">
        <v>0.02</v>
      </c>
      <c r="T576" s="113">
        <f>IF($H576="GIROSSOL II",AP576/INDEX('Resumo Operacional'!$A$1:$P$1103,17,MATCH('Detalhe Por UC'!$R576,'Resumo Operacional'!$A$1:$P$1,0)),
IF($H576="GIROSSOL II e III",AP576/INDEX('Resumo Operacional'!$A$1:$P$1103,17,MATCH('Detalhe Por UC'!$R576,'Resumo Operacional'!$A$1:$P$1,0)),
""))</f>
        <v>0</v>
      </c>
      <c r="U576" s="113" t="str">
        <f>IF($H576="GIROSSOL III",AP576/INDEX('Resumo Operacional'!$A$1:$P$1103,53,MATCH('Detalhe Por UC'!$R576,'Resumo Operacional'!$A$1:$P$1,0)),
IF($H576="GIROSSOL II e III",AP576/INDEX('Resumo Operacional'!$A$1:$P$1103,53,MATCH('Detalhe Por UC'!$R576,'Resumo Operacional'!$A$1:$P$1,0)),
""))</f>
        <v/>
      </c>
      <c r="V576" s="45"/>
      <c r="X576" s="18">
        <v>1.1684031620553361</v>
      </c>
      <c r="Y576" s="18">
        <v>0</v>
      </c>
      <c r="Z576" s="18">
        <v>1.1043394495412844</v>
      </c>
      <c r="AA576" s="18"/>
      <c r="AB576" s="18">
        <v>253</v>
      </c>
      <c r="AC576" s="18"/>
      <c r="AD576" s="143">
        <v>218</v>
      </c>
      <c r="AE576" s="35"/>
      <c r="AF576" s="18">
        <v>407</v>
      </c>
      <c r="AG576" s="18">
        <v>0</v>
      </c>
      <c r="AH576" s="48">
        <v>31.88</v>
      </c>
      <c r="AI576" s="18">
        <v>0</v>
      </c>
      <c r="AJ576" s="18">
        <v>0</v>
      </c>
      <c r="AL576" s="146"/>
      <c r="AN576" s="71">
        <f t="shared" si="305"/>
        <v>-218</v>
      </c>
      <c r="AO576" s="71">
        <f t="shared" si="306"/>
        <v>0</v>
      </c>
      <c r="AP576" s="71">
        <f t="shared" si="307"/>
        <v>0</v>
      </c>
      <c r="AQ576" s="72">
        <f>IF(OR($H576="GIROSSOL II",$H576="GIROSSOL II e III"),INDEX('Resumo Operacional'!$A$1:$P$1103,MATCH("Energia Injetada prevista total Fatura da Usina (TUSD)",'Resumo Operacional'!$B$1:$B$1103,0),MATCH('Detalhe Por UC'!$R576,'Resumo Operacional'!$A$1:$P$1,0))*$S576,INDEX('Resumo Operacional'!$A$1:$P$1103,53,MATCH('Detalhe Por UC'!$R576,'Resumo Operacional'!$A$1:$P$1,0))*$S576)</f>
        <v>348.68</v>
      </c>
      <c r="AR576" s="71">
        <f t="shared" si="308"/>
        <v>-348.68</v>
      </c>
      <c r="AS576" s="73">
        <f t="shared" si="309"/>
        <v>86.740000000000066</v>
      </c>
      <c r="AT576" s="74">
        <f t="shared" si="310"/>
        <v>86.740000000000066</v>
      </c>
      <c r="AU576" s="74">
        <f t="shared" si="311"/>
        <v>1.0402757370272326</v>
      </c>
      <c r="AV576" s="74">
        <f t="shared" si="312"/>
        <v>183.62798685036927</v>
      </c>
      <c r="AW576" s="74">
        <f t="shared" si="313"/>
        <v>0</v>
      </c>
      <c r="AX576" s="74">
        <f t="shared" si="314"/>
        <v>240.74599999999998</v>
      </c>
      <c r="AY576" s="74">
        <f t="shared" si="315"/>
        <v>183.63</v>
      </c>
      <c r="AZ576" s="43">
        <v>180.56</v>
      </c>
      <c r="BA576" s="43">
        <v>180.56</v>
      </c>
      <c r="BB576" s="43">
        <v>180.56</v>
      </c>
      <c r="BC576" s="73" t="str">
        <f t="shared" si="316"/>
        <v/>
      </c>
      <c r="BD576" s="73">
        <f t="shared" si="317"/>
        <v>327.48600000000005</v>
      </c>
      <c r="BE576" s="73">
        <f t="shared" si="318"/>
        <v>270.36798685036933</v>
      </c>
      <c r="BF576" s="77">
        <f t="shared" si="319"/>
        <v>57.12</v>
      </c>
      <c r="BG576" s="77">
        <f t="shared" si="320"/>
        <v>17.135999999999999</v>
      </c>
      <c r="BH576" s="77">
        <f t="shared" si="321"/>
        <v>240.74600000000001</v>
      </c>
      <c r="BI576" s="78">
        <f t="shared" si="322"/>
        <v>0.24</v>
      </c>
      <c r="BJ576" s="79">
        <f t="shared" si="323"/>
        <v>0.17441966984848203</v>
      </c>
      <c r="BK576" s="80">
        <f t="shared" si="324"/>
        <v>270.37000000000006</v>
      </c>
      <c r="BL576" s="80">
        <f t="shared" si="325"/>
        <v>57.115999999999985</v>
      </c>
      <c r="BM576" s="79">
        <f t="shared" si="326"/>
        <v>0.17440745558588758</v>
      </c>
      <c r="BN576" s="81">
        <f t="shared" si="327"/>
        <v>0.84233944954128437</v>
      </c>
      <c r="BO576" s="82">
        <f t="shared" si="328"/>
        <v>183.63</v>
      </c>
      <c r="BP576" s="81">
        <f t="shared" si="329"/>
        <v>0.84233944954128437</v>
      </c>
      <c r="BQ576" s="81">
        <f t="shared" si="330"/>
        <v>0.90640316205533611</v>
      </c>
      <c r="BR576" s="81">
        <f t="shared" si="331"/>
        <v>1.1684031620553361</v>
      </c>
      <c r="BS576" s="82">
        <f t="shared" si="332"/>
        <v>218</v>
      </c>
      <c r="BT576" s="82">
        <f t="shared" si="333"/>
        <v>254.71188932806328</v>
      </c>
      <c r="BU576" s="82">
        <f t="shared" si="334"/>
        <v>240.74599999999998</v>
      </c>
      <c r="BW576" s="82">
        <f>IFERROR(INDEX('Infos Clientes'!$T:$T,MATCH('Detalhe Por UC'!$C576,'Infos Clientes'!B:B,0)),"")</f>
        <v>372.25</v>
      </c>
      <c r="BX576" s="83">
        <f t="shared" si="335"/>
        <v>0</v>
      </c>
      <c r="BY576" s="84">
        <f t="shared" si="336"/>
        <v>0.22423766770633882</v>
      </c>
      <c r="BZ576" s="85">
        <f>IF(_xlfn.MINIFS('Detalhe Por UC'!R:R,'Detalhe Por UC'!C:C,C576,'Detalhe Por UC'!AD:AD,"&gt;"&amp;0)=0,"",_xlfn.MINIFS('Detalhe Por UC'!R:R,'Detalhe Por UC'!C:C,C576,'Detalhe Por UC'!AD:AD,"&gt;"&amp;0))</f>
        <v>45627</v>
      </c>
      <c r="CA576" s="114">
        <f ca="1">IF(OR(S576&gt;0,AD576&gt;0),IFERROR(
SUMIFS(INDIRECT("'Infos Clientes'!$W"&amp;INDEX('Infos Clientes'!$C:$C,MATCH(C576,'Infos Clientes'!$H:$H,0))&amp;":$CZ"&amp;INDEX('Infos Clientes'!$C:$C,MATCH(C576,'Infos Clientes'!$H:$H,0))),'Infos Clientes'!$W$2:$CZ$2,"&gt;"&amp;$R576-365,'Infos Clientes'!$W$2:$CZ$2,"&lt;="&amp;$R576)/
COUNTIFS(INDIRECT("'Infos Clientes'!$W"&amp;INDEX('Infos Clientes'!$C:$C,MATCH(C576,'Infos Clientes'!$H:$H,0))&amp;":$CZ"&amp;INDEX('Infos Clientes'!$C:$C,MATCH(C576,'Infos Clientes'!$H:$H,0))),"&gt;="&amp;0,'Infos Clientes'!$W$2:$CZ$2,"&gt;"&amp;$R576-365,'Infos Clientes'!$W$2:$CZ$2,"&lt;="&amp;$R576),""),"")</f>
        <v>345</v>
      </c>
      <c r="CB576" s="87">
        <f>VLOOKUP(C576,'Infos Clientes'!B:L,11,0)</f>
        <v>0</v>
      </c>
      <c r="CC576" s="88" t="str">
        <f t="shared" si="337"/>
        <v>A Unidade Consumidora 10/1939035-0 economizou R$57,12 na fatura referente à jun/2025  consumindo 218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6" s="40" t="s">
        <v>69</v>
      </c>
      <c r="CE576" s="43"/>
      <c r="CF576" s="115">
        <f t="shared" si="338"/>
        <v>-86.740000000000066</v>
      </c>
    </row>
    <row r="577" spans="1:84" ht="16.2" hidden="1" customHeight="1" x14ac:dyDescent="0.3">
      <c r="A577" s="105" t="str">
        <f>INDEX('Infos Clientes'!$D:$D,MATCH('Detalhe Por UC'!C577,'Infos Clientes'!B:B,0))</f>
        <v>IGREJA DO EVANGELHO QUADRANGULAR</v>
      </c>
      <c r="B577" s="106" t="str">
        <f>INDEX('Infos Clientes'!$F:$F,MATCH('Detalhe Por UC'!C577,'Infos Clientes'!B:B,0))</f>
        <v>62.955.505/0172-13</v>
      </c>
      <c r="C577" s="147" t="s">
        <v>87</v>
      </c>
      <c r="D577" t="s">
        <v>351</v>
      </c>
      <c r="E577" s="1" t="s">
        <v>352</v>
      </c>
      <c r="F577" s="56" t="str">
        <f>INDEX('Infos Clientes'!$I:$I,MATCH('Detalhe Por UC'!C577,'Infos Clientes'!B:B,0))</f>
        <v>BT</v>
      </c>
      <c r="G577" s="56" t="str">
        <f>INDEX('Infos Clientes'!$J:$J,MATCH('Detalhe Por UC'!C577,'Infos Clientes'!B:B,0))</f>
        <v>trifasico</v>
      </c>
      <c r="H577" s="47" t="str">
        <f t="shared" si="341"/>
        <v>GIROSSOL II</v>
      </c>
      <c r="I577" s="58">
        <f>IFERROR(VLOOKUP(C577,'Infos Clientes'!B:E,4,),"")</f>
        <v>371</v>
      </c>
      <c r="J577" s="109">
        <v>0.23725425614394724</v>
      </c>
      <c r="K577" s="59">
        <f>INDEX('Infos Clientes'!$M:$M,MATCH('Detalhe Por UC'!C577,'Infos Clientes'!B:B,0))</f>
        <v>0.25</v>
      </c>
      <c r="L577" s="125">
        <v>0</v>
      </c>
      <c r="M577" s="56">
        <f>INDEX('Infos Clientes'!$N:$N,MATCH('Detalhe Por UC'!C577,'Infos Clientes'!B:B,0))</f>
        <v>0</v>
      </c>
      <c r="N577" s="56">
        <f t="shared" si="303"/>
        <v>0</v>
      </c>
      <c r="O577" s="56">
        <f t="shared" si="304"/>
        <v>12</v>
      </c>
      <c r="P577" s="56">
        <f t="shared" si="339"/>
        <v>0</v>
      </c>
      <c r="Q577" s="61">
        <f>IFERROR(IFERROR(INDEX('Infos Clientes'!$A$2:$V$9884,MATCH($C577,'Infos Clientes'!$B$2:$B$9884,0),MATCH(Q$8,'Infos Clientes'!$A$2:$V$2,0)),"")
+IF(OR(INDEX('Infos Clientes'!$A$2:$V$9884,MATCH($C577,'Infos Clientes'!$B$2:$B$9884,0),MATCH("Tempo de Fidelidade (meses)",'Infos Clientes'!$A$2:$V$2,0))=0,R577&gt;=MAX(R:R)),0,
ROUND((MAX(R:R)-R577)/(365/12),0)),"")</f>
        <v>0</v>
      </c>
      <c r="R577" s="111">
        <v>45809</v>
      </c>
      <c r="S577" s="17">
        <v>0.06</v>
      </c>
      <c r="T577" s="113">
        <f>IF($H577="GIROSSOL II",AP577/INDEX('Resumo Operacional'!$A$1:$P$1103,17,MATCH('Detalhe Por UC'!$R577,'Resumo Operacional'!$A$1:$P$1,0)),
IF($H577="GIROSSOL II e III",AP577/INDEX('Resumo Operacional'!$A$1:$P$1103,17,MATCH('Detalhe Por UC'!$R577,'Resumo Operacional'!$A$1:$P$1,0)),
""))</f>
        <v>8.0589652403349782E-2</v>
      </c>
      <c r="U577" s="113" t="str">
        <f>IF($H577="GIROSSOL III",AP577/INDEX('Resumo Operacional'!$A$1:$P$1103,53,MATCH('Detalhe Por UC'!$R577,'Resumo Operacional'!$A$1:$P$1,0)),
IF($H577="GIROSSOL II e III",AP577/INDEX('Resumo Operacional'!$A$1:$P$1103,53,MATCH('Detalhe Por UC'!$R577,'Resumo Operacional'!$A$1:$P$1,0)),
""))</f>
        <v/>
      </c>
      <c r="V577" s="45"/>
      <c r="W577" s="143"/>
      <c r="X577" s="143">
        <v>1.17932166344294</v>
      </c>
      <c r="Y577" s="143">
        <v>0</v>
      </c>
      <c r="Z577" s="143">
        <v>1.1793268585131895</v>
      </c>
      <c r="AA577" s="143"/>
      <c r="AB577" s="143">
        <v>517</v>
      </c>
      <c r="AC577" s="143"/>
      <c r="AD577" s="143">
        <v>417</v>
      </c>
      <c r="AE577" s="35"/>
      <c r="AF577" s="143">
        <v>988</v>
      </c>
      <c r="AG577" s="143">
        <v>0</v>
      </c>
      <c r="AH577" s="143">
        <v>61.67</v>
      </c>
      <c r="AI577" s="143">
        <v>0</v>
      </c>
      <c r="AJ577" s="143">
        <v>0</v>
      </c>
      <c r="AL577" s="146"/>
      <c r="AN577" s="71">
        <f t="shared" si="305"/>
        <v>988</v>
      </c>
      <c r="AO577" s="71">
        <f t="shared" si="306"/>
        <v>0</v>
      </c>
      <c r="AP577" s="71">
        <f t="shared" si="307"/>
        <v>1405</v>
      </c>
      <c r="AQ577" s="72">
        <f>IF(OR($H577="GIROSSOL II",$H577="GIROSSOL II e III"),INDEX('Resumo Operacional'!$A$1:$P$1103,MATCH("Energia Injetada prevista total Fatura da Usina (TUSD)",'Resumo Operacional'!$B$1:$B$1103,0),MATCH('Detalhe Por UC'!$R577,'Resumo Operacional'!$A$1:$P$1,0))*$S577,INDEX('Resumo Operacional'!$A$1:$P$1103,53,MATCH('Detalhe Por UC'!$R577,'Resumo Operacional'!$A$1:$P$1,0))*$S577)</f>
        <v>1046.04</v>
      </c>
      <c r="AR577" s="71">
        <f t="shared" si="308"/>
        <v>358.96000000000004</v>
      </c>
      <c r="AS577" s="73">
        <f t="shared" si="309"/>
        <v>179.59999999999997</v>
      </c>
      <c r="AT577" s="74">
        <f t="shared" si="310"/>
        <v>179.59999999999997</v>
      </c>
      <c r="AU577" s="74">
        <f t="shared" si="311"/>
        <v>1.1793320535834391</v>
      </c>
      <c r="AV577" s="74">
        <f t="shared" si="312"/>
        <v>375.10256799150898</v>
      </c>
      <c r="AW577" s="74">
        <f t="shared" si="313"/>
        <v>0</v>
      </c>
      <c r="AX577" s="74">
        <f t="shared" si="314"/>
        <v>491.77930000000003</v>
      </c>
      <c r="AY577" s="74">
        <f t="shared" si="315"/>
        <v>375.1</v>
      </c>
      <c r="AZ577" s="43">
        <v>368.83</v>
      </c>
      <c r="BA577" s="43">
        <v>368.83</v>
      </c>
      <c r="BB577" s="43">
        <v>368.83</v>
      </c>
      <c r="BC577" s="73" t="str">
        <f t="shared" si="316"/>
        <v/>
      </c>
      <c r="BD577" s="73">
        <f t="shared" si="317"/>
        <v>671.37929999999994</v>
      </c>
      <c r="BE577" s="73">
        <f t="shared" si="318"/>
        <v>554.70256799150889</v>
      </c>
      <c r="BF577" s="77">
        <f t="shared" si="319"/>
        <v>116.68</v>
      </c>
      <c r="BG577" s="77">
        <f t="shared" si="320"/>
        <v>35.003999999999998</v>
      </c>
      <c r="BH577" s="77">
        <f t="shared" si="321"/>
        <v>491.77930000000003</v>
      </c>
      <c r="BI577" s="78">
        <f t="shared" si="322"/>
        <v>0.24</v>
      </c>
      <c r="BJ577" s="79">
        <f t="shared" si="323"/>
        <v>0.1737914767404953</v>
      </c>
      <c r="BK577" s="80">
        <f t="shared" si="324"/>
        <v>554.70000000000005</v>
      </c>
      <c r="BL577" s="80">
        <f t="shared" si="325"/>
        <v>116.6792999999999</v>
      </c>
      <c r="BM577" s="79">
        <f t="shared" si="326"/>
        <v>0.17379043411079237</v>
      </c>
      <c r="BN577" s="81">
        <f t="shared" si="327"/>
        <v>0.89952038369304566</v>
      </c>
      <c r="BO577" s="82">
        <f t="shared" si="328"/>
        <v>375.1</v>
      </c>
      <c r="BP577" s="81">
        <f t="shared" si="329"/>
        <v>0.89952038369304566</v>
      </c>
      <c r="BQ577" s="81">
        <f t="shared" si="330"/>
        <v>0.89951518862279611</v>
      </c>
      <c r="BR577" s="81">
        <f t="shared" si="331"/>
        <v>1.17932166344294</v>
      </c>
      <c r="BS577" s="82">
        <f t="shared" si="332"/>
        <v>417</v>
      </c>
      <c r="BT577" s="82">
        <f t="shared" si="333"/>
        <v>491.777133655706</v>
      </c>
      <c r="BU577" s="82">
        <f t="shared" si="334"/>
        <v>491.77930000000003</v>
      </c>
      <c r="BW577" s="82">
        <f>IFERROR(INDEX('Infos Clientes'!$T:$T,MATCH('Detalhe Por UC'!$C577,'Infos Clientes'!B:B,0)),"")</f>
        <v>1056.1666666666667</v>
      </c>
      <c r="BX577" s="83">
        <f t="shared" si="335"/>
        <v>0</v>
      </c>
      <c r="BY577" s="84">
        <f t="shared" si="336"/>
        <v>0.23726052314113363</v>
      </c>
      <c r="BZ577" s="85">
        <f>IF(_xlfn.MINIFS('Detalhe Por UC'!R:R,'Detalhe Por UC'!C:C,C577,'Detalhe Por UC'!AD:AD,"&gt;"&amp;0)=0,"",_xlfn.MINIFS('Detalhe Por UC'!R:R,'Detalhe Por UC'!C:C,C577,'Detalhe Por UC'!AD:AD,"&gt;"&amp;0))</f>
        <v>45627</v>
      </c>
      <c r="CA577" s="114">
        <f ca="1">IF(OR(S577&gt;0,AD577&gt;0),IFERROR(
SUMIFS(INDIRECT("'Infos Clientes'!$W"&amp;INDEX('Infos Clientes'!$C:$C,MATCH(C577,'Infos Clientes'!$H:$H,0))&amp;":$CZ"&amp;INDEX('Infos Clientes'!$C:$C,MATCH(C577,'Infos Clientes'!$H:$H,0))),'Infos Clientes'!$W$2:$CZ$2,"&gt;"&amp;$R577-365,'Infos Clientes'!$W$2:$CZ$2,"&lt;="&amp;$R577)/
COUNTIFS(INDIRECT("'Infos Clientes'!$W"&amp;INDEX('Infos Clientes'!$C:$C,MATCH(C577,'Infos Clientes'!$H:$H,0))&amp;":$CZ"&amp;INDEX('Infos Clientes'!$C:$C,MATCH(C577,'Infos Clientes'!$H:$H,0))),"&gt;="&amp;0,'Infos Clientes'!$W$2:$CZ$2,"&gt;"&amp;$R577-365,'Infos Clientes'!$W$2:$CZ$2,"&lt;="&amp;$R577),""),"")</f>
        <v>1011.1666666666666</v>
      </c>
      <c r="CB577" s="87">
        <f>VLOOKUP(C577,'Infos Clientes'!B:L,11,0)</f>
        <v>0</v>
      </c>
      <c r="CC577" s="88" t="str">
        <f t="shared" si="337"/>
        <v>A Unidade Consumidora 10/2605731-5 economizou R$116,68 na fatura referente à jun/2025  consumindo 417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7" s="40" t="s">
        <v>56</v>
      </c>
      <c r="CE577" s="43"/>
      <c r="CF577" s="115">
        <f t="shared" si="338"/>
        <v>-179.59999999999997</v>
      </c>
    </row>
    <row r="578" spans="1:84" ht="16.2" hidden="1" customHeight="1" x14ac:dyDescent="0.3">
      <c r="A578" s="105" t="str">
        <f>INDEX('Infos Clientes'!$D:$D,MATCH('Detalhe Por UC'!C578,'Infos Clientes'!B:B,0))</f>
        <v>IGREJA DO EVANGELHO QUADRANGULAR</v>
      </c>
      <c r="B578" s="106" t="str">
        <f>INDEX('Infos Clientes'!$F:$F,MATCH('Detalhe Por UC'!C578,'Infos Clientes'!B:B,0))</f>
        <v>62.955.505/0151-99</v>
      </c>
      <c r="C578" s="44" t="s">
        <v>48</v>
      </c>
      <c r="D578" t="s">
        <v>351</v>
      </c>
      <c r="E578" s="1" t="s">
        <v>352</v>
      </c>
      <c r="F578" s="56" t="str">
        <f>INDEX('Infos Clientes'!$I:$I,MATCH('Detalhe Por UC'!C578,'Infos Clientes'!B:B,0))</f>
        <v>BT</v>
      </c>
      <c r="G578" s="56" t="str">
        <f>INDEX('Infos Clientes'!$J:$J,MATCH('Detalhe Por UC'!C578,'Infos Clientes'!B:B,0))</f>
        <v>trifasico</v>
      </c>
      <c r="H578" s="47" t="str">
        <f t="shared" si="341"/>
        <v>GIROSSOL II</v>
      </c>
      <c r="I578" s="58">
        <f>IFERROR(VLOOKUP(C578,'Infos Clientes'!B:E,4,),"")</f>
        <v>306</v>
      </c>
      <c r="J578" s="109">
        <v>0.23725425614394724</v>
      </c>
      <c r="K578" s="59">
        <f>INDEX('Infos Clientes'!$M:$M,MATCH('Detalhe Por UC'!C578,'Infos Clientes'!B:B,0))</f>
        <v>0.25</v>
      </c>
      <c r="L578" s="125">
        <v>0</v>
      </c>
      <c r="M578" s="56">
        <f>INDEX('Infos Clientes'!$N:$N,MATCH('Detalhe Por UC'!C578,'Infos Clientes'!B:B,0))</f>
        <v>0</v>
      </c>
      <c r="N578" s="56">
        <f t="shared" si="303"/>
        <v>0</v>
      </c>
      <c r="O578" s="56">
        <f t="shared" si="304"/>
        <v>9</v>
      </c>
      <c r="P578" s="56">
        <f t="shared" si="339"/>
        <v>0</v>
      </c>
      <c r="Q578" s="61">
        <f>IFERROR(IFERROR(INDEX('Infos Clientes'!$A$2:$V$9884,MATCH($C578,'Infos Clientes'!$B$2:$B$9884,0),MATCH(Q$8,'Infos Clientes'!$A$2:$V$2,0)),"")
+IF(OR(INDEX('Infos Clientes'!$A$2:$V$9884,MATCH($C578,'Infos Clientes'!$B$2:$B$9884,0),MATCH("Tempo de Fidelidade (meses)",'Infos Clientes'!$A$2:$V$2,0))=0,R578&gt;=MAX(R:R)),0,
ROUND((MAX(R:R)-R578)/(365/12),0)),"")</f>
        <v>0</v>
      </c>
      <c r="R578" s="111">
        <v>45809</v>
      </c>
      <c r="S578" s="17">
        <v>0.01</v>
      </c>
      <c r="T578" s="113">
        <f>IF($H578="GIROSSOL II",AP578/INDEX('Resumo Operacional'!$A$1:$P$1103,17,MATCH('Detalhe Por UC'!$R578,'Resumo Operacional'!$A$1:$P$1,0)),
IF($H578="GIROSSOL II e III",AP578/INDEX('Resumo Operacional'!$A$1:$P$1103,17,MATCH('Detalhe Por UC'!$R578,'Resumo Operacional'!$A$1:$P$1,0)),
""))</f>
        <v>0</v>
      </c>
      <c r="U578" s="113" t="str">
        <f>IF($H578="GIROSSOL III",AP578/INDEX('Resumo Operacional'!$A$1:$P$1103,53,MATCH('Detalhe Por UC'!$R578,'Resumo Operacional'!$A$1:$P$1,0)),
IF($H578="GIROSSOL II e III",AP578/INDEX('Resumo Operacional'!$A$1:$P$1103,53,MATCH('Detalhe Por UC'!$R578,'Resumo Operacional'!$A$1:$P$1,0)),
""))</f>
        <v/>
      </c>
      <c r="V578" s="45"/>
      <c r="X578" s="18">
        <v>1.1781418918918918</v>
      </c>
      <c r="Y578" s="18">
        <v>0</v>
      </c>
      <c r="Z578" s="18">
        <v>0</v>
      </c>
      <c r="AA578" s="18"/>
      <c r="AB578" s="18">
        <v>592</v>
      </c>
      <c r="AC578" s="18"/>
      <c r="AD578" s="143">
        <v>0</v>
      </c>
      <c r="AE578" s="35"/>
      <c r="AF578" s="18">
        <v>0</v>
      </c>
      <c r="AG578" s="18">
        <v>0</v>
      </c>
      <c r="AH578" s="48">
        <v>9.5</v>
      </c>
      <c r="AI578" s="18">
        <v>0</v>
      </c>
      <c r="AJ578" s="18">
        <v>0</v>
      </c>
      <c r="AL578" s="146"/>
      <c r="AN578" s="71">
        <f t="shared" si="305"/>
        <v>0</v>
      </c>
      <c r="AO578" s="71">
        <f t="shared" si="306"/>
        <v>0</v>
      </c>
      <c r="AP578" s="71">
        <f t="shared" si="307"/>
        <v>0</v>
      </c>
      <c r="AQ578" s="72">
        <f>IF(OR($H578="GIROSSOL II",$H578="GIROSSOL II e III"),INDEX('Resumo Operacional'!$A$1:$P$1103,MATCH("Energia Injetada prevista total Fatura da Usina (TUSD)",'Resumo Operacional'!$B$1:$B$1103,0),MATCH('Detalhe Por UC'!$R578,'Resumo Operacional'!$A$1:$P$1,0))*$S578,INDEX('Resumo Operacional'!$A$1:$P$1103,53,MATCH('Detalhe Por UC'!$R578,'Resumo Operacional'!$A$1:$P$1,0))*$S578)</f>
        <v>174.34</v>
      </c>
      <c r="AR578" s="71">
        <f t="shared" si="308"/>
        <v>-174.34</v>
      </c>
      <c r="AS578" s="73">
        <f t="shared" si="309"/>
        <v>706.95999999999992</v>
      </c>
      <c r="AT578" s="74">
        <f t="shared" si="310"/>
        <v>706.95999999999992</v>
      </c>
      <c r="AU578" s="74" t="str">
        <f t="shared" si="311"/>
        <v/>
      </c>
      <c r="AV578" s="74">
        <f t="shared" si="312"/>
        <v>0</v>
      </c>
      <c r="AW578" s="74">
        <f t="shared" si="313"/>
        <v>0</v>
      </c>
      <c r="AX578" s="74">
        <f t="shared" si="314"/>
        <v>0</v>
      </c>
      <c r="AY578" s="74" t="str">
        <f t="shared" si="315"/>
        <v/>
      </c>
      <c r="AZ578" s="43" t="s">
        <v>354</v>
      </c>
      <c r="BA578" s="43">
        <v>0</v>
      </c>
      <c r="BC578" s="73" t="str">
        <f t="shared" si="316"/>
        <v/>
      </c>
      <c r="BD578" s="73">
        <f t="shared" si="317"/>
        <v>706.95999999999992</v>
      </c>
      <c r="BE578" s="73">
        <f t="shared" si="318"/>
        <v>706.95999999999992</v>
      </c>
      <c r="BF578" s="77">
        <f t="shared" si="319"/>
        <v>0</v>
      </c>
      <c r="BG578" s="77">
        <f t="shared" si="320"/>
        <v>0</v>
      </c>
      <c r="BH578" s="77">
        <f t="shared" si="321"/>
        <v>0</v>
      </c>
      <c r="BI578" s="78" t="str">
        <f t="shared" si="322"/>
        <v/>
      </c>
      <c r="BJ578" s="79">
        <f t="shared" si="323"/>
        <v>0</v>
      </c>
      <c r="BK578" s="80" t="str">
        <f t="shared" si="324"/>
        <v/>
      </c>
      <c r="BL578" s="80" t="str">
        <f t="shared" si="325"/>
        <v/>
      </c>
      <c r="BM578" s="79" t="str">
        <f t="shared" si="326"/>
        <v/>
      </c>
      <c r="BN578" s="81" t="str">
        <f t="shared" si="327"/>
        <v/>
      </c>
      <c r="BO578" s="82" t="str">
        <f t="shared" si="328"/>
        <v/>
      </c>
      <c r="BP578" s="81" t="str">
        <f t="shared" si="329"/>
        <v/>
      </c>
      <c r="BQ578" s="81" t="str">
        <f t="shared" si="330"/>
        <v/>
      </c>
      <c r="BR578" s="81" t="str">
        <f t="shared" si="331"/>
        <v/>
      </c>
      <c r="BS578" s="82">
        <f t="shared" si="332"/>
        <v>0</v>
      </c>
      <c r="BT578" s="82" t="str">
        <f t="shared" si="333"/>
        <v/>
      </c>
      <c r="BU578" s="82">
        <f t="shared" si="334"/>
        <v>0</v>
      </c>
      <c r="BW578" s="82">
        <f>IFERROR(INDEX('Infos Clientes'!$T:$T,MATCH('Detalhe Por UC'!$C578,'Infos Clientes'!B:B,0)),"")</f>
        <v>286.5</v>
      </c>
      <c r="BX578" s="83">
        <f t="shared" si="335"/>
        <v>0</v>
      </c>
      <c r="BY578" s="84" t="str">
        <f t="shared" si="336"/>
        <v/>
      </c>
      <c r="BZ578" s="85">
        <f>IF(_xlfn.MINIFS('Detalhe Por UC'!R:R,'Detalhe Por UC'!C:C,C578,'Detalhe Por UC'!AD:AD,"&gt;"&amp;0)=0,"",_xlfn.MINIFS('Detalhe Por UC'!R:R,'Detalhe Por UC'!C:C,C578,'Detalhe Por UC'!AD:AD,"&gt;"&amp;0))</f>
        <v>45658</v>
      </c>
      <c r="CA578" s="114">
        <f ca="1">IF(OR(S578&gt;0,AD578&gt;0),IFERROR(
SUMIFS(INDIRECT("'Infos Clientes'!$W"&amp;INDEX('Infos Clientes'!$C:$C,MATCH(C578,'Infos Clientes'!$H:$H,0))&amp;":$CZ"&amp;INDEX('Infos Clientes'!$C:$C,MATCH(C578,'Infos Clientes'!$H:$H,0))),'Infos Clientes'!$W$2:$CZ$2,"&gt;"&amp;$R578-365,'Infos Clientes'!$W$2:$CZ$2,"&lt;="&amp;$R578)/
COUNTIFS(INDIRECT("'Infos Clientes'!$W"&amp;INDEX('Infos Clientes'!$C:$C,MATCH(C578,'Infos Clientes'!$H:$H,0))&amp;":$CZ"&amp;INDEX('Infos Clientes'!$C:$C,MATCH(C578,'Infos Clientes'!$H:$H,0))),"&gt;="&amp;0,'Infos Clientes'!$W$2:$CZ$2,"&gt;"&amp;$R578-365,'Infos Clientes'!$W$2:$CZ$2,"&lt;="&amp;$R578),""),"")</f>
        <v>461</v>
      </c>
      <c r="CB578" s="87">
        <f>VLOOKUP(C578,'Infos Clientes'!B:L,11,0)</f>
        <v>0</v>
      </c>
      <c r="CC578" s="88" t="str">
        <f t="shared" si="337"/>
        <v>A Unidade Consumidora 10/2794432-1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8" s="40" t="s">
        <v>50</v>
      </c>
      <c r="CE578" s="43"/>
      <c r="CF578" s="115">
        <f t="shared" si="338"/>
        <v>-706.95999999999992</v>
      </c>
    </row>
    <row r="579" spans="1:84" ht="16.2" hidden="1" customHeight="1" x14ac:dyDescent="0.3">
      <c r="A579" s="105" t="str">
        <f>INDEX('Infos Clientes'!$D:$D,MATCH('Detalhe Por UC'!C579,'Infos Clientes'!B:B,0))</f>
        <v>IGREJA DO EVANGELHO QUADRANGULAR</v>
      </c>
      <c r="B579" s="106" t="str">
        <f>INDEX('Infos Clientes'!$F:$F,MATCH('Detalhe Por UC'!C579,'Infos Clientes'!B:B,0))</f>
        <v>62.955.505/0577-89</v>
      </c>
      <c r="C579" s="44" t="s">
        <v>94</v>
      </c>
      <c r="D579" t="s">
        <v>351</v>
      </c>
      <c r="E579" s="1" t="s">
        <v>352</v>
      </c>
      <c r="F579" s="56" t="str">
        <f>INDEX('Infos Clientes'!$I:$I,MATCH('Detalhe Por UC'!C579,'Infos Clientes'!B:B,0))</f>
        <v>BT</v>
      </c>
      <c r="G579" s="56" t="str">
        <f>INDEX('Infos Clientes'!$J:$J,MATCH('Detalhe Por UC'!C579,'Infos Clientes'!B:B,0))</f>
        <v>bifasico</v>
      </c>
      <c r="H579" s="47" t="str">
        <f t="shared" si="341"/>
        <v>GIROSSOL II</v>
      </c>
      <c r="I579" s="58">
        <f>IFERROR(VLOOKUP(C579,'Infos Clientes'!B:E,4,),"")</f>
        <v>319</v>
      </c>
      <c r="J579" s="109">
        <v>0.23725425614394724</v>
      </c>
      <c r="K579" s="59">
        <f>INDEX('Infos Clientes'!$M:$M,MATCH('Detalhe Por UC'!C579,'Infos Clientes'!B:B,0))</f>
        <v>0.25</v>
      </c>
      <c r="L579" s="125">
        <v>0</v>
      </c>
      <c r="M579" s="56">
        <f>INDEX('Infos Clientes'!$N:$N,MATCH('Detalhe Por UC'!C579,'Infos Clientes'!B:B,0))</f>
        <v>0</v>
      </c>
      <c r="N579" s="56">
        <f t="shared" si="303"/>
        <v>0</v>
      </c>
      <c r="O579" s="56">
        <f t="shared" si="304"/>
        <v>10</v>
      </c>
      <c r="P579" s="56">
        <f t="shared" si="339"/>
        <v>0</v>
      </c>
      <c r="Q579" s="61">
        <f>IFERROR(IFERROR(INDEX('Infos Clientes'!$A$2:$V$9884,MATCH($C579,'Infos Clientes'!$B$2:$B$9884,0),MATCH(Q$8,'Infos Clientes'!$A$2:$V$2,0)),"")
+IF(OR(INDEX('Infos Clientes'!$A$2:$V$9884,MATCH($C579,'Infos Clientes'!$B$2:$B$9884,0),MATCH("Tempo de Fidelidade (meses)",'Infos Clientes'!$A$2:$V$2,0))=0,R579&gt;=MAX(R:R)),0,
ROUND((MAX(R:R)-R579)/(365/12),0)),"")</f>
        <v>0</v>
      </c>
      <c r="R579" s="111">
        <v>45809</v>
      </c>
      <c r="S579" s="17">
        <v>0.02</v>
      </c>
      <c r="T579" s="113">
        <f>IF($H579="GIROSSOL II",AP579/INDEX('Resumo Operacional'!$A$1:$P$1103,17,MATCH('Detalhe Por UC'!$R579,'Resumo Operacional'!$A$1:$P$1,0)),
IF($H579="GIROSSOL II e III",AP579/INDEX('Resumo Operacional'!$A$1:$P$1103,17,MATCH('Detalhe Por UC'!$R579,'Resumo Operacional'!$A$1:$P$1,0)),
""))</f>
        <v>2.5811632442354022E-2</v>
      </c>
      <c r="U579" s="113" t="str">
        <f>IF($H579="GIROSSOL III",AP579/INDEX('Resumo Operacional'!$A$1:$P$1103,53,MATCH('Detalhe Por UC'!$R579,'Resumo Operacional'!$A$1:$P$1,0)),
IF($H579="GIROSSOL II e III",AP579/INDEX('Resumo Operacional'!$A$1:$P$1103,53,MATCH('Detalhe Por UC'!$R579,'Resumo Operacional'!$A$1:$P$1,0)),
""))</f>
        <v/>
      </c>
      <c r="V579" s="45"/>
      <c r="X579" s="18">
        <v>1.1684873949579833</v>
      </c>
      <c r="Y579" s="18">
        <v>0</v>
      </c>
      <c r="Z579" s="18">
        <v>1.1123280542986427</v>
      </c>
      <c r="AA579" s="18"/>
      <c r="AB579" s="18">
        <v>294</v>
      </c>
      <c r="AC579" s="18"/>
      <c r="AD579" s="143">
        <v>260</v>
      </c>
      <c r="AE579" s="35"/>
      <c r="AF579" s="18">
        <v>357</v>
      </c>
      <c r="AG579" s="18">
        <v>0</v>
      </c>
      <c r="AH579" s="48">
        <v>46.25</v>
      </c>
      <c r="AI579" s="18">
        <v>0</v>
      </c>
      <c r="AJ579" s="18">
        <v>0</v>
      </c>
      <c r="AL579" s="146"/>
      <c r="AN579" s="71">
        <f t="shared" si="305"/>
        <v>190</v>
      </c>
      <c r="AO579" s="71">
        <f t="shared" si="306"/>
        <v>0</v>
      </c>
      <c r="AP579" s="71">
        <f t="shared" si="307"/>
        <v>450</v>
      </c>
      <c r="AQ579" s="72">
        <f>IF(OR($H579="GIROSSOL II",$H579="GIROSSOL II e III"),INDEX('Resumo Operacional'!$A$1:$P$1103,MATCH("Energia Injetada prevista total Fatura da Usina (TUSD)",'Resumo Operacional'!$B$1:$B$1103,0),MATCH('Detalhe Por UC'!$R579,'Resumo Operacional'!$A$1:$P$1,0))*$S579,INDEX('Resumo Operacional'!$A$1:$P$1103,53,MATCH('Detalhe Por UC'!$R579,'Resumo Operacional'!$A$1:$P$1,0))*$S579)</f>
        <v>348.68</v>
      </c>
      <c r="AR579" s="71">
        <f t="shared" si="308"/>
        <v>101.32</v>
      </c>
      <c r="AS579" s="73">
        <f t="shared" si="309"/>
        <v>100.57999999999998</v>
      </c>
      <c r="AT579" s="74">
        <f t="shared" si="310"/>
        <v>100.57999999999998</v>
      </c>
      <c r="AU579" s="74">
        <f t="shared" si="311"/>
        <v>1.0561687136393021</v>
      </c>
      <c r="AV579" s="74">
        <f t="shared" si="312"/>
        <v>220.59010718887325</v>
      </c>
      <c r="AW579" s="74">
        <f t="shared" si="313"/>
        <v>0</v>
      </c>
      <c r="AX579" s="74">
        <f t="shared" si="314"/>
        <v>289.2052941176471</v>
      </c>
      <c r="AY579" s="74">
        <f t="shared" si="315"/>
        <v>220.59</v>
      </c>
      <c r="AZ579" s="43">
        <v>216.9</v>
      </c>
      <c r="BA579" s="43">
        <v>216.9</v>
      </c>
      <c r="BC579" s="73" t="str">
        <f t="shared" si="316"/>
        <v/>
      </c>
      <c r="BD579" s="73">
        <f t="shared" si="317"/>
        <v>389.78529411764708</v>
      </c>
      <c r="BE579" s="73">
        <f t="shared" si="318"/>
        <v>321.1701071888732</v>
      </c>
      <c r="BF579" s="77">
        <f t="shared" si="319"/>
        <v>68.62</v>
      </c>
      <c r="BG579" s="77">
        <f t="shared" si="320"/>
        <v>20.586000000000002</v>
      </c>
      <c r="BH579" s="77">
        <f t="shared" si="321"/>
        <v>289.2052941176471</v>
      </c>
      <c r="BI579" s="78">
        <f t="shared" si="322"/>
        <v>0.24</v>
      </c>
      <c r="BJ579" s="79">
        <f t="shared" si="323"/>
        <v>0.17604563598361089</v>
      </c>
      <c r="BK579" s="80">
        <f t="shared" si="324"/>
        <v>321.16999999999996</v>
      </c>
      <c r="BL579" s="80">
        <f t="shared" si="325"/>
        <v>68.615294117647124</v>
      </c>
      <c r="BM579" s="79">
        <f t="shared" si="326"/>
        <v>0.17603356297207376</v>
      </c>
      <c r="BN579" s="81">
        <f t="shared" si="327"/>
        <v>0.84842307692307695</v>
      </c>
      <c r="BO579" s="82">
        <f t="shared" si="328"/>
        <v>220.59</v>
      </c>
      <c r="BP579" s="81">
        <f t="shared" si="329"/>
        <v>0.84842307692307695</v>
      </c>
      <c r="BQ579" s="81">
        <f t="shared" si="330"/>
        <v>0.90458241758241753</v>
      </c>
      <c r="BR579" s="81">
        <f t="shared" si="331"/>
        <v>1.1684873949579833</v>
      </c>
      <c r="BS579" s="82">
        <f t="shared" si="332"/>
        <v>260</v>
      </c>
      <c r="BT579" s="82">
        <f t="shared" si="333"/>
        <v>303.80672268907563</v>
      </c>
      <c r="BU579" s="82">
        <f t="shared" si="334"/>
        <v>289.2052941176471</v>
      </c>
      <c r="BW579" s="82">
        <f>IFERROR(INDEX('Infos Clientes'!$T:$T,MATCH('Detalhe Por UC'!$C579,'Infos Clientes'!B:B,0)),"")</f>
        <v>55.25</v>
      </c>
      <c r="BX579" s="83">
        <f t="shared" si="335"/>
        <v>0</v>
      </c>
      <c r="BY579" s="84">
        <f t="shared" si="336"/>
        <v>0.22585179653140827</v>
      </c>
      <c r="BZ579" s="85">
        <f>IF(_xlfn.MINIFS('Detalhe Por UC'!R:R,'Detalhe Por UC'!C:C,C579,'Detalhe Por UC'!AD:AD,"&gt;"&amp;0)=0,"",_xlfn.MINIFS('Detalhe Por UC'!R:R,'Detalhe Por UC'!C:C,C579,'Detalhe Por UC'!AD:AD,"&gt;"&amp;0))</f>
        <v>45689</v>
      </c>
      <c r="CA579" s="114">
        <f ca="1">IF(OR(S579&gt;0,AD579&gt;0),IFERROR(
SUMIFS(INDIRECT("'Infos Clientes'!$W"&amp;INDEX('Infos Clientes'!$C:$C,MATCH(C579,'Infos Clientes'!$H:$H,0))&amp;":$CZ"&amp;INDEX('Infos Clientes'!$C:$C,MATCH(C579,'Infos Clientes'!$H:$H,0))),'Infos Clientes'!$W$2:$CZ$2,"&gt;"&amp;$R579-365,'Infos Clientes'!$W$2:$CZ$2,"&lt;="&amp;$R579)/
COUNTIFS(INDIRECT("'Infos Clientes'!$W"&amp;INDEX('Infos Clientes'!$C:$C,MATCH(C579,'Infos Clientes'!$H:$H,0))&amp;":$CZ"&amp;INDEX('Infos Clientes'!$C:$C,MATCH(C579,'Infos Clientes'!$H:$H,0))),"&gt;="&amp;0,'Infos Clientes'!$W$2:$CZ$2,"&gt;"&amp;$R579-365,'Infos Clientes'!$W$2:$CZ$2,"&lt;="&amp;$R579),""),"")</f>
        <v>189.41666666666666</v>
      </c>
      <c r="CB579" s="87">
        <f>VLOOKUP(C579,'Infos Clientes'!B:L,11,0)</f>
        <v>0</v>
      </c>
      <c r="CC579" s="88" t="str">
        <f t="shared" si="337"/>
        <v>A Unidade Consumidora 10/3005226-0 economizou R$68,62 na fatura referente à jun/2025  consumindo 260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79" s="40" t="s">
        <v>96</v>
      </c>
      <c r="CE579" s="43"/>
      <c r="CF579" s="115">
        <f t="shared" si="338"/>
        <v>-100.57999999999998</v>
      </c>
    </row>
    <row r="580" spans="1:84" ht="16.2" hidden="1" customHeight="1" x14ac:dyDescent="0.3">
      <c r="A580" s="105" t="str">
        <f>INDEX('Infos Clientes'!$D:$D,MATCH('Detalhe Por UC'!C580,'Infos Clientes'!B:B,0))</f>
        <v>IGREJA DO EVANGELHO QUADRANGULAR</v>
      </c>
      <c r="B580" s="106" t="str">
        <f>INDEX('Infos Clientes'!$F:$F,MATCH('Detalhe Por UC'!C580,'Infos Clientes'!B:B,0))</f>
        <v>62.955.505/0356-29</v>
      </c>
      <c r="C580" s="44" t="s">
        <v>247</v>
      </c>
      <c r="D580" t="s">
        <v>351</v>
      </c>
      <c r="E580" s="1" t="s">
        <v>352</v>
      </c>
      <c r="F580" s="56" t="str">
        <f>INDEX('Infos Clientes'!$I:$I,MATCH('Detalhe Por UC'!C580,'Infos Clientes'!B:B,0))</f>
        <v>BT</v>
      </c>
      <c r="G580" s="56" t="str">
        <f>INDEX('Infos Clientes'!$J:$J,MATCH('Detalhe Por UC'!C580,'Infos Clientes'!B:B,0))</f>
        <v>trifasico</v>
      </c>
      <c r="H580" s="47" t="str">
        <f>HYPERLINK("https://geraebcsp.sharepoint.com/sites/gestao.gdc/Shared Documents/EGS/2- Faturas/"&amp; TEXT($R580,"AAA") &amp;"/"&amp; TEXT($R580,"MM") &amp;"."&amp; TEXT($R580,"AAA") &amp;"/"&amp;"_10-"&amp; RIGHT($C580,LEN($C580)-3) &amp;"_" &amp; TEXT($R580,"AAAA") &amp;"-"&amp; TEXT($R580,"MM") &amp;".pdf","GIROSSOL III")</f>
        <v>GIROSSOL III</v>
      </c>
      <c r="I580" s="58">
        <f>IFERROR(VLOOKUP(C580,'Infos Clientes'!B:E,4,),"")</f>
        <v>359</v>
      </c>
      <c r="J580" s="109">
        <v>0.23725425614394724</v>
      </c>
      <c r="K580" s="59">
        <f>INDEX('Infos Clientes'!$M:$M,MATCH('Detalhe Por UC'!C580,'Infos Clientes'!B:B,0))</f>
        <v>0.25</v>
      </c>
      <c r="L580" s="125">
        <v>0</v>
      </c>
      <c r="M580" s="56">
        <f>INDEX('Infos Clientes'!$N:$N,MATCH('Detalhe Por UC'!C580,'Infos Clientes'!B:B,0))</f>
        <v>0</v>
      </c>
      <c r="N580" s="56">
        <f t="shared" si="303"/>
        <v>0</v>
      </c>
      <c r="O580" s="56">
        <f t="shared" si="304"/>
        <v>4</v>
      </c>
      <c r="P580" s="56">
        <f t="shared" si="339"/>
        <v>0</v>
      </c>
      <c r="Q580" s="61">
        <f>IFERROR(IFERROR(INDEX('Infos Clientes'!$A$2:$V$9884,MATCH($C580,'Infos Clientes'!$B$2:$B$9884,0),MATCH(Q$8,'Infos Clientes'!$A$2:$V$2,0)),"")
+IF(OR(INDEX('Infos Clientes'!$A$2:$V$9884,MATCH($C580,'Infos Clientes'!$B$2:$B$9884,0),MATCH("Tempo de Fidelidade (meses)",'Infos Clientes'!$A$2:$V$2,0))=0,R580&gt;=MAX(R:R)),0,
ROUND((MAX(R:R)-R580)/(365/12),0)),"")</f>
        <v>0</v>
      </c>
      <c r="R580" s="111">
        <v>45809</v>
      </c>
      <c r="S580" s="63">
        <v>0</v>
      </c>
      <c r="T580" s="113" t="str">
        <f>IF($H580="GIROSSOL II",AP580/INDEX('Resumo Operacional'!$A$1:$P$1103,17,MATCH('Detalhe Por UC'!$R580,'Resumo Operacional'!$A$1:$P$1,0)),
IF($H580="GIROSSOL II e III",AP580/INDEX('Resumo Operacional'!$A$1:$P$1103,17,MATCH('Detalhe Por UC'!$R580,'Resumo Operacional'!$A$1:$P$1,0)),
""))</f>
        <v/>
      </c>
      <c r="U580" s="113">
        <f>IF($H580="GIROSSOL III",AP580/INDEX('Resumo Operacional'!$A$1:$P$1103,53,MATCH('Detalhe Por UC'!$R580,'Resumo Operacional'!$A$1:$P$1,0)),
IF($H580="GIROSSOL II e III",AP580/INDEX('Resumo Operacional'!$A$1:$P$1103,53,MATCH('Detalhe Por UC'!$R580,'Resumo Operacional'!$A$1:$P$1,0)),
""))</f>
        <v>0</v>
      </c>
      <c r="V580" s="45"/>
      <c r="X580" s="18">
        <v>1.1264341085271317</v>
      </c>
      <c r="Y580" s="18">
        <v>0</v>
      </c>
      <c r="Z580" s="18">
        <v>0.96953488372093011</v>
      </c>
      <c r="AA580" s="18"/>
      <c r="AB580" s="18">
        <v>645</v>
      </c>
      <c r="AC580" s="18"/>
      <c r="AD580" s="143">
        <v>0</v>
      </c>
      <c r="AE580" s="35"/>
      <c r="AF580" s="60">
        <v>0</v>
      </c>
      <c r="AG580" s="18">
        <v>0</v>
      </c>
      <c r="AH580" s="48">
        <v>167.17999999999998</v>
      </c>
      <c r="AI580" s="18">
        <v>0</v>
      </c>
      <c r="AJ580" s="18">
        <v>0</v>
      </c>
      <c r="AL580" s="146"/>
      <c r="AN580" s="71">
        <f t="shared" si="305"/>
        <v>0</v>
      </c>
      <c r="AO580" s="71">
        <f t="shared" si="306"/>
        <v>0</v>
      </c>
      <c r="AP580" s="71">
        <f t="shared" si="307"/>
        <v>0</v>
      </c>
      <c r="AQ580" s="72">
        <f>IF(OR($H580="GIROSSOL II",$H580="GIROSSOL II e III"),INDEX('Resumo Operacional'!$A$1:$P$1103,MATCH("Energia Injetada prevista total Fatura da Usina (TUSD)",'Resumo Operacional'!$B$1:$B$1103,0),MATCH('Detalhe Por UC'!$R580,'Resumo Operacional'!$A$1:$P$1,0))*$S580,INDEX('Resumo Operacional'!$A$1:$P$1103,53,MATCH('Detalhe Por UC'!$R580,'Resumo Operacional'!$A$1:$P$1,0))*$S580)</f>
        <v>0</v>
      </c>
      <c r="AR580" s="71">
        <f t="shared" si="308"/>
        <v>0</v>
      </c>
      <c r="AS580" s="73">
        <f t="shared" si="309"/>
        <v>893.7299999999999</v>
      </c>
      <c r="AT580" s="74">
        <f t="shared" si="310"/>
        <v>893.7299999999999</v>
      </c>
      <c r="AU580" s="74" t="str">
        <f t="shared" si="311"/>
        <v/>
      </c>
      <c r="AV580" s="74">
        <f t="shared" si="312"/>
        <v>0</v>
      </c>
      <c r="AW580" s="74">
        <f t="shared" si="313"/>
        <v>959.21</v>
      </c>
      <c r="AX580" s="74">
        <f t="shared" si="314"/>
        <v>959.21</v>
      </c>
      <c r="AY580" s="74">
        <f t="shared" si="315"/>
        <v>959.21</v>
      </c>
      <c r="AZ580" s="43"/>
      <c r="BA580" s="43"/>
      <c r="BC580" s="73" t="str">
        <f t="shared" si="316"/>
        <v/>
      </c>
      <c r="BD580" s="73">
        <f t="shared" si="317"/>
        <v>893.7299999999999</v>
      </c>
      <c r="BE580" s="73">
        <f t="shared" si="318"/>
        <v>893.7299999999999</v>
      </c>
      <c r="BF580" s="77">
        <f t="shared" si="319"/>
        <v>0</v>
      </c>
      <c r="BG580" s="77">
        <f t="shared" si="320"/>
        <v>0</v>
      </c>
      <c r="BH580" s="77">
        <f t="shared" si="321"/>
        <v>0</v>
      </c>
      <c r="BI580" s="78" t="str">
        <f t="shared" si="322"/>
        <v/>
      </c>
      <c r="BJ580" s="79">
        <f t="shared" si="323"/>
        <v>0</v>
      </c>
      <c r="BK580" s="80">
        <f t="shared" si="324"/>
        <v>1852.94</v>
      </c>
      <c r="BL580" s="80">
        <f t="shared" si="325"/>
        <v>-959.21000000000015</v>
      </c>
      <c r="BM580" s="79">
        <f t="shared" si="326"/>
        <v>-1.0732659751826616</v>
      </c>
      <c r="BN580" s="81" t="str">
        <f t="shared" si="327"/>
        <v/>
      </c>
      <c r="BO580" s="82" t="str">
        <f t="shared" si="328"/>
        <v/>
      </c>
      <c r="BP580" s="81" t="str">
        <f t="shared" si="329"/>
        <v/>
      </c>
      <c r="BQ580" s="81" t="str">
        <f t="shared" si="330"/>
        <v/>
      </c>
      <c r="BR580" s="81" t="str">
        <f t="shared" si="331"/>
        <v/>
      </c>
      <c r="BS580" s="82">
        <f t="shared" si="332"/>
        <v>0</v>
      </c>
      <c r="BT580" s="82" t="str">
        <f t="shared" si="333"/>
        <v/>
      </c>
      <c r="BU580" s="82">
        <f t="shared" si="334"/>
        <v>0</v>
      </c>
      <c r="BW580" s="82">
        <f>IFERROR(INDEX('Infos Clientes'!$T:$T,MATCH('Detalhe Por UC'!$C580,'Infos Clientes'!B:B,0)),"")</f>
        <v>883.5454545454545</v>
      </c>
      <c r="BX580" s="83">
        <f t="shared" si="335"/>
        <v>0</v>
      </c>
      <c r="BY580" s="84" t="str">
        <f t="shared" si="336"/>
        <v/>
      </c>
      <c r="BZ580" s="85">
        <f>IF(_xlfn.MINIFS('Detalhe Por UC'!R:R,'Detalhe Por UC'!C:C,C580,'Detalhe Por UC'!AD:AD,"&gt;"&amp;0)=0,"",_xlfn.MINIFS('Detalhe Por UC'!R:R,'Detalhe Por UC'!C:C,C580,'Detalhe Por UC'!AD:AD,"&gt;"&amp;0))</f>
        <v>45658</v>
      </c>
      <c r="CA580" s="114" t="str">
        <f ca="1">IF(OR(S580&gt;0,AD580&gt;0),IFERROR(
SUMIFS(INDIRECT("'Infos Clientes'!$W"&amp;INDEX('Infos Clientes'!$C:$C,MATCH(C580,'Infos Clientes'!$H:$H,0))&amp;":$CZ"&amp;INDEX('Infos Clientes'!$C:$C,MATCH(C580,'Infos Clientes'!$H:$H,0))),'Infos Clientes'!$W$2:$CZ$2,"&gt;"&amp;$R580-365,'Infos Clientes'!$W$2:$CZ$2,"&lt;="&amp;$R580)/
COUNTIFS(INDIRECT("'Infos Clientes'!$W"&amp;INDEX('Infos Clientes'!$C:$C,MATCH(C580,'Infos Clientes'!$H:$H,0))&amp;":$CZ"&amp;INDEX('Infos Clientes'!$C:$C,MATCH(C580,'Infos Clientes'!$H:$H,0))),"&gt;="&amp;0,'Infos Clientes'!$W$2:$CZ$2,"&gt;"&amp;$R580-365,'Infos Clientes'!$W$2:$CZ$2,"&lt;="&amp;$R580),""),"")</f>
        <v/>
      </c>
      <c r="CB580" s="87">
        <f>VLOOKUP(C580,'Infos Clientes'!B:L,11,0)</f>
        <v>0</v>
      </c>
      <c r="CC580" s="88" t="str">
        <f t="shared" si="337"/>
        <v>A Unidade Consumidora 10/3170252-5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0" s="40" t="s">
        <v>249</v>
      </c>
      <c r="CE580" s="43"/>
      <c r="CF580" s="115">
        <f t="shared" si="338"/>
        <v>-893.7299999999999</v>
      </c>
    </row>
    <row r="581" spans="1:84" ht="16.2" hidden="1" customHeight="1" x14ac:dyDescent="0.3">
      <c r="A581" s="105" t="str">
        <f>INDEX('Infos Clientes'!$D:$D,MATCH('Detalhe Por UC'!C581,'Infos Clientes'!B:B,0))</f>
        <v>IGREJA DO EVANGELHO QUADRANGULAR</v>
      </c>
      <c r="B581" s="106" t="str">
        <f>INDEX('Infos Clientes'!$F:$F,MATCH('Detalhe Por UC'!C581,'Infos Clientes'!B:B,0))</f>
        <v>62.955.505/0151-99</v>
      </c>
      <c r="C581" s="44" t="s">
        <v>168</v>
      </c>
      <c r="D581" t="s">
        <v>351</v>
      </c>
      <c r="E581" s="1" t="s">
        <v>352</v>
      </c>
      <c r="F581" s="56" t="str">
        <f>INDEX('Infos Clientes'!$I:$I,MATCH('Detalhe Por UC'!C581,'Infos Clientes'!B:B,0))</f>
        <v>BT</v>
      </c>
      <c r="G581" s="56" t="str">
        <f>INDEX('Infos Clientes'!$J:$J,MATCH('Detalhe Por UC'!C581,'Infos Clientes'!B:B,0))</f>
        <v>trifasico</v>
      </c>
      <c r="H581" s="47" t="str">
        <f>HYPERLINK("https://geraebcsp.sharepoint.com/sites/gestao.gdc/Shared Documents/EGS/2- Faturas/"&amp; TEXT($R581,"AAA") &amp;"/"&amp; TEXT($R581,"MM") &amp;"."&amp; TEXT($R581,"AAA") &amp;"/"&amp;"_10-"&amp; RIGHT($C581,LEN($C581)-3) &amp;"_" &amp; TEXT($R581,"AAAA") &amp;"-"&amp; TEXT($R581,"MM") &amp;".pdf","GIROSSOL III")</f>
        <v>GIROSSOL III</v>
      </c>
      <c r="I581" s="58">
        <f>IFERROR(VLOOKUP(C581,'Infos Clientes'!B:E,4,),"")</f>
        <v>306</v>
      </c>
      <c r="J581" s="109">
        <v>0.23725425614394724</v>
      </c>
      <c r="K581" s="59">
        <f>INDEX('Infos Clientes'!$M:$M,MATCH('Detalhe Por UC'!C581,'Infos Clientes'!B:B,0))</f>
        <v>0.25</v>
      </c>
      <c r="L581" s="125">
        <v>0</v>
      </c>
      <c r="M581" s="56">
        <f>INDEX('Infos Clientes'!$N:$N,MATCH('Detalhe Por UC'!C581,'Infos Clientes'!B:B,0))</f>
        <v>0</v>
      </c>
      <c r="N581" s="56">
        <f t="shared" si="303"/>
        <v>0</v>
      </c>
      <c r="O581" s="56">
        <f t="shared" si="304"/>
        <v>7</v>
      </c>
      <c r="P581" s="56">
        <f t="shared" si="339"/>
        <v>0</v>
      </c>
      <c r="Q581" s="61">
        <f>IFERROR(IFERROR(INDEX('Infos Clientes'!$A$2:$V$9884,MATCH($C581,'Infos Clientes'!$B$2:$B$9884,0),MATCH(Q$8,'Infos Clientes'!$A$2:$V$2,0)),"")
+IF(OR(INDEX('Infos Clientes'!$A$2:$V$9884,MATCH($C581,'Infos Clientes'!$B$2:$B$9884,0),MATCH("Tempo de Fidelidade (meses)",'Infos Clientes'!$A$2:$V$2,0))=0,R581&gt;=MAX(R:R)),0,
ROUND((MAX(R:R)-R581)/(365/12),0)),"")</f>
        <v>0</v>
      </c>
      <c r="R581" s="111">
        <v>45809</v>
      </c>
      <c r="S581" s="63">
        <v>0</v>
      </c>
      <c r="T581" s="113" t="str">
        <f>IF($H581="GIROSSOL II",AP581/INDEX('Resumo Operacional'!$A$1:$P$1103,17,MATCH('Detalhe Por UC'!$R581,'Resumo Operacional'!$A$1:$P$1,0)),
IF($H581="GIROSSOL II e III",AP581/INDEX('Resumo Operacional'!$A$1:$P$1103,17,MATCH('Detalhe Por UC'!$R581,'Resumo Operacional'!$A$1:$P$1,0)),
""))</f>
        <v/>
      </c>
      <c r="U581" s="113">
        <f>IF($H581="GIROSSOL III",AP581/INDEX('Resumo Operacional'!$A$1:$P$1103,53,MATCH('Detalhe Por UC'!$R581,'Resumo Operacional'!$A$1:$P$1,0)),
IF($H581="GIROSSOL II e III",AP581/INDEX('Resumo Operacional'!$A$1:$P$1103,53,MATCH('Detalhe Por UC'!$R581,'Resumo Operacional'!$A$1:$P$1,0)),
""))</f>
        <v>-6.810139799292303E-2</v>
      </c>
      <c r="V581" s="45"/>
      <c r="X581" s="18">
        <v>1.1754828233256351</v>
      </c>
      <c r="Y581" s="18">
        <v>0</v>
      </c>
      <c r="Z581" s="18">
        <v>1.0186136221945137</v>
      </c>
      <c r="AA581" s="18"/>
      <c r="AB581" s="18">
        <v>433</v>
      </c>
      <c r="AC581" s="18"/>
      <c r="AD581" s="143">
        <v>0</v>
      </c>
      <c r="AE581" s="35"/>
      <c r="AF581" s="60">
        <v>0</v>
      </c>
      <c r="AG581" s="18">
        <v>0</v>
      </c>
      <c r="AH581" s="48">
        <v>160.36000000000001</v>
      </c>
      <c r="AI581" s="18">
        <v>0</v>
      </c>
      <c r="AJ581" s="18">
        <v>0</v>
      </c>
      <c r="AL581" s="146"/>
      <c r="AN581" s="71">
        <f t="shared" si="305"/>
        <v>-1174</v>
      </c>
      <c r="AO581" s="71">
        <f t="shared" si="306"/>
        <v>0</v>
      </c>
      <c r="AP581" s="71">
        <f t="shared" si="307"/>
        <v>-1174</v>
      </c>
      <c r="AQ581" s="72">
        <f>IF(OR($H581="GIROSSOL II",$H581="GIROSSOL II e III"),INDEX('Resumo Operacional'!$A$1:$P$1103,MATCH("Energia Injetada prevista total Fatura da Usina (TUSD)",'Resumo Operacional'!$B$1:$B$1103,0),MATCH('Detalhe Por UC'!$R581,'Resumo Operacional'!$A$1:$P$1,0))*$S581,INDEX('Resumo Operacional'!$A$1:$P$1103,53,MATCH('Detalhe Por UC'!$R581,'Resumo Operacional'!$A$1:$P$1,0))*$S581)</f>
        <v>0</v>
      </c>
      <c r="AR581" s="71">
        <f t="shared" si="308"/>
        <v>-1174</v>
      </c>
      <c r="AS581" s="73">
        <f t="shared" si="309"/>
        <v>669.34406250000006</v>
      </c>
      <c r="AT581" s="74">
        <f t="shared" si="310"/>
        <v>669.34406250000006</v>
      </c>
      <c r="AU581" s="74" t="str">
        <f t="shared" si="311"/>
        <v/>
      </c>
      <c r="AV581" s="74">
        <f t="shared" si="312"/>
        <v>0</v>
      </c>
      <c r="AW581" s="74">
        <f t="shared" si="313"/>
        <v>-1.0000000000000001E-5</v>
      </c>
      <c r="AX581" s="74">
        <f t="shared" si="314"/>
        <v>-1.0000000000000001E-5</v>
      </c>
      <c r="AY581" s="74">
        <f t="shared" si="315"/>
        <v>-1.0000000000000001E-5</v>
      </c>
      <c r="AZ581" s="43"/>
      <c r="BA581" s="43">
        <v>1.0000000000000001E-5</v>
      </c>
      <c r="BC581" s="73" t="str">
        <f t="shared" si="316"/>
        <v/>
      </c>
      <c r="BD581" s="73">
        <f t="shared" si="317"/>
        <v>669.34406250000006</v>
      </c>
      <c r="BE581" s="73">
        <f t="shared" si="318"/>
        <v>669.34406250000006</v>
      </c>
      <c r="BF581" s="77">
        <f t="shared" si="319"/>
        <v>0</v>
      </c>
      <c r="BG581" s="77">
        <f t="shared" si="320"/>
        <v>0</v>
      </c>
      <c r="BH581" s="77">
        <f t="shared" si="321"/>
        <v>0</v>
      </c>
      <c r="BI581" s="78" t="str">
        <f t="shared" si="322"/>
        <v/>
      </c>
      <c r="BJ581" s="79">
        <f t="shared" si="323"/>
        <v>0</v>
      </c>
      <c r="BK581" s="80">
        <f t="shared" si="324"/>
        <v>669.34405250000009</v>
      </c>
      <c r="BL581" s="80">
        <f t="shared" si="325"/>
        <v>9.9999999747524271E-6</v>
      </c>
      <c r="BM581" s="79">
        <f t="shared" si="326"/>
        <v>1.493999952341764E-8</v>
      </c>
      <c r="BN581" s="81" t="str">
        <f t="shared" si="327"/>
        <v/>
      </c>
      <c r="BO581" s="82" t="str">
        <f t="shared" si="328"/>
        <v/>
      </c>
      <c r="BP581" s="81" t="str">
        <f t="shared" si="329"/>
        <v/>
      </c>
      <c r="BQ581" s="81" t="str">
        <f t="shared" si="330"/>
        <v/>
      </c>
      <c r="BR581" s="81" t="str">
        <f t="shared" si="331"/>
        <v/>
      </c>
      <c r="BS581" s="82">
        <f t="shared" si="332"/>
        <v>0</v>
      </c>
      <c r="BT581" s="82" t="str">
        <f t="shared" si="333"/>
        <v/>
      </c>
      <c r="BU581" s="82">
        <f t="shared" si="334"/>
        <v>0</v>
      </c>
      <c r="BW581" s="82">
        <f>IFERROR(INDEX('Infos Clientes'!$T:$T,MATCH('Detalhe Por UC'!$C581,'Infos Clientes'!B:B,0)),"")</f>
        <v>718.4545454545455</v>
      </c>
      <c r="BX581" s="83">
        <f t="shared" si="335"/>
        <v>0</v>
      </c>
      <c r="BY581" s="84" t="str">
        <f t="shared" si="336"/>
        <v/>
      </c>
      <c r="BZ581" s="85">
        <f>IF(_xlfn.MINIFS('Detalhe Por UC'!R:R,'Detalhe Por UC'!C:C,C581,'Detalhe Por UC'!AD:AD,"&gt;"&amp;0)=0,"",_xlfn.MINIFS('Detalhe Por UC'!R:R,'Detalhe Por UC'!C:C,C581,'Detalhe Por UC'!AD:AD,"&gt;"&amp;0))</f>
        <v>45658</v>
      </c>
      <c r="CA581" s="114" t="str">
        <f ca="1">IF(OR(S581&gt;0,AD581&gt;0),IFERROR(
SUMIFS(INDIRECT("'Infos Clientes'!$W"&amp;INDEX('Infos Clientes'!$C:$C,MATCH(C581,'Infos Clientes'!$H:$H,0))&amp;":$CZ"&amp;INDEX('Infos Clientes'!$C:$C,MATCH(C581,'Infos Clientes'!$H:$H,0))),'Infos Clientes'!$W$2:$CZ$2,"&gt;"&amp;$R581-365,'Infos Clientes'!$W$2:$CZ$2,"&lt;="&amp;$R581)/
COUNTIFS(INDIRECT("'Infos Clientes'!$W"&amp;INDEX('Infos Clientes'!$C:$C,MATCH(C581,'Infos Clientes'!$H:$H,0))&amp;":$CZ"&amp;INDEX('Infos Clientes'!$C:$C,MATCH(C581,'Infos Clientes'!$H:$H,0))),"&gt;="&amp;0,'Infos Clientes'!$W$2:$CZ$2,"&gt;"&amp;$R581-365,'Infos Clientes'!$W$2:$CZ$2,"&lt;="&amp;$R581),""),"")</f>
        <v/>
      </c>
      <c r="CB581" s="87">
        <f>VLOOKUP(C581,'Infos Clientes'!B:L,11,0)</f>
        <v>0</v>
      </c>
      <c r="CC581" s="88" t="str">
        <f t="shared" si="337"/>
        <v>A Unidade Consumidora 10/2247256-7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1" s="40" t="s">
        <v>50</v>
      </c>
      <c r="CE581" s="43"/>
      <c r="CF581" s="115">
        <f t="shared" si="338"/>
        <v>-669.34406250000006</v>
      </c>
    </row>
    <row r="582" spans="1:84" ht="16.2" hidden="1" customHeight="1" x14ac:dyDescent="0.3">
      <c r="A582" s="105" t="str">
        <f>INDEX('Infos Clientes'!$D:$D,MATCH('Detalhe Por UC'!C582,'Infos Clientes'!B:B,0))</f>
        <v>IGREJA DO EVANGELHO QUADRANGULAR</v>
      </c>
      <c r="B582" s="106" t="str">
        <f>INDEX('Infos Clientes'!$F:$F,MATCH('Detalhe Por UC'!C582,'Infos Clientes'!B:B,0))</f>
        <v>62.955.505/0577-89</v>
      </c>
      <c r="C582" s="44" t="s">
        <v>237</v>
      </c>
      <c r="D582" t="s">
        <v>351</v>
      </c>
      <c r="E582" s="1" t="s">
        <v>352</v>
      </c>
      <c r="F582" s="56" t="str">
        <f>INDEX('Infos Clientes'!$I:$I,MATCH('Detalhe Por UC'!C582,'Infos Clientes'!B:B,0))</f>
        <v>BT</v>
      </c>
      <c r="G582" s="56" t="str">
        <f>INDEX('Infos Clientes'!$J:$J,MATCH('Detalhe Por UC'!C582,'Infos Clientes'!B:B,0))</f>
        <v>trifasico</v>
      </c>
      <c r="H582" s="47" t="str">
        <f>HYPERLINK("https://geraebcsp.sharepoint.com/sites/gestao.gdc/Shared Documents/EGS/2- Faturas/"&amp; TEXT($R582,"AAA") &amp;"/"&amp; TEXT($R582,"MM") &amp;"."&amp; TEXT($R582,"AAA") &amp;"/"&amp;"_10-"&amp; RIGHT($C582,LEN($C582)-3) &amp;"_" &amp; TEXT($R582,"AAAA") &amp;"-"&amp; TEXT($R582,"MM") &amp;".pdf","GIROSSOL III")</f>
        <v>GIROSSOL III</v>
      </c>
      <c r="I582" s="58">
        <f>IFERROR(VLOOKUP(C582,'Infos Clientes'!B:E,4,),"")</f>
        <v>319</v>
      </c>
      <c r="J582" s="109">
        <v>0.23725425614394724</v>
      </c>
      <c r="K582" s="59">
        <f>INDEX('Infos Clientes'!$M:$M,MATCH('Detalhe Por UC'!C582,'Infos Clientes'!B:B,0))</f>
        <v>0.25</v>
      </c>
      <c r="L582" s="125">
        <v>0</v>
      </c>
      <c r="M582" s="56">
        <f>INDEX('Infos Clientes'!$N:$N,MATCH('Detalhe Por UC'!C582,'Infos Clientes'!B:B,0))</f>
        <v>0</v>
      </c>
      <c r="N582" s="56">
        <f t="shared" si="303"/>
        <v>0</v>
      </c>
      <c r="O582" s="56">
        <f t="shared" si="304"/>
        <v>4</v>
      </c>
      <c r="P582" s="56">
        <f t="shared" si="339"/>
        <v>0</v>
      </c>
      <c r="Q582" s="61">
        <f>IFERROR(IFERROR(INDEX('Infos Clientes'!$A$2:$V$9884,MATCH($C582,'Infos Clientes'!$B$2:$B$9884,0),MATCH(Q$8,'Infos Clientes'!$A$2:$V$2,0)),"")
+IF(OR(INDEX('Infos Clientes'!$A$2:$V$9884,MATCH($C582,'Infos Clientes'!$B$2:$B$9884,0),MATCH("Tempo de Fidelidade (meses)",'Infos Clientes'!$A$2:$V$2,0))=0,R582&gt;=MAX(R:R)),0,
ROUND((MAX(R:R)-R582)/(365/12),0)),"")</f>
        <v>0</v>
      </c>
      <c r="R582" s="111">
        <v>45809</v>
      </c>
      <c r="S582" s="63">
        <v>0.05</v>
      </c>
      <c r="T582" s="113" t="str">
        <f>IF($H582="GIROSSOL II",AP582/INDEX('Resumo Operacional'!$A$1:$P$1103,17,MATCH('Detalhe Por UC'!$R582,'Resumo Operacional'!$A$1:$P$1,0)),
IF($H582="GIROSSOL II e III",AP582/INDEX('Resumo Operacional'!$A$1:$P$1103,17,MATCH('Detalhe Por UC'!$R582,'Resumo Operacional'!$A$1:$P$1,0)),
""))</f>
        <v/>
      </c>
      <c r="U582" s="113">
        <f>IF($H582="GIROSSOL III",AP582/INDEX('Resumo Operacional'!$A$1:$P$1103,53,MATCH('Detalhe Por UC'!$R582,'Resumo Operacional'!$A$1:$P$1,0)),
IF($H582="GIROSSOL II e III",AP582/INDEX('Resumo Operacional'!$A$1:$P$1103,53,MATCH('Detalhe Por UC'!$R582,'Resumo Operacional'!$A$1:$P$1,0)),
""))</f>
        <v>-2.2971170021462962E-2</v>
      </c>
      <c r="V582" s="45"/>
      <c r="X582" s="18">
        <v>1.1717513489208633</v>
      </c>
      <c r="Y582" s="18">
        <v>0</v>
      </c>
      <c r="Z582" s="18">
        <v>1.014845210280374</v>
      </c>
      <c r="AA582" s="18"/>
      <c r="AB582" s="18">
        <v>278</v>
      </c>
      <c r="AC582" s="18"/>
      <c r="AD582" s="143">
        <v>0</v>
      </c>
      <c r="AE582" s="35"/>
      <c r="AF582" s="60">
        <v>0</v>
      </c>
      <c r="AG582" s="18">
        <v>0</v>
      </c>
      <c r="AH582" s="48">
        <v>0</v>
      </c>
      <c r="AI582" s="18">
        <v>0</v>
      </c>
      <c r="AJ582" s="18">
        <v>0</v>
      </c>
      <c r="AL582" s="146"/>
      <c r="AN582" s="71">
        <f t="shared" si="305"/>
        <v>-396</v>
      </c>
      <c r="AO582" s="71">
        <f t="shared" si="306"/>
        <v>0</v>
      </c>
      <c r="AP582" s="71">
        <f t="shared" si="307"/>
        <v>-396</v>
      </c>
      <c r="AQ582" s="72">
        <f>IF(OR($H582="GIROSSOL II",$H582="GIROSSOL II e III"),INDEX('Resumo Operacional'!$A$1:$P$1103,MATCH("Energia Injetada prevista total Fatura da Usina (TUSD)",'Resumo Operacional'!$B$1:$B$1103,0),MATCH('Detalhe Por UC'!$R582,'Resumo Operacional'!$A$1:$P$1,0))*$S582,INDEX('Resumo Operacional'!$A$1:$P$1103,53,MATCH('Detalhe Por UC'!$R582,'Resumo Operacional'!$A$1:$P$1,0))*$S582)</f>
        <v>861.95</v>
      </c>
      <c r="AR582" s="71">
        <f t="shared" si="308"/>
        <v>-1257.95</v>
      </c>
      <c r="AS582" s="73">
        <f t="shared" si="309"/>
        <v>325.74687499999999</v>
      </c>
      <c r="AT582" s="74">
        <f t="shared" si="310"/>
        <v>325.74687499999999</v>
      </c>
      <c r="AU582" s="74" t="str">
        <f t="shared" si="311"/>
        <v/>
      </c>
      <c r="AV582" s="74">
        <f t="shared" si="312"/>
        <v>0</v>
      </c>
      <c r="AW582" s="74">
        <f t="shared" si="313"/>
        <v>-9.9999999999999995E-7</v>
      </c>
      <c r="AX582" s="74">
        <f t="shared" si="314"/>
        <v>-9.9999999999999995E-7</v>
      </c>
      <c r="AY582" s="74">
        <f t="shared" si="315"/>
        <v>-9.9999999999999995E-7</v>
      </c>
      <c r="AZ582" s="43"/>
      <c r="BA582" s="43">
        <v>9.9999999999999995E-8</v>
      </c>
      <c r="BC582" s="73" t="str">
        <f t="shared" si="316"/>
        <v/>
      </c>
      <c r="BD582" s="73">
        <f t="shared" si="317"/>
        <v>325.74687499999999</v>
      </c>
      <c r="BE582" s="73">
        <f t="shared" si="318"/>
        <v>325.74687499999999</v>
      </c>
      <c r="BF582" s="77">
        <f t="shared" si="319"/>
        <v>0</v>
      </c>
      <c r="BG582" s="77">
        <f t="shared" si="320"/>
        <v>0</v>
      </c>
      <c r="BH582" s="77">
        <f t="shared" si="321"/>
        <v>0</v>
      </c>
      <c r="BI582" s="78" t="str">
        <f t="shared" si="322"/>
        <v/>
      </c>
      <c r="BJ582" s="79">
        <f t="shared" si="323"/>
        <v>0</v>
      </c>
      <c r="BK582" s="80">
        <f t="shared" si="324"/>
        <v>325.74687399999999</v>
      </c>
      <c r="BL582" s="80">
        <f t="shared" si="325"/>
        <v>9.9999999747524271E-7</v>
      </c>
      <c r="BM582" s="79">
        <f t="shared" si="326"/>
        <v>3.0698682757132904E-9</v>
      </c>
      <c r="BN582" s="81" t="str">
        <f t="shared" si="327"/>
        <v/>
      </c>
      <c r="BO582" s="82" t="str">
        <f t="shared" si="328"/>
        <v/>
      </c>
      <c r="BP582" s="81" t="str">
        <f t="shared" si="329"/>
        <v/>
      </c>
      <c r="BQ582" s="81" t="str">
        <f t="shared" si="330"/>
        <v/>
      </c>
      <c r="BR582" s="81" t="str">
        <f t="shared" si="331"/>
        <v/>
      </c>
      <c r="BS582" s="82">
        <f t="shared" si="332"/>
        <v>0</v>
      </c>
      <c r="BT582" s="82" t="str">
        <f t="shared" si="333"/>
        <v/>
      </c>
      <c r="BU582" s="82">
        <f t="shared" si="334"/>
        <v>0</v>
      </c>
      <c r="BW582" s="82">
        <f>IFERROR(INDEX('Infos Clientes'!$T:$T,MATCH('Detalhe Por UC'!$C582,'Infos Clientes'!B:B,0)),"")</f>
        <v>790</v>
      </c>
      <c r="BX582" s="83">
        <f t="shared" si="335"/>
        <v>0</v>
      </c>
      <c r="BY582" s="84" t="str">
        <f t="shared" si="336"/>
        <v/>
      </c>
      <c r="BZ582" s="85">
        <f>IF(_xlfn.MINIFS('Detalhe Por UC'!R:R,'Detalhe Por UC'!C:C,C582,'Detalhe Por UC'!AD:AD,"&gt;"&amp;0)=0,"",_xlfn.MINIFS('Detalhe Por UC'!R:R,'Detalhe Por UC'!C:C,C582,'Detalhe Por UC'!AD:AD,"&gt;"&amp;0))</f>
        <v>45717</v>
      </c>
      <c r="CA582" s="114">
        <f ca="1">IF(OR(S582&gt;0,AD582&gt;0),IFERROR(
SUMIFS(INDIRECT("'Infos Clientes'!$W"&amp;INDEX('Infos Clientes'!$C:$C,MATCH(C582,'Infos Clientes'!$H:$H,0))&amp;":$CZ"&amp;INDEX('Infos Clientes'!$C:$C,MATCH(C582,'Infos Clientes'!$H:$H,0))),'Infos Clientes'!$W$2:$CZ$2,"&gt;"&amp;$R582-365,'Infos Clientes'!$W$2:$CZ$2,"&lt;="&amp;$R582)/
COUNTIFS(INDIRECT("'Infos Clientes'!$W"&amp;INDEX('Infos Clientes'!$C:$C,MATCH(C582,'Infos Clientes'!$H:$H,0))&amp;":$CZ"&amp;INDEX('Infos Clientes'!$C:$C,MATCH(C582,'Infos Clientes'!$H:$H,0))),"&gt;="&amp;0,'Infos Clientes'!$W$2:$CZ$2,"&gt;"&amp;$R582-365,'Infos Clientes'!$W$2:$CZ$2,"&lt;="&amp;$R582),""),"")</f>
        <v>218.41666666666666</v>
      </c>
      <c r="CB582" s="87">
        <f>VLOOKUP(C582,'Infos Clientes'!B:L,11,0)</f>
        <v>0</v>
      </c>
      <c r="CC582" s="88" t="str">
        <f t="shared" si="337"/>
        <v>A Unidade Consumidora 10/925970-6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2" s="40" t="s">
        <v>96</v>
      </c>
      <c r="CE582" s="43"/>
      <c r="CF582" s="115">
        <f t="shared" si="338"/>
        <v>-325.74687499999999</v>
      </c>
    </row>
    <row r="583" spans="1:84" ht="16.2" hidden="1" customHeight="1" x14ac:dyDescent="0.3">
      <c r="A583" s="105" t="str">
        <f>INDEX('Infos Clientes'!$D:$D,MATCH('Detalhe Por UC'!C583,'Infos Clientes'!B:B,0))</f>
        <v>IGREJA DO EVANGELHO QUADRANGULAR</v>
      </c>
      <c r="B583" s="106" t="str">
        <f>INDEX('Infos Clientes'!$F:$F,MATCH('Detalhe Por UC'!C583,'Infos Clientes'!B:B,0))</f>
        <v>62.955.505/3932-07</v>
      </c>
      <c r="C583" s="107" t="s">
        <v>136</v>
      </c>
      <c r="D583" t="s">
        <v>351</v>
      </c>
      <c r="E583" s="1" t="s">
        <v>352</v>
      </c>
      <c r="F583" s="56" t="str">
        <f>INDEX('Infos Clientes'!$I:$I,MATCH('Detalhe Por UC'!C583,'Infos Clientes'!B:B,0))</f>
        <v>BT</v>
      </c>
      <c r="G583" s="56">
        <f>INDEX('Infos Clientes'!$J:$J,MATCH('Detalhe Por UC'!C583,'Infos Clientes'!B:B,0))</f>
        <v>0</v>
      </c>
      <c r="H583" s="108" t="s">
        <v>138</v>
      </c>
      <c r="I583" s="58">
        <f>IFERROR(VLOOKUP(C583,'Infos Clientes'!B:E,4,),"")</f>
        <v>302</v>
      </c>
      <c r="J583" s="109">
        <v>0.23725425614394724</v>
      </c>
      <c r="K583" s="59">
        <f>INDEX('Infos Clientes'!$M:$M,MATCH('Detalhe Por UC'!C583,'Infos Clientes'!B:B,0))</f>
        <v>0.25</v>
      </c>
      <c r="L583" s="125">
        <v>0</v>
      </c>
      <c r="M583" s="56">
        <f>INDEX('Infos Clientes'!$N:$N,MATCH('Detalhe Por UC'!C583,'Infos Clientes'!B:B,0))</f>
        <v>0</v>
      </c>
      <c r="N583" s="56">
        <f t="shared" si="303"/>
        <v>0</v>
      </c>
      <c r="O583" s="56">
        <f t="shared" si="304"/>
        <v>0</v>
      </c>
      <c r="P583" s="56">
        <f t="shared" si="339"/>
        <v>0</v>
      </c>
      <c r="Q583" s="61">
        <f>IFERROR(IFERROR(INDEX('Infos Clientes'!$A$2:$V$9884,MATCH($C583,'Infos Clientes'!$B$2:$B$9884,0),MATCH(Q$8,'Infos Clientes'!$A$2:$V$2,0)),"")
+IF(OR(INDEX('Infos Clientes'!$A$2:$V$9884,MATCH($C583,'Infos Clientes'!$B$2:$B$9884,0),MATCH("Tempo de Fidelidade (meses)",'Infos Clientes'!$A$2:$V$2,0))=0,R583&gt;=MAX(R:R)),0,
ROUND((MAX(R:R)-R583)/(365/12),0)),"")</f>
        <v>0</v>
      </c>
      <c r="R583" s="111">
        <v>45809</v>
      </c>
      <c r="S583" s="63">
        <v>0</v>
      </c>
      <c r="T583" s="113" t="str">
        <f>IF($H583="GIROSSOL II",AP583/INDEX('Resumo Operacional'!$A$1:$P$1103,17,MATCH('Detalhe Por UC'!$R583,'Resumo Operacional'!$A$1:$P$1,0)),
IF($H583="GIROSSOL II e III",AP583/INDEX('Resumo Operacional'!$A$1:$P$1103,17,MATCH('Detalhe Por UC'!$R583,'Resumo Operacional'!$A$1:$P$1,0)),
""))</f>
        <v/>
      </c>
      <c r="U583" s="113">
        <f>IF($H583="GIROSSOL III",AP583/INDEX('Resumo Operacional'!$A$1:$P$1103,53,MATCH('Detalhe Por UC'!$R583,'Resumo Operacional'!$A$1:$P$1,0)),
IF($H583="GIROSSOL II e III",AP583/INDEX('Resumo Operacional'!$A$1:$P$1103,53,MATCH('Detalhe Por UC'!$R583,'Resumo Operacional'!$A$1:$P$1,0)),
""))</f>
        <v>0</v>
      </c>
      <c r="V583" s="45"/>
      <c r="X583" s="18"/>
      <c r="Y583" s="18"/>
      <c r="Z583" s="18"/>
      <c r="AA583" s="18"/>
      <c r="AB583" s="18"/>
      <c r="AC583" s="18"/>
      <c r="AD583" s="143"/>
      <c r="AE583" s="35"/>
      <c r="AF583" s="18"/>
      <c r="AG583" s="18"/>
      <c r="AH583" s="48"/>
      <c r="AI583" s="18"/>
      <c r="AJ583" s="18"/>
      <c r="AL583" s="146"/>
      <c r="AN583" s="71" t="str">
        <f t="shared" si="305"/>
        <v/>
      </c>
      <c r="AO583" s="71" t="str">
        <f t="shared" si="306"/>
        <v/>
      </c>
      <c r="AP583" s="71">
        <f t="shared" si="307"/>
        <v>0</v>
      </c>
      <c r="AQ583" s="72">
        <f>IF(OR($H583="GIROSSOL II",$H583="GIROSSOL II e III"),INDEX('Resumo Operacional'!$A$1:$P$1103,MATCH("Energia Injetada prevista total Fatura da Usina (TUSD)",'Resumo Operacional'!$B$1:$B$1103,0),MATCH('Detalhe Por UC'!$R583,'Resumo Operacional'!$A$1:$P$1,0))*$S583,INDEX('Resumo Operacional'!$A$1:$P$1103,53,MATCH('Detalhe Por UC'!$R583,'Resumo Operacional'!$A$1:$P$1,0))*$S583)</f>
        <v>0</v>
      </c>
      <c r="AR583" s="71" t="str">
        <f t="shared" si="308"/>
        <v/>
      </c>
      <c r="AS583" s="73">
        <f t="shared" si="309"/>
        <v>0</v>
      </c>
      <c r="AT583" s="74">
        <f t="shared" si="310"/>
        <v>0</v>
      </c>
      <c r="AU583" s="74" t="str">
        <f t="shared" si="311"/>
        <v/>
      </c>
      <c r="AV583" s="74">
        <f t="shared" si="312"/>
        <v>0</v>
      </c>
      <c r="AW583" s="74">
        <f t="shared" si="313"/>
        <v>0</v>
      </c>
      <c r="AX583" s="74">
        <f t="shared" si="314"/>
        <v>0</v>
      </c>
      <c r="AY583" s="74" t="str">
        <f t="shared" si="315"/>
        <v/>
      </c>
      <c r="AZ583" s="43" t="s">
        <v>354</v>
      </c>
      <c r="BA583" s="43"/>
      <c r="BC583" s="73" t="str">
        <f t="shared" si="316"/>
        <v/>
      </c>
      <c r="BD583" s="73">
        <f t="shared" si="317"/>
        <v>0</v>
      </c>
      <c r="BE583" s="73">
        <f t="shared" si="318"/>
        <v>0</v>
      </c>
      <c r="BF583" s="77">
        <f t="shared" si="319"/>
        <v>0</v>
      </c>
      <c r="BG583" s="77">
        <f t="shared" si="320"/>
        <v>0</v>
      </c>
      <c r="BH583" s="77">
        <f t="shared" si="321"/>
        <v>0</v>
      </c>
      <c r="BI583" s="78" t="str">
        <f t="shared" si="322"/>
        <v/>
      </c>
      <c r="BJ583" s="79" t="str">
        <f t="shared" si="323"/>
        <v/>
      </c>
      <c r="BK583" s="80" t="str">
        <f t="shared" si="324"/>
        <v/>
      </c>
      <c r="BL583" s="80" t="str">
        <f t="shared" si="325"/>
        <v/>
      </c>
      <c r="BM583" s="79" t="str">
        <f t="shared" si="326"/>
        <v/>
      </c>
      <c r="BN583" s="81" t="str">
        <f t="shared" si="327"/>
        <v/>
      </c>
      <c r="BO583" s="82" t="str">
        <f t="shared" si="328"/>
        <v/>
      </c>
      <c r="BP583" s="81" t="str">
        <f t="shared" si="329"/>
        <v/>
      </c>
      <c r="BQ583" s="81" t="str">
        <f t="shared" si="330"/>
        <v/>
      </c>
      <c r="BR583" s="81" t="str">
        <f t="shared" si="331"/>
        <v/>
      </c>
      <c r="BS583" s="82">
        <f t="shared" si="332"/>
        <v>0</v>
      </c>
      <c r="BT583" s="82" t="str">
        <f t="shared" si="333"/>
        <v/>
      </c>
      <c r="BU583" s="82">
        <f t="shared" si="334"/>
        <v>0</v>
      </c>
      <c r="BW583" s="82">
        <f>IFERROR(INDEX('Infos Clientes'!$T:$T,MATCH('Detalhe Por UC'!$C583,'Infos Clientes'!B:B,0)),"")</f>
        <v>0</v>
      </c>
      <c r="BX583" s="83">
        <f t="shared" si="335"/>
        <v>0</v>
      </c>
      <c r="BY583" s="84" t="str">
        <f t="shared" si="336"/>
        <v/>
      </c>
      <c r="BZ583" s="85" t="str">
        <f>IF(_xlfn.MINIFS('Detalhe Por UC'!R:R,'Detalhe Por UC'!C:C,C583,'Detalhe Por UC'!AD:AD,"&gt;"&amp;0)=0,"",_xlfn.MINIFS('Detalhe Por UC'!R:R,'Detalhe Por UC'!C:C,C583,'Detalhe Por UC'!AD:AD,"&gt;"&amp;0))</f>
        <v/>
      </c>
      <c r="CA583" s="114" t="str">
        <f ca="1">IF(OR(S583&gt;0,AD583&gt;0),IFERROR(
SUMIFS(INDIRECT("'Infos Clientes'!$W"&amp;INDEX('Infos Clientes'!$C:$C,MATCH(C583,'Infos Clientes'!$H:$H,0))&amp;":$CZ"&amp;INDEX('Infos Clientes'!$C:$C,MATCH(C583,'Infos Clientes'!$H:$H,0))),'Infos Clientes'!$W$2:$CZ$2,"&gt;"&amp;$R583-365,'Infos Clientes'!$W$2:$CZ$2,"&lt;="&amp;$R583)/
COUNTIFS(INDIRECT("'Infos Clientes'!$W"&amp;INDEX('Infos Clientes'!$C:$C,MATCH(C583,'Infos Clientes'!$H:$H,0))&amp;":$CZ"&amp;INDEX('Infos Clientes'!$C:$C,MATCH(C583,'Infos Clientes'!$H:$H,0))),"&gt;="&amp;0,'Infos Clientes'!$W$2:$CZ$2,"&gt;"&amp;$R583-365,'Infos Clientes'!$W$2:$CZ$2,"&lt;="&amp;$R583),""),"")</f>
        <v/>
      </c>
      <c r="CB583" s="87">
        <f>VLOOKUP(C583,'Infos Clientes'!B:L,11,0)</f>
        <v>0</v>
      </c>
      <c r="CC583" s="88" t="str">
        <f t="shared" si="337"/>
        <v>A Unidade Consumidora 10/10731-8 economizou R$0 na fatura referente à jun/2025  consumindo 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3" s="40" t="s">
        <v>137</v>
      </c>
      <c r="CE583" s="43"/>
      <c r="CF583" s="115">
        <f t="shared" si="338"/>
        <v>0</v>
      </c>
    </row>
    <row r="584" spans="1:84" ht="16.2" hidden="1" customHeight="1" x14ac:dyDescent="0.3">
      <c r="A584" s="105" t="str">
        <f>INDEX('Infos Clientes'!$D:$D,MATCH('Detalhe Por UC'!C584,'Infos Clientes'!B:B,0))</f>
        <v>IGREJA DO EVANGELHO QUADRANGULAR</v>
      </c>
      <c r="B584" s="106" t="str">
        <f>INDEX('Infos Clientes'!$F:$F,MATCH('Detalhe Por UC'!C584,'Infos Clientes'!B:B,0))</f>
        <v>62.955.505/0585-99</v>
      </c>
      <c r="C584" s="44" t="s">
        <v>225</v>
      </c>
      <c r="D584" t="s">
        <v>351</v>
      </c>
      <c r="E584" s="1" t="s">
        <v>352</v>
      </c>
      <c r="F584" s="56" t="str">
        <f>INDEX('Infos Clientes'!$I:$I,MATCH('Detalhe Por UC'!C584,'Infos Clientes'!B:B,0))</f>
        <v>BT</v>
      </c>
      <c r="G584" s="56" t="str">
        <f>INDEX('Infos Clientes'!$J:$J,MATCH('Detalhe Por UC'!C584,'Infos Clientes'!B:B,0))</f>
        <v>trifasico</v>
      </c>
      <c r="H584" s="47" t="str">
        <f t="shared" ref="H584:H613" si="342">HYPERLINK("https://geraebcsp.sharepoint.com/sites/gestao.gdc/Shared Documents/EGS/2- Faturas/"&amp; TEXT($R584,"AAA") &amp;"/"&amp; TEXT($R584,"MM") &amp;"."&amp; TEXT($R584,"AAA") &amp;"/"&amp;"_10-"&amp; RIGHT($C584,LEN($C584)-3) &amp;"_" &amp; TEXT($R584,"AAAA") &amp;"-"&amp; TEXT($R584,"MM") &amp;".pdf","GIROSSOL III")</f>
        <v>GIROSSOL III</v>
      </c>
      <c r="I584" s="58">
        <f>IFERROR(VLOOKUP(C584,'Infos Clientes'!B:E,4,),"")</f>
        <v>302</v>
      </c>
      <c r="J584" s="109">
        <v>0.23725425614394724</v>
      </c>
      <c r="K584" s="59">
        <f>INDEX('Infos Clientes'!$M:$M,MATCH('Detalhe Por UC'!C584,'Infos Clientes'!B:B,0))</f>
        <v>0.25</v>
      </c>
      <c r="L584" s="125">
        <v>0</v>
      </c>
      <c r="M584" s="56">
        <f>INDEX('Infos Clientes'!$N:$N,MATCH('Detalhe Por UC'!C584,'Infos Clientes'!B:B,0))</f>
        <v>0</v>
      </c>
      <c r="N584" s="56">
        <f t="shared" si="303"/>
        <v>0</v>
      </c>
      <c r="O584" s="56">
        <f t="shared" si="304"/>
        <v>9</v>
      </c>
      <c r="P584" s="56">
        <f t="shared" si="339"/>
        <v>0</v>
      </c>
      <c r="Q584" s="61">
        <f>IFERROR(IFERROR(INDEX('Infos Clientes'!$A$2:$V$9884,MATCH($C584,'Infos Clientes'!$B$2:$B$9884,0),MATCH(Q$8,'Infos Clientes'!$A$2:$V$2,0)),"")
+IF(OR(INDEX('Infos Clientes'!$A$2:$V$9884,MATCH($C584,'Infos Clientes'!$B$2:$B$9884,0),MATCH("Tempo de Fidelidade (meses)",'Infos Clientes'!$A$2:$V$2,0))=0,R584&gt;=MAX(R:R)),0,
ROUND((MAX(R:R)-R584)/(365/12),0)),"")</f>
        <v>0</v>
      </c>
      <c r="R584" s="111">
        <v>45809</v>
      </c>
      <c r="S584" s="63">
        <v>0.02</v>
      </c>
      <c r="T584" s="113" t="str">
        <f>IF($H584="GIROSSOL II",AP584/INDEX('Resumo Operacional'!$A$1:$P$1103,17,MATCH('Detalhe Por UC'!$R584,'Resumo Operacional'!$A$1:$P$1,0)),
IF($H584="GIROSSOL II e III",AP584/INDEX('Resumo Operacional'!$A$1:$P$1103,17,MATCH('Detalhe Por UC'!$R584,'Resumo Operacional'!$A$1:$P$1,0)),
""))</f>
        <v/>
      </c>
      <c r="U584" s="113">
        <f>IF($H584="GIROSSOL III",AP584/INDEX('Resumo Operacional'!$A$1:$P$1103,53,MATCH('Detalhe Por UC'!$R584,'Resumo Operacional'!$A$1:$P$1,0)),
IF($H584="GIROSSOL II e III",AP584/INDEX('Resumo Operacional'!$A$1:$P$1103,53,MATCH('Detalhe Por UC'!$R584,'Resumo Operacional'!$A$1:$P$1,0)),
""))</f>
        <v>9.1652648065433037E-3</v>
      </c>
      <c r="V584" s="45"/>
      <c r="X584" s="18">
        <v>1.1603888749056128</v>
      </c>
      <c r="Y584" s="18">
        <v>0</v>
      </c>
      <c r="Z584" s="18">
        <v>1.0034591881274553</v>
      </c>
      <c r="AA584" s="18"/>
      <c r="AB584" s="18">
        <v>274</v>
      </c>
      <c r="AC584" s="18"/>
      <c r="AD584" s="143">
        <v>158</v>
      </c>
      <c r="AE584" s="35"/>
      <c r="AF584" s="18">
        <v>0</v>
      </c>
      <c r="AG584" s="18">
        <v>0</v>
      </c>
      <c r="AH584" s="48">
        <v>45.32</v>
      </c>
      <c r="AI584" s="18">
        <v>0</v>
      </c>
      <c r="AJ584" s="18">
        <v>0</v>
      </c>
      <c r="AL584" s="146"/>
      <c r="AN584" s="71">
        <f t="shared" si="305"/>
        <v>0</v>
      </c>
      <c r="AO584" s="71">
        <f t="shared" si="306"/>
        <v>0</v>
      </c>
      <c r="AP584" s="71">
        <f t="shared" si="307"/>
        <v>158</v>
      </c>
      <c r="AQ584" s="72">
        <f>IF(OR($H584="GIROSSOL II",$H584="GIROSSOL II e III"),INDEX('Resumo Operacional'!$A$1:$P$1103,MATCH("Energia Injetada prevista total Fatura da Usina (TUSD)",'Resumo Operacional'!$B$1:$B$1103,0),MATCH('Detalhe Por UC'!$R584,'Resumo Operacional'!$A$1:$P$1,0))*$S584,INDEX('Resumo Operacional'!$A$1:$P$1103,53,MATCH('Detalhe Por UC'!$R584,'Resumo Operacional'!$A$1:$P$1,0))*$S584)</f>
        <v>344.78000000000003</v>
      </c>
      <c r="AR584" s="71">
        <f t="shared" si="308"/>
        <v>-186.78000000000003</v>
      </c>
      <c r="AS584" s="73">
        <f t="shared" si="309"/>
        <v>204.71999999999997</v>
      </c>
      <c r="AT584" s="74">
        <f t="shared" si="310"/>
        <v>204.71999999999997</v>
      </c>
      <c r="AU584" s="74">
        <f t="shared" si="311"/>
        <v>0.84652950134929772</v>
      </c>
      <c r="AV584" s="74">
        <f t="shared" si="312"/>
        <v>120.93070753063974</v>
      </c>
      <c r="AW584" s="74">
        <f t="shared" si="313"/>
        <v>0</v>
      </c>
      <c r="AX584" s="74">
        <f t="shared" si="314"/>
        <v>158.54655172413794</v>
      </c>
      <c r="AY584" s="74">
        <f t="shared" si="315"/>
        <v>120.93</v>
      </c>
      <c r="AZ584" s="43">
        <v>118.91</v>
      </c>
      <c r="BA584" s="43">
        <v>118.91</v>
      </c>
      <c r="BB584" s="43">
        <v>118.91</v>
      </c>
      <c r="BC584" s="73" t="str">
        <f t="shared" si="316"/>
        <v/>
      </c>
      <c r="BD584" s="73">
        <f t="shared" si="317"/>
        <v>363.26655172413791</v>
      </c>
      <c r="BE584" s="73">
        <f t="shared" si="318"/>
        <v>325.65070753063969</v>
      </c>
      <c r="BF584" s="77">
        <f t="shared" si="319"/>
        <v>37.619999999999997</v>
      </c>
      <c r="BG584" s="77">
        <f t="shared" si="320"/>
        <v>11.286</v>
      </c>
      <c r="BH584" s="77">
        <f t="shared" si="321"/>
        <v>158.54655172413791</v>
      </c>
      <c r="BI584" s="78">
        <f t="shared" si="322"/>
        <v>0.24</v>
      </c>
      <c r="BJ584" s="79">
        <f t="shared" si="323"/>
        <v>0.10356031905896022</v>
      </c>
      <c r="BK584" s="80">
        <f t="shared" si="324"/>
        <v>325.64999999999998</v>
      </c>
      <c r="BL584" s="80">
        <f t="shared" si="325"/>
        <v>37.616551724137935</v>
      </c>
      <c r="BM584" s="79">
        <f t="shared" si="326"/>
        <v>0.10355082664671995</v>
      </c>
      <c r="BN584" s="81">
        <f t="shared" si="327"/>
        <v>0.76537974683544308</v>
      </c>
      <c r="BO584" s="82">
        <f t="shared" si="328"/>
        <v>120.93</v>
      </c>
      <c r="BP584" s="81">
        <f t="shared" si="329"/>
        <v>0.76537974683544308</v>
      </c>
      <c r="BQ584" s="81">
        <f t="shared" si="330"/>
        <v>0.92230943361360063</v>
      </c>
      <c r="BR584" s="81">
        <f t="shared" si="331"/>
        <v>1.1603888749056128</v>
      </c>
      <c r="BS584" s="82">
        <f t="shared" si="332"/>
        <v>158</v>
      </c>
      <c r="BT584" s="82">
        <f t="shared" si="333"/>
        <v>183.34144223508682</v>
      </c>
      <c r="BU584" s="82">
        <f t="shared" si="334"/>
        <v>158.54655172413794</v>
      </c>
      <c r="BW584" s="82">
        <f>IFERROR(INDEX('Infos Clientes'!$T:$T,MATCH('Detalhe Por UC'!$C584,'Infos Clientes'!B:B,0)),"")</f>
        <v>352.63636363636363</v>
      </c>
      <c r="BX584" s="83">
        <f t="shared" si="335"/>
        <v>0</v>
      </c>
      <c r="BY584" s="84">
        <f t="shared" si="336"/>
        <v>0.20517211638329247</v>
      </c>
      <c r="BZ584" s="85">
        <f>IF(_xlfn.MINIFS('Detalhe Por UC'!R:R,'Detalhe Por UC'!C:C,C584,'Detalhe Por UC'!AD:AD,"&gt;"&amp;0)=0,"",_xlfn.MINIFS('Detalhe Por UC'!R:R,'Detalhe Por UC'!C:C,C584,'Detalhe Por UC'!AD:AD,"&gt;"&amp;0))</f>
        <v>45658</v>
      </c>
      <c r="CA584" s="114">
        <f ca="1">IF(OR(S584&gt;0,AD584&gt;0),IFERROR(
SUMIFS(INDIRECT("'Infos Clientes'!$W"&amp;INDEX('Infos Clientes'!$C:$C,MATCH(C584,'Infos Clientes'!$H:$H,0))&amp;":$CZ"&amp;INDEX('Infos Clientes'!$C:$C,MATCH(C584,'Infos Clientes'!$H:$H,0))),'Infos Clientes'!$W$2:$CZ$2,"&gt;"&amp;$R584-365,'Infos Clientes'!$W$2:$CZ$2,"&lt;="&amp;$R584)/
COUNTIFS(INDIRECT("'Infos Clientes'!$W"&amp;INDEX('Infos Clientes'!$C:$C,MATCH(C584,'Infos Clientes'!$H:$H,0))&amp;":$CZ"&amp;INDEX('Infos Clientes'!$C:$C,MATCH(C584,'Infos Clientes'!$H:$H,0))),"&gt;="&amp;0,'Infos Clientes'!$W$2:$CZ$2,"&gt;"&amp;$R584-365,'Infos Clientes'!$W$2:$CZ$2,"&lt;="&amp;$R584),""),"")</f>
        <v>368.16666666666669</v>
      </c>
      <c r="CB584" s="87">
        <f>VLOOKUP(C584,'Infos Clientes'!B:L,11,0)</f>
        <v>0</v>
      </c>
      <c r="CC584" s="88" t="str">
        <f t="shared" si="337"/>
        <v>A Unidade Consumidora 10/76927-3 economizou R$37,62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4" s="40" t="s">
        <v>227</v>
      </c>
      <c r="CE584" s="43"/>
      <c r="CF584" s="115">
        <f t="shared" si="338"/>
        <v>-204.71999999999997</v>
      </c>
    </row>
    <row r="585" spans="1:84" ht="16.2" hidden="1" customHeight="1" x14ac:dyDescent="0.3">
      <c r="A585" s="105" t="str">
        <f>INDEX('Infos Clientes'!$D:$D,MATCH('Detalhe Por UC'!C585,'Infos Clientes'!B:B,0))</f>
        <v>IGREJA DO EVANGELHO QUADRANGULAR</v>
      </c>
      <c r="B585" s="106" t="str">
        <f>INDEX('Infos Clientes'!$F:$F,MATCH('Detalhe Por UC'!C585,'Infos Clientes'!B:B,0))</f>
        <v>62.955.505/1138-75</v>
      </c>
      <c r="C585" s="44" t="s">
        <v>157</v>
      </c>
      <c r="D585" t="s">
        <v>351</v>
      </c>
      <c r="E585" s="1" t="s">
        <v>352</v>
      </c>
      <c r="F585" s="56" t="str">
        <f>INDEX('Infos Clientes'!$I:$I,MATCH('Detalhe Por UC'!C585,'Infos Clientes'!B:B,0))</f>
        <v>BT</v>
      </c>
      <c r="G585" s="56" t="str">
        <f>INDEX('Infos Clientes'!$J:$J,MATCH('Detalhe Por UC'!C585,'Infos Clientes'!B:B,0))</f>
        <v>bifasico</v>
      </c>
      <c r="H585" s="47" t="str">
        <f t="shared" si="342"/>
        <v>GIROSSOL III</v>
      </c>
      <c r="I585" s="58">
        <f>IFERROR(VLOOKUP(C585,'Infos Clientes'!B:E,4,),"")</f>
        <v>358</v>
      </c>
      <c r="J585" s="109">
        <v>0.23725425614394724</v>
      </c>
      <c r="K585" s="59">
        <f>INDEX('Infos Clientes'!$M:$M,MATCH('Detalhe Por UC'!C585,'Infos Clientes'!B:B,0))</f>
        <v>0.25</v>
      </c>
      <c r="L585" s="125">
        <v>0</v>
      </c>
      <c r="M585" s="56">
        <f>INDEX('Infos Clientes'!$N:$N,MATCH('Detalhe Por UC'!C585,'Infos Clientes'!B:B,0))</f>
        <v>0</v>
      </c>
      <c r="N585" s="56">
        <f t="shared" ref="N585:N648" si="343">COUNTIFS(C:C,C585,J:J,L585)</f>
        <v>0</v>
      </c>
      <c r="O585" s="56">
        <f t="shared" ref="O585:O648" si="344">COUNTIFS(C:C,C585,AD:AD,"&gt;0")</f>
        <v>9</v>
      </c>
      <c r="P585" s="56">
        <f t="shared" si="339"/>
        <v>0</v>
      </c>
      <c r="Q585" s="61">
        <f>IFERROR(IFERROR(INDEX('Infos Clientes'!$A$2:$V$9884,MATCH($C585,'Infos Clientes'!$B$2:$B$9884,0),MATCH(Q$8,'Infos Clientes'!$A$2:$V$2,0)),"")
+IF(OR(INDEX('Infos Clientes'!$A$2:$V$9884,MATCH($C585,'Infos Clientes'!$B$2:$B$9884,0),MATCH("Tempo de Fidelidade (meses)",'Infos Clientes'!$A$2:$V$2,0))=0,R585&gt;=MAX(R:R)),0,
ROUND((MAX(R:R)-R585)/(365/12),0)),"")</f>
        <v>0</v>
      </c>
      <c r="R585" s="111">
        <v>45809</v>
      </c>
      <c r="S585" s="63">
        <v>0.03</v>
      </c>
      <c r="T585" s="113" t="str">
        <f>IF($H585="GIROSSOL II",AP585/INDEX('Resumo Operacional'!$A$1:$P$1103,17,MATCH('Detalhe Por UC'!$R585,'Resumo Operacional'!$A$1:$P$1,0)),
IF($H585="GIROSSOL II e III",AP585/INDEX('Resumo Operacional'!$A$1:$P$1103,17,MATCH('Detalhe Por UC'!$R585,'Resumo Operacional'!$A$1:$P$1,0)),
""))</f>
        <v/>
      </c>
      <c r="U585" s="113">
        <f>IF($H585="GIROSSOL III",AP585/INDEX('Resumo Operacional'!$A$1:$P$1103,53,MATCH('Detalhe Por UC'!$R585,'Resumo Operacional'!$A$1:$P$1,0)),
IF($H585="GIROSSOL II e III",AP585/INDEX('Resumo Operacional'!$A$1:$P$1103,53,MATCH('Detalhe Por UC'!$R585,'Resumo Operacional'!$A$1:$P$1,0)),
""))</f>
        <v>0</v>
      </c>
      <c r="V585" s="45"/>
      <c r="X585" s="18">
        <v>1.1680124423155558</v>
      </c>
      <c r="Y585" s="18">
        <v>0</v>
      </c>
      <c r="Z585" s="18">
        <v>1.0111429440918183</v>
      </c>
      <c r="AA585" s="18"/>
      <c r="AB585" s="18">
        <v>323</v>
      </c>
      <c r="AC585" s="18"/>
      <c r="AD585" s="143">
        <v>217</v>
      </c>
      <c r="AE585" s="35"/>
      <c r="AF585" s="18">
        <v>0</v>
      </c>
      <c r="AG585" s="18">
        <v>0</v>
      </c>
      <c r="AH585" s="48">
        <v>64.27</v>
      </c>
      <c r="AI585" s="18">
        <v>0</v>
      </c>
      <c r="AJ585" s="18">
        <v>0</v>
      </c>
      <c r="AL585" s="146"/>
      <c r="AN585" s="71">
        <f t="shared" ref="AN585:AN648" si="345">IF(X585="","",AF585-SUMIFS(AF:AF,$C:$C,$C585,$R:$R,EDATE($R585,-1)))</f>
        <v>-217</v>
      </c>
      <c r="AO585" s="71">
        <f t="shared" ref="AO585:AO648" si="346">IF(X585="","",AG585-SUMIFS(AG:AG,$H:$H,$H585,$C:$C,$C585,$R:$R,EDATE($R585,-1)))</f>
        <v>0</v>
      </c>
      <c r="AP585" s="71">
        <f t="shared" ref="AP585:AP648" si="347">IFERROR(IF(D585="CRÉD. CONSUMIDO",SUM(AD585,AE585,AN585,AO585),IF(D585="GERADO",AQ585)),"")</f>
        <v>0</v>
      </c>
      <c r="AQ585" s="72">
        <f>IF(OR($H585="GIROSSOL II",$H585="GIROSSOL II e III"),INDEX('Resumo Operacional'!$A$1:$P$1103,MATCH("Energia Injetada prevista total Fatura da Usina (TUSD)",'Resumo Operacional'!$B$1:$B$1103,0),MATCH('Detalhe Por UC'!$R585,'Resumo Operacional'!$A$1:$P$1,0))*$S585,INDEX('Resumo Operacional'!$A$1:$P$1103,53,MATCH('Detalhe Por UC'!$R585,'Resumo Operacional'!$A$1:$P$1,0))*$S585)</f>
        <v>517.16999999999996</v>
      </c>
      <c r="AR585" s="71">
        <f t="shared" ref="AR585:AR648" si="348">IF(X585="","",AP585-AQ585)</f>
        <v>-517.16999999999996</v>
      </c>
      <c r="AS585" s="73">
        <f t="shared" ref="AS585:AS648" si="349">IFERROR((X585*AB585-Z585*AD585+Y585*AC585-AA585*AE585)+AH585+
IF(F585&lt;&gt;"BT",0,
IF(AND(G585="trifasico",AD585=0,AB585&lt;100),X585*(100-(AB585-AD585)),
IF(AND(G585="bifasico",AD585=0,AB585&lt;50),X585*(50-(AB585-AD585)),
IF(AND(G585="monofasico",AD585=0,AB585&lt;30),X585*(30-(AB585-AD585)),0)))),"")</f>
        <v>222.11999999999995</v>
      </c>
      <c r="AT585" s="74">
        <f t="shared" ref="AT585:AT648" si="350">IFERROR(AS585+AI585+AJ585,"")</f>
        <v>222.11999999999995</v>
      </c>
      <c r="AU585" s="74">
        <f t="shared" ref="AU585:AU648" si="351">IFERROR((Z585*AD585+AA585*AE585)/(AD585+AE585)-((X585-Z585)*AD585+(Y585-AA585)*AE585)/(AD585+AE585),"")</f>
        <v>0.85427344586808074</v>
      </c>
      <c r="AV585" s="74">
        <f t="shared" ref="AV585:AV648" si="352">IFERROR(IF(AND(E585="FINAL-Ñ.COMP",D585="CRÉD. CONSUMIDO"),(X585*(1-J585)-(X585-Z585))*AD585+(Y585*(1-J585)-(Y585-AA585))*AE585,
IF(AND(E585="T.COMP",D585="CRÉD. CONSUMIDO"),Z585*(1-J585)*AD585+AA585*(1-J585)*AE585,
IF(AND(E585="T.S.IMP",D585="CRÉD. CONSUMIDO"),V585*(1-J585)*AD585+W585*(1-J585)*AE585,
IF(AND(E585="T.S.IMP",D585="GERADO"),V585*(1-J585)*AQ585+W585*(1-J585)*AQ585,
IF(AND(E585="T.COMP",D585="GERADO"),AU585*(1-J585)*AQ585,
IF(AND(E585="FINAL-Ñ.COMP",D585="GERADO"),(AU585*(1-J585)-(X585-Z585))*AQ585,"ERRO")))))),"")</f>
        <v>167.36016001683655</v>
      </c>
      <c r="AW585" s="74">
        <f t="shared" ref="AW585:AW648" si="353">IF(45658=R585,0,IF(
SUMIFS($BA:$BA,$C:$C,$C585,$R:$R,EDATE($R585,-1))
&gt;=0,
SUMIFS(AY:AY,$C:$C,$C585,$R:$R,EDATE($R585,-1))-SUMIFS(BA:BA,$C:$C,$C585,$R:$R,EDATE($R585,-1)),0))</f>
        <v>0</v>
      </c>
      <c r="AX585" s="74">
        <f t="shared" ref="AX585:AX648" si="354">IFERROR(IF(AND(E585="FINAL-Ñ.COMP",D585="CRÉD. CONSUMIDO"),(X585-(X585-Z585))*AD585+(Y585-(Y585-AA585))*AE585,
IF(AND(E585="T.COMP",D585="CRÉD. CONSUMIDO"),Z585*AD585+AA585*AE585,
IF(AND(E585="T.S.IMP",D585="CRÉD. CONSUMIDO"),V585*AD585+W585*AE585,
IF(AND(E585="T.S.IMP",D585="GERADO"),V585*AQ585+W585*AQ585,
IF(AND(E585="T.COMP",D585="GERADO"),AU585*AQ585,
IF(AND(E585="FINAL-Ñ.COMP",D585="GERADO"),(AU585-(X585-Z585))*AQ585,"ERRO"))))))+AW585,"")</f>
        <v>219.41801886792456</v>
      </c>
      <c r="AY585" s="74">
        <f t="shared" ref="AY585:AY648" si="355">IF(AV585=0,IF(AW585=0,"",AW585),IFERROR(ROUND(IF(SUMIFS($BA:$BA,$C:$C,$C585,$R:$R,EDATE($R585,-1))&gt;0,AV585+AW585,AV585),2),""))</f>
        <v>167.36</v>
      </c>
      <c r="AZ585" s="43">
        <v>164.56</v>
      </c>
      <c r="BA585" s="43">
        <v>164.56</v>
      </c>
      <c r="BB585" s="43">
        <v>164.56</v>
      </c>
      <c r="BC585" s="73" t="str">
        <f t="shared" ref="BC585:BC648" si="356">IF(BB585&gt;BA585,BB585-BA585,"")</f>
        <v/>
      </c>
      <c r="BD585" s="73">
        <f t="shared" ref="BD585:BD648" si="357">IF(AB585&gt;0,X585*AB585+Y585*AC585+AH585,AH585+
IF(AND(G585="trifasico",AB585-AD585=0),X585*(100-(AB585-AD585)),
IF(AND(G585="bifasico",AB585-AD585=0),X585*(50-(AB585-AD585)),
IF(AND(G585="monofasico",AB585-AD585=0),X585*(30-(AB585-AD585)),0))))</f>
        <v>441.53801886792451</v>
      </c>
      <c r="BE585" s="73">
        <f t="shared" ref="BE585:BE648" si="358">IFERROR(AS585+AV585,"")</f>
        <v>389.48016001683652</v>
      </c>
      <c r="BF585" s="77">
        <f t="shared" ref="BF585:BF648" si="359">ROUND(BD585-BE585,2)</f>
        <v>52.06</v>
      </c>
      <c r="BG585" s="77">
        <f t="shared" ref="BG585:BG648" si="360">BF585*0.3</f>
        <v>15.618</v>
      </c>
      <c r="BH585" s="77">
        <f t="shared" ref="BH585:BH648" si="361">(X585*AD585)-((X585-Z585)*AD585)</f>
        <v>219.41801886792456</v>
      </c>
      <c r="BI585" s="78">
        <f t="shared" ref="BI585:BI648" si="362">IFERROR(ROUND(IFERROR(IF(BF585=0,"",BF585/(AY585+Z585*J585*AD585+AA585*J585*AE585)),0),2),"")</f>
        <v>0.24</v>
      </c>
      <c r="BJ585" s="79">
        <f t="shared" ref="BJ585:BJ648" si="363">IFERROR(BF585/BD585,"")</f>
        <v>0.11790604155329261</v>
      </c>
      <c r="BK585" s="80">
        <f t="shared" ref="BK585:BK648" si="364">IFERROR(AS585+AY585,"")</f>
        <v>389.47999999999996</v>
      </c>
      <c r="BL585" s="80">
        <f t="shared" ref="BL585:BL648" si="365">IFERROR(BD585-BK585,"")</f>
        <v>52.058018867924545</v>
      </c>
      <c r="BM585" s="79">
        <f t="shared" ref="BM585:BM648" si="366">IFERROR(IF(BL585=0,"",BL585/BD585),"")</f>
        <v>0.11790155466430276</v>
      </c>
      <c r="BN585" s="81">
        <f t="shared" ref="BN585:BN648" si="367">IFERROR(IF(AD585="","",AY585/(AD585+AE585)),"")</f>
        <v>0.77124423963133648</v>
      </c>
      <c r="BO585" s="82">
        <f t="shared" ref="BO585:BO648" si="368">IF(OR(BN585="",BN585=0),"",BN585*(AD585+AE585))</f>
        <v>167.36</v>
      </c>
      <c r="BP585" s="81">
        <f t="shared" ref="BP585:BP648" si="369">IFERROR(IF(AD585="","",AY585/AD585),"")</f>
        <v>0.77124423963133648</v>
      </c>
      <c r="BQ585" s="81">
        <f t="shared" ref="BQ585:BQ648" si="370">IFERROR(BP585+(X585-Z585),"")</f>
        <v>0.92811373785507401</v>
      </c>
      <c r="BR585" s="81">
        <f t="shared" ref="BR585:BR648" si="371">IFERROR(IF(AD585="","",(X585*AD585+Y585*AE585)/(AD585+AE585)),"")</f>
        <v>1.1680124423155558</v>
      </c>
      <c r="BS585" s="82">
        <f t="shared" ref="BS585:BS648" si="372">IFERROR(IF(D585="gerado",AQ585,AD585),"")</f>
        <v>217</v>
      </c>
      <c r="BT585" s="82">
        <f t="shared" ref="BT585:BT648" si="373">IF(OR(BR585="",BR585=0),"",BR585*(AD585+AE585))</f>
        <v>253.45869998247559</v>
      </c>
      <c r="BU585" s="82">
        <f t="shared" ref="BU585:BU648" si="374">IFERROR(BS585*Z585,"")</f>
        <v>219.41801886792456</v>
      </c>
      <c r="BW585" s="82">
        <f>IFERROR(INDEX('Infos Clientes'!$T:$T,MATCH('Detalhe Por UC'!$C585,'Infos Clientes'!B:B,0)),"")</f>
        <v>449.81818181818181</v>
      </c>
      <c r="BX585" s="83">
        <f t="shared" ref="BX585:BX648" si="375">IFERROR(BW585*Q585,"")</f>
        <v>0</v>
      </c>
      <c r="BY585" s="84">
        <f t="shared" ref="BY585:BY648" si="376">IFERROR((X585-BQ585)/X585,"")</f>
        <v>0.20539053846454627</v>
      </c>
      <c r="BZ585" s="85">
        <f>IF(_xlfn.MINIFS('Detalhe Por UC'!R:R,'Detalhe Por UC'!C:C,C585,'Detalhe Por UC'!AD:AD,"&gt;"&amp;0)=0,"",_xlfn.MINIFS('Detalhe Por UC'!R:R,'Detalhe Por UC'!C:C,C585,'Detalhe Por UC'!AD:AD,"&gt;"&amp;0))</f>
        <v>45658</v>
      </c>
      <c r="CA585" s="114">
        <f ca="1">IF(OR(S585&gt;0,AD585&gt;0),IFERROR(
SUMIFS(INDIRECT("'Infos Clientes'!$W"&amp;INDEX('Infos Clientes'!$C:$C,MATCH(C585,'Infos Clientes'!$H:$H,0))&amp;":$CZ"&amp;INDEX('Infos Clientes'!$C:$C,MATCH(C585,'Infos Clientes'!$H:$H,0))),'Infos Clientes'!$W$2:$CZ$2,"&gt;"&amp;$R585-365,'Infos Clientes'!$W$2:$CZ$2,"&lt;="&amp;$R585)/
COUNTIFS(INDIRECT("'Infos Clientes'!$W"&amp;INDEX('Infos Clientes'!$C:$C,MATCH(C585,'Infos Clientes'!$H:$H,0))&amp;":$CZ"&amp;INDEX('Infos Clientes'!$C:$C,MATCH(C585,'Infos Clientes'!$H:$H,0))),"&gt;="&amp;0,'Infos Clientes'!$W$2:$CZ$2,"&gt;"&amp;$R585-365,'Infos Clientes'!$W$2:$CZ$2,"&lt;="&amp;$R585),""),"")</f>
        <v>459</v>
      </c>
      <c r="CB585" s="87">
        <f>VLOOKUP(C585,'Infos Clientes'!B:L,11,0)</f>
        <v>0</v>
      </c>
      <c r="CC585" s="88" t="str">
        <f t="shared" ref="CC585:CC648" si="377">"A Unidade Consumidora "&amp;C585&amp;" economizou R$"&amp;BF585&amp;" na fatura referente à "&amp;TEXT(R585,"mmm/aaaa")&amp;"  consumindo "&amp;AD585&amp;" kWh em créditos de energia renovável conforme fatura de energia. A economia foi de "&amp;$J585*100&amp;"% em relação ao que seria pago para a Energisa considerando os créditos consumidos. Atenção: Mantenha as contas da Energisa em dia para evitar cortes."</f>
        <v>A Unidade Consumidora 10/142353-2 economizou R$52,06 na fatura referente à jun/2025  consumindo 217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5" s="40" t="s">
        <v>159</v>
      </c>
      <c r="CE585" s="43"/>
      <c r="CF585" s="115">
        <f t="shared" ref="CF585:CF648" si="378">CE585-AT585</f>
        <v>-222.11999999999995</v>
      </c>
    </row>
    <row r="586" spans="1:84" ht="16.2" hidden="1" customHeight="1" x14ac:dyDescent="0.3">
      <c r="A586" s="105" t="str">
        <f>INDEX('Infos Clientes'!$D:$D,MATCH('Detalhe Por UC'!C586,'Infos Clientes'!B:B,0))</f>
        <v>IGREJA DO EVANGELHO QUADRANGULAR</v>
      </c>
      <c r="B586" s="106" t="str">
        <f>INDEX('Infos Clientes'!$F:$F,MATCH('Detalhe Por UC'!C586,'Infos Clientes'!B:B,0))</f>
        <v>62.955.505/3574-05</v>
      </c>
      <c r="C586" s="44" t="s">
        <v>203</v>
      </c>
      <c r="D586" t="s">
        <v>351</v>
      </c>
      <c r="E586" s="1" t="s">
        <v>352</v>
      </c>
      <c r="F586" s="56" t="str">
        <f>INDEX('Infos Clientes'!$I:$I,MATCH('Detalhe Por UC'!C586,'Infos Clientes'!B:B,0))</f>
        <v>BT</v>
      </c>
      <c r="G586" s="56" t="str">
        <f>INDEX('Infos Clientes'!$J:$J,MATCH('Detalhe Por UC'!C586,'Infos Clientes'!B:B,0))</f>
        <v>trifasico</v>
      </c>
      <c r="H586" s="47" t="str">
        <f t="shared" si="342"/>
        <v>GIROSSOL III</v>
      </c>
      <c r="I586" s="58">
        <f>IFERROR(VLOOKUP(C586,'Infos Clientes'!B:E,4,),"")</f>
        <v>306</v>
      </c>
      <c r="J586" s="109">
        <v>0.23725425614394724</v>
      </c>
      <c r="K586" s="59">
        <f>INDEX('Infos Clientes'!$M:$M,MATCH('Detalhe Por UC'!C586,'Infos Clientes'!B:B,0))</f>
        <v>0.25</v>
      </c>
      <c r="L586" s="125">
        <v>0</v>
      </c>
      <c r="M586" s="56">
        <f>INDEX('Infos Clientes'!$N:$N,MATCH('Detalhe Por UC'!C586,'Infos Clientes'!B:B,0))</f>
        <v>0</v>
      </c>
      <c r="N586" s="56">
        <f t="shared" si="343"/>
        <v>0</v>
      </c>
      <c r="O586" s="56">
        <f t="shared" si="344"/>
        <v>10</v>
      </c>
      <c r="P586" s="56">
        <f t="shared" ref="P586:P649" si="379">M586-N586</f>
        <v>0</v>
      </c>
      <c r="Q586" s="61">
        <f>IFERROR(IFERROR(INDEX('Infos Clientes'!$A$2:$V$9884,MATCH($C586,'Infos Clientes'!$B$2:$B$9884,0),MATCH(Q$8,'Infos Clientes'!$A$2:$V$2,0)),"")
+IF(OR(INDEX('Infos Clientes'!$A$2:$V$9884,MATCH($C586,'Infos Clientes'!$B$2:$B$9884,0),MATCH("Tempo de Fidelidade (meses)",'Infos Clientes'!$A$2:$V$2,0))=0,R586&gt;=MAX(R:R)),0,
ROUND((MAX(R:R)-R586)/(365/12),0)),"")</f>
        <v>0</v>
      </c>
      <c r="R586" s="111">
        <v>45809</v>
      </c>
      <c r="S586" s="63">
        <v>0.02</v>
      </c>
      <c r="T586" s="113" t="str">
        <f>IF($H586="GIROSSOL II",AP586/INDEX('Resumo Operacional'!$A$1:$P$1103,17,MATCH('Detalhe Por UC'!$R586,'Resumo Operacional'!$A$1:$P$1,0)),
IF($H586="GIROSSOL II e III",AP586/INDEX('Resumo Operacional'!$A$1:$P$1103,17,MATCH('Detalhe Por UC'!$R586,'Resumo Operacional'!$A$1:$P$1,0)),
""))</f>
        <v/>
      </c>
      <c r="U586" s="113">
        <f>IF($H586="GIROSSOL III",AP586/INDEX('Resumo Operacional'!$A$1:$P$1103,53,MATCH('Detalhe Por UC'!$R586,'Resumo Operacional'!$A$1:$P$1,0)),
IF($H586="GIROSSOL II e III",AP586/INDEX('Resumo Operacional'!$A$1:$P$1103,53,MATCH('Detalhe Por UC'!$R586,'Resumo Operacional'!$A$1:$P$1,0)),
""))</f>
        <v>0</v>
      </c>
      <c r="V586" s="45"/>
      <c r="X586" s="18">
        <v>1.1641944444444443</v>
      </c>
      <c r="Y586" s="18">
        <v>0</v>
      </c>
      <c r="Z586" s="18">
        <v>1.0073931623931625</v>
      </c>
      <c r="AA586" s="18"/>
      <c r="AB586" s="18">
        <v>240</v>
      </c>
      <c r="AC586" s="18"/>
      <c r="AD586" s="143">
        <v>78</v>
      </c>
      <c r="AE586" s="35"/>
      <c r="AF586" s="18">
        <v>0</v>
      </c>
      <c r="AG586" s="18">
        <v>0</v>
      </c>
      <c r="AH586" s="48">
        <v>0</v>
      </c>
      <c r="AI586" s="18">
        <v>0</v>
      </c>
      <c r="AJ586" s="18">
        <v>0</v>
      </c>
      <c r="AL586" s="146"/>
      <c r="AN586" s="71">
        <f t="shared" si="345"/>
        <v>-78</v>
      </c>
      <c r="AO586" s="71">
        <f t="shared" si="346"/>
        <v>0</v>
      </c>
      <c r="AP586" s="71">
        <f t="shared" si="347"/>
        <v>0</v>
      </c>
      <c r="AQ586" s="72">
        <f>IF(OR($H586="GIROSSOL II",$H586="GIROSSOL II e III"),INDEX('Resumo Operacional'!$A$1:$P$1103,MATCH("Energia Injetada prevista total Fatura da Usina (TUSD)",'Resumo Operacional'!$B$1:$B$1103,0),MATCH('Detalhe Por UC'!$R586,'Resumo Operacional'!$A$1:$P$1,0))*$S586,INDEX('Resumo Operacional'!$A$1:$P$1103,53,MATCH('Detalhe Por UC'!$R586,'Resumo Operacional'!$A$1:$P$1,0))*$S586)</f>
        <v>344.78000000000003</v>
      </c>
      <c r="AR586" s="71">
        <f t="shared" si="348"/>
        <v>-344.78000000000003</v>
      </c>
      <c r="AS586" s="73">
        <f t="shared" si="349"/>
        <v>200.82999999999998</v>
      </c>
      <c r="AT586" s="74">
        <f t="shared" si="350"/>
        <v>200.82999999999998</v>
      </c>
      <c r="AU586" s="74">
        <f t="shared" si="351"/>
        <v>0.8505918803418806</v>
      </c>
      <c r="AV586" s="74">
        <f t="shared" si="352"/>
        <v>59.934018066395772</v>
      </c>
      <c r="AW586" s="74">
        <f t="shared" si="353"/>
        <v>0</v>
      </c>
      <c r="AX586" s="74">
        <f t="shared" si="354"/>
        <v>78.576666666666668</v>
      </c>
      <c r="AY586" s="74">
        <f t="shared" si="355"/>
        <v>59.93</v>
      </c>
      <c r="AZ586" s="43">
        <v>58.93</v>
      </c>
      <c r="BA586" s="43">
        <v>58.93</v>
      </c>
      <c r="BB586" s="43">
        <v>58.93</v>
      </c>
      <c r="BC586" s="73" t="str">
        <f t="shared" si="356"/>
        <v/>
      </c>
      <c r="BD586" s="73">
        <f t="shared" si="357"/>
        <v>279.40666666666664</v>
      </c>
      <c r="BE586" s="73">
        <f t="shared" si="358"/>
        <v>260.76401806639575</v>
      </c>
      <c r="BF586" s="77">
        <f t="shared" si="359"/>
        <v>18.64</v>
      </c>
      <c r="BG586" s="77">
        <f t="shared" si="360"/>
        <v>5.5919999999999996</v>
      </c>
      <c r="BH586" s="77">
        <f t="shared" si="361"/>
        <v>78.576666666666682</v>
      </c>
      <c r="BI586" s="78">
        <f t="shared" si="362"/>
        <v>0.24</v>
      </c>
      <c r="BJ586" s="79">
        <f t="shared" si="363"/>
        <v>6.6712796163298421E-2</v>
      </c>
      <c r="BK586" s="80">
        <f t="shared" si="364"/>
        <v>260.76</v>
      </c>
      <c r="BL586" s="80">
        <f t="shared" si="365"/>
        <v>18.646666666666647</v>
      </c>
      <c r="BM586" s="79">
        <f t="shared" si="366"/>
        <v>6.6736656247763051E-2</v>
      </c>
      <c r="BN586" s="81">
        <f t="shared" si="367"/>
        <v>0.76833333333333331</v>
      </c>
      <c r="BO586" s="82">
        <f t="shared" si="368"/>
        <v>59.93</v>
      </c>
      <c r="BP586" s="81">
        <f t="shared" si="369"/>
        <v>0.76833333333333331</v>
      </c>
      <c r="BQ586" s="81">
        <f t="shared" si="370"/>
        <v>0.92513461538461517</v>
      </c>
      <c r="BR586" s="81">
        <f t="shared" si="371"/>
        <v>1.1641944444444443</v>
      </c>
      <c r="BS586" s="82">
        <f t="shared" si="372"/>
        <v>78</v>
      </c>
      <c r="BT586" s="82">
        <f t="shared" si="373"/>
        <v>90.80716666666666</v>
      </c>
      <c r="BU586" s="82">
        <f t="shared" si="374"/>
        <v>78.576666666666668</v>
      </c>
      <c r="BW586" s="82">
        <f>IFERROR(INDEX('Infos Clientes'!$T:$T,MATCH('Detalhe Por UC'!$C586,'Infos Clientes'!B:B,0)),"")</f>
        <v>378.09090909090907</v>
      </c>
      <c r="BX586" s="83">
        <f t="shared" si="375"/>
        <v>0</v>
      </c>
      <c r="BY586" s="84">
        <f t="shared" si="376"/>
        <v>0.20534355768542506</v>
      </c>
      <c r="BZ586" s="85">
        <f>IF(_xlfn.MINIFS('Detalhe Por UC'!R:R,'Detalhe Por UC'!C:C,C586,'Detalhe Por UC'!AD:AD,"&gt;"&amp;0)=0,"",_xlfn.MINIFS('Detalhe Por UC'!R:R,'Detalhe Por UC'!C:C,C586,'Detalhe Por UC'!AD:AD,"&gt;"&amp;0))</f>
        <v>45658</v>
      </c>
      <c r="CA586" s="114">
        <f ca="1">IF(OR(S586&gt;0,AD586&gt;0),IFERROR(
SUMIFS(INDIRECT("'Infos Clientes'!$W"&amp;INDEX('Infos Clientes'!$C:$C,MATCH(C586,'Infos Clientes'!$H:$H,0))&amp;":$CZ"&amp;INDEX('Infos Clientes'!$C:$C,MATCH(C586,'Infos Clientes'!$H:$H,0))),'Infos Clientes'!$W$2:$CZ$2,"&gt;"&amp;$R586-365,'Infos Clientes'!$W$2:$CZ$2,"&lt;="&amp;$R586)/
COUNTIFS(INDIRECT("'Infos Clientes'!$W"&amp;INDEX('Infos Clientes'!$C:$C,MATCH(C586,'Infos Clientes'!$H:$H,0))&amp;":$CZ"&amp;INDEX('Infos Clientes'!$C:$C,MATCH(C586,'Infos Clientes'!$H:$H,0))),"&gt;="&amp;0,'Infos Clientes'!$W$2:$CZ$2,"&gt;"&amp;$R586-365,'Infos Clientes'!$W$2:$CZ$2,"&lt;="&amp;$R586),""),"")</f>
        <v>366.5</v>
      </c>
      <c r="CB586" s="87">
        <f>VLOOKUP(C586,'Infos Clientes'!B:L,11,0)</f>
        <v>0</v>
      </c>
      <c r="CC586" s="88" t="str">
        <f t="shared" si="377"/>
        <v>A Unidade Consumidora 10/435964-2 economizou R$18,64 na fatura referente à jun/2025  consumindo 78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6" s="40" t="s">
        <v>143</v>
      </c>
      <c r="CE586" s="43"/>
      <c r="CF586" s="115">
        <f t="shared" si="378"/>
        <v>-200.82999999999998</v>
      </c>
    </row>
    <row r="587" spans="1:84" ht="16.2" hidden="1" customHeight="1" x14ac:dyDescent="0.3">
      <c r="A587" s="105" t="str">
        <f>INDEX('Infos Clientes'!$D:$D,MATCH('Detalhe Por UC'!C587,'Infos Clientes'!B:B,0))</f>
        <v>IGREJA DO EVANGELHO QUADRANGULAR</v>
      </c>
      <c r="B587" s="106" t="str">
        <f>INDEX('Infos Clientes'!$F:$F,MATCH('Detalhe Por UC'!C587,'Infos Clientes'!B:B,0))</f>
        <v>62.955.505/0169-18</v>
      </c>
      <c r="C587" s="44" t="s">
        <v>139</v>
      </c>
      <c r="D587" t="s">
        <v>351</v>
      </c>
      <c r="E587" s="1" t="s">
        <v>352</v>
      </c>
      <c r="F587" s="56" t="str">
        <f>INDEX('Infos Clientes'!$I:$I,MATCH('Detalhe Por UC'!C587,'Infos Clientes'!B:B,0))</f>
        <v>BT</v>
      </c>
      <c r="G587" s="56" t="str">
        <f>INDEX('Infos Clientes'!$J:$J,MATCH('Detalhe Por UC'!C587,'Infos Clientes'!B:B,0))</f>
        <v>bifasico</v>
      </c>
      <c r="H587" s="47" t="str">
        <f t="shared" si="342"/>
        <v>GIROSSOL III</v>
      </c>
      <c r="I587" s="58">
        <f>IFERROR(VLOOKUP(C587,'Infos Clientes'!B:E,4,),"")</f>
        <v>351</v>
      </c>
      <c r="J587" s="109">
        <v>0.23725425614394724</v>
      </c>
      <c r="K587" s="59">
        <f>INDEX('Infos Clientes'!$M:$M,MATCH('Detalhe Por UC'!C587,'Infos Clientes'!B:B,0))</f>
        <v>0.25</v>
      </c>
      <c r="L587" s="125">
        <v>0</v>
      </c>
      <c r="M587" s="56">
        <f>INDEX('Infos Clientes'!$N:$N,MATCH('Detalhe Por UC'!C587,'Infos Clientes'!B:B,0))</f>
        <v>0</v>
      </c>
      <c r="N587" s="56">
        <f t="shared" si="343"/>
        <v>0</v>
      </c>
      <c r="O587" s="56">
        <f t="shared" si="344"/>
        <v>9</v>
      </c>
      <c r="P587" s="56">
        <f t="shared" si="379"/>
        <v>0</v>
      </c>
      <c r="Q587" s="61">
        <f>IFERROR(IFERROR(INDEX('Infos Clientes'!$A$2:$V$9884,MATCH($C587,'Infos Clientes'!$B$2:$B$9884,0),MATCH(Q$8,'Infos Clientes'!$A$2:$V$2,0)),"")
+IF(OR(INDEX('Infos Clientes'!$A$2:$V$9884,MATCH($C587,'Infos Clientes'!$B$2:$B$9884,0),MATCH("Tempo de Fidelidade (meses)",'Infos Clientes'!$A$2:$V$2,0))=0,R587&gt;=MAX(R:R)),0,
ROUND((MAX(R:R)-R587)/(365/12),0)),"")</f>
        <v>0</v>
      </c>
      <c r="R587" s="111">
        <v>45809</v>
      </c>
      <c r="S587" s="63">
        <v>0.03</v>
      </c>
      <c r="T587" s="113" t="str">
        <f>IF($H587="GIROSSOL II",AP587/INDEX('Resumo Operacional'!$A$1:$P$1103,17,MATCH('Detalhe Por UC'!$R587,'Resumo Operacional'!$A$1:$P$1,0)),
IF($H587="GIROSSOL II e III",AP587/INDEX('Resumo Operacional'!$A$1:$P$1103,17,MATCH('Detalhe Por UC'!$R587,'Resumo Operacional'!$A$1:$P$1,0)),
""))</f>
        <v/>
      </c>
      <c r="U587" s="113">
        <f>IF($H587="GIROSSOL III",AP587/INDEX('Resumo Operacional'!$A$1:$P$1103,53,MATCH('Detalhe Por UC'!$R587,'Resumo Operacional'!$A$1:$P$1,0)),
IF($H587="GIROSSOL II e III",AP587/INDEX('Resumo Operacional'!$A$1:$P$1103,53,MATCH('Detalhe Por UC'!$R587,'Resumo Operacional'!$A$1:$P$1,0)),
""))</f>
        <v>1.3747897209814954E-2</v>
      </c>
      <c r="V587" s="45"/>
      <c r="X587" s="18">
        <v>1.1551010723530137</v>
      </c>
      <c r="Y587" s="18">
        <v>0</v>
      </c>
      <c r="Z587" s="18">
        <v>0.99822007550521863</v>
      </c>
      <c r="AA587" s="18"/>
      <c r="AB587" s="18">
        <v>427</v>
      </c>
      <c r="AC587" s="18"/>
      <c r="AD587" s="143">
        <v>237</v>
      </c>
      <c r="AE587" s="35"/>
      <c r="AF587" s="18">
        <v>0</v>
      </c>
      <c r="AG587" s="18">
        <v>0</v>
      </c>
      <c r="AH587" s="48">
        <v>50.3</v>
      </c>
      <c r="AI587" s="18">
        <v>0</v>
      </c>
      <c r="AJ587" s="18">
        <v>0</v>
      </c>
      <c r="AL587" s="146"/>
      <c r="AN587" s="71">
        <f t="shared" si="345"/>
        <v>0</v>
      </c>
      <c r="AO587" s="71">
        <f t="shared" si="346"/>
        <v>0</v>
      </c>
      <c r="AP587" s="71">
        <f t="shared" si="347"/>
        <v>237</v>
      </c>
      <c r="AQ587" s="72">
        <f>IF(OR($H587="GIROSSOL II",$H587="GIROSSOL II e III"),INDEX('Resumo Operacional'!$A$1:$P$1103,MATCH("Energia Injetada prevista total Fatura da Usina (TUSD)",'Resumo Operacional'!$B$1:$B$1103,0),MATCH('Detalhe Por UC'!$R587,'Resumo Operacional'!$A$1:$P$1,0))*$S587,INDEX('Resumo Operacional'!$A$1:$P$1103,53,MATCH('Detalhe Por UC'!$R587,'Resumo Operacional'!$A$1:$P$1,0))*$S587)</f>
        <v>517.16999999999996</v>
      </c>
      <c r="AR587" s="71">
        <f t="shared" si="348"/>
        <v>-280.16999999999996</v>
      </c>
      <c r="AS587" s="73">
        <f t="shared" si="349"/>
        <v>306.95000000000005</v>
      </c>
      <c r="AT587" s="74">
        <f t="shared" si="350"/>
        <v>306.95000000000005</v>
      </c>
      <c r="AU587" s="74">
        <f t="shared" si="351"/>
        <v>0.84133907865742352</v>
      </c>
      <c r="AV587" s="74">
        <f t="shared" si="352"/>
        <v>180.44898302351572</v>
      </c>
      <c r="AW587" s="74">
        <f t="shared" si="353"/>
        <v>0</v>
      </c>
      <c r="AX587" s="74">
        <f t="shared" si="354"/>
        <v>236.57815789473682</v>
      </c>
      <c r="AY587" s="74">
        <f t="shared" si="355"/>
        <v>180.45</v>
      </c>
      <c r="AZ587" s="43">
        <v>177.43</v>
      </c>
      <c r="BA587" s="43">
        <v>177.43</v>
      </c>
      <c r="BB587" s="49">
        <v>236.58</v>
      </c>
      <c r="BC587" s="73">
        <f t="shared" si="356"/>
        <v>59.150000000000006</v>
      </c>
      <c r="BD587" s="73">
        <f t="shared" si="357"/>
        <v>543.52815789473686</v>
      </c>
      <c r="BE587" s="73">
        <f t="shared" si="358"/>
        <v>487.39898302351577</v>
      </c>
      <c r="BF587" s="77">
        <f t="shared" si="359"/>
        <v>56.13</v>
      </c>
      <c r="BG587" s="77">
        <f t="shared" si="360"/>
        <v>16.838999999999999</v>
      </c>
      <c r="BH587" s="77">
        <f t="shared" si="361"/>
        <v>236.57815789473682</v>
      </c>
      <c r="BI587" s="78">
        <f t="shared" si="362"/>
        <v>0.24</v>
      </c>
      <c r="BJ587" s="79">
        <f t="shared" si="363"/>
        <v>0.10326971875276883</v>
      </c>
      <c r="BK587" s="80">
        <f t="shared" si="364"/>
        <v>487.40000000000003</v>
      </c>
      <c r="BL587" s="80">
        <f t="shared" si="365"/>
        <v>56.12815789473683</v>
      </c>
      <c r="BM587" s="79">
        <f t="shared" si="366"/>
        <v>0.10326632959024538</v>
      </c>
      <c r="BN587" s="81">
        <f t="shared" si="367"/>
        <v>0.76139240506329109</v>
      </c>
      <c r="BO587" s="82">
        <f t="shared" si="368"/>
        <v>180.45</v>
      </c>
      <c r="BP587" s="81">
        <f t="shared" si="369"/>
        <v>0.76139240506329109</v>
      </c>
      <c r="BQ587" s="81">
        <f t="shared" si="370"/>
        <v>0.9182734019110862</v>
      </c>
      <c r="BR587" s="81">
        <f t="shared" si="371"/>
        <v>1.1551010723530137</v>
      </c>
      <c r="BS587" s="82">
        <f t="shared" si="372"/>
        <v>237</v>
      </c>
      <c r="BT587" s="82">
        <f t="shared" si="373"/>
        <v>273.75895414766427</v>
      </c>
      <c r="BU587" s="82">
        <f t="shared" si="374"/>
        <v>236.57815789473682</v>
      </c>
      <c r="BW587" s="82">
        <f>IFERROR(INDEX('Infos Clientes'!$T:$T,MATCH('Detalhe Por UC'!$C587,'Infos Clientes'!B:B,0)),"")</f>
        <v>547.4545454545455</v>
      </c>
      <c r="BX587" s="83">
        <f t="shared" si="375"/>
        <v>0</v>
      </c>
      <c r="BY587" s="84">
        <f t="shared" si="376"/>
        <v>0.20502766044489479</v>
      </c>
      <c r="BZ587" s="85">
        <f>IF(_xlfn.MINIFS('Detalhe Por UC'!R:R,'Detalhe Por UC'!C:C,C587,'Detalhe Por UC'!AD:AD,"&gt;"&amp;0)=0,"",_xlfn.MINIFS('Detalhe Por UC'!R:R,'Detalhe Por UC'!C:C,C587,'Detalhe Por UC'!AD:AD,"&gt;"&amp;0))</f>
        <v>45658</v>
      </c>
      <c r="CA587" s="114">
        <f ca="1">IF(OR(S587&gt;0,AD587&gt;0),IFERROR(
SUMIFS(INDIRECT("'Infos Clientes'!$W"&amp;INDEX('Infos Clientes'!$C:$C,MATCH(C587,'Infos Clientes'!$H:$H,0))&amp;":$CZ"&amp;INDEX('Infos Clientes'!$C:$C,MATCH(C587,'Infos Clientes'!$H:$H,0))),'Infos Clientes'!$W$2:$CZ$2,"&gt;"&amp;$R587-365,'Infos Clientes'!$W$2:$CZ$2,"&lt;="&amp;$R587)/
COUNTIFS(INDIRECT("'Infos Clientes'!$W"&amp;INDEX('Infos Clientes'!$C:$C,MATCH(C587,'Infos Clientes'!$H:$H,0))&amp;":$CZ"&amp;INDEX('Infos Clientes'!$C:$C,MATCH(C587,'Infos Clientes'!$H:$H,0))),"&gt;="&amp;0,'Infos Clientes'!$W$2:$CZ$2,"&gt;"&amp;$R587-365,'Infos Clientes'!$W$2:$CZ$2,"&lt;="&amp;$R587),""),"")</f>
        <v>547</v>
      </c>
      <c r="CB587" s="87">
        <f>VLOOKUP(C587,'Infos Clientes'!B:L,11,0)</f>
        <v>0</v>
      </c>
      <c r="CC587" s="88" t="str">
        <f t="shared" si="377"/>
        <v>A Unidade Consumidora 10/1081489-5 economizou R$56,13 na fatura referente à jun/2025  consumindo 237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7" s="40" t="s">
        <v>141</v>
      </c>
      <c r="CE587" s="43"/>
      <c r="CF587" s="115">
        <f t="shared" si="378"/>
        <v>-306.95000000000005</v>
      </c>
    </row>
    <row r="588" spans="1:84" ht="16.2" hidden="1" customHeight="1" x14ac:dyDescent="0.3">
      <c r="A588" s="105" t="str">
        <f>INDEX('Infos Clientes'!$D:$D,MATCH('Detalhe Por UC'!C588,'Infos Clientes'!B:B,0))</f>
        <v>IGREJA DO EVANGELHO QUADRANGULAR</v>
      </c>
      <c r="B588" s="106" t="str">
        <f>INDEX('Infos Clientes'!$F:$F,MATCH('Detalhe Por UC'!C588,'Infos Clientes'!B:B,0))</f>
        <v>62.955.505/3124-87</v>
      </c>
      <c r="C588" s="44" t="s">
        <v>160</v>
      </c>
      <c r="D588" t="s">
        <v>351</v>
      </c>
      <c r="E588" s="1" t="s">
        <v>352</v>
      </c>
      <c r="F588" s="56" t="str">
        <f>INDEX('Infos Clientes'!$I:$I,MATCH('Detalhe Por UC'!C588,'Infos Clientes'!B:B,0))</f>
        <v>BT</v>
      </c>
      <c r="G588" s="56" t="str">
        <f>INDEX('Infos Clientes'!$J:$J,MATCH('Detalhe Por UC'!C588,'Infos Clientes'!B:B,0))</f>
        <v>trifasico</v>
      </c>
      <c r="H588" s="47" t="str">
        <f t="shared" si="342"/>
        <v>GIROSSOL III</v>
      </c>
      <c r="I588" s="58">
        <f>IFERROR(VLOOKUP(C588,'Infos Clientes'!B:E,4,),"")</f>
        <v>357</v>
      </c>
      <c r="J588" s="109">
        <v>0.23725425614394724</v>
      </c>
      <c r="K588" s="59">
        <f>INDEX('Infos Clientes'!$M:$M,MATCH('Detalhe Por UC'!C588,'Infos Clientes'!B:B,0))</f>
        <v>0.25</v>
      </c>
      <c r="L588" s="125">
        <v>0</v>
      </c>
      <c r="M588" s="56">
        <f>INDEX('Infos Clientes'!$N:$N,MATCH('Detalhe Por UC'!C588,'Infos Clientes'!B:B,0))</f>
        <v>0</v>
      </c>
      <c r="N588" s="56">
        <f t="shared" si="343"/>
        <v>0</v>
      </c>
      <c r="O588" s="56">
        <f t="shared" si="344"/>
        <v>9</v>
      </c>
      <c r="P588" s="56">
        <f t="shared" si="379"/>
        <v>0</v>
      </c>
      <c r="Q588" s="61">
        <f>IFERROR(IFERROR(INDEX('Infos Clientes'!$A$2:$V$9884,MATCH($C588,'Infos Clientes'!$B$2:$B$9884,0),MATCH(Q$8,'Infos Clientes'!$A$2:$V$2,0)),"")
+IF(OR(INDEX('Infos Clientes'!$A$2:$V$9884,MATCH($C588,'Infos Clientes'!$B$2:$B$9884,0),MATCH("Tempo de Fidelidade (meses)",'Infos Clientes'!$A$2:$V$2,0))=0,R588&gt;=MAX(R:R)),0,
ROUND((MAX(R:R)-R588)/(365/12),0)),"")</f>
        <v>0</v>
      </c>
      <c r="R588" s="111">
        <v>45809</v>
      </c>
      <c r="S588" s="63">
        <v>0.03</v>
      </c>
      <c r="T588" s="113" t="str">
        <f>IF($H588="GIROSSOL II",AP588/INDEX('Resumo Operacional'!$A$1:$P$1103,17,MATCH('Detalhe Por UC'!$R588,'Resumo Operacional'!$A$1:$P$1,0)),
IF($H588="GIROSSOL II e III",AP588/INDEX('Resumo Operacional'!$A$1:$P$1103,17,MATCH('Detalhe Por UC'!$R588,'Resumo Operacional'!$A$1:$P$1,0)),
""))</f>
        <v/>
      </c>
      <c r="U588" s="113">
        <f>IF($H588="GIROSSOL III",AP588/INDEX('Resumo Operacional'!$A$1:$P$1103,53,MATCH('Detalhe Por UC'!$R588,'Resumo Operacional'!$A$1:$P$1,0)),
IF($H588="GIROSSOL II e III",AP588/INDEX('Resumo Operacional'!$A$1:$P$1103,53,MATCH('Detalhe Por UC'!$R588,'Resumo Operacional'!$A$1:$P$1,0)),
""))</f>
        <v>0</v>
      </c>
      <c r="V588" s="45"/>
      <c r="X588" s="18">
        <v>1.1671232998225902</v>
      </c>
      <c r="Y588" s="18">
        <v>0</v>
      </c>
      <c r="Z588" s="18">
        <v>1.0102855805243447</v>
      </c>
      <c r="AA588" s="18"/>
      <c r="AB588" s="18">
        <v>380</v>
      </c>
      <c r="AC588" s="18"/>
      <c r="AD588" s="143">
        <v>24</v>
      </c>
      <c r="AE588" s="35"/>
      <c r="AF588" s="18">
        <v>0</v>
      </c>
      <c r="AG588" s="18">
        <v>0</v>
      </c>
      <c r="AH588" s="48">
        <v>0</v>
      </c>
      <c r="AI588" s="18">
        <v>0</v>
      </c>
      <c r="AJ588" s="18">
        <v>0</v>
      </c>
      <c r="AL588" s="146"/>
      <c r="AN588" s="71">
        <f t="shared" si="345"/>
        <v>-24</v>
      </c>
      <c r="AO588" s="71">
        <f t="shared" si="346"/>
        <v>0</v>
      </c>
      <c r="AP588" s="71">
        <f t="shared" si="347"/>
        <v>0</v>
      </c>
      <c r="AQ588" s="72">
        <f>IF(OR($H588="GIROSSOL II",$H588="GIROSSOL II e III"),INDEX('Resumo Operacional'!$A$1:$P$1103,MATCH("Energia Injetada prevista total Fatura da Usina (TUSD)",'Resumo Operacional'!$B$1:$B$1103,0),MATCH('Detalhe Por UC'!$R588,'Resumo Operacional'!$A$1:$P$1,0))*$S588,INDEX('Resumo Operacional'!$A$1:$P$1103,53,MATCH('Detalhe Por UC'!$R588,'Resumo Operacional'!$A$1:$P$1,0))*$S588)</f>
        <v>517.16999999999996</v>
      </c>
      <c r="AR588" s="71">
        <f t="shared" si="348"/>
        <v>-517.16999999999996</v>
      </c>
      <c r="AS588" s="73">
        <f t="shared" si="349"/>
        <v>419.26000000000005</v>
      </c>
      <c r="AT588" s="74">
        <f t="shared" si="350"/>
        <v>419.26000000000005</v>
      </c>
      <c r="AU588" s="74">
        <f t="shared" si="351"/>
        <v>0.85344786122609917</v>
      </c>
      <c r="AV588" s="74">
        <f t="shared" si="352"/>
        <v>18.494184638978048</v>
      </c>
      <c r="AW588" s="74">
        <f t="shared" si="353"/>
        <v>0</v>
      </c>
      <c r="AX588" s="74">
        <f t="shared" si="354"/>
        <v>24.246853932584273</v>
      </c>
      <c r="AY588" s="74">
        <f t="shared" si="355"/>
        <v>18.489999999999998</v>
      </c>
      <c r="AZ588" s="43">
        <v>18.190000000000001</v>
      </c>
      <c r="BA588" s="43">
        <v>18.190000000000001</v>
      </c>
      <c r="BB588" s="43">
        <v>18.190000000000001</v>
      </c>
      <c r="BC588" s="73" t="str">
        <f t="shared" si="356"/>
        <v/>
      </c>
      <c r="BD588" s="73">
        <f t="shared" si="357"/>
        <v>443.50685393258431</v>
      </c>
      <c r="BE588" s="73">
        <f t="shared" si="358"/>
        <v>437.75418463897807</v>
      </c>
      <c r="BF588" s="77">
        <f t="shared" si="359"/>
        <v>5.75</v>
      </c>
      <c r="BG588" s="77">
        <f t="shared" si="360"/>
        <v>1.7249999999999999</v>
      </c>
      <c r="BH588" s="77">
        <f t="shared" si="361"/>
        <v>24.246853932584273</v>
      </c>
      <c r="BI588" s="78">
        <f t="shared" si="362"/>
        <v>0.24</v>
      </c>
      <c r="BJ588" s="79">
        <f t="shared" si="363"/>
        <v>1.2964850371566151E-2</v>
      </c>
      <c r="BK588" s="80">
        <f t="shared" si="364"/>
        <v>437.75000000000006</v>
      </c>
      <c r="BL588" s="80">
        <f t="shared" si="365"/>
        <v>5.7568539325842494</v>
      </c>
      <c r="BM588" s="79">
        <f t="shared" si="366"/>
        <v>1.2980304321202949E-2</v>
      </c>
      <c r="BN588" s="81">
        <f t="shared" si="367"/>
        <v>0.77041666666666664</v>
      </c>
      <c r="BO588" s="82">
        <f t="shared" si="368"/>
        <v>18.489999999999998</v>
      </c>
      <c r="BP588" s="81">
        <f t="shared" si="369"/>
        <v>0.77041666666666664</v>
      </c>
      <c r="BQ588" s="81">
        <f t="shared" si="370"/>
        <v>0.92725438596491216</v>
      </c>
      <c r="BR588" s="81">
        <f t="shared" si="371"/>
        <v>1.1671232998225902</v>
      </c>
      <c r="BS588" s="82">
        <f t="shared" si="372"/>
        <v>24</v>
      </c>
      <c r="BT588" s="82">
        <f t="shared" si="373"/>
        <v>28.010959195742167</v>
      </c>
      <c r="BU588" s="82">
        <f t="shared" si="374"/>
        <v>24.246853932584273</v>
      </c>
      <c r="BW588" s="82">
        <f>IFERROR(INDEX('Infos Clientes'!$T:$T,MATCH('Detalhe Por UC'!$C588,'Infos Clientes'!B:B,0)),"")</f>
        <v>495.18181818181819</v>
      </c>
      <c r="BX588" s="83">
        <f t="shared" si="375"/>
        <v>0</v>
      </c>
      <c r="BY588" s="84">
        <f t="shared" si="376"/>
        <v>0.20552148508571425</v>
      </c>
      <c r="BZ588" s="85">
        <f>IF(_xlfn.MINIFS('Detalhe Por UC'!R:R,'Detalhe Por UC'!C:C,C588,'Detalhe Por UC'!AD:AD,"&gt;"&amp;0)=0,"",_xlfn.MINIFS('Detalhe Por UC'!R:R,'Detalhe Por UC'!C:C,C588,'Detalhe Por UC'!AD:AD,"&gt;"&amp;0))</f>
        <v>45658</v>
      </c>
      <c r="CA588" s="114">
        <f ca="1">IF(OR(S588&gt;0,AD588&gt;0),IFERROR(
SUMIFS(INDIRECT("'Infos Clientes'!$W"&amp;INDEX('Infos Clientes'!$C:$C,MATCH(C588,'Infos Clientes'!$H:$H,0))&amp;":$CZ"&amp;INDEX('Infos Clientes'!$C:$C,MATCH(C588,'Infos Clientes'!$H:$H,0))),'Infos Clientes'!$W$2:$CZ$2,"&gt;"&amp;$R588-365,'Infos Clientes'!$W$2:$CZ$2,"&lt;="&amp;$R588)/
COUNTIFS(INDIRECT("'Infos Clientes'!$W"&amp;INDEX('Infos Clientes'!$C:$C,MATCH(C588,'Infos Clientes'!$H:$H,0))&amp;":$CZ"&amp;INDEX('Infos Clientes'!$C:$C,MATCH(C588,'Infos Clientes'!$H:$H,0))),"&gt;="&amp;0,'Infos Clientes'!$W$2:$CZ$2,"&gt;"&amp;$R588-365,'Infos Clientes'!$W$2:$CZ$2,"&lt;="&amp;$R588),""),"")</f>
        <v>505</v>
      </c>
      <c r="CB588" s="87">
        <f>VLOOKUP(C588,'Infos Clientes'!B:L,11,0)</f>
        <v>0</v>
      </c>
      <c r="CC588" s="88" t="str">
        <f t="shared" si="377"/>
        <v>A Unidade Consumidora 10/15297-5 economizou R$5,75 na fatura referente à jun/2025  consumindo 24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8" s="40" t="s">
        <v>162</v>
      </c>
      <c r="CE588" s="43"/>
      <c r="CF588" s="115">
        <f t="shared" si="378"/>
        <v>-419.26000000000005</v>
      </c>
    </row>
    <row r="589" spans="1:84" ht="16.2" hidden="1" customHeight="1" x14ac:dyDescent="0.3">
      <c r="A589" s="105" t="str">
        <f>INDEX('Infos Clientes'!$D:$D,MATCH('Detalhe Por UC'!C589,'Infos Clientes'!B:B,0))</f>
        <v>IGREJA DO EVANGELHO QUADRANGULAR</v>
      </c>
      <c r="B589" s="106" t="str">
        <f>INDEX('Infos Clientes'!$F:$F,MATCH('Detalhe Por UC'!C589,'Infos Clientes'!B:B,0))</f>
        <v>62.955.505/1224-32</v>
      </c>
      <c r="C589" s="44" t="s">
        <v>234</v>
      </c>
      <c r="D589" t="s">
        <v>351</v>
      </c>
      <c r="E589" s="1" t="s">
        <v>352</v>
      </c>
      <c r="F589" s="56" t="str">
        <f>INDEX('Infos Clientes'!$I:$I,MATCH('Detalhe Por UC'!C589,'Infos Clientes'!B:B,0))</f>
        <v>BT</v>
      </c>
      <c r="G589" s="56" t="str">
        <f>INDEX('Infos Clientes'!$J:$J,MATCH('Detalhe Por UC'!C589,'Infos Clientes'!B:B,0))</f>
        <v>trifasico</v>
      </c>
      <c r="H589" s="47" t="str">
        <f t="shared" si="342"/>
        <v>GIROSSOL III</v>
      </c>
      <c r="I589" s="58">
        <f>IFERROR(VLOOKUP(C589,'Infos Clientes'!B:E,4,),"")</f>
        <v>302</v>
      </c>
      <c r="J589" s="109">
        <v>0.23725425614394724</v>
      </c>
      <c r="K589" s="59">
        <f>INDEX('Infos Clientes'!$M:$M,MATCH('Detalhe Por UC'!C589,'Infos Clientes'!B:B,0))</f>
        <v>0.25</v>
      </c>
      <c r="L589" s="125">
        <v>0</v>
      </c>
      <c r="M589" s="56">
        <f>INDEX('Infos Clientes'!$N:$N,MATCH('Detalhe Por UC'!C589,'Infos Clientes'!B:B,0))</f>
        <v>0</v>
      </c>
      <c r="N589" s="56">
        <f t="shared" si="343"/>
        <v>0</v>
      </c>
      <c r="O589" s="56">
        <f t="shared" si="344"/>
        <v>7</v>
      </c>
      <c r="P589" s="56">
        <f t="shared" si="379"/>
        <v>0</v>
      </c>
      <c r="Q589" s="61">
        <f>IFERROR(IFERROR(INDEX('Infos Clientes'!$A$2:$V$9884,MATCH($C589,'Infos Clientes'!$B$2:$B$9884,0),MATCH(Q$8,'Infos Clientes'!$A$2:$V$2,0)),"")
+IF(OR(INDEX('Infos Clientes'!$A$2:$V$9884,MATCH($C589,'Infos Clientes'!$B$2:$B$9884,0),MATCH("Tempo de Fidelidade (meses)",'Infos Clientes'!$A$2:$V$2,0))=0,R589&gt;=MAX(R:R)),0,
ROUND((MAX(R:R)-R589)/(365/12),0)),"")</f>
        <v>0</v>
      </c>
      <c r="R589" s="111">
        <v>45809</v>
      </c>
      <c r="S589" s="63">
        <v>0.02</v>
      </c>
      <c r="T589" s="113" t="str">
        <f>IF($H589="GIROSSOL II",AP589/INDEX('Resumo Operacional'!$A$1:$P$1103,17,MATCH('Detalhe Por UC'!$R589,'Resumo Operacional'!$A$1:$P$1,0)),
IF($H589="GIROSSOL II e III",AP589/INDEX('Resumo Operacional'!$A$1:$P$1103,17,MATCH('Detalhe Por UC'!$R589,'Resumo Operacional'!$A$1:$P$1,0)),
""))</f>
        <v/>
      </c>
      <c r="U589" s="113">
        <f>IF($H589="GIROSSOL III",AP589/INDEX('Resumo Operacional'!$A$1:$P$1103,53,MATCH('Detalhe Por UC'!$R589,'Resumo Operacional'!$A$1:$P$1,0)),
IF($H589="GIROSSOL II e III",AP589/INDEX('Resumo Operacional'!$A$1:$P$1103,53,MATCH('Detalhe Por UC'!$R589,'Resumo Operacional'!$A$1:$P$1,0)),
""))</f>
        <v>0</v>
      </c>
      <c r="V589" s="45"/>
      <c r="X589" s="18">
        <v>1.1681643835616438</v>
      </c>
      <c r="Y589" s="18">
        <v>0</v>
      </c>
      <c r="Z589" s="18">
        <v>0</v>
      </c>
      <c r="AA589" s="18"/>
      <c r="AB589" s="18">
        <v>365</v>
      </c>
      <c r="AC589" s="18"/>
      <c r="AD589" s="143">
        <v>0</v>
      </c>
      <c r="AE589" s="35"/>
      <c r="AF589" s="18">
        <v>0</v>
      </c>
      <c r="AG589" s="18">
        <v>0</v>
      </c>
      <c r="AH589" s="48">
        <v>75.540000000000006</v>
      </c>
      <c r="AI589" s="18">
        <v>0</v>
      </c>
      <c r="AJ589" s="18">
        <v>0</v>
      </c>
      <c r="AL589" s="146"/>
      <c r="AN589" s="71">
        <f t="shared" si="345"/>
        <v>0</v>
      </c>
      <c r="AO589" s="71">
        <f t="shared" si="346"/>
        <v>0</v>
      </c>
      <c r="AP589" s="71">
        <f t="shared" si="347"/>
        <v>0</v>
      </c>
      <c r="AQ589" s="72">
        <f>IF(OR($H589="GIROSSOL II",$H589="GIROSSOL II e III"),INDEX('Resumo Operacional'!$A$1:$P$1103,MATCH("Energia Injetada prevista total Fatura da Usina (TUSD)",'Resumo Operacional'!$B$1:$B$1103,0),MATCH('Detalhe Por UC'!$R589,'Resumo Operacional'!$A$1:$P$1,0))*$S589,INDEX('Resumo Operacional'!$A$1:$P$1103,53,MATCH('Detalhe Por UC'!$R589,'Resumo Operacional'!$A$1:$P$1,0))*$S589)</f>
        <v>344.78000000000003</v>
      </c>
      <c r="AR589" s="71">
        <f t="shared" si="348"/>
        <v>-344.78000000000003</v>
      </c>
      <c r="AS589" s="73">
        <f t="shared" si="349"/>
        <v>501.92</v>
      </c>
      <c r="AT589" s="74">
        <f t="shared" si="350"/>
        <v>501.92</v>
      </c>
      <c r="AU589" s="74" t="str">
        <f t="shared" si="351"/>
        <v/>
      </c>
      <c r="AV589" s="74">
        <f t="shared" si="352"/>
        <v>0</v>
      </c>
      <c r="AW589" s="74">
        <f t="shared" si="353"/>
        <v>0</v>
      </c>
      <c r="AX589" s="74">
        <f t="shared" si="354"/>
        <v>0</v>
      </c>
      <c r="AY589" s="74" t="str">
        <f t="shared" si="355"/>
        <v/>
      </c>
      <c r="AZ589" s="43" t="s">
        <v>354</v>
      </c>
      <c r="BA589" s="43">
        <v>0</v>
      </c>
      <c r="BC589" s="73" t="str">
        <f t="shared" si="356"/>
        <v/>
      </c>
      <c r="BD589" s="73">
        <f t="shared" si="357"/>
        <v>501.92</v>
      </c>
      <c r="BE589" s="73">
        <f t="shared" si="358"/>
        <v>501.92</v>
      </c>
      <c r="BF589" s="77">
        <f t="shared" si="359"/>
        <v>0</v>
      </c>
      <c r="BG589" s="77">
        <f t="shared" si="360"/>
        <v>0</v>
      </c>
      <c r="BH589" s="77">
        <f t="shared" si="361"/>
        <v>0</v>
      </c>
      <c r="BI589" s="78" t="str">
        <f t="shared" si="362"/>
        <v/>
      </c>
      <c r="BJ589" s="79">
        <f t="shared" si="363"/>
        <v>0</v>
      </c>
      <c r="BK589" s="80" t="str">
        <f t="shared" si="364"/>
        <v/>
      </c>
      <c r="BL589" s="80" t="str">
        <f t="shared" si="365"/>
        <v/>
      </c>
      <c r="BM589" s="79" t="str">
        <f t="shared" si="366"/>
        <v/>
      </c>
      <c r="BN589" s="81" t="str">
        <f t="shared" si="367"/>
        <v/>
      </c>
      <c r="BO589" s="82" t="str">
        <f t="shared" si="368"/>
        <v/>
      </c>
      <c r="BP589" s="81" t="str">
        <f t="shared" si="369"/>
        <v/>
      </c>
      <c r="BQ589" s="81" t="str">
        <f t="shared" si="370"/>
        <v/>
      </c>
      <c r="BR589" s="81" t="str">
        <f t="shared" si="371"/>
        <v/>
      </c>
      <c r="BS589" s="82">
        <f t="shared" si="372"/>
        <v>0</v>
      </c>
      <c r="BT589" s="82" t="str">
        <f t="shared" si="373"/>
        <v/>
      </c>
      <c r="BU589" s="82">
        <f t="shared" si="374"/>
        <v>0</v>
      </c>
      <c r="BW589" s="82">
        <f>IFERROR(INDEX('Infos Clientes'!$T:$T,MATCH('Detalhe Por UC'!$C589,'Infos Clientes'!B:B,0)),"")</f>
        <v>426.36363636363637</v>
      </c>
      <c r="BX589" s="83">
        <f t="shared" si="375"/>
        <v>0</v>
      </c>
      <c r="BY589" s="84" t="str">
        <f t="shared" si="376"/>
        <v/>
      </c>
      <c r="BZ589" s="85">
        <f>IF(_xlfn.MINIFS('Detalhe Por UC'!R:R,'Detalhe Por UC'!C:C,C589,'Detalhe Por UC'!AD:AD,"&gt;"&amp;0)=0,"",_xlfn.MINIFS('Detalhe Por UC'!R:R,'Detalhe Por UC'!C:C,C589,'Detalhe Por UC'!AD:AD,"&gt;"&amp;0))</f>
        <v>45658</v>
      </c>
      <c r="CA589" s="114">
        <f ca="1">IF(OR(S589&gt;0,AD589&gt;0),IFERROR(
SUMIFS(INDIRECT("'Infos Clientes'!$W"&amp;INDEX('Infos Clientes'!$C:$C,MATCH(C589,'Infos Clientes'!$H:$H,0))&amp;":$CZ"&amp;INDEX('Infos Clientes'!$C:$C,MATCH(C589,'Infos Clientes'!$H:$H,0))),'Infos Clientes'!$W$2:$CZ$2,"&gt;"&amp;$R589-365,'Infos Clientes'!$W$2:$CZ$2,"&lt;="&amp;$R589)/
COUNTIFS(INDIRECT("'Infos Clientes'!$W"&amp;INDEX('Infos Clientes'!$C:$C,MATCH(C589,'Infos Clientes'!$H:$H,0))&amp;":$CZ"&amp;INDEX('Infos Clientes'!$C:$C,MATCH(C589,'Infos Clientes'!$H:$H,0))),"&gt;="&amp;0,'Infos Clientes'!$W$2:$CZ$2,"&gt;"&amp;$R589-365,'Infos Clientes'!$W$2:$CZ$2,"&lt;="&amp;$R589),""),"")</f>
        <v>458.41666666666669</v>
      </c>
      <c r="CB589" s="87">
        <f>VLOOKUP(C589,'Infos Clientes'!B:L,11,0)</f>
        <v>0</v>
      </c>
      <c r="CC589" s="88" t="str">
        <f t="shared" si="377"/>
        <v>A Unidade Consumidora 10/8777-5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89" s="40" t="s">
        <v>236</v>
      </c>
      <c r="CE589" s="43"/>
      <c r="CF589" s="115">
        <f t="shared" si="378"/>
        <v>-501.92</v>
      </c>
    </row>
    <row r="590" spans="1:84" ht="16.2" hidden="1" customHeight="1" x14ac:dyDescent="0.3">
      <c r="A590" s="105" t="str">
        <f>INDEX('Infos Clientes'!$D:$D,MATCH('Detalhe Por UC'!C590,'Infos Clientes'!B:B,0))</f>
        <v>IGREJA DO EVANGELHO QUADRANGULAR</v>
      </c>
      <c r="B590" s="106" t="str">
        <f>INDEX('Infos Clientes'!$F:$F,MATCH('Detalhe Por UC'!C590,'Infos Clientes'!B:B,0))</f>
        <v>62.955.505/0160-80</v>
      </c>
      <c r="C590" s="44" t="s">
        <v>207</v>
      </c>
      <c r="D590" t="s">
        <v>351</v>
      </c>
      <c r="E590" s="1" t="s">
        <v>352</v>
      </c>
      <c r="F590" s="56" t="str">
        <f>INDEX('Infos Clientes'!$I:$I,MATCH('Detalhe Por UC'!C590,'Infos Clientes'!B:B,0))</f>
        <v>BT</v>
      </c>
      <c r="G590" s="56" t="str">
        <f>INDEX('Infos Clientes'!$J:$J,MATCH('Detalhe Por UC'!C590,'Infos Clientes'!B:B,0))</f>
        <v>trifasico</v>
      </c>
      <c r="H590" s="47" t="str">
        <f t="shared" si="342"/>
        <v>GIROSSOL III</v>
      </c>
      <c r="I590" s="58">
        <f>IFERROR(VLOOKUP(C590,'Infos Clientes'!B:E,4,),"")</f>
        <v>357</v>
      </c>
      <c r="J590" s="109">
        <v>0.23725425614394724</v>
      </c>
      <c r="K590" s="59">
        <f>INDEX('Infos Clientes'!$M:$M,MATCH('Detalhe Por UC'!C590,'Infos Clientes'!B:B,0))</f>
        <v>0.25</v>
      </c>
      <c r="L590" s="125">
        <v>0</v>
      </c>
      <c r="M590" s="56">
        <f>INDEX('Infos Clientes'!$N:$N,MATCH('Detalhe Por UC'!C590,'Infos Clientes'!B:B,0))</f>
        <v>0</v>
      </c>
      <c r="N590" s="56">
        <f t="shared" si="343"/>
        <v>0</v>
      </c>
      <c r="O590" s="56">
        <f t="shared" si="344"/>
        <v>9</v>
      </c>
      <c r="P590" s="56">
        <f t="shared" si="379"/>
        <v>0</v>
      </c>
      <c r="Q590" s="61">
        <f>IFERROR(IFERROR(INDEX('Infos Clientes'!$A$2:$V$9884,MATCH($C590,'Infos Clientes'!$B$2:$B$9884,0),MATCH(Q$8,'Infos Clientes'!$A$2:$V$2,0)),"")
+IF(OR(INDEX('Infos Clientes'!$A$2:$V$9884,MATCH($C590,'Infos Clientes'!$B$2:$B$9884,0),MATCH("Tempo de Fidelidade (meses)",'Infos Clientes'!$A$2:$V$2,0))=0,R590&gt;=MAX(R:R)),0,
ROUND((MAX(R:R)-R590)/(365/12),0)),"")</f>
        <v>0</v>
      </c>
      <c r="R590" s="111">
        <v>45809</v>
      </c>
      <c r="S590" s="63">
        <v>0.03</v>
      </c>
      <c r="T590" s="113" t="str">
        <f>IF($H590="GIROSSOL II",AP590/INDEX('Resumo Operacional'!$A$1:$P$1103,17,MATCH('Detalhe Por UC'!$R590,'Resumo Operacional'!$A$1:$P$1,0)),
IF($H590="GIROSSOL II e III",AP590/INDEX('Resumo Operacional'!$A$1:$P$1103,17,MATCH('Detalhe Por UC'!$R590,'Resumo Operacional'!$A$1:$P$1,0)),
""))</f>
        <v/>
      </c>
      <c r="U590" s="113">
        <f>IF($H590="GIROSSOL III",AP590/INDEX('Resumo Operacional'!$A$1:$P$1103,53,MATCH('Detalhe Por UC'!$R590,'Resumo Operacional'!$A$1:$P$1,0)),
IF($H590="GIROSSOL II e III",AP590/INDEX('Resumo Operacional'!$A$1:$P$1103,53,MATCH('Detalhe Por UC'!$R590,'Resumo Operacional'!$A$1:$P$1,0)),
""))</f>
        <v>1.3747897209814954E-2</v>
      </c>
      <c r="V590" s="45"/>
      <c r="X590" s="18">
        <v>1.155123650296064</v>
      </c>
      <c r="Y590" s="18">
        <v>0</v>
      </c>
      <c r="Z590" s="18">
        <v>0.99822273366577163</v>
      </c>
      <c r="AA590" s="18"/>
      <c r="AB590" s="18">
        <v>435</v>
      </c>
      <c r="AC590" s="18"/>
      <c r="AD590" s="143">
        <v>237</v>
      </c>
      <c r="AE590" s="35"/>
      <c r="AF590" s="18">
        <v>0</v>
      </c>
      <c r="AG590" s="18">
        <v>0</v>
      </c>
      <c r="AH590" s="48">
        <v>74.010000000000005</v>
      </c>
      <c r="AI590" s="18">
        <v>0</v>
      </c>
      <c r="AJ590" s="18">
        <v>0</v>
      </c>
      <c r="AL590" s="146"/>
      <c r="AN590" s="71">
        <f t="shared" si="345"/>
        <v>0</v>
      </c>
      <c r="AO590" s="71">
        <f t="shared" si="346"/>
        <v>0</v>
      </c>
      <c r="AP590" s="71">
        <f t="shared" si="347"/>
        <v>237</v>
      </c>
      <c r="AQ590" s="72">
        <f>IF(OR($H590="GIROSSOL II",$H590="GIROSSOL II e III"),INDEX('Resumo Operacional'!$A$1:$P$1103,MATCH("Energia Injetada prevista total Fatura da Usina (TUSD)",'Resumo Operacional'!$B$1:$B$1103,0),MATCH('Detalhe Por UC'!$R590,'Resumo Operacional'!$A$1:$P$1,0))*$S590,INDEX('Resumo Operacional'!$A$1:$P$1103,53,MATCH('Detalhe Por UC'!$R590,'Resumo Operacional'!$A$1:$P$1,0))*$S590)</f>
        <v>517.16999999999996</v>
      </c>
      <c r="AR590" s="71">
        <f t="shared" si="348"/>
        <v>-280.16999999999996</v>
      </c>
      <c r="AS590" s="73">
        <f t="shared" si="349"/>
        <v>339.90999999999997</v>
      </c>
      <c r="AT590" s="74">
        <f t="shared" si="350"/>
        <v>339.90999999999997</v>
      </c>
      <c r="AU590" s="74">
        <f t="shared" si="351"/>
        <v>0.84132181703547926</v>
      </c>
      <c r="AV590" s="74">
        <f t="shared" si="352"/>
        <v>180.44946354116937</v>
      </c>
      <c r="AW590" s="74">
        <f t="shared" si="353"/>
        <v>0</v>
      </c>
      <c r="AX590" s="74">
        <f t="shared" si="354"/>
        <v>236.57878787878786</v>
      </c>
      <c r="AY590" s="74">
        <f t="shared" si="355"/>
        <v>180.45</v>
      </c>
      <c r="AZ590" s="43">
        <v>177.43</v>
      </c>
      <c r="BA590" s="43">
        <v>177.43</v>
      </c>
      <c r="BB590" s="43">
        <v>177.43</v>
      </c>
      <c r="BC590" s="73" t="str">
        <f t="shared" si="356"/>
        <v/>
      </c>
      <c r="BD590" s="73">
        <f t="shared" si="357"/>
        <v>576.48878787878789</v>
      </c>
      <c r="BE590" s="73">
        <f t="shared" si="358"/>
        <v>520.35946354116936</v>
      </c>
      <c r="BF590" s="77">
        <f t="shared" si="359"/>
        <v>56.13</v>
      </c>
      <c r="BG590" s="77">
        <f t="shared" si="360"/>
        <v>16.838999999999999</v>
      </c>
      <c r="BH590" s="77">
        <f t="shared" si="361"/>
        <v>236.57878787878789</v>
      </c>
      <c r="BI590" s="78">
        <f t="shared" si="362"/>
        <v>0.24</v>
      </c>
      <c r="BJ590" s="79">
        <f t="shared" si="363"/>
        <v>9.736529344574496E-2</v>
      </c>
      <c r="BK590" s="80">
        <f t="shared" si="364"/>
        <v>520.3599999999999</v>
      </c>
      <c r="BL590" s="80">
        <f t="shared" si="365"/>
        <v>56.128787878787989</v>
      </c>
      <c r="BM590" s="79">
        <f t="shared" si="366"/>
        <v>9.7363190852880185E-2</v>
      </c>
      <c r="BN590" s="81">
        <f t="shared" si="367"/>
        <v>0.76139240506329109</v>
      </c>
      <c r="BO590" s="82">
        <f t="shared" si="368"/>
        <v>180.45</v>
      </c>
      <c r="BP590" s="81">
        <f t="shared" si="369"/>
        <v>0.76139240506329109</v>
      </c>
      <c r="BQ590" s="81">
        <f t="shared" si="370"/>
        <v>0.91829332169358346</v>
      </c>
      <c r="BR590" s="81">
        <f t="shared" si="371"/>
        <v>1.155123650296064</v>
      </c>
      <c r="BS590" s="82">
        <f t="shared" si="372"/>
        <v>237</v>
      </c>
      <c r="BT590" s="82">
        <f t="shared" si="373"/>
        <v>273.76430512016719</v>
      </c>
      <c r="BU590" s="82">
        <f t="shared" si="374"/>
        <v>236.57878787878786</v>
      </c>
      <c r="BW590" s="82">
        <f>IFERROR(INDEX('Infos Clientes'!$T:$T,MATCH('Detalhe Por UC'!$C590,'Infos Clientes'!B:B,0)),"")</f>
        <v>510.45454545454544</v>
      </c>
      <c r="BX590" s="83">
        <f t="shared" si="375"/>
        <v>0</v>
      </c>
      <c r="BY590" s="84">
        <f t="shared" si="376"/>
        <v>0.20502595418402156</v>
      </c>
      <c r="BZ590" s="85">
        <f>IF(_xlfn.MINIFS('Detalhe Por UC'!R:R,'Detalhe Por UC'!C:C,C590,'Detalhe Por UC'!AD:AD,"&gt;"&amp;0)=0,"",_xlfn.MINIFS('Detalhe Por UC'!R:R,'Detalhe Por UC'!C:C,C590,'Detalhe Por UC'!AD:AD,"&gt;"&amp;0))</f>
        <v>45658</v>
      </c>
      <c r="CA590" s="114">
        <f ca="1">IF(OR(S590&gt;0,AD590&gt;0),IFERROR(
SUMIFS(INDIRECT("'Infos Clientes'!$W"&amp;INDEX('Infos Clientes'!$C:$C,MATCH(C590,'Infos Clientes'!$H:$H,0))&amp;":$CZ"&amp;INDEX('Infos Clientes'!$C:$C,MATCH(C590,'Infos Clientes'!$H:$H,0))),'Infos Clientes'!$W$2:$CZ$2,"&gt;"&amp;$R590-365,'Infos Clientes'!$W$2:$CZ$2,"&lt;="&amp;$R590)/
COUNTIFS(INDIRECT("'Infos Clientes'!$W"&amp;INDEX('Infos Clientes'!$C:$C,MATCH(C590,'Infos Clientes'!$H:$H,0))&amp;":$CZ"&amp;INDEX('Infos Clientes'!$C:$C,MATCH(C590,'Infos Clientes'!$H:$H,0))),"&gt;="&amp;0,'Infos Clientes'!$W$2:$CZ$2,"&gt;"&amp;$R590-365,'Infos Clientes'!$W$2:$CZ$2,"&lt;="&amp;$R590),""),"")</f>
        <v>491.66666666666669</v>
      </c>
      <c r="CB590" s="87">
        <f>VLOOKUP(C590,'Infos Clientes'!B:L,11,0)</f>
        <v>0</v>
      </c>
      <c r="CC590" s="88" t="str">
        <f t="shared" si="377"/>
        <v>A Unidade Consumidora 10/489076-0 economizou R$56,13 na fatura referente à jun/2025  consumindo 237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0" s="40" t="s">
        <v>208</v>
      </c>
      <c r="CE590" s="43"/>
      <c r="CF590" s="115">
        <f t="shared" si="378"/>
        <v>-339.90999999999997</v>
      </c>
    </row>
    <row r="591" spans="1:84" ht="16.2" hidden="1" customHeight="1" x14ac:dyDescent="0.3">
      <c r="A591" s="105" t="str">
        <f>INDEX('Infos Clientes'!$D:$D,MATCH('Detalhe Por UC'!C591,'Infos Clientes'!B:B,0))</f>
        <v>IGREJA DO EVANGELHO QUADRANGULAR</v>
      </c>
      <c r="B591" s="106" t="str">
        <f>INDEX('Infos Clientes'!$F:$F,MATCH('Detalhe Por UC'!C591,'Infos Clientes'!B:B,0))</f>
        <v>62.955.505/3544-81</v>
      </c>
      <c r="C591" s="44" t="s">
        <v>209</v>
      </c>
      <c r="D591" t="s">
        <v>351</v>
      </c>
      <c r="E591" s="1" t="s">
        <v>352</v>
      </c>
      <c r="F591" s="56" t="str">
        <f>INDEX('Infos Clientes'!$I:$I,MATCH('Detalhe Por UC'!C591,'Infos Clientes'!B:B,0))</f>
        <v>BT</v>
      </c>
      <c r="G591" s="56" t="str">
        <f>INDEX('Infos Clientes'!$J:$J,MATCH('Detalhe Por UC'!C591,'Infos Clientes'!B:B,0))</f>
        <v>trifasico</v>
      </c>
      <c r="H591" s="47" t="str">
        <f t="shared" si="342"/>
        <v>GIROSSOL III</v>
      </c>
      <c r="I591" s="58">
        <f>IFERROR(VLOOKUP(C591,'Infos Clientes'!B:E,4,),"")</f>
        <v>371</v>
      </c>
      <c r="J591" s="109">
        <v>0.23725425614394724</v>
      </c>
      <c r="K591" s="59">
        <f>INDEX('Infos Clientes'!$M:$M,MATCH('Detalhe Por UC'!C591,'Infos Clientes'!B:B,0))</f>
        <v>0.25</v>
      </c>
      <c r="L591" s="125">
        <v>0</v>
      </c>
      <c r="M591" s="56">
        <f>INDEX('Infos Clientes'!$N:$N,MATCH('Detalhe Por UC'!C591,'Infos Clientes'!B:B,0))</f>
        <v>0</v>
      </c>
      <c r="N591" s="56">
        <f t="shared" si="343"/>
        <v>0</v>
      </c>
      <c r="O591" s="56">
        <f t="shared" si="344"/>
        <v>8</v>
      </c>
      <c r="P591" s="56">
        <f t="shared" si="379"/>
        <v>0</v>
      </c>
      <c r="Q591" s="61">
        <f>IFERROR(IFERROR(INDEX('Infos Clientes'!$A$2:$V$9884,MATCH($C591,'Infos Clientes'!$B$2:$B$9884,0),MATCH(Q$8,'Infos Clientes'!$A$2:$V$2,0)),"")
+IF(OR(INDEX('Infos Clientes'!$A$2:$V$9884,MATCH($C591,'Infos Clientes'!$B$2:$B$9884,0),MATCH("Tempo de Fidelidade (meses)",'Infos Clientes'!$A$2:$V$2,0))=0,R591&gt;=MAX(R:R)),0,
ROUND((MAX(R:R)-R591)/(365/12),0)),"")</f>
        <v>0</v>
      </c>
      <c r="R591" s="111">
        <v>45809</v>
      </c>
      <c r="S591" s="63">
        <v>0.02</v>
      </c>
      <c r="T591" s="113" t="str">
        <f>IF($H591="GIROSSOL II",AP591/INDEX('Resumo Operacional'!$A$1:$P$1103,17,MATCH('Detalhe Por UC'!$R591,'Resumo Operacional'!$A$1:$P$1,0)),
IF($H591="GIROSSOL II e III",AP591/INDEX('Resumo Operacional'!$A$1:$P$1103,17,MATCH('Detalhe Por UC'!$R591,'Resumo Operacional'!$A$1:$P$1,0)),
""))</f>
        <v/>
      </c>
      <c r="U591" s="113">
        <f>IF($H591="GIROSSOL III",AP591/INDEX('Resumo Operacional'!$A$1:$P$1103,53,MATCH('Detalhe Por UC'!$R591,'Resumo Operacional'!$A$1:$P$1,0)),
IF($H591="GIROSSOL II e III",AP591/INDEX('Resumo Operacional'!$A$1:$P$1103,53,MATCH('Detalhe Por UC'!$R591,'Resumo Operacional'!$A$1:$P$1,0)),
""))</f>
        <v>0</v>
      </c>
      <c r="V591" s="45"/>
      <c r="X591" s="18">
        <v>1.164224924012158</v>
      </c>
      <c r="Y591" s="18">
        <v>0</v>
      </c>
      <c r="Z591" s="18">
        <v>0</v>
      </c>
      <c r="AA591" s="18"/>
      <c r="AB591" s="18">
        <v>329</v>
      </c>
      <c r="AC591" s="18"/>
      <c r="AD591" s="143">
        <v>0</v>
      </c>
      <c r="AE591" s="35"/>
      <c r="AF591" s="18">
        <v>0</v>
      </c>
      <c r="AG591" s="18">
        <v>0</v>
      </c>
      <c r="AH591" s="48">
        <v>30.83</v>
      </c>
      <c r="AI591" s="18">
        <v>0</v>
      </c>
      <c r="AJ591" s="18">
        <v>0</v>
      </c>
      <c r="AL591" s="146"/>
      <c r="AN591" s="71">
        <f t="shared" si="345"/>
        <v>0</v>
      </c>
      <c r="AO591" s="71">
        <f t="shared" si="346"/>
        <v>0</v>
      </c>
      <c r="AP591" s="71">
        <f t="shared" si="347"/>
        <v>0</v>
      </c>
      <c r="AQ591" s="72">
        <f>IF(OR($H591="GIROSSOL II",$H591="GIROSSOL II e III"),INDEX('Resumo Operacional'!$A$1:$P$1103,MATCH("Energia Injetada prevista total Fatura da Usina (TUSD)",'Resumo Operacional'!$B$1:$B$1103,0),MATCH('Detalhe Por UC'!$R591,'Resumo Operacional'!$A$1:$P$1,0))*$S591,INDEX('Resumo Operacional'!$A$1:$P$1103,53,MATCH('Detalhe Por UC'!$R591,'Resumo Operacional'!$A$1:$P$1,0))*$S591)</f>
        <v>344.78000000000003</v>
      </c>
      <c r="AR591" s="71">
        <f t="shared" si="348"/>
        <v>-344.78000000000003</v>
      </c>
      <c r="AS591" s="73">
        <f t="shared" si="349"/>
        <v>413.85999999999996</v>
      </c>
      <c r="AT591" s="74">
        <f t="shared" si="350"/>
        <v>413.85999999999996</v>
      </c>
      <c r="AU591" s="74" t="str">
        <f t="shared" si="351"/>
        <v/>
      </c>
      <c r="AV591" s="74">
        <f t="shared" si="352"/>
        <v>0</v>
      </c>
      <c r="AW591" s="74">
        <f t="shared" si="353"/>
        <v>0</v>
      </c>
      <c r="AX591" s="74">
        <f t="shared" si="354"/>
        <v>0</v>
      </c>
      <c r="AY591" s="74" t="str">
        <f t="shared" si="355"/>
        <v/>
      </c>
      <c r="AZ591" s="43" t="s">
        <v>354</v>
      </c>
      <c r="BA591" s="43">
        <v>0</v>
      </c>
      <c r="BC591" s="73" t="str">
        <f t="shared" si="356"/>
        <v/>
      </c>
      <c r="BD591" s="73">
        <f t="shared" si="357"/>
        <v>413.85999999999996</v>
      </c>
      <c r="BE591" s="73">
        <f t="shared" si="358"/>
        <v>413.85999999999996</v>
      </c>
      <c r="BF591" s="77">
        <f t="shared" si="359"/>
        <v>0</v>
      </c>
      <c r="BG591" s="77">
        <f t="shared" si="360"/>
        <v>0</v>
      </c>
      <c r="BH591" s="77">
        <f t="shared" si="361"/>
        <v>0</v>
      </c>
      <c r="BI591" s="78" t="str">
        <f t="shared" si="362"/>
        <v/>
      </c>
      <c r="BJ591" s="79">
        <f t="shared" si="363"/>
        <v>0</v>
      </c>
      <c r="BK591" s="80" t="str">
        <f t="shared" si="364"/>
        <v/>
      </c>
      <c r="BL591" s="80" t="str">
        <f t="shared" si="365"/>
        <v/>
      </c>
      <c r="BM591" s="79" t="str">
        <f t="shared" si="366"/>
        <v/>
      </c>
      <c r="BN591" s="81" t="str">
        <f t="shared" si="367"/>
        <v/>
      </c>
      <c r="BO591" s="82" t="str">
        <f t="shared" si="368"/>
        <v/>
      </c>
      <c r="BP591" s="81" t="str">
        <f t="shared" si="369"/>
        <v/>
      </c>
      <c r="BQ591" s="81" t="str">
        <f t="shared" si="370"/>
        <v/>
      </c>
      <c r="BR591" s="81" t="str">
        <f t="shared" si="371"/>
        <v/>
      </c>
      <c r="BS591" s="82">
        <f t="shared" si="372"/>
        <v>0</v>
      </c>
      <c r="BT591" s="82" t="str">
        <f t="shared" si="373"/>
        <v/>
      </c>
      <c r="BU591" s="82">
        <f t="shared" si="374"/>
        <v>0</v>
      </c>
      <c r="BW591" s="82">
        <f>IFERROR(INDEX('Infos Clientes'!$T:$T,MATCH('Detalhe Por UC'!$C591,'Infos Clientes'!B:B,0)),"")</f>
        <v>433.54545454545456</v>
      </c>
      <c r="BX591" s="83">
        <f t="shared" si="375"/>
        <v>0</v>
      </c>
      <c r="BY591" s="84" t="str">
        <f t="shared" si="376"/>
        <v/>
      </c>
      <c r="BZ591" s="85">
        <f>IF(_xlfn.MINIFS('Detalhe Por UC'!R:R,'Detalhe Por UC'!C:C,C591,'Detalhe Por UC'!AD:AD,"&gt;"&amp;0)=0,"",_xlfn.MINIFS('Detalhe Por UC'!R:R,'Detalhe Por UC'!C:C,C591,'Detalhe Por UC'!AD:AD,"&gt;"&amp;0))</f>
        <v>45658</v>
      </c>
      <c r="CA591" s="114">
        <f ca="1">IF(OR(S591&gt;0,AD591&gt;0),IFERROR(
SUMIFS(INDIRECT("'Infos Clientes'!$W"&amp;INDEX('Infos Clientes'!$C:$C,MATCH(C591,'Infos Clientes'!$H:$H,0))&amp;":$CZ"&amp;INDEX('Infos Clientes'!$C:$C,MATCH(C591,'Infos Clientes'!$H:$H,0))),'Infos Clientes'!$W$2:$CZ$2,"&gt;"&amp;$R591-365,'Infos Clientes'!$W$2:$CZ$2,"&lt;="&amp;$R591)/
COUNTIFS(INDIRECT("'Infos Clientes'!$W"&amp;INDEX('Infos Clientes'!$C:$C,MATCH(C591,'Infos Clientes'!$H:$H,0))&amp;":$CZ"&amp;INDEX('Infos Clientes'!$C:$C,MATCH(C591,'Infos Clientes'!$H:$H,0))),"&gt;="&amp;0,'Infos Clientes'!$W$2:$CZ$2,"&gt;"&amp;$R591-365,'Infos Clientes'!$W$2:$CZ$2,"&lt;="&amp;$R591),""),"")</f>
        <v>441.08333333333331</v>
      </c>
      <c r="CB591" s="87">
        <f>VLOOKUP(C591,'Infos Clientes'!B:L,11,0)</f>
        <v>0</v>
      </c>
      <c r="CC591" s="88" t="str">
        <f t="shared" si="377"/>
        <v>A Unidade Consumidora 10/504844-2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1" s="40" t="s">
        <v>211</v>
      </c>
      <c r="CE591" s="43"/>
      <c r="CF591" s="115">
        <f t="shared" si="378"/>
        <v>-413.85999999999996</v>
      </c>
    </row>
    <row r="592" spans="1:84" ht="16.2" hidden="1" customHeight="1" x14ac:dyDescent="0.3">
      <c r="A592" s="105" t="str">
        <f>INDEX('Infos Clientes'!$D:$D,MATCH('Detalhe Por UC'!C592,'Infos Clientes'!B:B,0))</f>
        <v>IGREJA DO EVANGELHO QUADRANGULAR</v>
      </c>
      <c r="B592" s="106" t="str">
        <f>INDEX('Infos Clientes'!$F:$F,MATCH('Detalhe Por UC'!C592,'Infos Clientes'!B:B,0))</f>
        <v>62.955.505/8432-53</v>
      </c>
      <c r="C592" s="44" t="s">
        <v>178</v>
      </c>
      <c r="D592" t="s">
        <v>351</v>
      </c>
      <c r="E592" s="1" t="s">
        <v>352</v>
      </c>
      <c r="F592" s="56" t="str">
        <f>INDEX('Infos Clientes'!$I:$I,MATCH('Detalhe Por UC'!C592,'Infos Clientes'!B:B,0))</f>
        <v>BT</v>
      </c>
      <c r="G592" s="56" t="str">
        <f>INDEX('Infos Clientes'!$J:$J,MATCH('Detalhe Por UC'!C592,'Infos Clientes'!B:B,0))</f>
        <v>trifasico</v>
      </c>
      <c r="H592" s="47" t="str">
        <f t="shared" si="342"/>
        <v>GIROSSOL III</v>
      </c>
      <c r="I592" s="58">
        <f>IFERROR(VLOOKUP(C592,'Infos Clientes'!B:E,4,),"")</f>
        <v>349</v>
      </c>
      <c r="J592" s="109">
        <v>0.23725425614394724</v>
      </c>
      <c r="K592" s="59">
        <f>INDEX('Infos Clientes'!$M:$M,MATCH('Detalhe Por UC'!C592,'Infos Clientes'!B:B,0))</f>
        <v>0.25</v>
      </c>
      <c r="L592" s="125">
        <v>0</v>
      </c>
      <c r="M592" s="56">
        <f>INDEX('Infos Clientes'!$N:$N,MATCH('Detalhe Por UC'!C592,'Infos Clientes'!B:B,0))</f>
        <v>0</v>
      </c>
      <c r="N592" s="56">
        <f t="shared" si="343"/>
        <v>0</v>
      </c>
      <c r="O592" s="56">
        <f t="shared" si="344"/>
        <v>9</v>
      </c>
      <c r="P592" s="56">
        <f t="shared" si="379"/>
        <v>0</v>
      </c>
      <c r="Q592" s="61">
        <f>IFERROR(IFERROR(INDEX('Infos Clientes'!$A$2:$V$9884,MATCH($C592,'Infos Clientes'!$B$2:$B$9884,0),MATCH(Q$8,'Infos Clientes'!$A$2:$V$2,0)),"")
+IF(OR(INDEX('Infos Clientes'!$A$2:$V$9884,MATCH($C592,'Infos Clientes'!$B$2:$B$9884,0),MATCH("Tempo de Fidelidade (meses)",'Infos Clientes'!$A$2:$V$2,0))=0,R592&gt;=MAX(R:R)),0,
ROUND((MAX(R:R)-R592)/(365/12),0)),"")</f>
        <v>0</v>
      </c>
      <c r="R592" s="111">
        <v>45809</v>
      </c>
      <c r="S592" s="63">
        <v>0.02</v>
      </c>
      <c r="T592" s="113" t="str">
        <f>IF($H592="GIROSSOL II",AP592/INDEX('Resumo Operacional'!$A$1:$P$1103,17,MATCH('Detalhe Por UC'!$R592,'Resumo Operacional'!$A$1:$P$1,0)),
IF($H592="GIROSSOL II e III",AP592/INDEX('Resumo Operacional'!$A$1:$P$1103,17,MATCH('Detalhe Por UC'!$R592,'Resumo Operacional'!$A$1:$P$1,0)),
""))</f>
        <v/>
      </c>
      <c r="U592" s="113">
        <f>IF($H592="GIROSSOL III",AP592/INDEX('Resumo Operacional'!$A$1:$P$1103,53,MATCH('Detalhe Por UC'!$R592,'Resumo Operacional'!$A$1:$P$1,0)),
IF($H592="GIROSSOL II e III",AP592/INDEX('Resumo Operacional'!$A$1:$P$1103,53,MATCH('Detalhe Por UC'!$R592,'Resumo Operacional'!$A$1:$P$1,0)),
""))</f>
        <v>0</v>
      </c>
      <c r="V592" s="45"/>
      <c r="X592" s="18">
        <v>1.1719213973799127</v>
      </c>
      <c r="Y592" s="18">
        <v>0</v>
      </c>
      <c r="Z592" s="18">
        <v>0</v>
      </c>
      <c r="AA592" s="18"/>
      <c r="AB592" s="18">
        <v>229</v>
      </c>
      <c r="AC592" s="18"/>
      <c r="AD592" s="143">
        <v>0</v>
      </c>
      <c r="AE592" s="35"/>
      <c r="AF592" s="18">
        <v>0</v>
      </c>
      <c r="AG592" s="18">
        <v>0</v>
      </c>
      <c r="AH592" s="48">
        <v>34.72</v>
      </c>
      <c r="AI592" s="18">
        <v>0</v>
      </c>
      <c r="AJ592" s="18">
        <v>0</v>
      </c>
      <c r="AL592" s="146"/>
      <c r="AN592" s="71">
        <f t="shared" si="345"/>
        <v>0</v>
      </c>
      <c r="AO592" s="71">
        <f t="shared" si="346"/>
        <v>0</v>
      </c>
      <c r="AP592" s="71">
        <f t="shared" si="347"/>
        <v>0</v>
      </c>
      <c r="AQ592" s="72">
        <f>IF(OR($H592="GIROSSOL II",$H592="GIROSSOL II e III"),INDEX('Resumo Operacional'!$A$1:$P$1103,MATCH("Energia Injetada prevista total Fatura da Usina (TUSD)",'Resumo Operacional'!$B$1:$B$1103,0),MATCH('Detalhe Por UC'!$R592,'Resumo Operacional'!$A$1:$P$1,0))*$S592,INDEX('Resumo Operacional'!$A$1:$P$1103,53,MATCH('Detalhe Por UC'!$R592,'Resumo Operacional'!$A$1:$P$1,0))*$S592)</f>
        <v>344.78000000000003</v>
      </c>
      <c r="AR592" s="71">
        <f t="shared" si="348"/>
        <v>-344.78000000000003</v>
      </c>
      <c r="AS592" s="73">
        <f t="shared" si="349"/>
        <v>303.09000000000003</v>
      </c>
      <c r="AT592" s="74">
        <f t="shared" si="350"/>
        <v>303.09000000000003</v>
      </c>
      <c r="AU592" s="74" t="str">
        <f t="shared" si="351"/>
        <v/>
      </c>
      <c r="AV592" s="74">
        <f t="shared" si="352"/>
        <v>0</v>
      </c>
      <c r="AW592" s="74">
        <f t="shared" si="353"/>
        <v>0</v>
      </c>
      <c r="AX592" s="74">
        <f t="shared" si="354"/>
        <v>0</v>
      </c>
      <c r="AY592" s="74" t="str">
        <f t="shared" si="355"/>
        <v/>
      </c>
      <c r="AZ592" s="43" t="s">
        <v>354</v>
      </c>
      <c r="BA592" s="43">
        <v>0</v>
      </c>
      <c r="BC592" s="73" t="str">
        <f t="shared" si="356"/>
        <v/>
      </c>
      <c r="BD592" s="73">
        <f t="shared" si="357"/>
        <v>303.09000000000003</v>
      </c>
      <c r="BE592" s="73">
        <f t="shared" si="358"/>
        <v>303.09000000000003</v>
      </c>
      <c r="BF592" s="77">
        <f t="shared" si="359"/>
        <v>0</v>
      </c>
      <c r="BG592" s="77">
        <f t="shared" si="360"/>
        <v>0</v>
      </c>
      <c r="BH592" s="77">
        <f t="shared" si="361"/>
        <v>0</v>
      </c>
      <c r="BI592" s="78" t="str">
        <f t="shared" si="362"/>
        <v/>
      </c>
      <c r="BJ592" s="79">
        <f t="shared" si="363"/>
        <v>0</v>
      </c>
      <c r="BK592" s="80" t="str">
        <f t="shared" si="364"/>
        <v/>
      </c>
      <c r="BL592" s="80" t="str">
        <f t="shared" si="365"/>
        <v/>
      </c>
      <c r="BM592" s="79" t="str">
        <f t="shared" si="366"/>
        <v/>
      </c>
      <c r="BN592" s="81" t="str">
        <f t="shared" si="367"/>
        <v/>
      </c>
      <c r="BO592" s="82" t="str">
        <f t="shared" si="368"/>
        <v/>
      </c>
      <c r="BP592" s="81" t="str">
        <f t="shared" si="369"/>
        <v/>
      </c>
      <c r="BQ592" s="81" t="str">
        <f t="shared" si="370"/>
        <v/>
      </c>
      <c r="BR592" s="81" t="str">
        <f t="shared" si="371"/>
        <v/>
      </c>
      <c r="BS592" s="82">
        <f t="shared" si="372"/>
        <v>0</v>
      </c>
      <c r="BT592" s="82" t="str">
        <f t="shared" si="373"/>
        <v/>
      </c>
      <c r="BU592" s="82">
        <f t="shared" si="374"/>
        <v>0</v>
      </c>
      <c r="BW592" s="82">
        <f>IFERROR(INDEX('Infos Clientes'!$T:$T,MATCH('Detalhe Por UC'!$C592,'Infos Clientes'!B:B,0)),"")</f>
        <v>290.18181818181819</v>
      </c>
      <c r="BX592" s="83">
        <f t="shared" si="375"/>
        <v>0</v>
      </c>
      <c r="BY592" s="84" t="str">
        <f t="shared" si="376"/>
        <v/>
      </c>
      <c r="BZ592" s="85">
        <f>IF(_xlfn.MINIFS('Detalhe Por UC'!R:R,'Detalhe Por UC'!C:C,C592,'Detalhe Por UC'!AD:AD,"&gt;"&amp;0)=0,"",_xlfn.MINIFS('Detalhe Por UC'!R:R,'Detalhe Por UC'!C:C,C592,'Detalhe Por UC'!AD:AD,"&gt;"&amp;0))</f>
        <v>45658</v>
      </c>
      <c r="CA592" s="114">
        <f ca="1">IF(OR(S592&gt;0,AD592&gt;0),IFERROR(
SUMIFS(INDIRECT("'Infos Clientes'!$W"&amp;INDEX('Infos Clientes'!$C:$C,MATCH(C592,'Infos Clientes'!$H:$H,0))&amp;":$CZ"&amp;INDEX('Infos Clientes'!$C:$C,MATCH(C592,'Infos Clientes'!$H:$H,0))),'Infos Clientes'!$W$2:$CZ$2,"&gt;"&amp;$R592-365,'Infos Clientes'!$W$2:$CZ$2,"&lt;="&amp;$R592)/
COUNTIFS(INDIRECT("'Infos Clientes'!$W"&amp;INDEX('Infos Clientes'!$C:$C,MATCH(C592,'Infos Clientes'!$H:$H,0))&amp;":$CZ"&amp;INDEX('Infos Clientes'!$C:$C,MATCH(C592,'Infos Clientes'!$H:$H,0))),"&gt;="&amp;0,'Infos Clientes'!$W$2:$CZ$2,"&gt;"&amp;$R592-365,'Infos Clientes'!$W$2:$CZ$2,"&lt;="&amp;$R592),""),"")</f>
        <v>266.33333333333331</v>
      </c>
      <c r="CB592" s="87">
        <f>VLOOKUP(C592,'Infos Clientes'!B:L,11,0)</f>
        <v>0</v>
      </c>
      <c r="CC592" s="88" t="str">
        <f t="shared" si="377"/>
        <v>A Unidade Consumidora 10/280638-8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2" s="40" t="s">
        <v>66</v>
      </c>
      <c r="CE592" s="43"/>
      <c r="CF592" s="115">
        <f t="shared" si="378"/>
        <v>-303.09000000000003</v>
      </c>
    </row>
    <row r="593" spans="1:84" ht="16.2" hidden="1" customHeight="1" x14ac:dyDescent="0.3">
      <c r="A593" s="105" t="str">
        <f>INDEX('Infos Clientes'!$D:$D,MATCH('Detalhe Por UC'!C593,'Infos Clientes'!B:B,0))</f>
        <v>IGREJA DO EVANGELHO QUADRANGULAR</v>
      </c>
      <c r="B593" s="106" t="str">
        <f>INDEX('Infos Clientes'!$F:$F,MATCH('Detalhe Por UC'!C593,'Infos Clientes'!B:B,0))</f>
        <v>62.955.505/1822-57</v>
      </c>
      <c r="C593" s="44" t="s">
        <v>222</v>
      </c>
      <c r="D593" t="s">
        <v>351</v>
      </c>
      <c r="E593" s="1" t="s">
        <v>352</v>
      </c>
      <c r="F593" s="56" t="str">
        <f>INDEX('Infos Clientes'!$I:$I,MATCH('Detalhe Por UC'!C593,'Infos Clientes'!B:B,0))</f>
        <v>BT</v>
      </c>
      <c r="G593" s="56" t="str">
        <f>INDEX('Infos Clientes'!$J:$J,MATCH('Detalhe Por UC'!C593,'Infos Clientes'!B:B,0))</f>
        <v>trifasico</v>
      </c>
      <c r="H593" s="47" t="str">
        <f t="shared" si="342"/>
        <v>GIROSSOL III</v>
      </c>
      <c r="I593" s="58">
        <f>IFERROR(VLOOKUP(C593,'Infos Clientes'!B:E,4,),"")</f>
        <v>319</v>
      </c>
      <c r="J593" s="109">
        <v>0.23725425614394724</v>
      </c>
      <c r="K593" s="59">
        <f>INDEX('Infos Clientes'!$M:$M,MATCH('Detalhe Por UC'!C593,'Infos Clientes'!B:B,0))</f>
        <v>0.25</v>
      </c>
      <c r="L593" s="125">
        <v>0</v>
      </c>
      <c r="M593" s="56">
        <f>INDEX('Infos Clientes'!$N:$N,MATCH('Detalhe Por UC'!C593,'Infos Clientes'!B:B,0))</f>
        <v>0</v>
      </c>
      <c r="N593" s="56">
        <f t="shared" si="343"/>
        <v>0</v>
      </c>
      <c r="O593" s="56">
        <f t="shared" si="344"/>
        <v>8</v>
      </c>
      <c r="P593" s="56">
        <f t="shared" si="379"/>
        <v>0</v>
      </c>
      <c r="Q593" s="61">
        <f>IFERROR(IFERROR(INDEX('Infos Clientes'!$A$2:$V$9884,MATCH($C593,'Infos Clientes'!$B$2:$B$9884,0),MATCH(Q$8,'Infos Clientes'!$A$2:$V$2,0)),"")
+IF(OR(INDEX('Infos Clientes'!$A$2:$V$9884,MATCH($C593,'Infos Clientes'!$B$2:$B$9884,0),MATCH("Tempo de Fidelidade (meses)",'Infos Clientes'!$A$2:$V$2,0))=0,R593&gt;=MAX(R:R)),0,
ROUND((MAX(R:R)-R593)/(365/12),0)),"")</f>
        <v>0</v>
      </c>
      <c r="R593" s="111">
        <v>45809</v>
      </c>
      <c r="S593" s="63">
        <v>0.02</v>
      </c>
      <c r="T593" s="113" t="str">
        <f>IF($H593="GIROSSOL II",AP593/INDEX('Resumo Operacional'!$A$1:$P$1103,17,MATCH('Detalhe Por UC'!$R593,'Resumo Operacional'!$A$1:$P$1,0)),
IF($H593="GIROSSOL II e III",AP593/INDEX('Resumo Operacional'!$A$1:$P$1103,17,MATCH('Detalhe Por UC'!$R593,'Resumo Operacional'!$A$1:$P$1,0)),
""))</f>
        <v/>
      </c>
      <c r="U593" s="113">
        <f>IF($H593="GIROSSOL III",AP593/INDEX('Resumo Operacional'!$A$1:$P$1103,53,MATCH('Detalhe Por UC'!$R593,'Resumo Operacional'!$A$1:$P$1,0)),
IF($H593="GIROSSOL II e III",AP593/INDEX('Resumo Operacional'!$A$1:$P$1103,53,MATCH('Detalhe Por UC'!$R593,'Resumo Operacional'!$A$1:$P$1,0)),
""))</f>
        <v>-4.3506003828528341E-3</v>
      </c>
      <c r="V593" s="45"/>
      <c r="X593" s="18">
        <v>1.1674483017922044</v>
      </c>
      <c r="Y593" s="18">
        <v>0</v>
      </c>
      <c r="Z593" s="18">
        <v>1.0106061541628075</v>
      </c>
      <c r="AA593" s="18"/>
      <c r="AB593" s="18">
        <v>202</v>
      </c>
      <c r="AC593" s="18"/>
      <c r="AD593" s="143">
        <v>123</v>
      </c>
      <c r="AE593" s="35"/>
      <c r="AF593" s="18"/>
      <c r="AG593" s="18"/>
      <c r="AH593" s="48">
        <v>51.92</v>
      </c>
      <c r="AI593" s="18">
        <v>0</v>
      </c>
      <c r="AJ593" s="18">
        <v>0</v>
      </c>
      <c r="AL593" s="146"/>
      <c r="AN593" s="71">
        <f t="shared" si="345"/>
        <v>-198</v>
      </c>
      <c r="AO593" s="71">
        <f t="shared" si="346"/>
        <v>0</v>
      </c>
      <c r="AP593" s="71">
        <f t="shared" si="347"/>
        <v>-75</v>
      </c>
      <c r="AQ593" s="72">
        <f>IF(OR($H593="GIROSSOL II",$H593="GIROSSOL II e III"),INDEX('Resumo Operacional'!$A$1:$P$1103,MATCH("Energia Injetada prevista total Fatura da Usina (TUSD)",'Resumo Operacional'!$B$1:$B$1103,0),MATCH('Detalhe Por UC'!$R593,'Resumo Operacional'!$A$1:$P$1,0))*$S593,INDEX('Resumo Operacional'!$A$1:$P$1103,53,MATCH('Detalhe Por UC'!$R593,'Resumo Operacional'!$A$1:$P$1,0))*$S593)</f>
        <v>344.78000000000003</v>
      </c>
      <c r="AR593" s="71">
        <f t="shared" si="348"/>
        <v>-419.78000000000003</v>
      </c>
      <c r="AS593" s="73">
        <f t="shared" si="349"/>
        <v>163.43999999999997</v>
      </c>
      <c r="AT593" s="74">
        <f t="shared" si="350"/>
        <v>163.43999999999997</v>
      </c>
      <c r="AU593" s="74">
        <f t="shared" si="351"/>
        <v>0.85376400653341067</v>
      </c>
      <c r="AV593" s="74">
        <f t="shared" si="352"/>
        <v>94.812771764697089</v>
      </c>
      <c r="AW593" s="74">
        <f t="shared" si="353"/>
        <v>0</v>
      </c>
      <c r="AX593" s="74">
        <f t="shared" si="354"/>
        <v>124.30455696202533</v>
      </c>
      <c r="AY593" s="74">
        <f t="shared" si="355"/>
        <v>94.81</v>
      </c>
      <c r="AZ593" s="43">
        <v>93.23</v>
      </c>
      <c r="BA593" s="43">
        <v>93.23</v>
      </c>
      <c r="BB593" s="43">
        <v>93.23</v>
      </c>
      <c r="BC593" s="73" t="str">
        <f t="shared" si="356"/>
        <v/>
      </c>
      <c r="BD593" s="73">
        <f t="shared" si="357"/>
        <v>287.74455696202529</v>
      </c>
      <c r="BE593" s="73">
        <f t="shared" si="358"/>
        <v>258.25277176469706</v>
      </c>
      <c r="BF593" s="77">
        <f t="shared" si="359"/>
        <v>29.49</v>
      </c>
      <c r="BG593" s="77">
        <f t="shared" si="360"/>
        <v>8.8469999999999995</v>
      </c>
      <c r="BH593" s="77">
        <f t="shared" si="361"/>
        <v>124.30455696202532</v>
      </c>
      <c r="BI593" s="78">
        <f t="shared" si="362"/>
        <v>0.24</v>
      </c>
      <c r="BJ593" s="79">
        <f t="shared" si="363"/>
        <v>0.10248673445417042</v>
      </c>
      <c r="BK593" s="80">
        <f t="shared" si="364"/>
        <v>258.25</v>
      </c>
      <c r="BL593" s="80">
        <f t="shared" si="365"/>
        <v>29.494556962025285</v>
      </c>
      <c r="BM593" s="79">
        <f t="shared" si="366"/>
        <v>0.10250257128553709</v>
      </c>
      <c r="BN593" s="81">
        <f t="shared" si="367"/>
        <v>0.77081300813008136</v>
      </c>
      <c r="BO593" s="82">
        <f t="shared" si="368"/>
        <v>94.81</v>
      </c>
      <c r="BP593" s="81">
        <f t="shared" si="369"/>
        <v>0.77081300813008136</v>
      </c>
      <c r="BQ593" s="81">
        <f t="shared" si="370"/>
        <v>0.92765515575947821</v>
      </c>
      <c r="BR593" s="81">
        <f t="shared" si="371"/>
        <v>1.1674483017922044</v>
      </c>
      <c r="BS593" s="82">
        <f t="shared" si="372"/>
        <v>123</v>
      </c>
      <c r="BT593" s="82">
        <f t="shared" si="373"/>
        <v>143.59614112044113</v>
      </c>
      <c r="BU593" s="82">
        <f t="shared" si="374"/>
        <v>124.30455696202533</v>
      </c>
      <c r="BW593" s="82">
        <f>IFERROR(INDEX('Infos Clientes'!$T:$T,MATCH('Detalhe Por UC'!$C593,'Infos Clientes'!B:B,0)),"")</f>
        <v>392</v>
      </c>
      <c r="BX593" s="83">
        <f t="shared" si="375"/>
        <v>0</v>
      </c>
      <c r="BY593" s="84">
        <f t="shared" si="376"/>
        <v>0.20539937028869587</v>
      </c>
      <c r="BZ593" s="85">
        <f>IF(_xlfn.MINIFS('Detalhe Por UC'!R:R,'Detalhe Por UC'!C:C,C593,'Detalhe Por UC'!AD:AD,"&gt;"&amp;0)=0,"",_xlfn.MINIFS('Detalhe Por UC'!R:R,'Detalhe Por UC'!C:C,C593,'Detalhe Por UC'!AD:AD,"&gt;"&amp;0))</f>
        <v>45748</v>
      </c>
      <c r="CA593" s="114">
        <f ca="1">IF(OR(S593&gt;0,AD593&gt;0),IFERROR(
SUMIFS(INDIRECT("'Infos Clientes'!$W"&amp;INDEX('Infos Clientes'!$C:$C,MATCH(C593,'Infos Clientes'!$H:$H,0))&amp;":$CZ"&amp;INDEX('Infos Clientes'!$C:$C,MATCH(C593,'Infos Clientes'!$H:$H,0))),'Infos Clientes'!$W$2:$CZ$2,"&gt;"&amp;$R593-365,'Infos Clientes'!$W$2:$CZ$2,"&lt;="&amp;$R593)/
COUNTIFS(INDIRECT("'Infos Clientes'!$W"&amp;INDEX('Infos Clientes'!$C:$C,MATCH(C593,'Infos Clientes'!$H:$H,0))&amp;":$CZ"&amp;INDEX('Infos Clientes'!$C:$C,MATCH(C593,'Infos Clientes'!$H:$H,0))),"&gt;="&amp;0,'Infos Clientes'!$W$2:$CZ$2,"&gt;"&amp;$R593-365,'Infos Clientes'!$W$2:$CZ$2,"&lt;="&amp;$R593),""),"")</f>
        <v>166.83333333333334</v>
      </c>
      <c r="CB593" s="87">
        <f>VLOOKUP(C593,'Infos Clientes'!B:L,11,0)</f>
        <v>0</v>
      </c>
      <c r="CC593" s="88" t="str">
        <f t="shared" si="377"/>
        <v>A Unidade Consumidora 10/69319-2 economizou R$29,49 na fatura referente à jun/2025  consumindo 123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3" s="40"/>
      <c r="CE593" s="43"/>
      <c r="CF593" s="115">
        <f t="shared" si="378"/>
        <v>-163.43999999999997</v>
      </c>
    </row>
    <row r="594" spans="1:84" ht="16.2" hidden="1" customHeight="1" x14ac:dyDescent="0.3">
      <c r="A594" s="105" t="str">
        <f>INDEX('Infos Clientes'!$D:$D,MATCH('Detalhe Por UC'!C594,'Infos Clientes'!B:B,0))</f>
        <v>IGREJA DO EVANGELHO QUADRANGULAR</v>
      </c>
      <c r="B594" s="106" t="str">
        <f>INDEX('Infos Clientes'!$F:$F,MATCH('Detalhe Por UC'!C594,'Infos Clientes'!B:B,0))</f>
        <v>62.955.505/1822-57</v>
      </c>
      <c r="C594" s="44" t="s">
        <v>206</v>
      </c>
      <c r="D594" t="s">
        <v>351</v>
      </c>
      <c r="E594" s="1" t="s">
        <v>352</v>
      </c>
      <c r="F594" s="56" t="str">
        <f>INDEX('Infos Clientes'!$I:$I,MATCH('Detalhe Por UC'!C594,'Infos Clientes'!B:B,0))</f>
        <v>BT</v>
      </c>
      <c r="G594" s="56" t="str">
        <f>INDEX('Infos Clientes'!$J:$J,MATCH('Detalhe Por UC'!C594,'Infos Clientes'!B:B,0))</f>
        <v>trifasico</v>
      </c>
      <c r="H594" s="47" t="str">
        <f t="shared" si="342"/>
        <v>GIROSSOL III</v>
      </c>
      <c r="I594" s="58">
        <f>IFERROR(VLOOKUP(C594,'Infos Clientes'!B:E,4,),"")</f>
        <v>319</v>
      </c>
      <c r="J594" s="109">
        <v>0.23725425614394724</v>
      </c>
      <c r="K594" s="59">
        <f>INDEX('Infos Clientes'!$M:$M,MATCH('Detalhe Por UC'!C594,'Infos Clientes'!B:B,0))</f>
        <v>0.25</v>
      </c>
      <c r="L594" s="125">
        <v>0</v>
      </c>
      <c r="M594" s="56">
        <f>INDEX('Infos Clientes'!$N:$N,MATCH('Detalhe Por UC'!C594,'Infos Clientes'!B:B,0))</f>
        <v>0</v>
      </c>
      <c r="N594" s="56">
        <f t="shared" si="343"/>
        <v>0</v>
      </c>
      <c r="O594" s="56">
        <f t="shared" si="344"/>
        <v>9</v>
      </c>
      <c r="P594" s="56">
        <f t="shared" si="379"/>
        <v>0</v>
      </c>
      <c r="Q594" s="61">
        <f>IFERROR(IFERROR(INDEX('Infos Clientes'!$A$2:$V$9884,MATCH($C594,'Infos Clientes'!$B$2:$B$9884,0),MATCH(Q$8,'Infos Clientes'!$A$2:$V$2,0)),"")
+IF(OR(INDEX('Infos Clientes'!$A$2:$V$9884,MATCH($C594,'Infos Clientes'!$B$2:$B$9884,0),MATCH("Tempo de Fidelidade (meses)",'Infos Clientes'!$A$2:$V$2,0))=0,R594&gt;=MAX(R:R)),0,
ROUND((MAX(R:R)-R594)/(365/12),0)),"")</f>
        <v>0</v>
      </c>
      <c r="R594" s="111">
        <v>45809</v>
      </c>
      <c r="S594" s="63">
        <v>0.02</v>
      </c>
      <c r="T594" s="113" t="str">
        <f>IF($H594="GIROSSOL II",AP594/INDEX('Resumo Operacional'!$A$1:$P$1103,17,MATCH('Detalhe Por UC'!$R594,'Resumo Operacional'!$A$1:$P$1,0)),
IF($H594="GIROSSOL II e III",AP594/INDEX('Resumo Operacional'!$A$1:$P$1103,17,MATCH('Detalhe Por UC'!$R594,'Resumo Operacional'!$A$1:$P$1,0)),
""))</f>
        <v/>
      </c>
      <c r="U594" s="113">
        <f>IF($H594="GIROSSOL III",AP594/INDEX('Resumo Operacional'!$A$1:$P$1103,53,MATCH('Detalhe Por UC'!$R594,'Resumo Operacional'!$A$1:$P$1,0)),
IF($H594="GIROSSOL II e III",AP594/INDEX('Resumo Operacional'!$A$1:$P$1103,53,MATCH('Detalhe Por UC'!$R594,'Resumo Operacional'!$A$1:$P$1,0)),
""))</f>
        <v>9.1652648065433037E-3</v>
      </c>
      <c r="V594" s="45"/>
      <c r="X594" s="18">
        <v>1.1620618925100057</v>
      </c>
      <c r="Y594" s="18">
        <v>0</v>
      </c>
      <c r="Z594" s="18">
        <v>1.0051540482445664</v>
      </c>
      <c r="AA594" s="18"/>
      <c r="AB594" s="18">
        <v>264</v>
      </c>
      <c r="AC594" s="18"/>
      <c r="AD594" s="143">
        <v>158</v>
      </c>
      <c r="AE594" s="35"/>
      <c r="AF594" s="18">
        <v>0</v>
      </c>
      <c r="AG594" s="18">
        <v>0</v>
      </c>
      <c r="AH594" s="48">
        <v>63.849999999999994</v>
      </c>
      <c r="AI594" s="18">
        <v>0</v>
      </c>
      <c r="AJ594" s="18">
        <v>0</v>
      </c>
      <c r="AL594" s="146"/>
      <c r="AN594" s="71">
        <f t="shared" si="345"/>
        <v>0</v>
      </c>
      <c r="AO594" s="71">
        <f t="shared" si="346"/>
        <v>0</v>
      </c>
      <c r="AP594" s="71">
        <f t="shared" si="347"/>
        <v>158</v>
      </c>
      <c r="AQ594" s="72">
        <f>IF(OR($H594="GIROSSOL II",$H594="GIROSSOL II e III"),INDEX('Resumo Operacional'!$A$1:$P$1103,MATCH("Energia Injetada prevista total Fatura da Usina (TUSD)",'Resumo Operacional'!$B$1:$B$1103,0),MATCH('Detalhe Por UC'!$R594,'Resumo Operacional'!$A$1:$P$1,0))*$S594,INDEX('Resumo Operacional'!$A$1:$P$1103,53,MATCH('Detalhe Por UC'!$R594,'Resumo Operacional'!$A$1:$P$1,0))*$S594)</f>
        <v>344.78000000000003</v>
      </c>
      <c r="AR594" s="71">
        <f t="shared" si="348"/>
        <v>-186.78000000000003</v>
      </c>
      <c r="AS594" s="73">
        <f t="shared" si="349"/>
        <v>211.81999999999996</v>
      </c>
      <c r="AT594" s="74">
        <f t="shared" si="350"/>
        <v>211.81999999999996</v>
      </c>
      <c r="AU594" s="74">
        <f t="shared" si="351"/>
        <v>0.8482462039791272</v>
      </c>
      <c r="AV594" s="74">
        <f t="shared" si="352"/>
        <v>121.13496161047949</v>
      </c>
      <c r="AW594" s="74">
        <f t="shared" si="353"/>
        <v>0</v>
      </c>
      <c r="AX594" s="74">
        <f t="shared" si="354"/>
        <v>158.81433962264151</v>
      </c>
      <c r="AY594" s="74">
        <f t="shared" si="355"/>
        <v>121.13</v>
      </c>
      <c r="AZ594" s="43">
        <v>119.11</v>
      </c>
      <c r="BA594" s="43">
        <v>119.11</v>
      </c>
      <c r="BB594" s="43">
        <v>119.11</v>
      </c>
      <c r="BC594" s="73" t="str">
        <f t="shared" si="356"/>
        <v/>
      </c>
      <c r="BD594" s="73">
        <f t="shared" si="357"/>
        <v>370.63433962264151</v>
      </c>
      <c r="BE594" s="73">
        <f t="shared" si="358"/>
        <v>332.95496161047947</v>
      </c>
      <c r="BF594" s="77">
        <f t="shared" si="359"/>
        <v>37.68</v>
      </c>
      <c r="BG594" s="77">
        <f t="shared" si="360"/>
        <v>11.304</v>
      </c>
      <c r="BH594" s="77">
        <f t="shared" si="361"/>
        <v>158.81433962264151</v>
      </c>
      <c r="BI594" s="78">
        <f t="shared" si="362"/>
        <v>0.24</v>
      </c>
      <c r="BJ594" s="79">
        <f t="shared" si="363"/>
        <v>0.10166354266677934</v>
      </c>
      <c r="BK594" s="80">
        <f t="shared" si="364"/>
        <v>332.94999999999993</v>
      </c>
      <c r="BL594" s="80">
        <f t="shared" si="365"/>
        <v>37.684339622641573</v>
      </c>
      <c r="BM594" s="79">
        <f t="shared" si="366"/>
        <v>0.10167525130296776</v>
      </c>
      <c r="BN594" s="81">
        <f t="shared" si="367"/>
        <v>0.7666455696202531</v>
      </c>
      <c r="BO594" s="82">
        <f t="shared" si="368"/>
        <v>121.13</v>
      </c>
      <c r="BP594" s="81">
        <f t="shared" si="369"/>
        <v>0.7666455696202531</v>
      </c>
      <c r="BQ594" s="81">
        <f t="shared" si="370"/>
        <v>0.92355341388569234</v>
      </c>
      <c r="BR594" s="81">
        <f t="shared" si="371"/>
        <v>1.1620618925100057</v>
      </c>
      <c r="BS594" s="82">
        <f t="shared" si="372"/>
        <v>158</v>
      </c>
      <c r="BT594" s="82">
        <f t="shared" si="373"/>
        <v>183.6057790165809</v>
      </c>
      <c r="BU594" s="82">
        <f t="shared" si="374"/>
        <v>158.81433962264151</v>
      </c>
      <c r="BW594" s="82">
        <f>IFERROR(INDEX('Infos Clientes'!$T:$T,MATCH('Detalhe Por UC'!$C594,'Infos Clientes'!B:B,0)),"")</f>
        <v>361.81818181818181</v>
      </c>
      <c r="BX594" s="83">
        <f t="shared" si="375"/>
        <v>0</v>
      </c>
      <c r="BY594" s="84">
        <f t="shared" si="376"/>
        <v>0.20524593411211936</v>
      </c>
      <c r="BZ594" s="85">
        <f>IF(_xlfn.MINIFS('Detalhe Por UC'!R:R,'Detalhe Por UC'!C:C,C594,'Detalhe Por UC'!AD:AD,"&gt;"&amp;0)=0,"",_xlfn.MINIFS('Detalhe Por UC'!R:R,'Detalhe Por UC'!C:C,C594,'Detalhe Por UC'!AD:AD,"&gt;"&amp;0))</f>
        <v>45658</v>
      </c>
      <c r="CA594" s="114">
        <f ca="1">IF(OR(S594&gt;0,AD594&gt;0),IFERROR(
SUMIFS(INDIRECT("'Infos Clientes'!$W"&amp;INDEX('Infos Clientes'!$C:$C,MATCH(C594,'Infos Clientes'!$H:$H,0))&amp;":$CZ"&amp;INDEX('Infos Clientes'!$C:$C,MATCH(C594,'Infos Clientes'!$H:$H,0))),'Infos Clientes'!$W$2:$CZ$2,"&gt;"&amp;$R594-365,'Infos Clientes'!$W$2:$CZ$2,"&lt;="&amp;$R594)/
COUNTIFS(INDIRECT("'Infos Clientes'!$W"&amp;INDEX('Infos Clientes'!$C:$C,MATCH(C594,'Infos Clientes'!$H:$H,0))&amp;":$CZ"&amp;INDEX('Infos Clientes'!$C:$C,MATCH(C594,'Infos Clientes'!$H:$H,0))),"&gt;="&amp;0,'Infos Clientes'!$W$2:$CZ$2,"&gt;"&amp;$R594-365,'Infos Clientes'!$W$2:$CZ$2,"&lt;="&amp;$R594),""),"")</f>
        <v>370.16666666666669</v>
      </c>
      <c r="CB594" s="87">
        <f>VLOOKUP(C594,'Infos Clientes'!B:L,11,0)</f>
        <v>0</v>
      </c>
      <c r="CC594" s="88" t="str">
        <f t="shared" si="377"/>
        <v>A Unidade Consumidora 10/480529-7 economizou R$37,68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4" s="40"/>
      <c r="CE594" s="43"/>
      <c r="CF594" s="115">
        <f t="shared" si="378"/>
        <v>-211.81999999999996</v>
      </c>
    </row>
    <row r="595" spans="1:84" ht="16.2" hidden="1" customHeight="1" x14ac:dyDescent="0.3">
      <c r="A595" s="105" t="str">
        <f>INDEX('Infos Clientes'!$D:$D,MATCH('Detalhe Por UC'!C595,'Infos Clientes'!B:B,0))</f>
        <v>IGREJA DO EVANGELHO QUADRANGULAR</v>
      </c>
      <c r="B595" s="106" t="str">
        <f>INDEX('Infos Clientes'!$F:$F,MATCH('Detalhe Por UC'!C595,'Infos Clientes'!B:B,0))</f>
        <v>62.955.505/1822-57</v>
      </c>
      <c r="C595" s="44" t="s">
        <v>192</v>
      </c>
      <c r="D595" t="s">
        <v>351</v>
      </c>
      <c r="E595" s="1" t="s">
        <v>352</v>
      </c>
      <c r="F595" s="56" t="str">
        <f>INDEX('Infos Clientes'!$I:$I,MATCH('Detalhe Por UC'!C595,'Infos Clientes'!B:B,0))</f>
        <v>BT</v>
      </c>
      <c r="G595" s="56" t="str">
        <f>INDEX('Infos Clientes'!$J:$J,MATCH('Detalhe Por UC'!C595,'Infos Clientes'!B:B,0))</f>
        <v>trifasico</v>
      </c>
      <c r="H595" s="47" t="str">
        <f t="shared" si="342"/>
        <v>GIROSSOL III</v>
      </c>
      <c r="I595" s="58">
        <f>IFERROR(VLOOKUP(C595,'Infos Clientes'!B:E,4,),"")</f>
        <v>319</v>
      </c>
      <c r="J595" s="109">
        <v>0.23725425614394724</v>
      </c>
      <c r="K595" s="59">
        <f>INDEX('Infos Clientes'!$M:$M,MATCH('Detalhe Por UC'!C595,'Infos Clientes'!B:B,0))</f>
        <v>0.25</v>
      </c>
      <c r="L595" s="125">
        <v>0</v>
      </c>
      <c r="M595" s="56">
        <f>INDEX('Infos Clientes'!$N:$N,MATCH('Detalhe Por UC'!C595,'Infos Clientes'!B:B,0))</f>
        <v>0</v>
      </c>
      <c r="N595" s="56">
        <f t="shared" si="343"/>
        <v>0</v>
      </c>
      <c r="O595" s="56">
        <f t="shared" si="344"/>
        <v>9</v>
      </c>
      <c r="P595" s="56">
        <f t="shared" si="379"/>
        <v>0</v>
      </c>
      <c r="Q595" s="61">
        <f>IFERROR(IFERROR(INDEX('Infos Clientes'!$A$2:$V$9884,MATCH($C595,'Infos Clientes'!$B$2:$B$9884,0),MATCH(Q$8,'Infos Clientes'!$A$2:$V$2,0)),"")
+IF(OR(INDEX('Infos Clientes'!$A$2:$V$9884,MATCH($C595,'Infos Clientes'!$B$2:$B$9884,0),MATCH("Tempo de Fidelidade (meses)",'Infos Clientes'!$A$2:$V$2,0))=0,R595&gt;=MAX(R:R)),0,
ROUND((MAX(R:R)-R595)/(365/12),0)),"")</f>
        <v>0</v>
      </c>
      <c r="R595" s="111">
        <v>45809</v>
      </c>
      <c r="S595" s="63">
        <v>0.03</v>
      </c>
      <c r="T595" s="113" t="str">
        <f>IF($H595="GIROSSOL II",AP595/INDEX('Resumo Operacional'!$A$1:$P$1103,17,MATCH('Detalhe Por UC'!$R595,'Resumo Operacional'!$A$1:$P$1,0)),
IF($H595="GIROSSOL II e III",AP595/INDEX('Resumo Operacional'!$A$1:$P$1103,17,MATCH('Detalhe Por UC'!$R595,'Resumo Operacional'!$A$1:$P$1,0)),
""))</f>
        <v/>
      </c>
      <c r="U595" s="113">
        <f>IF($H595="GIROSSOL III",AP595/INDEX('Resumo Operacional'!$A$1:$P$1103,53,MATCH('Detalhe Por UC'!$R595,'Resumo Operacional'!$A$1:$P$1,0)),
IF($H595="GIROSSOL II e III",AP595/INDEX('Resumo Operacional'!$A$1:$P$1103,53,MATCH('Detalhe Por UC'!$R595,'Resumo Operacional'!$A$1:$P$1,0)),
""))</f>
        <v>1.3747897209814954E-2</v>
      </c>
      <c r="V595" s="45"/>
      <c r="X595" s="18">
        <v>1.1540241998438721</v>
      </c>
      <c r="Y595" s="18">
        <v>0</v>
      </c>
      <c r="Z595" s="18">
        <v>0.99713149339420337</v>
      </c>
      <c r="AA595" s="18"/>
      <c r="AB595" s="18">
        <v>420</v>
      </c>
      <c r="AC595" s="18"/>
      <c r="AD595" s="143">
        <v>237</v>
      </c>
      <c r="AE595" s="35"/>
      <c r="AF595" s="18">
        <v>0</v>
      </c>
      <c r="AG595" s="18">
        <v>0</v>
      </c>
      <c r="AH595" s="48">
        <v>78.12</v>
      </c>
      <c r="AI595" s="18">
        <v>0</v>
      </c>
      <c r="AJ595" s="18">
        <v>0</v>
      </c>
      <c r="AL595" s="146"/>
      <c r="AN595" s="71">
        <f t="shared" si="345"/>
        <v>0</v>
      </c>
      <c r="AO595" s="71">
        <f t="shared" si="346"/>
        <v>0</v>
      </c>
      <c r="AP595" s="71">
        <f t="shared" si="347"/>
        <v>237</v>
      </c>
      <c r="AQ595" s="72">
        <f>IF(OR($H595="GIROSSOL II",$H595="GIROSSOL II e III"),INDEX('Resumo Operacional'!$A$1:$P$1103,MATCH("Energia Injetada prevista total Fatura da Usina (TUSD)",'Resumo Operacional'!$B$1:$B$1103,0),MATCH('Detalhe Por UC'!$R595,'Resumo Operacional'!$A$1:$P$1,0))*$S595,INDEX('Resumo Operacional'!$A$1:$P$1103,53,MATCH('Detalhe Por UC'!$R595,'Resumo Operacional'!$A$1:$P$1,0))*$S595)</f>
        <v>517.16999999999996</v>
      </c>
      <c r="AR595" s="71">
        <f t="shared" si="348"/>
        <v>-280.16999999999996</v>
      </c>
      <c r="AS595" s="73">
        <f t="shared" si="349"/>
        <v>326.49000000000007</v>
      </c>
      <c r="AT595" s="74">
        <f t="shared" si="350"/>
        <v>326.49000000000007</v>
      </c>
      <c r="AU595" s="74">
        <f t="shared" si="351"/>
        <v>0.84023878694453469</v>
      </c>
      <c r="AV595" s="74">
        <f t="shared" si="352"/>
        <v>180.25219922834825</v>
      </c>
      <c r="AW595" s="74">
        <f t="shared" si="353"/>
        <v>0</v>
      </c>
      <c r="AX595" s="74">
        <f t="shared" si="354"/>
        <v>236.3201639344262</v>
      </c>
      <c r="AY595" s="74">
        <f t="shared" si="355"/>
        <v>180.25</v>
      </c>
      <c r="AZ595" s="43">
        <v>177.24</v>
      </c>
      <c r="BA595" s="43">
        <v>177.24</v>
      </c>
      <c r="BB595" s="43">
        <v>177.24</v>
      </c>
      <c r="BC595" s="73" t="str">
        <f t="shared" si="356"/>
        <v/>
      </c>
      <c r="BD595" s="73">
        <f t="shared" si="357"/>
        <v>562.81016393442633</v>
      </c>
      <c r="BE595" s="73">
        <f t="shared" si="358"/>
        <v>506.74219922834834</v>
      </c>
      <c r="BF595" s="77">
        <f t="shared" si="359"/>
        <v>56.07</v>
      </c>
      <c r="BG595" s="77">
        <f t="shared" si="360"/>
        <v>16.820999999999998</v>
      </c>
      <c r="BH595" s="77">
        <f t="shared" si="361"/>
        <v>236.32016393442623</v>
      </c>
      <c r="BI595" s="78">
        <f t="shared" si="362"/>
        <v>0.24</v>
      </c>
      <c r="BJ595" s="79">
        <f t="shared" si="363"/>
        <v>9.9625066484287553E-2</v>
      </c>
      <c r="BK595" s="80">
        <f t="shared" si="364"/>
        <v>506.74000000000007</v>
      </c>
      <c r="BL595" s="80">
        <f t="shared" si="365"/>
        <v>56.070163934426262</v>
      </c>
      <c r="BM595" s="79">
        <f t="shared" si="366"/>
        <v>9.9625357762655936E-2</v>
      </c>
      <c r="BN595" s="81">
        <f t="shared" si="367"/>
        <v>0.76054852320675104</v>
      </c>
      <c r="BO595" s="82">
        <f t="shared" si="368"/>
        <v>180.25</v>
      </c>
      <c r="BP595" s="81">
        <f t="shared" si="369"/>
        <v>0.76054852320675104</v>
      </c>
      <c r="BQ595" s="81">
        <f t="shared" si="370"/>
        <v>0.91744122965641972</v>
      </c>
      <c r="BR595" s="81">
        <f t="shared" si="371"/>
        <v>1.1540241998438721</v>
      </c>
      <c r="BS595" s="82">
        <f t="shared" si="372"/>
        <v>237</v>
      </c>
      <c r="BT595" s="82">
        <f t="shared" si="373"/>
        <v>273.5037353629977</v>
      </c>
      <c r="BU595" s="82">
        <f t="shared" si="374"/>
        <v>236.3201639344262</v>
      </c>
      <c r="BW595" s="82">
        <f>IFERROR(INDEX('Infos Clientes'!$T:$T,MATCH('Detalhe Por UC'!$C595,'Infos Clientes'!B:B,0)),"")</f>
        <v>502.09090909090907</v>
      </c>
      <c r="BX595" s="83">
        <f t="shared" si="375"/>
        <v>0</v>
      </c>
      <c r="BY595" s="84">
        <f t="shared" si="376"/>
        <v>0.20500694025260444</v>
      </c>
      <c r="BZ595" s="85">
        <f>IF(_xlfn.MINIFS('Detalhe Por UC'!R:R,'Detalhe Por UC'!C:C,C595,'Detalhe Por UC'!AD:AD,"&gt;"&amp;0)=0,"",_xlfn.MINIFS('Detalhe Por UC'!R:R,'Detalhe Por UC'!C:C,C595,'Detalhe Por UC'!AD:AD,"&gt;"&amp;0))</f>
        <v>45658</v>
      </c>
      <c r="CA595" s="114">
        <f ca="1">IF(OR(S595&gt;0,AD595&gt;0),IFERROR(
SUMIFS(INDIRECT("'Infos Clientes'!$W"&amp;INDEX('Infos Clientes'!$C:$C,MATCH(C595,'Infos Clientes'!$H:$H,0))&amp;":$CZ"&amp;INDEX('Infos Clientes'!$C:$C,MATCH(C595,'Infos Clientes'!$H:$H,0))),'Infos Clientes'!$W$2:$CZ$2,"&gt;"&amp;$R595-365,'Infos Clientes'!$W$2:$CZ$2,"&lt;="&amp;$R595)/
COUNTIFS(INDIRECT("'Infos Clientes'!$W"&amp;INDEX('Infos Clientes'!$C:$C,MATCH(C595,'Infos Clientes'!$H:$H,0))&amp;":$CZ"&amp;INDEX('Infos Clientes'!$C:$C,MATCH(C595,'Infos Clientes'!$H:$H,0))),"&gt;="&amp;0,'Infos Clientes'!$W$2:$CZ$2,"&gt;"&amp;$R595-365,'Infos Clientes'!$W$2:$CZ$2,"&lt;="&amp;$R595),""),"")</f>
        <v>456.5</v>
      </c>
      <c r="CB595" s="87">
        <f>VLOOKUP(C595,'Infos Clientes'!B:L,11,0)</f>
        <v>0</v>
      </c>
      <c r="CC595" s="88" t="str">
        <f t="shared" si="377"/>
        <v>A Unidade Consumidora 10/3139326-7 economizou R$56,07 na fatura referente à jun/2025  consumindo 237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5" s="40" t="s">
        <v>143</v>
      </c>
      <c r="CE595" s="43"/>
      <c r="CF595" s="115">
        <f t="shared" si="378"/>
        <v>-326.49000000000007</v>
      </c>
    </row>
    <row r="596" spans="1:84" ht="16.2" hidden="1" customHeight="1" x14ac:dyDescent="0.3">
      <c r="A596" s="105" t="str">
        <f>INDEX('Infos Clientes'!$D:$D,MATCH('Detalhe Por UC'!C596,'Infos Clientes'!B:B,0))</f>
        <v>IGREJA DO EVANGELHO QUADRANGULAR</v>
      </c>
      <c r="B596" s="106" t="str">
        <f>INDEX('Infos Clientes'!$F:$F,MATCH('Detalhe Por UC'!C596,'Infos Clientes'!B:B,0))</f>
        <v>62.955.505/2132-33</v>
      </c>
      <c r="C596" s="44" t="s">
        <v>197</v>
      </c>
      <c r="D596" t="s">
        <v>351</v>
      </c>
      <c r="E596" s="1" t="s">
        <v>352</v>
      </c>
      <c r="F596" s="56" t="str">
        <f>INDEX('Infos Clientes'!$I:$I,MATCH('Detalhe Por UC'!C596,'Infos Clientes'!B:B,0))</f>
        <v>BT</v>
      </c>
      <c r="G596" s="56" t="str">
        <f>INDEX('Infos Clientes'!$J:$J,MATCH('Detalhe Por UC'!C596,'Infos Clientes'!B:B,0))</f>
        <v>trifasico</v>
      </c>
      <c r="H596" s="47" t="str">
        <f t="shared" si="342"/>
        <v>GIROSSOL III</v>
      </c>
      <c r="I596" s="58">
        <f>IFERROR(VLOOKUP(C596,'Infos Clientes'!B:E,4,),"")</f>
        <v>306</v>
      </c>
      <c r="J596" s="109">
        <v>0.23725425614394724</v>
      </c>
      <c r="K596" s="59">
        <f>INDEX('Infos Clientes'!$M:$M,MATCH('Detalhe Por UC'!C596,'Infos Clientes'!B:B,0))</f>
        <v>0.25</v>
      </c>
      <c r="L596" s="125">
        <v>0</v>
      </c>
      <c r="M596" s="56">
        <f>INDEX('Infos Clientes'!$N:$N,MATCH('Detalhe Por UC'!C596,'Infos Clientes'!B:B,0))</f>
        <v>0</v>
      </c>
      <c r="N596" s="56">
        <f t="shared" si="343"/>
        <v>0</v>
      </c>
      <c r="O596" s="56">
        <f t="shared" si="344"/>
        <v>9</v>
      </c>
      <c r="P596" s="56">
        <f t="shared" si="379"/>
        <v>0</v>
      </c>
      <c r="Q596" s="61">
        <f>IFERROR(IFERROR(INDEX('Infos Clientes'!$A$2:$V$9884,MATCH($C596,'Infos Clientes'!$B$2:$B$9884,0),MATCH(Q$8,'Infos Clientes'!$A$2:$V$2,0)),"")
+IF(OR(INDEX('Infos Clientes'!$A$2:$V$9884,MATCH($C596,'Infos Clientes'!$B$2:$B$9884,0),MATCH("Tempo de Fidelidade (meses)",'Infos Clientes'!$A$2:$V$2,0))=0,R596&gt;=MAX(R:R)),0,
ROUND((MAX(R:R)-R596)/(365/12),0)),"")</f>
        <v>0</v>
      </c>
      <c r="R596" s="111">
        <v>45809</v>
      </c>
      <c r="S596" s="63">
        <v>0.04</v>
      </c>
      <c r="T596" s="113" t="str">
        <f>IF($H596="GIROSSOL II",AP596/INDEX('Resumo Operacional'!$A$1:$P$1103,17,MATCH('Detalhe Por UC'!$R596,'Resumo Operacional'!$A$1:$P$1,0)),
IF($H596="GIROSSOL II e III",AP596/INDEX('Resumo Operacional'!$A$1:$P$1103,17,MATCH('Detalhe Por UC'!$R596,'Resumo Operacional'!$A$1:$P$1,0)),
""))</f>
        <v/>
      </c>
      <c r="U596" s="113">
        <f>IF($H596="GIROSSOL III",AP596/INDEX('Resumo Operacional'!$A$1:$P$1103,53,MATCH('Detalhe Por UC'!$R596,'Resumo Operacional'!$A$1:$P$1,0)),
IF($H596="GIROSSOL II e III",AP596/INDEX('Resumo Operacional'!$A$1:$P$1103,53,MATCH('Detalhe Por UC'!$R596,'Resumo Operacional'!$A$1:$P$1,0)),
""))</f>
        <v>0</v>
      </c>
      <c r="V596" s="45"/>
      <c r="X596" s="18">
        <v>1.1642788680967595</v>
      </c>
      <c r="Y596" s="18">
        <v>0</v>
      </c>
      <c r="Z596" s="18">
        <v>1.0073902167871041</v>
      </c>
      <c r="AA596" s="18"/>
      <c r="AB596" s="18">
        <v>313</v>
      </c>
      <c r="AC596" s="18"/>
      <c r="AD596" s="143">
        <v>257</v>
      </c>
      <c r="AE596" s="35"/>
      <c r="AF596" s="18">
        <v>82</v>
      </c>
      <c r="AG596" s="18">
        <v>0</v>
      </c>
      <c r="AH596" s="48">
        <v>2.12</v>
      </c>
      <c r="AI596" s="18">
        <v>0</v>
      </c>
      <c r="AJ596" s="18">
        <v>0</v>
      </c>
      <c r="AL596" s="146"/>
      <c r="AN596" s="71">
        <f t="shared" si="345"/>
        <v>-257</v>
      </c>
      <c r="AO596" s="71">
        <f t="shared" si="346"/>
        <v>0</v>
      </c>
      <c r="AP596" s="71">
        <f t="shared" si="347"/>
        <v>0</v>
      </c>
      <c r="AQ596" s="72">
        <f>IF(OR($H596="GIROSSOL II",$H596="GIROSSOL II e III"),INDEX('Resumo Operacional'!$A$1:$P$1103,MATCH("Energia Injetada prevista total Fatura da Usina (TUSD)",'Resumo Operacional'!$B$1:$B$1103,0),MATCH('Detalhe Por UC'!$R596,'Resumo Operacional'!$A$1:$P$1,0))*$S596,INDEX('Resumo Operacional'!$A$1:$P$1103,53,MATCH('Detalhe Por UC'!$R596,'Resumo Operacional'!$A$1:$P$1,0))*$S596)</f>
        <v>689.56000000000006</v>
      </c>
      <c r="AR596" s="71">
        <f t="shared" si="348"/>
        <v>-689.56000000000006</v>
      </c>
      <c r="AS596" s="73">
        <f t="shared" si="349"/>
        <v>107.63999999999999</v>
      </c>
      <c r="AT596" s="74">
        <f t="shared" si="350"/>
        <v>107.63999999999999</v>
      </c>
      <c r="AU596" s="74">
        <f t="shared" si="351"/>
        <v>0.8505015654774486</v>
      </c>
      <c r="AV596" s="74">
        <f t="shared" si="352"/>
        <v>197.4743282659436</v>
      </c>
      <c r="AW596" s="74">
        <f t="shared" si="353"/>
        <v>0</v>
      </c>
      <c r="AX596" s="74">
        <f t="shared" si="354"/>
        <v>258.89928571428572</v>
      </c>
      <c r="AY596" s="74">
        <f t="shared" si="355"/>
        <v>197.47</v>
      </c>
      <c r="AZ596" s="43">
        <v>194.17</v>
      </c>
      <c r="BA596" s="43">
        <v>194.17</v>
      </c>
      <c r="BB596" s="43">
        <v>194.17</v>
      </c>
      <c r="BC596" s="73" t="str">
        <f t="shared" si="356"/>
        <v/>
      </c>
      <c r="BD596" s="73">
        <f t="shared" si="357"/>
        <v>366.53928571428571</v>
      </c>
      <c r="BE596" s="73">
        <f t="shared" si="358"/>
        <v>305.11432826594358</v>
      </c>
      <c r="BF596" s="77">
        <f t="shared" si="359"/>
        <v>61.42</v>
      </c>
      <c r="BG596" s="77">
        <f t="shared" si="360"/>
        <v>18.425999999999998</v>
      </c>
      <c r="BH596" s="77">
        <f t="shared" si="361"/>
        <v>258.89928571428572</v>
      </c>
      <c r="BI596" s="78">
        <f t="shared" si="362"/>
        <v>0.24</v>
      </c>
      <c r="BJ596" s="79">
        <f t="shared" si="363"/>
        <v>0.16756730422581873</v>
      </c>
      <c r="BK596" s="80">
        <f t="shared" si="364"/>
        <v>305.11</v>
      </c>
      <c r="BL596" s="80">
        <f t="shared" si="365"/>
        <v>61.429285714285697</v>
      </c>
      <c r="BM596" s="79">
        <f t="shared" si="366"/>
        <v>0.16759263770205879</v>
      </c>
      <c r="BN596" s="81">
        <f t="shared" si="367"/>
        <v>0.76836575875486379</v>
      </c>
      <c r="BO596" s="82">
        <f t="shared" si="368"/>
        <v>197.47</v>
      </c>
      <c r="BP596" s="81">
        <f t="shared" si="369"/>
        <v>0.76836575875486379</v>
      </c>
      <c r="BQ596" s="81">
        <f t="shared" si="370"/>
        <v>0.92525441006451925</v>
      </c>
      <c r="BR596" s="81">
        <f t="shared" si="371"/>
        <v>1.1642788680967595</v>
      </c>
      <c r="BS596" s="82">
        <f t="shared" si="372"/>
        <v>257</v>
      </c>
      <c r="BT596" s="82">
        <f t="shared" si="373"/>
        <v>299.21966910086718</v>
      </c>
      <c r="BU596" s="82">
        <f t="shared" si="374"/>
        <v>258.89928571428572</v>
      </c>
      <c r="BW596" s="82">
        <f>IFERROR(INDEX('Infos Clientes'!$T:$T,MATCH('Detalhe Por UC'!$C596,'Infos Clientes'!B:B,0)),"")</f>
        <v>659.09090909090912</v>
      </c>
      <c r="BX596" s="83">
        <f t="shared" si="375"/>
        <v>0</v>
      </c>
      <c r="BY596" s="84">
        <f t="shared" si="376"/>
        <v>0.20529828770573863</v>
      </c>
      <c r="BZ596" s="85">
        <f>IF(_xlfn.MINIFS('Detalhe Por UC'!R:R,'Detalhe Por UC'!C:C,C596,'Detalhe Por UC'!AD:AD,"&gt;"&amp;0)=0,"",_xlfn.MINIFS('Detalhe Por UC'!R:R,'Detalhe Por UC'!C:C,C596,'Detalhe Por UC'!AD:AD,"&gt;"&amp;0))</f>
        <v>45658</v>
      </c>
      <c r="CA596" s="114">
        <f ca="1">IF(OR(S596&gt;0,AD596&gt;0),IFERROR(
SUMIFS(INDIRECT("'Infos Clientes'!$W"&amp;INDEX('Infos Clientes'!$C:$C,MATCH(C596,'Infos Clientes'!$H:$H,0))&amp;":$CZ"&amp;INDEX('Infos Clientes'!$C:$C,MATCH(C596,'Infos Clientes'!$H:$H,0))),'Infos Clientes'!$W$2:$CZ$2,"&gt;"&amp;$R596-365,'Infos Clientes'!$W$2:$CZ$2,"&lt;="&amp;$R596)/
COUNTIFS(INDIRECT("'Infos Clientes'!$W"&amp;INDEX('Infos Clientes'!$C:$C,MATCH(C596,'Infos Clientes'!$H:$H,0))&amp;":$CZ"&amp;INDEX('Infos Clientes'!$C:$C,MATCH(C596,'Infos Clientes'!$H:$H,0))),"&gt;="&amp;0,'Infos Clientes'!$W$2:$CZ$2,"&gt;"&amp;$R596-365,'Infos Clientes'!$W$2:$CZ$2,"&lt;="&amp;$R596),""),"")</f>
        <v>574</v>
      </c>
      <c r="CB596" s="87">
        <f>VLOOKUP(C596,'Infos Clientes'!B:L,11,0)</f>
        <v>0</v>
      </c>
      <c r="CC596" s="88" t="str">
        <f t="shared" si="377"/>
        <v>A Unidade Consumidora 10/399338-3 economizou R$61,42 na fatura referente à jun/2025  consumindo 257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6" s="40" t="s">
        <v>143</v>
      </c>
      <c r="CE596" s="43"/>
      <c r="CF596" s="115">
        <f t="shared" si="378"/>
        <v>-107.63999999999999</v>
      </c>
    </row>
    <row r="597" spans="1:84" ht="16.2" hidden="1" customHeight="1" x14ac:dyDescent="0.3">
      <c r="A597" s="105" t="str">
        <f>INDEX('Infos Clientes'!$D:$D,MATCH('Detalhe Por UC'!C597,'Infos Clientes'!B:B,0))</f>
        <v>IGREJA DO EVANGELHO QUADRANGULAR</v>
      </c>
      <c r="B597" s="106" t="str">
        <f>INDEX('Infos Clientes'!$F:$F,MATCH('Detalhe Por UC'!C597,'Infos Clientes'!B:B,0))</f>
        <v>62.955.505/0154-31</v>
      </c>
      <c r="C597" s="44" t="s">
        <v>218</v>
      </c>
      <c r="D597" t="s">
        <v>351</v>
      </c>
      <c r="E597" s="1" t="s">
        <v>352</v>
      </c>
      <c r="F597" s="56" t="str">
        <f>INDEX('Infos Clientes'!$I:$I,MATCH('Detalhe Por UC'!C597,'Infos Clientes'!B:B,0))</f>
        <v>BT</v>
      </c>
      <c r="G597" s="56" t="str">
        <f>INDEX('Infos Clientes'!$J:$J,MATCH('Detalhe Por UC'!C597,'Infos Clientes'!B:B,0))</f>
        <v>bifasico</v>
      </c>
      <c r="H597" s="47" t="str">
        <f t="shared" si="342"/>
        <v>GIROSSOL III</v>
      </c>
      <c r="I597" s="58">
        <f>IFERROR(VLOOKUP(C597,'Infos Clientes'!B:E,4,),"")</f>
        <v>319</v>
      </c>
      <c r="J597" s="109">
        <v>0.23725425614394724</v>
      </c>
      <c r="K597" s="59">
        <f>INDEX('Infos Clientes'!$M:$M,MATCH('Detalhe Por UC'!C597,'Infos Clientes'!B:B,0))</f>
        <v>0.25</v>
      </c>
      <c r="L597" s="125">
        <v>0</v>
      </c>
      <c r="M597" s="56">
        <f>INDEX('Infos Clientes'!$N:$N,MATCH('Detalhe Por UC'!C597,'Infos Clientes'!B:B,0))</f>
        <v>0</v>
      </c>
      <c r="N597" s="56">
        <f t="shared" si="343"/>
        <v>0</v>
      </c>
      <c r="O597" s="56">
        <f t="shared" si="344"/>
        <v>9</v>
      </c>
      <c r="P597" s="56">
        <f t="shared" si="379"/>
        <v>0</v>
      </c>
      <c r="Q597" s="61">
        <f>IFERROR(IFERROR(INDEX('Infos Clientes'!$A$2:$V$9884,MATCH($C597,'Infos Clientes'!$B$2:$B$9884,0),MATCH(Q$8,'Infos Clientes'!$A$2:$V$2,0)),"")
+IF(OR(INDEX('Infos Clientes'!$A$2:$V$9884,MATCH($C597,'Infos Clientes'!$B$2:$B$9884,0),MATCH("Tempo de Fidelidade (meses)",'Infos Clientes'!$A$2:$V$2,0))=0,R597&gt;=MAX(R:R)),0,
ROUND((MAX(R:R)-R597)/(365/12),0)),"")</f>
        <v>0</v>
      </c>
      <c r="R597" s="111">
        <v>45809</v>
      </c>
      <c r="S597" s="63">
        <v>0.05</v>
      </c>
      <c r="T597" s="113" t="str">
        <f>IF($H597="GIROSSOL II",AP597/INDEX('Resumo Operacional'!$A$1:$P$1103,17,MATCH('Detalhe Por UC'!$R597,'Resumo Operacional'!$A$1:$P$1,0)),
IF($H597="GIROSSOL II e III",AP597/INDEX('Resumo Operacional'!$A$1:$P$1103,17,MATCH('Detalhe Por UC'!$R597,'Resumo Operacional'!$A$1:$P$1,0)),
""))</f>
        <v/>
      </c>
      <c r="U597" s="113">
        <f>IF($H597="GIROSSOL III",AP597/INDEX('Resumo Operacional'!$A$1:$P$1103,53,MATCH('Detalhe Por UC'!$R597,'Resumo Operacional'!$A$1:$P$1,0)),
IF($H597="GIROSSOL II e III",AP597/INDEX('Resumo Operacional'!$A$1:$P$1103,53,MATCH('Detalhe Por UC'!$R597,'Resumo Operacional'!$A$1:$P$1,0)),
""))</f>
        <v>0</v>
      </c>
      <c r="V597" s="45"/>
      <c r="X597" s="18">
        <v>1.1743440860215053</v>
      </c>
      <c r="Y597" s="18">
        <v>0</v>
      </c>
      <c r="Z597" s="18">
        <v>0</v>
      </c>
      <c r="AA597" s="18"/>
      <c r="AB597" s="18">
        <v>465</v>
      </c>
      <c r="AC597" s="18"/>
      <c r="AD597" s="143">
        <v>0</v>
      </c>
      <c r="AE597" s="35"/>
      <c r="AF597" s="18">
        <v>0</v>
      </c>
      <c r="AG597" s="18">
        <v>0</v>
      </c>
      <c r="AH597" s="48">
        <v>63.11</v>
      </c>
      <c r="AI597" s="18">
        <v>0</v>
      </c>
      <c r="AJ597" s="18">
        <v>0</v>
      </c>
      <c r="AL597" s="146"/>
      <c r="AN597" s="71">
        <f t="shared" si="345"/>
        <v>0</v>
      </c>
      <c r="AO597" s="71">
        <f t="shared" si="346"/>
        <v>0</v>
      </c>
      <c r="AP597" s="71">
        <f t="shared" si="347"/>
        <v>0</v>
      </c>
      <c r="AQ597" s="72">
        <f>IF(OR($H597="GIROSSOL II",$H597="GIROSSOL II e III"),INDEX('Resumo Operacional'!$A$1:$P$1103,MATCH("Energia Injetada prevista total Fatura da Usina (TUSD)",'Resumo Operacional'!$B$1:$B$1103,0),MATCH('Detalhe Por UC'!$R597,'Resumo Operacional'!$A$1:$P$1,0))*$S597,INDEX('Resumo Operacional'!$A$1:$P$1103,53,MATCH('Detalhe Por UC'!$R597,'Resumo Operacional'!$A$1:$P$1,0))*$S597)</f>
        <v>861.95</v>
      </c>
      <c r="AR597" s="71">
        <f t="shared" si="348"/>
        <v>-861.95</v>
      </c>
      <c r="AS597" s="73">
        <f t="shared" si="349"/>
        <v>609.17999999999995</v>
      </c>
      <c r="AT597" s="74">
        <f t="shared" si="350"/>
        <v>609.17999999999995</v>
      </c>
      <c r="AU597" s="74" t="str">
        <f t="shared" si="351"/>
        <v/>
      </c>
      <c r="AV597" s="74">
        <f t="shared" si="352"/>
        <v>0</v>
      </c>
      <c r="AW597" s="74">
        <f t="shared" si="353"/>
        <v>0</v>
      </c>
      <c r="AX597" s="74">
        <f t="shared" si="354"/>
        <v>0</v>
      </c>
      <c r="AY597" s="74" t="str">
        <f t="shared" si="355"/>
        <v/>
      </c>
      <c r="AZ597" s="43" t="s">
        <v>354</v>
      </c>
      <c r="BA597" s="43">
        <v>0</v>
      </c>
      <c r="BC597" s="73" t="str">
        <f t="shared" si="356"/>
        <v/>
      </c>
      <c r="BD597" s="73">
        <f t="shared" si="357"/>
        <v>609.17999999999995</v>
      </c>
      <c r="BE597" s="73">
        <f t="shared" si="358"/>
        <v>609.17999999999995</v>
      </c>
      <c r="BF597" s="77">
        <f t="shared" si="359"/>
        <v>0</v>
      </c>
      <c r="BG597" s="77">
        <f t="shared" si="360"/>
        <v>0</v>
      </c>
      <c r="BH597" s="77">
        <f t="shared" si="361"/>
        <v>0</v>
      </c>
      <c r="BI597" s="78" t="str">
        <f t="shared" si="362"/>
        <v/>
      </c>
      <c r="BJ597" s="79">
        <f t="shared" si="363"/>
        <v>0</v>
      </c>
      <c r="BK597" s="80" t="str">
        <f t="shared" si="364"/>
        <v/>
      </c>
      <c r="BL597" s="80" t="str">
        <f t="shared" si="365"/>
        <v/>
      </c>
      <c r="BM597" s="79" t="str">
        <f t="shared" si="366"/>
        <v/>
      </c>
      <c r="BN597" s="81" t="str">
        <f t="shared" si="367"/>
        <v/>
      </c>
      <c r="BO597" s="82" t="str">
        <f t="shared" si="368"/>
        <v/>
      </c>
      <c r="BP597" s="81" t="str">
        <f t="shared" si="369"/>
        <v/>
      </c>
      <c r="BQ597" s="81" t="str">
        <f t="shared" si="370"/>
        <v/>
      </c>
      <c r="BR597" s="81" t="str">
        <f t="shared" si="371"/>
        <v/>
      </c>
      <c r="BS597" s="82">
        <f t="shared" si="372"/>
        <v>0</v>
      </c>
      <c r="BT597" s="82" t="str">
        <f t="shared" si="373"/>
        <v/>
      </c>
      <c r="BU597" s="82">
        <f t="shared" si="374"/>
        <v>0</v>
      </c>
      <c r="BW597" s="82">
        <f>IFERROR(INDEX('Infos Clientes'!$T:$T,MATCH('Detalhe Por UC'!$C597,'Infos Clientes'!B:B,0)),"")</f>
        <v>806.81818181818187</v>
      </c>
      <c r="BX597" s="83">
        <f t="shared" si="375"/>
        <v>0</v>
      </c>
      <c r="BY597" s="84" t="str">
        <f t="shared" si="376"/>
        <v/>
      </c>
      <c r="BZ597" s="85">
        <f>IF(_xlfn.MINIFS('Detalhe Por UC'!R:R,'Detalhe Por UC'!C:C,C597,'Detalhe Por UC'!AD:AD,"&gt;"&amp;0)=0,"",_xlfn.MINIFS('Detalhe Por UC'!R:R,'Detalhe Por UC'!C:C,C597,'Detalhe Por UC'!AD:AD,"&gt;"&amp;0))</f>
        <v>45658</v>
      </c>
      <c r="CA597" s="114">
        <f ca="1">IF(OR(S597&gt;0,AD597&gt;0),IFERROR(
SUMIFS(INDIRECT("'Infos Clientes'!$W"&amp;INDEX('Infos Clientes'!$C:$C,MATCH(C597,'Infos Clientes'!$H:$H,0))&amp;":$CZ"&amp;INDEX('Infos Clientes'!$C:$C,MATCH(C597,'Infos Clientes'!$H:$H,0))),'Infos Clientes'!$W$2:$CZ$2,"&gt;"&amp;$R597-365,'Infos Clientes'!$W$2:$CZ$2,"&lt;="&amp;$R597)/
COUNTIFS(INDIRECT("'Infos Clientes'!$W"&amp;INDEX('Infos Clientes'!$C:$C,MATCH(C597,'Infos Clientes'!$H:$H,0))&amp;":$CZ"&amp;INDEX('Infos Clientes'!$C:$C,MATCH(C597,'Infos Clientes'!$H:$H,0))),"&gt;="&amp;0,'Infos Clientes'!$W$2:$CZ$2,"&gt;"&amp;$R597-365,'Infos Clientes'!$W$2:$CZ$2,"&lt;="&amp;$R597),""),"")</f>
        <v>759.41666666666663</v>
      </c>
      <c r="CB597" s="87">
        <f>VLOOKUP(C597,'Infos Clientes'!B:L,11,0)</f>
        <v>0</v>
      </c>
      <c r="CC597" s="88" t="str">
        <f t="shared" si="377"/>
        <v>A Unidade Consumidora 10/61344-8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7" s="40"/>
      <c r="CE597" s="43"/>
      <c r="CF597" s="115">
        <f t="shared" si="378"/>
        <v>-609.17999999999995</v>
      </c>
    </row>
    <row r="598" spans="1:84" ht="16.2" hidden="1" customHeight="1" x14ac:dyDescent="0.3">
      <c r="A598" s="105" t="str">
        <f>INDEX('Infos Clientes'!$D:$D,MATCH('Detalhe Por UC'!C598,'Infos Clientes'!B:B,0))</f>
        <v>IGREJA DO EVANGELHO QUADRANGULAR</v>
      </c>
      <c r="B598" s="106" t="str">
        <f>INDEX('Infos Clientes'!$F:$F,MATCH('Detalhe Por UC'!C598,'Infos Clientes'!B:B,0))</f>
        <v>62.955.505/2740-20</v>
      </c>
      <c r="C598" s="44" t="s">
        <v>175</v>
      </c>
      <c r="D598" t="s">
        <v>351</v>
      </c>
      <c r="E598" s="1" t="s">
        <v>352</v>
      </c>
      <c r="F598" s="56" t="str">
        <f>INDEX('Infos Clientes'!$I:$I,MATCH('Detalhe Por UC'!C598,'Infos Clientes'!B:B,0))</f>
        <v>BT</v>
      </c>
      <c r="G598" s="56" t="str">
        <f>INDEX('Infos Clientes'!$J:$J,MATCH('Detalhe Por UC'!C598,'Infos Clientes'!B:B,0))</f>
        <v>trifasico</v>
      </c>
      <c r="H598" s="47" t="str">
        <f t="shared" si="342"/>
        <v>GIROSSOL III</v>
      </c>
      <c r="I598" s="58">
        <f>IFERROR(VLOOKUP(C598,'Infos Clientes'!B:E,4,),"")</f>
        <v>371</v>
      </c>
      <c r="J598" s="109">
        <v>0.23725425614394724</v>
      </c>
      <c r="K598" s="59">
        <f>INDEX('Infos Clientes'!$M:$M,MATCH('Detalhe Por UC'!C598,'Infos Clientes'!B:B,0))</f>
        <v>0.25</v>
      </c>
      <c r="L598" s="125">
        <v>0</v>
      </c>
      <c r="M598" s="56">
        <f>INDEX('Infos Clientes'!$N:$N,MATCH('Detalhe Por UC'!C598,'Infos Clientes'!B:B,0))</f>
        <v>0</v>
      </c>
      <c r="N598" s="56">
        <f t="shared" si="343"/>
        <v>0</v>
      </c>
      <c r="O598" s="56">
        <f t="shared" si="344"/>
        <v>8</v>
      </c>
      <c r="P598" s="56">
        <f t="shared" si="379"/>
        <v>0</v>
      </c>
      <c r="Q598" s="61">
        <f>IFERROR(IFERROR(INDEX('Infos Clientes'!$A$2:$V$9884,MATCH($C598,'Infos Clientes'!$B$2:$B$9884,0),MATCH(Q$8,'Infos Clientes'!$A$2:$V$2,0)),"")
+IF(OR(INDEX('Infos Clientes'!$A$2:$V$9884,MATCH($C598,'Infos Clientes'!$B$2:$B$9884,0),MATCH("Tempo de Fidelidade (meses)",'Infos Clientes'!$A$2:$V$2,0))=0,R598&gt;=MAX(R:R)),0,
ROUND((MAX(R:R)-R598)/(365/12),0)),"")</f>
        <v>0</v>
      </c>
      <c r="R598" s="111">
        <v>45809</v>
      </c>
      <c r="S598" s="63">
        <v>0.01</v>
      </c>
      <c r="T598" s="113" t="str">
        <f>IF($H598="GIROSSOL II",AP598/INDEX('Resumo Operacional'!$A$1:$P$1103,17,MATCH('Detalhe Por UC'!$R598,'Resumo Operacional'!$A$1:$P$1,0)),
IF($H598="GIROSSOL II e III",AP598/INDEX('Resumo Operacional'!$A$1:$P$1103,17,MATCH('Detalhe Por UC'!$R598,'Resumo Operacional'!$A$1:$P$1,0)),
""))</f>
        <v/>
      </c>
      <c r="U598" s="113">
        <f>IF($H598="GIROSSOL III",AP598/INDEX('Resumo Operacional'!$A$1:$P$1103,53,MATCH('Detalhe Por UC'!$R598,'Resumo Operacional'!$A$1:$P$1,0)),
IF($H598="GIROSSOL II e III",AP598/INDEX('Resumo Operacional'!$A$1:$P$1103,53,MATCH('Detalhe Por UC'!$R598,'Resumo Operacional'!$A$1:$P$1,0)),
""))</f>
        <v>0</v>
      </c>
      <c r="V598" s="45"/>
      <c r="X598" s="18">
        <v>1.1682745890220116</v>
      </c>
      <c r="Y598" s="18">
        <v>0</v>
      </c>
      <c r="Z598" s="18">
        <v>1.0112674348089752</v>
      </c>
      <c r="AA598" s="18"/>
      <c r="AB598" s="18">
        <v>148</v>
      </c>
      <c r="AC598" s="18"/>
      <c r="AD598" s="143">
        <v>51</v>
      </c>
      <c r="AE598" s="35"/>
      <c r="AF598" s="18">
        <v>0</v>
      </c>
      <c r="AG598" s="18">
        <v>0</v>
      </c>
      <c r="AH598" s="48">
        <v>31.25</v>
      </c>
      <c r="AI598" s="18">
        <v>0</v>
      </c>
      <c r="AJ598" s="18">
        <v>0</v>
      </c>
      <c r="AL598" s="146"/>
      <c r="AN598" s="71">
        <f t="shared" si="345"/>
        <v>-51</v>
      </c>
      <c r="AO598" s="71">
        <f t="shared" si="346"/>
        <v>0</v>
      </c>
      <c r="AP598" s="71">
        <f t="shared" si="347"/>
        <v>0</v>
      </c>
      <c r="AQ598" s="72">
        <f>IF(OR($H598="GIROSSOL II",$H598="GIROSSOL II e III"),INDEX('Resumo Operacional'!$A$1:$P$1103,MATCH("Energia Injetada prevista total Fatura da Usina (TUSD)",'Resumo Operacional'!$B$1:$B$1103,0),MATCH('Detalhe Por UC'!$R598,'Resumo Operacional'!$A$1:$P$1,0))*$S598,INDEX('Resumo Operacional'!$A$1:$P$1103,53,MATCH('Detalhe Por UC'!$R598,'Resumo Operacional'!$A$1:$P$1,0))*$S598)</f>
        <v>172.39000000000001</v>
      </c>
      <c r="AR598" s="71">
        <f t="shared" si="348"/>
        <v>-172.39000000000001</v>
      </c>
      <c r="AS598" s="73">
        <f t="shared" si="349"/>
        <v>152.57999999999998</v>
      </c>
      <c r="AT598" s="74">
        <f t="shared" si="350"/>
        <v>152.57999999999998</v>
      </c>
      <c r="AU598" s="74">
        <f t="shared" si="351"/>
        <v>0.85426028059593873</v>
      </c>
      <c r="AV598" s="74">
        <f t="shared" si="352"/>
        <v>39.33833652183948</v>
      </c>
      <c r="AW598" s="74">
        <f t="shared" si="353"/>
        <v>0</v>
      </c>
      <c r="AX598" s="74">
        <f t="shared" si="354"/>
        <v>51.574639175257737</v>
      </c>
      <c r="AY598" s="74">
        <f t="shared" si="355"/>
        <v>39.340000000000003</v>
      </c>
      <c r="AZ598" s="43">
        <v>38.68</v>
      </c>
      <c r="BA598" s="43">
        <v>38.68</v>
      </c>
      <c r="BB598" s="43">
        <v>38.68</v>
      </c>
      <c r="BC598" s="73" t="str">
        <f t="shared" si="356"/>
        <v/>
      </c>
      <c r="BD598" s="73">
        <f t="shared" si="357"/>
        <v>204.15463917525773</v>
      </c>
      <c r="BE598" s="73">
        <f t="shared" si="358"/>
        <v>191.91833652183948</v>
      </c>
      <c r="BF598" s="77">
        <f t="shared" si="359"/>
        <v>12.24</v>
      </c>
      <c r="BG598" s="77">
        <f t="shared" si="360"/>
        <v>3.6719999999999997</v>
      </c>
      <c r="BH598" s="77">
        <f t="shared" si="361"/>
        <v>51.57463917525773</v>
      </c>
      <c r="BI598" s="78">
        <f t="shared" si="362"/>
        <v>0.24</v>
      </c>
      <c r="BJ598" s="79">
        <f t="shared" si="363"/>
        <v>5.9954552340554461E-2</v>
      </c>
      <c r="BK598" s="80">
        <f t="shared" si="364"/>
        <v>191.92</v>
      </c>
      <c r="BL598" s="80">
        <f t="shared" si="365"/>
        <v>12.23463917525774</v>
      </c>
      <c r="BM598" s="79">
        <f t="shared" si="366"/>
        <v>5.9928293692874862E-2</v>
      </c>
      <c r="BN598" s="81">
        <f t="shared" si="367"/>
        <v>0.77137254901960794</v>
      </c>
      <c r="BO598" s="82">
        <f t="shared" si="368"/>
        <v>39.340000000000003</v>
      </c>
      <c r="BP598" s="81">
        <f t="shared" si="369"/>
        <v>0.77137254901960794</v>
      </c>
      <c r="BQ598" s="81">
        <f t="shared" si="370"/>
        <v>0.9283797032326444</v>
      </c>
      <c r="BR598" s="81">
        <f t="shared" si="371"/>
        <v>1.1682745890220116</v>
      </c>
      <c r="BS598" s="82">
        <f t="shared" si="372"/>
        <v>51</v>
      </c>
      <c r="BT598" s="82">
        <f t="shared" si="373"/>
        <v>59.582004040122591</v>
      </c>
      <c r="BU598" s="82">
        <f t="shared" si="374"/>
        <v>51.574639175257737</v>
      </c>
      <c r="BW598" s="82">
        <f>IFERROR(INDEX('Infos Clientes'!$T:$T,MATCH('Detalhe Por UC'!$C598,'Infos Clientes'!B:B,0)),"")</f>
        <v>384.90909090909093</v>
      </c>
      <c r="BX598" s="83">
        <f t="shared" si="375"/>
        <v>0</v>
      </c>
      <c r="BY598" s="84">
        <f t="shared" si="376"/>
        <v>0.20534118266681511</v>
      </c>
      <c r="BZ598" s="85">
        <f>IF(_xlfn.MINIFS('Detalhe Por UC'!R:R,'Detalhe Por UC'!C:C,C598,'Detalhe Por UC'!AD:AD,"&gt;"&amp;0)=0,"",_xlfn.MINIFS('Detalhe Por UC'!R:R,'Detalhe Por UC'!C:C,C598,'Detalhe Por UC'!AD:AD,"&gt;"&amp;0))</f>
        <v>45658</v>
      </c>
      <c r="CA598" s="114">
        <f ca="1">IF(OR(S598&gt;0,AD598&gt;0),IFERROR(
SUMIFS(INDIRECT("'Infos Clientes'!$W"&amp;INDEX('Infos Clientes'!$C:$C,MATCH(C598,'Infos Clientes'!$H:$H,0))&amp;":$CZ"&amp;INDEX('Infos Clientes'!$C:$C,MATCH(C598,'Infos Clientes'!$H:$H,0))),'Infos Clientes'!$W$2:$CZ$2,"&gt;"&amp;$R598-365,'Infos Clientes'!$W$2:$CZ$2,"&lt;="&amp;$R598)/
COUNTIFS(INDIRECT("'Infos Clientes'!$W"&amp;INDEX('Infos Clientes'!$C:$C,MATCH(C598,'Infos Clientes'!$H:$H,0))&amp;":$CZ"&amp;INDEX('Infos Clientes'!$C:$C,MATCH(C598,'Infos Clientes'!$H:$H,0))),"&gt;="&amp;0,'Infos Clientes'!$W$2:$CZ$2,"&gt;"&amp;$R598-365,'Infos Clientes'!$W$2:$CZ$2,"&lt;="&amp;$R598),""),"")</f>
        <v>286.75</v>
      </c>
      <c r="CB598" s="87">
        <f>VLOOKUP(C598,'Infos Clientes'!B:L,11,0)</f>
        <v>0</v>
      </c>
      <c r="CC598" s="88" t="str">
        <f t="shared" si="377"/>
        <v>A Unidade Consumidora 10/252817-2 economizou R$12,24 na fatura referente à jun/2025  consumindo 51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8" s="40" t="s">
        <v>177</v>
      </c>
      <c r="CE598" s="43"/>
      <c r="CF598" s="115">
        <f t="shared" si="378"/>
        <v>-152.57999999999998</v>
      </c>
    </row>
    <row r="599" spans="1:84" ht="16.2" hidden="1" customHeight="1" x14ac:dyDescent="0.3">
      <c r="A599" s="105" t="str">
        <f>INDEX('Infos Clientes'!$D:$D,MATCH('Detalhe Por UC'!C599,'Infos Clientes'!B:B,0))</f>
        <v>IGREJA DO EVANGELHO QUADRANGULAR</v>
      </c>
      <c r="B599" s="106" t="str">
        <f>INDEX('Infos Clientes'!$F:$F,MATCH('Detalhe Por UC'!C599,'Infos Clientes'!B:B,0))</f>
        <v>62.955.505/1344-49</v>
      </c>
      <c r="C599" s="44" t="s">
        <v>166</v>
      </c>
      <c r="D599" t="s">
        <v>351</v>
      </c>
      <c r="E599" s="1" t="s">
        <v>352</v>
      </c>
      <c r="F599" s="56" t="str">
        <f>INDEX('Infos Clientes'!$I:$I,MATCH('Detalhe Por UC'!C599,'Infos Clientes'!B:B,0))</f>
        <v>BT</v>
      </c>
      <c r="G599" s="56" t="str">
        <f>INDEX('Infos Clientes'!$J:$J,MATCH('Detalhe Por UC'!C599,'Infos Clientes'!B:B,0))</f>
        <v>bifasico</v>
      </c>
      <c r="H599" s="47" t="str">
        <f t="shared" si="342"/>
        <v>GIROSSOL III</v>
      </c>
      <c r="I599" s="58">
        <f>IFERROR(VLOOKUP(C599,'Infos Clientes'!B:E,4,),"")</f>
        <v>362</v>
      </c>
      <c r="J599" s="109">
        <v>0.23725425614394724</v>
      </c>
      <c r="K599" s="59">
        <f>INDEX('Infos Clientes'!$M:$M,MATCH('Detalhe Por UC'!C599,'Infos Clientes'!B:B,0))</f>
        <v>0.25</v>
      </c>
      <c r="L599" s="125">
        <v>0</v>
      </c>
      <c r="M599" s="56">
        <f>INDEX('Infos Clientes'!$N:$N,MATCH('Detalhe Por UC'!C599,'Infos Clientes'!B:B,0))</f>
        <v>0</v>
      </c>
      <c r="N599" s="56">
        <f t="shared" si="343"/>
        <v>0</v>
      </c>
      <c r="O599" s="56">
        <f t="shared" si="344"/>
        <v>11</v>
      </c>
      <c r="P599" s="56">
        <f t="shared" si="379"/>
        <v>0</v>
      </c>
      <c r="Q599" s="61">
        <f>IFERROR(IFERROR(INDEX('Infos Clientes'!$A$2:$V$9884,MATCH($C599,'Infos Clientes'!$B$2:$B$9884,0),MATCH(Q$8,'Infos Clientes'!$A$2:$V$2,0)),"")
+IF(OR(INDEX('Infos Clientes'!$A$2:$V$9884,MATCH($C599,'Infos Clientes'!$B$2:$B$9884,0),MATCH("Tempo de Fidelidade (meses)",'Infos Clientes'!$A$2:$V$2,0))=0,R599&gt;=MAX(R:R)),0,
ROUND((MAX(R:R)-R599)/(365/12),0)),"")</f>
        <v>0</v>
      </c>
      <c r="R599" s="111">
        <v>45809</v>
      </c>
      <c r="S599" s="63">
        <v>0.01</v>
      </c>
      <c r="T599" s="113" t="str">
        <f>IF($H599="GIROSSOL II",AP599/INDEX('Resumo Operacional'!$A$1:$P$1103,17,MATCH('Detalhe Por UC'!$R599,'Resumo Operacional'!$A$1:$P$1,0)),
IF($H599="GIROSSOL II e III",AP599/INDEX('Resumo Operacional'!$A$1:$P$1103,17,MATCH('Detalhe Por UC'!$R599,'Resumo Operacional'!$A$1:$P$1,0)),
""))</f>
        <v/>
      </c>
      <c r="U599" s="113">
        <f>IF($H599="GIROSSOL III",AP599/INDEX('Resumo Operacional'!$A$1:$P$1103,53,MATCH('Detalhe Por UC'!$R599,'Resumo Operacional'!$A$1:$P$1,0)),
IF($H599="GIROSSOL II e III",AP599/INDEX('Resumo Operacional'!$A$1:$P$1103,53,MATCH('Detalhe Por UC'!$R599,'Resumo Operacional'!$A$1:$P$1,0)),
""))</f>
        <v>-1.9548697720285401E-2</v>
      </c>
      <c r="V599" s="45"/>
      <c r="X599" s="18">
        <v>1.171139990880073</v>
      </c>
      <c r="Y599" s="18">
        <v>0</v>
      </c>
      <c r="Z599" s="18">
        <v>1.0141795665634674</v>
      </c>
      <c r="AA599" s="18"/>
      <c r="AB599" s="18">
        <v>129</v>
      </c>
      <c r="AC599" s="18"/>
      <c r="AD599" s="143">
        <v>95</v>
      </c>
      <c r="AE599" s="35"/>
      <c r="AF599" s="18"/>
      <c r="AG599" s="18"/>
      <c r="AH599" s="48">
        <v>24.67</v>
      </c>
      <c r="AI599" s="18">
        <v>0</v>
      </c>
      <c r="AJ599" s="18">
        <v>0</v>
      </c>
      <c r="AL599" s="146"/>
      <c r="AN599" s="71">
        <f t="shared" si="345"/>
        <v>-432</v>
      </c>
      <c r="AO599" s="71">
        <f t="shared" si="346"/>
        <v>0</v>
      </c>
      <c r="AP599" s="71">
        <f t="shared" si="347"/>
        <v>-337</v>
      </c>
      <c r="AQ599" s="72">
        <f>IF(OR($H599="GIROSSOL II",$H599="GIROSSOL II e III"),INDEX('Resumo Operacional'!$A$1:$P$1103,MATCH("Energia Injetada prevista total Fatura da Usina (TUSD)",'Resumo Operacional'!$B$1:$B$1103,0),MATCH('Detalhe Por UC'!$R599,'Resumo Operacional'!$A$1:$P$1,0))*$S599,INDEX('Resumo Operacional'!$A$1:$P$1103,53,MATCH('Detalhe Por UC'!$R599,'Resumo Operacional'!$A$1:$P$1,0))*$S599)</f>
        <v>172.39000000000001</v>
      </c>
      <c r="AR599" s="71">
        <f t="shared" si="348"/>
        <v>-509.39</v>
      </c>
      <c r="AS599" s="73">
        <f t="shared" si="349"/>
        <v>79.40000000000002</v>
      </c>
      <c r="AT599" s="74">
        <f t="shared" si="350"/>
        <v>79.40000000000002</v>
      </c>
      <c r="AU599" s="74">
        <f t="shared" si="351"/>
        <v>0.8572191422468618</v>
      </c>
      <c r="AV599" s="74">
        <f t="shared" si="352"/>
        <v>73.488309050695804</v>
      </c>
      <c r="AW599" s="74">
        <f t="shared" si="353"/>
        <v>-149.23000000000002</v>
      </c>
      <c r="AX599" s="74">
        <f t="shared" si="354"/>
        <v>-52.882941176470609</v>
      </c>
      <c r="AY599" s="74">
        <f t="shared" si="355"/>
        <v>-75.739999999999995</v>
      </c>
      <c r="AZ599" s="43">
        <v>72.260000000000005</v>
      </c>
      <c r="BA599" s="43">
        <v>72.260000000000005</v>
      </c>
      <c r="BB599" s="43">
        <v>72.260000000000005</v>
      </c>
      <c r="BC599" s="73" t="str">
        <f t="shared" si="356"/>
        <v/>
      </c>
      <c r="BD599" s="73">
        <f t="shared" si="357"/>
        <v>175.74705882352941</v>
      </c>
      <c r="BE599" s="73">
        <f t="shared" si="358"/>
        <v>152.88830905069582</v>
      </c>
      <c r="BF599" s="77">
        <f t="shared" si="359"/>
        <v>22.86</v>
      </c>
      <c r="BG599" s="77">
        <f t="shared" si="360"/>
        <v>6.8579999999999997</v>
      </c>
      <c r="BH599" s="77">
        <f t="shared" si="361"/>
        <v>96.347058823529409</v>
      </c>
      <c r="BI599" s="78">
        <f t="shared" si="362"/>
        <v>-0.43</v>
      </c>
      <c r="BJ599" s="79">
        <f t="shared" si="363"/>
        <v>0.13007330053218194</v>
      </c>
      <c r="BK599" s="80">
        <f t="shared" si="364"/>
        <v>3.660000000000025</v>
      </c>
      <c r="BL599" s="80">
        <f t="shared" si="365"/>
        <v>172.08705882352939</v>
      </c>
      <c r="BM599" s="79">
        <f t="shared" si="366"/>
        <v>0.97917461592529353</v>
      </c>
      <c r="BN599" s="81">
        <f t="shared" si="367"/>
        <v>-0.79726315789473678</v>
      </c>
      <c r="BO599" s="82">
        <f t="shared" si="368"/>
        <v>-75.739999999999995</v>
      </c>
      <c r="BP599" s="81">
        <f t="shared" si="369"/>
        <v>-0.79726315789473678</v>
      </c>
      <c r="BQ599" s="81">
        <f t="shared" si="370"/>
        <v>-0.64030273357813117</v>
      </c>
      <c r="BR599" s="81">
        <f t="shared" si="371"/>
        <v>1.171139990880073</v>
      </c>
      <c r="BS599" s="82">
        <f t="shared" si="372"/>
        <v>95</v>
      </c>
      <c r="BT599" s="82">
        <f t="shared" si="373"/>
        <v>111.25829913360694</v>
      </c>
      <c r="BU599" s="82">
        <f t="shared" si="374"/>
        <v>96.347058823529409</v>
      </c>
      <c r="BW599" s="82">
        <f>IFERROR(INDEX('Infos Clientes'!$T:$T,MATCH('Detalhe Por UC'!$C599,'Infos Clientes'!B:B,0)),"")</f>
        <v>140.81818181818181</v>
      </c>
      <c r="BX599" s="83">
        <f t="shared" si="375"/>
        <v>0</v>
      </c>
      <c r="BY599" s="84">
        <f t="shared" si="376"/>
        <v>1.5467345821714829</v>
      </c>
      <c r="BZ599" s="85">
        <f>IF(_xlfn.MINIFS('Detalhe Por UC'!R:R,'Detalhe Por UC'!C:C,C599,'Detalhe Por UC'!AD:AD,"&gt;"&amp;0)=0,"",_xlfn.MINIFS('Detalhe Por UC'!R:R,'Detalhe Por UC'!C:C,C599,'Detalhe Por UC'!AD:AD,"&gt;"&amp;0))</f>
        <v>45658</v>
      </c>
      <c r="CA599" s="114">
        <f ca="1">IF(OR(S599&gt;0,AD599&gt;0),IFERROR(
SUMIFS(INDIRECT("'Infos Clientes'!$W"&amp;INDEX('Infos Clientes'!$C:$C,MATCH(C599,'Infos Clientes'!$H:$H,0))&amp;":$CZ"&amp;INDEX('Infos Clientes'!$C:$C,MATCH(C599,'Infos Clientes'!$H:$H,0))),'Infos Clientes'!$W$2:$CZ$2,"&gt;"&amp;$R599-365,'Infos Clientes'!$W$2:$CZ$2,"&lt;="&amp;$R599)/
COUNTIFS(INDIRECT("'Infos Clientes'!$W"&amp;INDEX('Infos Clientes'!$C:$C,MATCH(C599,'Infos Clientes'!$H:$H,0))&amp;":$CZ"&amp;INDEX('Infos Clientes'!$C:$C,MATCH(C599,'Infos Clientes'!$H:$H,0))),"&gt;="&amp;0,'Infos Clientes'!$W$2:$CZ$2,"&gt;"&amp;$R599-365,'Infos Clientes'!$W$2:$CZ$2,"&lt;="&amp;$R599),""),"")</f>
        <v>87.083333333333329</v>
      </c>
      <c r="CB599" s="87">
        <f>VLOOKUP(C599,'Infos Clientes'!B:L,11,0)</f>
        <v>0</v>
      </c>
      <c r="CC599" s="88" t="str">
        <f t="shared" si="377"/>
        <v>A Unidade Consumidora 10/175073-6 economizou R$22,86 na fatura referente à jun/2025  consumindo 95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599" s="40" t="s">
        <v>83</v>
      </c>
      <c r="CE599" s="43"/>
      <c r="CF599" s="115">
        <f t="shared" si="378"/>
        <v>-79.40000000000002</v>
      </c>
    </row>
    <row r="600" spans="1:84" ht="16.2" hidden="1" customHeight="1" x14ac:dyDescent="0.3">
      <c r="A600" s="105" t="str">
        <f>INDEX('Infos Clientes'!$D:$D,MATCH('Detalhe Por UC'!C600,'Infos Clientes'!B:B,0))</f>
        <v>IGREJA DO EVANGELHO QUADRANGULAR</v>
      </c>
      <c r="B600" s="106" t="str">
        <f>INDEX('Infos Clientes'!$F:$F,MATCH('Detalhe Por UC'!C600,'Infos Clientes'!B:B,0))</f>
        <v>62.955.505/0159-46</v>
      </c>
      <c r="C600" s="44" t="s">
        <v>231</v>
      </c>
      <c r="D600" t="s">
        <v>351</v>
      </c>
      <c r="E600" s="1" t="s">
        <v>352</v>
      </c>
      <c r="F600" s="56" t="str">
        <f>INDEX('Infos Clientes'!$I:$I,MATCH('Detalhe Por UC'!C600,'Infos Clientes'!B:B,0))</f>
        <v>BT</v>
      </c>
      <c r="G600" s="56" t="str">
        <f>INDEX('Infos Clientes'!$J:$J,MATCH('Detalhe Por UC'!C600,'Infos Clientes'!B:B,0))</f>
        <v>trifasico</v>
      </c>
      <c r="H600" s="47" t="str">
        <f t="shared" si="342"/>
        <v>GIROSSOL III</v>
      </c>
      <c r="I600" s="58">
        <f>IFERROR(VLOOKUP(C600,'Infos Clientes'!B:E,4,),"")</f>
        <v>302</v>
      </c>
      <c r="J600" s="109">
        <v>0.23725425614394724</v>
      </c>
      <c r="K600" s="59">
        <f>INDEX('Infos Clientes'!$M:$M,MATCH('Detalhe Por UC'!C600,'Infos Clientes'!B:B,0))</f>
        <v>0.25</v>
      </c>
      <c r="L600" s="125">
        <v>0</v>
      </c>
      <c r="M600" s="56">
        <f>INDEX('Infos Clientes'!$N:$N,MATCH('Detalhe Por UC'!C600,'Infos Clientes'!B:B,0))</f>
        <v>0</v>
      </c>
      <c r="N600" s="56">
        <f t="shared" si="343"/>
        <v>0</v>
      </c>
      <c r="O600" s="56">
        <f t="shared" si="344"/>
        <v>9</v>
      </c>
      <c r="P600" s="56">
        <f t="shared" si="379"/>
        <v>0</v>
      </c>
      <c r="Q600" s="61">
        <f>IFERROR(IFERROR(INDEX('Infos Clientes'!$A$2:$V$9884,MATCH($C600,'Infos Clientes'!$B$2:$B$9884,0),MATCH(Q$8,'Infos Clientes'!$A$2:$V$2,0)),"")
+IF(OR(INDEX('Infos Clientes'!$A$2:$V$9884,MATCH($C600,'Infos Clientes'!$B$2:$B$9884,0),MATCH("Tempo de Fidelidade (meses)",'Infos Clientes'!$A$2:$V$2,0))=0,R600&gt;=MAX(R:R)),0,
ROUND((MAX(R:R)-R600)/(365/12),0)),"")</f>
        <v>0</v>
      </c>
      <c r="R600" s="111">
        <v>45809</v>
      </c>
      <c r="S600" s="63">
        <v>0.03</v>
      </c>
      <c r="T600" s="113" t="str">
        <f>IF($H600="GIROSSOL II",AP600/INDEX('Resumo Operacional'!$A$1:$P$1103,17,MATCH('Detalhe Por UC'!$R600,'Resumo Operacional'!$A$1:$P$1,0)),
IF($H600="GIROSSOL II e III",AP600/INDEX('Resumo Operacional'!$A$1:$P$1103,17,MATCH('Detalhe Por UC'!$R600,'Resumo Operacional'!$A$1:$P$1,0)),
""))</f>
        <v/>
      </c>
      <c r="U600" s="113">
        <f>IF($H600="GIROSSOL III",AP600/INDEX('Resumo Operacional'!$A$1:$P$1103,53,MATCH('Detalhe Por UC'!$R600,'Resumo Operacional'!$A$1:$P$1,0)),
IF($H600="GIROSSOL II e III",AP600/INDEX('Resumo Operacional'!$A$1:$P$1103,53,MATCH('Detalhe Por UC'!$R600,'Resumo Operacional'!$A$1:$P$1,0)),
""))</f>
        <v>0</v>
      </c>
      <c r="V600" s="45"/>
      <c r="X600" s="18">
        <v>1.167958757062147</v>
      </c>
      <c r="Y600" s="18">
        <v>0</v>
      </c>
      <c r="Z600" s="18">
        <v>1.0110689921935438</v>
      </c>
      <c r="AA600" s="18"/>
      <c r="AB600" s="18">
        <v>300</v>
      </c>
      <c r="AC600" s="18"/>
      <c r="AD600" s="143">
        <v>241</v>
      </c>
      <c r="AE600" s="35"/>
      <c r="AF600" s="18">
        <v>44</v>
      </c>
      <c r="AG600" s="18">
        <v>0</v>
      </c>
      <c r="AH600" s="48">
        <v>30.83</v>
      </c>
      <c r="AI600" s="18">
        <v>0</v>
      </c>
      <c r="AJ600" s="18">
        <v>0</v>
      </c>
      <c r="AL600" s="146"/>
      <c r="AN600" s="71">
        <f t="shared" si="345"/>
        <v>-241</v>
      </c>
      <c r="AO600" s="71">
        <f t="shared" si="346"/>
        <v>0</v>
      </c>
      <c r="AP600" s="71">
        <f t="shared" si="347"/>
        <v>0</v>
      </c>
      <c r="AQ600" s="72">
        <f>IF(OR($H600="GIROSSOL II",$H600="GIROSSOL II e III"),INDEX('Resumo Operacional'!$A$1:$P$1103,MATCH("Energia Injetada prevista total Fatura da Usina (TUSD)",'Resumo Operacional'!$B$1:$B$1103,0),MATCH('Detalhe Por UC'!$R600,'Resumo Operacional'!$A$1:$P$1,0))*$S600,INDEX('Resumo Operacional'!$A$1:$P$1103,53,MATCH('Detalhe Por UC'!$R600,'Resumo Operacional'!$A$1:$P$1,0))*$S600)</f>
        <v>517.16999999999996</v>
      </c>
      <c r="AR600" s="71">
        <f t="shared" si="348"/>
        <v>-517.16999999999996</v>
      </c>
      <c r="AS600" s="73">
        <f t="shared" si="349"/>
        <v>137.55000000000001</v>
      </c>
      <c r="AT600" s="74">
        <f t="shared" si="350"/>
        <v>137.55000000000001</v>
      </c>
      <c r="AU600" s="74">
        <f t="shared" si="351"/>
        <v>0.85417922732494067</v>
      </c>
      <c r="AV600" s="74">
        <f t="shared" si="352"/>
        <v>185.85644550024946</v>
      </c>
      <c r="AW600" s="74">
        <f t="shared" si="353"/>
        <v>0</v>
      </c>
      <c r="AX600" s="74">
        <f t="shared" si="354"/>
        <v>243.66762711864408</v>
      </c>
      <c r="AY600" s="74">
        <f t="shared" si="355"/>
        <v>185.86</v>
      </c>
      <c r="AZ600" s="43">
        <v>182.75</v>
      </c>
      <c r="BA600" s="43">
        <v>182.75</v>
      </c>
      <c r="BB600" s="43">
        <v>182.75</v>
      </c>
      <c r="BC600" s="73" t="str">
        <f t="shared" si="356"/>
        <v/>
      </c>
      <c r="BD600" s="73">
        <f t="shared" si="357"/>
        <v>381.21762711864409</v>
      </c>
      <c r="BE600" s="73">
        <f t="shared" si="358"/>
        <v>323.40644550024945</v>
      </c>
      <c r="BF600" s="77">
        <f t="shared" si="359"/>
        <v>57.81</v>
      </c>
      <c r="BG600" s="77">
        <f t="shared" si="360"/>
        <v>17.343</v>
      </c>
      <c r="BH600" s="77">
        <f t="shared" si="361"/>
        <v>243.66762711864408</v>
      </c>
      <c r="BI600" s="78">
        <f t="shared" si="362"/>
        <v>0.24</v>
      </c>
      <c r="BJ600" s="79">
        <f t="shared" si="363"/>
        <v>0.15164566349396047</v>
      </c>
      <c r="BK600" s="80">
        <f t="shared" si="364"/>
        <v>323.41000000000003</v>
      </c>
      <c r="BL600" s="80">
        <f t="shared" si="365"/>
        <v>57.807627118644064</v>
      </c>
      <c r="BM600" s="79">
        <f t="shared" si="366"/>
        <v>0.15163943901432694</v>
      </c>
      <c r="BN600" s="81">
        <f t="shared" si="367"/>
        <v>0.77120331950207477</v>
      </c>
      <c r="BO600" s="82">
        <f t="shared" si="368"/>
        <v>185.86</v>
      </c>
      <c r="BP600" s="81">
        <f t="shared" si="369"/>
        <v>0.77120331950207477</v>
      </c>
      <c r="BQ600" s="81">
        <f t="shared" si="370"/>
        <v>0.92809308437067795</v>
      </c>
      <c r="BR600" s="81">
        <f t="shared" si="371"/>
        <v>1.167958757062147</v>
      </c>
      <c r="BS600" s="82">
        <f t="shared" si="372"/>
        <v>241</v>
      </c>
      <c r="BT600" s="82">
        <f t="shared" si="373"/>
        <v>281.47806045197746</v>
      </c>
      <c r="BU600" s="82">
        <f t="shared" si="374"/>
        <v>243.66762711864408</v>
      </c>
      <c r="BW600" s="82">
        <f>IFERROR(INDEX('Infos Clientes'!$T:$T,MATCH('Detalhe Por UC'!$C600,'Infos Clientes'!B:B,0)),"")</f>
        <v>461.45454545454544</v>
      </c>
      <c r="BX600" s="83">
        <f t="shared" si="375"/>
        <v>0</v>
      </c>
      <c r="BY600" s="84">
        <f t="shared" si="376"/>
        <v>0.20537169762297167</v>
      </c>
      <c r="BZ600" s="85">
        <f>IF(_xlfn.MINIFS('Detalhe Por UC'!R:R,'Detalhe Por UC'!C:C,C600,'Detalhe Por UC'!AD:AD,"&gt;"&amp;0)=0,"",_xlfn.MINIFS('Detalhe Por UC'!R:R,'Detalhe Por UC'!C:C,C600,'Detalhe Por UC'!AD:AD,"&gt;"&amp;0))</f>
        <v>45658</v>
      </c>
      <c r="CA600" s="114">
        <f ca="1">IF(OR(S600&gt;0,AD600&gt;0),IFERROR(
SUMIFS(INDIRECT("'Infos Clientes'!$W"&amp;INDEX('Infos Clientes'!$C:$C,MATCH(C600,'Infos Clientes'!$H:$H,0))&amp;":$CZ"&amp;INDEX('Infos Clientes'!$C:$C,MATCH(C600,'Infos Clientes'!$H:$H,0))),'Infos Clientes'!$W$2:$CZ$2,"&gt;"&amp;$R600-365,'Infos Clientes'!$W$2:$CZ$2,"&lt;="&amp;$R600)/
COUNTIFS(INDIRECT("'Infos Clientes'!$W"&amp;INDEX('Infos Clientes'!$C:$C,MATCH(C600,'Infos Clientes'!$H:$H,0))&amp;":$CZ"&amp;INDEX('Infos Clientes'!$C:$C,MATCH(C600,'Infos Clientes'!$H:$H,0))),"&gt;="&amp;0,'Infos Clientes'!$W$2:$CZ$2,"&gt;"&amp;$R600-365,'Infos Clientes'!$W$2:$CZ$2,"&lt;="&amp;$R600),""),"")</f>
        <v>432.66666666666669</v>
      </c>
      <c r="CB600" s="87">
        <f>VLOOKUP(C600,'Infos Clientes'!B:L,11,0)</f>
        <v>0</v>
      </c>
      <c r="CC600" s="88" t="str">
        <f t="shared" si="377"/>
        <v>A Unidade Consumidora 10/81222-2 economizou R$57,81 na fatura referente à jun/2025  consumindo 241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0" s="40" t="s">
        <v>233</v>
      </c>
      <c r="CE600" s="43"/>
      <c r="CF600" s="115">
        <f t="shared" si="378"/>
        <v>-137.55000000000001</v>
      </c>
    </row>
    <row r="601" spans="1:84" ht="16.2" hidden="1" customHeight="1" x14ac:dyDescent="0.3">
      <c r="A601" s="105" t="str">
        <f>INDEX('Infos Clientes'!$D:$D,MATCH('Detalhe Por UC'!C601,'Infos Clientes'!B:B,0))</f>
        <v>IGREJA DO EVANGELHO QUADRANGULAR</v>
      </c>
      <c r="B601" s="106" t="str">
        <f>INDEX('Infos Clientes'!$F:$F,MATCH('Detalhe Por UC'!C601,'Infos Clientes'!B:B,0))</f>
        <v>62.955.505/0161-60</v>
      </c>
      <c r="C601" s="44" t="s">
        <v>163</v>
      </c>
      <c r="D601" t="s">
        <v>351</v>
      </c>
      <c r="E601" s="1" t="s">
        <v>352</v>
      </c>
      <c r="F601" s="56" t="str">
        <f>INDEX('Infos Clientes'!$I:$I,MATCH('Detalhe Por UC'!C601,'Infos Clientes'!B:B,0))</f>
        <v>BT</v>
      </c>
      <c r="G601" s="56" t="str">
        <f>INDEX('Infos Clientes'!$J:$J,MATCH('Detalhe Por UC'!C601,'Infos Clientes'!B:B,0))</f>
        <v>trifasico</v>
      </c>
      <c r="H601" s="47" t="str">
        <f t="shared" si="342"/>
        <v>GIROSSOL III</v>
      </c>
      <c r="I601" s="58">
        <f>IFERROR(VLOOKUP(C601,'Infos Clientes'!B:E,4,),"")</f>
        <v>302</v>
      </c>
      <c r="J601" s="109">
        <v>0.23725425614394724</v>
      </c>
      <c r="K601" s="59">
        <f>INDEX('Infos Clientes'!$M:$M,MATCH('Detalhe Por UC'!C601,'Infos Clientes'!B:B,0))</f>
        <v>0.25</v>
      </c>
      <c r="L601" s="125">
        <v>0</v>
      </c>
      <c r="M601" s="56">
        <f>INDEX('Infos Clientes'!$N:$N,MATCH('Detalhe Por UC'!C601,'Infos Clientes'!B:B,0))</f>
        <v>0</v>
      </c>
      <c r="N601" s="56">
        <f t="shared" si="343"/>
        <v>0</v>
      </c>
      <c r="O601" s="56">
        <f t="shared" si="344"/>
        <v>9</v>
      </c>
      <c r="P601" s="56">
        <f t="shared" si="379"/>
        <v>0</v>
      </c>
      <c r="Q601" s="61">
        <f>IFERROR(IFERROR(INDEX('Infos Clientes'!$A$2:$V$9884,MATCH($C601,'Infos Clientes'!$B$2:$B$9884,0),MATCH(Q$8,'Infos Clientes'!$A$2:$V$2,0)),"")
+IF(OR(INDEX('Infos Clientes'!$A$2:$V$9884,MATCH($C601,'Infos Clientes'!$B$2:$B$9884,0),MATCH("Tempo de Fidelidade (meses)",'Infos Clientes'!$A$2:$V$2,0))=0,R601&gt;=MAX(R:R)),0,
ROUND((MAX(R:R)-R601)/(365/12),0)),"")</f>
        <v>0</v>
      </c>
      <c r="R601" s="111">
        <v>45809</v>
      </c>
      <c r="S601" s="63">
        <v>0.02</v>
      </c>
      <c r="T601" s="113" t="str">
        <f>IF($H601="GIROSSOL II",AP601/INDEX('Resumo Operacional'!$A$1:$P$1103,17,MATCH('Detalhe Por UC'!$R601,'Resumo Operacional'!$A$1:$P$1,0)),
IF($H601="GIROSSOL II e III",AP601/INDEX('Resumo Operacional'!$A$1:$P$1103,17,MATCH('Detalhe Por UC'!$R601,'Resumo Operacional'!$A$1:$P$1,0)),
""))</f>
        <v/>
      </c>
      <c r="U601" s="113">
        <f>IF($H601="GIROSSOL III",AP601/INDEX('Resumo Operacional'!$A$1:$P$1103,53,MATCH('Detalhe Por UC'!$R601,'Resumo Operacional'!$A$1:$P$1,0)),
IF($H601="GIROSSOL II e III",AP601/INDEX('Resumo Operacional'!$A$1:$P$1103,53,MATCH('Detalhe Por UC'!$R601,'Resumo Operacional'!$A$1:$P$1,0)),
""))</f>
        <v>9.1652648065433037E-3</v>
      </c>
      <c r="V601" s="45"/>
      <c r="X601" s="18">
        <v>1.1602515514592935</v>
      </c>
      <c r="Y601" s="18">
        <v>0</v>
      </c>
      <c r="Z601" s="18">
        <v>1.0033185556787028</v>
      </c>
      <c r="AA601" s="18"/>
      <c r="AB601" s="18">
        <v>375</v>
      </c>
      <c r="AC601" s="18"/>
      <c r="AD601" s="143">
        <v>158</v>
      </c>
      <c r="AE601" s="35"/>
      <c r="AF601" s="18">
        <v>0</v>
      </c>
      <c r="AG601" s="18">
        <v>0</v>
      </c>
      <c r="AH601" s="48">
        <v>64.8</v>
      </c>
      <c r="AI601" s="18">
        <v>0</v>
      </c>
      <c r="AJ601" s="18">
        <v>0</v>
      </c>
      <c r="AL601" s="146"/>
      <c r="AN601" s="71">
        <f t="shared" si="345"/>
        <v>0</v>
      </c>
      <c r="AO601" s="71">
        <f t="shared" si="346"/>
        <v>0</v>
      </c>
      <c r="AP601" s="71">
        <f t="shared" si="347"/>
        <v>158</v>
      </c>
      <c r="AQ601" s="72">
        <f>IF(OR($H601="GIROSSOL II",$H601="GIROSSOL II e III"),INDEX('Resumo Operacional'!$A$1:$P$1103,MATCH("Energia Injetada prevista total Fatura da Usina (TUSD)",'Resumo Operacional'!$B$1:$B$1103,0),MATCH('Detalhe Por UC'!$R601,'Resumo Operacional'!$A$1:$P$1,0))*$S601,INDEX('Resumo Operacional'!$A$1:$P$1103,53,MATCH('Detalhe Por UC'!$R601,'Resumo Operacional'!$A$1:$P$1,0))*$S601)</f>
        <v>344.78000000000003</v>
      </c>
      <c r="AR601" s="71">
        <f t="shared" si="348"/>
        <v>-186.78000000000003</v>
      </c>
      <c r="AS601" s="73">
        <f t="shared" si="349"/>
        <v>341.37</v>
      </c>
      <c r="AT601" s="74">
        <f t="shared" si="350"/>
        <v>341.37</v>
      </c>
      <c r="AU601" s="74">
        <f t="shared" si="351"/>
        <v>0.84638555989811204</v>
      </c>
      <c r="AV601" s="74">
        <f t="shared" si="352"/>
        <v>120.91375937596575</v>
      </c>
      <c r="AW601" s="74">
        <f t="shared" si="353"/>
        <v>0</v>
      </c>
      <c r="AX601" s="74">
        <f t="shared" si="354"/>
        <v>158.52433179723505</v>
      </c>
      <c r="AY601" s="74">
        <f t="shared" si="355"/>
        <v>120.91</v>
      </c>
      <c r="AZ601" s="43">
        <v>118.89</v>
      </c>
      <c r="BA601" s="43">
        <v>118.89</v>
      </c>
      <c r="BB601" s="43">
        <v>118.89</v>
      </c>
      <c r="BC601" s="73" t="str">
        <f t="shared" si="356"/>
        <v/>
      </c>
      <c r="BD601" s="73">
        <f t="shared" si="357"/>
        <v>499.89433179723505</v>
      </c>
      <c r="BE601" s="73">
        <f t="shared" si="358"/>
        <v>462.28375937596576</v>
      </c>
      <c r="BF601" s="77">
        <f t="shared" si="359"/>
        <v>37.61</v>
      </c>
      <c r="BG601" s="77">
        <f t="shared" si="360"/>
        <v>11.282999999999999</v>
      </c>
      <c r="BH601" s="77">
        <f t="shared" si="361"/>
        <v>158.52433179723505</v>
      </c>
      <c r="BI601" s="78">
        <f t="shared" si="362"/>
        <v>0.24</v>
      </c>
      <c r="BJ601" s="79">
        <f t="shared" si="363"/>
        <v>7.5235900084690707E-2</v>
      </c>
      <c r="BK601" s="80">
        <f t="shared" si="364"/>
        <v>462.28</v>
      </c>
      <c r="BL601" s="80">
        <f t="shared" si="365"/>
        <v>37.614331797235081</v>
      </c>
      <c r="BM601" s="79">
        <f t="shared" si="366"/>
        <v>7.524456551048081E-2</v>
      </c>
      <c r="BN601" s="81">
        <f t="shared" si="367"/>
        <v>0.76525316455696202</v>
      </c>
      <c r="BO601" s="82">
        <f t="shared" si="368"/>
        <v>120.91</v>
      </c>
      <c r="BP601" s="81">
        <f t="shared" si="369"/>
        <v>0.76525316455696202</v>
      </c>
      <c r="BQ601" s="81">
        <f t="shared" si="370"/>
        <v>0.92218616033755274</v>
      </c>
      <c r="BR601" s="81">
        <f t="shared" si="371"/>
        <v>1.1602515514592935</v>
      </c>
      <c r="BS601" s="82">
        <f t="shared" si="372"/>
        <v>158</v>
      </c>
      <c r="BT601" s="82">
        <f t="shared" si="373"/>
        <v>183.31974513056838</v>
      </c>
      <c r="BU601" s="82">
        <f t="shared" si="374"/>
        <v>158.52433179723505</v>
      </c>
      <c r="BW601" s="82">
        <f>IFERROR(INDEX('Infos Clientes'!$T:$T,MATCH('Detalhe Por UC'!$C601,'Infos Clientes'!B:B,0)),"")</f>
        <v>393</v>
      </c>
      <c r="BX601" s="83">
        <f t="shared" si="375"/>
        <v>0</v>
      </c>
      <c r="BY601" s="84">
        <f t="shared" si="376"/>
        <v>0.20518429027077503</v>
      </c>
      <c r="BZ601" s="85">
        <f>IF(_xlfn.MINIFS('Detalhe Por UC'!R:R,'Detalhe Por UC'!C:C,C601,'Detalhe Por UC'!AD:AD,"&gt;"&amp;0)=0,"",_xlfn.MINIFS('Detalhe Por UC'!R:R,'Detalhe Por UC'!C:C,C601,'Detalhe Por UC'!AD:AD,"&gt;"&amp;0))</f>
        <v>45658</v>
      </c>
      <c r="CA601" s="114">
        <f ca="1">IF(OR(S601&gt;0,AD601&gt;0),IFERROR(
SUMIFS(INDIRECT("'Infos Clientes'!$W"&amp;INDEX('Infos Clientes'!$C:$C,MATCH(C601,'Infos Clientes'!$H:$H,0))&amp;":$CZ"&amp;INDEX('Infos Clientes'!$C:$C,MATCH(C601,'Infos Clientes'!$H:$H,0))),'Infos Clientes'!$W$2:$CZ$2,"&gt;"&amp;$R601-365,'Infos Clientes'!$W$2:$CZ$2,"&lt;="&amp;$R601)/
COUNTIFS(INDIRECT("'Infos Clientes'!$W"&amp;INDEX('Infos Clientes'!$C:$C,MATCH(C601,'Infos Clientes'!$H:$H,0))&amp;":$CZ"&amp;INDEX('Infos Clientes'!$C:$C,MATCH(C601,'Infos Clientes'!$H:$H,0))),"&gt;="&amp;0,'Infos Clientes'!$W$2:$CZ$2,"&gt;"&amp;$R601-365,'Infos Clientes'!$W$2:$CZ$2,"&lt;="&amp;$R601),""),"")</f>
        <v>229.33333333333334</v>
      </c>
      <c r="CB601" s="87">
        <f>VLOOKUP(C601,'Infos Clientes'!B:L,11,0)</f>
        <v>0</v>
      </c>
      <c r="CC601" s="88" t="str">
        <f t="shared" si="377"/>
        <v>A Unidade Consumidora 10/1674177-9 economizou R$37,61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1" s="40" t="s">
        <v>165</v>
      </c>
      <c r="CE601" s="43"/>
      <c r="CF601" s="115">
        <f t="shared" si="378"/>
        <v>-341.37</v>
      </c>
    </row>
    <row r="602" spans="1:84" ht="16.2" hidden="1" customHeight="1" x14ac:dyDescent="0.3">
      <c r="A602" s="105" t="str">
        <f>INDEX('Infos Clientes'!$D:$D,MATCH('Detalhe Por UC'!C602,'Infos Clientes'!B:B,0))</f>
        <v>IGREJA DO EVANGELHO QUADRANGULAR</v>
      </c>
      <c r="B602" s="106" t="str">
        <f>INDEX('Infos Clientes'!$F:$F,MATCH('Detalhe Por UC'!C602,'Infos Clientes'!B:B,0))</f>
        <v>62.955.505/1364-92</v>
      </c>
      <c r="C602" s="44" t="s">
        <v>223</v>
      </c>
      <c r="D602" t="s">
        <v>351</v>
      </c>
      <c r="E602" s="1" t="s">
        <v>352</v>
      </c>
      <c r="F602" s="56" t="str">
        <f>INDEX('Infos Clientes'!$I:$I,MATCH('Detalhe Por UC'!C602,'Infos Clientes'!B:B,0))</f>
        <v>BT</v>
      </c>
      <c r="G602" s="56" t="str">
        <f>INDEX('Infos Clientes'!$J:$J,MATCH('Detalhe Por UC'!C602,'Infos Clientes'!B:B,0))</f>
        <v>trifasico</v>
      </c>
      <c r="H602" s="47" t="str">
        <f t="shared" si="342"/>
        <v>GIROSSOL III</v>
      </c>
      <c r="I602" s="58">
        <f>IFERROR(VLOOKUP(C602,'Infos Clientes'!B:E,4,),"")</f>
        <v>319</v>
      </c>
      <c r="J602" s="109">
        <v>0.23725425614394724</v>
      </c>
      <c r="K602" s="59">
        <f>INDEX('Infos Clientes'!$M:$M,MATCH('Detalhe Por UC'!C602,'Infos Clientes'!B:B,0))</f>
        <v>0.25</v>
      </c>
      <c r="L602" s="125">
        <v>0</v>
      </c>
      <c r="M602" s="56">
        <f>INDEX('Infos Clientes'!$N:$N,MATCH('Detalhe Por UC'!C602,'Infos Clientes'!B:B,0))</f>
        <v>0</v>
      </c>
      <c r="N602" s="56">
        <f t="shared" si="343"/>
        <v>0</v>
      </c>
      <c r="O602" s="56">
        <f t="shared" si="344"/>
        <v>9</v>
      </c>
      <c r="P602" s="56">
        <f t="shared" si="379"/>
        <v>0</v>
      </c>
      <c r="Q602" s="61">
        <f>IFERROR(IFERROR(INDEX('Infos Clientes'!$A$2:$V$9884,MATCH($C602,'Infos Clientes'!$B$2:$B$9884,0),MATCH(Q$8,'Infos Clientes'!$A$2:$V$2,0)),"")
+IF(OR(INDEX('Infos Clientes'!$A$2:$V$9884,MATCH($C602,'Infos Clientes'!$B$2:$B$9884,0),MATCH("Tempo de Fidelidade (meses)",'Infos Clientes'!$A$2:$V$2,0))=0,R602&gt;=MAX(R:R)),0,
ROUND((MAX(R:R)-R602)/(365/12),0)),"")</f>
        <v>0</v>
      </c>
      <c r="R602" s="111">
        <v>45809</v>
      </c>
      <c r="S602" s="63">
        <v>0.03</v>
      </c>
      <c r="T602" s="113" t="str">
        <f>IF($H602="GIROSSOL II",AP602/INDEX('Resumo Operacional'!$A$1:$P$1103,17,MATCH('Detalhe Por UC'!$R602,'Resumo Operacional'!$A$1:$P$1,0)),
IF($H602="GIROSSOL II e III",AP602/INDEX('Resumo Operacional'!$A$1:$P$1103,17,MATCH('Detalhe Por UC'!$R602,'Resumo Operacional'!$A$1:$P$1,0)),
""))</f>
        <v/>
      </c>
      <c r="U602" s="113">
        <f>IF($H602="GIROSSOL III",AP602/INDEX('Resumo Operacional'!$A$1:$P$1103,53,MATCH('Detalhe Por UC'!$R602,'Resumo Operacional'!$A$1:$P$1,0)),
IF($H602="GIROSSOL II e III",AP602/INDEX('Resumo Operacional'!$A$1:$P$1103,53,MATCH('Detalhe Por UC'!$R602,'Resumo Operacional'!$A$1:$P$1,0)),
""))</f>
        <v>0</v>
      </c>
      <c r="V602" s="45"/>
      <c r="X602" s="18">
        <v>1.1630199486470472</v>
      </c>
      <c r="Y602" s="18">
        <v>0</v>
      </c>
      <c r="Z602" s="18">
        <v>1.0061265060240965</v>
      </c>
      <c r="AA602" s="18"/>
      <c r="AB602" s="18">
        <v>183</v>
      </c>
      <c r="AC602" s="18"/>
      <c r="AD602" s="143">
        <v>100</v>
      </c>
      <c r="AE602" s="35"/>
      <c r="AF602" s="18">
        <v>403</v>
      </c>
      <c r="AG602" s="18">
        <v>0</v>
      </c>
      <c r="AH602" s="48">
        <v>39.78</v>
      </c>
      <c r="AI602" s="18">
        <v>0</v>
      </c>
      <c r="AJ602" s="18">
        <v>0</v>
      </c>
      <c r="AL602" s="146"/>
      <c r="AN602" s="71">
        <f t="shared" si="345"/>
        <v>-100</v>
      </c>
      <c r="AO602" s="71">
        <f t="shared" si="346"/>
        <v>0</v>
      </c>
      <c r="AP602" s="71">
        <f t="shared" si="347"/>
        <v>0</v>
      </c>
      <c r="AQ602" s="72">
        <f>IF(OR($H602="GIROSSOL II",$H602="GIROSSOL II e III"),INDEX('Resumo Operacional'!$A$1:$P$1103,MATCH("Energia Injetada prevista total Fatura da Usina (TUSD)",'Resumo Operacional'!$B$1:$B$1103,0),MATCH('Detalhe Por UC'!$R602,'Resumo Operacional'!$A$1:$P$1,0))*$S602,INDEX('Resumo Operacional'!$A$1:$P$1103,53,MATCH('Detalhe Por UC'!$R602,'Resumo Operacional'!$A$1:$P$1,0))*$S602)</f>
        <v>517.16999999999996</v>
      </c>
      <c r="AR602" s="71">
        <f t="shared" si="348"/>
        <v>-517.16999999999996</v>
      </c>
      <c r="AS602" s="73">
        <f t="shared" si="349"/>
        <v>152</v>
      </c>
      <c r="AT602" s="74">
        <f t="shared" si="350"/>
        <v>152</v>
      </c>
      <c r="AU602" s="74">
        <f t="shared" si="351"/>
        <v>0.84923306340114579</v>
      </c>
      <c r="AV602" s="74">
        <f t="shared" si="352"/>
        <v>76.741871025064086</v>
      </c>
      <c r="AW602" s="74">
        <f t="shared" si="353"/>
        <v>0</v>
      </c>
      <c r="AX602" s="74">
        <f t="shared" si="354"/>
        <v>100.61265060240964</v>
      </c>
      <c r="AY602" s="74">
        <f t="shared" si="355"/>
        <v>76.739999999999995</v>
      </c>
      <c r="AZ602" s="43">
        <v>75.459999999999994</v>
      </c>
      <c r="BA602" s="43">
        <v>75.459999999999994</v>
      </c>
      <c r="BB602" s="43">
        <v>75.459999999999994</v>
      </c>
      <c r="BC602" s="73" t="str">
        <f t="shared" si="356"/>
        <v/>
      </c>
      <c r="BD602" s="73">
        <f t="shared" si="357"/>
        <v>252.61265060240964</v>
      </c>
      <c r="BE602" s="73">
        <f t="shared" si="358"/>
        <v>228.74187102506409</v>
      </c>
      <c r="BF602" s="77">
        <f t="shared" si="359"/>
        <v>23.87</v>
      </c>
      <c r="BG602" s="77">
        <f t="shared" si="360"/>
        <v>7.1610000000000005</v>
      </c>
      <c r="BH602" s="77">
        <f t="shared" si="361"/>
        <v>100.61265060240964</v>
      </c>
      <c r="BI602" s="78">
        <f t="shared" si="362"/>
        <v>0.24</v>
      </c>
      <c r="BJ602" s="79">
        <f t="shared" si="363"/>
        <v>9.4492496488504468E-2</v>
      </c>
      <c r="BK602" s="80">
        <f t="shared" si="364"/>
        <v>228.74</v>
      </c>
      <c r="BL602" s="80">
        <f t="shared" si="365"/>
        <v>23.872650602409635</v>
      </c>
      <c r="BM602" s="79">
        <f t="shared" si="366"/>
        <v>9.4502989242542385E-2</v>
      </c>
      <c r="BN602" s="81">
        <f t="shared" si="367"/>
        <v>0.76739999999999997</v>
      </c>
      <c r="BO602" s="82">
        <f t="shared" si="368"/>
        <v>76.739999999999995</v>
      </c>
      <c r="BP602" s="81">
        <f t="shared" si="369"/>
        <v>0.76739999999999997</v>
      </c>
      <c r="BQ602" s="81">
        <f t="shared" si="370"/>
        <v>0.92429344262295066</v>
      </c>
      <c r="BR602" s="81">
        <f t="shared" si="371"/>
        <v>1.1630199486470472</v>
      </c>
      <c r="BS602" s="82">
        <f t="shared" si="372"/>
        <v>100</v>
      </c>
      <c r="BT602" s="82">
        <f t="shared" si="373"/>
        <v>116.30199486470471</v>
      </c>
      <c r="BU602" s="82">
        <f t="shared" si="374"/>
        <v>100.61265060240964</v>
      </c>
      <c r="BW602" s="82">
        <f>IFERROR(INDEX('Infos Clientes'!$T:$T,MATCH('Detalhe Por UC'!$C602,'Infos Clientes'!B:B,0)),"")</f>
        <v>315</v>
      </c>
      <c r="BX602" s="83">
        <f t="shared" si="375"/>
        <v>0</v>
      </c>
      <c r="BY602" s="84">
        <f t="shared" si="376"/>
        <v>0.20526432612081114</v>
      </c>
      <c r="BZ602" s="85">
        <f>IF(_xlfn.MINIFS('Detalhe Por UC'!R:R,'Detalhe Por UC'!C:C,C602,'Detalhe Por UC'!AD:AD,"&gt;"&amp;0)=0,"",_xlfn.MINIFS('Detalhe Por UC'!R:R,'Detalhe Por UC'!C:C,C602,'Detalhe Por UC'!AD:AD,"&gt;"&amp;0))</f>
        <v>45658</v>
      </c>
      <c r="CA602" s="114">
        <f ca="1">IF(OR(S602&gt;0,AD602&gt;0),IFERROR(
SUMIFS(INDIRECT("'Infos Clientes'!$W"&amp;INDEX('Infos Clientes'!$C:$C,MATCH(C602,'Infos Clientes'!$H:$H,0))&amp;":$CZ"&amp;INDEX('Infos Clientes'!$C:$C,MATCH(C602,'Infos Clientes'!$H:$H,0))),'Infos Clientes'!$W$2:$CZ$2,"&gt;"&amp;$R602-365,'Infos Clientes'!$W$2:$CZ$2,"&lt;="&amp;$R602)/
COUNTIFS(INDIRECT("'Infos Clientes'!$W"&amp;INDEX('Infos Clientes'!$C:$C,MATCH(C602,'Infos Clientes'!$H:$H,0))&amp;":$CZ"&amp;INDEX('Infos Clientes'!$C:$C,MATCH(C602,'Infos Clientes'!$H:$H,0))),"&gt;="&amp;0,'Infos Clientes'!$W$2:$CZ$2,"&gt;"&amp;$R602-365,'Infos Clientes'!$W$2:$CZ$2,"&lt;="&amp;$R602),""),"")</f>
        <v>308.41666666666669</v>
      </c>
      <c r="CB602" s="87">
        <f>VLOOKUP(C602,'Infos Clientes'!B:L,11,0)</f>
        <v>0</v>
      </c>
      <c r="CC602" s="88" t="str">
        <f t="shared" si="377"/>
        <v>A Unidade Consumidora 10/72605-9 economizou R$23,87 na fatura referente à jun/2025  consumindo 100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2" s="40" t="s">
        <v>143</v>
      </c>
      <c r="CE602" s="43"/>
      <c r="CF602" s="115">
        <f t="shared" si="378"/>
        <v>-152</v>
      </c>
    </row>
    <row r="603" spans="1:84" ht="16.2" hidden="1" customHeight="1" x14ac:dyDescent="0.3">
      <c r="A603" s="105" t="str">
        <f>INDEX('Infos Clientes'!$D:$D,MATCH('Detalhe Por UC'!C603,'Infos Clientes'!B:B,0))</f>
        <v>IGREJA DO EVANGELHO QUADRANGULAR</v>
      </c>
      <c r="B603" s="106" t="str">
        <f>INDEX('Infos Clientes'!$F:$F,MATCH('Detalhe Por UC'!C603,'Infos Clientes'!B:B,0))</f>
        <v>62.955.505/1775-04</v>
      </c>
      <c r="C603" s="44" t="s">
        <v>199</v>
      </c>
      <c r="D603" t="s">
        <v>351</v>
      </c>
      <c r="E603" s="1" t="s">
        <v>352</v>
      </c>
      <c r="F603" s="56" t="str">
        <f>INDEX('Infos Clientes'!$I:$I,MATCH('Detalhe Por UC'!C603,'Infos Clientes'!B:B,0))</f>
        <v>BT</v>
      </c>
      <c r="G603" s="56" t="str">
        <f>INDEX('Infos Clientes'!$J:$J,MATCH('Detalhe Por UC'!C603,'Infos Clientes'!B:B,0))</f>
        <v>bifasico</v>
      </c>
      <c r="H603" s="47" t="str">
        <f t="shared" si="342"/>
        <v>GIROSSOL III</v>
      </c>
      <c r="I603" s="58">
        <f>IFERROR(VLOOKUP(C603,'Infos Clientes'!B:E,4,),"")</f>
        <v>319</v>
      </c>
      <c r="J603" s="109">
        <v>0.23725425614394724</v>
      </c>
      <c r="K603" s="59">
        <f>INDEX('Infos Clientes'!$M:$M,MATCH('Detalhe Por UC'!C603,'Infos Clientes'!B:B,0))</f>
        <v>0.25</v>
      </c>
      <c r="L603" s="125">
        <v>0</v>
      </c>
      <c r="M603" s="56">
        <f>INDEX('Infos Clientes'!$N:$N,MATCH('Detalhe Por UC'!C603,'Infos Clientes'!B:B,0))</f>
        <v>0</v>
      </c>
      <c r="N603" s="56">
        <f t="shared" si="343"/>
        <v>0</v>
      </c>
      <c r="O603" s="56">
        <f t="shared" si="344"/>
        <v>5</v>
      </c>
      <c r="P603" s="56">
        <f t="shared" si="379"/>
        <v>0</v>
      </c>
      <c r="Q603" s="61">
        <f>IFERROR(IFERROR(INDEX('Infos Clientes'!$A$2:$V$9884,MATCH($C603,'Infos Clientes'!$B$2:$B$9884,0),MATCH(Q$8,'Infos Clientes'!$A$2:$V$2,0)),"")
+IF(OR(INDEX('Infos Clientes'!$A$2:$V$9884,MATCH($C603,'Infos Clientes'!$B$2:$B$9884,0),MATCH("Tempo de Fidelidade (meses)",'Infos Clientes'!$A$2:$V$2,0))=0,R603&gt;=MAX(R:R)),0,
ROUND((MAX(R:R)-R603)/(365/12),0)),"")</f>
        <v>0</v>
      </c>
      <c r="R603" s="111">
        <v>45809</v>
      </c>
      <c r="S603" s="63">
        <v>0.02</v>
      </c>
      <c r="T603" s="113" t="str">
        <f>IF($H603="GIROSSOL II",AP603/INDEX('Resumo Operacional'!$A$1:$P$1103,17,MATCH('Detalhe Por UC'!$R603,'Resumo Operacional'!$A$1:$P$1,0)),
IF($H603="GIROSSOL II e III",AP603/INDEX('Resumo Operacional'!$A$1:$P$1103,17,MATCH('Detalhe Por UC'!$R603,'Resumo Operacional'!$A$1:$P$1,0)),
""))</f>
        <v/>
      </c>
      <c r="U603" s="113">
        <f>IF($H603="GIROSSOL III",AP603/INDEX('Resumo Operacional'!$A$1:$P$1103,53,MATCH('Detalhe Por UC'!$R603,'Resumo Operacional'!$A$1:$P$1,0)),
IF($H603="GIROSSOL II e III",AP603/INDEX('Resumo Operacional'!$A$1:$P$1103,53,MATCH('Detalhe Por UC'!$R603,'Resumo Operacional'!$A$1:$P$1,0)),
""))</f>
        <v>9.1652648065433037E-3</v>
      </c>
      <c r="V603" s="45"/>
      <c r="X603" s="18">
        <v>1.1551386094343841</v>
      </c>
      <c r="Y603" s="18">
        <v>0</v>
      </c>
      <c r="Z603" s="18">
        <v>0.99822382961623479</v>
      </c>
      <c r="AA603" s="18"/>
      <c r="AB603" s="18">
        <v>284</v>
      </c>
      <c r="AC603" s="18"/>
      <c r="AD603" s="143">
        <v>158</v>
      </c>
      <c r="AE603" s="35"/>
      <c r="AF603" s="18">
        <v>0</v>
      </c>
      <c r="AG603" s="18">
        <v>0</v>
      </c>
      <c r="AH603" s="48">
        <v>62.89</v>
      </c>
      <c r="AI603" s="18">
        <v>0</v>
      </c>
      <c r="AJ603" s="18">
        <v>0</v>
      </c>
      <c r="AL603" s="146"/>
      <c r="AN603" s="71">
        <f t="shared" si="345"/>
        <v>0</v>
      </c>
      <c r="AO603" s="71">
        <f t="shared" si="346"/>
        <v>0</v>
      </c>
      <c r="AP603" s="71">
        <f t="shared" si="347"/>
        <v>158</v>
      </c>
      <c r="AQ603" s="72">
        <f>IF(OR($H603="GIROSSOL II",$H603="GIROSSOL II e III"),INDEX('Resumo Operacional'!$A$1:$P$1103,MATCH("Energia Injetada prevista total Fatura da Usina (TUSD)",'Resumo Operacional'!$B$1:$B$1103,0),MATCH('Detalhe Por UC'!$R603,'Resumo Operacional'!$A$1:$P$1,0))*$S603,INDEX('Resumo Operacional'!$A$1:$P$1103,53,MATCH('Detalhe Por UC'!$R603,'Resumo Operacional'!$A$1:$P$1,0))*$S603)</f>
        <v>344.78000000000003</v>
      </c>
      <c r="AR603" s="71">
        <f t="shared" si="348"/>
        <v>-186.78000000000003</v>
      </c>
      <c r="AS603" s="73">
        <f t="shared" si="349"/>
        <v>233.22999999999996</v>
      </c>
      <c r="AT603" s="74">
        <f t="shared" si="350"/>
        <v>233.22999999999996</v>
      </c>
      <c r="AU603" s="74">
        <f t="shared" si="351"/>
        <v>0.84130904979808552</v>
      </c>
      <c r="AV603" s="74">
        <f t="shared" si="352"/>
        <v>120.29977443796469</v>
      </c>
      <c r="AW603" s="74">
        <f t="shared" si="353"/>
        <v>0</v>
      </c>
      <c r="AX603" s="74">
        <f t="shared" si="354"/>
        <v>157.7193650793651</v>
      </c>
      <c r="AY603" s="74">
        <f t="shared" si="355"/>
        <v>120.3</v>
      </c>
      <c r="AZ603" s="43">
        <v>118.29</v>
      </c>
      <c r="BA603" s="43">
        <v>118.29</v>
      </c>
      <c r="BC603" s="73" t="str">
        <f t="shared" si="356"/>
        <v/>
      </c>
      <c r="BD603" s="73">
        <f t="shared" si="357"/>
        <v>390.94936507936507</v>
      </c>
      <c r="BE603" s="73">
        <f t="shared" si="358"/>
        <v>353.52977443796465</v>
      </c>
      <c r="BF603" s="77">
        <f t="shared" si="359"/>
        <v>37.42</v>
      </c>
      <c r="BG603" s="77">
        <f t="shared" si="360"/>
        <v>11.226000000000001</v>
      </c>
      <c r="BH603" s="77">
        <f t="shared" si="361"/>
        <v>157.7193650793651</v>
      </c>
      <c r="BI603" s="78">
        <f t="shared" si="362"/>
        <v>0.24</v>
      </c>
      <c r="BJ603" s="79">
        <f t="shared" si="363"/>
        <v>9.5715720096906973E-2</v>
      </c>
      <c r="BK603" s="80">
        <f t="shared" si="364"/>
        <v>353.53</v>
      </c>
      <c r="BL603" s="80">
        <f t="shared" si="365"/>
        <v>37.419365079365093</v>
      </c>
      <c r="BM603" s="79">
        <f t="shared" si="366"/>
        <v>9.5714096048650027E-2</v>
      </c>
      <c r="BN603" s="81">
        <f t="shared" si="367"/>
        <v>0.76139240506329109</v>
      </c>
      <c r="BO603" s="82">
        <f t="shared" si="368"/>
        <v>120.3</v>
      </c>
      <c r="BP603" s="81">
        <f t="shared" si="369"/>
        <v>0.76139240506329109</v>
      </c>
      <c r="BQ603" s="81">
        <f t="shared" si="370"/>
        <v>0.91830718488144036</v>
      </c>
      <c r="BR603" s="81">
        <f t="shared" si="371"/>
        <v>1.1551386094343841</v>
      </c>
      <c r="BS603" s="82">
        <f t="shared" si="372"/>
        <v>158</v>
      </c>
      <c r="BT603" s="82">
        <f t="shared" si="373"/>
        <v>182.5119002906327</v>
      </c>
      <c r="BU603" s="82">
        <f t="shared" si="374"/>
        <v>157.7193650793651</v>
      </c>
      <c r="BW603" s="82">
        <f>IFERROR(INDEX('Infos Clientes'!$T:$T,MATCH('Detalhe Por UC'!$C603,'Infos Clientes'!B:B,0)),"")</f>
        <v>336.36363636363637</v>
      </c>
      <c r="BX603" s="83">
        <f t="shared" si="375"/>
        <v>0</v>
      </c>
      <c r="BY603" s="84">
        <f t="shared" si="376"/>
        <v>0.20502424784235088</v>
      </c>
      <c r="BZ603" s="85">
        <f>IF(_xlfn.MINIFS('Detalhe Por UC'!R:R,'Detalhe Por UC'!C:C,C603,'Detalhe Por UC'!AD:AD,"&gt;"&amp;0)=0,"",_xlfn.MINIFS('Detalhe Por UC'!R:R,'Detalhe Por UC'!C:C,C603,'Detalhe Por UC'!AD:AD,"&gt;"&amp;0))</f>
        <v>45658</v>
      </c>
      <c r="CA603" s="114">
        <f ca="1">IF(OR(S603&gt;0,AD603&gt;0),IFERROR(
SUMIFS(INDIRECT("'Infos Clientes'!$W"&amp;INDEX('Infos Clientes'!$C:$C,MATCH(C603,'Infos Clientes'!$H:$H,0))&amp;":$CZ"&amp;INDEX('Infos Clientes'!$C:$C,MATCH(C603,'Infos Clientes'!$H:$H,0))),'Infos Clientes'!$W$2:$CZ$2,"&gt;"&amp;$R603-365,'Infos Clientes'!$W$2:$CZ$2,"&lt;="&amp;$R603)/
COUNTIFS(INDIRECT("'Infos Clientes'!$W"&amp;INDEX('Infos Clientes'!$C:$C,MATCH(C603,'Infos Clientes'!$H:$H,0))&amp;":$CZ"&amp;INDEX('Infos Clientes'!$C:$C,MATCH(C603,'Infos Clientes'!$H:$H,0))),"&gt;="&amp;0,'Infos Clientes'!$W$2:$CZ$2,"&gt;"&amp;$R603-365,'Infos Clientes'!$W$2:$CZ$2,"&lt;="&amp;$R603),""),"")</f>
        <v>326.58333333333331</v>
      </c>
      <c r="CB603" s="87">
        <f>VLOOKUP(C603,'Infos Clientes'!B:L,11,0)</f>
        <v>0</v>
      </c>
      <c r="CC603" s="88" t="str">
        <f t="shared" si="377"/>
        <v>A Unidade Consumidora 10/40190-1 economizou R$37,42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3" s="40" t="s">
        <v>143</v>
      </c>
      <c r="CE603" s="43"/>
      <c r="CF603" s="115">
        <f t="shared" si="378"/>
        <v>-233.22999999999996</v>
      </c>
    </row>
    <row r="604" spans="1:84" ht="16.2" hidden="1" customHeight="1" x14ac:dyDescent="0.3">
      <c r="A604" s="105" t="str">
        <f>INDEX('Infos Clientes'!$D:$D,MATCH('Detalhe Por UC'!C604,'Infos Clientes'!B:B,0))</f>
        <v>IGREJA DO EVANGELHO QUADRANGULAR</v>
      </c>
      <c r="B604" s="106" t="str">
        <f>INDEX('Infos Clientes'!$F:$F,MATCH('Detalhe Por UC'!C604,'Infos Clientes'!B:B,0))</f>
        <v>62.955.505/3793-95</v>
      </c>
      <c r="C604" s="44" t="s">
        <v>146</v>
      </c>
      <c r="D604" t="s">
        <v>351</v>
      </c>
      <c r="E604" s="1" t="s">
        <v>352</v>
      </c>
      <c r="F604" s="56" t="str">
        <f>INDEX('Infos Clientes'!$I:$I,MATCH('Detalhe Por UC'!C604,'Infos Clientes'!B:B,0))</f>
        <v>BT</v>
      </c>
      <c r="G604" s="56" t="str">
        <f>INDEX('Infos Clientes'!$J:$J,MATCH('Detalhe Por UC'!C604,'Infos Clientes'!B:B,0))</f>
        <v>trifasico</v>
      </c>
      <c r="H604" s="47" t="str">
        <f t="shared" si="342"/>
        <v>GIROSSOL III</v>
      </c>
      <c r="I604" s="58">
        <f>IFERROR(VLOOKUP(C604,'Infos Clientes'!B:E,4,),"")</f>
        <v>306</v>
      </c>
      <c r="J604" s="109">
        <v>0.23725425614394724</v>
      </c>
      <c r="K604" s="59">
        <f>INDEX('Infos Clientes'!$M:$M,MATCH('Detalhe Por UC'!C604,'Infos Clientes'!B:B,0))</f>
        <v>0.25</v>
      </c>
      <c r="L604" s="125">
        <v>0</v>
      </c>
      <c r="M604" s="56">
        <f>INDEX('Infos Clientes'!$N:$N,MATCH('Detalhe Por UC'!C604,'Infos Clientes'!B:B,0))</f>
        <v>0</v>
      </c>
      <c r="N604" s="56">
        <f t="shared" si="343"/>
        <v>0</v>
      </c>
      <c r="O604" s="56">
        <f t="shared" si="344"/>
        <v>10</v>
      </c>
      <c r="P604" s="56">
        <f t="shared" si="379"/>
        <v>0</v>
      </c>
      <c r="Q604" s="61">
        <f>IFERROR(IFERROR(INDEX('Infos Clientes'!$A$2:$V$9884,MATCH($C604,'Infos Clientes'!$B$2:$B$9884,0),MATCH(Q$8,'Infos Clientes'!$A$2:$V$2,0)),"")
+IF(OR(INDEX('Infos Clientes'!$A$2:$V$9884,MATCH($C604,'Infos Clientes'!$B$2:$B$9884,0),MATCH("Tempo de Fidelidade (meses)",'Infos Clientes'!$A$2:$V$2,0))=0,R604&gt;=MAX(R:R)),0,
ROUND((MAX(R:R)-R604)/(365/12),0)),"")</f>
        <v>0</v>
      </c>
      <c r="R604" s="111">
        <v>45809</v>
      </c>
      <c r="S604" s="63">
        <v>0.03</v>
      </c>
      <c r="T604" s="113" t="str">
        <f>IF($H604="GIROSSOL II",AP604/INDEX('Resumo Operacional'!$A$1:$P$1103,17,MATCH('Detalhe Por UC'!$R604,'Resumo Operacional'!$A$1:$P$1,0)),
IF($H604="GIROSSOL II e III",AP604/INDEX('Resumo Operacional'!$A$1:$P$1103,17,MATCH('Detalhe Por UC'!$R604,'Resumo Operacional'!$A$1:$P$1,0)),
""))</f>
        <v/>
      </c>
      <c r="U604" s="113">
        <f>IF($H604="GIROSSOL III",AP604/INDEX('Resumo Operacional'!$A$1:$P$1103,53,MATCH('Detalhe Por UC'!$R604,'Resumo Operacional'!$A$1:$P$1,0)),
IF($H604="GIROSSOL II e III",AP604/INDEX('Resumo Operacional'!$A$1:$P$1103,53,MATCH('Detalhe Por UC'!$R604,'Resumo Operacional'!$A$1:$P$1,0)),
""))</f>
        <v>0</v>
      </c>
      <c r="V604" s="45"/>
      <c r="X604" s="18">
        <v>1.1744090000259666</v>
      </c>
      <c r="Y604" s="18">
        <v>0</v>
      </c>
      <c r="Z604" s="18">
        <v>1.0179948586118253</v>
      </c>
      <c r="AA604" s="18"/>
      <c r="AB604" s="18">
        <v>396</v>
      </c>
      <c r="AC604" s="18"/>
      <c r="AD604" s="143">
        <v>7</v>
      </c>
      <c r="AE604" s="35"/>
      <c r="AF604" s="18">
        <v>0</v>
      </c>
      <c r="AG604" s="18">
        <v>0</v>
      </c>
      <c r="AH604" s="48">
        <v>0</v>
      </c>
      <c r="AI604" s="18">
        <v>0</v>
      </c>
      <c r="AJ604" s="18">
        <v>0</v>
      </c>
      <c r="AL604" s="146"/>
      <c r="AN604" s="71">
        <f t="shared" si="345"/>
        <v>-7</v>
      </c>
      <c r="AO604" s="71">
        <f t="shared" si="346"/>
        <v>0</v>
      </c>
      <c r="AP604" s="71">
        <f t="shared" si="347"/>
        <v>0</v>
      </c>
      <c r="AQ604" s="72">
        <f>IF(OR($H604="GIROSSOL II",$H604="GIROSSOL II e III"),INDEX('Resumo Operacional'!$A$1:$P$1103,MATCH("Energia Injetada prevista total Fatura da Usina (TUSD)",'Resumo Operacional'!$B$1:$B$1103,0),MATCH('Detalhe Por UC'!$R604,'Resumo Operacional'!$A$1:$P$1,0))*$S604,INDEX('Resumo Operacional'!$A$1:$P$1103,53,MATCH('Detalhe Por UC'!$R604,'Resumo Operacional'!$A$1:$P$1,0))*$S604)</f>
        <v>517.16999999999996</v>
      </c>
      <c r="AR604" s="71">
        <f t="shared" si="348"/>
        <v>-517.16999999999996</v>
      </c>
      <c r="AS604" s="73">
        <f t="shared" si="349"/>
        <v>457.94</v>
      </c>
      <c r="AT604" s="74">
        <f t="shared" si="350"/>
        <v>457.94</v>
      </c>
      <c r="AU604" s="74">
        <f t="shared" si="351"/>
        <v>0.86158071719768392</v>
      </c>
      <c r="AV604" s="74">
        <f t="shared" si="352"/>
        <v>5.4352987197145968</v>
      </c>
      <c r="AW604" s="74">
        <f t="shared" si="353"/>
        <v>0</v>
      </c>
      <c r="AX604" s="74">
        <f t="shared" si="354"/>
        <v>7.125964010282777</v>
      </c>
      <c r="AY604" s="74">
        <f t="shared" si="355"/>
        <v>5.44</v>
      </c>
      <c r="AZ604" s="43">
        <v>5.34</v>
      </c>
      <c r="BA604" s="43">
        <v>5.34</v>
      </c>
      <c r="BB604" s="43">
        <v>5.34</v>
      </c>
      <c r="BC604" s="73" t="str">
        <f t="shared" si="356"/>
        <v/>
      </c>
      <c r="BD604" s="73">
        <f t="shared" si="357"/>
        <v>465.06596401028276</v>
      </c>
      <c r="BE604" s="73">
        <f t="shared" si="358"/>
        <v>463.37529871971458</v>
      </c>
      <c r="BF604" s="77">
        <f t="shared" si="359"/>
        <v>1.69</v>
      </c>
      <c r="BG604" s="77">
        <f t="shared" si="360"/>
        <v>0.50700000000000001</v>
      </c>
      <c r="BH604" s="77">
        <f t="shared" si="361"/>
        <v>7.1259640102827762</v>
      </c>
      <c r="BI604" s="78">
        <f t="shared" si="362"/>
        <v>0.24</v>
      </c>
      <c r="BJ604" s="79">
        <f t="shared" si="363"/>
        <v>3.633893105027642E-3</v>
      </c>
      <c r="BK604" s="80">
        <f t="shared" si="364"/>
        <v>463.38</v>
      </c>
      <c r="BL604" s="80">
        <f t="shared" si="365"/>
        <v>1.6859640102827598</v>
      </c>
      <c r="BM604" s="79">
        <f t="shared" si="366"/>
        <v>3.6252147883380314E-3</v>
      </c>
      <c r="BN604" s="81">
        <f t="shared" si="367"/>
        <v>0.77714285714285725</v>
      </c>
      <c r="BO604" s="82">
        <f t="shared" si="368"/>
        <v>5.44</v>
      </c>
      <c r="BP604" s="81">
        <f t="shared" si="369"/>
        <v>0.77714285714285725</v>
      </c>
      <c r="BQ604" s="81">
        <f t="shared" si="370"/>
        <v>0.93355699855699859</v>
      </c>
      <c r="BR604" s="81">
        <f t="shared" si="371"/>
        <v>1.1744090000259664</v>
      </c>
      <c r="BS604" s="82">
        <f t="shared" si="372"/>
        <v>7</v>
      </c>
      <c r="BT604" s="82">
        <f t="shared" si="373"/>
        <v>8.2208630001817653</v>
      </c>
      <c r="BU604" s="82">
        <f t="shared" si="374"/>
        <v>7.125964010282777</v>
      </c>
      <c r="BW604" s="82">
        <f>IFERROR(INDEX('Infos Clientes'!$T:$T,MATCH('Detalhe Por UC'!$C604,'Infos Clientes'!B:B,0)),"")</f>
        <v>398.18181818181819</v>
      </c>
      <c r="BX604" s="83">
        <f t="shared" si="375"/>
        <v>0</v>
      </c>
      <c r="BY604" s="84">
        <f t="shared" si="376"/>
        <v>0.20508357945455347</v>
      </c>
      <c r="BZ604" s="85">
        <f>IF(_xlfn.MINIFS('Detalhe Por UC'!R:R,'Detalhe Por UC'!C:C,C604,'Detalhe Por UC'!AD:AD,"&gt;"&amp;0)=0,"",_xlfn.MINIFS('Detalhe Por UC'!R:R,'Detalhe Por UC'!C:C,C604,'Detalhe Por UC'!AD:AD,"&gt;"&amp;0))</f>
        <v>45658</v>
      </c>
      <c r="CA604" s="114">
        <f ca="1">IF(OR(S604&gt;0,AD604&gt;0),IFERROR(
SUMIFS(INDIRECT("'Infos Clientes'!$W"&amp;INDEX('Infos Clientes'!$C:$C,MATCH(C604,'Infos Clientes'!$H:$H,0))&amp;":$CZ"&amp;INDEX('Infos Clientes'!$C:$C,MATCH(C604,'Infos Clientes'!$H:$H,0))),'Infos Clientes'!$W$2:$CZ$2,"&gt;"&amp;$R604-365,'Infos Clientes'!$W$2:$CZ$2,"&lt;="&amp;$R604)/
COUNTIFS(INDIRECT("'Infos Clientes'!$W"&amp;INDEX('Infos Clientes'!$C:$C,MATCH(C604,'Infos Clientes'!$H:$H,0))&amp;":$CZ"&amp;INDEX('Infos Clientes'!$C:$C,MATCH(C604,'Infos Clientes'!$H:$H,0))),"&gt;="&amp;0,'Infos Clientes'!$W$2:$CZ$2,"&gt;"&amp;$R604-365,'Infos Clientes'!$W$2:$CZ$2,"&lt;="&amp;$R604),""),"")</f>
        <v>388</v>
      </c>
      <c r="CB604" s="87">
        <f>VLOOKUP(C604,'Infos Clientes'!B:L,11,0)</f>
        <v>0</v>
      </c>
      <c r="CC604" s="88" t="str">
        <f t="shared" si="377"/>
        <v>A Unidade Consumidora 10/1266128-6 economizou R$1,69 na fatura referente à jun/2025  consumindo 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4" s="40" t="s">
        <v>143</v>
      </c>
      <c r="CE604" s="43"/>
      <c r="CF604" s="115">
        <f t="shared" si="378"/>
        <v>-457.94</v>
      </c>
    </row>
    <row r="605" spans="1:84" ht="16.2" hidden="1" customHeight="1" x14ac:dyDescent="0.3">
      <c r="A605" s="105" t="str">
        <f>INDEX('Infos Clientes'!$D:$D,MATCH('Detalhe Por UC'!C605,'Infos Clientes'!B:B,0))</f>
        <v>IGREJA DO EVANGELHO QUADRANGULAR</v>
      </c>
      <c r="B605" s="106" t="str">
        <f>INDEX('Infos Clientes'!$F:$F,MATCH('Detalhe Por UC'!C605,'Infos Clientes'!B:B,0))</f>
        <v>62.955.505/8979-30</v>
      </c>
      <c r="C605" s="44" t="s">
        <v>238</v>
      </c>
      <c r="D605" t="s">
        <v>351</v>
      </c>
      <c r="E605" s="1" t="s">
        <v>352</v>
      </c>
      <c r="F605" s="56" t="str">
        <f>INDEX('Infos Clientes'!$I:$I,MATCH('Detalhe Por UC'!C605,'Infos Clientes'!B:B,0))</f>
        <v>BT</v>
      </c>
      <c r="G605" s="56" t="str">
        <f>INDEX('Infos Clientes'!$J:$J,MATCH('Detalhe Por UC'!C605,'Infos Clientes'!B:B,0))</f>
        <v>bifasico</v>
      </c>
      <c r="H605" s="47" t="str">
        <f t="shared" si="342"/>
        <v>GIROSSOL III</v>
      </c>
      <c r="I605" s="58">
        <f>IFERROR(VLOOKUP(C605,'Infos Clientes'!B:E,4,),"")</f>
        <v>360</v>
      </c>
      <c r="J605" s="109">
        <v>0.23725425614394724</v>
      </c>
      <c r="K605" s="59">
        <f>INDEX('Infos Clientes'!$M:$M,MATCH('Detalhe Por UC'!C605,'Infos Clientes'!B:B,0))</f>
        <v>0.25</v>
      </c>
      <c r="L605" s="125">
        <v>0</v>
      </c>
      <c r="M605" s="56">
        <f>INDEX('Infos Clientes'!$N:$N,MATCH('Detalhe Por UC'!C605,'Infos Clientes'!B:B,0))</f>
        <v>0</v>
      </c>
      <c r="N605" s="56">
        <f t="shared" si="343"/>
        <v>0</v>
      </c>
      <c r="O605" s="56">
        <f t="shared" si="344"/>
        <v>10</v>
      </c>
      <c r="P605" s="56">
        <f t="shared" si="379"/>
        <v>0</v>
      </c>
      <c r="Q605" s="61">
        <f>IFERROR(IFERROR(INDEX('Infos Clientes'!$A$2:$V$9884,MATCH($C605,'Infos Clientes'!$B$2:$B$9884,0),MATCH(Q$8,'Infos Clientes'!$A$2:$V$2,0)),"")
+IF(OR(INDEX('Infos Clientes'!$A$2:$V$9884,MATCH($C605,'Infos Clientes'!$B$2:$B$9884,0),MATCH("Tempo de Fidelidade (meses)",'Infos Clientes'!$A$2:$V$2,0))=0,R605&gt;=MAX(R:R)),0,
ROUND((MAX(R:R)-R605)/(365/12),0)),"")</f>
        <v>0</v>
      </c>
      <c r="R605" s="111">
        <v>45809</v>
      </c>
      <c r="S605" s="63">
        <v>7.0000000000000001E-3</v>
      </c>
      <c r="T605" s="113" t="str">
        <f>IF($H605="GIROSSOL II",AP605/INDEX('Resumo Operacional'!$A$1:$P$1103,17,MATCH('Detalhe Por UC'!$R605,'Resumo Operacional'!$A$1:$P$1,0)),
IF($H605="GIROSSOL II e III",AP605/INDEX('Resumo Operacional'!$A$1:$P$1103,17,MATCH('Detalhe Por UC'!$R605,'Resumo Operacional'!$A$1:$P$1,0)),
""))</f>
        <v/>
      </c>
      <c r="U605" s="113">
        <f>IF($H605="GIROSSOL III",AP605/INDEX('Resumo Operacional'!$A$1:$P$1103,53,MATCH('Detalhe Por UC'!$R605,'Resumo Operacional'!$A$1:$P$1,0)),
IF($H605="GIROSSOL II e III",AP605/INDEX('Resumo Operacional'!$A$1:$P$1103,53,MATCH('Detalhe Por UC'!$R605,'Resumo Operacional'!$A$1:$P$1,0)),
""))</f>
        <v>0</v>
      </c>
      <c r="V605" s="45"/>
      <c r="X605" s="18">
        <v>1.1704794520547945</v>
      </c>
      <c r="Y605" s="18">
        <v>0</v>
      </c>
      <c r="Z605" s="18">
        <v>0</v>
      </c>
      <c r="AA605" s="18"/>
      <c r="AB605" s="18">
        <v>146</v>
      </c>
      <c r="AC605" s="18"/>
      <c r="AD605" s="143">
        <v>0</v>
      </c>
      <c r="AE605" s="35"/>
      <c r="AF605" s="18">
        <v>0</v>
      </c>
      <c r="AG605" s="18">
        <v>0</v>
      </c>
      <c r="AH605" s="48">
        <v>9.58</v>
      </c>
      <c r="AI605" s="18">
        <v>0</v>
      </c>
      <c r="AJ605" s="18">
        <v>0</v>
      </c>
      <c r="AL605" s="146"/>
      <c r="AN605" s="71">
        <f t="shared" si="345"/>
        <v>0</v>
      </c>
      <c r="AO605" s="71">
        <f t="shared" si="346"/>
        <v>0</v>
      </c>
      <c r="AP605" s="71">
        <f t="shared" si="347"/>
        <v>0</v>
      </c>
      <c r="AQ605" s="72">
        <f>IF(OR($H605="GIROSSOL II",$H605="GIROSSOL II e III"),INDEX('Resumo Operacional'!$A$1:$P$1103,MATCH("Energia Injetada prevista total Fatura da Usina (TUSD)",'Resumo Operacional'!$B$1:$B$1103,0),MATCH('Detalhe Por UC'!$R605,'Resumo Operacional'!$A$1:$P$1,0))*$S605,INDEX('Resumo Operacional'!$A$1:$P$1103,53,MATCH('Detalhe Por UC'!$R605,'Resumo Operacional'!$A$1:$P$1,0))*$S605)</f>
        <v>120.673</v>
      </c>
      <c r="AR605" s="71">
        <f t="shared" si="348"/>
        <v>-120.673</v>
      </c>
      <c r="AS605" s="73">
        <f t="shared" si="349"/>
        <v>180.47000000000003</v>
      </c>
      <c r="AT605" s="74">
        <f t="shared" si="350"/>
        <v>180.47000000000003</v>
      </c>
      <c r="AU605" s="74" t="str">
        <f t="shared" si="351"/>
        <v/>
      </c>
      <c r="AV605" s="74">
        <f t="shared" si="352"/>
        <v>0</v>
      </c>
      <c r="AW605" s="74">
        <f t="shared" si="353"/>
        <v>0</v>
      </c>
      <c r="AX605" s="74">
        <f t="shared" si="354"/>
        <v>0</v>
      </c>
      <c r="AY605" s="74" t="str">
        <f t="shared" si="355"/>
        <v/>
      </c>
      <c r="AZ605" s="43" t="s">
        <v>354</v>
      </c>
      <c r="BA605" s="43">
        <v>0</v>
      </c>
      <c r="BC605" s="73" t="str">
        <f t="shared" si="356"/>
        <v/>
      </c>
      <c r="BD605" s="73">
        <f t="shared" si="357"/>
        <v>180.47000000000003</v>
      </c>
      <c r="BE605" s="73">
        <f t="shared" si="358"/>
        <v>180.47000000000003</v>
      </c>
      <c r="BF605" s="77">
        <f t="shared" si="359"/>
        <v>0</v>
      </c>
      <c r="BG605" s="77">
        <f t="shared" si="360"/>
        <v>0</v>
      </c>
      <c r="BH605" s="77">
        <f t="shared" si="361"/>
        <v>0</v>
      </c>
      <c r="BI605" s="78" t="str">
        <f t="shared" si="362"/>
        <v/>
      </c>
      <c r="BJ605" s="79">
        <f t="shared" si="363"/>
        <v>0</v>
      </c>
      <c r="BK605" s="80" t="str">
        <f t="shared" si="364"/>
        <v/>
      </c>
      <c r="BL605" s="80" t="str">
        <f t="shared" si="365"/>
        <v/>
      </c>
      <c r="BM605" s="79" t="str">
        <f t="shared" si="366"/>
        <v/>
      </c>
      <c r="BN605" s="81" t="str">
        <f t="shared" si="367"/>
        <v/>
      </c>
      <c r="BO605" s="82" t="str">
        <f t="shared" si="368"/>
        <v/>
      </c>
      <c r="BP605" s="81" t="str">
        <f t="shared" si="369"/>
        <v/>
      </c>
      <c r="BQ605" s="81" t="str">
        <f t="shared" si="370"/>
        <v/>
      </c>
      <c r="BR605" s="81" t="str">
        <f t="shared" si="371"/>
        <v/>
      </c>
      <c r="BS605" s="82">
        <f t="shared" si="372"/>
        <v>0</v>
      </c>
      <c r="BT605" s="82" t="str">
        <f t="shared" si="373"/>
        <v/>
      </c>
      <c r="BU605" s="82">
        <f t="shared" si="374"/>
        <v>0</v>
      </c>
      <c r="BW605" s="82">
        <f>IFERROR(INDEX('Infos Clientes'!$T:$T,MATCH('Detalhe Por UC'!$C605,'Infos Clientes'!B:B,0)),"")</f>
        <v>162.36363636363637</v>
      </c>
      <c r="BX605" s="83">
        <f t="shared" si="375"/>
        <v>0</v>
      </c>
      <c r="BY605" s="84" t="str">
        <f t="shared" si="376"/>
        <v/>
      </c>
      <c r="BZ605" s="85">
        <f>IF(_xlfn.MINIFS('Detalhe Por UC'!R:R,'Detalhe Por UC'!C:C,C605,'Detalhe Por UC'!AD:AD,"&gt;"&amp;0)=0,"",_xlfn.MINIFS('Detalhe Por UC'!R:R,'Detalhe Por UC'!C:C,C605,'Detalhe Por UC'!AD:AD,"&gt;"&amp;0))</f>
        <v>45658</v>
      </c>
      <c r="CA605" s="114">
        <f ca="1">IF(OR(S605&gt;0,AD605&gt;0),IFERROR(
SUMIFS(INDIRECT("'Infos Clientes'!$W"&amp;INDEX('Infos Clientes'!$C:$C,MATCH(C605,'Infos Clientes'!$H:$H,0))&amp;":$CZ"&amp;INDEX('Infos Clientes'!$C:$C,MATCH(C605,'Infos Clientes'!$H:$H,0))),'Infos Clientes'!$W$2:$CZ$2,"&gt;"&amp;$R605-365,'Infos Clientes'!$W$2:$CZ$2,"&lt;="&amp;$R605)/
COUNTIFS(INDIRECT("'Infos Clientes'!$W"&amp;INDEX('Infos Clientes'!$C:$C,MATCH(C605,'Infos Clientes'!$H:$H,0))&amp;":$CZ"&amp;INDEX('Infos Clientes'!$C:$C,MATCH(C605,'Infos Clientes'!$H:$H,0))),"&gt;="&amp;0,'Infos Clientes'!$W$2:$CZ$2,"&gt;"&amp;$R605-365,'Infos Clientes'!$W$2:$CZ$2,"&lt;="&amp;$R605),""),"")</f>
        <v>140.16666666666666</v>
      </c>
      <c r="CB605" s="87">
        <f>VLOOKUP(C605,'Infos Clientes'!B:L,11,0)</f>
        <v>0</v>
      </c>
      <c r="CC605" s="88" t="str">
        <f t="shared" si="377"/>
        <v>A Unidade Consumidora 10/952579-1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5" s="40" t="s">
        <v>149</v>
      </c>
      <c r="CE605" s="43"/>
      <c r="CF605" s="115">
        <f t="shared" si="378"/>
        <v>-180.47000000000003</v>
      </c>
    </row>
    <row r="606" spans="1:84" ht="16.2" hidden="1" customHeight="1" x14ac:dyDescent="0.3">
      <c r="A606" s="105" t="str">
        <f>INDEX('Infos Clientes'!$D:$D,MATCH('Detalhe Por UC'!C606,'Infos Clientes'!B:B,0))</f>
        <v>IGREJA DO EVANGELHO QUADRANGULAR</v>
      </c>
      <c r="B606" s="106" t="str">
        <f>INDEX('Infos Clientes'!$F:$F,MATCH('Detalhe Por UC'!C606,'Infos Clientes'!B:B,0))</f>
        <v>62.955.505/8873-82</v>
      </c>
      <c r="C606" s="44" t="s">
        <v>212</v>
      </c>
      <c r="D606" t="s">
        <v>351</v>
      </c>
      <c r="E606" s="1" t="s">
        <v>352</v>
      </c>
      <c r="F606" s="56" t="str">
        <f>INDEX('Infos Clientes'!$I:$I,MATCH('Detalhe Por UC'!C606,'Infos Clientes'!B:B,0))</f>
        <v>BT</v>
      </c>
      <c r="G606" s="56" t="str">
        <f>INDEX('Infos Clientes'!$J:$J,MATCH('Detalhe Por UC'!C606,'Infos Clientes'!B:B,0))</f>
        <v>trifasico</v>
      </c>
      <c r="H606" s="47" t="str">
        <f t="shared" si="342"/>
        <v>GIROSSOL III</v>
      </c>
      <c r="I606" s="58">
        <f>IFERROR(VLOOKUP(C606,'Infos Clientes'!B:E,4,),"")</f>
        <v>351</v>
      </c>
      <c r="J606" s="109">
        <v>0.23725425614394724</v>
      </c>
      <c r="K606" s="59">
        <f>INDEX('Infos Clientes'!$M:$M,MATCH('Detalhe Por UC'!C606,'Infos Clientes'!B:B,0))</f>
        <v>0.25</v>
      </c>
      <c r="L606" s="125">
        <v>0</v>
      </c>
      <c r="M606" s="56">
        <f>INDEX('Infos Clientes'!$N:$N,MATCH('Detalhe Por UC'!C606,'Infos Clientes'!B:B,0))</f>
        <v>0</v>
      </c>
      <c r="N606" s="56">
        <f t="shared" si="343"/>
        <v>0</v>
      </c>
      <c r="O606" s="56">
        <f t="shared" si="344"/>
        <v>3</v>
      </c>
      <c r="P606" s="56">
        <f t="shared" si="379"/>
        <v>0</v>
      </c>
      <c r="Q606" s="61">
        <f>IFERROR(IFERROR(INDEX('Infos Clientes'!$A$2:$V$9884,MATCH($C606,'Infos Clientes'!$B$2:$B$9884,0),MATCH(Q$8,'Infos Clientes'!$A$2:$V$2,0)),"")
+IF(OR(INDEX('Infos Clientes'!$A$2:$V$9884,MATCH($C606,'Infos Clientes'!$B$2:$B$9884,0),MATCH("Tempo de Fidelidade (meses)",'Infos Clientes'!$A$2:$V$2,0))=0,R606&gt;=MAX(R:R)),0,
ROUND((MAX(R:R)-R606)/(365/12),0)),"")</f>
        <v>0</v>
      </c>
      <c r="R606" s="111">
        <v>45809</v>
      </c>
      <c r="S606" s="63">
        <v>3.0000000000000001E-3</v>
      </c>
      <c r="T606" s="113" t="str">
        <f>IF($H606="GIROSSOL II",AP606/INDEX('Resumo Operacional'!$A$1:$P$1103,17,MATCH('Detalhe Por UC'!$R606,'Resumo Operacional'!$A$1:$P$1,0)),
IF($H606="GIROSSOL II e III",AP606/INDEX('Resumo Operacional'!$A$1:$P$1103,17,MATCH('Detalhe Por UC'!$R606,'Resumo Operacional'!$A$1:$P$1,0)),
""))</f>
        <v/>
      </c>
      <c r="U606" s="113">
        <f>IF($H606="GIROSSOL III",AP606/INDEX('Resumo Operacional'!$A$1:$P$1103,53,MATCH('Detalhe Por UC'!$R606,'Resumo Operacional'!$A$1:$P$1,0)),
IF($H606="GIROSSOL II e III",AP606/INDEX('Resumo Operacional'!$A$1:$P$1103,53,MATCH('Detalhe Por UC'!$R606,'Resumo Operacional'!$A$1:$P$1,0)),
""))</f>
        <v>1.3341841174082023E-3</v>
      </c>
      <c r="V606" s="45"/>
      <c r="W606" s="18"/>
      <c r="X606" s="21">
        <v>1.1617000000000002</v>
      </c>
      <c r="Y606" s="18">
        <v>0</v>
      </c>
      <c r="Z606" s="18">
        <v>0</v>
      </c>
      <c r="AA606" s="18"/>
      <c r="AB606" s="18">
        <v>0</v>
      </c>
      <c r="AC606" s="18"/>
      <c r="AD606" s="143">
        <v>0</v>
      </c>
      <c r="AE606" s="35"/>
      <c r="AF606" s="18">
        <v>432</v>
      </c>
      <c r="AG606" s="18">
        <v>0</v>
      </c>
      <c r="AH606" s="48">
        <v>6.5</v>
      </c>
      <c r="AI606" s="18">
        <v>0</v>
      </c>
      <c r="AJ606" s="18">
        <v>0</v>
      </c>
      <c r="AL606" s="146"/>
      <c r="AN606" s="71">
        <f t="shared" si="345"/>
        <v>23</v>
      </c>
      <c r="AO606" s="71">
        <f t="shared" si="346"/>
        <v>0</v>
      </c>
      <c r="AP606" s="71">
        <f t="shared" si="347"/>
        <v>23</v>
      </c>
      <c r="AQ606" s="72">
        <f>IF(OR($H606="GIROSSOL II",$H606="GIROSSOL II e III"),INDEX('Resumo Operacional'!$A$1:$P$1103,MATCH("Energia Injetada prevista total Fatura da Usina (TUSD)",'Resumo Operacional'!$B$1:$B$1103,0),MATCH('Detalhe Por UC'!$R606,'Resumo Operacional'!$A$1:$P$1,0))*$S606,INDEX('Resumo Operacional'!$A$1:$P$1103,53,MATCH('Detalhe Por UC'!$R606,'Resumo Operacional'!$A$1:$P$1,0))*$S606)</f>
        <v>51.716999999999999</v>
      </c>
      <c r="AR606" s="71">
        <f t="shared" si="348"/>
        <v>-28.716999999999999</v>
      </c>
      <c r="AS606" s="73">
        <f t="shared" si="349"/>
        <v>122.67000000000002</v>
      </c>
      <c r="AT606" s="74">
        <f t="shared" si="350"/>
        <v>122.67000000000002</v>
      </c>
      <c r="AU606" s="74" t="str">
        <f t="shared" si="351"/>
        <v/>
      </c>
      <c r="AV606" s="74">
        <f t="shared" si="352"/>
        <v>0</v>
      </c>
      <c r="AW606" s="74">
        <f t="shared" si="353"/>
        <v>0</v>
      </c>
      <c r="AX606" s="74">
        <f t="shared" si="354"/>
        <v>0</v>
      </c>
      <c r="AY606" s="74" t="str">
        <f t="shared" si="355"/>
        <v/>
      </c>
      <c r="AZ606" s="43" t="s">
        <v>354</v>
      </c>
      <c r="BA606" s="43">
        <v>0</v>
      </c>
      <c r="BC606" s="73" t="str">
        <f t="shared" si="356"/>
        <v/>
      </c>
      <c r="BD606" s="73">
        <f t="shared" si="357"/>
        <v>122.67000000000002</v>
      </c>
      <c r="BE606" s="73">
        <f t="shared" si="358"/>
        <v>122.67000000000002</v>
      </c>
      <c r="BF606" s="77">
        <f t="shared" si="359"/>
        <v>0</v>
      </c>
      <c r="BG606" s="77">
        <f t="shared" si="360"/>
        <v>0</v>
      </c>
      <c r="BH606" s="77">
        <f t="shared" si="361"/>
        <v>0</v>
      </c>
      <c r="BI606" s="78" t="str">
        <f t="shared" si="362"/>
        <v/>
      </c>
      <c r="BJ606" s="79">
        <f t="shared" si="363"/>
        <v>0</v>
      </c>
      <c r="BK606" s="80" t="str">
        <f t="shared" si="364"/>
        <v/>
      </c>
      <c r="BL606" s="80" t="str">
        <f t="shared" si="365"/>
        <v/>
      </c>
      <c r="BM606" s="79" t="str">
        <f t="shared" si="366"/>
        <v/>
      </c>
      <c r="BN606" s="81" t="str">
        <f t="shared" si="367"/>
        <v/>
      </c>
      <c r="BO606" s="82" t="str">
        <f t="shared" si="368"/>
        <v/>
      </c>
      <c r="BP606" s="81" t="str">
        <f t="shared" si="369"/>
        <v/>
      </c>
      <c r="BQ606" s="81" t="str">
        <f t="shared" si="370"/>
        <v/>
      </c>
      <c r="BR606" s="81" t="str">
        <f t="shared" si="371"/>
        <v/>
      </c>
      <c r="BS606" s="82">
        <f t="shared" si="372"/>
        <v>0</v>
      </c>
      <c r="BT606" s="82" t="str">
        <f t="shared" si="373"/>
        <v/>
      </c>
      <c r="BU606" s="82">
        <f t="shared" si="374"/>
        <v>0</v>
      </c>
      <c r="BW606" s="82">
        <f>IFERROR(INDEX('Infos Clientes'!$T:$T,MATCH('Detalhe Por UC'!$C606,'Infos Clientes'!B:B,0)),"")</f>
        <v>93.7</v>
      </c>
      <c r="BX606" s="83">
        <f t="shared" si="375"/>
        <v>0</v>
      </c>
      <c r="BY606" s="84" t="str">
        <f t="shared" si="376"/>
        <v/>
      </c>
      <c r="BZ606" s="85">
        <f>IF(_xlfn.MINIFS('Detalhe Por UC'!R:R,'Detalhe Por UC'!C:C,C606,'Detalhe Por UC'!AD:AD,"&gt;"&amp;0)=0,"",_xlfn.MINIFS('Detalhe Por UC'!R:R,'Detalhe Por UC'!C:C,C606,'Detalhe Por UC'!AD:AD,"&gt;"&amp;0))</f>
        <v>45689</v>
      </c>
      <c r="CA606" s="114">
        <f ca="1">IF(OR(S606&gt;0,AD606&gt;0),IFERROR(
SUMIFS(INDIRECT("'Infos Clientes'!$W"&amp;INDEX('Infos Clientes'!$C:$C,MATCH(C606,'Infos Clientes'!$H:$H,0))&amp;":$CZ"&amp;INDEX('Infos Clientes'!$C:$C,MATCH(C606,'Infos Clientes'!$H:$H,0))),'Infos Clientes'!$W$2:$CZ$2,"&gt;"&amp;$R606-365,'Infos Clientes'!$W$2:$CZ$2,"&lt;="&amp;$R606)/
COUNTIFS(INDIRECT("'Infos Clientes'!$W"&amp;INDEX('Infos Clientes'!$C:$C,MATCH(C606,'Infos Clientes'!$H:$H,0))&amp;":$CZ"&amp;INDEX('Infos Clientes'!$C:$C,MATCH(C606,'Infos Clientes'!$H:$H,0))),"&gt;="&amp;0,'Infos Clientes'!$W$2:$CZ$2,"&gt;"&amp;$R606-365,'Infos Clientes'!$W$2:$CZ$2,"&lt;="&amp;$R606),""),"")</f>
        <v>491.08333333333331</v>
      </c>
      <c r="CB606" s="87">
        <f>VLOOKUP(C606,'Infos Clientes'!B:L,11,0)</f>
        <v>0</v>
      </c>
      <c r="CC606" s="88" t="str">
        <f t="shared" si="377"/>
        <v>A Unidade Consumidora 10/505854-0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6" s="40"/>
      <c r="CE606" s="43"/>
      <c r="CF606" s="115">
        <f t="shared" si="378"/>
        <v>-122.67000000000002</v>
      </c>
    </row>
    <row r="607" spans="1:84" ht="16.2" hidden="1" customHeight="1" x14ac:dyDescent="0.3">
      <c r="A607" s="105" t="str">
        <f>INDEX('Infos Clientes'!$D:$D,MATCH('Detalhe Por UC'!C607,'Infos Clientes'!B:B,0))</f>
        <v>IGREJA DO EVANGELHO QUADRANGULAR</v>
      </c>
      <c r="B607" s="106" t="str">
        <f>INDEX('Infos Clientes'!$F:$F,MATCH('Detalhe Por UC'!C607,'Infos Clientes'!B:B,0))</f>
        <v>62.955.505/3311-98</v>
      </c>
      <c r="C607" s="44" t="s">
        <v>147</v>
      </c>
      <c r="D607" t="s">
        <v>351</v>
      </c>
      <c r="E607" s="1" t="s">
        <v>352</v>
      </c>
      <c r="F607" s="56" t="str">
        <f>INDEX('Infos Clientes'!$I:$I,MATCH('Detalhe Por UC'!C607,'Infos Clientes'!B:B,0))</f>
        <v>BT</v>
      </c>
      <c r="G607" s="56" t="str">
        <f>INDEX('Infos Clientes'!$J:$J,MATCH('Detalhe Por UC'!C607,'Infos Clientes'!B:B,0))</f>
        <v>trifasico</v>
      </c>
      <c r="H607" s="47" t="str">
        <f t="shared" si="342"/>
        <v>GIROSSOL III</v>
      </c>
      <c r="I607" s="58">
        <f>IFERROR(VLOOKUP(C607,'Infos Clientes'!B:E,4,),"")</f>
        <v>360</v>
      </c>
      <c r="J607" s="109">
        <v>0.23725425614394724</v>
      </c>
      <c r="K607" s="59">
        <f>INDEX('Infos Clientes'!$M:$M,MATCH('Detalhe Por UC'!C607,'Infos Clientes'!B:B,0))</f>
        <v>0.25</v>
      </c>
      <c r="L607" s="125">
        <v>0</v>
      </c>
      <c r="M607" s="56">
        <f>INDEX('Infos Clientes'!$N:$N,MATCH('Detalhe Por UC'!C607,'Infos Clientes'!B:B,0))</f>
        <v>0</v>
      </c>
      <c r="N607" s="56">
        <f t="shared" si="343"/>
        <v>0</v>
      </c>
      <c r="O607" s="56">
        <f t="shared" si="344"/>
        <v>9</v>
      </c>
      <c r="P607" s="56">
        <f t="shared" si="379"/>
        <v>0</v>
      </c>
      <c r="Q607" s="61">
        <f>IFERROR(IFERROR(INDEX('Infos Clientes'!$A$2:$V$9884,MATCH($C607,'Infos Clientes'!$B$2:$B$9884,0),MATCH(Q$8,'Infos Clientes'!$A$2:$V$2,0)),"")
+IF(OR(INDEX('Infos Clientes'!$A$2:$V$9884,MATCH($C607,'Infos Clientes'!$B$2:$B$9884,0),MATCH("Tempo de Fidelidade (meses)",'Infos Clientes'!$A$2:$V$2,0))=0,R607&gt;=MAX(R:R)),0,
ROUND((MAX(R:R)-R607)/(365/12),0)),"")</f>
        <v>0</v>
      </c>
      <c r="R607" s="111">
        <v>45809</v>
      </c>
      <c r="S607" s="63">
        <v>0.04</v>
      </c>
      <c r="T607" s="113" t="str">
        <f>IF($H607="GIROSSOL II",AP607/INDEX('Resumo Operacional'!$A$1:$P$1103,17,MATCH('Detalhe Por UC'!$R607,'Resumo Operacional'!$A$1:$P$1,0)),
IF($H607="GIROSSOL II e III",AP607/INDEX('Resumo Operacional'!$A$1:$P$1103,17,MATCH('Detalhe Por UC'!$R607,'Resumo Operacional'!$A$1:$P$1,0)),
""))</f>
        <v/>
      </c>
      <c r="U607" s="113">
        <f>IF($H607="GIROSSOL III",AP607/INDEX('Resumo Operacional'!$A$1:$P$1103,53,MATCH('Detalhe Por UC'!$R607,'Resumo Operacional'!$A$1:$P$1,0)),
IF($H607="GIROSSOL II e III",AP607/INDEX('Resumo Operacional'!$A$1:$P$1103,53,MATCH('Detalhe Por UC'!$R607,'Resumo Operacional'!$A$1:$P$1,0)),
""))</f>
        <v>1.8388537618191311E-2</v>
      </c>
      <c r="V607" s="45"/>
      <c r="X607" s="18">
        <v>1.1564361702127661</v>
      </c>
      <c r="Y607" s="18">
        <v>0</v>
      </c>
      <c r="Z607" s="18">
        <v>0.99955835962145112</v>
      </c>
      <c r="AA607" s="18"/>
      <c r="AB607" s="18">
        <v>376</v>
      </c>
      <c r="AC607" s="18"/>
      <c r="AD607" s="143">
        <v>317</v>
      </c>
      <c r="AE607" s="35"/>
      <c r="AF607" s="18">
        <v>0</v>
      </c>
      <c r="AG607" s="18">
        <v>0</v>
      </c>
      <c r="AH607" s="48">
        <v>64.760000000000005</v>
      </c>
      <c r="AI607" s="18">
        <v>0</v>
      </c>
      <c r="AJ607" s="18">
        <v>0</v>
      </c>
      <c r="AL607" s="146"/>
      <c r="AN607" s="71">
        <f t="shared" si="345"/>
        <v>0</v>
      </c>
      <c r="AO607" s="71">
        <f t="shared" si="346"/>
        <v>0</v>
      </c>
      <c r="AP607" s="71">
        <f t="shared" si="347"/>
        <v>317</v>
      </c>
      <c r="AQ607" s="72">
        <f>IF(OR($H607="GIROSSOL II",$H607="GIROSSOL II e III"),INDEX('Resumo Operacional'!$A$1:$P$1103,MATCH("Energia Injetada prevista total Fatura da Usina (TUSD)",'Resumo Operacional'!$B$1:$B$1103,0),MATCH('Detalhe Por UC'!$R607,'Resumo Operacional'!$A$1:$P$1,0))*$S607,INDEX('Resumo Operacional'!$A$1:$P$1103,53,MATCH('Detalhe Por UC'!$R607,'Resumo Operacional'!$A$1:$P$1,0))*$S607)</f>
        <v>689.56000000000006</v>
      </c>
      <c r="AR607" s="71">
        <f t="shared" si="348"/>
        <v>-372.56000000000006</v>
      </c>
      <c r="AS607" s="73">
        <f t="shared" si="349"/>
        <v>182.72000000000003</v>
      </c>
      <c r="AT607" s="74">
        <f t="shared" si="350"/>
        <v>182.72000000000003</v>
      </c>
      <c r="AU607" s="74">
        <f t="shared" si="351"/>
        <v>0.84268054903013612</v>
      </c>
      <c r="AV607" s="74">
        <f t="shared" si="352"/>
        <v>241.68361639822888</v>
      </c>
      <c r="AW607" s="74">
        <f t="shared" si="353"/>
        <v>0</v>
      </c>
      <c r="AX607" s="74">
        <f t="shared" si="354"/>
        <v>316.86</v>
      </c>
      <c r="AY607" s="74">
        <f t="shared" si="355"/>
        <v>241.68</v>
      </c>
      <c r="AZ607" s="43">
        <v>237.65</v>
      </c>
      <c r="BA607" s="43">
        <v>237.65</v>
      </c>
      <c r="BB607" s="43">
        <v>237.65</v>
      </c>
      <c r="BC607" s="73" t="str">
        <f t="shared" si="356"/>
        <v/>
      </c>
      <c r="BD607" s="73">
        <f t="shared" si="357"/>
        <v>499.58000000000004</v>
      </c>
      <c r="BE607" s="73">
        <f t="shared" si="358"/>
        <v>424.40361639822891</v>
      </c>
      <c r="BF607" s="77">
        <f t="shared" si="359"/>
        <v>75.180000000000007</v>
      </c>
      <c r="BG607" s="77">
        <f t="shared" si="360"/>
        <v>22.554000000000002</v>
      </c>
      <c r="BH607" s="77">
        <f t="shared" si="361"/>
        <v>316.86</v>
      </c>
      <c r="BI607" s="78">
        <f t="shared" si="362"/>
        <v>0.24</v>
      </c>
      <c r="BJ607" s="79">
        <f t="shared" si="363"/>
        <v>0.15048640858320989</v>
      </c>
      <c r="BK607" s="80">
        <f t="shared" si="364"/>
        <v>424.40000000000003</v>
      </c>
      <c r="BL607" s="80">
        <f t="shared" si="365"/>
        <v>75.180000000000007</v>
      </c>
      <c r="BM607" s="79">
        <f t="shared" si="366"/>
        <v>0.15048640858320989</v>
      </c>
      <c r="BN607" s="81">
        <f t="shared" si="367"/>
        <v>0.76239747634069399</v>
      </c>
      <c r="BO607" s="82">
        <f t="shared" si="368"/>
        <v>241.68</v>
      </c>
      <c r="BP607" s="81">
        <f t="shared" si="369"/>
        <v>0.76239747634069399</v>
      </c>
      <c r="BQ607" s="81">
        <f t="shared" si="370"/>
        <v>0.91927528693200899</v>
      </c>
      <c r="BR607" s="81">
        <f t="shared" si="371"/>
        <v>1.1564361702127661</v>
      </c>
      <c r="BS607" s="82">
        <f t="shared" si="372"/>
        <v>317</v>
      </c>
      <c r="BT607" s="82">
        <f t="shared" si="373"/>
        <v>366.59026595744689</v>
      </c>
      <c r="BU607" s="82">
        <f t="shared" si="374"/>
        <v>316.86</v>
      </c>
      <c r="BW607" s="82">
        <f>IFERROR(INDEX('Infos Clientes'!$T:$T,MATCH('Detalhe Por UC'!$C607,'Infos Clientes'!B:B,0)),"")</f>
        <v>471.63636363636363</v>
      </c>
      <c r="BX607" s="83">
        <f t="shared" si="375"/>
        <v>0</v>
      </c>
      <c r="BY607" s="84">
        <f t="shared" si="376"/>
        <v>0.20507909505902366</v>
      </c>
      <c r="BZ607" s="85">
        <f>IF(_xlfn.MINIFS('Detalhe Por UC'!R:R,'Detalhe Por UC'!C:C,C607,'Detalhe Por UC'!AD:AD,"&gt;"&amp;0)=0,"",_xlfn.MINIFS('Detalhe Por UC'!R:R,'Detalhe Por UC'!C:C,C607,'Detalhe Por UC'!AD:AD,"&gt;"&amp;0))</f>
        <v>45658</v>
      </c>
      <c r="CA607" s="114">
        <f ca="1">IF(OR(S607&gt;0,AD607&gt;0),IFERROR(
SUMIFS(INDIRECT("'Infos Clientes'!$W"&amp;INDEX('Infos Clientes'!$C:$C,MATCH(C607,'Infos Clientes'!$H:$H,0))&amp;":$CZ"&amp;INDEX('Infos Clientes'!$C:$C,MATCH(C607,'Infos Clientes'!$H:$H,0))),'Infos Clientes'!$W$2:$CZ$2,"&gt;"&amp;$R607-365,'Infos Clientes'!$W$2:$CZ$2,"&lt;="&amp;$R607)/
COUNTIFS(INDIRECT("'Infos Clientes'!$W"&amp;INDEX('Infos Clientes'!$C:$C,MATCH(C607,'Infos Clientes'!$H:$H,0))&amp;":$CZ"&amp;INDEX('Infos Clientes'!$C:$C,MATCH(C607,'Infos Clientes'!$H:$H,0))),"&gt;="&amp;0,'Infos Clientes'!$W$2:$CZ$2,"&gt;"&amp;$R607-365,'Infos Clientes'!$W$2:$CZ$2,"&lt;="&amp;$R607),""),"")</f>
        <v>491.08333333333331</v>
      </c>
      <c r="CB607" s="87">
        <f>VLOOKUP(C607,'Infos Clientes'!B:L,11,0)</f>
        <v>0</v>
      </c>
      <c r="CC607" s="88" t="str">
        <f t="shared" si="377"/>
        <v>A Unidade Consumidora 10/127464-6 economizou R$75,18 na fatura referente à jun/2025  consumindo 317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7" s="40" t="s">
        <v>149</v>
      </c>
      <c r="CE607" s="43"/>
      <c r="CF607" s="115">
        <f t="shared" si="378"/>
        <v>-182.72000000000003</v>
      </c>
    </row>
    <row r="608" spans="1:84" ht="16.2" hidden="1" customHeight="1" x14ac:dyDescent="0.3">
      <c r="A608" s="105" t="str">
        <f>INDEX('Infos Clientes'!$D:$D,MATCH('Detalhe Por UC'!C608,'Infos Clientes'!B:B,0))</f>
        <v>IGREJA DO EVANGELHO QUADRANGULAR</v>
      </c>
      <c r="B608" s="106" t="str">
        <f>INDEX('Infos Clientes'!$F:$F,MATCH('Detalhe Por UC'!C608,'Infos Clientes'!B:B,0))</f>
        <v>62.955.505/1570-66</v>
      </c>
      <c r="C608" s="44" t="s">
        <v>172</v>
      </c>
      <c r="D608" t="s">
        <v>351</v>
      </c>
      <c r="E608" s="1" t="s">
        <v>352</v>
      </c>
      <c r="F608" s="56" t="str">
        <f>INDEX('Infos Clientes'!$I:$I,MATCH('Detalhe Por UC'!C608,'Infos Clientes'!B:B,0))</f>
        <v>BT</v>
      </c>
      <c r="G608" s="56" t="str">
        <f>INDEX('Infos Clientes'!$J:$J,MATCH('Detalhe Por UC'!C608,'Infos Clientes'!B:B,0))</f>
        <v>trifasico</v>
      </c>
      <c r="H608" s="47" t="str">
        <f t="shared" si="342"/>
        <v>GIROSSOL III</v>
      </c>
      <c r="I608" s="58">
        <f>IFERROR(VLOOKUP(C608,'Infos Clientes'!B:E,4,),"")</f>
        <v>357</v>
      </c>
      <c r="J608" s="109">
        <v>0.23725425614394724</v>
      </c>
      <c r="K608" s="59">
        <f>INDEX('Infos Clientes'!$M:$M,MATCH('Detalhe Por UC'!C608,'Infos Clientes'!B:B,0))</f>
        <v>0.25</v>
      </c>
      <c r="L608" s="125">
        <v>0</v>
      </c>
      <c r="M608" s="56">
        <f>INDEX('Infos Clientes'!$N:$N,MATCH('Detalhe Por UC'!C608,'Infos Clientes'!B:B,0))</f>
        <v>0</v>
      </c>
      <c r="N608" s="56">
        <f t="shared" si="343"/>
        <v>0</v>
      </c>
      <c r="O608" s="56">
        <f t="shared" si="344"/>
        <v>9</v>
      </c>
      <c r="P608" s="56">
        <f t="shared" si="379"/>
        <v>0</v>
      </c>
      <c r="Q608" s="61">
        <f>IFERROR(IFERROR(INDEX('Infos Clientes'!$A$2:$V$9884,MATCH($C608,'Infos Clientes'!$B$2:$B$9884,0),MATCH(Q$8,'Infos Clientes'!$A$2:$V$2,0)),"")
+IF(OR(INDEX('Infos Clientes'!$A$2:$V$9884,MATCH($C608,'Infos Clientes'!$B$2:$B$9884,0),MATCH("Tempo de Fidelidade (meses)",'Infos Clientes'!$A$2:$V$2,0))=0,R608&gt;=MAX(R:R)),0,
ROUND((MAX(R:R)-R608)/(365/12),0)),"")</f>
        <v>0</v>
      </c>
      <c r="R608" s="111">
        <v>45809</v>
      </c>
      <c r="S608" s="63">
        <v>0.02</v>
      </c>
      <c r="T608" s="113" t="str">
        <f>IF($H608="GIROSSOL II",AP608/INDEX('Resumo Operacional'!$A$1:$P$1103,17,MATCH('Detalhe Por UC'!$R608,'Resumo Operacional'!$A$1:$P$1,0)),
IF($H608="GIROSSOL II e III",AP608/INDEX('Resumo Operacional'!$A$1:$P$1103,17,MATCH('Detalhe Por UC'!$R608,'Resumo Operacional'!$A$1:$P$1,0)),
""))</f>
        <v/>
      </c>
      <c r="U608" s="113">
        <f>IF($H608="GIROSSOL III",AP608/INDEX('Resumo Operacional'!$A$1:$P$1103,53,MATCH('Detalhe Por UC'!$R608,'Resumo Operacional'!$A$1:$P$1,0)),
IF($H608="GIROSSOL II e III",AP608/INDEX('Resumo Operacional'!$A$1:$P$1103,53,MATCH('Detalhe Por UC'!$R608,'Resumo Operacional'!$A$1:$P$1,0)),
""))</f>
        <v>9.1652648065433037E-3</v>
      </c>
      <c r="V608" s="45"/>
      <c r="X608" s="18">
        <v>1.1620482456140353</v>
      </c>
      <c r="Y608" s="18">
        <v>0</v>
      </c>
      <c r="Z608" s="18">
        <v>1.0051827956989245</v>
      </c>
      <c r="AA608" s="18"/>
      <c r="AB608" s="18">
        <v>152</v>
      </c>
      <c r="AC608" s="18"/>
      <c r="AD608" s="143">
        <v>62</v>
      </c>
      <c r="AE608" s="35"/>
      <c r="AF608" s="18">
        <v>331</v>
      </c>
      <c r="AG608" s="18">
        <v>0</v>
      </c>
      <c r="AH608" s="48">
        <v>0</v>
      </c>
      <c r="AI608" s="18">
        <v>0</v>
      </c>
      <c r="AJ608" s="18">
        <v>0</v>
      </c>
      <c r="AL608" s="146"/>
      <c r="AN608" s="71">
        <f t="shared" si="345"/>
        <v>96</v>
      </c>
      <c r="AO608" s="71">
        <f t="shared" si="346"/>
        <v>0</v>
      </c>
      <c r="AP608" s="71">
        <f t="shared" si="347"/>
        <v>158</v>
      </c>
      <c r="AQ608" s="72">
        <f>IF(OR($H608="GIROSSOL II",$H608="GIROSSOL II e III"),INDEX('Resumo Operacional'!$A$1:$P$1103,MATCH("Energia Injetada prevista total Fatura da Usina (TUSD)",'Resumo Operacional'!$B$1:$B$1103,0),MATCH('Detalhe Por UC'!$R608,'Resumo Operacional'!$A$1:$P$1,0))*$S608,INDEX('Resumo Operacional'!$A$1:$P$1103,53,MATCH('Detalhe Por UC'!$R608,'Resumo Operacional'!$A$1:$P$1,0))*$S608)</f>
        <v>344.78000000000003</v>
      </c>
      <c r="AR608" s="71">
        <f t="shared" si="348"/>
        <v>-186.78000000000003</v>
      </c>
      <c r="AS608" s="73">
        <f t="shared" si="349"/>
        <v>114.31000000000006</v>
      </c>
      <c r="AT608" s="74">
        <f t="shared" si="350"/>
        <v>114.31000000000006</v>
      </c>
      <c r="AU608" s="74">
        <f t="shared" si="351"/>
        <v>0.84831734578381379</v>
      </c>
      <c r="AV608" s="74">
        <f t="shared" si="352"/>
        <v>47.535331751434342</v>
      </c>
      <c r="AW608" s="74">
        <f t="shared" si="353"/>
        <v>0</v>
      </c>
      <c r="AX608" s="74">
        <f t="shared" si="354"/>
        <v>62.321333333333321</v>
      </c>
      <c r="AY608" s="74">
        <f t="shared" si="355"/>
        <v>47.54</v>
      </c>
      <c r="AZ608" s="43">
        <v>46.74</v>
      </c>
      <c r="BA608" s="43">
        <v>46.74</v>
      </c>
      <c r="BB608" s="43">
        <v>46.74</v>
      </c>
      <c r="BC608" s="73" t="str">
        <f t="shared" si="356"/>
        <v/>
      </c>
      <c r="BD608" s="73">
        <f t="shared" si="357"/>
        <v>176.63133333333337</v>
      </c>
      <c r="BE608" s="73">
        <f t="shared" si="358"/>
        <v>161.8453317514344</v>
      </c>
      <c r="BF608" s="77">
        <f t="shared" si="359"/>
        <v>14.79</v>
      </c>
      <c r="BG608" s="77">
        <f t="shared" si="360"/>
        <v>4.4369999999999994</v>
      </c>
      <c r="BH608" s="77">
        <f t="shared" si="361"/>
        <v>62.321333333333314</v>
      </c>
      <c r="BI608" s="78">
        <f t="shared" si="362"/>
        <v>0.24</v>
      </c>
      <c r="BJ608" s="79">
        <f t="shared" si="363"/>
        <v>8.3733727877650974E-2</v>
      </c>
      <c r="BK608" s="80">
        <f t="shared" si="364"/>
        <v>161.85000000000005</v>
      </c>
      <c r="BL608" s="80">
        <f t="shared" si="365"/>
        <v>14.781333333333322</v>
      </c>
      <c r="BM608" s="79">
        <f t="shared" si="366"/>
        <v>8.3684661460593918E-2</v>
      </c>
      <c r="BN608" s="81">
        <f t="shared" si="367"/>
        <v>0.76677419354838705</v>
      </c>
      <c r="BO608" s="82">
        <f t="shared" si="368"/>
        <v>47.54</v>
      </c>
      <c r="BP608" s="81">
        <f t="shared" si="369"/>
        <v>0.76677419354838705</v>
      </c>
      <c r="BQ608" s="81">
        <f t="shared" si="370"/>
        <v>0.92363964346349781</v>
      </c>
      <c r="BR608" s="81">
        <f t="shared" si="371"/>
        <v>1.1620482456140353</v>
      </c>
      <c r="BS608" s="82">
        <f t="shared" si="372"/>
        <v>62</v>
      </c>
      <c r="BT608" s="82">
        <f t="shared" si="373"/>
        <v>72.046991228070183</v>
      </c>
      <c r="BU608" s="82">
        <f t="shared" si="374"/>
        <v>62.321333333333321</v>
      </c>
      <c r="BW608" s="82">
        <f>IFERROR(INDEX('Infos Clientes'!$T:$T,MATCH('Detalhe Por UC'!$C608,'Infos Clientes'!B:B,0)),"")</f>
        <v>324.72727272727275</v>
      </c>
      <c r="BX608" s="83">
        <f t="shared" si="375"/>
        <v>0</v>
      </c>
      <c r="BY608" s="84">
        <f t="shared" si="376"/>
        <v>0.20516239583887547</v>
      </c>
      <c r="BZ608" s="85">
        <f>IF(_xlfn.MINIFS('Detalhe Por UC'!R:R,'Detalhe Por UC'!C:C,C608,'Detalhe Por UC'!AD:AD,"&gt;"&amp;0)=0,"",_xlfn.MINIFS('Detalhe Por UC'!R:R,'Detalhe Por UC'!C:C,C608,'Detalhe Por UC'!AD:AD,"&gt;"&amp;0))</f>
        <v>45658</v>
      </c>
      <c r="CA608" s="114">
        <f ca="1">IF(OR(S608&gt;0,AD608&gt;0),IFERROR(
SUMIFS(INDIRECT("'Infos Clientes'!$W"&amp;INDEX('Infos Clientes'!$C:$C,MATCH(C608,'Infos Clientes'!$H:$H,0))&amp;":$CZ"&amp;INDEX('Infos Clientes'!$C:$C,MATCH(C608,'Infos Clientes'!$H:$H,0))),'Infos Clientes'!$W$2:$CZ$2,"&gt;"&amp;$R608-365,'Infos Clientes'!$W$2:$CZ$2,"&lt;="&amp;$R608)/
COUNTIFS(INDIRECT("'Infos Clientes'!$W"&amp;INDEX('Infos Clientes'!$C:$C,MATCH(C608,'Infos Clientes'!$H:$H,0))&amp;":$CZ"&amp;INDEX('Infos Clientes'!$C:$C,MATCH(C608,'Infos Clientes'!$H:$H,0))),"&gt;="&amp;0,'Infos Clientes'!$W$2:$CZ$2,"&gt;"&amp;$R608-365,'Infos Clientes'!$W$2:$CZ$2,"&lt;="&amp;$R608),""),"")</f>
        <v>277.75</v>
      </c>
      <c r="CB608" s="87">
        <f>VLOOKUP(C608,'Infos Clientes'!B:L,11,0)</f>
        <v>0</v>
      </c>
      <c r="CC608" s="88" t="str">
        <f t="shared" si="377"/>
        <v>A Unidade Consumidora 10/24514-2 economizou R$14,79 na fatura referente à jun/2025  consumindo 62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8" s="40" t="s">
        <v>174</v>
      </c>
      <c r="CE608" s="43"/>
      <c r="CF608" s="115">
        <f t="shared" si="378"/>
        <v>-114.31000000000006</v>
      </c>
    </row>
    <row r="609" spans="1:84" ht="16.2" hidden="1" customHeight="1" x14ac:dyDescent="0.3">
      <c r="A609" s="105" t="str">
        <f>INDEX('Infos Clientes'!$D:$D,MATCH('Detalhe Por UC'!C609,'Infos Clientes'!B:B,0))</f>
        <v>IGREJA DO EVANGELHO QUADRANGULAR</v>
      </c>
      <c r="B609" s="106" t="str">
        <f>INDEX('Infos Clientes'!$F:$F,MATCH('Detalhe Por UC'!C609,'Infos Clientes'!B:B,0))</f>
        <v>62.955.505/2876-01</v>
      </c>
      <c r="C609" s="44" t="s">
        <v>180</v>
      </c>
      <c r="D609" t="s">
        <v>351</v>
      </c>
      <c r="E609" s="1" t="s">
        <v>352</v>
      </c>
      <c r="F609" s="56" t="str">
        <f>INDEX('Infos Clientes'!$I:$I,MATCH('Detalhe Por UC'!C609,'Infos Clientes'!B:B,0))</f>
        <v>BT</v>
      </c>
      <c r="G609" s="56" t="str">
        <f>INDEX('Infos Clientes'!$J:$J,MATCH('Detalhe Por UC'!C609,'Infos Clientes'!B:B,0))</f>
        <v>trifasico</v>
      </c>
      <c r="H609" s="47" t="str">
        <f t="shared" si="342"/>
        <v>GIROSSOL III</v>
      </c>
      <c r="I609" s="58">
        <f>IFERROR(VLOOKUP(C609,'Infos Clientes'!B:E,4,),"")</f>
        <v>994</v>
      </c>
      <c r="J609" s="109">
        <v>0.23725425614394724</v>
      </c>
      <c r="K609" s="59">
        <f>INDEX('Infos Clientes'!$M:$M,MATCH('Detalhe Por UC'!C609,'Infos Clientes'!B:B,0))</f>
        <v>0.25</v>
      </c>
      <c r="L609" s="125">
        <v>0</v>
      </c>
      <c r="M609" s="56">
        <f>INDEX('Infos Clientes'!$N:$N,MATCH('Detalhe Por UC'!C609,'Infos Clientes'!B:B,0))</f>
        <v>0</v>
      </c>
      <c r="N609" s="56">
        <f t="shared" si="343"/>
        <v>0</v>
      </c>
      <c r="O609" s="56">
        <f t="shared" si="344"/>
        <v>11</v>
      </c>
      <c r="P609" s="56">
        <f t="shared" si="379"/>
        <v>0</v>
      </c>
      <c r="Q609" s="61">
        <f>IFERROR(IFERROR(INDEX('Infos Clientes'!$A$2:$V$9884,MATCH($C609,'Infos Clientes'!$B$2:$B$9884,0),MATCH(Q$8,'Infos Clientes'!$A$2:$V$2,0)),"")
+IF(OR(INDEX('Infos Clientes'!$A$2:$V$9884,MATCH($C609,'Infos Clientes'!$B$2:$B$9884,0),MATCH("Tempo de Fidelidade (meses)",'Infos Clientes'!$A$2:$V$2,0))=0,R609&gt;=MAX(R:R)),0,
ROUND((MAX(R:R)-R609)/(365/12),0)),"")</f>
        <v>0</v>
      </c>
      <c r="R609" s="111">
        <v>45809</v>
      </c>
      <c r="S609" s="63">
        <v>0.01</v>
      </c>
      <c r="T609" s="113" t="str">
        <f>IF($H609="GIROSSOL II",AP609/INDEX('Resumo Operacional'!$A$1:$P$1103,17,MATCH('Detalhe Por UC'!$R609,'Resumo Operacional'!$A$1:$P$1,0)),
IF($H609="GIROSSOL II e III",AP609/INDEX('Resumo Operacional'!$A$1:$P$1103,17,MATCH('Detalhe Por UC'!$R609,'Resumo Operacional'!$A$1:$P$1,0)),
""))</f>
        <v/>
      </c>
      <c r="U609" s="113">
        <f>IF($H609="GIROSSOL III",AP609/INDEX('Resumo Operacional'!$A$1:$P$1103,53,MATCH('Detalhe Por UC'!$R609,'Resumo Operacional'!$A$1:$P$1,0)),
IF($H609="GIROSSOL II e III",AP609/INDEX('Resumo Operacional'!$A$1:$P$1103,53,MATCH('Detalhe Por UC'!$R609,'Resumo Operacional'!$A$1:$P$1,0)),
""))</f>
        <v>0</v>
      </c>
      <c r="V609" s="45"/>
      <c r="X609" s="18">
        <v>1.1704071731785497</v>
      </c>
      <c r="Y609" s="18">
        <v>0</v>
      </c>
      <c r="Z609" s="18">
        <v>1.0135660731021559</v>
      </c>
      <c r="AA609" s="18"/>
      <c r="AB609" s="18">
        <v>119</v>
      </c>
      <c r="AC609" s="18"/>
      <c r="AD609" s="143">
        <v>22</v>
      </c>
      <c r="AE609" s="35"/>
      <c r="AF609" s="18">
        <v>183</v>
      </c>
      <c r="AG609" s="18">
        <v>0</v>
      </c>
      <c r="AH609" s="48">
        <v>23.99</v>
      </c>
      <c r="AI609" s="18">
        <v>0</v>
      </c>
      <c r="AJ609" s="18">
        <v>0</v>
      </c>
      <c r="AL609" s="146"/>
      <c r="AN609" s="71">
        <f t="shared" si="345"/>
        <v>-22</v>
      </c>
      <c r="AO609" s="71">
        <f t="shared" si="346"/>
        <v>0</v>
      </c>
      <c r="AP609" s="71">
        <f t="shared" si="347"/>
        <v>0</v>
      </c>
      <c r="AQ609" s="72">
        <f>IF(OR($H609="GIROSSOL II",$H609="GIROSSOL II e III"),INDEX('Resumo Operacional'!$A$1:$P$1103,MATCH("Energia Injetada prevista total Fatura da Usina (TUSD)",'Resumo Operacional'!$B$1:$B$1103,0),MATCH('Detalhe Por UC'!$R609,'Resumo Operacional'!$A$1:$P$1,0))*$S609,INDEX('Resumo Operacional'!$A$1:$P$1103,53,MATCH('Detalhe Por UC'!$R609,'Resumo Operacional'!$A$1:$P$1,0))*$S609)</f>
        <v>172.39000000000001</v>
      </c>
      <c r="AR609" s="71">
        <f t="shared" si="348"/>
        <v>-172.39000000000001</v>
      </c>
      <c r="AS609" s="73">
        <f t="shared" si="349"/>
        <v>140.97</v>
      </c>
      <c r="AT609" s="74">
        <f t="shared" si="350"/>
        <v>140.97</v>
      </c>
      <c r="AU609" s="74">
        <f t="shared" si="351"/>
        <v>0.856724973025762</v>
      </c>
      <c r="AV609" s="74">
        <f t="shared" si="352"/>
        <v>17.008050584262367</v>
      </c>
      <c r="AW609" s="74">
        <f t="shared" si="353"/>
        <v>0</v>
      </c>
      <c r="AX609" s="74">
        <f t="shared" si="354"/>
        <v>22.298453608247428</v>
      </c>
      <c r="AY609" s="74">
        <f t="shared" si="355"/>
        <v>17.010000000000002</v>
      </c>
      <c r="AZ609" s="43">
        <v>16.72</v>
      </c>
      <c r="BA609" s="43">
        <v>16.72</v>
      </c>
      <c r="BB609" s="43">
        <v>16.72</v>
      </c>
      <c r="BC609" s="73" t="str">
        <f t="shared" si="356"/>
        <v/>
      </c>
      <c r="BD609" s="73">
        <f t="shared" si="357"/>
        <v>163.26845360824743</v>
      </c>
      <c r="BE609" s="73">
        <f t="shared" si="358"/>
        <v>157.97805058426238</v>
      </c>
      <c r="BF609" s="77">
        <f t="shared" si="359"/>
        <v>5.29</v>
      </c>
      <c r="BG609" s="77">
        <f t="shared" si="360"/>
        <v>1.587</v>
      </c>
      <c r="BH609" s="77">
        <f t="shared" si="361"/>
        <v>22.298453608247428</v>
      </c>
      <c r="BI609" s="78">
        <f t="shared" si="362"/>
        <v>0.24</v>
      </c>
      <c r="BJ609" s="79">
        <f t="shared" si="363"/>
        <v>3.2400625369387211E-2</v>
      </c>
      <c r="BK609" s="80">
        <f t="shared" si="364"/>
        <v>157.97999999999999</v>
      </c>
      <c r="BL609" s="80">
        <f t="shared" si="365"/>
        <v>5.2884536082474369</v>
      </c>
      <c r="BM609" s="79">
        <f t="shared" si="366"/>
        <v>3.239115390249702E-2</v>
      </c>
      <c r="BN609" s="81">
        <f t="shared" si="367"/>
        <v>0.7731818181818183</v>
      </c>
      <c r="BO609" s="82">
        <f t="shared" si="368"/>
        <v>17.010000000000002</v>
      </c>
      <c r="BP609" s="81">
        <f t="shared" si="369"/>
        <v>0.7731818181818183</v>
      </c>
      <c r="BQ609" s="81">
        <f t="shared" si="370"/>
        <v>0.93002291825821215</v>
      </c>
      <c r="BR609" s="81">
        <f t="shared" si="371"/>
        <v>1.1704071731785497</v>
      </c>
      <c r="BS609" s="82">
        <f t="shared" si="372"/>
        <v>22</v>
      </c>
      <c r="BT609" s="82">
        <f t="shared" si="373"/>
        <v>25.748957809928093</v>
      </c>
      <c r="BU609" s="82">
        <f t="shared" si="374"/>
        <v>22.298453608247428</v>
      </c>
      <c r="BW609" s="82">
        <f>IFERROR(INDEX('Infos Clientes'!$T:$T,MATCH('Detalhe Por UC'!$C609,'Infos Clientes'!B:B,0)),"")</f>
        <v>143.63636363636363</v>
      </c>
      <c r="BX609" s="83">
        <f t="shared" si="375"/>
        <v>0</v>
      </c>
      <c r="BY609" s="84">
        <f t="shared" si="376"/>
        <v>0.20538515179081707</v>
      </c>
      <c r="BZ609" s="85">
        <f>IF(_xlfn.MINIFS('Detalhe Por UC'!R:R,'Detalhe Por UC'!C:C,C609,'Detalhe Por UC'!AD:AD,"&gt;"&amp;0)=0,"",_xlfn.MINIFS('Detalhe Por UC'!R:R,'Detalhe Por UC'!C:C,C609,'Detalhe Por UC'!AD:AD,"&gt;"&amp;0))</f>
        <v>45658</v>
      </c>
      <c r="CA609" s="114">
        <f ca="1">IF(OR(S609&gt;0,AD609&gt;0),IFERROR(
SUMIFS(INDIRECT("'Infos Clientes'!$W"&amp;INDEX('Infos Clientes'!$C:$C,MATCH(C609,'Infos Clientes'!$H:$H,0))&amp;":$CZ"&amp;INDEX('Infos Clientes'!$C:$C,MATCH(C609,'Infos Clientes'!$H:$H,0))),'Infos Clientes'!$W$2:$CZ$2,"&gt;"&amp;$R609-365,'Infos Clientes'!$W$2:$CZ$2,"&lt;="&amp;$R609)/
COUNTIFS(INDIRECT("'Infos Clientes'!$W"&amp;INDEX('Infos Clientes'!$C:$C,MATCH(C609,'Infos Clientes'!$H:$H,0))&amp;":$CZ"&amp;INDEX('Infos Clientes'!$C:$C,MATCH(C609,'Infos Clientes'!$H:$H,0))),"&gt;="&amp;0,'Infos Clientes'!$W$2:$CZ$2,"&gt;"&amp;$R609-365,'Infos Clientes'!$W$2:$CZ$2,"&lt;="&amp;$R609),""),"")</f>
        <v>141.91666666666666</v>
      </c>
      <c r="CB609" s="87">
        <f>VLOOKUP(C609,'Infos Clientes'!B:L,11,0)</f>
        <v>0</v>
      </c>
      <c r="CC609" s="88" t="str">
        <f t="shared" si="377"/>
        <v>A Unidade Consumidora 10/283183-2 economizou R$5,29 na fatura referente à jun/2025  consumindo 22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09" s="40" t="s">
        <v>182</v>
      </c>
      <c r="CE609" s="43"/>
      <c r="CF609" s="115">
        <f t="shared" si="378"/>
        <v>-140.97</v>
      </c>
    </row>
    <row r="610" spans="1:84" ht="16.2" hidden="1" customHeight="1" x14ac:dyDescent="0.3">
      <c r="A610" s="105" t="str">
        <f>INDEX('Infos Clientes'!$D:$D,MATCH('Detalhe Por UC'!C610,'Infos Clientes'!B:B,0))</f>
        <v>IGREJA DO EVANGELHO QUADRANGULAR</v>
      </c>
      <c r="B610" s="106" t="str">
        <f>INDEX('Infos Clientes'!$F:$F,MATCH('Detalhe Por UC'!C610,'Infos Clientes'!B:B,0))</f>
        <v>62.955.505/1975-21</v>
      </c>
      <c r="C610" s="44" t="s">
        <v>154</v>
      </c>
      <c r="D610" t="s">
        <v>351</v>
      </c>
      <c r="E610" s="1" t="s">
        <v>352</v>
      </c>
      <c r="F610" s="56" t="str">
        <f>INDEX('Infos Clientes'!$I:$I,MATCH('Detalhe Por UC'!C610,'Infos Clientes'!B:B,0))</f>
        <v>BT</v>
      </c>
      <c r="G610" s="56" t="str">
        <f>INDEX('Infos Clientes'!$J:$J,MATCH('Detalhe Por UC'!C610,'Infos Clientes'!B:B,0))</f>
        <v>bifasico</v>
      </c>
      <c r="H610" s="47" t="str">
        <f t="shared" si="342"/>
        <v>GIROSSOL III</v>
      </c>
      <c r="I610" s="58">
        <f>IFERROR(VLOOKUP(C610,'Infos Clientes'!B:E,4,),"")</f>
        <v>357</v>
      </c>
      <c r="J610" s="109">
        <v>0.23725425614394724</v>
      </c>
      <c r="K610" s="59">
        <f>INDEX('Infos Clientes'!$M:$M,MATCH('Detalhe Por UC'!C610,'Infos Clientes'!B:B,0))</f>
        <v>0.25</v>
      </c>
      <c r="L610" s="125">
        <v>0</v>
      </c>
      <c r="M610" s="56">
        <f>INDEX('Infos Clientes'!$N:$N,MATCH('Detalhe Por UC'!C610,'Infos Clientes'!B:B,0))</f>
        <v>0</v>
      </c>
      <c r="N610" s="56">
        <f t="shared" si="343"/>
        <v>0</v>
      </c>
      <c r="O610" s="56">
        <f t="shared" si="344"/>
        <v>9</v>
      </c>
      <c r="P610" s="56">
        <f t="shared" si="379"/>
        <v>0</v>
      </c>
      <c r="Q610" s="61">
        <f>IFERROR(IFERROR(INDEX('Infos Clientes'!$A$2:$V$9884,MATCH($C610,'Infos Clientes'!$B$2:$B$9884,0),MATCH(Q$8,'Infos Clientes'!$A$2:$V$2,0)),"")
+IF(OR(INDEX('Infos Clientes'!$A$2:$V$9884,MATCH($C610,'Infos Clientes'!$B$2:$B$9884,0),MATCH("Tempo de Fidelidade (meses)",'Infos Clientes'!$A$2:$V$2,0))=0,R610&gt;=MAX(R:R)),0,
ROUND((MAX(R:R)-R610)/(365/12),0)),"")</f>
        <v>0</v>
      </c>
      <c r="R610" s="111">
        <v>45809</v>
      </c>
      <c r="S610" s="63">
        <v>0.02</v>
      </c>
      <c r="T610" s="113" t="str">
        <f>IF($H610="GIROSSOL II",AP610/INDEX('Resumo Operacional'!$A$1:$P$1103,17,MATCH('Detalhe Por UC'!$R610,'Resumo Operacional'!$A$1:$P$1,0)),
IF($H610="GIROSSOL II e III",AP610/INDEX('Resumo Operacional'!$A$1:$P$1103,17,MATCH('Detalhe Por UC'!$R610,'Resumo Operacional'!$A$1:$P$1,0)),
""))</f>
        <v/>
      </c>
      <c r="U610" s="113">
        <f>IF($H610="GIROSSOL III",AP610/INDEX('Resumo Operacional'!$A$1:$P$1103,53,MATCH('Detalhe Por UC'!$R610,'Resumo Operacional'!$A$1:$P$1,0)),
IF($H610="GIROSSOL II e III",AP610/INDEX('Resumo Operacional'!$A$1:$P$1103,53,MATCH('Detalhe Por UC'!$R610,'Resumo Operacional'!$A$1:$P$1,0)),
""))</f>
        <v>0</v>
      </c>
      <c r="V610" s="45"/>
      <c r="X610" s="18">
        <v>1.1683425460871515</v>
      </c>
      <c r="Y610" s="18">
        <v>0</v>
      </c>
      <c r="Z610" s="18">
        <v>1.0114822565969059</v>
      </c>
      <c r="AA610" s="18"/>
      <c r="AB610" s="18">
        <v>227</v>
      </c>
      <c r="AC610" s="18"/>
      <c r="AD610" s="143">
        <v>70</v>
      </c>
      <c r="AE610" s="35"/>
      <c r="AF610" s="18">
        <v>0</v>
      </c>
      <c r="AG610" s="18">
        <v>0</v>
      </c>
      <c r="AH610" s="48">
        <v>1.03</v>
      </c>
      <c r="AI610" s="18">
        <v>0</v>
      </c>
      <c r="AJ610" s="18">
        <v>0</v>
      </c>
      <c r="AL610" s="146"/>
      <c r="AN610" s="71">
        <f t="shared" si="345"/>
        <v>-70</v>
      </c>
      <c r="AO610" s="71">
        <f t="shared" si="346"/>
        <v>0</v>
      </c>
      <c r="AP610" s="71">
        <f t="shared" si="347"/>
        <v>0</v>
      </c>
      <c r="AQ610" s="72">
        <f>IF(OR($H610="GIROSSOL II",$H610="GIROSSOL II e III"),INDEX('Resumo Operacional'!$A$1:$P$1103,MATCH("Energia Injetada prevista total Fatura da Usina (TUSD)",'Resumo Operacional'!$B$1:$B$1103,0),MATCH('Detalhe Por UC'!$R610,'Resumo Operacional'!$A$1:$P$1,0))*$S610,INDEX('Resumo Operacional'!$A$1:$P$1103,53,MATCH('Detalhe Por UC'!$R610,'Resumo Operacional'!$A$1:$P$1,0))*$S610)</f>
        <v>344.78000000000003</v>
      </c>
      <c r="AR610" s="71">
        <f t="shared" si="348"/>
        <v>-344.78000000000003</v>
      </c>
      <c r="AS610" s="73">
        <f t="shared" si="349"/>
        <v>195.44</v>
      </c>
      <c r="AT610" s="74">
        <f t="shared" si="350"/>
        <v>195.44</v>
      </c>
      <c r="AU610" s="74">
        <f t="shared" si="351"/>
        <v>0.85462196710666039</v>
      </c>
      <c r="AV610" s="74">
        <f t="shared" si="352"/>
        <v>54.005265034364413</v>
      </c>
      <c r="AW610" s="74">
        <f t="shared" si="353"/>
        <v>0</v>
      </c>
      <c r="AX610" s="74">
        <f t="shared" si="354"/>
        <v>70.803757961783418</v>
      </c>
      <c r="AY610" s="74">
        <f t="shared" si="355"/>
        <v>54.01</v>
      </c>
      <c r="AZ610" s="43">
        <v>53.1</v>
      </c>
      <c r="BA610" s="43">
        <v>53.1</v>
      </c>
      <c r="BB610" s="43">
        <v>53.1</v>
      </c>
      <c r="BC610" s="73" t="str">
        <f t="shared" si="356"/>
        <v/>
      </c>
      <c r="BD610" s="73">
        <f t="shared" si="357"/>
        <v>266.24375796178339</v>
      </c>
      <c r="BE610" s="73">
        <f t="shared" si="358"/>
        <v>249.44526503436441</v>
      </c>
      <c r="BF610" s="77">
        <f t="shared" si="359"/>
        <v>16.8</v>
      </c>
      <c r="BG610" s="77">
        <f t="shared" si="360"/>
        <v>5.04</v>
      </c>
      <c r="BH610" s="77">
        <f t="shared" si="361"/>
        <v>70.803757961783418</v>
      </c>
      <c r="BI610" s="78">
        <f t="shared" si="362"/>
        <v>0.24</v>
      </c>
      <c r="BJ610" s="79">
        <f t="shared" si="363"/>
        <v>6.3100070884709605E-2</v>
      </c>
      <c r="BK610" s="80">
        <f t="shared" si="364"/>
        <v>249.45</v>
      </c>
      <c r="BL610" s="80">
        <f t="shared" si="365"/>
        <v>16.793757961783399</v>
      </c>
      <c r="BM610" s="79">
        <f t="shared" si="366"/>
        <v>6.3076626060070765E-2</v>
      </c>
      <c r="BN610" s="81">
        <f t="shared" si="367"/>
        <v>0.77157142857142857</v>
      </c>
      <c r="BO610" s="82">
        <f t="shared" si="368"/>
        <v>54.01</v>
      </c>
      <c r="BP610" s="81">
        <f t="shared" si="369"/>
        <v>0.77157142857142857</v>
      </c>
      <c r="BQ610" s="81">
        <f t="shared" si="370"/>
        <v>0.92843171806167413</v>
      </c>
      <c r="BR610" s="81">
        <f t="shared" si="371"/>
        <v>1.1683425460871515</v>
      </c>
      <c r="BS610" s="82">
        <f t="shared" si="372"/>
        <v>70</v>
      </c>
      <c r="BT610" s="82">
        <f t="shared" si="373"/>
        <v>81.783978226100601</v>
      </c>
      <c r="BU610" s="82">
        <f t="shared" si="374"/>
        <v>70.803757961783418</v>
      </c>
      <c r="BW610" s="82">
        <f>IFERROR(INDEX('Infos Clientes'!$T:$T,MATCH('Detalhe Por UC'!$C610,'Infos Clientes'!B:B,0)),"")</f>
        <v>278.36363636363637</v>
      </c>
      <c r="BX610" s="83">
        <f t="shared" si="375"/>
        <v>0</v>
      </c>
      <c r="BY610" s="84">
        <f t="shared" si="376"/>
        <v>0.20534288409589546</v>
      </c>
      <c r="BZ610" s="85">
        <f>IF(_xlfn.MINIFS('Detalhe Por UC'!R:R,'Detalhe Por UC'!C:C,C610,'Detalhe Por UC'!AD:AD,"&gt;"&amp;0)=0,"",_xlfn.MINIFS('Detalhe Por UC'!R:R,'Detalhe Por UC'!C:C,C610,'Detalhe Por UC'!AD:AD,"&gt;"&amp;0))</f>
        <v>45658</v>
      </c>
      <c r="CA610" s="114">
        <f ca="1">IF(OR(S610&gt;0,AD610&gt;0),IFERROR(
SUMIFS(INDIRECT("'Infos Clientes'!$W"&amp;INDEX('Infos Clientes'!$C:$C,MATCH(C610,'Infos Clientes'!$H:$H,0))&amp;":$CZ"&amp;INDEX('Infos Clientes'!$C:$C,MATCH(C610,'Infos Clientes'!$H:$H,0))),'Infos Clientes'!$W$2:$CZ$2,"&gt;"&amp;$R610-365,'Infos Clientes'!$W$2:$CZ$2,"&lt;="&amp;$R610)/
COUNTIFS(INDIRECT("'Infos Clientes'!$W"&amp;INDEX('Infos Clientes'!$C:$C,MATCH(C610,'Infos Clientes'!$H:$H,0))&amp;":$CZ"&amp;INDEX('Infos Clientes'!$C:$C,MATCH(C610,'Infos Clientes'!$H:$H,0))),"&gt;="&amp;0,'Infos Clientes'!$W$2:$CZ$2,"&gt;"&amp;$R610-365,'Infos Clientes'!$W$2:$CZ$2,"&lt;="&amp;$R610),""),"")</f>
        <v>276</v>
      </c>
      <c r="CB610" s="87">
        <f>VLOOKUP(C610,'Infos Clientes'!B:L,11,0)</f>
        <v>0</v>
      </c>
      <c r="CC610" s="88" t="str">
        <f t="shared" si="377"/>
        <v>A Unidade Consumidora 10/13786-9 economizou R$16,8 na fatura referente à jun/2025  consumindo 70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0" s="40" t="s">
        <v>156</v>
      </c>
      <c r="CE610" s="43"/>
      <c r="CF610" s="115">
        <f t="shared" si="378"/>
        <v>-195.44</v>
      </c>
    </row>
    <row r="611" spans="1:84" ht="16.2" hidden="1" customHeight="1" x14ac:dyDescent="0.3">
      <c r="A611" s="105" t="str">
        <f>INDEX('Infos Clientes'!$D:$D,MATCH('Detalhe Por UC'!C611,'Infos Clientes'!B:B,0))</f>
        <v>IGREJA DO EVANGELHO QUADRANGULAR</v>
      </c>
      <c r="B611" s="106" t="str">
        <f>INDEX('Infos Clientes'!$F:$F,MATCH('Detalhe Por UC'!C611,'Infos Clientes'!B:B,0))</f>
        <v>62.955.505/1355-00</v>
      </c>
      <c r="C611" s="44" t="s">
        <v>219</v>
      </c>
      <c r="D611" t="s">
        <v>351</v>
      </c>
      <c r="E611" s="1" t="s">
        <v>352</v>
      </c>
      <c r="F611" s="56" t="str">
        <f>INDEX('Infos Clientes'!$I:$I,MATCH('Detalhe Por UC'!C611,'Infos Clientes'!B:B,0))</f>
        <v>BT</v>
      </c>
      <c r="G611" s="56" t="str">
        <f>INDEX('Infos Clientes'!$J:$J,MATCH('Detalhe Por UC'!C611,'Infos Clientes'!B:B,0))</f>
        <v>trifasico</v>
      </c>
      <c r="H611" s="47" t="str">
        <f t="shared" si="342"/>
        <v>GIROSSOL III</v>
      </c>
      <c r="I611" s="58">
        <f>IFERROR(VLOOKUP(C611,'Infos Clientes'!B:E,4,),"")</f>
        <v>319</v>
      </c>
      <c r="J611" s="109">
        <v>0.23725425614394724</v>
      </c>
      <c r="K611" s="59">
        <f>INDEX('Infos Clientes'!$M:$M,MATCH('Detalhe Por UC'!C611,'Infos Clientes'!B:B,0))</f>
        <v>0.25</v>
      </c>
      <c r="L611" s="125">
        <v>0</v>
      </c>
      <c r="M611" s="56">
        <f>INDEX('Infos Clientes'!$N:$N,MATCH('Detalhe Por UC'!C611,'Infos Clientes'!B:B,0))</f>
        <v>0</v>
      </c>
      <c r="N611" s="56">
        <f t="shared" si="343"/>
        <v>0</v>
      </c>
      <c r="O611" s="56">
        <f t="shared" si="344"/>
        <v>9</v>
      </c>
      <c r="P611" s="56">
        <f t="shared" si="379"/>
        <v>0</v>
      </c>
      <c r="Q611" s="61">
        <f>IFERROR(IFERROR(INDEX('Infos Clientes'!$A$2:$V$9884,MATCH($C611,'Infos Clientes'!$B$2:$B$9884,0),MATCH(Q$8,'Infos Clientes'!$A$2:$V$2,0)),"")
+IF(OR(INDEX('Infos Clientes'!$A$2:$V$9884,MATCH($C611,'Infos Clientes'!$B$2:$B$9884,0),MATCH("Tempo de Fidelidade (meses)",'Infos Clientes'!$A$2:$V$2,0))=0,R611&gt;=MAX(R:R)),0,
ROUND((MAX(R:R)-R611)/(365/12),0)),"")</f>
        <v>0</v>
      </c>
      <c r="R611" s="111">
        <v>45809</v>
      </c>
      <c r="S611" s="63">
        <v>0.02</v>
      </c>
      <c r="T611" s="113" t="str">
        <f>IF($H611="GIROSSOL II",AP611/INDEX('Resumo Operacional'!$A$1:$P$1103,17,MATCH('Detalhe Por UC'!$R611,'Resumo Operacional'!$A$1:$P$1,0)),
IF($H611="GIROSSOL II e III",AP611/INDEX('Resumo Operacional'!$A$1:$P$1103,17,MATCH('Detalhe Por UC'!$R611,'Resumo Operacional'!$A$1:$P$1,0)),
""))</f>
        <v/>
      </c>
      <c r="U611" s="113">
        <f>IF($H611="GIROSSOL III",AP611/INDEX('Resumo Operacional'!$A$1:$P$1103,53,MATCH('Detalhe Por UC'!$R611,'Resumo Operacional'!$A$1:$P$1,0)),
IF($H611="GIROSSOL II e III",AP611/INDEX('Resumo Operacional'!$A$1:$P$1103,53,MATCH('Detalhe Por UC'!$R611,'Resumo Operacional'!$A$1:$P$1,0)),
""))</f>
        <v>9.1652648065433037E-3</v>
      </c>
      <c r="V611" s="45"/>
      <c r="X611" s="18">
        <v>1.1619705447763002</v>
      </c>
      <c r="Y611" s="18">
        <v>0</v>
      </c>
      <c r="Z611" s="18">
        <v>1.0050332392313999</v>
      </c>
      <c r="AA611" s="18"/>
      <c r="AB611" s="18">
        <v>297</v>
      </c>
      <c r="AC611" s="18"/>
      <c r="AD611" s="143">
        <v>158</v>
      </c>
      <c r="AE611" s="35"/>
      <c r="AF611" s="18">
        <v>0</v>
      </c>
      <c r="AG611" s="18">
        <v>0</v>
      </c>
      <c r="AH611" s="48">
        <v>59.51</v>
      </c>
      <c r="AI611" s="18">
        <v>0</v>
      </c>
      <c r="AJ611" s="18">
        <v>0</v>
      </c>
      <c r="AL611" s="146"/>
      <c r="AN611" s="71">
        <f t="shared" si="345"/>
        <v>0</v>
      </c>
      <c r="AO611" s="71">
        <f t="shared" si="346"/>
        <v>0</v>
      </c>
      <c r="AP611" s="71">
        <f t="shared" si="347"/>
        <v>158</v>
      </c>
      <c r="AQ611" s="72">
        <f>IF(OR($H611="GIROSSOL II",$H611="GIROSSOL II e III"),INDEX('Resumo Operacional'!$A$1:$P$1103,MATCH("Energia Injetada prevista total Fatura da Usina (TUSD)",'Resumo Operacional'!$B$1:$B$1103,0),MATCH('Detalhe Por UC'!$R611,'Resumo Operacional'!$A$1:$P$1,0))*$S611,INDEX('Resumo Operacional'!$A$1:$P$1103,53,MATCH('Detalhe Por UC'!$R611,'Resumo Operacional'!$A$1:$P$1,0))*$S611)</f>
        <v>344.78000000000003</v>
      </c>
      <c r="AR611" s="71">
        <f t="shared" si="348"/>
        <v>-186.78000000000003</v>
      </c>
      <c r="AS611" s="73">
        <f t="shared" si="349"/>
        <v>245.82000000000002</v>
      </c>
      <c r="AT611" s="74">
        <f t="shared" si="350"/>
        <v>245.82000000000002</v>
      </c>
      <c r="AU611" s="74">
        <f t="shared" si="351"/>
        <v>0.84809593368649949</v>
      </c>
      <c r="AV611" s="74">
        <f t="shared" si="352"/>
        <v>121.12040245390274</v>
      </c>
      <c r="AW611" s="74">
        <f t="shared" si="353"/>
        <v>0</v>
      </c>
      <c r="AX611" s="74">
        <f t="shared" si="354"/>
        <v>158.79525179856117</v>
      </c>
      <c r="AY611" s="74">
        <f t="shared" si="355"/>
        <v>121.12</v>
      </c>
      <c r="AZ611" s="43">
        <v>119.1</v>
      </c>
      <c r="BA611" s="43">
        <v>119.1</v>
      </c>
      <c r="BB611" s="43">
        <v>119.1</v>
      </c>
      <c r="BC611" s="73" t="str">
        <f t="shared" si="356"/>
        <v/>
      </c>
      <c r="BD611" s="73">
        <f t="shared" si="357"/>
        <v>404.61525179856119</v>
      </c>
      <c r="BE611" s="73">
        <f t="shared" si="358"/>
        <v>366.94040245390278</v>
      </c>
      <c r="BF611" s="77">
        <f t="shared" si="359"/>
        <v>37.67</v>
      </c>
      <c r="BG611" s="77">
        <f t="shared" si="360"/>
        <v>11.301</v>
      </c>
      <c r="BH611" s="77">
        <f t="shared" si="361"/>
        <v>158.79525179856117</v>
      </c>
      <c r="BI611" s="78">
        <f t="shared" si="362"/>
        <v>0.24</v>
      </c>
      <c r="BJ611" s="79">
        <f t="shared" si="363"/>
        <v>9.3100791017027978E-2</v>
      </c>
      <c r="BK611" s="80">
        <f t="shared" si="364"/>
        <v>366.94000000000005</v>
      </c>
      <c r="BL611" s="80">
        <f t="shared" si="365"/>
        <v>37.675251798561135</v>
      </c>
      <c r="BM611" s="79">
        <f t="shared" si="366"/>
        <v>9.3113770751572816E-2</v>
      </c>
      <c r="BN611" s="81">
        <f t="shared" si="367"/>
        <v>0.76658227848101268</v>
      </c>
      <c r="BO611" s="82">
        <f t="shared" si="368"/>
        <v>121.12</v>
      </c>
      <c r="BP611" s="81">
        <f t="shared" si="369"/>
        <v>0.76658227848101268</v>
      </c>
      <c r="BQ611" s="81">
        <f t="shared" si="370"/>
        <v>0.92351958402591305</v>
      </c>
      <c r="BR611" s="81">
        <f t="shared" si="371"/>
        <v>1.1619705447763002</v>
      </c>
      <c r="BS611" s="82">
        <f t="shared" si="372"/>
        <v>158</v>
      </c>
      <c r="BT611" s="82">
        <f t="shared" si="373"/>
        <v>183.59134607465543</v>
      </c>
      <c r="BU611" s="82">
        <f t="shared" si="374"/>
        <v>158.79525179856117</v>
      </c>
      <c r="BW611" s="82">
        <f>IFERROR(INDEX('Infos Clientes'!$T:$T,MATCH('Detalhe Por UC'!$C611,'Infos Clientes'!B:B,0)),"")</f>
        <v>385.63636363636363</v>
      </c>
      <c r="BX611" s="83">
        <f t="shared" si="375"/>
        <v>0</v>
      </c>
      <c r="BY611" s="84">
        <f t="shared" si="376"/>
        <v>0.20521256913297503</v>
      </c>
      <c r="BZ611" s="85">
        <f>IF(_xlfn.MINIFS('Detalhe Por UC'!R:R,'Detalhe Por UC'!C:C,C611,'Detalhe Por UC'!AD:AD,"&gt;"&amp;0)=0,"",_xlfn.MINIFS('Detalhe Por UC'!R:R,'Detalhe Por UC'!C:C,C611,'Detalhe Por UC'!AD:AD,"&gt;"&amp;0))</f>
        <v>45658</v>
      </c>
      <c r="CA611" s="114">
        <f ca="1">IF(OR(S611&gt;0,AD611&gt;0),IFERROR(
SUMIFS(INDIRECT("'Infos Clientes'!$W"&amp;INDEX('Infos Clientes'!$C:$C,MATCH(C611,'Infos Clientes'!$H:$H,0))&amp;":$CZ"&amp;INDEX('Infos Clientes'!$C:$C,MATCH(C611,'Infos Clientes'!$H:$H,0))),'Infos Clientes'!$W$2:$CZ$2,"&gt;"&amp;$R611-365,'Infos Clientes'!$W$2:$CZ$2,"&lt;="&amp;$R611)/
COUNTIFS(INDIRECT("'Infos Clientes'!$W"&amp;INDEX('Infos Clientes'!$C:$C,MATCH(C611,'Infos Clientes'!$H:$H,0))&amp;":$CZ"&amp;INDEX('Infos Clientes'!$C:$C,MATCH(C611,'Infos Clientes'!$H:$H,0))),"&gt;="&amp;0,'Infos Clientes'!$W$2:$CZ$2,"&gt;"&amp;$R611-365,'Infos Clientes'!$W$2:$CZ$2,"&lt;="&amp;$R611),""),"")</f>
        <v>385.08333333333331</v>
      </c>
      <c r="CB611" s="87">
        <f>VLOOKUP(C611,'Infos Clientes'!B:L,11,0)</f>
        <v>0</v>
      </c>
      <c r="CC611" s="88" t="str">
        <f t="shared" si="377"/>
        <v>A Unidade Consumidora 10/63920-3 economizou R$37,67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1" s="40" t="s">
        <v>221</v>
      </c>
      <c r="CE611" s="43"/>
      <c r="CF611" s="115">
        <f t="shared" si="378"/>
        <v>-245.82000000000002</v>
      </c>
    </row>
    <row r="612" spans="1:84" ht="16.2" hidden="1" customHeight="1" x14ac:dyDescent="0.3">
      <c r="A612" s="105" t="str">
        <f>INDEX('Infos Clientes'!$D:$D,MATCH('Detalhe Por UC'!C612,'Infos Clientes'!B:B,0))</f>
        <v>IGREJA DO EVANGELHO QUADRANGULAR</v>
      </c>
      <c r="B612" s="106" t="str">
        <f>INDEX('Infos Clientes'!$F:$F,MATCH('Detalhe Por UC'!C612,'Infos Clientes'!B:B,0))</f>
        <v>62.955.505/3757-21</v>
      </c>
      <c r="C612" s="44" t="s">
        <v>187</v>
      </c>
      <c r="D612" t="s">
        <v>351</v>
      </c>
      <c r="E612" s="1" t="s">
        <v>352</v>
      </c>
      <c r="F612" s="56" t="str">
        <f>INDEX('Infos Clientes'!$I:$I,MATCH('Detalhe Por UC'!C612,'Infos Clientes'!B:B,0))</f>
        <v>BT</v>
      </c>
      <c r="G612" s="56" t="str">
        <f>INDEX('Infos Clientes'!$J:$J,MATCH('Detalhe Por UC'!C612,'Infos Clientes'!B:B,0))</f>
        <v>trifasico</v>
      </c>
      <c r="H612" s="47" t="str">
        <f t="shared" si="342"/>
        <v>GIROSSOL III</v>
      </c>
      <c r="I612" s="58">
        <f>IFERROR(VLOOKUP(C612,'Infos Clientes'!B:E,4,),"")</f>
        <v>362</v>
      </c>
      <c r="J612" s="109">
        <v>0.23725425614394724</v>
      </c>
      <c r="K612" s="59">
        <f>INDEX('Infos Clientes'!$M:$M,MATCH('Detalhe Por UC'!C612,'Infos Clientes'!B:B,0))</f>
        <v>0.25</v>
      </c>
      <c r="L612" s="125">
        <v>0</v>
      </c>
      <c r="M612" s="56">
        <f>INDEX('Infos Clientes'!$N:$N,MATCH('Detalhe Por UC'!C612,'Infos Clientes'!B:B,0))</f>
        <v>0</v>
      </c>
      <c r="N612" s="56">
        <f t="shared" si="343"/>
        <v>0</v>
      </c>
      <c r="O612" s="56">
        <f t="shared" si="344"/>
        <v>9</v>
      </c>
      <c r="P612" s="56">
        <f t="shared" si="379"/>
        <v>0</v>
      </c>
      <c r="Q612" s="61">
        <f>IFERROR(IFERROR(INDEX('Infos Clientes'!$A$2:$V$9884,MATCH($C612,'Infos Clientes'!$B$2:$B$9884,0),MATCH(Q$8,'Infos Clientes'!$A$2:$V$2,0)),"")
+IF(OR(INDEX('Infos Clientes'!$A$2:$V$9884,MATCH($C612,'Infos Clientes'!$B$2:$B$9884,0),MATCH("Tempo de Fidelidade (meses)",'Infos Clientes'!$A$2:$V$2,0))=0,R612&gt;=MAX(R:R)),0,
ROUND((MAX(R:R)-R612)/(365/12),0)),"")</f>
        <v>0</v>
      </c>
      <c r="R612" s="111">
        <v>45809</v>
      </c>
      <c r="S612" s="63">
        <v>0.02</v>
      </c>
      <c r="T612" s="113" t="str">
        <f>IF($H612="GIROSSOL II",AP612/INDEX('Resumo Operacional'!$A$1:$P$1103,17,MATCH('Detalhe Por UC'!$R612,'Resumo Operacional'!$A$1:$P$1,0)),
IF($H612="GIROSSOL II e III",AP612/INDEX('Resumo Operacional'!$A$1:$P$1103,17,MATCH('Detalhe Por UC'!$R612,'Resumo Operacional'!$A$1:$P$1,0)),
""))</f>
        <v/>
      </c>
      <c r="U612" s="113">
        <f>IF($H612="GIROSSOL III",AP612/INDEX('Resumo Operacional'!$A$1:$P$1103,53,MATCH('Detalhe Por UC'!$R612,'Resumo Operacional'!$A$1:$P$1,0)),
IF($H612="GIROSSOL II e III",AP612/INDEX('Resumo Operacional'!$A$1:$P$1103,53,MATCH('Detalhe Por UC'!$R612,'Resumo Operacional'!$A$1:$P$1,0)),
""))</f>
        <v>0</v>
      </c>
      <c r="V612" s="45"/>
      <c r="X612" s="18">
        <v>1.1781250000000001</v>
      </c>
      <c r="Y612" s="18">
        <v>0</v>
      </c>
      <c r="Z612" s="18">
        <v>0</v>
      </c>
      <c r="AA612" s="18"/>
      <c r="AB612" s="18">
        <v>400</v>
      </c>
      <c r="AC612" s="18"/>
      <c r="AD612" s="143">
        <v>0</v>
      </c>
      <c r="AE612" s="35"/>
      <c r="AF612" s="18">
        <v>0</v>
      </c>
      <c r="AG612" s="18">
        <v>0</v>
      </c>
      <c r="AH612" s="48">
        <v>59.150000000000006</v>
      </c>
      <c r="AI612" s="18">
        <v>0</v>
      </c>
      <c r="AJ612" s="18">
        <v>0</v>
      </c>
      <c r="AL612" s="146"/>
      <c r="AN612" s="71">
        <f t="shared" si="345"/>
        <v>0</v>
      </c>
      <c r="AO612" s="71">
        <f t="shared" si="346"/>
        <v>0</v>
      </c>
      <c r="AP612" s="71">
        <f t="shared" si="347"/>
        <v>0</v>
      </c>
      <c r="AQ612" s="72">
        <f>IF(OR($H612="GIROSSOL II",$H612="GIROSSOL II e III"),INDEX('Resumo Operacional'!$A$1:$P$1103,MATCH("Energia Injetada prevista total Fatura da Usina (TUSD)",'Resumo Operacional'!$B$1:$B$1103,0),MATCH('Detalhe Por UC'!$R612,'Resumo Operacional'!$A$1:$P$1,0))*$S612,INDEX('Resumo Operacional'!$A$1:$P$1103,53,MATCH('Detalhe Por UC'!$R612,'Resumo Operacional'!$A$1:$P$1,0))*$S612)</f>
        <v>344.78000000000003</v>
      </c>
      <c r="AR612" s="71">
        <f t="shared" si="348"/>
        <v>-344.78000000000003</v>
      </c>
      <c r="AS612" s="73">
        <f t="shared" si="349"/>
        <v>530.40000000000009</v>
      </c>
      <c r="AT612" s="74">
        <f t="shared" si="350"/>
        <v>530.40000000000009</v>
      </c>
      <c r="AU612" s="74" t="str">
        <f t="shared" si="351"/>
        <v/>
      </c>
      <c r="AV612" s="74">
        <f t="shared" si="352"/>
        <v>0</v>
      </c>
      <c r="AW612" s="74">
        <f t="shared" si="353"/>
        <v>0</v>
      </c>
      <c r="AX612" s="74">
        <f t="shared" si="354"/>
        <v>0</v>
      </c>
      <c r="AY612" s="74" t="str">
        <f t="shared" si="355"/>
        <v/>
      </c>
      <c r="AZ612" s="43" t="s">
        <v>354</v>
      </c>
      <c r="BA612" s="43">
        <v>0</v>
      </c>
      <c r="BC612" s="73" t="str">
        <f t="shared" si="356"/>
        <v/>
      </c>
      <c r="BD612" s="73">
        <f t="shared" si="357"/>
        <v>530.40000000000009</v>
      </c>
      <c r="BE612" s="73">
        <f t="shared" si="358"/>
        <v>530.40000000000009</v>
      </c>
      <c r="BF612" s="77">
        <f t="shared" si="359"/>
        <v>0</v>
      </c>
      <c r="BG612" s="77">
        <f t="shared" si="360"/>
        <v>0</v>
      </c>
      <c r="BH612" s="77">
        <f t="shared" si="361"/>
        <v>0</v>
      </c>
      <c r="BI612" s="78" t="str">
        <f t="shared" si="362"/>
        <v/>
      </c>
      <c r="BJ612" s="79">
        <f t="shared" si="363"/>
        <v>0</v>
      </c>
      <c r="BK612" s="80" t="str">
        <f t="shared" si="364"/>
        <v/>
      </c>
      <c r="BL612" s="80" t="str">
        <f t="shared" si="365"/>
        <v/>
      </c>
      <c r="BM612" s="79" t="str">
        <f t="shared" si="366"/>
        <v/>
      </c>
      <c r="BN612" s="81" t="str">
        <f t="shared" si="367"/>
        <v/>
      </c>
      <c r="BO612" s="82" t="str">
        <f t="shared" si="368"/>
        <v/>
      </c>
      <c r="BP612" s="81" t="str">
        <f t="shared" si="369"/>
        <v/>
      </c>
      <c r="BQ612" s="81" t="str">
        <f t="shared" si="370"/>
        <v/>
      </c>
      <c r="BR612" s="81" t="str">
        <f t="shared" si="371"/>
        <v/>
      </c>
      <c r="BS612" s="82">
        <f t="shared" si="372"/>
        <v>0</v>
      </c>
      <c r="BT612" s="82" t="str">
        <f t="shared" si="373"/>
        <v/>
      </c>
      <c r="BU612" s="82">
        <f t="shared" si="374"/>
        <v>0</v>
      </c>
      <c r="BW612" s="82">
        <f>IFERROR(INDEX('Infos Clientes'!$T:$T,MATCH('Detalhe Por UC'!$C612,'Infos Clientes'!B:B,0)),"")</f>
        <v>365.90909090909093</v>
      </c>
      <c r="BX612" s="83">
        <f t="shared" si="375"/>
        <v>0</v>
      </c>
      <c r="BY612" s="84" t="str">
        <f t="shared" si="376"/>
        <v/>
      </c>
      <c r="BZ612" s="85">
        <f>IF(_xlfn.MINIFS('Detalhe Por UC'!R:R,'Detalhe Por UC'!C:C,C612,'Detalhe Por UC'!AD:AD,"&gt;"&amp;0)=0,"",_xlfn.MINIFS('Detalhe Por UC'!R:R,'Detalhe Por UC'!C:C,C612,'Detalhe Por UC'!AD:AD,"&gt;"&amp;0))</f>
        <v>45658</v>
      </c>
      <c r="CA612" s="114">
        <f ca="1">IF(OR(S612&gt;0,AD612&gt;0),IFERROR(
SUMIFS(INDIRECT("'Infos Clientes'!$W"&amp;INDEX('Infos Clientes'!$C:$C,MATCH(C612,'Infos Clientes'!$H:$H,0))&amp;":$CZ"&amp;INDEX('Infos Clientes'!$C:$C,MATCH(C612,'Infos Clientes'!$H:$H,0))),'Infos Clientes'!$W$2:$CZ$2,"&gt;"&amp;$R612-365,'Infos Clientes'!$W$2:$CZ$2,"&lt;="&amp;$R612)/
COUNTIFS(INDIRECT("'Infos Clientes'!$W"&amp;INDEX('Infos Clientes'!$C:$C,MATCH(C612,'Infos Clientes'!$H:$H,0))&amp;":$CZ"&amp;INDEX('Infos Clientes'!$C:$C,MATCH(C612,'Infos Clientes'!$H:$H,0))),"&gt;="&amp;0,'Infos Clientes'!$W$2:$CZ$2,"&gt;"&amp;$R612-365,'Infos Clientes'!$W$2:$CZ$2,"&lt;="&amp;$R612),""),"")</f>
        <v>361.91666666666669</v>
      </c>
      <c r="CB612" s="87">
        <f>VLOOKUP(C612,'Infos Clientes'!B:L,11,0)</f>
        <v>0</v>
      </c>
      <c r="CC612" s="88" t="str">
        <f t="shared" si="377"/>
        <v>A Unidade Consumidora 10/3123706-8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2" s="40" t="s">
        <v>83</v>
      </c>
      <c r="CE612" s="43"/>
      <c r="CF612" s="115">
        <f t="shared" si="378"/>
        <v>-530.40000000000009</v>
      </c>
    </row>
    <row r="613" spans="1:84" ht="16.2" hidden="1" customHeight="1" x14ac:dyDescent="0.3">
      <c r="A613" s="105" t="str">
        <f>INDEX('Infos Clientes'!$D:$D,MATCH('Detalhe Por UC'!C613,'Infos Clientes'!B:B,0))</f>
        <v>IGREJA DO EVANGELHO QUADRANGULAR</v>
      </c>
      <c r="B613" s="106" t="str">
        <f>INDEX('Infos Clientes'!$F:$F,MATCH('Detalhe Por UC'!C613,'Infos Clientes'!B:B,0))</f>
        <v>62.955.505/4051-40</v>
      </c>
      <c r="C613" s="44" t="s">
        <v>152</v>
      </c>
      <c r="D613" t="s">
        <v>351</v>
      </c>
      <c r="E613" s="1" t="s">
        <v>352</v>
      </c>
      <c r="F613" s="56" t="str">
        <f>INDEX('Infos Clientes'!$I:$I,MATCH('Detalhe Por UC'!C613,'Infos Clientes'!B:B,0))</f>
        <v>BT</v>
      </c>
      <c r="G613" s="56" t="str">
        <f>INDEX('Infos Clientes'!$J:$J,MATCH('Detalhe Por UC'!C613,'Infos Clientes'!B:B,0))</f>
        <v>bifasico</v>
      </c>
      <c r="H613" s="47" t="str">
        <f t="shared" si="342"/>
        <v>GIROSSOL III</v>
      </c>
      <c r="I613" s="58">
        <f>IFERROR(VLOOKUP(C613,'Infos Clientes'!B:E,4,),"")</f>
        <v>351</v>
      </c>
      <c r="J613" s="109">
        <v>0.23725425614394724</v>
      </c>
      <c r="K613" s="59">
        <f>INDEX('Infos Clientes'!$M:$M,MATCH('Detalhe Por UC'!C613,'Infos Clientes'!B:B,0))</f>
        <v>0.25</v>
      </c>
      <c r="L613" s="125">
        <v>0</v>
      </c>
      <c r="M613" s="56">
        <f>INDEX('Infos Clientes'!$N:$N,MATCH('Detalhe Por UC'!C613,'Infos Clientes'!B:B,0))</f>
        <v>0</v>
      </c>
      <c r="N613" s="56">
        <f t="shared" si="343"/>
        <v>0</v>
      </c>
      <c r="O613" s="56">
        <f t="shared" si="344"/>
        <v>9</v>
      </c>
      <c r="P613" s="56">
        <f t="shared" si="379"/>
        <v>0</v>
      </c>
      <c r="Q613" s="61">
        <f>IFERROR(IFERROR(INDEX('Infos Clientes'!$A$2:$V$9884,MATCH($C613,'Infos Clientes'!$B$2:$B$9884,0),MATCH(Q$8,'Infos Clientes'!$A$2:$V$2,0)),"")
+IF(OR(INDEX('Infos Clientes'!$A$2:$V$9884,MATCH($C613,'Infos Clientes'!$B$2:$B$9884,0),MATCH("Tempo de Fidelidade (meses)",'Infos Clientes'!$A$2:$V$2,0))=0,R613&gt;=MAX(R:R)),0,
ROUND((MAX(R:R)-R613)/(365/12),0)),"")</f>
        <v>0</v>
      </c>
      <c r="R613" s="111">
        <v>45809</v>
      </c>
      <c r="S613" s="63">
        <v>0.02</v>
      </c>
      <c r="T613" s="113" t="str">
        <f>IF($H613="GIROSSOL II",AP613/INDEX('Resumo Operacional'!$A$1:$P$1103,17,MATCH('Detalhe Por UC'!$R613,'Resumo Operacional'!$A$1:$P$1,0)),
IF($H613="GIROSSOL II e III",AP613/INDEX('Resumo Operacional'!$A$1:$P$1103,17,MATCH('Detalhe Por UC'!$R613,'Resumo Operacional'!$A$1:$P$1,0)),
""))</f>
        <v/>
      </c>
      <c r="U613" s="113">
        <f>IF($H613="GIROSSOL III",AP613/INDEX('Resumo Operacional'!$A$1:$P$1103,53,MATCH('Detalhe Por UC'!$R613,'Resumo Operacional'!$A$1:$P$1,0)),
IF($H613="GIROSSOL II e III",AP613/INDEX('Resumo Operacional'!$A$1:$P$1103,53,MATCH('Detalhe Por UC'!$R613,'Resumo Operacional'!$A$1:$P$1,0)),
""))</f>
        <v>0</v>
      </c>
      <c r="V613" s="45"/>
      <c r="X613" s="18">
        <v>1.174365671641791</v>
      </c>
      <c r="Y613" s="18">
        <v>0</v>
      </c>
      <c r="Z613" s="18">
        <v>0</v>
      </c>
      <c r="AA613" s="18"/>
      <c r="AB613" s="18">
        <v>268</v>
      </c>
      <c r="AC613" s="18"/>
      <c r="AD613" s="143">
        <v>0</v>
      </c>
      <c r="AE613" s="35"/>
      <c r="AF613" s="18">
        <v>0</v>
      </c>
      <c r="AG613" s="18">
        <v>0</v>
      </c>
      <c r="AH613" s="48">
        <v>26.64</v>
      </c>
      <c r="AI613" s="18">
        <v>0</v>
      </c>
      <c r="AJ613" s="18">
        <v>0</v>
      </c>
      <c r="AL613" s="146"/>
      <c r="AN613" s="71">
        <f t="shared" si="345"/>
        <v>0</v>
      </c>
      <c r="AO613" s="71">
        <f t="shared" si="346"/>
        <v>0</v>
      </c>
      <c r="AP613" s="71">
        <f t="shared" si="347"/>
        <v>0</v>
      </c>
      <c r="AQ613" s="72">
        <f>IF(OR($H613="GIROSSOL II",$H613="GIROSSOL II e III"),INDEX('Resumo Operacional'!$A$1:$P$1103,MATCH("Energia Injetada prevista total Fatura da Usina (TUSD)",'Resumo Operacional'!$B$1:$B$1103,0),MATCH('Detalhe Por UC'!$R613,'Resumo Operacional'!$A$1:$P$1,0))*$S613,INDEX('Resumo Operacional'!$A$1:$P$1103,53,MATCH('Detalhe Por UC'!$R613,'Resumo Operacional'!$A$1:$P$1,0))*$S613)</f>
        <v>344.78000000000003</v>
      </c>
      <c r="AR613" s="71">
        <f t="shared" si="348"/>
        <v>-344.78000000000003</v>
      </c>
      <c r="AS613" s="73">
        <f t="shared" si="349"/>
        <v>341.36999999999995</v>
      </c>
      <c r="AT613" s="74">
        <f t="shared" si="350"/>
        <v>341.36999999999995</v>
      </c>
      <c r="AU613" s="74" t="str">
        <f t="shared" si="351"/>
        <v/>
      </c>
      <c r="AV613" s="74">
        <f t="shared" si="352"/>
        <v>0</v>
      </c>
      <c r="AW613" s="74">
        <f t="shared" si="353"/>
        <v>0</v>
      </c>
      <c r="AX613" s="74">
        <f t="shared" si="354"/>
        <v>0</v>
      </c>
      <c r="AY613" s="74" t="str">
        <f t="shared" si="355"/>
        <v/>
      </c>
      <c r="AZ613" s="43" t="s">
        <v>354</v>
      </c>
      <c r="BA613" s="43">
        <v>0</v>
      </c>
      <c r="BC613" s="73" t="str">
        <f t="shared" si="356"/>
        <v/>
      </c>
      <c r="BD613" s="73">
        <f t="shared" si="357"/>
        <v>341.36999999999995</v>
      </c>
      <c r="BE613" s="73">
        <f t="shared" si="358"/>
        <v>341.36999999999995</v>
      </c>
      <c r="BF613" s="77">
        <f t="shared" si="359"/>
        <v>0</v>
      </c>
      <c r="BG613" s="77">
        <f t="shared" si="360"/>
        <v>0</v>
      </c>
      <c r="BH613" s="77">
        <f t="shared" si="361"/>
        <v>0</v>
      </c>
      <c r="BI613" s="78" t="str">
        <f t="shared" si="362"/>
        <v/>
      </c>
      <c r="BJ613" s="79">
        <f t="shared" si="363"/>
        <v>0</v>
      </c>
      <c r="BK613" s="80" t="str">
        <f t="shared" si="364"/>
        <v/>
      </c>
      <c r="BL613" s="80" t="str">
        <f t="shared" si="365"/>
        <v/>
      </c>
      <c r="BM613" s="79" t="str">
        <f t="shared" si="366"/>
        <v/>
      </c>
      <c r="BN613" s="81" t="str">
        <f t="shared" si="367"/>
        <v/>
      </c>
      <c r="BO613" s="82" t="str">
        <f t="shared" si="368"/>
        <v/>
      </c>
      <c r="BP613" s="81" t="str">
        <f t="shared" si="369"/>
        <v/>
      </c>
      <c r="BQ613" s="81" t="str">
        <f t="shared" si="370"/>
        <v/>
      </c>
      <c r="BR613" s="81" t="str">
        <f t="shared" si="371"/>
        <v/>
      </c>
      <c r="BS613" s="82">
        <f t="shared" si="372"/>
        <v>0</v>
      </c>
      <c r="BT613" s="82" t="str">
        <f t="shared" si="373"/>
        <v/>
      </c>
      <c r="BU613" s="82">
        <f t="shared" si="374"/>
        <v>0</v>
      </c>
      <c r="BW613" s="82">
        <f>IFERROR(INDEX('Infos Clientes'!$T:$T,MATCH('Detalhe Por UC'!$C613,'Infos Clientes'!B:B,0)),"")</f>
        <v>246.72727272727272</v>
      </c>
      <c r="BX613" s="83">
        <f t="shared" si="375"/>
        <v>0</v>
      </c>
      <c r="BY613" s="84" t="str">
        <f t="shared" si="376"/>
        <v/>
      </c>
      <c r="BZ613" s="85">
        <f>IF(_xlfn.MINIFS('Detalhe Por UC'!R:R,'Detalhe Por UC'!C:C,C613,'Detalhe Por UC'!AD:AD,"&gt;"&amp;0)=0,"",_xlfn.MINIFS('Detalhe Por UC'!R:R,'Detalhe Por UC'!C:C,C613,'Detalhe Por UC'!AD:AD,"&gt;"&amp;0))</f>
        <v>45658</v>
      </c>
      <c r="CA613" s="114">
        <f ca="1">IF(OR(S613&gt;0,AD613&gt;0),IFERROR(
SUMIFS(INDIRECT("'Infos Clientes'!$W"&amp;INDEX('Infos Clientes'!$C:$C,MATCH(C613,'Infos Clientes'!$H:$H,0))&amp;":$CZ"&amp;INDEX('Infos Clientes'!$C:$C,MATCH(C613,'Infos Clientes'!$H:$H,0))),'Infos Clientes'!$W$2:$CZ$2,"&gt;"&amp;$R613-365,'Infos Clientes'!$W$2:$CZ$2,"&lt;="&amp;$R613)/
COUNTIFS(INDIRECT("'Infos Clientes'!$W"&amp;INDEX('Infos Clientes'!$C:$C,MATCH(C613,'Infos Clientes'!$H:$H,0))&amp;":$CZ"&amp;INDEX('Infos Clientes'!$C:$C,MATCH(C613,'Infos Clientes'!$H:$H,0))),"&gt;="&amp;0,'Infos Clientes'!$W$2:$CZ$2,"&gt;"&amp;$R613-365,'Infos Clientes'!$W$2:$CZ$2,"&lt;="&amp;$R613),""),"")</f>
        <v>270.66666666666669</v>
      </c>
      <c r="CB613" s="87">
        <f>VLOOKUP(C613,'Infos Clientes'!B:L,11,0)</f>
        <v>0</v>
      </c>
      <c r="CC613" s="88" t="str">
        <f t="shared" si="377"/>
        <v>A Unidade Consumidora 10/129490-9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3" s="40" t="s">
        <v>141</v>
      </c>
      <c r="CE613" s="43"/>
      <c r="CF613" s="115">
        <f t="shared" si="378"/>
        <v>-341.36999999999995</v>
      </c>
    </row>
    <row r="614" spans="1:84" ht="16.2" hidden="1" customHeight="1" x14ac:dyDescent="0.3">
      <c r="A614" s="105" t="str">
        <f>INDEX('Infos Clientes'!$D:$D,MATCH('Detalhe Por UC'!C614,'Infos Clientes'!B:B,0))</f>
        <v>IGREJA DO EVANGELHO QUADRANGULAR</v>
      </c>
      <c r="B614" s="106" t="str">
        <f>INDEX('Infos Clientes'!$F:$F,MATCH('Detalhe Por UC'!C614,'Infos Clientes'!B:B,0))</f>
        <v>62.955.505/0172-13</v>
      </c>
      <c r="C614" s="107" t="s">
        <v>246</v>
      </c>
      <c r="D614" t="s">
        <v>351</v>
      </c>
      <c r="E614" s="1" t="s">
        <v>352</v>
      </c>
      <c r="F614" s="56" t="str">
        <f>INDEX('Infos Clientes'!$I:$I,MATCH('Detalhe Por UC'!C614,'Infos Clientes'!B:B,0))</f>
        <v>BT</v>
      </c>
      <c r="G614" s="56">
        <f>INDEX('Infos Clientes'!$J:$J,MATCH('Detalhe Por UC'!C614,'Infos Clientes'!B:B,0))</f>
        <v>0</v>
      </c>
      <c r="H614" s="108" t="s">
        <v>138</v>
      </c>
      <c r="I614" s="58">
        <f>IFERROR(VLOOKUP(C614,'Infos Clientes'!B:E,4,),"")</f>
        <v>0</v>
      </c>
      <c r="J614" s="109">
        <v>0.23725425614394724</v>
      </c>
      <c r="K614" s="59">
        <f>INDEX('Infos Clientes'!$M:$M,MATCH('Detalhe Por UC'!C614,'Infos Clientes'!B:B,0))</f>
        <v>0.25</v>
      </c>
      <c r="L614" s="125">
        <v>0</v>
      </c>
      <c r="M614" s="56">
        <f>INDEX('Infos Clientes'!$N:$N,MATCH('Detalhe Por UC'!C614,'Infos Clientes'!B:B,0))</f>
        <v>0</v>
      </c>
      <c r="N614" s="56">
        <f t="shared" si="343"/>
        <v>0</v>
      </c>
      <c r="O614" s="56">
        <f t="shared" si="344"/>
        <v>0</v>
      </c>
      <c r="P614" s="56">
        <f t="shared" si="379"/>
        <v>0</v>
      </c>
      <c r="Q614" s="61">
        <f>IFERROR(IFERROR(INDEX('Infos Clientes'!$A$2:$V$9884,MATCH($C614,'Infos Clientes'!$B$2:$B$9884,0),MATCH(Q$8,'Infos Clientes'!$A$2:$V$2,0)),"")
+IF(OR(INDEX('Infos Clientes'!$A$2:$V$9884,MATCH($C614,'Infos Clientes'!$B$2:$B$9884,0),MATCH("Tempo de Fidelidade (meses)",'Infos Clientes'!$A$2:$V$2,0))=0,R614&gt;=MAX(R:R)),0,
ROUND((MAX(R:R)-R614)/(365/12),0)),"")</f>
        <v>0</v>
      </c>
      <c r="R614" s="111">
        <v>45809</v>
      </c>
      <c r="S614" s="63">
        <v>0</v>
      </c>
      <c r="T614" s="113" t="str">
        <f>IF($H614="GIROSSOL II",AP614/INDEX('Resumo Operacional'!$A$1:$P$1103,17,MATCH('Detalhe Por UC'!$R614,'Resumo Operacional'!$A$1:$P$1,0)),
IF($H614="GIROSSOL II e III",AP614/INDEX('Resumo Operacional'!$A$1:$P$1103,17,MATCH('Detalhe Por UC'!$R614,'Resumo Operacional'!$A$1:$P$1,0)),
""))</f>
        <v/>
      </c>
      <c r="U614" s="113">
        <f>IF($H614="GIROSSOL III",AP614/INDEX('Resumo Operacional'!$A$1:$P$1103,53,MATCH('Detalhe Por UC'!$R614,'Resumo Operacional'!$A$1:$P$1,0)),
IF($H614="GIROSSOL II e III",AP614/INDEX('Resumo Operacional'!$A$1:$P$1103,53,MATCH('Detalhe Por UC'!$R614,'Resumo Operacional'!$A$1:$P$1,0)),
""))</f>
        <v>0</v>
      </c>
      <c r="V614" s="45"/>
      <c r="X614" s="18"/>
      <c r="Y614" s="18"/>
      <c r="Z614" s="18"/>
      <c r="AA614" s="18"/>
      <c r="AB614" s="18"/>
      <c r="AC614" s="18"/>
      <c r="AD614" s="143"/>
      <c r="AE614" s="35"/>
      <c r="AF614" s="18"/>
      <c r="AG614" s="18"/>
      <c r="AH614" s="48"/>
      <c r="AI614" s="18"/>
      <c r="AJ614" s="18"/>
      <c r="AL614" s="146"/>
      <c r="AN614" s="71" t="str">
        <f t="shared" si="345"/>
        <v/>
      </c>
      <c r="AO614" s="71" t="str">
        <f t="shared" si="346"/>
        <v/>
      </c>
      <c r="AP614" s="71">
        <f t="shared" si="347"/>
        <v>0</v>
      </c>
      <c r="AQ614" s="72">
        <f>IF(OR($H614="GIROSSOL II",$H614="GIROSSOL II e III"),INDEX('Resumo Operacional'!$A$1:$P$1103,MATCH("Energia Injetada prevista total Fatura da Usina (TUSD)",'Resumo Operacional'!$B$1:$B$1103,0),MATCH('Detalhe Por UC'!$R614,'Resumo Operacional'!$A$1:$P$1,0))*$S614,INDEX('Resumo Operacional'!$A$1:$P$1103,53,MATCH('Detalhe Por UC'!$R614,'Resumo Operacional'!$A$1:$P$1,0))*$S614)</f>
        <v>0</v>
      </c>
      <c r="AR614" s="71" t="str">
        <f t="shared" si="348"/>
        <v/>
      </c>
      <c r="AS614" s="73">
        <f t="shared" si="349"/>
        <v>0</v>
      </c>
      <c r="AT614" s="74">
        <f t="shared" si="350"/>
        <v>0</v>
      </c>
      <c r="AU614" s="74" t="str">
        <f t="shared" si="351"/>
        <v/>
      </c>
      <c r="AV614" s="74">
        <f t="shared" si="352"/>
        <v>0</v>
      </c>
      <c r="AW614" s="74">
        <f t="shared" si="353"/>
        <v>0</v>
      </c>
      <c r="AX614" s="74">
        <f t="shared" si="354"/>
        <v>0</v>
      </c>
      <c r="AY614" s="74" t="str">
        <f t="shared" si="355"/>
        <v/>
      </c>
      <c r="AZ614" s="43" t="s">
        <v>354</v>
      </c>
      <c r="BA614" s="43"/>
      <c r="BC614" s="73" t="str">
        <f t="shared" si="356"/>
        <v/>
      </c>
      <c r="BD614" s="73">
        <f t="shared" si="357"/>
        <v>0</v>
      </c>
      <c r="BE614" s="73">
        <f t="shared" si="358"/>
        <v>0</v>
      </c>
      <c r="BF614" s="77">
        <f t="shared" si="359"/>
        <v>0</v>
      </c>
      <c r="BG614" s="77">
        <f t="shared" si="360"/>
        <v>0</v>
      </c>
      <c r="BH614" s="77">
        <f t="shared" si="361"/>
        <v>0</v>
      </c>
      <c r="BI614" s="78" t="str">
        <f t="shared" si="362"/>
        <v/>
      </c>
      <c r="BJ614" s="79" t="str">
        <f t="shared" si="363"/>
        <v/>
      </c>
      <c r="BK614" s="80" t="str">
        <f t="shared" si="364"/>
        <v/>
      </c>
      <c r="BL614" s="80" t="str">
        <f t="shared" si="365"/>
        <v/>
      </c>
      <c r="BM614" s="79" t="str">
        <f t="shared" si="366"/>
        <v/>
      </c>
      <c r="BN614" s="81" t="str">
        <f t="shared" si="367"/>
        <v/>
      </c>
      <c r="BO614" s="82" t="str">
        <f t="shared" si="368"/>
        <v/>
      </c>
      <c r="BP614" s="81" t="str">
        <f t="shared" si="369"/>
        <v/>
      </c>
      <c r="BQ614" s="81" t="str">
        <f t="shared" si="370"/>
        <v/>
      </c>
      <c r="BR614" s="81" t="str">
        <f t="shared" si="371"/>
        <v/>
      </c>
      <c r="BS614" s="82">
        <f t="shared" si="372"/>
        <v>0</v>
      </c>
      <c r="BT614" s="82" t="str">
        <f t="shared" si="373"/>
        <v/>
      </c>
      <c r="BU614" s="82">
        <f t="shared" si="374"/>
        <v>0</v>
      </c>
      <c r="BW614" s="82">
        <f>IFERROR(INDEX('Infos Clientes'!$T:$T,MATCH('Detalhe Por UC'!$C614,'Infos Clientes'!B:B,0)),"")</f>
        <v>0</v>
      </c>
      <c r="BX614" s="83">
        <f t="shared" si="375"/>
        <v>0</v>
      </c>
      <c r="BY614" s="84" t="str">
        <f t="shared" si="376"/>
        <v/>
      </c>
      <c r="BZ614" s="85" t="str">
        <f>IF(_xlfn.MINIFS('Detalhe Por UC'!R:R,'Detalhe Por UC'!C:C,C614,'Detalhe Por UC'!AD:AD,"&gt;"&amp;0)=0,"",_xlfn.MINIFS('Detalhe Por UC'!R:R,'Detalhe Por UC'!C:C,C614,'Detalhe Por UC'!AD:AD,"&gt;"&amp;0))</f>
        <v/>
      </c>
      <c r="CA614" s="114" t="str">
        <f ca="1">IF(OR(S614&gt;0,AD614&gt;0),IFERROR(
SUMIFS(INDIRECT("'Infos Clientes'!$W"&amp;INDEX('Infos Clientes'!$C:$C,MATCH(C614,'Infos Clientes'!$H:$H,0))&amp;":$CZ"&amp;INDEX('Infos Clientes'!$C:$C,MATCH(C614,'Infos Clientes'!$H:$H,0))),'Infos Clientes'!$W$2:$CZ$2,"&gt;"&amp;$R614-365,'Infos Clientes'!$W$2:$CZ$2,"&lt;="&amp;$R614)/
COUNTIFS(INDIRECT("'Infos Clientes'!$W"&amp;INDEX('Infos Clientes'!$C:$C,MATCH(C614,'Infos Clientes'!$H:$H,0))&amp;":$CZ"&amp;INDEX('Infos Clientes'!$C:$C,MATCH(C614,'Infos Clientes'!$H:$H,0))),"&gt;="&amp;0,'Infos Clientes'!$W$2:$CZ$2,"&gt;"&amp;$R614-365,'Infos Clientes'!$W$2:$CZ$2,"&lt;="&amp;$R614),""),"")</f>
        <v/>
      </c>
      <c r="CB614" s="87">
        <f>VLOOKUP(C614,'Infos Clientes'!B:L,11,0)</f>
        <v>0</v>
      </c>
      <c r="CC614" s="88" t="str">
        <f t="shared" si="377"/>
        <v>A Unidade Consumidora 10/2338577-6 economizou R$0 na fatura referente à jun/2025  consumindo 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4" s="40"/>
      <c r="CE614" s="43"/>
      <c r="CF614" s="115">
        <f t="shared" si="378"/>
        <v>0</v>
      </c>
    </row>
    <row r="615" spans="1:84" ht="16.2" hidden="1" customHeight="1" x14ac:dyDescent="0.3">
      <c r="A615" s="105" t="str">
        <f>INDEX('Infos Clientes'!$D:$D,MATCH('Detalhe Por UC'!C615,'Infos Clientes'!B:B,0))</f>
        <v>IGREJA DO EVANGELHO QUADRANGULAR</v>
      </c>
      <c r="B615" s="106" t="str">
        <f>INDEX('Infos Clientes'!$F:$F,MATCH('Detalhe Por UC'!C615,'Infos Clientes'!B:B,0))</f>
        <v>62.955.505/2690-26</v>
      </c>
      <c r="C615" s="44" t="s">
        <v>201</v>
      </c>
      <c r="D615" t="s">
        <v>351</v>
      </c>
      <c r="E615" s="1" t="s">
        <v>352</v>
      </c>
      <c r="F615" s="56" t="str">
        <f>INDEX('Infos Clientes'!$I:$I,MATCH('Detalhe Por UC'!C615,'Infos Clientes'!B:B,0))</f>
        <v>BT</v>
      </c>
      <c r="G615" s="56" t="str">
        <f>INDEX('Infos Clientes'!$J:$J,MATCH('Detalhe Por UC'!C615,'Infos Clientes'!B:B,0))</f>
        <v>bifasico</v>
      </c>
      <c r="H615" s="47" t="str">
        <f>HYPERLINK("https://geraebcsp.sharepoint.com/sites/gestao.gdc/Shared Documents/EGS/2- Faturas/"&amp; TEXT($R615,"AAA") &amp;"/"&amp; TEXT($R615,"MM") &amp;"."&amp; TEXT($R615,"AAA") &amp;"/"&amp;"_10-"&amp; RIGHT($C615,LEN($C615)-3) &amp;"_" &amp; TEXT($R615,"AAAA") &amp;"-"&amp; TEXT($R615,"MM") &amp;".pdf","GIROSSOL III")</f>
        <v>GIROSSOL III</v>
      </c>
      <c r="I615" s="58">
        <f>IFERROR(VLOOKUP(C615,'Infos Clientes'!B:E,4,),"")</f>
        <v>319</v>
      </c>
      <c r="J615" s="109">
        <v>0.23725425614394724</v>
      </c>
      <c r="K615" s="59">
        <f>INDEX('Infos Clientes'!$M:$M,MATCH('Detalhe Por UC'!C615,'Infos Clientes'!B:B,0))</f>
        <v>0.25</v>
      </c>
      <c r="L615" s="125">
        <v>0</v>
      </c>
      <c r="M615" s="56">
        <f>INDEX('Infos Clientes'!$N:$N,MATCH('Detalhe Por UC'!C615,'Infos Clientes'!B:B,0))</f>
        <v>0</v>
      </c>
      <c r="N615" s="56">
        <f t="shared" si="343"/>
        <v>0</v>
      </c>
      <c r="O615" s="56">
        <f t="shared" si="344"/>
        <v>8</v>
      </c>
      <c r="P615" s="56">
        <f t="shared" si="379"/>
        <v>0</v>
      </c>
      <c r="Q615" s="61">
        <f>IFERROR(IFERROR(INDEX('Infos Clientes'!$A$2:$V$9884,MATCH($C615,'Infos Clientes'!$B$2:$B$9884,0),MATCH(Q$8,'Infos Clientes'!$A$2:$V$2,0)),"")
+IF(OR(INDEX('Infos Clientes'!$A$2:$V$9884,MATCH($C615,'Infos Clientes'!$B$2:$B$9884,0),MATCH("Tempo de Fidelidade (meses)",'Infos Clientes'!$A$2:$V$2,0))=0,R615&gt;=MAX(R:R)),0,
ROUND((MAX(R:R)-R615)/(365/12),0)),"")</f>
        <v>0</v>
      </c>
      <c r="R615" s="111">
        <v>45809</v>
      </c>
      <c r="S615" s="63">
        <v>0.02</v>
      </c>
      <c r="T615" s="113" t="str">
        <f>IF($H615="GIROSSOL II",AP615/INDEX('Resumo Operacional'!$A$1:$P$1103,17,MATCH('Detalhe Por UC'!$R615,'Resumo Operacional'!$A$1:$P$1,0)),
IF($H615="GIROSSOL II e III",AP615/INDEX('Resumo Operacional'!$A$1:$P$1103,17,MATCH('Detalhe Por UC'!$R615,'Resumo Operacional'!$A$1:$P$1,0)),
""))</f>
        <v/>
      </c>
      <c r="U615" s="113">
        <f>IF($H615="GIROSSOL III",AP615/INDEX('Resumo Operacional'!$A$1:$P$1103,53,MATCH('Detalhe Por UC'!$R615,'Resumo Operacional'!$A$1:$P$1,0)),
IF($H615="GIROSSOL II e III",AP615/INDEX('Resumo Operacional'!$A$1:$P$1103,53,MATCH('Detalhe Por UC'!$R615,'Resumo Operacional'!$A$1:$P$1,0)),
""))</f>
        <v>9.1652648065433037E-3</v>
      </c>
      <c r="V615" s="45"/>
      <c r="X615" s="18">
        <v>1.1530626057529612</v>
      </c>
      <c r="Y615" s="18">
        <v>0</v>
      </c>
      <c r="Z615" s="18">
        <v>0.99616033755274269</v>
      </c>
      <c r="AA615" s="18"/>
      <c r="AB615" s="18">
        <v>197</v>
      </c>
      <c r="AC615" s="18"/>
      <c r="AD615" s="143">
        <v>158</v>
      </c>
      <c r="AE615" s="35"/>
      <c r="AF615" s="18">
        <v>0</v>
      </c>
      <c r="AG615" s="18">
        <v>0</v>
      </c>
      <c r="AH615" s="48">
        <v>39.78</v>
      </c>
      <c r="AI615" s="18">
        <v>0</v>
      </c>
      <c r="AJ615" s="18">
        <v>0</v>
      </c>
      <c r="AL615" s="146"/>
      <c r="AN615" s="71">
        <f t="shared" si="345"/>
        <v>0</v>
      </c>
      <c r="AO615" s="71">
        <f t="shared" si="346"/>
        <v>0</v>
      </c>
      <c r="AP615" s="71">
        <f t="shared" si="347"/>
        <v>158</v>
      </c>
      <c r="AQ615" s="72">
        <f>IF(OR($H615="GIROSSOL II",$H615="GIROSSOL II e III"),INDEX('Resumo Operacional'!$A$1:$P$1103,MATCH("Energia Injetada prevista total Fatura da Usina (TUSD)",'Resumo Operacional'!$B$1:$B$1103,0),MATCH('Detalhe Por UC'!$R615,'Resumo Operacional'!$A$1:$P$1,0))*$S615,INDEX('Resumo Operacional'!$A$1:$P$1103,53,MATCH('Detalhe Por UC'!$R615,'Resumo Operacional'!$A$1:$P$1,0))*$S615)</f>
        <v>344.78000000000003</v>
      </c>
      <c r="AR615" s="71">
        <f t="shared" si="348"/>
        <v>-186.78000000000003</v>
      </c>
      <c r="AS615" s="73">
        <f t="shared" si="349"/>
        <v>109.53999999999999</v>
      </c>
      <c r="AT615" s="74">
        <f t="shared" si="350"/>
        <v>109.53999999999999</v>
      </c>
      <c r="AU615" s="74">
        <f t="shared" si="351"/>
        <v>0.83925806935252423</v>
      </c>
      <c r="AV615" s="74">
        <f t="shared" si="352"/>
        <v>120.05109511131701</v>
      </c>
      <c r="AW615" s="74">
        <f t="shared" si="353"/>
        <v>0</v>
      </c>
      <c r="AX615" s="74">
        <f t="shared" si="354"/>
        <v>157.39333333333335</v>
      </c>
      <c r="AY615" s="74">
        <f t="shared" si="355"/>
        <v>120.05</v>
      </c>
      <c r="AZ615" s="43">
        <v>118.05</v>
      </c>
      <c r="BA615" s="43">
        <v>118.05</v>
      </c>
      <c r="BB615" s="49">
        <v>157.39333333333335</v>
      </c>
      <c r="BC615" s="73">
        <f t="shared" si="356"/>
        <v>39.343333333333348</v>
      </c>
      <c r="BD615" s="73">
        <f t="shared" si="357"/>
        <v>266.93333333333334</v>
      </c>
      <c r="BE615" s="73">
        <f t="shared" si="358"/>
        <v>229.591095111317</v>
      </c>
      <c r="BF615" s="77">
        <f t="shared" si="359"/>
        <v>37.340000000000003</v>
      </c>
      <c r="BG615" s="77">
        <f t="shared" si="360"/>
        <v>11.202</v>
      </c>
      <c r="BH615" s="77">
        <f t="shared" si="361"/>
        <v>157.39333333333332</v>
      </c>
      <c r="BI615" s="78">
        <f t="shared" si="362"/>
        <v>0.24</v>
      </c>
      <c r="BJ615" s="79">
        <f t="shared" si="363"/>
        <v>0.1398851148851149</v>
      </c>
      <c r="BK615" s="80">
        <f t="shared" si="364"/>
        <v>229.58999999999997</v>
      </c>
      <c r="BL615" s="80">
        <f t="shared" si="365"/>
        <v>37.343333333333362</v>
      </c>
      <c r="BM615" s="79">
        <f t="shared" si="366"/>
        <v>0.13989760239760252</v>
      </c>
      <c r="BN615" s="81">
        <f t="shared" si="367"/>
        <v>0.75981012658227842</v>
      </c>
      <c r="BO615" s="82">
        <f t="shared" si="368"/>
        <v>120.05</v>
      </c>
      <c r="BP615" s="81">
        <f t="shared" si="369"/>
        <v>0.75981012658227842</v>
      </c>
      <c r="BQ615" s="81">
        <f t="shared" si="370"/>
        <v>0.91671239478249689</v>
      </c>
      <c r="BR615" s="81">
        <f t="shared" si="371"/>
        <v>1.1530626057529612</v>
      </c>
      <c r="BS615" s="82">
        <f t="shared" si="372"/>
        <v>158</v>
      </c>
      <c r="BT615" s="82">
        <f t="shared" si="373"/>
        <v>182.18389170896785</v>
      </c>
      <c r="BU615" s="82">
        <f t="shared" si="374"/>
        <v>157.39333333333335</v>
      </c>
      <c r="BW615" s="82">
        <f>IFERROR(INDEX('Infos Clientes'!$T:$T,MATCH('Detalhe Por UC'!$C615,'Infos Clientes'!B:B,0)),"")</f>
        <v>293</v>
      </c>
      <c r="BX615" s="83">
        <f t="shared" si="375"/>
        <v>0</v>
      </c>
      <c r="BY615" s="84">
        <f t="shared" si="376"/>
        <v>0.20497604361744545</v>
      </c>
      <c r="BZ615" s="85">
        <f>IF(_xlfn.MINIFS('Detalhe Por UC'!R:R,'Detalhe Por UC'!C:C,C615,'Detalhe Por UC'!AD:AD,"&gt;"&amp;0)=0,"",_xlfn.MINIFS('Detalhe Por UC'!R:R,'Detalhe Por UC'!C:C,C615,'Detalhe Por UC'!AD:AD,"&gt;"&amp;0))</f>
        <v>45658</v>
      </c>
      <c r="CA615" s="114">
        <f ca="1">IF(OR(S615&gt;0,AD615&gt;0),IFERROR(
SUMIFS(INDIRECT("'Infos Clientes'!$W"&amp;INDEX('Infos Clientes'!$C:$C,MATCH(C615,'Infos Clientes'!$H:$H,0))&amp;":$CZ"&amp;INDEX('Infos Clientes'!$C:$C,MATCH(C615,'Infos Clientes'!$H:$H,0))),'Infos Clientes'!$W$2:$CZ$2,"&gt;"&amp;$R615-365,'Infos Clientes'!$W$2:$CZ$2,"&lt;="&amp;$R615)/
COUNTIFS(INDIRECT("'Infos Clientes'!$W"&amp;INDEX('Infos Clientes'!$C:$C,MATCH(C615,'Infos Clientes'!$H:$H,0))&amp;":$CZ"&amp;INDEX('Infos Clientes'!$C:$C,MATCH(C615,'Infos Clientes'!$H:$H,0))),"&gt;="&amp;0,'Infos Clientes'!$W$2:$CZ$2,"&gt;"&amp;$R615-365,'Infos Clientes'!$W$2:$CZ$2,"&lt;="&amp;$R615),""),"")</f>
        <v>281.08333333333331</v>
      </c>
      <c r="CB615" s="87">
        <f>VLOOKUP(C615,'Infos Clientes'!B:L,11,0)</f>
        <v>0</v>
      </c>
      <c r="CC615" s="88" t="str">
        <f t="shared" si="377"/>
        <v>A Unidade Consumidora 10/41548-9 economizou R$37,34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5" s="40" t="s">
        <v>143</v>
      </c>
      <c r="CE615" s="43"/>
      <c r="CF615" s="115">
        <f t="shared" si="378"/>
        <v>-109.53999999999999</v>
      </c>
    </row>
    <row r="616" spans="1:84" ht="16.2" hidden="1" customHeight="1" x14ac:dyDescent="0.3">
      <c r="A616" s="105" t="str">
        <f>INDEX('Infos Clientes'!$D:$D,MATCH('Detalhe Por UC'!C616,'Infos Clientes'!B:B,0))</f>
        <v>IGREJA DO EVANGELHO QUADRANGULAR</v>
      </c>
      <c r="B616" s="106" t="str">
        <f>INDEX('Infos Clientes'!$F:$F,MATCH('Detalhe Por UC'!C616,'Infos Clientes'!B:B,0))</f>
        <v>62.955.505/1822-57</v>
      </c>
      <c r="C616" s="44" t="s">
        <v>216</v>
      </c>
      <c r="D616" t="s">
        <v>351</v>
      </c>
      <c r="E616" s="1" t="s">
        <v>352</v>
      </c>
      <c r="F616" s="56" t="str">
        <f>INDEX('Infos Clientes'!$I:$I,MATCH('Detalhe Por UC'!C616,'Infos Clientes'!B:B,0))</f>
        <v>BT</v>
      </c>
      <c r="G616" s="56" t="str">
        <f>INDEX('Infos Clientes'!$J:$J,MATCH('Detalhe Por UC'!C616,'Infos Clientes'!B:B,0))</f>
        <v>trifasico</v>
      </c>
      <c r="H616" s="47" t="str">
        <f>HYPERLINK("https://geraebcsp.sharepoint.com/sites/gestao.gdc/Shared Documents/EGS/2- Faturas/"&amp; TEXT($R616,"AAA") &amp;"/"&amp; TEXT($R616,"MM") &amp;"."&amp; TEXT($R616,"AAA") &amp;"/"&amp;"_10-"&amp; RIGHT($C616,LEN($C616)-3) &amp;"_" &amp; TEXT($R616,"AAAA") &amp;"-"&amp; TEXT($R616,"MM") &amp;".pdf","GIROSSOL III")</f>
        <v>GIROSSOL III</v>
      </c>
      <c r="I616" s="58">
        <f>IFERROR(VLOOKUP(C616,'Infos Clientes'!B:E,4,),"")</f>
        <v>319</v>
      </c>
      <c r="J616" s="109">
        <v>0.23725425614394724</v>
      </c>
      <c r="K616" s="59">
        <f>INDEX('Infos Clientes'!$M:$M,MATCH('Detalhe Por UC'!C616,'Infos Clientes'!B:B,0))</f>
        <v>0.25</v>
      </c>
      <c r="L616" s="125">
        <v>0</v>
      </c>
      <c r="M616" s="56">
        <f>INDEX('Infos Clientes'!$N:$N,MATCH('Detalhe Por UC'!C616,'Infos Clientes'!B:B,0))</f>
        <v>0</v>
      </c>
      <c r="N616" s="56">
        <f t="shared" si="343"/>
        <v>0</v>
      </c>
      <c r="O616" s="56">
        <f t="shared" si="344"/>
        <v>9</v>
      </c>
      <c r="P616" s="56">
        <f t="shared" si="379"/>
        <v>0</v>
      </c>
      <c r="Q616" s="61">
        <f>IFERROR(IFERROR(INDEX('Infos Clientes'!$A$2:$V$9884,MATCH($C616,'Infos Clientes'!$B$2:$B$9884,0),MATCH(Q$8,'Infos Clientes'!$A$2:$V$2,0)),"")
+IF(OR(INDEX('Infos Clientes'!$A$2:$V$9884,MATCH($C616,'Infos Clientes'!$B$2:$B$9884,0),MATCH("Tempo de Fidelidade (meses)",'Infos Clientes'!$A$2:$V$2,0))=0,R616&gt;=MAX(R:R)),0,
ROUND((MAX(R:R)-R616)/(365/12),0)),"")</f>
        <v>0</v>
      </c>
      <c r="R616" s="111">
        <v>45809</v>
      </c>
      <c r="S616" s="63">
        <v>0.01</v>
      </c>
      <c r="T616" s="113" t="str">
        <f>IF($H616="GIROSSOL II",AP616/INDEX('Resumo Operacional'!$A$1:$P$1103,17,MATCH('Detalhe Por UC'!$R616,'Resumo Operacional'!$A$1:$P$1,0)),
IF($H616="GIROSSOL II e III",AP616/INDEX('Resumo Operacional'!$A$1:$P$1103,17,MATCH('Detalhe Por UC'!$R616,'Resumo Operacional'!$A$1:$P$1,0)),
""))</f>
        <v/>
      </c>
      <c r="U616" s="113">
        <f>IF($H616="GIROSSOL III",AP616/INDEX('Resumo Operacional'!$A$1:$P$1103,53,MATCH('Detalhe Por UC'!$R616,'Resumo Operacional'!$A$1:$P$1,0)),
IF($H616="GIROSSOL II e III",AP616/INDEX('Resumo Operacional'!$A$1:$P$1103,53,MATCH('Detalhe Por UC'!$R616,'Resumo Operacional'!$A$1:$P$1,0)),
""))</f>
        <v>0</v>
      </c>
      <c r="V616" s="45"/>
      <c r="X616" s="18">
        <v>1.1704324324324324</v>
      </c>
      <c r="Y616" s="18">
        <v>0</v>
      </c>
      <c r="Z616" s="18">
        <v>1.0133333333333334</v>
      </c>
      <c r="AA616" s="18"/>
      <c r="AB616" s="18">
        <v>185</v>
      </c>
      <c r="AC616" s="18"/>
      <c r="AD616" s="143">
        <v>45</v>
      </c>
      <c r="AE616" s="35"/>
      <c r="AF616" s="18">
        <v>0</v>
      </c>
      <c r="AG616" s="18">
        <v>0</v>
      </c>
      <c r="AH616" s="48">
        <v>39.78</v>
      </c>
      <c r="AI616" s="18">
        <v>0</v>
      </c>
      <c r="AJ616" s="18">
        <v>0</v>
      </c>
      <c r="AL616" s="146"/>
      <c r="AN616" s="71">
        <f t="shared" si="345"/>
        <v>-45</v>
      </c>
      <c r="AO616" s="71">
        <f t="shared" si="346"/>
        <v>0</v>
      </c>
      <c r="AP616" s="71">
        <f t="shared" si="347"/>
        <v>0</v>
      </c>
      <c r="AQ616" s="72">
        <f>IF(OR($H616="GIROSSOL II",$H616="GIROSSOL II e III"),INDEX('Resumo Operacional'!$A$1:$P$1103,MATCH("Energia Injetada prevista total Fatura da Usina (TUSD)",'Resumo Operacional'!$B$1:$B$1103,0),MATCH('Detalhe Por UC'!$R616,'Resumo Operacional'!$A$1:$P$1,0))*$S616,INDEX('Resumo Operacional'!$A$1:$P$1103,53,MATCH('Detalhe Por UC'!$R616,'Resumo Operacional'!$A$1:$P$1,0))*$S616)</f>
        <v>172.39000000000001</v>
      </c>
      <c r="AR616" s="71">
        <f t="shared" si="348"/>
        <v>-172.39000000000001</v>
      </c>
      <c r="AS616" s="73">
        <f t="shared" si="349"/>
        <v>210.71</v>
      </c>
      <c r="AT616" s="74">
        <f t="shared" si="350"/>
        <v>210.71</v>
      </c>
      <c r="AU616" s="74">
        <f t="shared" si="351"/>
        <v>0.85623423423423439</v>
      </c>
      <c r="AV616" s="74">
        <f t="shared" si="352"/>
        <v>34.781205919836005</v>
      </c>
      <c r="AW616" s="74">
        <f t="shared" si="353"/>
        <v>0</v>
      </c>
      <c r="AX616" s="74">
        <f t="shared" si="354"/>
        <v>45.6</v>
      </c>
      <c r="AY616" s="74">
        <f t="shared" si="355"/>
        <v>34.78</v>
      </c>
      <c r="AZ616" s="43">
        <v>34.200000000000003</v>
      </c>
      <c r="BA616" s="43">
        <v>34.200000000000003</v>
      </c>
      <c r="BB616" s="43">
        <v>45.6</v>
      </c>
      <c r="BC616" s="73">
        <f t="shared" si="356"/>
        <v>11.399999999999999</v>
      </c>
      <c r="BD616" s="73">
        <f t="shared" si="357"/>
        <v>256.31</v>
      </c>
      <c r="BE616" s="73">
        <f t="shared" si="358"/>
        <v>245.49120591983601</v>
      </c>
      <c r="BF616" s="77">
        <f t="shared" si="359"/>
        <v>10.82</v>
      </c>
      <c r="BG616" s="77">
        <f t="shared" si="360"/>
        <v>3.246</v>
      </c>
      <c r="BH616" s="77">
        <f t="shared" si="361"/>
        <v>45.6</v>
      </c>
      <c r="BI616" s="78">
        <f t="shared" si="362"/>
        <v>0.24</v>
      </c>
      <c r="BJ616" s="79">
        <f t="shared" si="363"/>
        <v>4.2214505871795871E-2</v>
      </c>
      <c r="BK616" s="80">
        <f t="shared" si="364"/>
        <v>245.49</v>
      </c>
      <c r="BL616" s="80">
        <f t="shared" si="365"/>
        <v>10.819999999999993</v>
      </c>
      <c r="BM616" s="79">
        <f t="shared" si="366"/>
        <v>4.2214505871795843E-2</v>
      </c>
      <c r="BN616" s="81">
        <f t="shared" si="367"/>
        <v>0.77288888888888896</v>
      </c>
      <c r="BO616" s="82">
        <f t="shared" si="368"/>
        <v>34.78</v>
      </c>
      <c r="BP616" s="81">
        <f t="shared" si="369"/>
        <v>0.77288888888888896</v>
      </c>
      <c r="BQ616" s="81">
        <f t="shared" si="370"/>
        <v>0.92998798798798799</v>
      </c>
      <c r="BR616" s="81">
        <f t="shared" si="371"/>
        <v>1.1704324324324324</v>
      </c>
      <c r="BS616" s="82">
        <f t="shared" si="372"/>
        <v>45</v>
      </c>
      <c r="BT616" s="82">
        <f t="shared" si="373"/>
        <v>52.669459459459461</v>
      </c>
      <c r="BU616" s="82">
        <f t="shared" si="374"/>
        <v>45.6</v>
      </c>
      <c r="BW616" s="82">
        <f>IFERROR(INDEX('Infos Clientes'!$T:$T,MATCH('Detalhe Por UC'!$C616,'Infos Clientes'!B:B,0)),"")</f>
        <v>264</v>
      </c>
      <c r="BX616" s="83">
        <f t="shared" si="375"/>
        <v>0</v>
      </c>
      <c r="BY616" s="84">
        <f t="shared" si="376"/>
        <v>0.20543214437824886</v>
      </c>
      <c r="BZ616" s="85">
        <f>IF(_xlfn.MINIFS('Detalhe Por UC'!R:R,'Detalhe Por UC'!C:C,C616,'Detalhe Por UC'!AD:AD,"&gt;"&amp;0)=0,"",_xlfn.MINIFS('Detalhe Por UC'!R:R,'Detalhe Por UC'!C:C,C616,'Detalhe Por UC'!AD:AD,"&gt;"&amp;0))</f>
        <v>45658</v>
      </c>
      <c r="CA616" s="114">
        <f ca="1">IF(OR(S616&gt;0,AD616&gt;0),IFERROR(
SUMIFS(INDIRECT("'Infos Clientes'!$W"&amp;INDEX('Infos Clientes'!$C:$C,MATCH(C616,'Infos Clientes'!$H:$H,0))&amp;":$CZ"&amp;INDEX('Infos Clientes'!$C:$C,MATCH(C616,'Infos Clientes'!$H:$H,0))),'Infos Clientes'!$W$2:$CZ$2,"&gt;"&amp;$R616-365,'Infos Clientes'!$W$2:$CZ$2,"&lt;="&amp;$R616)/
COUNTIFS(INDIRECT("'Infos Clientes'!$W"&amp;INDEX('Infos Clientes'!$C:$C,MATCH(C616,'Infos Clientes'!$H:$H,0))&amp;":$CZ"&amp;INDEX('Infos Clientes'!$C:$C,MATCH(C616,'Infos Clientes'!$H:$H,0))),"&gt;="&amp;0,'Infos Clientes'!$W$2:$CZ$2,"&gt;"&amp;$R616-365,'Infos Clientes'!$W$2:$CZ$2,"&lt;="&amp;$R616),""),"")</f>
        <v>266</v>
      </c>
      <c r="CB616" s="87">
        <f>VLOOKUP(C616,'Infos Clientes'!B:L,11,0)</f>
        <v>0</v>
      </c>
      <c r="CC616" s="88" t="str">
        <f t="shared" si="377"/>
        <v>A Unidade Consumidora 10/52987-5 economizou R$10,82 na fatura referente à jun/2025  consumindo 45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6" s="40"/>
      <c r="CE616" s="43"/>
      <c r="CF616" s="115">
        <f t="shared" si="378"/>
        <v>-210.71</v>
      </c>
    </row>
    <row r="617" spans="1:84" ht="16.2" hidden="1" customHeight="1" x14ac:dyDescent="0.3">
      <c r="A617" s="105" t="str">
        <f>INDEX('Infos Clientes'!$D:$D,MATCH('Detalhe Por UC'!C617,'Infos Clientes'!B:B,0))</f>
        <v>IGREJA DO EVANGELHO QUADRANGULAR</v>
      </c>
      <c r="B617" s="106" t="str">
        <f>INDEX('Infos Clientes'!$F:$F,MATCH('Detalhe Por UC'!C617,'Infos Clientes'!B:B,0))</f>
        <v>62.955.505/2391-19</v>
      </c>
      <c r="C617" s="44" t="s">
        <v>193</v>
      </c>
      <c r="D617" t="s">
        <v>351</v>
      </c>
      <c r="E617" s="1" t="s">
        <v>352</v>
      </c>
      <c r="F617" s="56" t="str">
        <f>INDEX('Infos Clientes'!$I:$I,MATCH('Detalhe Por UC'!C617,'Infos Clientes'!B:B,0))</f>
        <v>BT</v>
      </c>
      <c r="G617" s="56" t="str">
        <f>INDEX('Infos Clientes'!$J:$J,MATCH('Detalhe Por UC'!C617,'Infos Clientes'!B:B,0))</f>
        <v>bifasico</v>
      </c>
      <c r="H617" s="47" t="str">
        <f>HYPERLINK("https://geraebcsp.sharepoint.com/sites/gestao.gdc/Shared Documents/EGS/2- Faturas/"&amp; TEXT($R617,"AAA") &amp;"/"&amp; TEXT($R617,"MM") &amp;"."&amp; TEXT($R617,"AAA") &amp;"/"&amp;"_10-"&amp; RIGHT($C617,LEN($C617)-3) &amp;"_" &amp; TEXT($R617,"AAAA") &amp;"-"&amp; TEXT($R617,"MM") &amp;".pdf","GIROSSOL III")</f>
        <v>GIROSSOL III</v>
      </c>
      <c r="I617" s="58">
        <f>IFERROR(VLOOKUP(C617,'Infos Clientes'!B:E,4,),"")</f>
        <v>306</v>
      </c>
      <c r="J617" s="109">
        <v>0.23725425614394724</v>
      </c>
      <c r="K617" s="59">
        <f>INDEX('Infos Clientes'!$M:$M,MATCH('Detalhe Por UC'!C617,'Infos Clientes'!B:B,0))</f>
        <v>0.25</v>
      </c>
      <c r="L617" s="125">
        <v>0</v>
      </c>
      <c r="M617" s="56">
        <f>INDEX('Infos Clientes'!$N:$N,MATCH('Detalhe Por UC'!C617,'Infos Clientes'!B:B,0))</f>
        <v>0</v>
      </c>
      <c r="N617" s="56">
        <f t="shared" si="343"/>
        <v>0</v>
      </c>
      <c r="O617" s="56">
        <f t="shared" si="344"/>
        <v>9</v>
      </c>
      <c r="P617" s="56">
        <f t="shared" si="379"/>
        <v>0</v>
      </c>
      <c r="Q617" s="61">
        <f>IFERROR(IFERROR(INDEX('Infos Clientes'!$A$2:$V$9884,MATCH($C617,'Infos Clientes'!$B$2:$B$9884,0),MATCH(Q$8,'Infos Clientes'!$A$2:$V$2,0)),"")
+IF(OR(INDEX('Infos Clientes'!$A$2:$V$9884,MATCH($C617,'Infos Clientes'!$B$2:$B$9884,0),MATCH("Tempo de Fidelidade (meses)",'Infos Clientes'!$A$2:$V$2,0))=0,R617&gt;=MAX(R:R)),0,
ROUND((MAX(R:R)-R617)/(365/12),0)),"")</f>
        <v>0</v>
      </c>
      <c r="R617" s="111">
        <v>45809</v>
      </c>
      <c r="S617" s="63">
        <v>0.02</v>
      </c>
      <c r="T617" s="113" t="str">
        <f>IF($H617="GIROSSOL II",AP617/INDEX('Resumo Operacional'!$A$1:$P$1103,17,MATCH('Detalhe Por UC'!$R617,'Resumo Operacional'!$A$1:$P$1,0)),
IF($H617="GIROSSOL II e III",AP617/INDEX('Resumo Operacional'!$A$1:$P$1103,17,MATCH('Detalhe Por UC'!$R617,'Resumo Operacional'!$A$1:$P$1,0)),
""))</f>
        <v/>
      </c>
      <c r="U617" s="113">
        <f>IF($H617="GIROSSOL III",AP617/INDEX('Resumo Operacional'!$A$1:$P$1103,53,MATCH('Detalhe Por UC'!$R617,'Resumo Operacional'!$A$1:$P$1,0)),
IF($H617="GIROSSOL II e III",AP617/INDEX('Resumo Operacional'!$A$1:$P$1103,53,MATCH('Detalhe Por UC'!$R617,'Resumo Operacional'!$A$1:$P$1,0)),
""))</f>
        <v>0</v>
      </c>
      <c r="V617" s="45"/>
      <c r="X617" s="18">
        <v>1.1631640721522114</v>
      </c>
      <c r="Y617" s="18">
        <v>0</v>
      </c>
      <c r="Z617" s="18">
        <v>1.006295447101212</v>
      </c>
      <c r="AA617" s="18"/>
      <c r="AB617" s="18">
        <v>228</v>
      </c>
      <c r="AC617" s="18"/>
      <c r="AD617" s="143">
        <v>86</v>
      </c>
      <c r="AE617" s="35"/>
      <c r="AF617" s="18">
        <v>0</v>
      </c>
      <c r="AG617" s="18">
        <v>0</v>
      </c>
      <c r="AH617" s="48">
        <v>0</v>
      </c>
      <c r="AI617" s="18">
        <v>0</v>
      </c>
      <c r="AJ617" s="18">
        <v>0</v>
      </c>
      <c r="AL617" s="146"/>
      <c r="AN617" s="71">
        <f t="shared" si="345"/>
        <v>-86</v>
      </c>
      <c r="AO617" s="71">
        <f t="shared" si="346"/>
        <v>0</v>
      </c>
      <c r="AP617" s="71">
        <f t="shared" si="347"/>
        <v>0</v>
      </c>
      <c r="AQ617" s="72">
        <f>IF(OR($H617="GIROSSOL II",$H617="GIROSSOL II e III"),INDEX('Resumo Operacional'!$A$1:$P$1103,MATCH("Energia Injetada prevista total Fatura da Usina (TUSD)",'Resumo Operacional'!$B$1:$B$1103,0),MATCH('Detalhe Por UC'!$R617,'Resumo Operacional'!$A$1:$P$1,0))*$S617,INDEX('Resumo Operacional'!$A$1:$P$1103,53,MATCH('Detalhe Por UC'!$R617,'Resumo Operacional'!$A$1:$P$1,0))*$S617)</f>
        <v>344.78000000000003</v>
      </c>
      <c r="AR617" s="71">
        <f t="shared" si="348"/>
        <v>-344.78000000000003</v>
      </c>
      <c r="AS617" s="73">
        <f t="shared" si="349"/>
        <v>178.65999999999997</v>
      </c>
      <c r="AT617" s="74">
        <f t="shared" si="350"/>
        <v>178.65999999999997</v>
      </c>
      <c r="AU617" s="74">
        <f t="shared" si="351"/>
        <v>0.84942682205021258</v>
      </c>
      <c r="AV617" s="74">
        <f t="shared" si="352"/>
        <v>66.009090963082883</v>
      </c>
      <c r="AW617" s="74">
        <f t="shared" si="353"/>
        <v>0</v>
      </c>
      <c r="AX617" s="74">
        <f t="shared" si="354"/>
        <v>86.541408450704225</v>
      </c>
      <c r="AY617" s="74">
        <f t="shared" si="355"/>
        <v>66.010000000000005</v>
      </c>
      <c r="AZ617" s="43">
        <v>64.91</v>
      </c>
      <c r="BA617" s="43">
        <v>64.91</v>
      </c>
      <c r="BB617" s="43">
        <v>64.91</v>
      </c>
      <c r="BC617" s="73" t="str">
        <f t="shared" si="356"/>
        <v/>
      </c>
      <c r="BD617" s="73">
        <f t="shared" si="357"/>
        <v>265.20140845070421</v>
      </c>
      <c r="BE617" s="73">
        <f t="shared" si="358"/>
        <v>244.66909096308285</v>
      </c>
      <c r="BF617" s="77">
        <f t="shared" si="359"/>
        <v>20.53</v>
      </c>
      <c r="BG617" s="77">
        <f t="shared" si="360"/>
        <v>6.1589999999999998</v>
      </c>
      <c r="BH617" s="77">
        <f t="shared" si="361"/>
        <v>86.541408450704225</v>
      </c>
      <c r="BI617" s="78">
        <f t="shared" si="362"/>
        <v>0.24</v>
      </c>
      <c r="BJ617" s="79">
        <f t="shared" si="363"/>
        <v>7.7412861869533126E-2</v>
      </c>
      <c r="BK617" s="80">
        <f t="shared" si="364"/>
        <v>244.66999999999996</v>
      </c>
      <c r="BL617" s="80">
        <f t="shared" si="365"/>
        <v>20.531408450704248</v>
      </c>
      <c r="BM617" s="79">
        <f t="shared" si="366"/>
        <v>7.7418172741419045E-2</v>
      </c>
      <c r="BN617" s="81">
        <f t="shared" si="367"/>
        <v>0.76755813953488383</v>
      </c>
      <c r="BO617" s="82">
        <f t="shared" si="368"/>
        <v>66.010000000000005</v>
      </c>
      <c r="BP617" s="81">
        <f t="shared" si="369"/>
        <v>0.76755813953488383</v>
      </c>
      <c r="BQ617" s="81">
        <f t="shared" si="370"/>
        <v>0.92442676458588324</v>
      </c>
      <c r="BR617" s="81">
        <f t="shared" si="371"/>
        <v>1.1631640721522114</v>
      </c>
      <c r="BS617" s="82">
        <f t="shared" si="372"/>
        <v>86</v>
      </c>
      <c r="BT617" s="82">
        <f t="shared" si="373"/>
        <v>100.03211020509018</v>
      </c>
      <c r="BU617" s="82">
        <f t="shared" si="374"/>
        <v>86.541408450704225</v>
      </c>
      <c r="BW617" s="82">
        <f>IFERROR(INDEX('Infos Clientes'!$T:$T,MATCH('Detalhe Por UC'!$C617,'Infos Clientes'!B:B,0)),"")</f>
        <v>330.27272727272725</v>
      </c>
      <c r="BX617" s="83">
        <f t="shared" si="375"/>
        <v>0</v>
      </c>
      <c r="BY617" s="84">
        <f t="shared" si="376"/>
        <v>0.20524817889585489</v>
      </c>
      <c r="BZ617" s="85">
        <f>IF(_xlfn.MINIFS('Detalhe Por UC'!R:R,'Detalhe Por UC'!C:C,C617,'Detalhe Por UC'!AD:AD,"&gt;"&amp;0)=0,"",_xlfn.MINIFS('Detalhe Por UC'!R:R,'Detalhe Por UC'!C:C,C617,'Detalhe Por UC'!AD:AD,"&gt;"&amp;0))</f>
        <v>45658</v>
      </c>
      <c r="CA617" s="114">
        <f ca="1">IF(OR(S617&gt;0,AD617&gt;0),IFERROR(
SUMIFS(INDIRECT("'Infos Clientes'!$W"&amp;INDEX('Infos Clientes'!$C:$C,MATCH(C617,'Infos Clientes'!$H:$H,0))&amp;":$CZ"&amp;INDEX('Infos Clientes'!$C:$C,MATCH(C617,'Infos Clientes'!$H:$H,0))),'Infos Clientes'!$W$2:$CZ$2,"&gt;"&amp;$R617-365,'Infos Clientes'!$W$2:$CZ$2,"&lt;="&amp;$R617)/
COUNTIFS(INDIRECT("'Infos Clientes'!$W"&amp;INDEX('Infos Clientes'!$C:$C,MATCH(C617,'Infos Clientes'!$H:$H,0))&amp;":$CZ"&amp;INDEX('Infos Clientes'!$C:$C,MATCH(C617,'Infos Clientes'!$H:$H,0))),"&gt;="&amp;0,'Infos Clientes'!$W$2:$CZ$2,"&gt;"&amp;$R617-365,'Infos Clientes'!$W$2:$CZ$2,"&lt;="&amp;$R617),""),"")</f>
        <v>307.25</v>
      </c>
      <c r="CB617" s="87">
        <f>VLOOKUP(C617,'Infos Clientes'!B:L,11,0)</f>
        <v>0</v>
      </c>
      <c r="CC617" s="88" t="str">
        <f t="shared" si="377"/>
        <v>A Unidade Consumidora 10/341308-5 economizou R$20,53 na fatura referente à jun/2025  consumindo 86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7" s="40" t="s">
        <v>143</v>
      </c>
      <c r="CE617" s="43"/>
      <c r="CF617" s="115">
        <f t="shared" si="378"/>
        <v>-178.65999999999997</v>
      </c>
    </row>
    <row r="618" spans="1:84" ht="16.2" hidden="1" customHeight="1" x14ac:dyDescent="0.3">
      <c r="A618" s="105" t="str">
        <f>INDEX('Infos Clientes'!$D:$D,MATCH('Detalhe Por UC'!C618,'Infos Clientes'!B:B,0))</f>
        <v>IGREJA DO EVANGELHO QUADRANGULAR</v>
      </c>
      <c r="B618" s="106" t="str">
        <f>INDEX('Infos Clientes'!$F:$F,MATCH('Detalhe Por UC'!C618,'Infos Clientes'!B:B,0))</f>
        <v>62.955.505/1893-40</v>
      </c>
      <c r="C618" s="107" t="s">
        <v>214</v>
      </c>
      <c r="D618" t="s">
        <v>351</v>
      </c>
      <c r="E618" s="1" t="s">
        <v>352</v>
      </c>
      <c r="F618" s="56" t="str">
        <f>INDEX('Infos Clientes'!$I:$I,MATCH('Detalhe Por UC'!C618,'Infos Clientes'!B:B,0))</f>
        <v>BT</v>
      </c>
      <c r="G618" s="56" t="str">
        <f>INDEX('Infos Clientes'!$J:$J,MATCH('Detalhe Por UC'!C618,'Infos Clientes'!B:B,0))</f>
        <v>trifasico</v>
      </c>
      <c r="H618" s="108" t="s">
        <v>138</v>
      </c>
      <c r="I618" s="58">
        <f>IFERROR(VLOOKUP(C618,'Infos Clientes'!B:E,4,),"")</f>
        <v>349</v>
      </c>
      <c r="J618" s="109">
        <v>0.23725425614394724</v>
      </c>
      <c r="K618" s="59">
        <f>INDEX('Infos Clientes'!$M:$M,MATCH('Detalhe Por UC'!C618,'Infos Clientes'!B:B,0))</f>
        <v>0.25</v>
      </c>
      <c r="L618" s="125">
        <v>0</v>
      </c>
      <c r="M618" s="56">
        <f>INDEX('Infos Clientes'!$N:$N,MATCH('Detalhe Por UC'!C618,'Infos Clientes'!B:B,0))</f>
        <v>0</v>
      </c>
      <c r="N618" s="56">
        <f t="shared" si="343"/>
        <v>0</v>
      </c>
      <c r="O618" s="56">
        <f t="shared" si="344"/>
        <v>1</v>
      </c>
      <c r="P618" s="56">
        <f t="shared" si="379"/>
        <v>0</v>
      </c>
      <c r="Q618" s="61">
        <f>IFERROR(IFERROR(INDEX('Infos Clientes'!$A$2:$V$9884,MATCH($C618,'Infos Clientes'!$B$2:$B$9884,0),MATCH(Q$8,'Infos Clientes'!$A$2:$V$2,0)),"")
+IF(OR(INDEX('Infos Clientes'!$A$2:$V$9884,MATCH($C618,'Infos Clientes'!$B$2:$B$9884,0),MATCH("Tempo de Fidelidade (meses)",'Infos Clientes'!$A$2:$V$2,0))=0,R618&gt;=MAX(R:R)),0,
ROUND((MAX(R:R)-R618)/(365/12),0)),"")</f>
        <v>0</v>
      </c>
      <c r="R618" s="111">
        <v>45809</v>
      </c>
      <c r="S618" s="63">
        <v>0.01</v>
      </c>
      <c r="T618" s="113" t="str">
        <f>IF($H618="GIROSSOL II",AP618/INDEX('Resumo Operacional'!$A$1:$P$1103,17,MATCH('Detalhe Por UC'!$R618,'Resumo Operacional'!$A$1:$P$1,0)),
IF($H618="GIROSSOL II e III",AP618/INDEX('Resumo Operacional'!$A$1:$P$1103,17,MATCH('Detalhe Por UC'!$R618,'Resumo Operacional'!$A$1:$P$1,0)),
""))</f>
        <v/>
      </c>
      <c r="U618" s="113">
        <f>IF($H618="GIROSSOL III",AP618/INDEX('Resumo Operacional'!$A$1:$P$1103,53,MATCH('Detalhe Por UC'!$R618,'Resumo Operacional'!$A$1:$P$1,0)),
IF($H618="GIROSSOL II e III",AP618/INDEX('Resumo Operacional'!$A$1:$P$1103,53,MATCH('Detalhe Por UC'!$R618,'Resumo Operacional'!$A$1:$P$1,0)),
""))</f>
        <v>0</v>
      </c>
      <c r="V618" s="45"/>
      <c r="X618" s="18"/>
      <c r="Y618" s="18"/>
      <c r="Z618" s="18"/>
      <c r="AA618" s="18"/>
      <c r="AB618" s="18"/>
      <c r="AC618" s="18"/>
      <c r="AD618" s="143"/>
      <c r="AE618" s="35"/>
      <c r="AF618" s="18"/>
      <c r="AG618" s="18"/>
      <c r="AH618" s="48"/>
      <c r="AI618" s="18"/>
      <c r="AJ618" s="18"/>
      <c r="AL618" s="146"/>
      <c r="AN618" s="71" t="str">
        <f t="shared" si="345"/>
        <v/>
      </c>
      <c r="AO618" s="71" t="str">
        <f t="shared" si="346"/>
        <v/>
      </c>
      <c r="AP618" s="71">
        <f t="shared" si="347"/>
        <v>0</v>
      </c>
      <c r="AQ618" s="72">
        <f>IF(OR($H618="GIROSSOL II",$H618="GIROSSOL II e III"),INDEX('Resumo Operacional'!$A$1:$P$1103,MATCH("Energia Injetada prevista total Fatura da Usina (TUSD)",'Resumo Operacional'!$B$1:$B$1103,0),MATCH('Detalhe Por UC'!$R618,'Resumo Operacional'!$A$1:$P$1,0))*$S618,INDEX('Resumo Operacional'!$A$1:$P$1103,53,MATCH('Detalhe Por UC'!$R618,'Resumo Operacional'!$A$1:$P$1,0))*$S618)</f>
        <v>172.39000000000001</v>
      </c>
      <c r="AR618" s="71" t="str">
        <f t="shared" si="348"/>
        <v/>
      </c>
      <c r="AS618" s="73">
        <f t="shared" si="349"/>
        <v>0</v>
      </c>
      <c r="AT618" s="74">
        <f t="shared" si="350"/>
        <v>0</v>
      </c>
      <c r="AU618" s="74" t="str">
        <f t="shared" si="351"/>
        <v/>
      </c>
      <c r="AV618" s="74">
        <f t="shared" si="352"/>
        <v>0</v>
      </c>
      <c r="AW618" s="74">
        <f t="shared" si="353"/>
        <v>0</v>
      </c>
      <c r="AX618" s="74">
        <f t="shared" si="354"/>
        <v>0</v>
      </c>
      <c r="AY618" s="74" t="str">
        <f t="shared" si="355"/>
        <v/>
      </c>
      <c r="AZ618" s="43" t="s">
        <v>354</v>
      </c>
      <c r="BA618" s="43"/>
      <c r="BC618" s="73" t="str">
        <f t="shared" si="356"/>
        <v/>
      </c>
      <c r="BD618" s="73">
        <f t="shared" si="357"/>
        <v>0</v>
      </c>
      <c r="BE618" s="73">
        <f t="shared" si="358"/>
        <v>0</v>
      </c>
      <c r="BF618" s="77">
        <f t="shared" si="359"/>
        <v>0</v>
      </c>
      <c r="BG618" s="77">
        <f t="shared" si="360"/>
        <v>0</v>
      </c>
      <c r="BH618" s="77">
        <f t="shared" si="361"/>
        <v>0</v>
      </c>
      <c r="BI618" s="78" t="str">
        <f t="shared" si="362"/>
        <v/>
      </c>
      <c r="BJ618" s="79" t="str">
        <f t="shared" si="363"/>
        <v/>
      </c>
      <c r="BK618" s="80" t="str">
        <f t="shared" si="364"/>
        <v/>
      </c>
      <c r="BL618" s="80" t="str">
        <f t="shared" si="365"/>
        <v/>
      </c>
      <c r="BM618" s="79" t="str">
        <f t="shared" si="366"/>
        <v/>
      </c>
      <c r="BN618" s="81" t="str">
        <f t="shared" si="367"/>
        <v/>
      </c>
      <c r="BO618" s="82" t="str">
        <f t="shared" si="368"/>
        <v/>
      </c>
      <c r="BP618" s="81" t="str">
        <f t="shared" si="369"/>
        <v/>
      </c>
      <c r="BQ618" s="81" t="str">
        <f t="shared" si="370"/>
        <v/>
      </c>
      <c r="BR618" s="81" t="str">
        <f t="shared" si="371"/>
        <v/>
      </c>
      <c r="BS618" s="82">
        <f t="shared" si="372"/>
        <v>0</v>
      </c>
      <c r="BT618" s="82" t="str">
        <f t="shared" si="373"/>
        <v/>
      </c>
      <c r="BU618" s="82">
        <f t="shared" si="374"/>
        <v>0</v>
      </c>
      <c r="BW618" s="82">
        <f>IFERROR(INDEX('Infos Clientes'!$T:$T,MATCH('Detalhe Por UC'!$C618,'Infos Clientes'!B:B,0)),"")</f>
        <v>254.09090909090909</v>
      </c>
      <c r="BX618" s="83">
        <f t="shared" si="375"/>
        <v>0</v>
      </c>
      <c r="BY618" s="84" t="str">
        <f t="shared" si="376"/>
        <v/>
      </c>
      <c r="BZ618" s="85">
        <f>IF(_xlfn.MINIFS('Detalhe Por UC'!R:R,'Detalhe Por UC'!C:C,C618,'Detalhe Por UC'!AD:AD,"&gt;"&amp;0)=0,"",_xlfn.MINIFS('Detalhe Por UC'!R:R,'Detalhe Por UC'!C:C,C618,'Detalhe Por UC'!AD:AD,"&gt;"&amp;0))</f>
        <v>45658</v>
      </c>
      <c r="CA618" s="114">
        <f ca="1">IF(OR(S618&gt;0,AD618&gt;0),IFERROR(
SUMIFS(INDIRECT("'Infos Clientes'!$W"&amp;INDEX('Infos Clientes'!$C:$C,MATCH(C618,'Infos Clientes'!$H:$H,0))&amp;":$CZ"&amp;INDEX('Infos Clientes'!$C:$C,MATCH(C618,'Infos Clientes'!$H:$H,0))),'Infos Clientes'!$W$2:$CZ$2,"&gt;"&amp;$R618-365,'Infos Clientes'!$W$2:$CZ$2,"&lt;="&amp;$R618)/
COUNTIFS(INDIRECT("'Infos Clientes'!$W"&amp;INDEX('Infos Clientes'!$C:$C,MATCH(C618,'Infos Clientes'!$H:$H,0))&amp;":$CZ"&amp;INDEX('Infos Clientes'!$C:$C,MATCH(C618,'Infos Clientes'!$H:$H,0))),"&gt;="&amp;0,'Infos Clientes'!$W$2:$CZ$2,"&gt;"&amp;$R618-365,'Infos Clientes'!$W$2:$CZ$2,"&lt;="&amp;$R618),""),"")</f>
        <v>242</v>
      </c>
      <c r="CB618" s="87">
        <f>VLOOKUP(C618,'Infos Clientes'!B:L,11,0)</f>
        <v>0</v>
      </c>
      <c r="CC618" s="88" t="str">
        <f t="shared" si="377"/>
        <v>A Unidade Consumidora 10/512142-1 economizou R$0 na fatura referente à jun/2025  consumindo 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8" s="40" t="s">
        <v>66</v>
      </c>
      <c r="CE618" s="43"/>
      <c r="CF618" s="115">
        <f t="shared" si="378"/>
        <v>0</v>
      </c>
    </row>
    <row r="619" spans="1:84" ht="16.2" hidden="1" customHeight="1" x14ac:dyDescent="0.3">
      <c r="A619" s="105" t="str">
        <f>INDEX('Infos Clientes'!$D:$D,MATCH('Detalhe Por UC'!C619,'Infos Clientes'!B:B,0))</f>
        <v>IGREJA DO EVANGELHO QUADRANGULAR</v>
      </c>
      <c r="B619" s="106" t="str">
        <f>INDEX('Infos Clientes'!$F:$F,MATCH('Detalhe Por UC'!C619,'Infos Clientes'!B:B,0))</f>
        <v>62.955.505/3358-51</v>
      </c>
      <c r="C619" s="44" t="s">
        <v>150</v>
      </c>
      <c r="D619" t="s">
        <v>351</v>
      </c>
      <c r="E619" s="1" t="s">
        <v>352</v>
      </c>
      <c r="F619" s="56" t="str">
        <f>INDEX('Infos Clientes'!$I:$I,MATCH('Detalhe Por UC'!C619,'Infos Clientes'!B:B,0))</f>
        <v>BT</v>
      </c>
      <c r="G619" s="56" t="str">
        <f>INDEX('Infos Clientes'!$J:$J,MATCH('Detalhe Por UC'!C619,'Infos Clientes'!B:B,0))</f>
        <v>trifasico</v>
      </c>
      <c r="H619" s="47" t="str">
        <f t="shared" ref="H619:H628" si="380">HYPERLINK("https://geraebcsp.sharepoint.com/sites/gestao.gdc/Shared Documents/EGS/2- Faturas/"&amp; TEXT($R619,"AAA") &amp;"/"&amp; TEXT($R619,"MM") &amp;"."&amp; TEXT($R619,"AAA") &amp;"/"&amp;"_10-"&amp; RIGHT($C619,LEN($C619)-3) &amp;"_" &amp; TEXT($R619,"AAAA") &amp;"-"&amp; TEXT($R619,"MM") &amp;".pdf","GIROSSOL III")</f>
        <v>GIROSSOL III</v>
      </c>
      <c r="I619" s="58">
        <f>IFERROR(VLOOKUP(C619,'Infos Clientes'!B:E,4,),"")</f>
        <v>306</v>
      </c>
      <c r="J619" s="109">
        <v>0.23725425614394724</v>
      </c>
      <c r="K619" s="59">
        <f>INDEX('Infos Clientes'!$M:$M,MATCH('Detalhe Por UC'!C619,'Infos Clientes'!B:B,0))</f>
        <v>0.25</v>
      </c>
      <c r="L619" s="125">
        <v>0</v>
      </c>
      <c r="M619" s="56">
        <f>INDEX('Infos Clientes'!$N:$N,MATCH('Detalhe Por UC'!C619,'Infos Clientes'!B:B,0))</f>
        <v>0</v>
      </c>
      <c r="N619" s="56">
        <f t="shared" si="343"/>
        <v>0</v>
      </c>
      <c r="O619" s="56">
        <f t="shared" si="344"/>
        <v>10</v>
      </c>
      <c r="P619" s="56">
        <f t="shared" si="379"/>
        <v>0</v>
      </c>
      <c r="Q619" s="61">
        <f>IFERROR(IFERROR(INDEX('Infos Clientes'!$A$2:$V$9884,MATCH($C619,'Infos Clientes'!$B$2:$B$9884,0),MATCH(Q$8,'Infos Clientes'!$A$2:$V$2,0)),"")
+IF(OR(INDEX('Infos Clientes'!$A$2:$V$9884,MATCH($C619,'Infos Clientes'!$B$2:$B$9884,0),MATCH("Tempo de Fidelidade (meses)",'Infos Clientes'!$A$2:$V$2,0))=0,R619&gt;=MAX(R:R)),0,
ROUND((MAX(R:R)-R619)/(365/12),0)),"")</f>
        <v>0</v>
      </c>
      <c r="R619" s="111">
        <v>45809</v>
      </c>
      <c r="S619" s="63">
        <v>0.01</v>
      </c>
      <c r="T619" s="113" t="str">
        <f>IF($H619="GIROSSOL II",AP619/INDEX('Resumo Operacional'!$A$1:$P$1103,17,MATCH('Detalhe Por UC'!$R619,'Resumo Operacional'!$A$1:$P$1,0)),
IF($H619="GIROSSOL II e III",AP619/INDEX('Resumo Operacional'!$A$1:$P$1103,17,MATCH('Detalhe Por UC'!$R619,'Resumo Operacional'!$A$1:$P$1,0)),
""))</f>
        <v/>
      </c>
      <c r="U619" s="113">
        <f>IF($H619="GIROSSOL III",AP619/INDEX('Resumo Operacional'!$A$1:$P$1103,53,MATCH('Detalhe Por UC'!$R619,'Resumo Operacional'!$A$1:$P$1,0)),
IF($H619="GIROSSOL II e III",AP619/INDEX('Resumo Operacional'!$A$1:$P$1103,53,MATCH('Detalhe Por UC'!$R619,'Resumo Operacional'!$A$1:$P$1,0)),
""))</f>
        <v>4.5826324032716519E-3</v>
      </c>
      <c r="V619" s="45"/>
      <c r="X619" s="18">
        <v>1.1541458763705705</v>
      </c>
      <c r="Y619" s="18">
        <v>0</v>
      </c>
      <c r="Z619" s="18">
        <v>0.99723560636994713</v>
      </c>
      <c r="AA619" s="18"/>
      <c r="AB619" s="18">
        <v>203</v>
      </c>
      <c r="AC619" s="18"/>
      <c r="AD619" s="143">
        <v>79</v>
      </c>
      <c r="AE619" s="35"/>
      <c r="AF619" s="18">
        <v>0</v>
      </c>
      <c r="AG619" s="18">
        <v>0</v>
      </c>
      <c r="AH619" s="48">
        <v>3.87</v>
      </c>
      <c r="AI619" s="18">
        <v>0</v>
      </c>
      <c r="AJ619" s="18">
        <v>0</v>
      </c>
      <c r="AL619" s="146"/>
      <c r="AN619" s="71">
        <f t="shared" si="345"/>
        <v>0</v>
      </c>
      <c r="AO619" s="71">
        <f t="shared" si="346"/>
        <v>0</v>
      </c>
      <c r="AP619" s="71">
        <f t="shared" si="347"/>
        <v>79</v>
      </c>
      <c r="AQ619" s="72">
        <f>IF(OR($H619="GIROSSOL II",$H619="GIROSSOL II e III"),INDEX('Resumo Operacional'!$A$1:$P$1103,MATCH("Energia Injetada prevista total Fatura da Usina (TUSD)",'Resumo Operacional'!$B$1:$B$1103,0),MATCH('Detalhe Por UC'!$R619,'Resumo Operacional'!$A$1:$P$1,0))*$S619,INDEX('Resumo Operacional'!$A$1:$P$1103,53,MATCH('Detalhe Por UC'!$R619,'Resumo Operacional'!$A$1:$P$1,0))*$S619)</f>
        <v>172.39000000000001</v>
      </c>
      <c r="AR619" s="71">
        <f t="shared" si="348"/>
        <v>-93.390000000000015</v>
      </c>
      <c r="AS619" s="73">
        <f t="shared" si="349"/>
        <v>159.38</v>
      </c>
      <c r="AT619" s="74">
        <f t="shared" si="350"/>
        <v>159.38</v>
      </c>
      <c r="AU619" s="74">
        <f t="shared" si="351"/>
        <v>0.84032533636932372</v>
      </c>
      <c r="AV619" s="74">
        <f t="shared" si="352"/>
        <v>60.090339936050583</v>
      </c>
      <c r="AW619" s="74">
        <f t="shared" si="353"/>
        <v>0</v>
      </c>
      <c r="AX619" s="74">
        <f t="shared" si="354"/>
        <v>78.78161290322582</v>
      </c>
      <c r="AY619" s="74">
        <f t="shared" si="355"/>
        <v>60.09</v>
      </c>
      <c r="AZ619" s="43">
        <v>59.09</v>
      </c>
      <c r="BA619" s="43">
        <v>59.09</v>
      </c>
      <c r="BB619" s="49">
        <v>78.78</v>
      </c>
      <c r="BC619" s="73">
        <f t="shared" si="356"/>
        <v>19.689999999999998</v>
      </c>
      <c r="BD619" s="73">
        <f t="shared" si="357"/>
        <v>238.16161290322583</v>
      </c>
      <c r="BE619" s="73">
        <f t="shared" si="358"/>
        <v>219.47033993605058</v>
      </c>
      <c r="BF619" s="77">
        <f t="shared" si="359"/>
        <v>18.690000000000001</v>
      </c>
      <c r="BG619" s="77">
        <f t="shared" si="360"/>
        <v>5.6070000000000002</v>
      </c>
      <c r="BH619" s="77">
        <f t="shared" si="361"/>
        <v>78.781612903225835</v>
      </c>
      <c r="BI619" s="78">
        <f t="shared" si="362"/>
        <v>0.24</v>
      </c>
      <c r="BJ619" s="79">
        <f t="shared" si="363"/>
        <v>7.8476122882130725E-2</v>
      </c>
      <c r="BK619" s="80">
        <f t="shared" si="364"/>
        <v>219.47</v>
      </c>
      <c r="BL619" s="80">
        <f t="shared" si="365"/>
        <v>18.691612903225831</v>
      </c>
      <c r="BM619" s="79">
        <f t="shared" si="366"/>
        <v>7.8482895187735185E-2</v>
      </c>
      <c r="BN619" s="81">
        <f t="shared" si="367"/>
        <v>0.76063291139240508</v>
      </c>
      <c r="BO619" s="82">
        <f t="shared" si="368"/>
        <v>60.09</v>
      </c>
      <c r="BP619" s="81">
        <f t="shared" si="369"/>
        <v>0.76063291139240508</v>
      </c>
      <c r="BQ619" s="81">
        <f t="shared" si="370"/>
        <v>0.91754318139302848</v>
      </c>
      <c r="BR619" s="81">
        <f t="shared" si="371"/>
        <v>1.1541458763705705</v>
      </c>
      <c r="BS619" s="82">
        <f t="shared" si="372"/>
        <v>79</v>
      </c>
      <c r="BT619" s="82">
        <f t="shared" si="373"/>
        <v>91.177524233275079</v>
      </c>
      <c r="BU619" s="82">
        <f t="shared" si="374"/>
        <v>78.78161290322582</v>
      </c>
      <c r="BW619" s="82">
        <f>IFERROR(INDEX('Infos Clientes'!$T:$T,MATCH('Detalhe Por UC'!$C619,'Infos Clientes'!B:B,0)),"")</f>
        <v>209.54545454545453</v>
      </c>
      <c r="BX619" s="83">
        <f t="shared" si="375"/>
        <v>0</v>
      </c>
      <c r="BY619" s="84">
        <f t="shared" si="376"/>
        <v>0.20500241765069063</v>
      </c>
      <c r="BZ619" s="85">
        <f>IF(_xlfn.MINIFS('Detalhe Por UC'!R:R,'Detalhe Por UC'!C:C,C619,'Detalhe Por UC'!AD:AD,"&gt;"&amp;0)=0,"",_xlfn.MINIFS('Detalhe Por UC'!R:R,'Detalhe Por UC'!C:C,C619,'Detalhe Por UC'!AD:AD,"&gt;"&amp;0))</f>
        <v>45658</v>
      </c>
      <c r="CA619" s="114">
        <f ca="1">IF(OR(S619&gt;0,AD619&gt;0),IFERROR(
SUMIFS(INDIRECT("'Infos Clientes'!$W"&amp;INDEX('Infos Clientes'!$C:$C,MATCH(C619,'Infos Clientes'!$H:$H,0))&amp;":$CZ"&amp;INDEX('Infos Clientes'!$C:$C,MATCH(C619,'Infos Clientes'!$H:$H,0))),'Infos Clientes'!$W$2:$CZ$2,"&gt;"&amp;$R619-365,'Infos Clientes'!$W$2:$CZ$2,"&lt;="&amp;$R619)/
COUNTIFS(INDIRECT("'Infos Clientes'!$W"&amp;INDEX('Infos Clientes'!$C:$C,MATCH(C619,'Infos Clientes'!$H:$H,0))&amp;":$CZ"&amp;INDEX('Infos Clientes'!$C:$C,MATCH(C619,'Infos Clientes'!$H:$H,0))),"&gt;="&amp;0,'Infos Clientes'!$W$2:$CZ$2,"&gt;"&amp;$R619-365,'Infos Clientes'!$W$2:$CZ$2,"&lt;="&amp;$R619),""),"")</f>
        <v>218.41666666666666</v>
      </c>
      <c r="CB619" s="87">
        <f>VLOOKUP(C619,'Infos Clientes'!B:L,11,0)</f>
        <v>0</v>
      </c>
      <c r="CC619" s="88" t="str">
        <f t="shared" si="377"/>
        <v>A Unidade Consumidora 10/1288241-1 economizou R$18,69 na fatura referente à jun/2025  consumindo 79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19" s="40" t="s">
        <v>143</v>
      </c>
      <c r="CE619" s="43"/>
      <c r="CF619" s="115">
        <f t="shared" si="378"/>
        <v>-159.38</v>
      </c>
    </row>
    <row r="620" spans="1:84" ht="16.2" hidden="1" customHeight="1" x14ac:dyDescent="0.3">
      <c r="A620" s="105" t="str">
        <f>INDEX('Infos Clientes'!$D:$D,MATCH('Detalhe Por UC'!C620,'Infos Clientes'!B:B,0))</f>
        <v>IGREJA DO EVANGELHO QUADRANGULAR</v>
      </c>
      <c r="B620" s="106" t="str">
        <f>INDEX('Infos Clientes'!$F:$F,MATCH('Detalhe Por UC'!C620,'Infos Clientes'!B:B,0))</f>
        <v>62.955.505/0165-94</v>
      </c>
      <c r="C620" s="44" t="s">
        <v>169</v>
      </c>
      <c r="D620" t="s">
        <v>351</v>
      </c>
      <c r="E620" s="1" t="s">
        <v>352</v>
      </c>
      <c r="F620" s="56" t="str">
        <f>INDEX('Infos Clientes'!$I:$I,MATCH('Detalhe Por UC'!C620,'Infos Clientes'!B:B,0))</f>
        <v>BT</v>
      </c>
      <c r="G620" s="56" t="str">
        <f>INDEX('Infos Clientes'!$J:$J,MATCH('Detalhe Por UC'!C620,'Infos Clientes'!B:B,0))</f>
        <v>bifasico</v>
      </c>
      <c r="H620" s="47" t="str">
        <f t="shared" si="380"/>
        <v>GIROSSOL III</v>
      </c>
      <c r="I620" s="58">
        <f>IFERROR(VLOOKUP(C620,'Infos Clientes'!B:E,4,),"")</f>
        <v>302</v>
      </c>
      <c r="J620" s="109">
        <v>0.23725425614394724</v>
      </c>
      <c r="K620" s="59">
        <f>INDEX('Infos Clientes'!$M:$M,MATCH('Detalhe Por UC'!C620,'Infos Clientes'!B:B,0))</f>
        <v>0.25</v>
      </c>
      <c r="L620" s="125">
        <v>0</v>
      </c>
      <c r="M620" s="56">
        <f>INDEX('Infos Clientes'!$N:$N,MATCH('Detalhe Por UC'!C620,'Infos Clientes'!B:B,0))</f>
        <v>0</v>
      </c>
      <c r="N620" s="56">
        <f t="shared" si="343"/>
        <v>0</v>
      </c>
      <c r="O620" s="56">
        <f t="shared" si="344"/>
        <v>9</v>
      </c>
      <c r="P620" s="56">
        <f t="shared" si="379"/>
        <v>0</v>
      </c>
      <c r="Q620" s="61">
        <f>IFERROR(IFERROR(INDEX('Infos Clientes'!$A$2:$V$9884,MATCH($C620,'Infos Clientes'!$B$2:$B$9884,0),MATCH(Q$8,'Infos Clientes'!$A$2:$V$2,0)),"")
+IF(OR(INDEX('Infos Clientes'!$A$2:$V$9884,MATCH($C620,'Infos Clientes'!$B$2:$B$9884,0),MATCH("Tempo de Fidelidade (meses)",'Infos Clientes'!$A$2:$V$2,0))=0,R620&gt;=MAX(R:R)),0,
ROUND((MAX(R:R)-R620)/(365/12),0)),"")</f>
        <v>0</v>
      </c>
      <c r="R620" s="111">
        <v>45809</v>
      </c>
      <c r="S620" s="63">
        <v>0.02</v>
      </c>
      <c r="T620" s="113" t="str">
        <f>IF($H620="GIROSSOL II",AP620/INDEX('Resumo Operacional'!$A$1:$P$1103,17,MATCH('Detalhe Por UC'!$R620,'Resumo Operacional'!$A$1:$P$1,0)),
IF($H620="GIROSSOL II e III",AP620/INDEX('Resumo Operacional'!$A$1:$P$1103,17,MATCH('Detalhe Por UC'!$R620,'Resumo Operacional'!$A$1:$P$1,0)),
""))</f>
        <v/>
      </c>
      <c r="U620" s="113">
        <f>IF($H620="GIROSSOL III",AP620/INDEX('Resumo Operacional'!$A$1:$P$1103,53,MATCH('Detalhe Por UC'!$R620,'Resumo Operacional'!$A$1:$P$1,0)),
IF($H620="GIROSSOL II e III",AP620/INDEX('Resumo Operacional'!$A$1:$P$1103,53,MATCH('Detalhe Por UC'!$R620,'Resumo Operacional'!$A$1:$P$1,0)),
""))</f>
        <v>9.1652648065433037E-3</v>
      </c>
      <c r="V620" s="45"/>
      <c r="X620" s="18">
        <v>1.1619111255975663</v>
      </c>
      <c r="Y620" s="18">
        <v>0</v>
      </c>
      <c r="Z620" s="18">
        <v>1.0050064913988968</v>
      </c>
      <c r="AA620" s="18"/>
      <c r="AB620" s="18">
        <v>236</v>
      </c>
      <c r="AC620" s="18"/>
      <c r="AD620" s="143">
        <v>158</v>
      </c>
      <c r="AE620" s="35"/>
      <c r="AF620" s="18">
        <v>0</v>
      </c>
      <c r="AG620" s="18">
        <v>0</v>
      </c>
      <c r="AH620" s="48">
        <v>43.17</v>
      </c>
      <c r="AI620" s="18">
        <v>0</v>
      </c>
      <c r="AJ620" s="18">
        <v>0</v>
      </c>
      <c r="AL620" s="146"/>
      <c r="AN620" s="71">
        <f t="shared" si="345"/>
        <v>0</v>
      </c>
      <c r="AO620" s="71">
        <f t="shared" si="346"/>
        <v>0</v>
      </c>
      <c r="AP620" s="71">
        <f t="shared" si="347"/>
        <v>158</v>
      </c>
      <c r="AQ620" s="72">
        <f>IF(OR($H620="GIROSSOL II",$H620="GIROSSOL II e III"),INDEX('Resumo Operacional'!$A$1:$P$1103,MATCH("Energia Injetada prevista total Fatura da Usina (TUSD)",'Resumo Operacional'!$B$1:$B$1103,0),MATCH('Detalhe Por UC'!$R620,'Resumo Operacional'!$A$1:$P$1,0))*$S620,INDEX('Resumo Operacional'!$A$1:$P$1103,53,MATCH('Detalhe Por UC'!$R620,'Resumo Operacional'!$A$1:$P$1,0))*$S620)</f>
        <v>344.78000000000003</v>
      </c>
      <c r="AR620" s="71">
        <f t="shared" si="348"/>
        <v>-186.78000000000003</v>
      </c>
      <c r="AS620" s="73">
        <f t="shared" si="349"/>
        <v>158.58999999999992</v>
      </c>
      <c r="AT620" s="74">
        <f t="shared" si="350"/>
        <v>158.58999999999992</v>
      </c>
      <c r="AU620" s="74">
        <f t="shared" si="351"/>
        <v>0.84810185720022724</v>
      </c>
      <c r="AV620" s="74">
        <f t="shared" si="352"/>
        <v>121.11717897022969</v>
      </c>
      <c r="AW620" s="74">
        <f t="shared" si="353"/>
        <v>0</v>
      </c>
      <c r="AX620" s="74">
        <f t="shared" si="354"/>
        <v>158.7910256410257</v>
      </c>
      <c r="AY620" s="74">
        <f t="shared" si="355"/>
        <v>121.12</v>
      </c>
      <c r="AZ620" s="43">
        <v>119.09</v>
      </c>
      <c r="BA620" s="43">
        <v>119.09</v>
      </c>
      <c r="BB620" s="43">
        <v>119.09</v>
      </c>
      <c r="BC620" s="73" t="str">
        <f t="shared" si="356"/>
        <v/>
      </c>
      <c r="BD620" s="73">
        <f t="shared" si="357"/>
        <v>317.38102564102564</v>
      </c>
      <c r="BE620" s="73">
        <f t="shared" si="358"/>
        <v>279.70717897022962</v>
      </c>
      <c r="BF620" s="77">
        <f t="shared" si="359"/>
        <v>37.67</v>
      </c>
      <c r="BG620" s="77">
        <f t="shared" si="360"/>
        <v>11.301</v>
      </c>
      <c r="BH620" s="77">
        <f t="shared" si="361"/>
        <v>158.79102564102567</v>
      </c>
      <c r="BI620" s="78">
        <f t="shared" si="362"/>
        <v>0.24</v>
      </c>
      <c r="BJ620" s="79">
        <f t="shared" si="363"/>
        <v>0.11869014514625308</v>
      </c>
      <c r="BK620" s="80">
        <f t="shared" si="364"/>
        <v>279.70999999999992</v>
      </c>
      <c r="BL620" s="80">
        <f t="shared" si="365"/>
        <v>37.671025641025722</v>
      </c>
      <c r="BM620" s="79">
        <f t="shared" si="366"/>
        <v>0.11869337672263243</v>
      </c>
      <c r="BN620" s="81">
        <f t="shared" si="367"/>
        <v>0.76658227848101268</v>
      </c>
      <c r="BO620" s="82">
        <f t="shared" si="368"/>
        <v>121.12</v>
      </c>
      <c r="BP620" s="81">
        <f t="shared" si="369"/>
        <v>0.76658227848101268</v>
      </c>
      <c r="BQ620" s="81">
        <f t="shared" si="370"/>
        <v>0.92348691267968219</v>
      </c>
      <c r="BR620" s="81">
        <f t="shared" si="371"/>
        <v>1.1619111255975663</v>
      </c>
      <c r="BS620" s="82">
        <f t="shared" si="372"/>
        <v>158</v>
      </c>
      <c r="BT620" s="82">
        <f t="shared" si="373"/>
        <v>183.58195784441546</v>
      </c>
      <c r="BU620" s="82">
        <f t="shared" si="374"/>
        <v>158.7910256410257</v>
      </c>
      <c r="BW620" s="82">
        <f>IFERROR(INDEX('Infos Clientes'!$T:$T,MATCH('Detalhe Por UC'!$C620,'Infos Clientes'!B:B,0)),"")</f>
        <v>287.36363636363637</v>
      </c>
      <c r="BX620" s="83">
        <f t="shared" si="375"/>
        <v>0</v>
      </c>
      <c r="BY620" s="84">
        <f t="shared" si="376"/>
        <v>0.20520004298544214</v>
      </c>
      <c r="BZ620" s="85">
        <f>IF(_xlfn.MINIFS('Detalhe Por UC'!R:R,'Detalhe Por UC'!C:C,C620,'Detalhe Por UC'!AD:AD,"&gt;"&amp;0)=0,"",_xlfn.MINIFS('Detalhe Por UC'!R:R,'Detalhe Por UC'!C:C,C620,'Detalhe Por UC'!AD:AD,"&gt;"&amp;0))</f>
        <v>45658</v>
      </c>
      <c r="CA620" s="114">
        <f ca="1">IF(OR(S620&gt;0,AD620&gt;0),IFERROR(
SUMIFS(INDIRECT("'Infos Clientes'!$W"&amp;INDEX('Infos Clientes'!$C:$C,MATCH(C620,'Infos Clientes'!$H:$H,0))&amp;":$CZ"&amp;INDEX('Infos Clientes'!$C:$C,MATCH(C620,'Infos Clientes'!$H:$H,0))),'Infos Clientes'!$W$2:$CZ$2,"&gt;"&amp;$R620-365,'Infos Clientes'!$W$2:$CZ$2,"&lt;="&amp;$R620)/
COUNTIFS(INDIRECT("'Infos Clientes'!$W"&amp;INDEX('Infos Clientes'!$C:$C,MATCH(C620,'Infos Clientes'!$H:$H,0))&amp;":$CZ"&amp;INDEX('Infos Clientes'!$C:$C,MATCH(C620,'Infos Clientes'!$H:$H,0))),"&gt;="&amp;0,'Infos Clientes'!$W$2:$CZ$2,"&gt;"&amp;$R620-365,'Infos Clientes'!$W$2:$CZ$2,"&lt;="&amp;$R620),""),"")</f>
        <v>274.58333333333331</v>
      </c>
      <c r="CB620" s="87">
        <f>VLOOKUP(C620,'Infos Clientes'!B:L,11,0)</f>
        <v>0</v>
      </c>
      <c r="CC620" s="88" t="str">
        <f t="shared" si="377"/>
        <v>A Unidade Consumidora 10/239312-2 economizou R$37,67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0" s="40" t="s">
        <v>171</v>
      </c>
      <c r="CE620" s="43"/>
      <c r="CF620" s="115">
        <f t="shared" si="378"/>
        <v>-158.58999999999992</v>
      </c>
    </row>
    <row r="621" spans="1:84" ht="16.2" hidden="1" customHeight="1" x14ac:dyDescent="0.3">
      <c r="A621" s="105" t="str">
        <f>INDEX('Infos Clientes'!$D:$D,MATCH('Detalhe Por UC'!C621,'Infos Clientes'!B:B,0))</f>
        <v>IGREJA DO EVANGELHO QUADRANGULAR</v>
      </c>
      <c r="B621" s="106" t="str">
        <f>INDEX('Infos Clientes'!$F:$F,MATCH('Detalhe Por UC'!C621,'Infos Clientes'!B:B,0))</f>
        <v>62.955.505/3124-87</v>
      </c>
      <c r="C621" s="44" t="s">
        <v>185</v>
      </c>
      <c r="D621" t="s">
        <v>351</v>
      </c>
      <c r="E621" s="1" t="s">
        <v>352</v>
      </c>
      <c r="F621" s="56" t="str">
        <f>INDEX('Infos Clientes'!$I:$I,MATCH('Detalhe Por UC'!C621,'Infos Clientes'!B:B,0))</f>
        <v>BT</v>
      </c>
      <c r="G621" s="56" t="str">
        <f>INDEX('Infos Clientes'!$J:$J,MATCH('Detalhe Por UC'!C621,'Infos Clientes'!B:B,0))</f>
        <v>trifasico</v>
      </c>
      <c r="H621" s="47" t="str">
        <f t="shared" si="380"/>
        <v>GIROSSOL III</v>
      </c>
      <c r="I621" s="58">
        <f>IFERROR(VLOOKUP(C621,'Infos Clientes'!B:E,4,),"")</f>
        <v>357</v>
      </c>
      <c r="J621" s="109">
        <v>0.23725425614394724</v>
      </c>
      <c r="K621" s="59">
        <f>INDEX('Infos Clientes'!$M:$M,MATCH('Detalhe Por UC'!C621,'Infos Clientes'!B:B,0))</f>
        <v>0.25</v>
      </c>
      <c r="L621" s="125">
        <v>0</v>
      </c>
      <c r="M621" s="56">
        <f>INDEX('Infos Clientes'!$N:$N,MATCH('Detalhe Por UC'!C621,'Infos Clientes'!B:B,0))</f>
        <v>0</v>
      </c>
      <c r="N621" s="56">
        <f t="shared" si="343"/>
        <v>0</v>
      </c>
      <c r="O621" s="56">
        <f t="shared" si="344"/>
        <v>3</v>
      </c>
      <c r="P621" s="56">
        <f t="shared" si="379"/>
        <v>0</v>
      </c>
      <c r="Q621" s="61">
        <f>IFERROR(IFERROR(INDEX('Infos Clientes'!$A$2:$V$9884,MATCH($C621,'Infos Clientes'!$B$2:$B$9884,0),MATCH(Q$8,'Infos Clientes'!$A$2:$V$2,0)),"")
+IF(OR(INDEX('Infos Clientes'!$A$2:$V$9884,MATCH($C621,'Infos Clientes'!$B$2:$B$9884,0),MATCH("Tempo de Fidelidade (meses)",'Infos Clientes'!$A$2:$V$2,0))=0,R621&gt;=MAX(R:R)),0,
ROUND((MAX(R:R)-R621)/(365/12),0)),"")</f>
        <v>0</v>
      </c>
      <c r="R621" s="111">
        <v>45809</v>
      </c>
      <c r="S621" s="63">
        <v>0.01</v>
      </c>
      <c r="T621" s="113" t="str">
        <f>IF($H621="GIROSSOL II",AP621/INDEX('Resumo Operacional'!$A$1:$P$1103,17,MATCH('Detalhe Por UC'!$R621,'Resumo Operacional'!$A$1:$P$1,0)),
IF($H621="GIROSSOL II e III",AP621/INDEX('Resumo Operacional'!$A$1:$P$1103,17,MATCH('Detalhe Por UC'!$R621,'Resumo Operacional'!$A$1:$P$1,0)),
""))</f>
        <v/>
      </c>
      <c r="U621" s="113">
        <f>IF($H621="GIROSSOL III",AP621/INDEX('Resumo Operacional'!$A$1:$P$1103,53,MATCH('Detalhe Por UC'!$R621,'Resumo Operacional'!$A$1:$P$1,0)),
IF($H621="GIROSSOL II e III",AP621/INDEX('Resumo Operacional'!$A$1:$P$1103,53,MATCH('Detalhe Por UC'!$R621,'Resumo Operacional'!$A$1:$P$1,0)),
""))</f>
        <v>-2.1346945878531236E-2</v>
      </c>
      <c r="V621" s="45"/>
      <c r="W621" s="18"/>
      <c r="X621" s="21">
        <v>1.1524999999999999</v>
      </c>
      <c r="Y621" s="18">
        <v>0</v>
      </c>
      <c r="Z621" s="18">
        <v>0</v>
      </c>
      <c r="AA621" s="18"/>
      <c r="AB621" s="18">
        <v>0</v>
      </c>
      <c r="AC621" s="18"/>
      <c r="AD621" s="143">
        <v>0</v>
      </c>
      <c r="AE621" s="35"/>
      <c r="AF621" s="18"/>
      <c r="AG621" s="18"/>
      <c r="AH621" s="48">
        <v>27.69</v>
      </c>
      <c r="AI621" s="18">
        <v>0</v>
      </c>
      <c r="AJ621" s="18">
        <v>0</v>
      </c>
      <c r="AL621" s="146"/>
      <c r="AN621" s="71">
        <f t="shared" si="345"/>
        <v>-368</v>
      </c>
      <c r="AO621" s="71">
        <f t="shared" si="346"/>
        <v>0</v>
      </c>
      <c r="AP621" s="71">
        <f t="shared" si="347"/>
        <v>-368</v>
      </c>
      <c r="AQ621" s="72">
        <f>IF(OR($H621="GIROSSOL II",$H621="GIROSSOL II e III"),INDEX('Resumo Operacional'!$A$1:$P$1103,MATCH("Energia Injetada prevista total Fatura da Usina (TUSD)",'Resumo Operacional'!$B$1:$B$1103,0),MATCH('Detalhe Por UC'!$R621,'Resumo Operacional'!$A$1:$P$1,0))*$S621,INDEX('Resumo Operacional'!$A$1:$P$1103,53,MATCH('Detalhe Por UC'!$R621,'Resumo Operacional'!$A$1:$P$1,0))*$S621)</f>
        <v>172.39000000000001</v>
      </c>
      <c r="AR621" s="71">
        <f t="shared" si="348"/>
        <v>-540.39</v>
      </c>
      <c r="AS621" s="73">
        <f t="shared" si="349"/>
        <v>142.94</v>
      </c>
      <c r="AT621" s="74">
        <f t="shared" si="350"/>
        <v>142.94</v>
      </c>
      <c r="AU621" s="74" t="str">
        <f t="shared" si="351"/>
        <v/>
      </c>
      <c r="AV621" s="74">
        <f t="shared" si="352"/>
        <v>0</v>
      </c>
      <c r="AW621" s="74">
        <f t="shared" si="353"/>
        <v>0</v>
      </c>
      <c r="AX621" s="74">
        <f t="shared" si="354"/>
        <v>0</v>
      </c>
      <c r="AY621" s="74" t="str">
        <f t="shared" si="355"/>
        <v/>
      </c>
      <c r="AZ621" s="43" t="s">
        <v>354</v>
      </c>
      <c r="BA621" s="43">
        <v>0</v>
      </c>
      <c r="BC621" s="73" t="str">
        <f t="shared" si="356"/>
        <v/>
      </c>
      <c r="BD621" s="73">
        <f t="shared" si="357"/>
        <v>142.94</v>
      </c>
      <c r="BE621" s="73">
        <f t="shared" si="358"/>
        <v>142.94</v>
      </c>
      <c r="BF621" s="77">
        <f t="shared" si="359"/>
        <v>0</v>
      </c>
      <c r="BG621" s="77">
        <f t="shared" si="360"/>
        <v>0</v>
      </c>
      <c r="BH621" s="77">
        <f t="shared" si="361"/>
        <v>0</v>
      </c>
      <c r="BI621" s="78" t="str">
        <f t="shared" si="362"/>
        <v/>
      </c>
      <c r="BJ621" s="79">
        <f t="shared" si="363"/>
        <v>0</v>
      </c>
      <c r="BK621" s="80" t="str">
        <f t="shared" si="364"/>
        <v/>
      </c>
      <c r="BL621" s="80" t="str">
        <f t="shared" si="365"/>
        <v/>
      </c>
      <c r="BM621" s="79" t="str">
        <f t="shared" si="366"/>
        <v/>
      </c>
      <c r="BN621" s="81" t="str">
        <f t="shared" si="367"/>
        <v/>
      </c>
      <c r="BO621" s="82" t="str">
        <f t="shared" si="368"/>
        <v/>
      </c>
      <c r="BP621" s="81" t="str">
        <f t="shared" si="369"/>
        <v/>
      </c>
      <c r="BQ621" s="81" t="str">
        <f t="shared" si="370"/>
        <v/>
      </c>
      <c r="BR621" s="81" t="str">
        <f t="shared" si="371"/>
        <v/>
      </c>
      <c r="BS621" s="82">
        <f t="shared" si="372"/>
        <v>0</v>
      </c>
      <c r="BT621" s="82" t="str">
        <f t="shared" si="373"/>
        <v/>
      </c>
      <c r="BU621" s="82">
        <f t="shared" si="374"/>
        <v>0</v>
      </c>
      <c r="BW621" s="82">
        <f>IFERROR(INDEX('Infos Clientes'!$T:$T,MATCH('Detalhe Por UC'!$C621,'Infos Clientes'!B:B,0)),"")</f>
        <v>178.4</v>
      </c>
      <c r="BX621" s="83">
        <f t="shared" si="375"/>
        <v>0</v>
      </c>
      <c r="BY621" s="84" t="str">
        <f t="shared" si="376"/>
        <v/>
      </c>
      <c r="BZ621" s="85">
        <f>IF(_xlfn.MINIFS('Detalhe Por UC'!R:R,'Detalhe Por UC'!C:C,C621,'Detalhe Por UC'!AD:AD,"&gt;"&amp;0)=0,"",_xlfn.MINIFS('Detalhe Por UC'!R:R,'Detalhe Por UC'!C:C,C621,'Detalhe Por UC'!AD:AD,"&gt;"&amp;0))</f>
        <v>45689</v>
      </c>
      <c r="CA621" s="114">
        <f ca="1">IF(OR(S621&gt;0,AD621&gt;0),IFERROR(
SUMIFS(INDIRECT("'Infos Clientes'!$W"&amp;INDEX('Infos Clientes'!$C:$C,MATCH(C621,'Infos Clientes'!$H:$H,0))&amp;":$CZ"&amp;INDEX('Infos Clientes'!$C:$C,MATCH(C621,'Infos Clientes'!$H:$H,0))),'Infos Clientes'!$W$2:$CZ$2,"&gt;"&amp;$R621-365,'Infos Clientes'!$W$2:$CZ$2,"&lt;="&amp;$R621)/
COUNTIFS(INDIRECT("'Infos Clientes'!$W"&amp;INDEX('Infos Clientes'!$C:$C,MATCH(C621,'Infos Clientes'!$H:$H,0))&amp;":$CZ"&amp;INDEX('Infos Clientes'!$C:$C,MATCH(C621,'Infos Clientes'!$H:$H,0))),"&gt;="&amp;0,'Infos Clientes'!$W$2:$CZ$2,"&gt;"&amp;$R621-365,'Infos Clientes'!$W$2:$CZ$2,"&lt;="&amp;$R621),""),"")</f>
        <v>164</v>
      </c>
      <c r="CB621" s="87">
        <f>VLOOKUP(C621,'Infos Clientes'!B:L,11,0)</f>
        <v>0</v>
      </c>
      <c r="CC621" s="88" t="str">
        <f t="shared" si="377"/>
        <v>A Unidade Consumidora 10/3054052-0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1" s="40" t="s">
        <v>186</v>
      </c>
      <c r="CE621" s="43"/>
      <c r="CF621" s="115">
        <f t="shared" si="378"/>
        <v>-142.94</v>
      </c>
    </row>
    <row r="622" spans="1:84" ht="16.2" hidden="1" customHeight="1" x14ac:dyDescent="0.3">
      <c r="A622" s="105" t="str">
        <f>INDEX('Infos Clientes'!$D:$D,MATCH('Detalhe Por UC'!C622,'Infos Clientes'!B:B,0))</f>
        <v>IGREJA DO EVANGELHO QUADRANGULAR</v>
      </c>
      <c r="B622" s="106" t="str">
        <f>INDEX('Infos Clientes'!$F:$F,MATCH('Detalhe Por UC'!C622,'Infos Clientes'!B:B,0))</f>
        <v>62.955.505/0001-67</v>
      </c>
      <c r="C622" s="44" t="s">
        <v>142</v>
      </c>
      <c r="D622" t="s">
        <v>351</v>
      </c>
      <c r="E622" s="1" t="s">
        <v>352</v>
      </c>
      <c r="F622" s="56" t="str">
        <f>INDEX('Infos Clientes'!$I:$I,MATCH('Detalhe Por UC'!C622,'Infos Clientes'!B:B,0))</f>
        <v>BT</v>
      </c>
      <c r="G622" s="56" t="str">
        <f>INDEX('Infos Clientes'!$J:$J,MATCH('Detalhe Por UC'!C622,'Infos Clientes'!B:B,0))</f>
        <v>bifasico</v>
      </c>
      <c r="H622" s="47" t="str">
        <f t="shared" si="380"/>
        <v>GIROSSOL III</v>
      </c>
      <c r="I622" s="58">
        <f>IFERROR(VLOOKUP(C622,'Infos Clientes'!B:E,4,),"")</f>
        <v>319</v>
      </c>
      <c r="J622" s="109">
        <v>0.23725425614394724</v>
      </c>
      <c r="K622" s="59">
        <f>INDEX('Infos Clientes'!$M:$M,MATCH('Detalhe Por UC'!C622,'Infos Clientes'!B:B,0))</f>
        <v>0.25</v>
      </c>
      <c r="L622" s="125">
        <v>0</v>
      </c>
      <c r="M622" s="56">
        <f>INDEX('Infos Clientes'!$N:$N,MATCH('Detalhe Por UC'!C622,'Infos Clientes'!B:B,0))</f>
        <v>0</v>
      </c>
      <c r="N622" s="56">
        <f t="shared" si="343"/>
        <v>0</v>
      </c>
      <c r="O622" s="56">
        <f t="shared" si="344"/>
        <v>9</v>
      </c>
      <c r="P622" s="56">
        <f t="shared" si="379"/>
        <v>0</v>
      </c>
      <c r="Q622" s="61">
        <f>IFERROR(IFERROR(INDEX('Infos Clientes'!$A$2:$V$9884,MATCH($C622,'Infos Clientes'!$B$2:$B$9884,0),MATCH(Q$8,'Infos Clientes'!$A$2:$V$2,0)),"")
+IF(OR(INDEX('Infos Clientes'!$A$2:$V$9884,MATCH($C622,'Infos Clientes'!$B$2:$B$9884,0),MATCH("Tempo de Fidelidade (meses)",'Infos Clientes'!$A$2:$V$2,0))=0,R622&gt;=MAX(R:R)),0,
ROUND((MAX(R:R)-R622)/(365/12),0)),"")</f>
        <v>0</v>
      </c>
      <c r="R622" s="111">
        <v>45809</v>
      </c>
      <c r="S622" s="63">
        <v>0.02</v>
      </c>
      <c r="T622" s="113" t="str">
        <f>IF($H622="GIROSSOL II",AP622/INDEX('Resumo Operacional'!$A$1:$P$1103,17,MATCH('Detalhe Por UC'!$R622,'Resumo Operacional'!$A$1:$P$1,0)),
IF($H622="GIROSSOL II e III",AP622/INDEX('Resumo Operacional'!$A$1:$P$1103,17,MATCH('Detalhe Por UC'!$R622,'Resumo Operacional'!$A$1:$P$1,0)),
""))</f>
        <v/>
      </c>
      <c r="U622" s="113">
        <f>IF($H622="GIROSSOL III",AP622/INDEX('Resumo Operacional'!$A$1:$P$1103,53,MATCH('Detalhe Por UC'!$R622,'Resumo Operacional'!$A$1:$P$1,0)),
IF($H622="GIROSSOL II e III",AP622/INDEX('Resumo Operacional'!$A$1:$P$1103,53,MATCH('Detalhe Por UC'!$R622,'Resumo Operacional'!$A$1:$P$1,0)),
""))</f>
        <v>9.1652648065433037E-3</v>
      </c>
      <c r="V622" s="45"/>
      <c r="X622" s="18">
        <v>1.1573056199588545</v>
      </c>
      <c r="Y622" s="18">
        <v>0</v>
      </c>
      <c r="Z622" s="18">
        <v>1.0003786266382884</v>
      </c>
      <c r="AA622" s="18"/>
      <c r="AB622" s="18">
        <v>271</v>
      </c>
      <c r="AC622" s="18"/>
      <c r="AD622" s="143">
        <v>158</v>
      </c>
      <c r="AE622" s="35"/>
      <c r="AF622" s="18">
        <v>0</v>
      </c>
      <c r="AG622" s="18">
        <v>0</v>
      </c>
      <c r="AH622" s="48">
        <v>6.76</v>
      </c>
      <c r="AI622" s="18">
        <v>0</v>
      </c>
      <c r="AJ622" s="18">
        <v>0</v>
      </c>
      <c r="AL622" s="146"/>
      <c r="AN622" s="71">
        <f t="shared" si="345"/>
        <v>0</v>
      </c>
      <c r="AO622" s="71">
        <f t="shared" si="346"/>
        <v>0</v>
      </c>
      <c r="AP622" s="71">
        <f t="shared" si="347"/>
        <v>158</v>
      </c>
      <c r="AQ622" s="72">
        <f>IF(OR($H622="GIROSSOL II",$H622="GIROSSOL II e III"),INDEX('Resumo Operacional'!$A$1:$P$1103,MATCH("Energia Injetada prevista total Fatura da Usina (TUSD)",'Resumo Operacional'!$B$1:$B$1103,0),MATCH('Detalhe Por UC'!$R622,'Resumo Operacional'!$A$1:$P$1,0))*$S622,INDEX('Resumo Operacional'!$A$1:$P$1103,53,MATCH('Detalhe Por UC'!$R622,'Resumo Operacional'!$A$1:$P$1,0))*$S622)</f>
        <v>344.78000000000003</v>
      </c>
      <c r="AR622" s="71">
        <f t="shared" si="348"/>
        <v>-186.78000000000003</v>
      </c>
      <c r="AS622" s="73">
        <f t="shared" si="349"/>
        <v>162.33000000000004</v>
      </c>
      <c r="AT622" s="74">
        <f t="shared" si="350"/>
        <v>162.33000000000004</v>
      </c>
      <c r="AU622" s="74">
        <f t="shared" si="351"/>
        <v>0.84345163331772222</v>
      </c>
      <c r="AV622" s="74">
        <f t="shared" si="352"/>
        <v>120.55945727464099</v>
      </c>
      <c r="AW622" s="74">
        <f t="shared" si="353"/>
        <v>0</v>
      </c>
      <c r="AX622" s="74">
        <f t="shared" si="354"/>
        <v>158.05982300884955</v>
      </c>
      <c r="AY622" s="74">
        <f t="shared" si="355"/>
        <v>120.56</v>
      </c>
      <c r="AZ622" s="43">
        <v>118.54</v>
      </c>
      <c r="BA622" s="43">
        <v>118.54</v>
      </c>
      <c r="BC622" s="73" t="str">
        <f t="shared" si="356"/>
        <v/>
      </c>
      <c r="BD622" s="73">
        <f t="shared" si="357"/>
        <v>320.38982300884959</v>
      </c>
      <c r="BE622" s="73">
        <f t="shared" si="358"/>
        <v>282.88945727464102</v>
      </c>
      <c r="BF622" s="77">
        <f t="shared" si="359"/>
        <v>37.5</v>
      </c>
      <c r="BG622" s="77">
        <f t="shared" si="360"/>
        <v>11.25</v>
      </c>
      <c r="BH622" s="77">
        <f t="shared" si="361"/>
        <v>158.05982300884955</v>
      </c>
      <c r="BI622" s="78">
        <f t="shared" si="362"/>
        <v>0.24</v>
      </c>
      <c r="BJ622" s="79">
        <f t="shared" si="363"/>
        <v>0.11704491624555816</v>
      </c>
      <c r="BK622" s="80">
        <f t="shared" si="364"/>
        <v>282.89000000000004</v>
      </c>
      <c r="BL622" s="80">
        <f t="shared" si="365"/>
        <v>37.499823008849546</v>
      </c>
      <c r="BM622" s="79">
        <f t="shared" si="366"/>
        <v>0.11704436382117465</v>
      </c>
      <c r="BN622" s="81">
        <f t="shared" si="367"/>
        <v>0.76303797468354428</v>
      </c>
      <c r="BO622" s="82">
        <f t="shared" si="368"/>
        <v>120.56</v>
      </c>
      <c r="BP622" s="81">
        <f t="shared" si="369"/>
        <v>0.76303797468354428</v>
      </c>
      <c r="BQ622" s="81">
        <f t="shared" si="370"/>
        <v>0.91996496800411043</v>
      </c>
      <c r="BR622" s="81">
        <f t="shared" si="371"/>
        <v>1.1573056199588545</v>
      </c>
      <c r="BS622" s="82">
        <f t="shared" si="372"/>
        <v>158</v>
      </c>
      <c r="BT622" s="82">
        <f t="shared" si="373"/>
        <v>182.85428795349901</v>
      </c>
      <c r="BU622" s="82">
        <f t="shared" si="374"/>
        <v>158.05982300884955</v>
      </c>
      <c r="BW622" s="82">
        <f>IFERROR(INDEX('Infos Clientes'!$T:$T,MATCH('Detalhe Por UC'!$C622,'Infos Clientes'!B:B,0)),"")</f>
        <v>244.81818181818181</v>
      </c>
      <c r="BX622" s="83">
        <f t="shared" si="375"/>
        <v>0</v>
      </c>
      <c r="BY622" s="84">
        <f t="shared" si="376"/>
        <v>0.20508035894890256</v>
      </c>
      <c r="BZ622" s="85">
        <f>IF(_xlfn.MINIFS('Detalhe Por UC'!R:R,'Detalhe Por UC'!C:C,C622,'Detalhe Por UC'!AD:AD,"&gt;"&amp;0)=0,"",_xlfn.MINIFS('Detalhe Por UC'!R:R,'Detalhe Por UC'!C:C,C622,'Detalhe Por UC'!AD:AD,"&gt;"&amp;0))</f>
        <v>45658</v>
      </c>
      <c r="CA622" s="114">
        <f ca="1">IF(OR(S622&gt;0,AD622&gt;0),IFERROR(
SUMIFS(INDIRECT("'Infos Clientes'!$W"&amp;INDEX('Infos Clientes'!$C:$C,MATCH(C622,'Infos Clientes'!$H:$H,0))&amp;":$CZ"&amp;INDEX('Infos Clientes'!$C:$C,MATCH(C622,'Infos Clientes'!$H:$H,0))),'Infos Clientes'!$W$2:$CZ$2,"&gt;"&amp;$R622-365,'Infos Clientes'!$W$2:$CZ$2,"&lt;="&amp;$R622)/
COUNTIFS(INDIRECT("'Infos Clientes'!$W"&amp;INDEX('Infos Clientes'!$C:$C,MATCH(C622,'Infos Clientes'!$H:$H,0))&amp;":$CZ"&amp;INDEX('Infos Clientes'!$C:$C,MATCH(C622,'Infos Clientes'!$H:$H,0))),"&gt;="&amp;0,'Infos Clientes'!$W$2:$CZ$2,"&gt;"&amp;$R622-365,'Infos Clientes'!$W$2:$CZ$2,"&lt;="&amp;$R622),""),"")</f>
        <v>298.58333333333331</v>
      </c>
      <c r="CB622" s="87">
        <f>VLOOKUP(C622,'Infos Clientes'!B:L,11,0)</f>
        <v>0</v>
      </c>
      <c r="CC622" s="88" t="str">
        <f t="shared" si="377"/>
        <v>A Unidade Consumidora 10/109074-5 economizou R$37,5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2" s="40" t="s">
        <v>143</v>
      </c>
      <c r="CE622" s="43"/>
      <c r="CF622" s="115">
        <f t="shared" si="378"/>
        <v>-162.33000000000004</v>
      </c>
    </row>
    <row r="623" spans="1:84" ht="16.2" hidden="1" customHeight="1" x14ac:dyDescent="0.3">
      <c r="A623" s="105" t="str">
        <f>INDEX('Infos Clientes'!$D:$D,MATCH('Detalhe Por UC'!C623,'Infos Clientes'!B:B,0))</f>
        <v>IGREJA DO EVANGELHO QUADRANGULAR</v>
      </c>
      <c r="B623" s="106" t="str">
        <f>INDEX('Infos Clientes'!$F:$F,MATCH('Detalhe Por UC'!C623,'Infos Clientes'!B:B,0))</f>
        <v>62.955.505/0408-94</v>
      </c>
      <c r="C623" s="44" t="s">
        <v>144</v>
      </c>
      <c r="D623" t="s">
        <v>351</v>
      </c>
      <c r="E623" s="1" t="s">
        <v>352</v>
      </c>
      <c r="F623" s="56" t="str">
        <f>INDEX('Infos Clientes'!$I:$I,MATCH('Detalhe Por UC'!C623,'Infos Clientes'!B:B,0))</f>
        <v>BT</v>
      </c>
      <c r="G623" s="56" t="str">
        <f>INDEX('Infos Clientes'!$J:$J,MATCH('Detalhe Por UC'!C623,'Infos Clientes'!B:B,0))</f>
        <v>bifasico</v>
      </c>
      <c r="H623" s="47" t="str">
        <f t="shared" si="380"/>
        <v>GIROSSOL III</v>
      </c>
      <c r="I623" s="58">
        <f>IFERROR(VLOOKUP(C623,'Infos Clientes'!B:E,4,),"")</f>
        <v>371</v>
      </c>
      <c r="J623" s="109">
        <v>0.23725425614394724</v>
      </c>
      <c r="K623" s="59">
        <f>INDEX('Infos Clientes'!$M:$M,MATCH('Detalhe Por UC'!C623,'Infos Clientes'!B:B,0))</f>
        <v>0.25</v>
      </c>
      <c r="L623" s="125">
        <v>0</v>
      </c>
      <c r="M623" s="56">
        <f>INDEX('Infos Clientes'!$N:$N,MATCH('Detalhe Por UC'!C623,'Infos Clientes'!B:B,0))</f>
        <v>0</v>
      </c>
      <c r="N623" s="56">
        <f t="shared" si="343"/>
        <v>0</v>
      </c>
      <c r="O623" s="56">
        <f t="shared" si="344"/>
        <v>9</v>
      </c>
      <c r="P623" s="56">
        <f t="shared" si="379"/>
        <v>0</v>
      </c>
      <c r="Q623" s="61">
        <f>IFERROR(IFERROR(INDEX('Infos Clientes'!$A$2:$V$9884,MATCH($C623,'Infos Clientes'!$B$2:$B$9884,0),MATCH(Q$8,'Infos Clientes'!$A$2:$V$2,0)),"")
+IF(OR(INDEX('Infos Clientes'!$A$2:$V$9884,MATCH($C623,'Infos Clientes'!$B$2:$B$9884,0),MATCH("Tempo de Fidelidade (meses)",'Infos Clientes'!$A$2:$V$2,0))=0,R623&gt;=MAX(R:R)),0,
ROUND((MAX(R:R)-R623)/(365/12),0)),"")</f>
        <v>0</v>
      </c>
      <c r="R623" s="111">
        <v>45809</v>
      </c>
      <c r="S623" s="63">
        <v>0.01</v>
      </c>
      <c r="T623" s="113" t="str">
        <f>IF($H623="GIROSSOL II",AP623/INDEX('Resumo Operacional'!$A$1:$P$1103,17,MATCH('Detalhe Por UC'!$R623,'Resumo Operacional'!$A$1:$P$1,0)),
IF($H623="GIROSSOL II e III",AP623/INDEX('Resumo Operacional'!$A$1:$P$1103,17,MATCH('Detalhe Por UC'!$R623,'Resumo Operacional'!$A$1:$P$1,0)),
""))</f>
        <v/>
      </c>
      <c r="U623" s="113">
        <f>IF($H623="GIROSSOL III",AP623/INDEX('Resumo Operacional'!$A$1:$P$1103,53,MATCH('Detalhe Por UC'!$R623,'Resumo Operacional'!$A$1:$P$1,0)),
IF($H623="GIROSSOL II e III",AP623/INDEX('Resumo Operacional'!$A$1:$P$1103,53,MATCH('Detalhe Por UC'!$R623,'Resumo Operacional'!$A$1:$P$1,0)),
""))</f>
        <v>0</v>
      </c>
      <c r="V623" s="45"/>
      <c r="X623" s="18">
        <v>1.1791011235955056</v>
      </c>
      <c r="Y623" s="18">
        <v>0</v>
      </c>
      <c r="Z623" s="18">
        <v>0</v>
      </c>
      <c r="AA623" s="18"/>
      <c r="AB623" s="18">
        <v>89</v>
      </c>
      <c r="AC623" s="18"/>
      <c r="AD623" s="143">
        <v>0</v>
      </c>
      <c r="AE623" s="35"/>
      <c r="AF623" s="18">
        <v>0</v>
      </c>
      <c r="AG623" s="18">
        <v>0</v>
      </c>
      <c r="AH623" s="48">
        <v>0</v>
      </c>
      <c r="AI623" s="18">
        <v>0</v>
      </c>
      <c r="AJ623" s="18">
        <v>0</v>
      </c>
      <c r="AL623" s="146"/>
      <c r="AN623" s="71">
        <f t="shared" si="345"/>
        <v>0</v>
      </c>
      <c r="AO623" s="71">
        <f t="shared" si="346"/>
        <v>0</v>
      </c>
      <c r="AP623" s="71">
        <f t="shared" si="347"/>
        <v>0</v>
      </c>
      <c r="AQ623" s="72">
        <f>IF(OR($H623="GIROSSOL II",$H623="GIROSSOL II e III"),INDEX('Resumo Operacional'!$A$1:$P$1103,MATCH("Energia Injetada prevista total Fatura da Usina (TUSD)",'Resumo Operacional'!$B$1:$B$1103,0),MATCH('Detalhe Por UC'!$R623,'Resumo Operacional'!$A$1:$P$1,0))*$S623,INDEX('Resumo Operacional'!$A$1:$P$1103,53,MATCH('Detalhe Por UC'!$R623,'Resumo Operacional'!$A$1:$P$1,0))*$S623)</f>
        <v>172.39000000000001</v>
      </c>
      <c r="AR623" s="71">
        <f t="shared" si="348"/>
        <v>-172.39000000000001</v>
      </c>
      <c r="AS623" s="73">
        <f t="shared" si="349"/>
        <v>104.94</v>
      </c>
      <c r="AT623" s="74">
        <f t="shared" si="350"/>
        <v>104.94</v>
      </c>
      <c r="AU623" s="74" t="str">
        <f t="shared" si="351"/>
        <v/>
      </c>
      <c r="AV623" s="74">
        <f t="shared" si="352"/>
        <v>0</v>
      </c>
      <c r="AW623" s="74">
        <f t="shared" si="353"/>
        <v>0</v>
      </c>
      <c r="AX623" s="74">
        <f t="shared" si="354"/>
        <v>0</v>
      </c>
      <c r="AY623" s="74" t="str">
        <f t="shared" si="355"/>
        <v/>
      </c>
      <c r="AZ623" s="43" t="s">
        <v>354</v>
      </c>
      <c r="BA623" s="43">
        <v>0</v>
      </c>
      <c r="BC623" s="73" t="str">
        <f t="shared" si="356"/>
        <v/>
      </c>
      <c r="BD623" s="73">
        <f t="shared" si="357"/>
        <v>104.94</v>
      </c>
      <c r="BE623" s="73">
        <f t="shared" si="358"/>
        <v>104.94</v>
      </c>
      <c r="BF623" s="77">
        <f t="shared" si="359"/>
        <v>0</v>
      </c>
      <c r="BG623" s="77">
        <f t="shared" si="360"/>
        <v>0</v>
      </c>
      <c r="BH623" s="77">
        <f t="shared" si="361"/>
        <v>0</v>
      </c>
      <c r="BI623" s="78" t="str">
        <f t="shared" si="362"/>
        <v/>
      </c>
      <c r="BJ623" s="79">
        <f t="shared" si="363"/>
        <v>0</v>
      </c>
      <c r="BK623" s="80" t="str">
        <f t="shared" si="364"/>
        <v/>
      </c>
      <c r="BL623" s="80" t="str">
        <f t="shared" si="365"/>
        <v/>
      </c>
      <c r="BM623" s="79" t="str">
        <f t="shared" si="366"/>
        <v/>
      </c>
      <c r="BN623" s="81" t="str">
        <f t="shared" si="367"/>
        <v/>
      </c>
      <c r="BO623" s="82" t="str">
        <f t="shared" si="368"/>
        <v/>
      </c>
      <c r="BP623" s="81" t="str">
        <f t="shared" si="369"/>
        <v/>
      </c>
      <c r="BQ623" s="81" t="str">
        <f t="shared" si="370"/>
        <v/>
      </c>
      <c r="BR623" s="81" t="str">
        <f t="shared" si="371"/>
        <v/>
      </c>
      <c r="BS623" s="82">
        <f t="shared" si="372"/>
        <v>0</v>
      </c>
      <c r="BT623" s="82" t="str">
        <f t="shared" si="373"/>
        <v/>
      </c>
      <c r="BU623" s="82">
        <f t="shared" si="374"/>
        <v>0</v>
      </c>
      <c r="BW623" s="82">
        <f>IFERROR(INDEX('Infos Clientes'!$T:$T,MATCH('Detalhe Por UC'!$C623,'Infos Clientes'!B:B,0)),"")</f>
        <v>238.54545454545453</v>
      </c>
      <c r="BX623" s="83">
        <f t="shared" si="375"/>
        <v>0</v>
      </c>
      <c r="BY623" s="84" t="str">
        <f t="shared" si="376"/>
        <v/>
      </c>
      <c r="BZ623" s="85">
        <f>IF(_xlfn.MINIFS('Detalhe Por UC'!R:R,'Detalhe Por UC'!C:C,C623,'Detalhe Por UC'!AD:AD,"&gt;"&amp;0)=0,"",_xlfn.MINIFS('Detalhe Por UC'!R:R,'Detalhe Por UC'!C:C,C623,'Detalhe Por UC'!AD:AD,"&gt;"&amp;0))</f>
        <v>45658</v>
      </c>
      <c r="CA623" s="114">
        <f ca="1">IF(OR(S623&gt;0,AD623&gt;0),IFERROR(
SUMIFS(INDIRECT("'Infos Clientes'!$W"&amp;INDEX('Infos Clientes'!$C:$C,MATCH(C623,'Infos Clientes'!$H:$H,0))&amp;":$CZ"&amp;INDEX('Infos Clientes'!$C:$C,MATCH(C623,'Infos Clientes'!$H:$H,0))),'Infos Clientes'!$W$2:$CZ$2,"&gt;"&amp;$R623-365,'Infos Clientes'!$W$2:$CZ$2,"&lt;="&amp;$R623)/
COUNTIFS(INDIRECT("'Infos Clientes'!$W"&amp;INDEX('Infos Clientes'!$C:$C,MATCH(C623,'Infos Clientes'!$H:$H,0))&amp;":$CZ"&amp;INDEX('Infos Clientes'!$C:$C,MATCH(C623,'Infos Clientes'!$H:$H,0))),"&gt;="&amp;0,'Infos Clientes'!$W$2:$CZ$2,"&gt;"&amp;$R623-365,'Infos Clientes'!$W$2:$CZ$2,"&lt;="&amp;$R623),""),"")</f>
        <v>229.33333333333334</v>
      </c>
      <c r="CB623" s="87">
        <f>VLOOKUP(C623,'Infos Clientes'!B:L,11,0)</f>
        <v>0</v>
      </c>
      <c r="CC623" s="88" t="str">
        <f t="shared" si="377"/>
        <v>A Unidade Consumidora 10/1130988-7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3" s="40" t="s">
        <v>145</v>
      </c>
      <c r="CE623" s="43"/>
      <c r="CF623" s="115">
        <f t="shared" si="378"/>
        <v>-104.94</v>
      </c>
    </row>
    <row r="624" spans="1:84" ht="16.2" hidden="1" customHeight="1" x14ac:dyDescent="0.3">
      <c r="A624" s="105" t="str">
        <f>INDEX('Infos Clientes'!$D:$D,MATCH('Detalhe Por UC'!C624,'Infos Clientes'!B:B,0))</f>
        <v>IGREJA DO EVANGELHO QUADRANGULAR</v>
      </c>
      <c r="B624" s="106" t="str">
        <f>INDEX('Infos Clientes'!$F:$F,MATCH('Detalhe Por UC'!C624,'Infos Clientes'!B:B,0))</f>
        <v>62.955.505/0168-37</v>
      </c>
      <c r="C624" s="145" t="s">
        <v>228</v>
      </c>
      <c r="D624" t="s">
        <v>351</v>
      </c>
      <c r="E624" s="1" t="s">
        <v>352</v>
      </c>
      <c r="F624" s="56" t="str">
        <f>INDEX('Infos Clientes'!$I:$I,MATCH('Detalhe Por UC'!C624,'Infos Clientes'!B:B,0))</f>
        <v>BT</v>
      </c>
      <c r="G624" s="56" t="str">
        <f>INDEX('Infos Clientes'!$J:$J,MATCH('Detalhe Por UC'!C624,'Infos Clientes'!B:B,0))</f>
        <v>trifasico</v>
      </c>
      <c r="H624" s="47" t="str">
        <f t="shared" si="380"/>
        <v>GIROSSOL III</v>
      </c>
      <c r="I624" s="58">
        <f>IFERROR(VLOOKUP(C624,'Infos Clientes'!B:E,4,),"")</f>
        <v>302</v>
      </c>
      <c r="J624" s="109">
        <v>0.23725425614394724</v>
      </c>
      <c r="K624" s="59">
        <f>INDEX('Infos Clientes'!$M:$M,MATCH('Detalhe Por UC'!C624,'Infos Clientes'!B:B,0))</f>
        <v>0.25</v>
      </c>
      <c r="L624" s="125">
        <v>0</v>
      </c>
      <c r="M624" s="56">
        <f>INDEX('Infos Clientes'!$N:$N,MATCH('Detalhe Por UC'!C624,'Infos Clientes'!B:B,0))</f>
        <v>0</v>
      </c>
      <c r="N624" s="56">
        <f t="shared" si="343"/>
        <v>0</v>
      </c>
      <c r="O624" s="56">
        <f t="shared" si="344"/>
        <v>9</v>
      </c>
      <c r="P624" s="56">
        <f t="shared" si="379"/>
        <v>0</v>
      </c>
      <c r="Q624" s="61">
        <f>IFERROR(IFERROR(INDEX('Infos Clientes'!$A$2:$V$9884,MATCH($C624,'Infos Clientes'!$B$2:$B$9884,0),MATCH(Q$8,'Infos Clientes'!$A$2:$V$2,0)),"")
+IF(OR(INDEX('Infos Clientes'!$A$2:$V$9884,MATCH($C624,'Infos Clientes'!$B$2:$B$9884,0),MATCH("Tempo de Fidelidade (meses)",'Infos Clientes'!$A$2:$V$2,0))=0,R624&gt;=MAX(R:R)),0,
ROUND((MAX(R:R)-R624)/(365/12),0)),"")</f>
        <v>0</v>
      </c>
      <c r="R624" s="111">
        <v>45809</v>
      </c>
      <c r="S624" s="63">
        <v>0.02</v>
      </c>
      <c r="T624" s="113" t="str">
        <f>IF($H624="GIROSSOL II",AP624/INDEX('Resumo Operacional'!$A$1:$P$1103,17,MATCH('Detalhe Por UC'!$R624,'Resumo Operacional'!$A$1:$P$1,0)),
IF($H624="GIROSSOL II e III",AP624/INDEX('Resumo Operacional'!$A$1:$P$1103,17,MATCH('Detalhe Por UC'!$R624,'Resumo Operacional'!$A$1:$P$1,0)),
""))</f>
        <v/>
      </c>
      <c r="U624" s="113">
        <f>IF($H624="GIROSSOL III",AP624/INDEX('Resumo Operacional'!$A$1:$P$1103,53,MATCH('Detalhe Por UC'!$R624,'Resumo Operacional'!$A$1:$P$1,0)),
IF($H624="GIROSSOL II e III",AP624/INDEX('Resumo Operacional'!$A$1:$P$1103,53,MATCH('Detalhe Por UC'!$R624,'Resumo Operacional'!$A$1:$P$1,0)),
""))</f>
        <v>9.1652648065433037E-3</v>
      </c>
      <c r="V624" s="45"/>
      <c r="X624" s="18">
        <v>1.1619254046446166</v>
      </c>
      <c r="Y624" s="18">
        <v>0</v>
      </c>
      <c r="Z624" s="18">
        <v>1.0050109122653865</v>
      </c>
      <c r="AA624" s="18"/>
      <c r="AB624" s="18">
        <v>245</v>
      </c>
      <c r="AC624" s="18"/>
      <c r="AD624" s="143">
        <v>158</v>
      </c>
      <c r="AE624" s="35"/>
      <c r="AF624" s="18">
        <v>0</v>
      </c>
      <c r="AG624" s="18">
        <v>0</v>
      </c>
      <c r="AH624" s="48">
        <v>37.79</v>
      </c>
      <c r="AI624" s="18">
        <v>0</v>
      </c>
      <c r="AJ624" s="18">
        <v>0</v>
      </c>
      <c r="AL624" s="146"/>
      <c r="AN624" s="71">
        <f t="shared" si="345"/>
        <v>0</v>
      </c>
      <c r="AO624" s="71">
        <f t="shared" si="346"/>
        <v>0</v>
      </c>
      <c r="AP624" s="71">
        <f t="shared" si="347"/>
        <v>158</v>
      </c>
      <c r="AQ624" s="72">
        <f>IF(OR($H624="GIROSSOL II",$H624="GIROSSOL II e III"),INDEX('Resumo Operacional'!$A$1:$P$1103,MATCH("Energia Injetada prevista total Fatura da Usina (TUSD)",'Resumo Operacional'!$B$1:$B$1103,0),MATCH('Detalhe Por UC'!$R624,'Resumo Operacional'!$A$1:$P$1,0))*$S624,INDEX('Resumo Operacional'!$A$1:$P$1103,53,MATCH('Detalhe Por UC'!$R624,'Resumo Operacional'!$A$1:$P$1,0))*$S624)</f>
        <v>344.78000000000003</v>
      </c>
      <c r="AR624" s="71">
        <f t="shared" si="348"/>
        <v>-186.78000000000003</v>
      </c>
      <c r="AS624" s="73">
        <f t="shared" si="349"/>
        <v>163.66999999999996</v>
      </c>
      <c r="AT624" s="74">
        <f t="shared" si="350"/>
        <v>163.66999999999996</v>
      </c>
      <c r="AU624" s="74">
        <f t="shared" si="351"/>
        <v>0.84809641988615647</v>
      </c>
      <c r="AV624" s="74">
        <f t="shared" si="352"/>
        <v>121.11771174577137</v>
      </c>
      <c r="AW624" s="74">
        <f t="shared" si="353"/>
        <v>0</v>
      </c>
      <c r="AX624" s="74">
        <f t="shared" si="354"/>
        <v>158.79172413793108</v>
      </c>
      <c r="AY624" s="74">
        <f t="shared" si="355"/>
        <v>121.12</v>
      </c>
      <c r="AZ624" s="43">
        <v>119.09</v>
      </c>
      <c r="BA624" s="43">
        <v>119.09</v>
      </c>
      <c r="BB624" s="43">
        <v>119.09</v>
      </c>
      <c r="BC624" s="73" t="str">
        <f t="shared" si="356"/>
        <v/>
      </c>
      <c r="BD624" s="73">
        <f t="shared" si="357"/>
        <v>322.46172413793107</v>
      </c>
      <c r="BE624" s="73">
        <f t="shared" si="358"/>
        <v>284.78771174577133</v>
      </c>
      <c r="BF624" s="77">
        <f t="shared" si="359"/>
        <v>37.67</v>
      </c>
      <c r="BG624" s="77">
        <f t="shared" si="360"/>
        <v>11.301</v>
      </c>
      <c r="BH624" s="77">
        <f t="shared" si="361"/>
        <v>158.79172413793106</v>
      </c>
      <c r="BI624" s="78">
        <f t="shared" si="362"/>
        <v>0.24</v>
      </c>
      <c r="BJ624" s="79">
        <f t="shared" si="363"/>
        <v>0.1168200663216912</v>
      </c>
      <c r="BK624" s="80">
        <f t="shared" si="364"/>
        <v>284.78999999999996</v>
      </c>
      <c r="BL624" s="80">
        <f t="shared" si="365"/>
        <v>37.671724137931108</v>
      </c>
      <c r="BM624" s="79">
        <f t="shared" si="366"/>
        <v>0.11682541312040264</v>
      </c>
      <c r="BN624" s="81">
        <f t="shared" si="367"/>
        <v>0.76658227848101268</v>
      </c>
      <c r="BO624" s="82">
        <f t="shared" si="368"/>
        <v>121.12</v>
      </c>
      <c r="BP624" s="81">
        <f t="shared" si="369"/>
        <v>0.76658227848101268</v>
      </c>
      <c r="BQ624" s="81">
        <f t="shared" si="370"/>
        <v>0.92349677086024273</v>
      </c>
      <c r="BR624" s="81">
        <f t="shared" si="371"/>
        <v>1.1619254046446166</v>
      </c>
      <c r="BS624" s="82">
        <f t="shared" si="372"/>
        <v>158</v>
      </c>
      <c r="BT624" s="82">
        <f t="shared" si="373"/>
        <v>183.58421393384941</v>
      </c>
      <c r="BU624" s="82">
        <f t="shared" si="374"/>
        <v>158.79172413793108</v>
      </c>
      <c r="BW624" s="82">
        <f>IFERROR(INDEX('Infos Clientes'!$T:$T,MATCH('Detalhe Por UC'!$C624,'Infos Clientes'!B:B,0)),"")</f>
        <v>286.18181818181819</v>
      </c>
      <c r="BX624" s="83">
        <f t="shared" si="375"/>
        <v>0</v>
      </c>
      <c r="BY624" s="84">
        <f t="shared" si="376"/>
        <v>0.20520132603288677</v>
      </c>
      <c r="BZ624" s="85">
        <f>IF(_xlfn.MINIFS('Detalhe Por UC'!R:R,'Detalhe Por UC'!C:C,C624,'Detalhe Por UC'!AD:AD,"&gt;"&amp;0)=0,"",_xlfn.MINIFS('Detalhe Por UC'!R:R,'Detalhe Por UC'!C:C,C624,'Detalhe Por UC'!AD:AD,"&gt;"&amp;0))</f>
        <v>45658</v>
      </c>
      <c r="CA624" s="114">
        <f ca="1">IF(OR(S624&gt;0,AD624&gt;0),IFERROR(
SUMIFS(INDIRECT("'Infos Clientes'!$W"&amp;INDEX('Infos Clientes'!$C:$C,MATCH(C624,'Infos Clientes'!$H:$H,0))&amp;":$CZ"&amp;INDEX('Infos Clientes'!$C:$C,MATCH(C624,'Infos Clientes'!$H:$H,0))),'Infos Clientes'!$W$2:$CZ$2,"&gt;"&amp;$R624-365,'Infos Clientes'!$W$2:$CZ$2,"&lt;="&amp;$R624)/
COUNTIFS(INDIRECT("'Infos Clientes'!$W"&amp;INDEX('Infos Clientes'!$C:$C,MATCH(C624,'Infos Clientes'!$H:$H,0))&amp;":$CZ"&amp;INDEX('Infos Clientes'!$C:$C,MATCH(C624,'Infos Clientes'!$H:$H,0))),"&gt;="&amp;0,'Infos Clientes'!$W$2:$CZ$2,"&gt;"&amp;$R624-365,'Infos Clientes'!$W$2:$CZ$2,"&lt;="&amp;$R624),""),"")</f>
        <v>308.66666666666669</v>
      </c>
      <c r="CB624" s="87">
        <f>VLOOKUP(C624,'Infos Clientes'!B:L,11,0)</f>
        <v>0</v>
      </c>
      <c r="CC624" s="88" t="str">
        <f t="shared" si="377"/>
        <v>A Unidade Consumidora 10/78338-1 economizou R$37,67 na fatura referente à jun/2025  consumindo 158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4" s="40" t="s">
        <v>230</v>
      </c>
      <c r="CE624" s="43"/>
      <c r="CF624" s="115">
        <f t="shared" si="378"/>
        <v>-163.66999999999996</v>
      </c>
    </row>
    <row r="625" spans="1:84" ht="16.2" hidden="1" customHeight="1" x14ac:dyDescent="0.3">
      <c r="A625" s="105" t="str">
        <f>INDEX('Infos Clientes'!$D:$D,MATCH('Detalhe Por UC'!C625,'Infos Clientes'!B:B,0))</f>
        <v>IGREJA DO EVANGELHO QUADRANGULAR</v>
      </c>
      <c r="B625" s="106" t="str">
        <f>INDEX('Infos Clientes'!$F:$F,MATCH('Detalhe Por UC'!C625,'Infos Clientes'!B:B,0))</f>
        <v>62.955.505/3671-17</v>
      </c>
      <c r="C625" s="44" t="s">
        <v>217</v>
      </c>
      <c r="D625" t="s">
        <v>351</v>
      </c>
      <c r="E625" s="1" t="s">
        <v>352</v>
      </c>
      <c r="F625" s="56" t="str">
        <f>INDEX('Infos Clientes'!$I:$I,MATCH('Detalhe Por UC'!C625,'Infos Clientes'!B:B,0))</f>
        <v>BT</v>
      </c>
      <c r="G625" s="56" t="str">
        <f>INDEX('Infos Clientes'!$J:$J,MATCH('Detalhe Por UC'!C625,'Infos Clientes'!B:B,0))</f>
        <v>bifasico</v>
      </c>
      <c r="H625" s="47" t="str">
        <f t="shared" si="380"/>
        <v>GIROSSOL III</v>
      </c>
      <c r="I625" s="58">
        <f>IFERROR(VLOOKUP(C625,'Infos Clientes'!B:E,4,),"")</f>
        <v>362</v>
      </c>
      <c r="J625" s="109">
        <v>0.23725425614394724</v>
      </c>
      <c r="K625" s="59">
        <f>INDEX('Infos Clientes'!$M:$M,MATCH('Detalhe Por UC'!C625,'Infos Clientes'!B:B,0))</f>
        <v>0.25</v>
      </c>
      <c r="L625" s="125">
        <v>0</v>
      </c>
      <c r="M625" s="56">
        <f>INDEX('Infos Clientes'!$N:$N,MATCH('Detalhe Por UC'!C625,'Infos Clientes'!B:B,0))</f>
        <v>0</v>
      </c>
      <c r="N625" s="56">
        <f t="shared" si="343"/>
        <v>0</v>
      </c>
      <c r="O625" s="56">
        <f t="shared" si="344"/>
        <v>8</v>
      </c>
      <c r="P625" s="56">
        <f t="shared" si="379"/>
        <v>0</v>
      </c>
      <c r="Q625" s="61">
        <f>IFERROR(IFERROR(INDEX('Infos Clientes'!$A$2:$V$9884,MATCH($C625,'Infos Clientes'!$B$2:$B$9884,0),MATCH(Q$8,'Infos Clientes'!$A$2:$V$2,0)),"")
+IF(OR(INDEX('Infos Clientes'!$A$2:$V$9884,MATCH($C625,'Infos Clientes'!$B$2:$B$9884,0),MATCH("Tempo de Fidelidade (meses)",'Infos Clientes'!$A$2:$V$2,0))=0,R625&gt;=MAX(R:R)),0,
ROUND((MAX(R:R)-R625)/(365/12),0)),"")</f>
        <v>0</v>
      </c>
      <c r="R625" s="111">
        <v>45809</v>
      </c>
      <c r="S625" s="63">
        <v>0.01</v>
      </c>
      <c r="T625" s="113" t="str">
        <f>IF($H625="GIROSSOL II",AP625/INDEX('Resumo Operacional'!$A$1:$P$1103,17,MATCH('Detalhe Por UC'!$R625,'Resumo Operacional'!$A$1:$P$1,0)),
IF($H625="GIROSSOL II e III",AP625/INDEX('Resumo Operacional'!$A$1:$P$1103,17,MATCH('Detalhe Por UC'!$R625,'Resumo Operacional'!$A$1:$P$1,0)),
""))</f>
        <v/>
      </c>
      <c r="U625" s="113">
        <f>IF($H625="GIROSSOL III",AP625/INDEX('Resumo Operacional'!$A$1:$P$1103,53,MATCH('Detalhe Por UC'!$R625,'Resumo Operacional'!$A$1:$P$1,0)),
IF($H625="GIROSSOL II e III",AP625/INDEX('Resumo Operacional'!$A$1:$P$1103,53,MATCH('Detalhe Por UC'!$R625,'Resumo Operacional'!$A$1:$P$1,0)),
""))</f>
        <v>4.5826324032716519E-3</v>
      </c>
      <c r="V625" s="45"/>
      <c r="X625" s="18">
        <v>1.157371794871795</v>
      </c>
      <c r="Y625" s="18">
        <v>0</v>
      </c>
      <c r="Z625" s="18">
        <v>1.0005641025641028</v>
      </c>
      <c r="AA625" s="18"/>
      <c r="AB625" s="18">
        <v>104</v>
      </c>
      <c r="AC625" s="18"/>
      <c r="AD625" s="143">
        <v>65</v>
      </c>
      <c r="AE625" s="35"/>
      <c r="AF625" s="18">
        <v>60</v>
      </c>
      <c r="AG625" s="18">
        <v>0</v>
      </c>
      <c r="AH625" s="48">
        <v>29.66</v>
      </c>
      <c r="AI625" s="18">
        <v>0</v>
      </c>
      <c r="AJ625" s="18">
        <v>0</v>
      </c>
      <c r="AL625" s="146"/>
      <c r="AN625" s="71">
        <f t="shared" si="345"/>
        <v>14</v>
      </c>
      <c r="AO625" s="71">
        <f t="shared" si="346"/>
        <v>0</v>
      </c>
      <c r="AP625" s="71">
        <f t="shared" si="347"/>
        <v>79</v>
      </c>
      <c r="AQ625" s="72">
        <f>IF(OR($H625="GIROSSOL II",$H625="GIROSSOL II e III"),INDEX('Resumo Operacional'!$A$1:$P$1103,MATCH("Energia Injetada prevista total Fatura da Usina (TUSD)",'Resumo Operacional'!$B$1:$B$1103,0),MATCH('Detalhe Por UC'!$R625,'Resumo Operacional'!$A$1:$P$1,0))*$S625,INDEX('Resumo Operacional'!$A$1:$P$1103,53,MATCH('Detalhe Por UC'!$R625,'Resumo Operacional'!$A$1:$P$1,0))*$S625)</f>
        <v>172.39000000000001</v>
      </c>
      <c r="AR625" s="71">
        <f t="shared" si="348"/>
        <v>-93.390000000000015</v>
      </c>
      <c r="AS625" s="73">
        <f t="shared" si="349"/>
        <v>84.99</v>
      </c>
      <c r="AT625" s="74">
        <f t="shared" si="350"/>
        <v>84.99</v>
      </c>
      <c r="AU625" s="74">
        <f t="shared" si="351"/>
        <v>0.84375641025641057</v>
      </c>
      <c r="AV625" s="74">
        <f t="shared" si="352"/>
        <v>49.606440694584826</v>
      </c>
      <c r="AW625" s="74">
        <f t="shared" si="353"/>
        <v>0</v>
      </c>
      <c r="AX625" s="74">
        <f t="shared" si="354"/>
        <v>65.036666666666676</v>
      </c>
      <c r="AY625" s="74">
        <f t="shared" si="355"/>
        <v>49.61</v>
      </c>
      <c r="AZ625" s="43">
        <v>48.78</v>
      </c>
      <c r="BA625" s="43">
        <v>48.78</v>
      </c>
      <c r="BB625" s="49">
        <v>48.78</v>
      </c>
      <c r="BC625" s="73" t="str">
        <f t="shared" si="356"/>
        <v/>
      </c>
      <c r="BD625" s="73">
        <f t="shared" si="357"/>
        <v>150.02666666666667</v>
      </c>
      <c r="BE625" s="73">
        <f t="shared" si="358"/>
        <v>134.59644069458483</v>
      </c>
      <c r="BF625" s="77">
        <f t="shared" si="359"/>
        <v>15.43</v>
      </c>
      <c r="BG625" s="77">
        <f t="shared" si="360"/>
        <v>4.6289999999999996</v>
      </c>
      <c r="BH625" s="77">
        <f t="shared" si="361"/>
        <v>65.036666666666676</v>
      </c>
      <c r="BI625" s="78">
        <f t="shared" si="362"/>
        <v>0.24</v>
      </c>
      <c r="BJ625" s="79">
        <f t="shared" si="363"/>
        <v>0.10284838250977603</v>
      </c>
      <c r="BK625" s="80">
        <f t="shared" si="364"/>
        <v>134.6</v>
      </c>
      <c r="BL625" s="80">
        <f t="shared" si="365"/>
        <v>15.426666666666677</v>
      </c>
      <c r="BM625" s="79">
        <f t="shared" si="366"/>
        <v>0.10282616423746896</v>
      </c>
      <c r="BN625" s="81">
        <f t="shared" si="367"/>
        <v>0.76323076923076927</v>
      </c>
      <c r="BO625" s="82">
        <f t="shared" si="368"/>
        <v>49.61</v>
      </c>
      <c r="BP625" s="81">
        <f t="shared" si="369"/>
        <v>0.76323076923076927</v>
      </c>
      <c r="BQ625" s="81">
        <f t="shared" si="370"/>
        <v>0.92003846153846147</v>
      </c>
      <c r="BR625" s="81">
        <f t="shared" si="371"/>
        <v>1.157371794871795</v>
      </c>
      <c r="BS625" s="82">
        <f t="shared" si="372"/>
        <v>65</v>
      </c>
      <c r="BT625" s="82">
        <f t="shared" si="373"/>
        <v>75.229166666666671</v>
      </c>
      <c r="BU625" s="82">
        <f t="shared" si="374"/>
        <v>65.036666666666676</v>
      </c>
      <c r="BW625" s="82">
        <f>IFERROR(INDEX('Infos Clientes'!$T:$T,MATCH('Detalhe Por UC'!$C625,'Infos Clientes'!B:B,0)),"")</f>
        <v>122.45454545454545</v>
      </c>
      <c r="BX625" s="83">
        <f t="shared" si="375"/>
        <v>0</v>
      </c>
      <c r="BY625" s="84">
        <f t="shared" si="376"/>
        <v>0.20506230960952657</v>
      </c>
      <c r="BZ625" s="85">
        <f>IF(_xlfn.MINIFS('Detalhe Por UC'!R:R,'Detalhe Por UC'!C:C,C625,'Detalhe Por UC'!AD:AD,"&gt;"&amp;0)=0,"",_xlfn.MINIFS('Detalhe Por UC'!R:R,'Detalhe Por UC'!C:C,C625,'Detalhe Por UC'!AD:AD,"&gt;"&amp;0))</f>
        <v>45658</v>
      </c>
      <c r="CA625" s="114">
        <f ca="1">IF(OR(S625&gt;0,AD625&gt;0),IFERROR(
SUMIFS(INDIRECT("'Infos Clientes'!$W"&amp;INDEX('Infos Clientes'!$C:$C,MATCH(C625,'Infos Clientes'!$H:$H,0))&amp;":$CZ"&amp;INDEX('Infos Clientes'!$C:$C,MATCH(C625,'Infos Clientes'!$H:$H,0))),'Infos Clientes'!$W$2:$CZ$2,"&gt;"&amp;$R625-365,'Infos Clientes'!$W$2:$CZ$2,"&lt;="&amp;$R625)/
COUNTIFS(INDIRECT("'Infos Clientes'!$W"&amp;INDEX('Infos Clientes'!$C:$C,MATCH(C625,'Infos Clientes'!$H:$H,0))&amp;":$CZ"&amp;INDEX('Infos Clientes'!$C:$C,MATCH(C625,'Infos Clientes'!$H:$H,0))),"&gt;="&amp;0,'Infos Clientes'!$W$2:$CZ$2,"&gt;"&amp;$R625-365,'Infos Clientes'!$W$2:$CZ$2,"&lt;="&amp;$R625),""),"")</f>
        <v>141.41666666666666</v>
      </c>
      <c r="CB625" s="87">
        <f>VLOOKUP(C625,'Infos Clientes'!B:L,11,0)</f>
        <v>0</v>
      </c>
      <c r="CC625" s="88" t="str">
        <f t="shared" si="377"/>
        <v>A Unidade Consumidora 10/530195-7 economizou R$15,43 na fatura referente à jun/2025  consumindo 65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5" s="40" t="s">
        <v>83</v>
      </c>
      <c r="CE625" s="43"/>
      <c r="CF625" s="115">
        <f t="shared" si="378"/>
        <v>-84.99</v>
      </c>
    </row>
    <row r="626" spans="1:84" ht="16.2" hidden="1" customHeight="1" x14ac:dyDescent="0.3">
      <c r="A626" s="105" t="str">
        <f>INDEX('Infos Clientes'!$D:$D,MATCH('Detalhe Por UC'!C626,'Infos Clientes'!B:B,0))</f>
        <v>IGREJA DO EVANGELHO QUADRANGULAR</v>
      </c>
      <c r="B626" s="106" t="str">
        <f>INDEX('Infos Clientes'!$F:$F,MATCH('Detalhe Por UC'!C626,'Infos Clientes'!B:B,0))</f>
        <v>62.955.505/0154-31</v>
      </c>
      <c r="C626" s="44" t="s">
        <v>183</v>
      </c>
      <c r="D626" t="s">
        <v>351</v>
      </c>
      <c r="E626" s="1" t="s">
        <v>352</v>
      </c>
      <c r="F626" s="56" t="str">
        <f>INDEX('Infos Clientes'!$I:$I,MATCH('Detalhe Por UC'!C626,'Infos Clientes'!B:B,0))</f>
        <v>BT</v>
      </c>
      <c r="G626" s="56" t="str">
        <f>INDEX('Infos Clientes'!$J:$J,MATCH('Detalhe Por UC'!C626,'Infos Clientes'!B:B,0))</f>
        <v>bifasico</v>
      </c>
      <c r="H626" s="47" t="str">
        <f t="shared" si="380"/>
        <v>GIROSSOL III</v>
      </c>
      <c r="I626" s="58">
        <f>IFERROR(VLOOKUP(C626,'Infos Clientes'!B:E,4,),"")</f>
        <v>319</v>
      </c>
      <c r="J626" s="109">
        <v>0.23725425614394724</v>
      </c>
      <c r="K626" s="59">
        <f>INDEX('Infos Clientes'!$M:$M,MATCH('Detalhe Por UC'!C626,'Infos Clientes'!B:B,0))</f>
        <v>0.25</v>
      </c>
      <c r="L626" s="125">
        <v>0</v>
      </c>
      <c r="M626" s="56">
        <f>INDEX('Infos Clientes'!$N:$N,MATCH('Detalhe Por UC'!C626,'Infos Clientes'!B:B,0))</f>
        <v>0</v>
      </c>
      <c r="N626" s="56">
        <f t="shared" si="343"/>
        <v>0</v>
      </c>
      <c r="O626" s="56">
        <f t="shared" si="344"/>
        <v>9</v>
      </c>
      <c r="P626" s="56">
        <f t="shared" si="379"/>
        <v>0</v>
      </c>
      <c r="Q626" s="61">
        <f>IFERROR(IFERROR(INDEX('Infos Clientes'!$A$2:$V$9884,MATCH($C626,'Infos Clientes'!$B$2:$B$9884,0),MATCH(Q$8,'Infos Clientes'!$A$2:$V$2,0)),"")
+IF(OR(INDEX('Infos Clientes'!$A$2:$V$9884,MATCH($C626,'Infos Clientes'!$B$2:$B$9884,0),MATCH("Tempo de Fidelidade (meses)",'Infos Clientes'!$A$2:$V$2,0))=0,R626&gt;=MAX(R:R)),0,
ROUND((MAX(R:R)-R626)/(365/12),0)),"")</f>
        <v>0</v>
      </c>
      <c r="R626" s="111">
        <v>45809</v>
      </c>
      <c r="S626" s="63">
        <v>0.02</v>
      </c>
      <c r="T626" s="113" t="str">
        <f>IF($H626="GIROSSOL II",AP626/INDEX('Resumo Operacional'!$A$1:$P$1103,17,MATCH('Detalhe Por UC'!$R626,'Resumo Operacional'!$A$1:$P$1,0)),
IF($H626="GIROSSOL II e III",AP626/INDEX('Resumo Operacional'!$A$1:$P$1103,17,MATCH('Detalhe Por UC'!$R626,'Resumo Operacional'!$A$1:$P$1,0)),
""))</f>
        <v/>
      </c>
      <c r="U626" s="113">
        <f>IF($H626="GIROSSOL III",AP626/INDEX('Resumo Operacional'!$A$1:$P$1103,53,MATCH('Detalhe Por UC'!$R626,'Resumo Operacional'!$A$1:$P$1,0)),
IF($H626="GIROSSOL II e III",AP626/INDEX('Resumo Operacional'!$A$1:$P$1103,53,MATCH('Detalhe Por UC'!$R626,'Resumo Operacional'!$A$1:$P$1,0)),
""))</f>
        <v>0</v>
      </c>
      <c r="V626" s="45"/>
      <c r="X626" s="18">
        <v>1.1753216374269007</v>
      </c>
      <c r="Y626" s="18">
        <v>0</v>
      </c>
      <c r="Z626" s="18">
        <v>0</v>
      </c>
      <c r="AA626" s="18"/>
      <c r="AB626" s="18">
        <v>342</v>
      </c>
      <c r="AC626" s="18"/>
      <c r="AD626" s="143">
        <v>0</v>
      </c>
      <c r="AE626" s="35"/>
      <c r="AF626" s="18">
        <v>0</v>
      </c>
      <c r="AG626" s="18">
        <v>0</v>
      </c>
      <c r="AH626" s="48">
        <v>70.81</v>
      </c>
      <c r="AI626" s="18">
        <v>0</v>
      </c>
      <c r="AJ626" s="18">
        <v>0</v>
      </c>
      <c r="AL626" s="146"/>
      <c r="AN626" s="71">
        <f t="shared" si="345"/>
        <v>0</v>
      </c>
      <c r="AO626" s="71">
        <f t="shared" si="346"/>
        <v>0</v>
      </c>
      <c r="AP626" s="71">
        <f t="shared" si="347"/>
        <v>0</v>
      </c>
      <c r="AQ626" s="72">
        <f>IF(OR($H626="GIROSSOL II",$H626="GIROSSOL II e III"),INDEX('Resumo Operacional'!$A$1:$P$1103,MATCH("Energia Injetada prevista total Fatura da Usina (TUSD)",'Resumo Operacional'!$B$1:$B$1103,0),MATCH('Detalhe Por UC'!$R626,'Resumo Operacional'!$A$1:$P$1,0))*$S626,INDEX('Resumo Operacional'!$A$1:$P$1103,53,MATCH('Detalhe Por UC'!$R626,'Resumo Operacional'!$A$1:$P$1,0))*$S626)</f>
        <v>344.78000000000003</v>
      </c>
      <c r="AR626" s="71">
        <f t="shared" si="348"/>
        <v>-344.78000000000003</v>
      </c>
      <c r="AS626" s="73">
        <f t="shared" si="349"/>
        <v>472.77000000000004</v>
      </c>
      <c r="AT626" s="74">
        <f t="shared" si="350"/>
        <v>472.77000000000004</v>
      </c>
      <c r="AU626" s="74" t="str">
        <f t="shared" si="351"/>
        <v/>
      </c>
      <c r="AV626" s="74">
        <f t="shared" si="352"/>
        <v>0</v>
      </c>
      <c r="AW626" s="74">
        <f t="shared" si="353"/>
        <v>0</v>
      </c>
      <c r="AX626" s="74">
        <f t="shared" si="354"/>
        <v>0</v>
      </c>
      <c r="AY626" s="74" t="str">
        <f t="shared" si="355"/>
        <v/>
      </c>
      <c r="AZ626" s="43" t="s">
        <v>354</v>
      </c>
      <c r="BA626" s="43">
        <v>0</v>
      </c>
      <c r="BC626" s="73" t="str">
        <f t="shared" si="356"/>
        <v/>
      </c>
      <c r="BD626" s="73">
        <f t="shared" si="357"/>
        <v>472.77000000000004</v>
      </c>
      <c r="BE626" s="73">
        <f t="shared" si="358"/>
        <v>472.77000000000004</v>
      </c>
      <c r="BF626" s="77">
        <f t="shared" si="359"/>
        <v>0</v>
      </c>
      <c r="BG626" s="77">
        <f t="shared" si="360"/>
        <v>0</v>
      </c>
      <c r="BH626" s="77">
        <f t="shared" si="361"/>
        <v>0</v>
      </c>
      <c r="BI626" s="78" t="str">
        <f t="shared" si="362"/>
        <v/>
      </c>
      <c r="BJ626" s="79">
        <f t="shared" si="363"/>
        <v>0</v>
      </c>
      <c r="BK626" s="80" t="str">
        <f t="shared" si="364"/>
        <v/>
      </c>
      <c r="BL626" s="80" t="str">
        <f t="shared" si="365"/>
        <v/>
      </c>
      <c r="BM626" s="79" t="str">
        <f t="shared" si="366"/>
        <v/>
      </c>
      <c r="BN626" s="81" t="str">
        <f t="shared" si="367"/>
        <v/>
      </c>
      <c r="BO626" s="82" t="str">
        <f t="shared" si="368"/>
        <v/>
      </c>
      <c r="BP626" s="81" t="str">
        <f t="shared" si="369"/>
        <v/>
      </c>
      <c r="BQ626" s="81" t="str">
        <f t="shared" si="370"/>
        <v/>
      </c>
      <c r="BR626" s="81" t="str">
        <f t="shared" si="371"/>
        <v/>
      </c>
      <c r="BS626" s="82">
        <f t="shared" si="372"/>
        <v>0</v>
      </c>
      <c r="BT626" s="82" t="str">
        <f t="shared" si="373"/>
        <v/>
      </c>
      <c r="BU626" s="82">
        <f t="shared" si="374"/>
        <v>0</v>
      </c>
      <c r="BW626" s="82">
        <f>IFERROR(INDEX('Infos Clientes'!$T:$T,MATCH('Detalhe Por UC'!$C626,'Infos Clientes'!B:B,0)),"")</f>
        <v>250.27272727272728</v>
      </c>
      <c r="BX626" s="83">
        <f t="shared" si="375"/>
        <v>0</v>
      </c>
      <c r="BY626" s="84" t="str">
        <f t="shared" si="376"/>
        <v/>
      </c>
      <c r="BZ626" s="85">
        <f>IF(_xlfn.MINIFS('Detalhe Por UC'!R:R,'Detalhe Por UC'!C:C,C626,'Detalhe Por UC'!AD:AD,"&gt;"&amp;0)=0,"",_xlfn.MINIFS('Detalhe Por UC'!R:R,'Detalhe Por UC'!C:C,C626,'Detalhe Por UC'!AD:AD,"&gt;"&amp;0))</f>
        <v>45658</v>
      </c>
      <c r="CA626" s="114">
        <f ca="1">IF(OR(S626&gt;0,AD626&gt;0),IFERROR(
SUMIFS(INDIRECT("'Infos Clientes'!$W"&amp;INDEX('Infos Clientes'!$C:$C,MATCH(C626,'Infos Clientes'!$H:$H,0))&amp;":$CZ"&amp;INDEX('Infos Clientes'!$C:$C,MATCH(C626,'Infos Clientes'!$H:$H,0))),'Infos Clientes'!$W$2:$CZ$2,"&gt;"&amp;$R626-365,'Infos Clientes'!$W$2:$CZ$2,"&lt;="&amp;$R626)/
COUNTIFS(INDIRECT("'Infos Clientes'!$W"&amp;INDEX('Infos Clientes'!$C:$C,MATCH(C626,'Infos Clientes'!$H:$H,0))&amp;":$CZ"&amp;INDEX('Infos Clientes'!$C:$C,MATCH(C626,'Infos Clientes'!$H:$H,0))),"&gt;="&amp;0,'Infos Clientes'!$W$2:$CZ$2,"&gt;"&amp;$R626-365,'Infos Clientes'!$W$2:$CZ$2,"&lt;="&amp;$R626),""),"")</f>
        <v>284.91666666666669</v>
      </c>
      <c r="CB626" s="87">
        <f>VLOOKUP(C626,'Infos Clientes'!B:L,11,0)</f>
        <v>0</v>
      </c>
      <c r="CC626" s="88" t="str">
        <f t="shared" si="377"/>
        <v>A Unidade Consumidora 10/3040565-8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6" s="40" t="s">
        <v>27</v>
      </c>
      <c r="CE626" s="43"/>
      <c r="CF626" s="115">
        <f t="shared" si="378"/>
        <v>-472.77000000000004</v>
      </c>
    </row>
    <row r="627" spans="1:84" ht="16.2" hidden="1" customHeight="1" x14ac:dyDescent="0.3">
      <c r="A627" s="105" t="str">
        <f>INDEX('Infos Clientes'!$D:$D,MATCH('Detalhe Por UC'!C627,'Infos Clientes'!B:B,0))</f>
        <v>IGREJA DO EVANGELHO QUADRANGULAR</v>
      </c>
      <c r="B627" s="106" t="str">
        <f>INDEX('Infos Clientes'!$F:$F,MATCH('Detalhe Por UC'!C627,'Infos Clientes'!B:B,0))</f>
        <v>62.955.505/2488-86</v>
      </c>
      <c r="C627" s="44" t="s">
        <v>195</v>
      </c>
      <c r="D627" t="s">
        <v>351</v>
      </c>
      <c r="E627" s="1" t="s">
        <v>352</v>
      </c>
      <c r="F627" s="56" t="str">
        <f>INDEX('Infos Clientes'!$I:$I,MATCH('Detalhe Por UC'!C627,'Infos Clientes'!B:B,0))</f>
        <v>BT</v>
      </c>
      <c r="G627" s="56" t="str">
        <f>INDEX('Infos Clientes'!$J:$J,MATCH('Detalhe Por UC'!C627,'Infos Clientes'!B:B,0))</f>
        <v>trifasico</v>
      </c>
      <c r="H627" s="47" t="str">
        <f t="shared" si="380"/>
        <v>GIROSSOL III</v>
      </c>
      <c r="I627" s="58">
        <f>IFERROR(VLOOKUP(C627,'Infos Clientes'!B:E,4,),"")</f>
        <v>306</v>
      </c>
      <c r="J627" s="109">
        <v>0.23725425614394724</v>
      </c>
      <c r="K627" s="59">
        <f>INDEX('Infos Clientes'!$M:$M,MATCH('Detalhe Por UC'!C627,'Infos Clientes'!B:B,0))</f>
        <v>0.25</v>
      </c>
      <c r="L627" s="125">
        <v>0</v>
      </c>
      <c r="M627" s="56">
        <f>INDEX('Infos Clientes'!$N:$N,MATCH('Detalhe Por UC'!C627,'Infos Clientes'!B:B,0))</f>
        <v>0</v>
      </c>
      <c r="N627" s="56">
        <f t="shared" si="343"/>
        <v>0</v>
      </c>
      <c r="O627" s="56">
        <f t="shared" si="344"/>
        <v>9</v>
      </c>
      <c r="P627" s="56">
        <f t="shared" si="379"/>
        <v>0</v>
      </c>
      <c r="Q627" s="61">
        <f>IFERROR(IFERROR(INDEX('Infos Clientes'!$A$2:$V$9884,MATCH($C627,'Infos Clientes'!$B$2:$B$9884,0),MATCH(Q$8,'Infos Clientes'!$A$2:$V$2,0)),"")
+IF(OR(INDEX('Infos Clientes'!$A$2:$V$9884,MATCH($C627,'Infos Clientes'!$B$2:$B$9884,0),MATCH("Tempo de Fidelidade (meses)",'Infos Clientes'!$A$2:$V$2,0))=0,R627&gt;=MAX(R:R)),0,
ROUND((MAX(R:R)-R627)/(365/12),0)),"")</f>
        <v>0</v>
      </c>
      <c r="R627" s="111">
        <v>45809</v>
      </c>
      <c r="S627" s="63">
        <v>0.02</v>
      </c>
      <c r="T627" s="113" t="str">
        <f>IF($H627="GIROSSOL II",AP627/INDEX('Resumo Operacional'!$A$1:$P$1103,17,MATCH('Detalhe Por UC'!$R627,'Resumo Operacional'!$A$1:$P$1,0)),
IF($H627="GIROSSOL II e III",AP627/INDEX('Resumo Operacional'!$A$1:$P$1103,17,MATCH('Detalhe Por UC'!$R627,'Resumo Operacional'!$A$1:$P$1,0)),
""))</f>
        <v/>
      </c>
      <c r="U627" s="113">
        <f>IF($H627="GIROSSOL III",AP627/INDEX('Resumo Operacional'!$A$1:$P$1103,53,MATCH('Detalhe Por UC'!$R627,'Resumo Operacional'!$A$1:$P$1,0)),
IF($H627="GIROSSOL II e III",AP627/INDEX('Resumo Operacional'!$A$1:$P$1103,53,MATCH('Detalhe Por UC'!$R627,'Resumo Operacional'!$A$1:$P$1,0)),
""))</f>
        <v>0</v>
      </c>
      <c r="V627" s="45"/>
      <c r="X627" s="18">
        <v>1.1683402220122814</v>
      </c>
      <c r="Y627" s="18">
        <v>0</v>
      </c>
      <c r="Z627" s="18">
        <v>1.0114775566468508</v>
      </c>
      <c r="AA627" s="18"/>
      <c r="AB627" s="18">
        <v>232</v>
      </c>
      <c r="AC627" s="18"/>
      <c r="AD627" s="143">
        <v>159</v>
      </c>
      <c r="AE627" s="35"/>
      <c r="AF627" s="18">
        <v>29</v>
      </c>
      <c r="AG627" s="18">
        <v>0</v>
      </c>
      <c r="AH627" s="48">
        <v>0</v>
      </c>
      <c r="AI627" s="18">
        <v>0</v>
      </c>
      <c r="AJ627" s="18">
        <v>0</v>
      </c>
      <c r="AL627" s="146"/>
      <c r="AN627" s="71">
        <f t="shared" si="345"/>
        <v>-159</v>
      </c>
      <c r="AO627" s="71">
        <f t="shared" si="346"/>
        <v>0</v>
      </c>
      <c r="AP627" s="71">
        <f t="shared" si="347"/>
        <v>0</v>
      </c>
      <c r="AQ627" s="72">
        <f>IF(OR($H627="GIROSSOL II",$H627="GIROSSOL II e III"),INDEX('Resumo Operacional'!$A$1:$P$1103,MATCH("Energia Injetada prevista total Fatura da Usina (TUSD)",'Resumo Operacional'!$B$1:$B$1103,0),MATCH('Detalhe Por UC'!$R627,'Resumo Operacional'!$A$1:$P$1,0))*$S627,INDEX('Resumo Operacional'!$A$1:$P$1103,53,MATCH('Detalhe Por UC'!$R627,'Resumo Operacional'!$A$1:$P$1,0))*$S627)</f>
        <v>344.78000000000003</v>
      </c>
      <c r="AR627" s="71">
        <f t="shared" si="348"/>
        <v>-344.78000000000003</v>
      </c>
      <c r="AS627" s="73">
        <f t="shared" si="349"/>
        <v>110.23000000000002</v>
      </c>
      <c r="AT627" s="74">
        <f t="shared" si="350"/>
        <v>110.23000000000002</v>
      </c>
      <c r="AU627" s="74">
        <f t="shared" si="351"/>
        <v>0.85461489128142021</v>
      </c>
      <c r="AV627" s="74">
        <f t="shared" si="352"/>
        <v>122.66853201279049</v>
      </c>
      <c r="AW627" s="74">
        <f t="shared" si="353"/>
        <v>0</v>
      </c>
      <c r="AX627" s="74">
        <f t="shared" si="354"/>
        <v>160.82493150684928</v>
      </c>
      <c r="AY627" s="74">
        <f t="shared" si="355"/>
        <v>122.67</v>
      </c>
      <c r="AZ627" s="43">
        <v>120.62</v>
      </c>
      <c r="BA627" s="43">
        <v>120.62</v>
      </c>
      <c r="BB627" s="43">
        <v>120.62</v>
      </c>
      <c r="BC627" s="73" t="str">
        <f t="shared" si="356"/>
        <v/>
      </c>
      <c r="BD627" s="73">
        <f t="shared" si="357"/>
        <v>271.0549315068493</v>
      </c>
      <c r="BE627" s="73">
        <f t="shared" si="358"/>
        <v>232.8985320127905</v>
      </c>
      <c r="BF627" s="77">
        <f t="shared" si="359"/>
        <v>38.159999999999997</v>
      </c>
      <c r="BG627" s="77">
        <f t="shared" si="360"/>
        <v>11.447999999999999</v>
      </c>
      <c r="BH627" s="77">
        <f t="shared" si="361"/>
        <v>160.82493150684928</v>
      </c>
      <c r="BI627" s="78">
        <f t="shared" si="362"/>
        <v>0.24</v>
      </c>
      <c r="BJ627" s="79">
        <f t="shared" si="363"/>
        <v>0.14078327144929931</v>
      </c>
      <c r="BK627" s="80">
        <f t="shared" si="364"/>
        <v>232.90000000000003</v>
      </c>
      <c r="BL627" s="80">
        <f t="shared" si="365"/>
        <v>38.154931506849266</v>
      </c>
      <c r="BM627" s="79">
        <f t="shared" si="366"/>
        <v>0.14076457231284548</v>
      </c>
      <c r="BN627" s="81">
        <f t="shared" si="367"/>
        <v>0.77150943396226412</v>
      </c>
      <c r="BO627" s="82">
        <f t="shared" si="368"/>
        <v>122.67</v>
      </c>
      <c r="BP627" s="81">
        <f t="shared" si="369"/>
        <v>0.77150943396226412</v>
      </c>
      <c r="BQ627" s="81">
        <f t="shared" si="370"/>
        <v>0.92837209932769471</v>
      </c>
      <c r="BR627" s="81">
        <f t="shared" si="371"/>
        <v>1.1683402220122814</v>
      </c>
      <c r="BS627" s="82">
        <f t="shared" si="372"/>
        <v>159</v>
      </c>
      <c r="BT627" s="82">
        <f t="shared" si="373"/>
        <v>185.76609529995275</v>
      </c>
      <c r="BU627" s="82">
        <f t="shared" si="374"/>
        <v>160.82493150684928</v>
      </c>
      <c r="BW627" s="82">
        <f>IFERROR(INDEX('Infos Clientes'!$T:$T,MATCH('Detalhe Por UC'!$C627,'Infos Clientes'!B:B,0)),"")</f>
        <v>249.81818181818181</v>
      </c>
      <c r="BX627" s="83">
        <f t="shared" si="375"/>
        <v>0</v>
      </c>
      <c r="BY627" s="84">
        <f t="shared" si="376"/>
        <v>0.20539233192817713</v>
      </c>
      <c r="BZ627" s="85">
        <f>IF(_xlfn.MINIFS('Detalhe Por UC'!R:R,'Detalhe Por UC'!C:C,C627,'Detalhe Por UC'!AD:AD,"&gt;"&amp;0)=0,"",_xlfn.MINIFS('Detalhe Por UC'!R:R,'Detalhe Por UC'!C:C,C627,'Detalhe Por UC'!AD:AD,"&gt;"&amp;0))</f>
        <v>45658</v>
      </c>
      <c r="CA627" s="114">
        <f ca="1">IF(OR(S627&gt;0,AD627&gt;0),IFERROR(
SUMIFS(INDIRECT("'Infos Clientes'!$W"&amp;INDEX('Infos Clientes'!$C:$C,MATCH(C627,'Infos Clientes'!$H:$H,0))&amp;":$CZ"&amp;INDEX('Infos Clientes'!$C:$C,MATCH(C627,'Infos Clientes'!$H:$H,0))),'Infos Clientes'!$W$2:$CZ$2,"&gt;"&amp;$R627-365,'Infos Clientes'!$W$2:$CZ$2,"&lt;="&amp;$R627)/
COUNTIFS(INDIRECT("'Infos Clientes'!$W"&amp;INDEX('Infos Clientes'!$C:$C,MATCH(C627,'Infos Clientes'!$H:$H,0))&amp;":$CZ"&amp;INDEX('Infos Clientes'!$C:$C,MATCH(C627,'Infos Clientes'!$H:$H,0))),"&gt;="&amp;0,'Infos Clientes'!$W$2:$CZ$2,"&gt;"&amp;$R627-365,'Infos Clientes'!$W$2:$CZ$2,"&lt;="&amp;$R627),""),"")</f>
        <v>295.41666666666669</v>
      </c>
      <c r="CB627" s="87">
        <f>VLOOKUP(C627,'Infos Clientes'!B:L,11,0)</f>
        <v>0</v>
      </c>
      <c r="CC627" s="88" t="str">
        <f t="shared" si="377"/>
        <v>A Unidade Consumidora 10/395471-6 economizou R$38,16 na fatura referente à jun/2025  consumindo 159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7" s="40" t="s">
        <v>143</v>
      </c>
      <c r="CE627" s="43"/>
      <c r="CF627" s="115">
        <f t="shared" si="378"/>
        <v>-110.23000000000002</v>
      </c>
    </row>
    <row r="628" spans="1:84" ht="16.2" hidden="1" customHeight="1" x14ac:dyDescent="0.3">
      <c r="A628" s="105" t="str">
        <f>INDEX('Infos Clientes'!$D:$D,MATCH('Detalhe Por UC'!C628,'Infos Clientes'!B:B,0))</f>
        <v>IGREJA DO EVANGELHO QUADRANGULAR</v>
      </c>
      <c r="B628" s="106" t="str">
        <f>INDEX('Infos Clientes'!$F:$F,MATCH('Detalhe Por UC'!C628,'Infos Clientes'!B:B,0))</f>
        <v>62.955.505/0155-12</v>
      </c>
      <c r="C628" s="44" t="s">
        <v>189</v>
      </c>
      <c r="D628" t="s">
        <v>351</v>
      </c>
      <c r="E628" s="1" t="s">
        <v>352</v>
      </c>
      <c r="F628" s="56" t="str">
        <f>INDEX('Infos Clientes'!$I:$I,MATCH('Detalhe Por UC'!C628,'Infos Clientes'!B:B,0))</f>
        <v>BT</v>
      </c>
      <c r="G628" s="56" t="str">
        <f>INDEX('Infos Clientes'!$J:$J,MATCH('Detalhe Por UC'!C628,'Infos Clientes'!B:B,0))</f>
        <v>bifasico</v>
      </c>
      <c r="H628" s="47" t="str">
        <f t="shared" si="380"/>
        <v>GIROSSOL III</v>
      </c>
      <c r="I628" s="58">
        <f>IFERROR(VLOOKUP(C628,'Infos Clientes'!B:E,4,),"")</f>
        <v>358</v>
      </c>
      <c r="J628" s="109">
        <v>0.23725425614394724</v>
      </c>
      <c r="K628" s="59">
        <f>INDEX('Infos Clientes'!$M:$M,MATCH('Detalhe Por UC'!C628,'Infos Clientes'!B:B,0))</f>
        <v>0.25</v>
      </c>
      <c r="L628" s="125">
        <v>0</v>
      </c>
      <c r="M628" s="56">
        <f>INDEX('Infos Clientes'!$N:$N,MATCH('Detalhe Por UC'!C628,'Infos Clientes'!B:B,0))</f>
        <v>0</v>
      </c>
      <c r="N628" s="56">
        <f t="shared" si="343"/>
        <v>0</v>
      </c>
      <c r="O628" s="56">
        <f t="shared" si="344"/>
        <v>8</v>
      </c>
      <c r="P628" s="56">
        <f t="shared" si="379"/>
        <v>0</v>
      </c>
      <c r="Q628" s="61">
        <f>IFERROR(IFERROR(INDEX('Infos Clientes'!$A$2:$V$9884,MATCH($C628,'Infos Clientes'!$B$2:$B$9884,0),MATCH(Q$8,'Infos Clientes'!$A$2:$V$2,0)),"")
+IF(OR(INDEX('Infos Clientes'!$A$2:$V$9884,MATCH($C628,'Infos Clientes'!$B$2:$B$9884,0),MATCH("Tempo de Fidelidade (meses)",'Infos Clientes'!$A$2:$V$2,0))=0,R628&gt;=MAX(R:R)),0,
ROUND((MAX(R:R)-R628)/(365/12),0)),"")</f>
        <v>0</v>
      </c>
      <c r="R628" s="111">
        <v>45809</v>
      </c>
      <c r="S628" s="63">
        <v>0.01</v>
      </c>
      <c r="T628" s="113" t="str">
        <f>IF($H628="GIROSSOL II",AP628/INDEX('Resumo Operacional'!$A$1:$P$1103,17,MATCH('Detalhe Por UC'!$R628,'Resumo Operacional'!$A$1:$P$1,0)),
IF($H628="GIROSSOL II e III",AP628/INDEX('Resumo Operacional'!$A$1:$P$1103,17,MATCH('Detalhe Por UC'!$R628,'Resumo Operacional'!$A$1:$P$1,0)),
""))</f>
        <v/>
      </c>
      <c r="U628" s="113">
        <f>IF($H628="GIROSSOL III",AP628/INDEX('Resumo Operacional'!$A$1:$P$1103,53,MATCH('Detalhe Por UC'!$R628,'Resumo Operacional'!$A$1:$P$1,0)),
IF($H628="GIROSSOL II e III",AP628/INDEX('Resumo Operacional'!$A$1:$P$1103,53,MATCH('Detalhe Por UC'!$R628,'Resumo Operacional'!$A$1:$P$1,0)),
""))</f>
        <v>4.5826324032716519E-3</v>
      </c>
      <c r="V628" s="45"/>
      <c r="X628" s="18">
        <v>1.1622967432052485</v>
      </c>
      <c r="Y628" s="18">
        <v>0</v>
      </c>
      <c r="Z628" s="18">
        <v>1.0053699595458698</v>
      </c>
      <c r="AA628" s="18"/>
      <c r="AB628" s="18">
        <v>176</v>
      </c>
      <c r="AC628" s="18"/>
      <c r="AD628" s="143">
        <v>79</v>
      </c>
      <c r="AE628" s="35"/>
      <c r="AF628" s="18">
        <v>0</v>
      </c>
      <c r="AG628" s="18">
        <v>0</v>
      </c>
      <c r="AH628" s="48">
        <v>79.540000000000006</v>
      </c>
      <c r="AI628" s="18">
        <v>0</v>
      </c>
      <c r="AJ628" s="18">
        <v>0</v>
      </c>
      <c r="AL628" s="146"/>
      <c r="AN628" s="71">
        <f t="shared" si="345"/>
        <v>0</v>
      </c>
      <c r="AO628" s="71">
        <f t="shared" si="346"/>
        <v>0</v>
      </c>
      <c r="AP628" s="71">
        <f t="shared" si="347"/>
        <v>79</v>
      </c>
      <c r="AQ628" s="72">
        <f>IF(OR($H628="GIROSSOL II",$H628="GIROSSOL II e III"),INDEX('Resumo Operacional'!$A$1:$P$1103,MATCH("Energia Injetada prevista total Fatura da Usina (TUSD)",'Resumo Operacional'!$B$1:$B$1103,0),MATCH('Detalhe Por UC'!$R628,'Resumo Operacional'!$A$1:$P$1,0))*$S628,INDEX('Resumo Operacional'!$A$1:$P$1103,53,MATCH('Detalhe Por UC'!$R628,'Resumo Operacional'!$A$1:$P$1,0))*$S628)</f>
        <v>172.39000000000001</v>
      </c>
      <c r="AR628" s="71">
        <f t="shared" si="348"/>
        <v>-93.390000000000015</v>
      </c>
      <c r="AS628" s="73">
        <f t="shared" si="349"/>
        <v>204.68</v>
      </c>
      <c r="AT628" s="74">
        <f t="shared" si="350"/>
        <v>204.68</v>
      </c>
      <c r="AU628" s="74">
        <f t="shared" si="351"/>
        <v>0.84844317588649121</v>
      </c>
      <c r="AV628" s="74">
        <f t="shared" si="352"/>
        <v>60.580490953903194</v>
      </c>
      <c r="AW628" s="74">
        <f t="shared" si="353"/>
        <v>0</v>
      </c>
      <c r="AX628" s="74">
        <f t="shared" si="354"/>
        <v>79.42422680412372</v>
      </c>
      <c r="AY628" s="74">
        <f t="shared" si="355"/>
        <v>60.58</v>
      </c>
      <c r="AZ628" s="43">
        <v>59.57</v>
      </c>
      <c r="BA628" s="43">
        <v>59.57</v>
      </c>
      <c r="BB628" s="43">
        <v>59.57</v>
      </c>
      <c r="BC628" s="73" t="str">
        <f t="shared" si="356"/>
        <v/>
      </c>
      <c r="BD628" s="73">
        <f t="shared" si="357"/>
        <v>284.10422680412375</v>
      </c>
      <c r="BE628" s="73">
        <f t="shared" si="358"/>
        <v>265.26049095390317</v>
      </c>
      <c r="BF628" s="77">
        <f t="shared" si="359"/>
        <v>18.84</v>
      </c>
      <c r="BG628" s="77">
        <f t="shared" si="360"/>
        <v>5.6520000000000001</v>
      </c>
      <c r="BH628" s="77">
        <f t="shared" si="361"/>
        <v>79.42422680412372</v>
      </c>
      <c r="BI628" s="78">
        <f t="shared" si="362"/>
        <v>0.24</v>
      </c>
      <c r="BJ628" s="79">
        <f t="shared" si="363"/>
        <v>6.6313691323534152E-2</v>
      </c>
      <c r="BK628" s="80">
        <f t="shared" si="364"/>
        <v>265.26</v>
      </c>
      <c r="BL628" s="80">
        <f t="shared" si="365"/>
        <v>18.844226804123764</v>
      </c>
      <c r="BM628" s="79">
        <f t="shared" si="366"/>
        <v>6.6328568976609964E-2</v>
      </c>
      <c r="BN628" s="81">
        <f t="shared" si="367"/>
        <v>0.76683544303797468</v>
      </c>
      <c r="BO628" s="82">
        <f t="shared" si="368"/>
        <v>60.58</v>
      </c>
      <c r="BP628" s="81">
        <f t="shared" si="369"/>
        <v>0.76683544303797468</v>
      </c>
      <c r="BQ628" s="81">
        <f t="shared" si="370"/>
        <v>0.92376222669735331</v>
      </c>
      <c r="BR628" s="81">
        <f t="shared" si="371"/>
        <v>1.1622967432052485</v>
      </c>
      <c r="BS628" s="82">
        <f t="shared" si="372"/>
        <v>79</v>
      </c>
      <c r="BT628" s="82">
        <f t="shared" si="373"/>
        <v>91.821442713214623</v>
      </c>
      <c r="BU628" s="82">
        <f t="shared" si="374"/>
        <v>79.42422680412372</v>
      </c>
      <c r="BW628" s="82">
        <f>IFERROR(INDEX('Infos Clientes'!$T:$T,MATCH('Detalhe Por UC'!$C628,'Infos Clientes'!B:B,0)),"")</f>
        <v>164.36363636363637</v>
      </c>
      <c r="BX628" s="83">
        <f t="shared" si="375"/>
        <v>0</v>
      </c>
      <c r="BY628" s="84">
        <f t="shared" si="376"/>
        <v>0.2052268647420383</v>
      </c>
      <c r="BZ628" s="85">
        <f>IF(_xlfn.MINIFS('Detalhe Por UC'!R:R,'Detalhe Por UC'!C:C,C628,'Detalhe Por UC'!AD:AD,"&gt;"&amp;0)=0,"",_xlfn.MINIFS('Detalhe Por UC'!R:R,'Detalhe Por UC'!C:C,C628,'Detalhe Por UC'!AD:AD,"&gt;"&amp;0))</f>
        <v>45658</v>
      </c>
      <c r="CA628" s="114">
        <f ca="1">IF(OR(S628&gt;0,AD628&gt;0),IFERROR(
SUMIFS(INDIRECT("'Infos Clientes'!$W"&amp;INDEX('Infos Clientes'!$C:$C,MATCH(C628,'Infos Clientes'!$H:$H,0))&amp;":$CZ"&amp;INDEX('Infos Clientes'!$C:$C,MATCH(C628,'Infos Clientes'!$H:$H,0))),'Infos Clientes'!$W$2:$CZ$2,"&gt;"&amp;$R628-365,'Infos Clientes'!$W$2:$CZ$2,"&lt;="&amp;$R628)/
COUNTIFS(INDIRECT("'Infos Clientes'!$W"&amp;INDEX('Infos Clientes'!$C:$C,MATCH(C628,'Infos Clientes'!$H:$H,0))&amp;":$CZ"&amp;INDEX('Infos Clientes'!$C:$C,MATCH(C628,'Infos Clientes'!$H:$H,0))),"&gt;="&amp;0,'Infos Clientes'!$W$2:$CZ$2,"&gt;"&amp;$R628-365,'Infos Clientes'!$W$2:$CZ$2,"&lt;="&amp;$R628),""),"")</f>
        <v>185.25</v>
      </c>
      <c r="CB628" s="87">
        <f>VLOOKUP(C628,'Infos Clientes'!B:L,11,0)</f>
        <v>0</v>
      </c>
      <c r="CC628" s="88" t="str">
        <f t="shared" si="377"/>
        <v>A Unidade Consumidora 10/3125732-2 economizou R$18,84 na fatura referente à jun/2025  consumindo 79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8" s="40" t="s">
        <v>159</v>
      </c>
      <c r="CE628" s="43"/>
      <c r="CF628" s="115">
        <f t="shared" si="378"/>
        <v>-204.68</v>
      </c>
    </row>
    <row r="629" spans="1:84" ht="16.2" hidden="1" customHeight="1" x14ac:dyDescent="0.3">
      <c r="A629" s="105" t="str">
        <f>INDEX('Infos Clientes'!$D:$D,MATCH('Detalhe Por UC'!C629,'Infos Clientes'!B:B,0))</f>
        <v>IGREJA DO EVANGELHO QUADRANGULAR</v>
      </c>
      <c r="B629" s="106" t="str">
        <f>INDEX('Infos Clientes'!$F:$F,MATCH('Detalhe Por UC'!C629,'Infos Clientes'!B:B,0))</f>
        <v>62.955.505/1355-00</v>
      </c>
      <c r="C629" s="107" t="s">
        <v>245</v>
      </c>
      <c r="D629" t="s">
        <v>351</v>
      </c>
      <c r="E629" s="1" t="s">
        <v>352</v>
      </c>
      <c r="F629" s="56" t="str">
        <f>INDEX('Infos Clientes'!$I:$I,MATCH('Detalhe Por UC'!C629,'Infos Clientes'!B:B,0))</f>
        <v>BT</v>
      </c>
      <c r="G629" s="56">
        <f>INDEX('Infos Clientes'!$J:$J,MATCH('Detalhe Por UC'!C629,'Infos Clientes'!B:B,0))</f>
        <v>0</v>
      </c>
      <c r="H629" s="108" t="s">
        <v>138</v>
      </c>
      <c r="I629" s="58">
        <f>IFERROR(VLOOKUP(C629,'Infos Clientes'!B:E,4,),"")</f>
        <v>0</v>
      </c>
      <c r="J629" s="109">
        <v>0.23725425614394724</v>
      </c>
      <c r="K629" s="59">
        <f>INDEX('Infos Clientes'!$M:$M,MATCH('Detalhe Por UC'!C629,'Infos Clientes'!B:B,0))</f>
        <v>0.25</v>
      </c>
      <c r="L629" s="125">
        <v>0</v>
      </c>
      <c r="M629" s="56">
        <f>INDEX('Infos Clientes'!$N:$N,MATCH('Detalhe Por UC'!C629,'Infos Clientes'!B:B,0))</f>
        <v>0</v>
      </c>
      <c r="N629" s="56">
        <f t="shared" si="343"/>
        <v>0</v>
      </c>
      <c r="O629" s="56">
        <f t="shared" si="344"/>
        <v>0</v>
      </c>
      <c r="P629" s="56">
        <f t="shared" si="379"/>
        <v>0</v>
      </c>
      <c r="Q629" s="61">
        <f>IFERROR(IFERROR(INDEX('Infos Clientes'!$A$2:$V$9884,MATCH($C629,'Infos Clientes'!$B$2:$B$9884,0),MATCH(Q$8,'Infos Clientes'!$A$2:$V$2,0)),"")
+IF(OR(INDEX('Infos Clientes'!$A$2:$V$9884,MATCH($C629,'Infos Clientes'!$B$2:$B$9884,0),MATCH("Tempo de Fidelidade (meses)",'Infos Clientes'!$A$2:$V$2,0))=0,R629&gt;=MAX(R:R)),0,
ROUND((MAX(R:R)-R629)/(365/12),0)),"")</f>
        <v>0</v>
      </c>
      <c r="R629" s="111">
        <v>45809</v>
      </c>
      <c r="S629" s="63">
        <v>0</v>
      </c>
      <c r="T629" s="113" t="str">
        <f>IF($H629="GIROSSOL II",AP629/INDEX('Resumo Operacional'!$A$1:$P$1103,17,MATCH('Detalhe Por UC'!$R629,'Resumo Operacional'!$A$1:$P$1,0)),
IF($H629="GIROSSOL II e III",AP629/INDEX('Resumo Operacional'!$A$1:$P$1103,17,MATCH('Detalhe Por UC'!$R629,'Resumo Operacional'!$A$1:$P$1,0)),
""))</f>
        <v/>
      </c>
      <c r="U629" s="113">
        <f>IF($H629="GIROSSOL III",AP629/INDEX('Resumo Operacional'!$A$1:$P$1103,53,MATCH('Detalhe Por UC'!$R629,'Resumo Operacional'!$A$1:$P$1,0)),
IF($H629="GIROSSOL II e III",AP629/INDEX('Resumo Operacional'!$A$1:$P$1103,53,MATCH('Detalhe Por UC'!$R629,'Resumo Operacional'!$A$1:$P$1,0)),
""))</f>
        <v>0</v>
      </c>
      <c r="V629" s="45"/>
      <c r="X629" s="18"/>
      <c r="Y629" s="18"/>
      <c r="Z629" s="18"/>
      <c r="AA629" s="18"/>
      <c r="AB629" s="18"/>
      <c r="AC629" s="18"/>
      <c r="AD629" s="143"/>
      <c r="AE629" s="35"/>
      <c r="AF629" s="18"/>
      <c r="AG629" s="18"/>
      <c r="AH629" s="48"/>
      <c r="AI629" s="18"/>
      <c r="AJ629" s="18"/>
      <c r="AL629" s="146"/>
      <c r="AN629" s="71" t="str">
        <f t="shared" si="345"/>
        <v/>
      </c>
      <c r="AO629" s="71" t="str">
        <f t="shared" si="346"/>
        <v/>
      </c>
      <c r="AP629" s="71">
        <f t="shared" si="347"/>
        <v>0</v>
      </c>
      <c r="AQ629" s="72">
        <f>IF(OR($H629="GIROSSOL II",$H629="GIROSSOL II e III"),INDEX('Resumo Operacional'!$A$1:$P$1103,MATCH("Energia Injetada prevista total Fatura da Usina (TUSD)",'Resumo Operacional'!$B$1:$B$1103,0),MATCH('Detalhe Por UC'!$R629,'Resumo Operacional'!$A$1:$P$1,0))*$S629,INDEX('Resumo Operacional'!$A$1:$P$1103,53,MATCH('Detalhe Por UC'!$R629,'Resumo Operacional'!$A$1:$P$1,0))*$S629)</f>
        <v>0</v>
      </c>
      <c r="AR629" s="71" t="str">
        <f t="shared" si="348"/>
        <v/>
      </c>
      <c r="AS629" s="73">
        <f t="shared" si="349"/>
        <v>0</v>
      </c>
      <c r="AT629" s="74">
        <f t="shared" si="350"/>
        <v>0</v>
      </c>
      <c r="AU629" s="74" t="str">
        <f t="shared" si="351"/>
        <v/>
      </c>
      <c r="AV629" s="74">
        <f t="shared" si="352"/>
        <v>0</v>
      </c>
      <c r="AW629" s="74">
        <f t="shared" si="353"/>
        <v>0</v>
      </c>
      <c r="AX629" s="74">
        <f t="shared" si="354"/>
        <v>0</v>
      </c>
      <c r="AY629" s="74" t="str">
        <f t="shared" si="355"/>
        <v/>
      </c>
      <c r="AZ629" s="43" t="s">
        <v>354</v>
      </c>
      <c r="BA629" s="43"/>
      <c r="BC629" s="73" t="str">
        <f t="shared" si="356"/>
        <v/>
      </c>
      <c r="BD629" s="73">
        <f t="shared" si="357"/>
        <v>0</v>
      </c>
      <c r="BE629" s="73">
        <f t="shared" si="358"/>
        <v>0</v>
      </c>
      <c r="BF629" s="77">
        <f t="shared" si="359"/>
        <v>0</v>
      </c>
      <c r="BG629" s="77">
        <f t="shared" si="360"/>
        <v>0</v>
      </c>
      <c r="BH629" s="77">
        <f t="shared" si="361"/>
        <v>0</v>
      </c>
      <c r="BI629" s="78" t="str">
        <f t="shared" si="362"/>
        <v/>
      </c>
      <c r="BJ629" s="79" t="str">
        <f t="shared" si="363"/>
        <v/>
      </c>
      <c r="BK629" s="80" t="str">
        <f t="shared" si="364"/>
        <v/>
      </c>
      <c r="BL629" s="80" t="str">
        <f t="shared" si="365"/>
        <v/>
      </c>
      <c r="BM629" s="79" t="str">
        <f t="shared" si="366"/>
        <v/>
      </c>
      <c r="BN629" s="81" t="str">
        <f t="shared" si="367"/>
        <v/>
      </c>
      <c r="BO629" s="82" t="str">
        <f t="shared" si="368"/>
        <v/>
      </c>
      <c r="BP629" s="81" t="str">
        <f t="shared" si="369"/>
        <v/>
      </c>
      <c r="BQ629" s="81" t="str">
        <f t="shared" si="370"/>
        <v/>
      </c>
      <c r="BR629" s="81" t="str">
        <f t="shared" si="371"/>
        <v/>
      </c>
      <c r="BS629" s="82">
        <f t="shared" si="372"/>
        <v>0</v>
      </c>
      <c r="BT629" s="82" t="str">
        <f t="shared" si="373"/>
        <v/>
      </c>
      <c r="BU629" s="82">
        <f t="shared" si="374"/>
        <v>0</v>
      </c>
      <c r="BW629" s="82">
        <f>IFERROR(INDEX('Infos Clientes'!$T:$T,MATCH('Detalhe Por UC'!$C629,'Infos Clientes'!B:B,0)),"")</f>
        <v>0</v>
      </c>
      <c r="BX629" s="83">
        <f t="shared" si="375"/>
        <v>0</v>
      </c>
      <c r="BY629" s="84" t="str">
        <f t="shared" si="376"/>
        <v/>
      </c>
      <c r="BZ629" s="85" t="str">
        <f>IF(_xlfn.MINIFS('Detalhe Por UC'!R:R,'Detalhe Por UC'!C:C,C629,'Detalhe Por UC'!AD:AD,"&gt;"&amp;0)=0,"",_xlfn.MINIFS('Detalhe Por UC'!R:R,'Detalhe Por UC'!C:C,C629,'Detalhe Por UC'!AD:AD,"&gt;"&amp;0))</f>
        <v/>
      </c>
      <c r="CA629" s="114" t="str">
        <f ca="1">IF(OR(S629&gt;0,AD629&gt;0),IFERROR(
SUMIFS(INDIRECT("'Infos Clientes'!$W"&amp;INDEX('Infos Clientes'!$C:$C,MATCH(C629,'Infos Clientes'!$H:$H,0))&amp;":$CZ"&amp;INDEX('Infos Clientes'!$C:$C,MATCH(C629,'Infos Clientes'!$H:$H,0))),'Infos Clientes'!$W$2:$CZ$2,"&gt;"&amp;$R629-365,'Infos Clientes'!$W$2:$CZ$2,"&lt;="&amp;$R629)/
COUNTIFS(INDIRECT("'Infos Clientes'!$W"&amp;INDEX('Infos Clientes'!$C:$C,MATCH(C629,'Infos Clientes'!$H:$H,0))&amp;":$CZ"&amp;INDEX('Infos Clientes'!$C:$C,MATCH(C629,'Infos Clientes'!$H:$H,0))),"&gt;="&amp;0,'Infos Clientes'!$W$2:$CZ$2,"&gt;"&amp;$R629-365,'Infos Clientes'!$W$2:$CZ$2,"&lt;="&amp;$R629),""),"")</f>
        <v/>
      </c>
      <c r="CB629" s="87">
        <f>VLOOKUP(C629,'Infos Clientes'!B:L,11,0)</f>
        <v>0</v>
      </c>
      <c r="CC629" s="88" t="str">
        <f t="shared" si="377"/>
        <v>A Unidade Consumidora 10/2344751-9 economizou R$0 na fatura referente à jun/2025  consumindo 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29" s="40"/>
      <c r="CE629" s="43"/>
      <c r="CF629" s="115">
        <f t="shared" si="378"/>
        <v>0</v>
      </c>
    </row>
    <row r="630" spans="1:84" ht="16.2" hidden="1" customHeight="1" x14ac:dyDescent="0.3">
      <c r="A630" s="105" t="str">
        <f>INDEX('Infos Clientes'!$D:$D,MATCH('Detalhe Por UC'!C630,'Infos Clientes'!B:B,0))</f>
        <v>IGREJA DO EVANGELHO QUADRANGULAR</v>
      </c>
      <c r="B630" s="106" t="str">
        <f>INDEX('Infos Clientes'!$F:$F,MATCH('Detalhe Por UC'!C630,'Infos Clientes'!B:B,0))</f>
        <v>62.955.505/0160-80</v>
      </c>
      <c r="C630" s="107" t="s">
        <v>190</v>
      </c>
      <c r="D630" t="s">
        <v>351</v>
      </c>
      <c r="E630" s="1" t="s">
        <v>352</v>
      </c>
      <c r="F630" s="56" t="str">
        <f>INDEX('Infos Clientes'!$I:$I,MATCH('Detalhe Por UC'!C630,'Infos Clientes'!B:B,0))</f>
        <v>BT</v>
      </c>
      <c r="G630" s="56" t="str">
        <f>INDEX('Infos Clientes'!$J:$J,MATCH('Detalhe Por UC'!C630,'Infos Clientes'!B:B,0))</f>
        <v>bifasico</v>
      </c>
      <c r="H630" s="108" t="s">
        <v>138</v>
      </c>
      <c r="I630" s="58">
        <f>IFERROR(VLOOKUP(C630,'Infos Clientes'!B:E,4,),"")</f>
        <v>357</v>
      </c>
      <c r="J630" s="109">
        <v>0.23725425614394724</v>
      </c>
      <c r="K630" s="59">
        <f>INDEX('Infos Clientes'!$M:$M,MATCH('Detalhe Por UC'!C630,'Infos Clientes'!B:B,0))</f>
        <v>0.25</v>
      </c>
      <c r="L630" s="125">
        <v>0</v>
      </c>
      <c r="M630" s="56">
        <f>INDEX('Infos Clientes'!$N:$N,MATCH('Detalhe Por UC'!C630,'Infos Clientes'!B:B,0))</f>
        <v>0</v>
      </c>
      <c r="N630" s="56">
        <f t="shared" si="343"/>
        <v>0</v>
      </c>
      <c r="O630" s="56">
        <f t="shared" si="344"/>
        <v>3</v>
      </c>
      <c r="P630" s="56">
        <f t="shared" si="379"/>
        <v>0</v>
      </c>
      <c r="Q630" s="61">
        <f>IFERROR(IFERROR(INDEX('Infos Clientes'!$A$2:$V$9884,MATCH($C630,'Infos Clientes'!$B$2:$B$9884,0),MATCH(Q$8,'Infos Clientes'!$A$2:$V$2,0)),"")
+IF(OR(INDEX('Infos Clientes'!$A$2:$V$9884,MATCH($C630,'Infos Clientes'!$B$2:$B$9884,0),MATCH("Tempo de Fidelidade (meses)",'Infos Clientes'!$A$2:$V$2,0))=0,R630&gt;=MAX(R:R)),0,
ROUND((MAX(R:R)-R630)/(365/12),0)),"")</f>
        <v>0</v>
      </c>
      <c r="R630" s="111">
        <v>45809</v>
      </c>
      <c r="S630" s="63">
        <v>0.01</v>
      </c>
      <c r="T630" s="113" t="str">
        <f>IF($H630="GIROSSOL II",AP630/INDEX('Resumo Operacional'!$A$1:$P$1103,17,MATCH('Detalhe Por UC'!$R630,'Resumo Operacional'!$A$1:$P$1,0)),
IF($H630="GIROSSOL II e III",AP630/INDEX('Resumo Operacional'!$A$1:$P$1103,17,MATCH('Detalhe Por UC'!$R630,'Resumo Operacional'!$A$1:$P$1,0)),
""))</f>
        <v/>
      </c>
      <c r="U630" s="113">
        <f>IF($H630="GIROSSOL III",AP630/INDEX('Resumo Operacional'!$A$1:$P$1103,53,MATCH('Detalhe Por UC'!$R630,'Resumo Operacional'!$A$1:$P$1,0)),
IF($H630="GIROSSOL II e III",AP630/INDEX('Resumo Operacional'!$A$1:$P$1103,53,MATCH('Detalhe Por UC'!$R630,'Resumo Operacional'!$A$1:$P$1,0)),
""))</f>
        <v>0</v>
      </c>
      <c r="V630" s="45"/>
      <c r="X630" s="18"/>
      <c r="Y630" s="18"/>
      <c r="Z630" s="18"/>
      <c r="AA630" s="18"/>
      <c r="AB630" s="18"/>
      <c r="AC630" s="18"/>
      <c r="AD630" s="143"/>
      <c r="AE630" s="35"/>
      <c r="AF630" s="18"/>
      <c r="AG630" s="18"/>
      <c r="AH630" s="48"/>
      <c r="AI630" s="18"/>
      <c r="AJ630" s="18"/>
      <c r="AL630" s="146"/>
      <c r="AN630" s="71" t="str">
        <f t="shared" si="345"/>
        <v/>
      </c>
      <c r="AO630" s="71" t="str">
        <f t="shared" si="346"/>
        <v/>
      </c>
      <c r="AP630" s="71">
        <f t="shared" si="347"/>
        <v>0</v>
      </c>
      <c r="AQ630" s="72">
        <f>IF(OR($H630="GIROSSOL II",$H630="GIROSSOL II e III"),INDEX('Resumo Operacional'!$A$1:$P$1103,MATCH("Energia Injetada prevista total Fatura da Usina (TUSD)",'Resumo Operacional'!$B$1:$B$1103,0),MATCH('Detalhe Por UC'!$R630,'Resumo Operacional'!$A$1:$P$1,0))*$S630,INDEX('Resumo Operacional'!$A$1:$P$1103,53,MATCH('Detalhe Por UC'!$R630,'Resumo Operacional'!$A$1:$P$1,0))*$S630)</f>
        <v>172.39000000000001</v>
      </c>
      <c r="AR630" s="71" t="str">
        <f t="shared" si="348"/>
        <v/>
      </c>
      <c r="AS630" s="73">
        <f t="shared" si="349"/>
        <v>0</v>
      </c>
      <c r="AT630" s="74">
        <f t="shared" si="350"/>
        <v>0</v>
      </c>
      <c r="AU630" s="74" t="str">
        <f t="shared" si="351"/>
        <v/>
      </c>
      <c r="AV630" s="74">
        <f t="shared" si="352"/>
        <v>0</v>
      </c>
      <c r="AW630" s="74">
        <f t="shared" si="353"/>
        <v>0</v>
      </c>
      <c r="AX630" s="74">
        <f t="shared" si="354"/>
        <v>0</v>
      </c>
      <c r="AY630" s="74" t="str">
        <f t="shared" si="355"/>
        <v/>
      </c>
      <c r="AZ630" s="43" t="s">
        <v>354</v>
      </c>
      <c r="BA630" s="43"/>
      <c r="BC630" s="73" t="str">
        <f t="shared" si="356"/>
        <v/>
      </c>
      <c r="BD630" s="73">
        <f t="shared" si="357"/>
        <v>0</v>
      </c>
      <c r="BE630" s="73">
        <f t="shared" si="358"/>
        <v>0</v>
      </c>
      <c r="BF630" s="77">
        <f t="shared" si="359"/>
        <v>0</v>
      </c>
      <c r="BG630" s="77">
        <f t="shared" si="360"/>
        <v>0</v>
      </c>
      <c r="BH630" s="77">
        <f t="shared" si="361"/>
        <v>0</v>
      </c>
      <c r="BI630" s="78" t="str">
        <f t="shared" si="362"/>
        <v/>
      </c>
      <c r="BJ630" s="79" t="str">
        <f t="shared" si="363"/>
        <v/>
      </c>
      <c r="BK630" s="80" t="str">
        <f t="shared" si="364"/>
        <v/>
      </c>
      <c r="BL630" s="80" t="str">
        <f t="shared" si="365"/>
        <v/>
      </c>
      <c r="BM630" s="79" t="str">
        <f t="shared" si="366"/>
        <v/>
      </c>
      <c r="BN630" s="81" t="str">
        <f t="shared" si="367"/>
        <v/>
      </c>
      <c r="BO630" s="82" t="str">
        <f t="shared" si="368"/>
        <v/>
      </c>
      <c r="BP630" s="81" t="str">
        <f t="shared" si="369"/>
        <v/>
      </c>
      <c r="BQ630" s="81" t="str">
        <f t="shared" si="370"/>
        <v/>
      </c>
      <c r="BR630" s="81" t="str">
        <f t="shared" si="371"/>
        <v/>
      </c>
      <c r="BS630" s="82">
        <f t="shared" si="372"/>
        <v>0</v>
      </c>
      <c r="BT630" s="82" t="str">
        <f t="shared" si="373"/>
        <v/>
      </c>
      <c r="BU630" s="82">
        <f t="shared" si="374"/>
        <v>0</v>
      </c>
      <c r="BW630" s="82">
        <f>IFERROR(INDEX('Infos Clientes'!$T:$T,MATCH('Detalhe Por UC'!$C630,'Infos Clientes'!B:B,0)),"")</f>
        <v>167.54545454545453</v>
      </c>
      <c r="BX630" s="83">
        <f t="shared" si="375"/>
        <v>0</v>
      </c>
      <c r="BY630" s="84" t="str">
        <f t="shared" si="376"/>
        <v/>
      </c>
      <c r="BZ630" s="85">
        <f>IF(_xlfn.MINIFS('Detalhe Por UC'!R:R,'Detalhe Por UC'!C:C,C630,'Detalhe Por UC'!AD:AD,"&gt;"&amp;0)=0,"",_xlfn.MINIFS('Detalhe Por UC'!R:R,'Detalhe Por UC'!C:C,C630,'Detalhe Por UC'!AD:AD,"&gt;"&amp;0))</f>
        <v>45658</v>
      </c>
      <c r="CA630" s="114">
        <f ca="1">IF(OR(S630&gt;0,AD630&gt;0),IFERROR(
SUMIFS(INDIRECT("'Infos Clientes'!$W"&amp;INDEX('Infos Clientes'!$C:$C,MATCH(C630,'Infos Clientes'!$H:$H,0))&amp;":$CZ"&amp;INDEX('Infos Clientes'!$C:$C,MATCH(C630,'Infos Clientes'!$H:$H,0))),'Infos Clientes'!$W$2:$CZ$2,"&gt;"&amp;$R630-365,'Infos Clientes'!$W$2:$CZ$2,"&lt;="&amp;$R630)/
COUNTIFS(INDIRECT("'Infos Clientes'!$W"&amp;INDEX('Infos Clientes'!$C:$C,MATCH(C630,'Infos Clientes'!$H:$H,0))&amp;":$CZ"&amp;INDEX('Infos Clientes'!$C:$C,MATCH(C630,'Infos Clientes'!$H:$H,0))),"&gt;="&amp;0,'Infos Clientes'!$W$2:$CZ$2,"&gt;"&amp;$R630-365,'Infos Clientes'!$W$2:$CZ$2,"&lt;="&amp;$R630),""),"")</f>
        <v>388</v>
      </c>
      <c r="CB630" s="87">
        <f>VLOOKUP(C630,'Infos Clientes'!B:L,11,0)</f>
        <v>0</v>
      </c>
      <c r="CC630" s="88" t="str">
        <f t="shared" si="377"/>
        <v>A Unidade Consumidora 10/31292-6 economizou R$0 na fatura referente à jun/2025  consumindo 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30" s="40" t="s">
        <v>191</v>
      </c>
      <c r="CE630" s="43"/>
      <c r="CF630" s="115">
        <f t="shared" si="378"/>
        <v>0</v>
      </c>
    </row>
    <row r="631" spans="1:84" ht="16.2" hidden="1" customHeight="1" x14ac:dyDescent="0.3">
      <c r="A631" s="105" t="str">
        <f>INDEX('Infos Clientes'!$D:$D,MATCH('Detalhe Por UC'!C631,'Infos Clientes'!B:B,0))</f>
        <v>IGREJA DO EVANGELHO QUADRANGULAR</v>
      </c>
      <c r="B631" s="106" t="str">
        <f>INDEX('Infos Clientes'!$F:$F,MATCH('Detalhe Por UC'!C631,'Infos Clientes'!B:B,0))</f>
        <v>62.955.505/0155-12</v>
      </c>
      <c r="C631" s="44" t="s">
        <v>205</v>
      </c>
      <c r="D631" t="s">
        <v>351</v>
      </c>
      <c r="E631" s="1" t="s">
        <v>352</v>
      </c>
      <c r="F631" s="56" t="str">
        <f>INDEX('Infos Clientes'!$I:$I,MATCH('Detalhe Por UC'!C631,'Infos Clientes'!B:B,0))</f>
        <v>BT</v>
      </c>
      <c r="G631" s="56" t="str">
        <f>INDEX('Infos Clientes'!$J:$J,MATCH('Detalhe Por UC'!C631,'Infos Clientes'!B:B,0))</f>
        <v>bifasico</v>
      </c>
      <c r="H631" s="47" t="str">
        <f>HYPERLINK("https://geraebcsp.sharepoint.com/sites/gestao.gdc/Shared Documents/EGS/2- Faturas/"&amp; TEXT($R631,"AAA") &amp;"/"&amp; TEXT($R631,"MM") &amp;"."&amp; TEXT($R631,"AAA") &amp;"/"&amp;"_10-"&amp; RIGHT($C631,LEN($C631)-3) &amp;"_" &amp; TEXT($R631,"AAAA") &amp;"-"&amp; TEXT($R631,"MM") &amp;".pdf","GIROSSOL III")</f>
        <v>GIROSSOL III</v>
      </c>
      <c r="I631" s="58">
        <f>IFERROR(VLOOKUP(C631,'Infos Clientes'!B:E,4,),"")</f>
        <v>358</v>
      </c>
      <c r="J631" s="109">
        <v>0.23725425614394724</v>
      </c>
      <c r="K631" s="59">
        <f>INDEX('Infos Clientes'!$M:$M,MATCH('Detalhe Por UC'!C631,'Infos Clientes'!B:B,0))</f>
        <v>0.25</v>
      </c>
      <c r="L631" s="125">
        <v>0</v>
      </c>
      <c r="M631" s="56">
        <f>INDEX('Infos Clientes'!$N:$N,MATCH('Detalhe Por UC'!C631,'Infos Clientes'!B:B,0))</f>
        <v>0</v>
      </c>
      <c r="N631" s="56">
        <f t="shared" si="343"/>
        <v>0</v>
      </c>
      <c r="O631" s="56">
        <f t="shared" si="344"/>
        <v>10</v>
      </c>
      <c r="P631" s="56">
        <f t="shared" si="379"/>
        <v>0</v>
      </c>
      <c r="Q631" s="61">
        <f>IFERROR(IFERROR(INDEX('Infos Clientes'!$A$2:$V$9884,MATCH($C631,'Infos Clientes'!$B$2:$B$9884,0),MATCH(Q$8,'Infos Clientes'!$A$2:$V$2,0)),"")
+IF(OR(INDEX('Infos Clientes'!$A$2:$V$9884,MATCH($C631,'Infos Clientes'!$B$2:$B$9884,0),MATCH("Tempo de Fidelidade (meses)",'Infos Clientes'!$A$2:$V$2,0))=0,R631&gt;=MAX(R:R)),0,
ROUND((MAX(R:R)-R631)/(365/12),0)),"")</f>
        <v>0</v>
      </c>
      <c r="R631" s="111">
        <v>45809</v>
      </c>
      <c r="S631" s="63">
        <v>0.01</v>
      </c>
      <c r="T631" s="113" t="str">
        <f>IF($H631="GIROSSOL II",AP631/INDEX('Resumo Operacional'!$A$1:$P$1103,17,MATCH('Detalhe Por UC'!$R631,'Resumo Operacional'!$A$1:$P$1,0)),
IF($H631="GIROSSOL II e III",AP631/INDEX('Resumo Operacional'!$A$1:$P$1103,17,MATCH('Detalhe Por UC'!$R631,'Resumo Operacional'!$A$1:$P$1,0)),
""))</f>
        <v/>
      </c>
      <c r="U631" s="113">
        <f>IF($H631="GIROSSOL III",AP631/INDEX('Resumo Operacional'!$A$1:$P$1103,53,MATCH('Detalhe Por UC'!$R631,'Resumo Operacional'!$A$1:$P$1,0)),
IF($H631="GIROSSOL II e III",AP631/INDEX('Resumo Operacional'!$A$1:$P$1103,53,MATCH('Detalhe Por UC'!$R631,'Resumo Operacional'!$A$1:$P$1,0)),
""))</f>
        <v>4.5826324032716519E-3</v>
      </c>
      <c r="V631" s="45"/>
      <c r="X631" s="18">
        <v>1.1561802950737685</v>
      </c>
      <c r="Y631" s="18">
        <v>0</v>
      </c>
      <c r="Z631" s="18">
        <v>0.99927861712263522</v>
      </c>
      <c r="AA631" s="18"/>
      <c r="AB631" s="18">
        <v>172</v>
      </c>
      <c r="AC631" s="18"/>
      <c r="AD631" s="143">
        <v>79</v>
      </c>
      <c r="AE631" s="35"/>
      <c r="AF631" s="18">
        <v>0</v>
      </c>
      <c r="AG631" s="18">
        <v>0</v>
      </c>
      <c r="AH631" s="48">
        <v>53.93</v>
      </c>
      <c r="AI631" s="18">
        <v>0</v>
      </c>
      <c r="AJ631" s="18">
        <v>0</v>
      </c>
      <c r="AL631" s="146"/>
      <c r="AN631" s="71">
        <f t="shared" si="345"/>
        <v>0</v>
      </c>
      <c r="AO631" s="71">
        <f t="shared" si="346"/>
        <v>0</v>
      </c>
      <c r="AP631" s="71">
        <f t="shared" si="347"/>
        <v>79</v>
      </c>
      <c r="AQ631" s="72">
        <f>IF(OR($H631="GIROSSOL II",$H631="GIROSSOL II e III"),INDEX('Resumo Operacional'!$A$1:$P$1103,MATCH("Energia Injetada prevista total Fatura da Usina (TUSD)",'Resumo Operacional'!$B$1:$B$1103,0),MATCH('Detalhe Por UC'!$R631,'Resumo Operacional'!$A$1:$P$1,0))*$S631,INDEX('Resumo Operacional'!$A$1:$P$1103,53,MATCH('Detalhe Por UC'!$R631,'Resumo Operacional'!$A$1:$P$1,0))*$S631)</f>
        <v>172.39000000000001</v>
      </c>
      <c r="AR631" s="71">
        <f t="shared" si="348"/>
        <v>-93.390000000000015</v>
      </c>
      <c r="AS631" s="73">
        <f t="shared" si="349"/>
        <v>173.85</v>
      </c>
      <c r="AT631" s="74">
        <f t="shared" si="350"/>
        <v>173.85</v>
      </c>
      <c r="AU631" s="74">
        <f t="shared" si="351"/>
        <v>0.84237693917150192</v>
      </c>
      <c r="AV631" s="74">
        <f t="shared" si="352"/>
        <v>60.213445458795519</v>
      </c>
      <c r="AW631" s="74">
        <f t="shared" si="353"/>
        <v>0</v>
      </c>
      <c r="AX631" s="74">
        <f t="shared" si="354"/>
        <v>78.943010752688181</v>
      </c>
      <c r="AY631" s="74">
        <f t="shared" si="355"/>
        <v>60.21</v>
      </c>
      <c r="AZ631" s="43">
        <v>59.21</v>
      </c>
      <c r="BA631" s="43">
        <v>59.21</v>
      </c>
      <c r="BB631" s="43">
        <v>59.21</v>
      </c>
      <c r="BC631" s="73" t="str">
        <f t="shared" si="356"/>
        <v/>
      </c>
      <c r="BD631" s="73">
        <f t="shared" si="357"/>
        <v>252.79301075268819</v>
      </c>
      <c r="BE631" s="73">
        <f t="shared" si="358"/>
        <v>234.06344545879551</v>
      </c>
      <c r="BF631" s="77">
        <f t="shared" si="359"/>
        <v>18.73</v>
      </c>
      <c r="BG631" s="77">
        <f t="shared" si="360"/>
        <v>5.6189999999999998</v>
      </c>
      <c r="BH631" s="77">
        <f t="shared" si="361"/>
        <v>78.943010752688181</v>
      </c>
      <c r="BI631" s="78">
        <f t="shared" si="362"/>
        <v>0.24</v>
      </c>
      <c r="BJ631" s="79">
        <f t="shared" si="363"/>
        <v>7.409223832665171E-2</v>
      </c>
      <c r="BK631" s="80">
        <f t="shared" si="364"/>
        <v>234.06</v>
      </c>
      <c r="BL631" s="80">
        <f t="shared" si="365"/>
        <v>18.733010752688187</v>
      </c>
      <c r="BM631" s="79">
        <f t="shared" si="366"/>
        <v>7.4104148278905616E-2</v>
      </c>
      <c r="BN631" s="81">
        <f t="shared" si="367"/>
        <v>0.76215189873417721</v>
      </c>
      <c r="BO631" s="82">
        <f t="shared" si="368"/>
        <v>60.21</v>
      </c>
      <c r="BP631" s="81">
        <f t="shared" si="369"/>
        <v>0.76215189873417721</v>
      </c>
      <c r="BQ631" s="81">
        <f t="shared" si="370"/>
        <v>0.91905357668531051</v>
      </c>
      <c r="BR631" s="81">
        <f t="shared" si="371"/>
        <v>1.1561802950737685</v>
      </c>
      <c r="BS631" s="82">
        <f t="shared" si="372"/>
        <v>79</v>
      </c>
      <c r="BT631" s="82">
        <f t="shared" si="373"/>
        <v>91.338243310827707</v>
      </c>
      <c r="BU631" s="82">
        <f t="shared" si="374"/>
        <v>78.943010752688181</v>
      </c>
      <c r="BW631" s="82">
        <f>IFERROR(INDEX('Infos Clientes'!$T:$T,MATCH('Detalhe Por UC'!$C631,'Infos Clientes'!B:B,0)),"")</f>
        <v>178</v>
      </c>
      <c r="BX631" s="83">
        <f t="shared" si="375"/>
        <v>0</v>
      </c>
      <c r="BY631" s="84">
        <f t="shared" si="376"/>
        <v>0.20509493147288801</v>
      </c>
      <c r="BZ631" s="85">
        <f>IF(_xlfn.MINIFS('Detalhe Por UC'!R:R,'Detalhe Por UC'!C:C,C631,'Detalhe Por UC'!AD:AD,"&gt;"&amp;0)=0,"",_xlfn.MINIFS('Detalhe Por UC'!R:R,'Detalhe Por UC'!C:C,C631,'Detalhe Por UC'!AD:AD,"&gt;"&amp;0))</f>
        <v>45658</v>
      </c>
      <c r="CA631" s="114">
        <f ca="1">IF(OR(S631&gt;0,AD631&gt;0),IFERROR(
SUMIFS(INDIRECT("'Infos Clientes'!$W"&amp;INDEX('Infos Clientes'!$C:$C,MATCH(C631,'Infos Clientes'!$H:$H,0))&amp;":$CZ"&amp;INDEX('Infos Clientes'!$C:$C,MATCH(C631,'Infos Clientes'!$H:$H,0))),'Infos Clientes'!$W$2:$CZ$2,"&gt;"&amp;$R631-365,'Infos Clientes'!$W$2:$CZ$2,"&lt;="&amp;$R631)/
COUNTIFS(INDIRECT("'Infos Clientes'!$W"&amp;INDEX('Infos Clientes'!$C:$C,MATCH(C631,'Infos Clientes'!$H:$H,0))&amp;":$CZ"&amp;INDEX('Infos Clientes'!$C:$C,MATCH(C631,'Infos Clientes'!$H:$H,0))),"&gt;="&amp;0,'Infos Clientes'!$W$2:$CZ$2,"&gt;"&amp;$R631-365,'Infos Clientes'!$W$2:$CZ$2,"&lt;="&amp;$R631),""),"")</f>
        <v>168.66666666666666</v>
      </c>
      <c r="CB631" s="87">
        <f>VLOOKUP(C631,'Infos Clientes'!B:L,11,0)</f>
        <v>0</v>
      </c>
      <c r="CC631" s="88" t="str">
        <f t="shared" si="377"/>
        <v>A Unidade Consumidora 10/466560-0 economizou R$18,73 na fatura referente à jun/2025  consumindo 79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31" s="40"/>
      <c r="CE631" s="43"/>
      <c r="CF631" s="115">
        <f t="shared" si="378"/>
        <v>-173.85</v>
      </c>
    </row>
    <row r="632" spans="1:84" ht="16.2" hidden="1" customHeight="1" x14ac:dyDescent="0.3">
      <c r="A632" s="105" t="str">
        <f>INDEX('Infos Clientes'!$D:$D,MATCH('Detalhe Por UC'!C632,'Infos Clientes'!B:B,0))</f>
        <v>IGREJA DO EVANGELHO QUADRANGULAR</v>
      </c>
      <c r="B632" s="106" t="str">
        <f>INDEX('Infos Clientes'!$F:$F,MATCH('Detalhe Por UC'!C632,'Infos Clientes'!B:B,0))</f>
        <v>62.955.505/0001-67</v>
      </c>
      <c r="C632" s="44" t="s">
        <v>240</v>
      </c>
      <c r="D632" t="s">
        <v>351</v>
      </c>
      <c r="E632" s="1" t="s">
        <v>352</v>
      </c>
      <c r="F632" s="56" t="str">
        <f>INDEX('Infos Clientes'!$I:$I,MATCH('Detalhe Por UC'!C632,'Infos Clientes'!B:B,0))</f>
        <v>BT</v>
      </c>
      <c r="G632" s="56" t="str">
        <f>INDEX('Infos Clientes'!$J:$J,MATCH('Detalhe Por UC'!C632,'Infos Clientes'!B:B,0))</f>
        <v>trifasico</v>
      </c>
      <c r="H632" s="47" t="str">
        <f>HYPERLINK("https://geraebcsp.sharepoint.com/sites/gestao.gdc/Shared Documents/EGS/2- Faturas/"&amp; TEXT($R632,"AAA") &amp;"/"&amp; TEXT($R632,"MM") &amp;"."&amp; TEXT($R632,"AAA") &amp;"/"&amp;"_10-"&amp; RIGHT($C632,LEN($C632)-3) &amp;"_" &amp; TEXT($R632,"AAAA") &amp;"-"&amp; TEXT($R632,"MM") &amp;".pdf","GIROSSOL III")</f>
        <v>GIROSSOL III</v>
      </c>
      <c r="I632" s="58">
        <f>IFERROR(VLOOKUP(C632,'Infos Clientes'!B:E,4,),"")</f>
        <v>360</v>
      </c>
      <c r="J632" s="109">
        <v>0.23725425614394724</v>
      </c>
      <c r="K632" s="59">
        <f>INDEX('Infos Clientes'!$M:$M,MATCH('Detalhe Por UC'!C632,'Infos Clientes'!B:B,0))</f>
        <v>0.25</v>
      </c>
      <c r="L632" s="125">
        <v>0</v>
      </c>
      <c r="M632" s="56">
        <f>INDEX('Infos Clientes'!$N:$N,MATCH('Detalhe Por UC'!C632,'Infos Clientes'!B:B,0))</f>
        <v>0</v>
      </c>
      <c r="N632" s="56">
        <f t="shared" si="343"/>
        <v>0</v>
      </c>
      <c r="O632" s="56">
        <f t="shared" si="344"/>
        <v>10</v>
      </c>
      <c r="P632" s="56">
        <f t="shared" si="379"/>
        <v>0</v>
      </c>
      <c r="Q632" s="61">
        <f>IFERROR(IFERROR(INDEX('Infos Clientes'!$A$2:$V$9884,MATCH($C632,'Infos Clientes'!$B$2:$B$9884,0),MATCH(Q$8,'Infos Clientes'!$A$2:$V$2,0)),"")
+IF(OR(INDEX('Infos Clientes'!$A$2:$V$9884,MATCH($C632,'Infos Clientes'!$B$2:$B$9884,0),MATCH("Tempo de Fidelidade (meses)",'Infos Clientes'!$A$2:$V$2,0))=0,R632&gt;=MAX(R:R)),0,
ROUND((MAX(R:R)-R632)/(365/12),0)),"")</f>
        <v>0</v>
      </c>
      <c r="R632" s="111">
        <v>45809</v>
      </c>
      <c r="S632" s="63">
        <v>0.02</v>
      </c>
      <c r="T632" s="113" t="str">
        <f>IF($H632="GIROSSOL II",AP632/INDEX('Resumo Operacional'!$A$1:$P$1103,17,MATCH('Detalhe Por UC'!$R632,'Resumo Operacional'!$A$1:$P$1,0)),
IF($H632="GIROSSOL II e III",AP632/INDEX('Resumo Operacional'!$A$1:$P$1103,17,MATCH('Detalhe Por UC'!$R632,'Resumo Operacional'!$A$1:$P$1,0)),
""))</f>
        <v/>
      </c>
      <c r="U632" s="113">
        <f>IF($H632="GIROSSOL III",AP632/INDEX('Resumo Operacional'!$A$1:$P$1103,53,MATCH('Detalhe Por UC'!$R632,'Resumo Operacional'!$A$1:$P$1,0)),
IF($H632="GIROSSOL II e III",AP632/INDEX('Resumo Operacional'!$A$1:$P$1103,53,MATCH('Detalhe Por UC'!$R632,'Resumo Operacional'!$A$1:$P$1,0)),
""))</f>
        <v>0</v>
      </c>
      <c r="V632" s="45"/>
      <c r="X632" s="18">
        <v>1.1642939481268013</v>
      </c>
      <c r="Y632" s="18">
        <v>0</v>
      </c>
      <c r="Z632" s="18">
        <v>0</v>
      </c>
      <c r="AA632" s="18"/>
      <c r="AB632" s="18">
        <v>347</v>
      </c>
      <c r="AC632" s="18"/>
      <c r="AD632" s="143">
        <v>0</v>
      </c>
      <c r="AE632" s="35"/>
      <c r="AF632" s="18">
        <v>0</v>
      </c>
      <c r="AG632" s="18">
        <v>0</v>
      </c>
      <c r="AH632" s="48">
        <v>72.8</v>
      </c>
      <c r="AI632" s="18">
        <v>0</v>
      </c>
      <c r="AJ632" s="18">
        <v>0</v>
      </c>
      <c r="AL632" s="146"/>
      <c r="AN632" s="71">
        <f t="shared" si="345"/>
        <v>0</v>
      </c>
      <c r="AO632" s="71">
        <f t="shared" si="346"/>
        <v>0</v>
      </c>
      <c r="AP632" s="71">
        <f t="shared" si="347"/>
        <v>0</v>
      </c>
      <c r="AQ632" s="72">
        <f>IF(OR($H632="GIROSSOL II",$H632="GIROSSOL II e III"),INDEX('Resumo Operacional'!$A$1:$P$1103,MATCH("Energia Injetada prevista total Fatura da Usina (TUSD)",'Resumo Operacional'!$B$1:$B$1103,0),MATCH('Detalhe Por UC'!$R632,'Resumo Operacional'!$A$1:$P$1,0))*$S632,INDEX('Resumo Operacional'!$A$1:$P$1103,53,MATCH('Detalhe Por UC'!$R632,'Resumo Operacional'!$A$1:$P$1,0))*$S632)</f>
        <v>344.78000000000003</v>
      </c>
      <c r="AR632" s="71">
        <f t="shared" si="348"/>
        <v>-344.78000000000003</v>
      </c>
      <c r="AS632" s="73">
        <f t="shared" si="349"/>
        <v>476.81000000000006</v>
      </c>
      <c r="AT632" s="74">
        <f t="shared" si="350"/>
        <v>476.81000000000006</v>
      </c>
      <c r="AU632" s="74" t="str">
        <f t="shared" si="351"/>
        <v/>
      </c>
      <c r="AV632" s="74">
        <f t="shared" si="352"/>
        <v>0</v>
      </c>
      <c r="AW632" s="74">
        <f t="shared" si="353"/>
        <v>0</v>
      </c>
      <c r="AX632" s="74">
        <f t="shared" si="354"/>
        <v>0</v>
      </c>
      <c r="AY632" s="74" t="str">
        <f t="shared" si="355"/>
        <v/>
      </c>
      <c r="AZ632" s="43" t="s">
        <v>354</v>
      </c>
      <c r="BA632" s="43">
        <v>0</v>
      </c>
      <c r="BC632" s="73" t="str">
        <f t="shared" si="356"/>
        <v/>
      </c>
      <c r="BD632" s="73">
        <f t="shared" si="357"/>
        <v>476.81000000000006</v>
      </c>
      <c r="BE632" s="73">
        <f t="shared" si="358"/>
        <v>476.81000000000006</v>
      </c>
      <c r="BF632" s="77">
        <f t="shared" si="359"/>
        <v>0</v>
      </c>
      <c r="BG632" s="77">
        <f t="shared" si="360"/>
        <v>0</v>
      </c>
      <c r="BH632" s="77">
        <f t="shared" si="361"/>
        <v>0</v>
      </c>
      <c r="BI632" s="78" t="str">
        <f t="shared" si="362"/>
        <v/>
      </c>
      <c r="BJ632" s="79">
        <f t="shared" si="363"/>
        <v>0</v>
      </c>
      <c r="BK632" s="80" t="str">
        <f t="shared" si="364"/>
        <v/>
      </c>
      <c r="BL632" s="80" t="str">
        <f t="shared" si="365"/>
        <v/>
      </c>
      <c r="BM632" s="79" t="str">
        <f t="shared" si="366"/>
        <v/>
      </c>
      <c r="BN632" s="81" t="str">
        <f t="shared" si="367"/>
        <v/>
      </c>
      <c r="BO632" s="82" t="str">
        <f t="shared" si="368"/>
        <v/>
      </c>
      <c r="BP632" s="81" t="str">
        <f t="shared" si="369"/>
        <v/>
      </c>
      <c r="BQ632" s="81" t="str">
        <f t="shared" si="370"/>
        <v/>
      </c>
      <c r="BR632" s="81" t="str">
        <f t="shared" si="371"/>
        <v/>
      </c>
      <c r="BS632" s="82">
        <f t="shared" si="372"/>
        <v>0</v>
      </c>
      <c r="BT632" s="82" t="str">
        <f t="shared" si="373"/>
        <v/>
      </c>
      <c r="BU632" s="82">
        <f t="shared" si="374"/>
        <v>0</v>
      </c>
      <c r="BW632" s="82">
        <f>IFERROR(INDEX('Infos Clientes'!$T:$T,MATCH('Detalhe Por UC'!$C632,'Infos Clientes'!B:B,0)),"")</f>
        <v>413.36363636363637</v>
      </c>
      <c r="BX632" s="83">
        <f t="shared" si="375"/>
        <v>0</v>
      </c>
      <c r="BY632" s="84" t="str">
        <f t="shared" si="376"/>
        <v/>
      </c>
      <c r="BZ632" s="85">
        <f>IF(_xlfn.MINIFS('Detalhe Por UC'!R:R,'Detalhe Por UC'!C:C,C632,'Detalhe Por UC'!AD:AD,"&gt;"&amp;0)=0,"",_xlfn.MINIFS('Detalhe Por UC'!R:R,'Detalhe Por UC'!C:C,C632,'Detalhe Por UC'!AD:AD,"&gt;"&amp;0))</f>
        <v>45658</v>
      </c>
      <c r="CA632" s="114">
        <f ca="1">IF(OR(S632&gt;0,AD632&gt;0),IFERROR(
SUMIFS(INDIRECT("'Infos Clientes'!$W"&amp;INDEX('Infos Clientes'!$C:$C,MATCH(C632,'Infos Clientes'!$H:$H,0))&amp;":$CZ"&amp;INDEX('Infos Clientes'!$C:$C,MATCH(C632,'Infos Clientes'!$H:$H,0))),'Infos Clientes'!$W$2:$CZ$2,"&gt;"&amp;$R632-365,'Infos Clientes'!$W$2:$CZ$2,"&lt;="&amp;$R632)/
COUNTIFS(INDIRECT("'Infos Clientes'!$W"&amp;INDEX('Infos Clientes'!$C:$C,MATCH(C632,'Infos Clientes'!$H:$H,0))&amp;":$CZ"&amp;INDEX('Infos Clientes'!$C:$C,MATCH(C632,'Infos Clientes'!$H:$H,0))),"&gt;="&amp;0,'Infos Clientes'!$W$2:$CZ$2,"&gt;"&amp;$R632-365,'Infos Clientes'!$W$2:$CZ$2,"&lt;="&amp;$R632),""),"")</f>
        <v>398.33333333333331</v>
      </c>
      <c r="CB632" s="87">
        <f>VLOOKUP(C632,'Infos Clientes'!B:L,11,0)</f>
        <v>0</v>
      </c>
      <c r="CC632" s="88" t="str">
        <f t="shared" si="377"/>
        <v>A Unidade Consumidora 10/260761-2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32" s="40" t="s">
        <v>241</v>
      </c>
      <c r="CE632" s="43"/>
      <c r="CF632" s="115">
        <f t="shared" si="378"/>
        <v>-476.81000000000006</v>
      </c>
    </row>
    <row r="633" spans="1:84" ht="16.2" hidden="1" customHeight="1" x14ac:dyDescent="0.3">
      <c r="A633" s="105" t="str">
        <f>INDEX('Infos Clientes'!$D:$D,MATCH('Detalhe Por UC'!C633,'Infos Clientes'!B:B,0))</f>
        <v>IGREJA DO EVANGELHO QUADRANGULAR</v>
      </c>
      <c r="B633" s="106" t="str">
        <f>INDEX('Infos Clientes'!$F:$F,MATCH('Detalhe Por UC'!C633,'Infos Clientes'!B:B,0))</f>
        <v>62.955.505/3586-30</v>
      </c>
      <c r="C633" s="44" t="s">
        <v>242</v>
      </c>
      <c r="D633" t="s">
        <v>351</v>
      </c>
      <c r="E633" s="1" t="s">
        <v>352</v>
      </c>
      <c r="F633" s="56" t="str">
        <f>INDEX('Infos Clientes'!$I:$I,MATCH('Detalhe Por UC'!C633,'Infos Clientes'!B:B,0))</f>
        <v>BT</v>
      </c>
      <c r="G633" s="56" t="str">
        <f>INDEX('Infos Clientes'!$J:$J,MATCH('Detalhe Por UC'!C633,'Infos Clientes'!B:B,0))</f>
        <v>trifasico</v>
      </c>
      <c r="H633" s="47" t="str">
        <f>HYPERLINK("https://geraebcsp.sharepoint.com/sites/gestao.gdc/Shared Documents/EGS/2- Faturas/"&amp; TEXT($R633,"AAA") &amp;"/"&amp; TEXT($R633,"MM") &amp;"."&amp; TEXT($R633,"AAA") &amp;"/"&amp;"_10-"&amp; RIGHT($C633,LEN($C633)-3) &amp;"_" &amp; TEXT($R633,"AAAA") &amp;"-"&amp; TEXT($R633,"MM") &amp;".pdf","GIROSSOL III")</f>
        <v>GIROSSOL III</v>
      </c>
      <c r="I633" s="58">
        <f>IFERROR(VLOOKUP(C633,'Infos Clientes'!B:E,4,),"")</f>
        <v>371</v>
      </c>
      <c r="J633" s="109">
        <v>0.23725425614394724</v>
      </c>
      <c r="K633" s="59">
        <f>INDEX('Infos Clientes'!$M:$M,MATCH('Detalhe Por UC'!C633,'Infos Clientes'!B:B,0))</f>
        <v>0.25</v>
      </c>
      <c r="L633" s="125">
        <v>0</v>
      </c>
      <c r="M633" s="56">
        <f>INDEX('Infos Clientes'!$N:$N,MATCH('Detalhe Por UC'!C633,'Infos Clientes'!B:B,0))</f>
        <v>0</v>
      </c>
      <c r="N633" s="56">
        <f t="shared" si="343"/>
        <v>0</v>
      </c>
      <c r="O633" s="56">
        <f t="shared" si="344"/>
        <v>7</v>
      </c>
      <c r="P633" s="56">
        <f t="shared" si="379"/>
        <v>0</v>
      </c>
      <c r="Q633" s="61">
        <f>IFERROR(IFERROR(INDEX('Infos Clientes'!$A$2:$V$9884,MATCH($C633,'Infos Clientes'!$B$2:$B$9884,0),MATCH(Q$8,'Infos Clientes'!$A$2:$V$2,0)),"")
+IF(OR(INDEX('Infos Clientes'!$A$2:$V$9884,MATCH($C633,'Infos Clientes'!$B$2:$B$9884,0),MATCH("Tempo de Fidelidade (meses)",'Infos Clientes'!$A$2:$V$2,0))=0,R633&gt;=MAX(R:R)),0,
ROUND((MAX(R:R)-R633)/(365/12),0)),"")</f>
        <v>0</v>
      </c>
      <c r="R633" s="111">
        <v>45809</v>
      </c>
      <c r="S633" s="63">
        <v>0.01</v>
      </c>
      <c r="T633" s="113" t="str">
        <f>IF($H633="GIROSSOL II",AP633/INDEX('Resumo Operacional'!$A$1:$P$1103,17,MATCH('Detalhe Por UC'!$R633,'Resumo Operacional'!$A$1:$P$1,0)),
IF($H633="GIROSSOL II e III",AP633/INDEX('Resumo Operacional'!$A$1:$P$1103,17,MATCH('Detalhe Por UC'!$R633,'Resumo Operacional'!$A$1:$P$1,0)),
""))</f>
        <v/>
      </c>
      <c r="U633" s="113">
        <f>IF($H633="GIROSSOL III",AP633/INDEX('Resumo Operacional'!$A$1:$P$1103,53,MATCH('Detalhe Por UC'!$R633,'Resumo Operacional'!$A$1:$P$1,0)),
IF($H633="GIROSSOL II e III",AP633/INDEX('Resumo Operacional'!$A$1:$P$1103,53,MATCH('Detalhe Por UC'!$R633,'Resumo Operacional'!$A$1:$P$1,0)),
""))</f>
        <v>0</v>
      </c>
      <c r="V633" s="45"/>
      <c r="W633" s="18"/>
      <c r="X633" s="21">
        <v>1.1679999999999999</v>
      </c>
      <c r="Y633" s="18">
        <v>0</v>
      </c>
      <c r="Z633" s="18">
        <v>0</v>
      </c>
      <c r="AA633" s="18"/>
      <c r="AB633" s="18">
        <v>0</v>
      </c>
      <c r="AC633" s="18"/>
      <c r="AD633" s="143">
        <v>0</v>
      </c>
      <c r="AE633" s="35"/>
      <c r="AF633" s="18">
        <v>257</v>
      </c>
      <c r="AG633" s="18">
        <v>0</v>
      </c>
      <c r="AH633" s="48">
        <v>23.41</v>
      </c>
      <c r="AI633" s="18">
        <v>0</v>
      </c>
      <c r="AJ633" s="18">
        <v>0</v>
      </c>
      <c r="AL633" s="146"/>
      <c r="AN633" s="71">
        <f t="shared" si="345"/>
        <v>0</v>
      </c>
      <c r="AO633" s="71">
        <f t="shared" si="346"/>
        <v>0</v>
      </c>
      <c r="AP633" s="71">
        <f t="shared" si="347"/>
        <v>0</v>
      </c>
      <c r="AQ633" s="72">
        <f>IF(OR($H633="GIROSSOL II",$H633="GIROSSOL II e III"),INDEX('Resumo Operacional'!$A$1:$P$1103,MATCH("Energia Injetada prevista total Fatura da Usina (TUSD)",'Resumo Operacional'!$B$1:$B$1103,0),MATCH('Detalhe Por UC'!$R633,'Resumo Operacional'!$A$1:$P$1,0))*$S633,INDEX('Resumo Operacional'!$A$1:$P$1103,53,MATCH('Detalhe Por UC'!$R633,'Resumo Operacional'!$A$1:$P$1,0))*$S633)</f>
        <v>172.39000000000001</v>
      </c>
      <c r="AR633" s="71">
        <f t="shared" si="348"/>
        <v>-172.39000000000001</v>
      </c>
      <c r="AS633" s="73">
        <f t="shared" si="349"/>
        <v>140.21</v>
      </c>
      <c r="AT633" s="74">
        <f t="shared" si="350"/>
        <v>140.21</v>
      </c>
      <c r="AU633" s="74" t="str">
        <f t="shared" si="351"/>
        <v/>
      </c>
      <c r="AV633" s="74">
        <f t="shared" si="352"/>
        <v>0</v>
      </c>
      <c r="AW633" s="74">
        <f t="shared" si="353"/>
        <v>0</v>
      </c>
      <c r="AX633" s="74">
        <f t="shared" si="354"/>
        <v>0</v>
      </c>
      <c r="AY633" s="74" t="str">
        <f t="shared" si="355"/>
        <v/>
      </c>
      <c r="AZ633" s="43" t="s">
        <v>354</v>
      </c>
      <c r="BA633" s="43">
        <v>0</v>
      </c>
      <c r="BC633" s="73" t="str">
        <f t="shared" si="356"/>
        <v/>
      </c>
      <c r="BD633" s="73">
        <f t="shared" si="357"/>
        <v>140.21</v>
      </c>
      <c r="BE633" s="73">
        <f t="shared" si="358"/>
        <v>140.21</v>
      </c>
      <c r="BF633" s="77">
        <f t="shared" si="359"/>
        <v>0</v>
      </c>
      <c r="BG633" s="77">
        <f t="shared" si="360"/>
        <v>0</v>
      </c>
      <c r="BH633" s="77">
        <f t="shared" si="361"/>
        <v>0</v>
      </c>
      <c r="BI633" s="78" t="str">
        <f t="shared" si="362"/>
        <v/>
      </c>
      <c r="BJ633" s="79">
        <f t="shared" si="363"/>
        <v>0</v>
      </c>
      <c r="BK633" s="80" t="str">
        <f t="shared" si="364"/>
        <v/>
      </c>
      <c r="BL633" s="80" t="str">
        <f t="shared" si="365"/>
        <v/>
      </c>
      <c r="BM633" s="79" t="str">
        <f t="shared" si="366"/>
        <v/>
      </c>
      <c r="BN633" s="81" t="str">
        <f t="shared" si="367"/>
        <v/>
      </c>
      <c r="BO633" s="82" t="str">
        <f t="shared" si="368"/>
        <v/>
      </c>
      <c r="BP633" s="81" t="str">
        <f t="shared" si="369"/>
        <v/>
      </c>
      <c r="BQ633" s="81" t="str">
        <f t="shared" si="370"/>
        <v/>
      </c>
      <c r="BR633" s="81" t="str">
        <f t="shared" si="371"/>
        <v/>
      </c>
      <c r="BS633" s="82">
        <f t="shared" si="372"/>
        <v>0</v>
      </c>
      <c r="BT633" s="82" t="str">
        <f t="shared" si="373"/>
        <v/>
      </c>
      <c r="BU633" s="82">
        <f t="shared" si="374"/>
        <v>0</v>
      </c>
      <c r="BW633" s="82">
        <f>IFERROR(INDEX('Infos Clientes'!$T:$T,MATCH('Detalhe Por UC'!$C633,'Infos Clientes'!B:B,0)),"")</f>
        <v>175.90909090909091</v>
      </c>
      <c r="BX633" s="83">
        <f t="shared" si="375"/>
        <v>0</v>
      </c>
      <c r="BY633" s="84" t="str">
        <f t="shared" si="376"/>
        <v/>
      </c>
      <c r="BZ633" s="85">
        <f>IF(_xlfn.MINIFS('Detalhe Por UC'!R:R,'Detalhe Por UC'!C:C,C633,'Detalhe Por UC'!AD:AD,"&gt;"&amp;0)=0,"",_xlfn.MINIFS('Detalhe Por UC'!R:R,'Detalhe Por UC'!C:C,C633,'Detalhe Por UC'!AD:AD,"&gt;"&amp;0))</f>
        <v>45658</v>
      </c>
      <c r="CA633" s="114">
        <f ca="1">IF(OR(S633&gt;0,AD633&gt;0),IFERROR(
SUMIFS(INDIRECT("'Infos Clientes'!$W"&amp;INDEX('Infos Clientes'!$C:$C,MATCH(C633,'Infos Clientes'!$H:$H,0))&amp;":$CZ"&amp;INDEX('Infos Clientes'!$C:$C,MATCH(C633,'Infos Clientes'!$H:$H,0))),'Infos Clientes'!$W$2:$CZ$2,"&gt;"&amp;$R633-365,'Infos Clientes'!$W$2:$CZ$2,"&lt;="&amp;$R633)/
COUNTIFS(INDIRECT("'Infos Clientes'!$W"&amp;INDEX('Infos Clientes'!$C:$C,MATCH(C633,'Infos Clientes'!$H:$H,0))&amp;":$CZ"&amp;INDEX('Infos Clientes'!$C:$C,MATCH(C633,'Infos Clientes'!$H:$H,0))),"&gt;="&amp;0,'Infos Clientes'!$W$2:$CZ$2,"&gt;"&amp;$R633-365,'Infos Clientes'!$W$2:$CZ$2,"&lt;="&amp;$R633),""),"")</f>
        <v>160.63636363636363</v>
      </c>
      <c r="CB633" s="87">
        <f>VLOOKUP(C633,'Infos Clientes'!B:L,11,0)</f>
        <v>0</v>
      </c>
      <c r="CC633" s="88" t="str">
        <f t="shared" si="377"/>
        <v>A Unidade Consumidora 10/908866-7 economizou R$0 na fatura referente à jun/2025  consumindo 0 kWh em créditos de energia renovável conforme fatura de energia. A economia foi de 23,7254256143947% em relação ao que seria pago para a Energisa considerando os créditos consumidos. Atenção: Mantenha as contas da Energisa em dia para evitar cortes.</v>
      </c>
      <c r="CD633" s="40" t="s">
        <v>244</v>
      </c>
      <c r="CE633" s="43"/>
      <c r="CF633" s="115">
        <f t="shared" si="378"/>
        <v>-140.21</v>
      </c>
    </row>
    <row r="634" spans="1:84" ht="16.2" hidden="1" customHeight="1" x14ac:dyDescent="0.3">
      <c r="A634" s="105" t="str">
        <f>INDEX('Infos Clientes'!$D:$D,MATCH('Detalhe Por UC'!C634,'Infos Clientes'!B:B,0))</f>
        <v>IGREJA DO EVANGELHO QUADRANGULAR</v>
      </c>
      <c r="B634" s="106" t="str">
        <f>INDEX('Infos Clientes'!$F:$F,MATCH('Detalhe Por UC'!C634,'Infos Clientes'!B:B,0))</f>
        <v>62.955.505/3932-07</v>
      </c>
      <c r="C634" s="31" t="s">
        <v>119</v>
      </c>
      <c r="D634" t="s">
        <v>351</v>
      </c>
      <c r="E634" s="1" t="s">
        <v>352</v>
      </c>
      <c r="F634" s="56" t="str">
        <f>INDEX('Infos Clientes'!$I:$I,MATCH('Detalhe Por UC'!C634,'Infos Clientes'!B:B,0))</f>
        <v>BT</v>
      </c>
      <c r="G634" s="56" t="str">
        <f>INDEX('Infos Clientes'!$J:$J,MATCH('Detalhe Por UC'!C634,'Infos Clientes'!B:B,0))</f>
        <v>trifasico</v>
      </c>
      <c r="H634" s="108" t="s">
        <v>24</v>
      </c>
      <c r="I634" s="58">
        <f>IFERROR(VLOOKUP(C634,'Infos Clientes'!B:E,4,),"")</f>
        <v>302</v>
      </c>
      <c r="J634" s="109">
        <v>0.22939999999999999</v>
      </c>
      <c r="K634" s="79">
        <f>INDEX('Resumo Operacional'!$A$1:$P$151,MATCH("Desconto percentual Ucs",'Resumo Operacional'!$B$1:$B$151,0),MATCH('Detalhe Por UC'!$R634,'Resumo Operacional'!$A$1:$P$1,0))</f>
        <v>0.25212408425707711</v>
      </c>
      <c r="L634" s="125">
        <v>0</v>
      </c>
      <c r="M634" s="56">
        <f>INDEX('Infos Clientes'!$N:$N,MATCH('Detalhe Por UC'!C634,'Infos Clientes'!B:B,0))</f>
        <v>0</v>
      </c>
      <c r="N634" s="56">
        <f t="shared" si="343"/>
        <v>0</v>
      </c>
      <c r="O634" s="56">
        <f t="shared" si="344"/>
        <v>12</v>
      </c>
      <c r="P634" s="56">
        <f t="shared" si="379"/>
        <v>0</v>
      </c>
      <c r="Q634" s="61">
        <f>IFERROR(IFERROR(INDEX('Infos Clientes'!$A$2:$V$9884,MATCH($C634,'Infos Clientes'!$B$2:$B$9884,0),MATCH(Q$8,'Infos Clientes'!$A$2:$V$2,0)),"")
+IF(OR(INDEX('Infos Clientes'!$A$2:$V$9884,MATCH($C634,'Infos Clientes'!$B$2:$B$9884,0),MATCH("Tempo de Fidelidade (meses)",'Infos Clientes'!$A$2:$V$2,0))=0,R634&gt;=MAX(R:R)),0,
ROUND((MAX(R:R)-R634)/(365/12),0)),"")</f>
        <v>0</v>
      </c>
      <c r="R634" s="111">
        <v>45839</v>
      </c>
      <c r="S634" s="63">
        <v>0.1399</v>
      </c>
      <c r="T634" s="113">
        <f>IF($H634="GIROSSOL II",AP634/INDEX('Resumo Operacional'!$A$1:$P$1103,17,MATCH('Detalhe Por UC'!$R634,'Resumo Operacional'!$A$1:$P$1,0)),
IF($H634="GIROSSOL II e III",AP634/INDEX('Resumo Operacional'!$A$1:$P$1103,17,MATCH('Detalhe Por UC'!$R634,'Resumo Operacional'!$A$1:$P$1,0)),
""))</f>
        <v>0.23951515151515151</v>
      </c>
      <c r="U634" s="113" t="str">
        <f>IF($H634="GIROSSOL III",AP634/INDEX('Resumo Operacional'!$A$1:$P$1103,53,MATCH('Detalhe Por UC'!$R634,'Resumo Operacional'!$A$1:$P$1,0)),
IF($H634="GIROSSOL II e III",AP634/INDEX('Resumo Operacional'!$A$1:$P$1103,53,MATCH('Detalhe Por UC'!$R634,'Resumo Operacional'!$A$1:$P$1,0)),
""))</f>
        <v/>
      </c>
      <c r="V634" s="45"/>
      <c r="X634">
        <v>1.1630889641313522</v>
      </c>
      <c r="Y634">
        <v>0</v>
      </c>
      <c r="Z634">
        <v>1.1631008635185012</v>
      </c>
      <c r="AA634">
        <v>0</v>
      </c>
      <c r="AB634">
        <v>559.96</v>
      </c>
      <c r="AC634">
        <v>0</v>
      </c>
      <c r="AD634" s="143">
        <v>459</v>
      </c>
      <c r="AE634" s="35"/>
      <c r="AF634">
        <v>1517</v>
      </c>
      <c r="AG634">
        <v>0</v>
      </c>
      <c r="AH634" s="48">
        <v>107.93</v>
      </c>
      <c r="AI634">
        <v>0</v>
      </c>
      <c r="AJ634">
        <v>0</v>
      </c>
      <c r="AN634" s="71">
        <f t="shared" si="345"/>
        <v>1517</v>
      </c>
      <c r="AO634" s="71">
        <f t="shared" si="346"/>
        <v>0</v>
      </c>
      <c r="AP634" s="71">
        <f t="shared" si="347"/>
        <v>1976</v>
      </c>
      <c r="AQ634" s="72">
        <f>IF(OR($H634="GIROSSOL II",$H634="GIROSSOL II e III"),INDEX('Resumo Operacional'!$A$1:$P$1103,MATCH("Energia Injetada prevista total Fatura da Usina (TUSD)",'Resumo Operacional'!$B$1:$B$1103,0),MATCH('Detalhe Por UC'!$R634,'Resumo Operacional'!$A$1:$P$1,0))*$S634,INDEX('Resumo Operacional'!$A$1:$P$1103,53,MATCH('Detalhe Por UC'!$R634,'Resumo Operacional'!$A$1:$P$1,0))*$S634)</f>
        <v>1154.175</v>
      </c>
      <c r="AR634" s="71">
        <f t="shared" si="348"/>
        <v>821.82500000000005</v>
      </c>
      <c r="AS634" s="73">
        <f t="shared" si="349"/>
        <v>225.34999999999997</v>
      </c>
      <c r="AT634" s="74">
        <f t="shared" si="350"/>
        <v>225.34999999999997</v>
      </c>
      <c r="AU634" s="74">
        <f t="shared" si="351"/>
        <v>1.1631127629056501</v>
      </c>
      <c r="AV634" s="74">
        <f t="shared" si="352"/>
        <v>411.39505617115685</v>
      </c>
      <c r="AW634" s="74">
        <f t="shared" si="353"/>
        <v>11.490000000000009</v>
      </c>
      <c r="AX634" s="74">
        <f t="shared" si="354"/>
        <v>545.35329635499204</v>
      </c>
      <c r="AY634" s="74">
        <f t="shared" si="355"/>
        <v>422.89</v>
      </c>
      <c r="AZ634" s="43">
        <v>422.89</v>
      </c>
      <c r="BA634" s="43">
        <v>422.89</v>
      </c>
      <c r="BB634" s="49">
        <v>422.89</v>
      </c>
      <c r="BC634" s="73" t="str">
        <f t="shared" si="356"/>
        <v/>
      </c>
      <c r="BD634" s="73">
        <f t="shared" si="357"/>
        <v>759.21329635499205</v>
      </c>
      <c r="BE634" s="73">
        <f t="shared" si="358"/>
        <v>636.74505617115688</v>
      </c>
      <c r="BF634" s="77">
        <f t="shared" si="359"/>
        <v>122.47</v>
      </c>
      <c r="BG634" s="77">
        <f t="shared" si="360"/>
        <v>36.741</v>
      </c>
      <c r="BH634" s="77">
        <f t="shared" si="361"/>
        <v>533.86329635499203</v>
      </c>
      <c r="BI634" s="78">
        <f t="shared" si="362"/>
        <v>0.22</v>
      </c>
      <c r="BJ634" s="79">
        <f t="shared" si="363"/>
        <v>0.16131171646753617</v>
      </c>
      <c r="BK634" s="80">
        <f t="shared" si="364"/>
        <v>648.24</v>
      </c>
      <c r="BL634" s="80">
        <f t="shared" si="365"/>
        <v>110.97329635499204</v>
      </c>
      <c r="BM634" s="79">
        <f t="shared" si="366"/>
        <v>0.14616879984554865</v>
      </c>
      <c r="BN634" s="81">
        <f t="shared" si="367"/>
        <v>0.9213289760348583</v>
      </c>
      <c r="BO634" s="82">
        <f t="shared" si="368"/>
        <v>422.89</v>
      </c>
      <c r="BP634" s="81">
        <f t="shared" si="369"/>
        <v>0.9213289760348583</v>
      </c>
      <c r="BQ634" s="81">
        <f t="shared" si="370"/>
        <v>0.92131707664770934</v>
      </c>
      <c r="BR634" s="81">
        <f t="shared" si="371"/>
        <v>1.1630889641313522</v>
      </c>
      <c r="BS634" s="82">
        <f t="shared" si="372"/>
        <v>459</v>
      </c>
      <c r="BT634" s="82">
        <f t="shared" si="373"/>
        <v>533.85783453629062</v>
      </c>
      <c r="BU634" s="82">
        <f t="shared" si="374"/>
        <v>533.86329635499203</v>
      </c>
      <c r="BW634" s="82">
        <f>IFERROR(INDEX('Infos Clientes'!$T:$T,MATCH('Detalhe Por UC'!$C634,'Infos Clientes'!B:B,0)),"")</f>
        <v>1810.6008333333332</v>
      </c>
      <c r="BX634" s="83">
        <f t="shared" si="375"/>
        <v>0</v>
      </c>
      <c r="BY634" s="84">
        <f t="shared" si="376"/>
        <v>0.20787050254939796</v>
      </c>
      <c r="BZ634" s="85">
        <f>IF(_xlfn.MINIFS('Detalhe Por UC'!R:R,'Detalhe Por UC'!C:C,C634,'Detalhe Por UC'!AD:AD,"&gt;"&amp;0)=0,"",_xlfn.MINIFS('Detalhe Por UC'!R:R,'Detalhe Por UC'!C:C,C634,'Detalhe Por UC'!AD:AD,"&gt;"&amp;0))</f>
        <v>45627</v>
      </c>
      <c r="CA634" s="114">
        <f ca="1">IF(OR(S634&gt;0,AD634&gt;0),IFERROR(
SUMIFS(INDIRECT("'Infos Clientes'!$W"&amp;INDEX('Infos Clientes'!$C:$C,MATCH(C634,'Infos Clientes'!$H:$H,0))&amp;":$CZ"&amp;INDEX('Infos Clientes'!$C:$C,MATCH(C634,'Infos Clientes'!$H:$H,0))),'Infos Clientes'!$W$2:$CZ$2,"&gt;"&amp;$R634-365,'Infos Clientes'!$W$2:$CZ$2,"&lt;="&amp;$R634)/
COUNTIFS(INDIRECT("'Infos Clientes'!$W"&amp;INDEX('Infos Clientes'!$C:$C,MATCH(C634,'Infos Clientes'!$H:$H,0))&amp;":$CZ"&amp;INDEX('Infos Clientes'!$C:$C,MATCH(C634,'Infos Clientes'!$H:$H,0))),"&gt;="&amp;0,'Infos Clientes'!$W$2:$CZ$2,"&gt;"&amp;$R634-365,'Infos Clientes'!$W$2:$CZ$2,"&lt;="&amp;$R634),""),"")</f>
        <v>1771.7333333333333</v>
      </c>
      <c r="CB634" s="87">
        <f>VLOOKUP(C634,'Infos Clientes'!B:L,11,0)</f>
        <v>0</v>
      </c>
      <c r="CC634" s="88" t="str">
        <f t="shared" si="377"/>
        <v>A Unidade Consumidora 10/5202-7 economizou R$122,47 na fatura referente à jul/2025  consumindo 459 kWh em créditos de energia renovável conforme fatura de energia. A economia foi de 22,94% em relação ao que seria pago para a Energisa considerando os créditos consumidos. Atenção: Mantenha as contas da Energisa em dia para evitar cortes.</v>
      </c>
      <c r="CD634" s="40" t="s">
        <v>107</v>
      </c>
      <c r="CE634" s="43">
        <v>225.35</v>
      </c>
      <c r="CF634" s="115">
        <f t="shared" si="378"/>
        <v>0</v>
      </c>
    </row>
    <row r="635" spans="1:84" ht="16.2" hidden="1" customHeight="1" x14ac:dyDescent="0.3">
      <c r="A635" s="105" t="str">
        <f>INDEX('Infos Clientes'!$D:$D,MATCH('Detalhe Por UC'!C635,'Infos Clientes'!B:B,0))</f>
        <v>IGREJA DO EVANGELHO QUADRANGULAR</v>
      </c>
      <c r="B635" s="106" t="str">
        <f>INDEX('Infos Clientes'!$F:$F,MATCH('Detalhe Por UC'!C635,'Infos Clientes'!B:B,0))</f>
        <v>62.955.505/0151-99</v>
      </c>
      <c r="C635" s="31" t="s">
        <v>102</v>
      </c>
      <c r="D635" t="s">
        <v>351</v>
      </c>
      <c r="E635" s="1" t="s">
        <v>352</v>
      </c>
      <c r="F635" s="56" t="str">
        <f>INDEX('Infos Clientes'!$I:$I,MATCH('Detalhe Por UC'!C635,'Infos Clientes'!B:B,0))</f>
        <v>BT</v>
      </c>
      <c r="G635" s="56" t="str">
        <f>INDEX('Infos Clientes'!$J:$J,MATCH('Detalhe Por UC'!C635,'Infos Clientes'!B:B,0))</f>
        <v>trifasico</v>
      </c>
      <c r="H635" s="108" t="s">
        <v>24</v>
      </c>
      <c r="I635" s="58">
        <f>IFERROR(VLOOKUP(C635,'Infos Clientes'!B:E,4,),"")</f>
        <v>306</v>
      </c>
      <c r="J635" s="109">
        <v>0.22939999999999999</v>
      </c>
      <c r="K635" s="79">
        <f>INDEX('Resumo Operacional'!$A$1:$P$151,MATCH("Desconto percentual Ucs",'Resumo Operacional'!$B$1:$B$151,0),MATCH('Detalhe Por UC'!$R635,'Resumo Operacional'!$A$1:$P$1,0))</f>
        <v>0.25212408425707711</v>
      </c>
      <c r="L635" s="125">
        <v>0</v>
      </c>
      <c r="M635" s="56">
        <f>INDEX('Infos Clientes'!$N:$N,MATCH('Detalhe Por UC'!C635,'Infos Clientes'!B:B,0))</f>
        <v>0</v>
      </c>
      <c r="N635" s="56">
        <f t="shared" si="343"/>
        <v>0</v>
      </c>
      <c r="O635" s="56">
        <f t="shared" si="344"/>
        <v>12</v>
      </c>
      <c r="P635" s="56">
        <f t="shared" si="379"/>
        <v>0</v>
      </c>
      <c r="Q635" s="61">
        <f>IFERROR(IFERROR(INDEX('Infos Clientes'!$A$2:$V$9884,MATCH($C635,'Infos Clientes'!$B$2:$B$9884,0),MATCH(Q$8,'Infos Clientes'!$A$2:$V$2,0)),"")
+IF(OR(INDEX('Infos Clientes'!$A$2:$V$9884,MATCH($C635,'Infos Clientes'!$B$2:$B$9884,0),MATCH("Tempo de Fidelidade (meses)",'Infos Clientes'!$A$2:$V$2,0))=0,R635&gt;=MAX(R:R)),0,
ROUND((MAX(R:R)-R635)/(365/12),0)),"")</f>
        <v>0</v>
      </c>
      <c r="R635" s="111">
        <v>45839</v>
      </c>
      <c r="S635" s="63">
        <v>8.6599999999999996E-2</v>
      </c>
      <c r="T635" s="113">
        <f>IF($H635="GIROSSOL II",AP635/INDEX('Resumo Operacional'!$A$1:$P$1103,17,MATCH('Detalhe Por UC'!$R635,'Resumo Operacional'!$A$1:$P$1,0)),
IF($H635="GIROSSOL II e III",AP635/INDEX('Resumo Operacional'!$A$1:$P$1103,17,MATCH('Detalhe Por UC'!$R635,'Resumo Operacional'!$A$1:$P$1,0)),
""))</f>
        <v>0.18290909090909091</v>
      </c>
      <c r="U635" s="113" t="str">
        <f>IF($H635="GIROSSOL III",AP635/INDEX('Resumo Operacional'!$A$1:$P$1103,53,MATCH('Detalhe Por UC'!$R635,'Resumo Operacional'!$A$1:$P$1,0)),
IF($H635="GIROSSOL II e III",AP635/INDEX('Resumo Operacional'!$A$1:$P$1103,53,MATCH('Detalhe Por UC'!$R635,'Resumo Operacional'!$A$1:$P$1,0)),
""))</f>
        <v/>
      </c>
      <c r="V635" s="45"/>
      <c r="X635">
        <v>1.1631480300187618</v>
      </c>
      <c r="Y635">
        <v>0</v>
      </c>
      <c r="Z635" s="18">
        <v>1.1631460038986354</v>
      </c>
      <c r="AA635">
        <v>0</v>
      </c>
      <c r="AB635" s="18">
        <v>2665</v>
      </c>
      <c r="AC635">
        <v>0</v>
      </c>
      <c r="AD635" s="143">
        <v>2565</v>
      </c>
      <c r="AE635" s="35"/>
      <c r="AF635" s="18">
        <v>3882</v>
      </c>
      <c r="AG635">
        <v>0</v>
      </c>
      <c r="AH635" s="48">
        <v>0</v>
      </c>
      <c r="AI635">
        <v>0</v>
      </c>
      <c r="AJ635">
        <v>0</v>
      </c>
      <c r="AN635" s="71">
        <f t="shared" si="345"/>
        <v>-1056</v>
      </c>
      <c r="AO635" s="71">
        <f t="shared" si="346"/>
        <v>0</v>
      </c>
      <c r="AP635" s="71">
        <f t="shared" si="347"/>
        <v>1509</v>
      </c>
      <c r="AQ635" s="72">
        <f>IF(OR($H635="GIROSSOL II",$H635="GIROSSOL II e III"),INDEX('Resumo Operacional'!$A$1:$P$1103,MATCH("Energia Injetada prevista total Fatura da Usina (TUSD)",'Resumo Operacional'!$B$1:$B$1103,0),MATCH('Detalhe Por UC'!$R635,'Resumo Operacional'!$A$1:$P$1,0))*$S635,INDEX('Resumo Operacional'!$A$1:$P$1103,53,MATCH('Detalhe Por UC'!$R635,'Resumo Operacional'!$A$1:$P$1,0))*$S635)</f>
        <v>714.44999999999993</v>
      </c>
      <c r="AR635" s="71">
        <f t="shared" si="348"/>
        <v>794.55000000000007</v>
      </c>
      <c r="AS635" s="73">
        <f t="shared" si="349"/>
        <v>116.32000000000062</v>
      </c>
      <c r="AT635" s="74">
        <f t="shared" si="350"/>
        <v>116.32000000000062</v>
      </c>
      <c r="AU635" s="74">
        <f t="shared" si="351"/>
        <v>1.1631439777785091</v>
      </c>
      <c r="AV635" s="74">
        <f t="shared" si="352"/>
        <v>2299.0615966999999</v>
      </c>
      <c r="AW635" s="74">
        <f t="shared" si="353"/>
        <v>37.860000000000127</v>
      </c>
      <c r="AX635" s="74">
        <f t="shared" si="354"/>
        <v>3021.3294999999998</v>
      </c>
      <c r="AY635" s="74">
        <f t="shared" si="355"/>
        <v>2336.92</v>
      </c>
      <c r="AZ635" s="43">
        <v>2336.92</v>
      </c>
      <c r="BA635" s="43">
        <v>2336.92</v>
      </c>
      <c r="BB635" s="49">
        <v>2336.92</v>
      </c>
      <c r="BC635" s="73" t="str">
        <f t="shared" si="356"/>
        <v/>
      </c>
      <c r="BD635" s="73">
        <f t="shared" si="357"/>
        <v>3099.7895000000003</v>
      </c>
      <c r="BE635" s="73">
        <f t="shared" si="358"/>
        <v>2415.3815967000005</v>
      </c>
      <c r="BF635" s="77">
        <f t="shared" si="359"/>
        <v>684.41</v>
      </c>
      <c r="BG635" s="77">
        <f t="shared" si="360"/>
        <v>205.32299999999998</v>
      </c>
      <c r="BH635" s="77">
        <f t="shared" si="361"/>
        <v>2983.4694999999997</v>
      </c>
      <c r="BI635" s="78">
        <f t="shared" si="362"/>
        <v>0.23</v>
      </c>
      <c r="BJ635" s="79">
        <f t="shared" si="363"/>
        <v>0.22079241187183837</v>
      </c>
      <c r="BK635" s="80">
        <f t="shared" si="364"/>
        <v>2453.2400000000007</v>
      </c>
      <c r="BL635" s="80">
        <f t="shared" si="365"/>
        <v>646.54949999999963</v>
      </c>
      <c r="BM635" s="79">
        <f t="shared" si="366"/>
        <v>0.20857851799291519</v>
      </c>
      <c r="BN635" s="81">
        <f t="shared" si="367"/>
        <v>0.91107992202729049</v>
      </c>
      <c r="BO635" s="82">
        <f t="shared" si="368"/>
        <v>2336.92</v>
      </c>
      <c r="BP635" s="81">
        <f t="shared" si="369"/>
        <v>0.91107992202729049</v>
      </c>
      <c r="BQ635" s="81">
        <f t="shared" si="370"/>
        <v>0.91108194814741683</v>
      </c>
      <c r="BR635" s="81">
        <f t="shared" si="371"/>
        <v>1.1631480300187618</v>
      </c>
      <c r="BS635" s="82">
        <f t="shared" si="372"/>
        <v>2565</v>
      </c>
      <c r="BT635" s="82">
        <f t="shared" si="373"/>
        <v>2983.4746969981238</v>
      </c>
      <c r="BU635" s="82">
        <f t="shared" si="374"/>
        <v>2983.4694999999997</v>
      </c>
      <c r="BW635" s="82">
        <f>IFERROR(INDEX('Infos Clientes'!$T:$T,MATCH('Detalhe Por UC'!$C635,'Infos Clientes'!B:B,0)),"")</f>
        <v>2675.750833333333</v>
      </c>
      <c r="BX635" s="83">
        <f t="shared" si="375"/>
        <v>0</v>
      </c>
      <c r="BY635" s="84">
        <f t="shared" si="376"/>
        <v>0.21671023409400356</v>
      </c>
      <c r="BZ635" s="85">
        <f>IF(_xlfn.MINIFS('Detalhe Por UC'!R:R,'Detalhe Por UC'!C:C,C635,'Detalhe Por UC'!AD:AD,"&gt;"&amp;0)=0,"",_xlfn.MINIFS('Detalhe Por UC'!R:R,'Detalhe Por UC'!C:C,C635,'Detalhe Por UC'!AD:AD,"&gt;"&amp;0))</f>
        <v>45627</v>
      </c>
      <c r="CA635" s="114">
        <f ca="1">IF(OR(S635&gt;0,AD635&gt;0),IFERROR(
SUMIFS(INDIRECT("'Infos Clientes'!$W"&amp;INDEX('Infos Clientes'!$C:$C,MATCH(C635,'Infos Clientes'!$H:$H,0))&amp;":$CZ"&amp;INDEX('Infos Clientes'!$C:$C,MATCH(C635,'Infos Clientes'!$H:$H,0))),'Infos Clientes'!$W$2:$CZ$2,"&gt;"&amp;$R635-365,'Infos Clientes'!$W$2:$CZ$2,"&lt;="&amp;$R635)/
COUNTIFS(INDIRECT("'Infos Clientes'!$W"&amp;INDEX('Infos Clientes'!$C:$C,MATCH(C635,'Infos Clientes'!$H:$H,0))&amp;":$CZ"&amp;INDEX('Infos Clientes'!$C:$C,MATCH(C635,'Infos Clientes'!$H:$H,0))),"&gt;="&amp;0,'Infos Clientes'!$W$2:$CZ$2,"&gt;"&amp;$R635-365,'Infos Clientes'!$W$2:$CZ$2,"&lt;="&amp;$R635),""),"")</f>
        <v>2665.1533333333332</v>
      </c>
      <c r="CB635" s="87">
        <f>VLOOKUP(C635,'Infos Clientes'!B:L,11,0)</f>
        <v>0</v>
      </c>
      <c r="CC635" s="88" t="str">
        <f t="shared" si="377"/>
        <v>A Unidade Consumidora 10/364440-8 economizou R$684,41 na fatura referente à jul/2025  consumindo 2565 kWh em créditos de energia renovável conforme fatura de energia. A economia foi de 22,94% em relação ao que seria pago para a Energisa considerando os créditos consumidos. Atenção: Mantenha as contas da Energisa em dia para evitar cortes.</v>
      </c>
      <c r="CD635" s="40" t="s">
        <v>86</v>
      </c>
      <c r="CE635" s="43">
        <v>116.32</v>
      </c>
      <c r="CF635" s="115">
        <f t="shared" si="378"/>
        <v>-6.2527760746888816E-13</v>
      </c>
    </row>
    <row r="636" spans="1:84" ht="16.2" hidden="1" customHeight="1" x14ac:dyDescent="0.3">
      <c r="A636" s="105" t="str">
        <f>INDEX('Infos Clientes'!$D:$D,MATCH('Detalhe Por UC'!C636,'Infos Clientes'!B:B,0))</f>
        <v>IGREJA DO EVANGELHO QUADRANGULAR</v>
      </c>
      <c r="B636" s="106" t="str">
        <f>INDEX('Infos Clientes'!$F:$F,MATCH('Detalhe Por UC'!C636,'Infos Clientes'!B:B,0))</f>
        <v>62.955.505/0172-13</v>
      </c>
      <c r="C636" s="148" t="s">
        <v>87</v>
      </c>
      <c r="D636" t="s">
        <v>351</v>
      </c>
      <c r="E636" s="1" t="s">
        <v>352</v>
      </c>
      <c r="F636" s="56" t="str">
        <f>INDEX('Infos Clientes'!$I:$I,MATCH('Detalhe Por UC'!C636,'Infos Clientes'!B:B,0))</f>
        <v>BT</v>
      </c>
      <c r="G636" s="56" t="str">
        <f>INDEX('Infos Clientes'!$J:$J,MATCH('Detalhe Por UC'!C636,'Infos Clientes'!B:B,0))</f>
        <v>trifasico</v>
      </c>
      <c r="H636" s="47" t="str">
        <f>HYPERLINK("https://geraebcsp.sharepoint.com/sites/gestao.gdc/Shared Documents/EGS/2- Faturas/"&amp; TEXT($R636,"AAA") &amp;"/"&amp; TEXT($R636,"MM") &amp;"."&amp; TEXT($R636,"AAA") &amp;"/"&amp;"_10-"&amp; RIGHT($C636,LEN($C636)-3) &amp;"_" &amp; TEXT($R636,"AAAA") &amp;"-"&amp; TEXT($R636,"MM") &amp;".pdf","GIROSSOL II")</f>
        <v>GIROSSOL II</v>
      </c>
      <c r="I636" s="58">
        <f>IFERROR(VLOOKUP(C636,'Infos Clientes'!B:E,4,),"")</f>
        <v>371</v>
      </c>
      <c r="J636" s="109">
        <v>0.22939999999999999</v>
      </c>
      <c r="K636" s="79">
        <f>INDEX('Resumo Operacional'!$A$1:$P$151,MATCH("Desconto percentual Ucs",'Resumo Operacional'!$B$1:$B$151,0),MATCH('Detalhe Por UC'!$R636,'Resumo Operacional'!$A$1:$P$1,0))</f>
        <v>0.25212408425707711</v>
      </c>
      <c r="L636" s="125">
        <v>0</v>
      </c>
      <c r="M636" s="56">
        <f>INDEX('Infos Clientes'!$N:$N,MATCH('Detalhe Por UC'!C636,'Infos Clientes'!B:B,0))</f>
        <v>0</v>
      </c>
      <c r="N636" s="56">
        <f t="shared" si="343"/>
        <v>0</v>
      </c>
      <c r="O636" s="56">
        <f t="shared" si="344"/>
        <v>12</v>
      </c>
      <c r="P636" s="56">
        <f t="shared" si="379"/>
        <v>0</v>
      </c>
      <c r="Q636" s="61">
        <f>IFERROR(IFERROR(INDEX('Infos Clientes'!$A$2:$V$9884,MATCH($C636,'Infos Clientes'!$B$2:$B$9884,0),MATCH(Q$8,'Infos Clientes'!$A$2:$V$2,0)),"")
+IF(OR(INDEX('Infos Clientes'!$A$2:$V$9884,MATCH($C636,'Infos Clientes'!$B$2:$B$9884,0),MATCH("Tempo de Fidelidade (meses)",'Infos Clientes'!$A$2:$V$2,0))=0,R636&gt;=MAX(R:R)),0,
ROUND((MAX(R:R)-R636)/(365/12),0)),"")</f>
        <v>0</v>
      </c>
      <c r="R636" s="111">
        <v>45839</v>
      </c>
      <c r="S636" s="63">
        <v>8.0600000000000005E-2</v>
      </c>
      <c r="T636" s="113">
        <f>IF($H636="GIROSSOL II",AP636/INDEX('Resumo Operacional'!$A$1:$P$1103,17,MATCH('Detalhe Por UC'!$R636,'Resumo Operacional'!$A$1:$P$1,0)),
IF($H636="GIROSSOL II e III",AP636/INDEX('Resumo Operacional'!$A$1:$P$1103,17,MATCH('Detalhe Por UC'!$R636,'Resumo Operacional'!$A$1:$P$1,0)),
""))</f>
        <v>0</v>
      </c>
      <c r="U636" s="113" t="str">
        <f>IF($H636="GIROSSOL III",AP636/INDEX('Resumo Operacional'!$A$1:$P$1103,53,MATCH('Detalhe Por UC'!$R636,'Resumo Operacional'!$A$1:$P$1,0)),
IF($H636="GIROSSOL II e III",AP636/INDEX('Resumo Operacional'!$A$1:$P$1103,53,MATCH('Detalhe Por UC'!$R636,'Resumo Operacional'!$A$1:$P$1,0)),
""))</f>
        <v/>
      </c>
      <c r="V636" s="45"/>
      <c r="X636">
        <v>1.1631363636363636</v>
      </c>
      <c r="Y636">
        <v>0</v>
      </c>
      <c r="Z636" s="18">
        <v>1.1631444444444445</v>
      </c>
      <c r="AA636">
        <v>0</v>
      </c>
      <c r="AB636" s="18">
        <v>550</v>
      </c>
      <c r="AC636">
        <v>0</v>
      </c>
      <c r="AD636" s="143">
        <v>450</v>
      </c>
      <c r="AE636" s="35"/>
      <c r="AF636" s="18">
        <v>538</v>
      </c>
      <c r="AG636">
        <v>0</v>
      </c>
      <c r="AH636" s="48">
        <v>61.67</v>
      </c>
      <c r="AI636">
        <v>0</v>
      </c>
      <c r="AJ636">
        <v>0</v>
      </c>
      <c r="AN636" s="71">
        <f t="shared" si="345"/>
        <v>-450</v>
      </c>
      <c r="AO636" s="71">
        <f t="shared" si="346"/>
        <v>0</v>
      </c>
      <c r="AP636" s="71">
        <f t="shared" si="347"/>
        <v>0</v>
      </c>
      <c r="AQ636" s="72">
        <f>IF(OR($H636="GIROSSOL II",$H636="GIROSSOL II e III"),INDEX('Resumo Operacional'!$A$1:$P$1103,MATCH("Energia Injetada prevista total Fatura da Usina (TUSD)",'Resumo Operacional'!$B$1:$B$1103,0),MATCH('Detalhe Por UC'!$R636,'Resumo Operacional'!$A$1:$P$1,0))*$S636,INDEX('Resumo Operacional'!$A$1:$P$1103,53,MATCH('Detalhe Por UC'!$R636,'Resumo Operacional'!$A$1:$P$1,0))*$S636)</f>
        <v>664.95</v>
      </c>
      <c r="AR636" s="71">
        <f t="shared" si="348"/>
        <v>-664.95</v>
      </c>
      <c r="AS636" s="73">
        <f t="shared" si="349"/>
        <v>177.97999999999996</v>
      </c>
      <c r="AT636" s="74">
        <f t="shared" si="350"/>
        <v>177.97999999999996</v>
      </c>
      <c r="AU636" s="74">
        <f t="shared" si="351"/>
        <v>1.1631525252525254</v>
      </c>
      <c r="AV636" s="74">
        <f t="shared" si="352"/>
        <v>403.34359899999998</v>
      </c>
      <c r="AW636" s="74">
        <f t="shared" si="353"/>
        <v>6.2700000000000387</v>
      </c>
      <c r="AX636" s="74">
        <f t="shared" si="354"/>
        <v>529.68500000000017</v>
      </c>
      <c r="AY636" s="74">
        <f t="shared" si="355"/>
        <v>409.61</v>
      </c>
      <c r="AZ636" s="43">
        <v>409.61</v>
      </c>
      <c r="BA636" s="43">
        <v>409.61</v>
      </c>
      <c r="BB636" s="49">
        <v>409.61</v>
      </c>
      <c r="BC636" s="73" t="str">
        <f t="shared" si="356"/>
        <v/>
      </c>
      <c r="BD636" s="73">
        <f t="shared" si="357"/>
        <v>701.39499999999998</v>
      </c>
      <c r="BE636" s="73">
        <f t="shared" si="358"/>
        <v>581.32359899999994</v>
      </c>
      <c r="BF636" s="77">
        <f t="shared" si="359"/>
        <v>120.07</v>
      </c>
      <c r="BG636" s="77">
        <f t="shared" si="360"/>
        <v>36.020999999999994</v>
      </c>
      <c r="BH636" s="77">
        <f t="shared" si="361"/>
        <v>523.41499999999996</v>
      </c>
      <c r="BI636" s="78">
        <f t="shared" si="362"/>
        <v>0.23</v>
      </c>
      <c r="BJ636" s="79">
        <f t="shared" si="363"/>
        <v>0.17118741935713827</v>
      </c>
      <c r="BK636" s="80">
        <f t="shared" si="364"/>
        <v>587.58999999999992</v>
      </c>
      <c r="BL636" s="80">
        <f t="shared" si="365"/>
        <v>113.80500000000006</v>
      </c>
      <c r="BM636" s="79">
        <f t="shared" si="366"/>
        <v>0.1622552199545193</v>
      </c>
      <c r="BN636" s="81">
        <f t="shared" si="367"/>
        <v>0.91024444444444452</v>
      </c>
      <c r="BO636" s="82">
        <f t="shared" si="368"/>
        <v>409.61</v>
      </c>
      <c r="BP636" s="81">
        <f t="shared" si="369"/>
        <v>0.91024444444444452</v>
      </c>
      <c r="BQ636" s="81">
        <f t="shared" si="370"/>
        <v>0.91023636363636362</v>
      </c>
      <c r="BR636" s="81">
        <f t="shared" si="371"/>
        <v>1.1631363636363636</v>
      </c>
      <c r="BS636" s="82">
        <f t="shared" si="372"/>
        <v>450</v>
      </c>
      <c r="BT636" s="82">
        <f t="shared" si="373"/>
        <v>523.4113636363636</v>
      </c>
      <c r="BU636" s="82">
        <f t="shared" si="374"/>
        <v>523.41500000000008</v>
      </c>
      <c r="BW636" s="82">
        <f>IFERROR(INDEX('Infos Clientes'!$T:$T,MATCH('Detalhe Por UC'!$C636,'Infos Clientes'!B:B,0)),"")</f>
        <v>1056.1666666666667</v>
      </c>
      <c r="BX636" s="83">
        <f t="shared" si="375"/>
        <v>0</v>
      </c>
      <c r="BY636" s="84">
        <f t="shared" si="376"/>
        <v>0.21742936417992106</v>
      </c>
      <c r="BZ636" s="85">
        <f>IF(_xlfn.MINIFS('Detalhe Por UC'!R:R,'Detalhe Por UC'!C:C,C636,'Detalhe Por UC'!AD:AD,"&gt;"&amp;0)=0,"",_xlfn.MINIFS('Detalhe Por UC'!R:R,'Detalhe Por UC'!C:C,C636,'Detalhe Por UC'!AD:AD,"&gt;"&amp;0))</f>
        <v>45627</v>
      </c>
      <c r="CA636" s="114">
        <f ca="1">IF(OR(S636&gt;0,AD636&gt;0),IFERROR(
SUMIFS(INDIRECT("'Infos Clientes'!$W"&amp;INDEX('Infos Clientes'!$C:$C,MATCH(C636,'Infos Clientes'!$H:$H,0))&amp;":$CZ"&amp;INDEX('Infos Clientes'!$C:$C,MATCH(C636,'Infos Clientes'!$H:$H,0))),'Infos Clientes'!$W$2:$CZ$2,"&gt;"&amp;$R636-365,'Infos Clientes'!$W$2:$CZ$2,"&lt;="&amp;$R636)/
COUNTIFS(INDIRECT("'Infos Clientes'!$W"&amp;INDEX('Infos Clientes'!$C:$C,MATCH(C636,'Infos Clientes'!$H:$H,0))&amp;":$CZ"&amp;INDEX('Infos Clientes'!$C:$C,MATCH(C636,'Infos Clientes'!$H:$H,0))),"&gt;="&amp;0,'Infos Clientes'!$W$2:$CZ$2,"&gt;"&amp;$R636-365,'Infos Clientes'!$W$2:$CZ$2,"&lt;="&amp;$R636),""),"")</f>
        <v>1018.9166666666666</v>
      </c>
      <c r="CB636" s="87">
        <f>VLOOKUP(C636,'Infos Clientes'!B:L,11,0)</f>
        <v>0</v>
      </c>
      <c r="CC636" s="88" t="str">
        <f t="shared" si="377"/>
        <v>A Unidade Consumidora 10/2605731-5 economizou R$120,07 na fatura referente à jul/2025  consumindo 450 kWh em créditos de energia renovável conforme fatura de energia. A economia foi de 22,94% em relação ao que seria pago para a Energisa considerando os créditos consumidos. Atenção: Mantenha as contas da Energisa em dia para evitar cortes.</v>
      </c>
      <c r="CD636" s="40" t="s">
        <v>56</v>
      </c>
      <c r="CE636" s="43">
        <v>177.98</v>
      </c>
      <c r="CF636" s="115">
        <f t="shared" si="378"/>
        <v>0</v>
      </c>
    </row>
    <row r="637" spans="1:84" ht="16.2" hidden="1" customHeight="1" x14ac:dyDescent="0.3">
      <c r="A637" s="105" t="str">
        <f>INDEX('Infos Clientes'!$D:$D,MATCH('Detalhe Por UC'!C637,'Infos Clientes'!B:B,0))</f>
        <v>IGREJA DO EVANGELHO QUADRANGULAR</v>
      </c>
      <c r="B637" s="106" t="str">
        <f>INDEX('Infos Clientes'!$F:$F,MATCH('Detalhe Por UC'!C637,'Infos Clientes'!B:B,0))</f>
        <v>62.955.505/0160-80</v>
      </c>
      <c r="C637" s="31" t="s">
        <v>61</v>
      </c>
      <c r="D637" t="s">
        <v>351</v>
      </c>
      <c r="E637" s="1" t="s">
        <v>352</v>
      </c>
      <c r="F637" s="56" t="str">
        <f>INDEX('Infos Clientes'!$I:$I,MATCH('Detalhe Por UC'!C637,'Infos Clientes'!B:B,0))</f>
        <v>BT</v>
      </c>
      <c r="G637" s="56" t="str">
        <f>INDEX('Infos Clientes'!$J:$J,MATCH('Detalhe Por UC'!C637,'Infos Clientes'!B:B,0))</f>
        <v>trifasico</v>
      </c>
      <c r="H637" s="108" t="s">
        <v>24</v>
      </c>
      <c r="I637" s="58">
        <f>IFERROR(VLOOKUP(C637,'Infos Clientes'!B:E,4,),"")</f>
        <v>357</v>
      </c>
      <c r="J637" s="109">
        <v>0.22939999999999999</v>
      </c>
      <c r="K637" s="79">
        <f>INDEX('Resumo Operacional'!$A$1:$P$151,MATCH("Desconto percentual Ucs",'Resumo Operacional'!$B$1:$B$151,0),MATCH('Detalhe Por UC'!$R637,'Resumo Operacional'!$A$1:$P$1,0))</f>
        <v>0.25212408425707711</v>
      </c>
      <c r="L637" s="125">
        <v>0</v>
      </c>
      <c r="M637" s="56">
        <f>INDEX('Infos Clientes'!$N:$N,MATCH('Detalhe Por UC'!C637,'Infos Clientes'!B:B,0))</f>
        <v>0</v>
      </c>
      <c r="N637" s="56">
        <f t="shared" si="343"/>
        <v>0</v>
      </c>
      <c r="O637" s="56">
        <f t="shared" si="344"/>
        <v>11</v>
      </c>
      <c r="P637" s="56">
        <f t="shared" si="379"/>
        <v>0</v>
      </c>
      <c r="Q637" s="61">
        <f>IFERROR(IFERROR(INDEX('Infos Clientes'!$A$2:$V$9884,MATCH($C637,'Infos Clientes'!$B$2:$B$9884,0),MATCH(Q$8,'Infos Clientes'!$A$2:$V$2,0)),"")
+IF(OR(INDEX('Infos Clientes'!$A$2:$V$9884,MATCH($C637,'Infos Clientes'!$B$2:$B$9884,0),MATCH("Tempo de Fidelidade (meses)",'Infos Clientes'!$A$2:$V$2,0))=0,R637&gt;=MAX(R:R)),0,
ROUND((MAX(R:R)-R637)/(365/12),0)),"")</f>
        <v>0</v>
      </c>
      <c r="R637" s="111">
        <v>45839</v>
      </c>
      <c r="S637" s="63">
        <v>7.3099999999999998E-2</v>
      </c>
      <c r="T637" s="113">
        <f>IF($H637="GIROSSOL II",AP637/INDEX('Resumo Operacional'!$A$1:$P$1103,17,MATCH('Detalhe Por UC'!$R637,'Resumo Operacional'!$A$1:$P$1,0)),
IF($H637="GIROSSOL II e III",AP637/INDEX('Resumo Operacional'!$A$1:$P$1103,17,MATCH('Detalhe Por UC'!$R637,'Resumo Operacional'!$A$1:$P$1,0)),
""))</f>
        <v>8.1696969696969698E-2</v>
      </c>
      <c r="U637" s="113" t="str">
        <f>IF($H637="GIROSSOL III",AP637/INDEX('Resumo Operacional'!$A$1:$P$1103,53,MATCH('Detalhe Por UC'!$R637,'Resumo Operacional'!$A$1:$P$1,0)),
IF($H637="GIROSSOL II e III",AP637/INDEX('Resumo Operacional'!$A$1:$P$1103,53,MATCH('Detalhe Por UC'!$R637,'Resumo Operacional'!$A$1:$P$1,0)),
""))</f>
        <v/>
      </c>
      <c r="V637" s="45"/>
      <c r="X637">
        <v>1.1631340611353711</v>
      </c>
      <c r="Y637">
        <v>0</v>
      </c>
      <c r="Z637" s="18">
        <v>1.1631435754189945</v>
      </c>
      <c r="AA637">
        <v>0</v>
      </c>
      <c r="AB637" s="18">
        <v>458</v>
      </c>
      <c r="AC637">
        <v>0</v>
      </c>
      <c r="AD637" s="143">
        <v>358</v>
      </c>
      <c r="AE637" s="35"/>
      <c r="AF637" s="18">
        <v>316</v>
      </c>
      <c r="AG637">
        <v>0</v>
      </c>
      <c r="AH637" s="48">
        <v>2.4900000000000002</v>
      </c>
      <c r="AI637">
        <v>0</v>
      </c>
      <c r="AJ637">
        <v>0</v>
      </c>
      <c r="AN637" s="71">
        <f t="shared" si="345"/>
        <v>316</v>
      </c>
      <c r="AO637" s="71">
        <f t="shared" si="346"/>
        <v>0</v>
      </c>
      <c r="AP637" s="71">
        <f t="shared" si="347"/>
        <v>674</v>
      </c>
      <c r="AQ637" s="72">
        <f>IF(OR($H637="GIROSSOL II",$H637="GIROSSOL II e III"),INDEX('Resumo Operacional'!$A$1:$P$1103,MATCH("Energia Injetada prevista total Fatura da Usina (TUSD)",'Resumo Operacional'!$B$1:$B$1103,0),MATCH('Detalhe Por UC'!$R637,'Resumo Operacional'!$A$1:$P$1,0))*$S637,INDEX('Resumo Operacional'!$A$1:$P$1103,53,MATCH('Detalhe Por UC'!$R637,'Resumo Operacional'!$A$1:$P$1,0))*$S637)</f>
        <v>603.07499999999993</v>
      </c>
      <c r="AR637" s="71">
        <f t="shared" si="348"/>
        <v>70.925000000000068</v>
      </c>
      <c r="AS637" s="73">
        <f t="shared" si="349"/>
        <v>118.79999999999988</v>
      </c>
      <c r="AT637" s="74">
        <f t="shared" si="350"/>
        <v>118.79999999999988</v>
      </c>
      <c r="AU637" s="74">
        <f t="shared" si="351"/>
        <v>1.1631530897026179</v>
      </c>
      <c r="AV637" s="74">
        <f t="shared" si="352"/>
        <v>320.88200124000002</v>
      </c>
      <c r="AW637" s="74">
        <f t="shared" si="353"/>
        <v>0</v>
      </c>
      <c r="AX637" s="74">
        <f t="shared" si="354"/>
        <v>416.40540000000004</v>
      </c>
      <c r="AY637" s="74">
        <f t="shared" si="355"/>
        <v>320.88</v>
      </c>
      <c r="AZ637" s="43">
        <v>320.88</v>
      </c>
      <c r="BA637" s="43">
        <v>320.88</v>
      </c>
      <c r="BB637" s="49">
        <v>320.88</v>
      </c>
      <c r="BC637" s="73" t="str">
        <f t="shared" si="356"/>
        <v/>
      </c>
      <c r="BD637" s="73">
        <f t="shared" si="357"/>
        <v>535.20539999999994</v>
      </c>
      <c r="BE637" s="73">
        <f t="shared" si="358"/>
        <v>439.68200123999992</v>
      </c>
      <c r="BF637" s="77">
        <f t="shared" si="359"/>
        <v>95.52</v>
      </c>
      <c r="BG637" s="77">
        <f t="shared" si="360"/>
        <v>28.655999999999999</v>
      </c>
      <c r="BH637" s="77">
        <f t="shared" si="361"/>
        <v>416.40539999999999</v>
      </c>
      <c r="BI637" s="78">
        <f t="shared" si="362"/>
        <v>0.23</v>
      </c>
      <c r="BJ637" s="79">
        <f t="shared" si="363"/>
        <v>0.17847353558091905</v>
      </c>
      <c r="BK637" s="80">
        <f t="shared" si="364"/>
        <v>439.67999999999989</v>
      </c>
      <c r="BL637" s="80">
        <f t="shared" si="365"/>
        <v>95.525400000000047</v>
      </c>
      <c r="BM637" s="79">
        <f t="shared" si="366"/>
        <v>0.17848362516521704</v>
      </c>
      <c r="BN637" s="81">
        <f t="shared" si="367"/>
        <v>0.89631284916201115</v>
      </c>
      <c r="BO637" s="82">
        <f t="shared" si="368"/>
        <v>320.88</v>
      </c>
      <c r="BP637" s="81">
        <f t="shared" si="369"/>
        <v>0.89631284916201115</v>
      </c>
      <c r="BQ637" s="81">
        <f t="shared" si="370"/>
        <v>0.89630333487838776</v>
      </c>
      <c r="BR637" s="81">
        <f t="shared" si="371"/>
        <v>1.1631340611353711</v>
      </c>
      <c r="BS637" s="82">
        <f t="shared" si="372"/>
        <v>358</v>
      </c>
      <c r="BT637" s="82">
        <f t="shared" si="373"/>
        <v>416.40199388646283</v>
      </c>
      <c r="BU637" s="82">
        <f t="shared" si="374"/>
        <v>416.40540000000004</v>
      </c>
      <c r="BW637" s="82">
        <f>IFERROR(INDEX('Infos Clientes'!$T:$T,MATCH('Detalhe Por UC'!$C637,'Infos Clientes'!B:B,0)),"")</f>
        <v>958.25</v>
      </c>
      <c r="BX637" s="83">
        <f t="shared" si="375"/>
        <v>0</v>
      </c>
      <c r="BY637" s="84">
        <f t="shared" si="376"/>
        <v>0.22940668249068524</v>
      </c>
      <c r="BZ637" s="85">
        <f>IF(_xlfn.MINIFS('Detalhe Por UC'!R:R,'Detalhe Por UC'!C:C,C637,'Detalhe Por UC'!AD:AD,"&gt;"&amp;0)=0,"",_xlfn.MINIFS('Detalhe Por UC'!R:R,'Detalhe Por UC'!C:C,C637,'Detalhe Por UC'!AD:AD,"&gt;"&amp;0))</f>
        <v>45627</v>
      </c>
      <c r="CA637" s="114">
        <f ca="1">IF(OR(S637&gt;0,AD637&gt;0),IFERROR(
SUMIFS(INDIRECT("'Infos Clientes'!$W"&amp;INDEX('Infos Clientes'!$C:$C,MATCH(C637,'Infos Clientes'!$H:$H,0))&amp;":$CZ"&amp;INDEX('Infos Clientes'!$C:$C,MATCH(C637,'Infos Clientes'!$H:$H,0))),'Infos Clientes'!$W$2:$CZ$2,"&gt;"&amp;$R637-365,'Infos Clientes'!$W$2:$CZ$2,"&lt;="&amp;$R637)/
COUNTIFS(INDIRECT("'Infos Clientes'!$W"&amp;INDEX('Infos Clientes'!$C:$C,MATCH(C637,'Infos Clientes'!$H:$H,0))&amp;":$CZ"&amp;INDEX('Infos Clientes'!$C:$C,MATCH(C637,'Infos Clientes'!$H:$H,0))),"&gt;="&amp;0,'Infos Clientes'!$W$2:$CZ$2,"&gt;"&amp;$R637-365,'Infos Clientes'!$W$2:$CZ$2,"&lt;="&amp;$R637),""),"")</f>
        <v>926.83333333333337</v>
      </c>
      <c r="CB637" s="87">
        <f>VLOOKUP(C637,'Infos Clientes'!B:L,11,0)</f>
        <v>0</v>
      </c>
      <c r="CC637" s="88" t="str">
        <f t="shared" si="377"/>
        <v>A Unidade Consumidora 10/18015-8 economizou R$95,52 na fatura referente à jul/2025  consumindo 358 kWh em créditos de energia renovável conforme fatura de energia. A economia foi de 22,94% em relação ao que seria pago para a Energisa considerando os créditos consumidos. Atenção: Mantenha as contas da Energisa em dia para evitar cortes.</v>
      </c>
      <c r="CD637" s="40" t="s">
        <v>63</v>
      </c>
      <c r="CE637" s="43">
        <v>118.8</v>
      </c>
      <c r="CF637" s="115">
        <f t="shared" si="378"/>
        <v>1.1368683772161603E-13</v>
      </c>
    </row>
    <row r="638" spans="1:84" ht="16.2" hidden="1" customHeight="1" x14ac:dyDescent="0.3">
      <c r="A638" s="105" t="str">
        <f>INDEX('Infos Clientes'!$D:$D,MATCH('Detalhe Por UC'!C638,'Infos Clientes'!B:B,0))</f>
        <v>IGREJA DO EVANGELHO QUADRANGULAR</v>
      </c>
      <c r="B638" s="106" t="str">
        <f>INDEX('Infos Clientes'!$F:$F,MATCH('Detalhe Por UC'!C638,'Infos Clientes'!B:B,0))</f>
        <v>62.955.505/0164-03</v>
      </c>
      <c r="C638" s="31" t="s">
        <v>70</v>
      </c>
      <c r="D638" t="s">
        <v>351</v>
      </c>
      <c r="E638" s="1" t="s">
        <v>352</v>
      </c>
      <c r="F638" s="56" t="str">
        <f>INDEX('Infos Clientes'!$I:$I,MATCH('Detalhe Por UC'!C638,'Infos Clientes'!B:B,0))</f>
        <v>BT</v>
      </c>
      <c r="G638" s="56" t="str">
        <f>INDEX('Infos Clientes'!$J:$J,MATCH('Detalhe Por UC'!C638,'Infos Clientes'!B:B,0))</f>
        <v>trifasico</v>
      </c>
      <c r="H638" s="108" t="s">
        <v>24</v>
      </c>
      <c r="I638" s="58">
        <f>IFERROR(VLOOKUP(C638,'Infos Clientes'!B:E,4,),"")</f>
        <v>371</v>
      </c>
      <c r="J638" s="109">
        <v>0.22939999999999999</v>
      </c>
      <c r="K638" s="79">
        <f>INDEX('Resumo Operacional'!$A$1:$P$151,MATCH("Desconto percentual Ucs",'Resumo Operacional'!$B$1:$B$151,0),MATCH('Detalhe Por UC'!$R638,'Resumo Operacional'!$A$1:$P$1,0))</f>
        <v>0.25212408425707711</v>
      </c>
      <c r="L638" s="125">
        <v>0</v>
      </c>
      <c r="M638" s="56">
        <f>INDEX('Infos Clientes'!$N:$N,MATCH('Detalhe Por UC'!C638,'Infos Clientes'!B:B,0))</f>
        <v>0</v>
      </c>
      <c r="N638" s="56">
        <f t="shared" si="343"/>
        <v>0</v>
      </c>
      <c r="O638" s="56">
        <f t="shared" si="344"/>
        <v>12</v>
      </c>
      <c r="P638" s="56">
        <f t="shared" si="379"/>
        <v>0</v>
      </c>
      <c r="Q638" s="61">
        <f>IFERROR(IFERROR(INDEX('Infos Clientes'!$A$2:$V$9884,MATCH($C638,'Infos Clientes'!$B$2:$B$9884,0),MATCH(Q$8,'Infos Clientes'!$A$2:$V$2,0)),"")
+IF(OR(INDEX('Infos Clientes'!$A$2:$V$9884,MATCH($C638,'Infos Clientes'!$B$2:$B$9884,0),MATCH("Tempo de Fidelidade (meses)",'Infos Clientes'!$A$2:$V$2,0))=0,R638&gt;=MAX(R:R)),0,
ROUND((MAX(R:R)-R638)/(365/12),0)),"")</f>
        <v>0</v>
      </c>
      <c r="R638" s="111">
        <v>45839</v>
      </c>
      <c r="S638" s="63">
        <v>5.9400000000000001E-2</v>
      </c>
      <c r="T638" s="113">
        <f>IF($H638="GIROSSOL II",AP638/INDEX('Resumo Operacional'!$A$1:$P$1103,17,MATCH('Detalhe Por UC'!$R638,'Resumo Operacional'!$A$1:$P$1,0)),
IF($H638="GIROSSOL II e III",AP638/INDEX('Resumo Operacional'!$A$1:$P$1103,17,MATCH('Detalhe Por UC'!$R638,'Resumo Operacional'!$A$1:$P$1,0)),
""))</f>
        <v>8.4727272727272721E-2</v>
      </c>
      <c r="U638" s="113" t="str">
        <f>IF($H638="GIROSSOL III",AP638/INDEX('Resumo Operacional'!$A$1:$P$1103,53,MATCH('Detalhe Por UC'!$R638,'Resumo Operacional'!$A$1:$P$1,0)),
IF($H638="GIROSSOL II e III",AP638/INDEX('Resumo Operacional'!$A$1:$P$1103,53,MATCH('Detalhe Por UC'!$R638,'Resumo Operacional'!$A$1:$P$1,0)),
""))</f>
        <v/>
      </c>
      <c r="V638" s="45"/>
      <c r="X638">
        <v>1.1631409090909091</v>
      </c>
      <c r="Y638">
        <v>0</v>
      </c>
      <c r="Z638" s="18">
        <v>1.1631235294117648</v>
      </c>
      <c r="AA638">
        <v>0</v>
      </c>
      <c r="AB638" s="18">
        <v>440</v>
      </c>
      <c r="AC638">
        <v>0</v>
      </c>
      <c r="AD638" s="143">
        <v>340</v>
      </c>
      <c r="AE638" s="35"/>
      <c r="AF638" s="18">
        <v>359</v>
      </c>
      <c r="AG638">
        <v>0</v>
      </c>
      <c r="AH638" s="48">
        <v>104.85</v>
      </c>
      <c r="AI638">
        <v>0</v>
      </c>
      <c r="AJ638">
        <v>0</v>
      </c>
      <c r="AN638" s="71">
        <f t="shared" si="345"/>
        <v>359</v>
      </c>
      <c r="AO638" s="71">
        <f t="shared" si="346"/>
        <v>0</v>
      </c>
      <c r="AP638" s="71">
        <f t="shared" si="347"/>
        <v>699</v>
      </c>
      <c r="AQ638" s="72">
        <f>IF(OR($H638="GIROSSOL II",$H638="GIROSSOL II e III"),INDEX('Resumo Operacional'!$A$1:$P$1103,MATCH("Energia Injetada prevista total Fatura da Usina (TUSD)",'Resumo Operacional'!$B$1:$B$1103,0),MATCH('Detalhe Por UC'!$R638,'Resumo Operacional'!$A$1:$P$1,0))*$S638,INDEX('Resumo Operacional'!$A$1:$P$1103,53,MATCH('Detalhe Por UC'!$R638,'Resumo Operacional'!$A$1:$P$1,0))*$S638)</f>
        <v>490.05</v>
      </c>
      <c r="AR638" s="71">
        <f t="shared" si="348"/>
        <v>208.95</v>
      </c>
      <c r="AS638" s="73">
        <f t="shared" si="349"/>
        <v>221.16999999999993</v>
      </c>
      <c r="AT638" s="74">
        <f t="shared" si="350"/>
        <v>221.16999999999993</v>
      </c>
      <c r="AU638" s="74">
        <f t="shared" si="351"/>
        <v>1.1631061497326205</v>
      </c>
      <c r="AV638" s="74">
        <f t="shared" si="352"/>
        <v>304.7430172</v>
      </c>
      <c r="AW638" s="74">
        <f t="shared" si="353"/>
        <v>1.25</v>
      </c>
      <c r="AX638" s="74">
        <f t="shared" si="354"/>
        <v>396.71200000000005</v>
      </c>
      <c r="AY638" s="74">
        <f t="shared" si="355"/>
        <v>305.99</v>
      </c>
      <c r="AZ638" s="43">
        <v>305.99</v>
      </c>
      <c r="BA638" s="43">
        <v>305.99</v>
      </c>
      <c r="BB638" s="49">
        <v>305.99</v>
      </c>
      <c r="BC638" s="73" t="str">
        <f t="shared" si="356"/>
        <v/>
      </c>
      <c r="BD638" s="73">
        <f t="shared" si="357"/>
        <v>616.63199999999995</v>
      </c>
      <c r="BE638" s="73">
        <f t="shared" si="358"/>
        <v>525.9130171999999</v>
      </c>
      <c r="BF638" s="77">
        <f t="shared" si="359"/>
        <v>90.72</v>
      </c>
      <c r="BG638" s="77">
        <f t="shared" si="360"/>
        <v>27.215999999999998</v>
      </c>
      <c r="BH638" s="77">
        <f t="shared" si="361"/>
        <v>395.46200000000005</v>
      </c>
      <c r="BI638" s="78">
        <f t="shared" si="362"/>
        <v>0.23</v>
      </c>
      <c r="BJ638" s="79">
        <f t="shared" si="363"/>
        <v>0.14712178414354105</v>
      </c>
      <c r="BK638" s="80">
        <f t="shared" si="364"/>
        <v>527.16</v>
      </c>
      <c r="BL638" s="80">
        <f t="shared" si="365"/>
        <v>89.47199999999998</v>
      </c>
      <c r="BM638" s="79">
        <f t="shared" si="366"/>
        <v>0.14509788658389441</v>
      </c>
      <c r="BN638" s="81">
        <f t="shared" si="367"/>
        <v>0.89997058823529419</v>
      </c>
      <c r="BO638" s="82">
        <f t="shared" si="368"/>
        <v>305.99</v>
      </c>
      <c r="BP638" s="81">
        <f t="shared" si="369"/>
        <v>0.89997058823529419</v>
      </c>
      <c r="BQ638" s="81">
        <f t="shared" si="370"/>
        <v>0.89998796791443847</v>
      </c>
      <c r="BR638" s="81">
        <f t="shared" si="371"/>
        <v>1.1631409090909091</v>
      </c>
      <c r="BS638" s="82">
        <f t="shared" si="372"/>
        <v>340</v>
      </c>
      <c r="BT638" s="82">
        <f t="shared" si="373"/>
        <v>395.46790909090907</v>
      </c>
      <c r="BU638" s="82">
        <f t="shared" si="374"/>
        <v>395.46200000000005</v>
      </c>
      <c r="BW638" s="82">
        <f>IFERROR(INDEX('Infos Clientes'!$T:$T,MATCH('Detalhe Por UC'!$C638,'Infos Clientes'!B:B,0)),"")</f>
        <v>796.66666666666663</v>
      </c>
      <c r="BX638" s="83">
        <f t="shared" si="375"/>
        <v>0</v>
      </c>
      <c r="BY638" s="84">
        <f t="shared" si="376"/>
        <v>0.22624338901650912</v>
      </c>
      <c r="BZ638" s="85">
        <f>IF(_xlfn.MINIFS('Detalhe Por UC'!R:R,'Detalhe Por UC'!C:C,C638,'Detalhe Por UC'!AD:AD,"&gt;"&amp;0)=0,"",_xlfn.MINIFS('Detalhe Por UC'!R:R,'Detalhe Por UC'!C:C,C638,'Detalhe Por UC'!AD:AD,"&gt;"&amp;0))</f>
        <v>45627</v>
      </c>
      <c r="CA638" s="114">
        <f ca="1">IF(OR(S638&gt;0,AD638&gt;0),IFERROR(
SUMIFS(INDIRECT("'Infos Clientes'!$W"&amp;INDEX('Infos Clientes'!$C:$C,MATCH(C638,'Infos Clientes'!$H:$H,0))&amp;":$CZ"&amp;INDEX('Infos Clientes'!$C:$C,MATCH(C638,'Infos Clientes'!$H:$H,0))),'Infos Clientes'!$W$2:$CZ$2,"&gt;"&amp;$R638-365,'Infos Clientes'!$W$2:$CZ$2,"&lt;="&amp;$R638)/
COUNTIFS(INDIRECT("'Infos Clientes'!$W"&amp;INDEX('Infos Clientes'!$C:$C,MATCH(C638,'Infos Clientes'!$H:$H,0))&amp;":$CZ"&amp;INDEX('Infos Clientes'!$C:$C,MATCH(C638,'Infos Clientes'!$H:$H,0))),"&gt;="&amp;0,'Infos Clientes'!$W$2:$CZ$2,"&gt;"&amp;$R638-365,'Infos Clientes'!$W$2:$CZ$2,"&lt;="&amp;$R638),""),"")</f>
        <v>766.66666666666663</v>
      </c>
      <c r="CB638" s="87">
        <f>VLOOKUP(C638,'Infos Clientes'!B:L,11,0)</f>
        <v>0</v>
      </c>
      <c r="CC638" s="88" t="str">
        <f t="shared" si="377"/>
        <v>A Unidade Consumidora 10/202838-9 economizou R$90,72 na fatura referente à jul/2025  consumindo 340 kWh em créditos de energia renovável conforme fatura de energia. A economia foi de 22,94% em relação ao que seria pago para a Energisa considerando os créditos consumidos. Atenção: Mantenha as contas da Energisa em dia para evitar cortes.</v>
      </c>
      <c r="CD638" s="40" t="s">
        <v>72</v>
      </c>
      <c r="CE638" s="43">
        <v>221.17</v>
      </c>
      <c r="CF638" s="115">
        <f t="shared" si="378"/>
        <v>0</v>
      </c>
    </row>
    <row r="639" spans="1:84" ht="16.2" hidden="1" customHeight="1" x14ac:dyDescent="0.3">
      <c r="A639" s="105" t="str">
        <f>INDEX('Infos Clientes'!$D:$D,MATCH('Detalhe Por UC'!C639,'Infos Clientes'!B:B,0))</f>
        <v>IGREJA DO EVANGELHO QUADRANGULAR</v>
      </c>
      <c r="B639" s="106" t="str">
        <f>INDEX('Infos Clientes'!$F:$F,MATCH('Detalhe Por UC'!C639,'Infos Clientes'!B:B,0))</f>
        <v>62.955.505/2157-91</v>
      </c>
      <c r="C639" s="148" t="s">
        <v>64</v>
      </c>
      <c r="D639" t="s">
        <v>351</v>
      </c>
      <c r="E639" s="1" t="s">
        <v>352</v>
      </c>
      <c r="F639" s="56" t="str">
        <f>INDEX('Infos Clientes'!$I:$I,MATCH('Detalhe Por UC'!C639,'Infos Clientes'!B:B,0))</f>
        <v>BT</v>
      </c>
      <c r="G639" s="56" t="str">
        <f>INDEX('Infos Clientes'!$J:$J,MATCH('Detalhe Por UC'!C639,'Infos Clientes'!B:B,0))</f>
        <v>trifasico</v>
      </c>
      <c r="H639" s="47" t="str">
        <f>HYPERLINK("https://geraebcsp.sharepoint.com/sites/gestao.gdc/Shared Documents/EGS/2- Faturas/"&amp; TEXT($R639,"AAA") &amp;"/"&amp; TEXT($R639,"MM") &amp;"."&amp; TEXT($R639,"AAA") &amp;"/"&amp;"_10-"&amp; RIGHT($C639,LEN($C639)-3) &amp;"_" &amp; TEXT($R639,"AAAA") &amp;"-"&amp; TEXT($R639,"MM") &amp;".pdf","GIROSSOL II")</f>
        <v>GIROSSOL II</v>
      </c>
      <c r="I639" s="58">
        <f>IFERROR(VLOOKUP(C639,'Infos Clientes'!B:E,4,),"")</f>
        <v>349</v>
      </c>
      <c r="J639" s="109">
        <v>0.22939999999999999</v>
      </c>
      <c r="K639" s="79">
        <f>INDEX('Resumo Operacional'!$A$1:$P$151,MATCH("Desconto percentual Ucs",'Resumo Operacional'!$B$1:$B$151,0),MATCH('Detalhe Por UC'!$R639,'Resumo Operacional'!$A$1:$P$1,0))</f>
        <v>0.25212408425707711</v>
      </c>
      <c r="L639" s="125">
        <v>0</v>
      </c>
      <c r="M639" s="56">
        <f>INDEX('Infos Clientes'!$N:$N,MATCH('Detalhe Por UC'!C639,'Infos Clientes'!B:B,0))</f>
        <v>0</v>
      </c>
      <c r="N639" s="56">
        <f t="shared" si="343"/>
        <v>0</v>
      </c>
      <c r="O639" s="56">
        <f t="shared" si="344"/>
        <v>12</v>
      </c>
      <c r="P639" s="56">
        <f t="shared" si="379"/>
        <v>0</v>
      </c>
      <c r="Q639" s="61">
        <f>IFERROR(IFERROR(INDEX('Infos Clientes'!$A$2:$V$9884,MATCH($C639,'Infos Clientes'!$B$2:$B$9884,0),MATCH(Q$8,'Infos Clientes'!$A$2:$V$2,0)),"")
+IF(OR(INDEX('Infos Clientes'!$A$2:$V$9884,MATCH($C639,'Infos Clientes'!$B$2:$B$9884,0),MATCH("Tempo de Fidelidade (meses)",'Infos Clientes'!$A$2:$V$2,0))=0,R639&gt;=MAX(R:R)),0,
ROUND((MAX(R:R)-R639)/(365/12),0)),"")</f>
        <v>0</v>
      </c>
      <c r="R639" s="111">
        <v>45839</v>
      </c>
      <c r="S639" s="63">
        <v>5.6899999999999999E-2</v>
      </c>
      <c r="T639" s="113">
        <f>IF($H639="GIROSSOL II",AP639/INDEX('Resumo Operacional'!$A$1:$P$1103,17,MATCH('Detalhe Por UC'!$R639,'Resumo Operacional'!$A$1:$P$1,0)),
IF($H639="GIROSSOL II e III",AP639/INDEX('Resumo Operacional'!$A$1:$P$1103,17,MATCH('Detalhe Por UC'!$R639,'Resumo Operacional'!$A$1:$P$1,0)),
""))</f>
        <v>0</v>
      </c>
      <c r="U639" s="113" t="str">
        <f>IF($H639="GIROSSOL III",AP639/INDEX('Resumo Operacional'!$A$1:$P$1103,53,MATCH('Detalhe Por UC'!$R639,'Resumo Operacional'!$A$1:$P$1,0)),
IF($H639="GIROSSOL II e III",AP639/INDEX('Resumo Operacional'!$A$1:$P$1103,53,MATCH('Detalhe Por UC'!$R639,'Resumo Operacional'!$A$1:$P$1,0)),
""))</f>
        <v/>
      </c>
      <c r="V639" s="45"/>
      <c r="X639">
        <v>1.1631357487922707</v>
      </c>
      <c r="Y639">
        <v>0</v>
      </c>
      <c r="Z639" s="18">
        <v>1.1631471337579617</v>
      </c>
      <c r="AA639">
        <v>0</v>
      </c>
      <c r="AB639" s="18">
        <v>414</v>
      </c>
      <c r="AC639">
        <v>0</v>
      </c>
      <c r="AD639" s="143">
        <v>314</v>
      </c>
      <c r="AE639" s="35"/>
      <c r="AF639" s="18">
        <v>348</v>
      </c>
      <c r="AG639">
        <v>0</v>
      </c>
      <c r="AH639" s="48">
        <v>92.51</v>
      </c>
      <c r="AI639">
        <v>0</v>
      </c>
      <c r="AJ639">
        <v>0</v>
      </c>
      <c r="AN639" s="71">
        <f t="shared" si="345"/>
        <v>-314</v>
      </c>
      <c r="AO639" s="71">
        <f t="shared" si="346"/>
        <v>0</v>
      </c>
      <c r="AP639" s="71">
        <f t="shared" si="347"/>
        <v>0</v>
      </c>
      <c r="AQ639" s="72">
        <f>IF(OR($H639="GIROSSOL II",$H639="GIROSSOL II e III"),INDEX('Resumo Operacional'!$A$1:$P$1103,MATCH("Energia Injetada prevista total Fatura da Usina (TUSD)",'Resumo Operacional'!$B$1:$B$1103,0),MATCH('Detalhe Por UC'!$R639,'Resumo Operacional'!$A$1:$P$1,0))*$S639,INDEX('Resumo Operacional'!$A$1:$P$1103,53,MATCH('Detalhe Por UC'!$R639,'Resumo Operacional'!$A$1:$P$1,0))*$S639)</f>
        <v>469.42500000000001</v>
      </c>
      <c r="AR639" s="71">
        <f t="shared" si="348"/>
        <v>-469.42500000000001</v>
      </c>
      <c r="AS639" s="73">
        <f t="shared" si="349"/>
        <v>208.82000000000005</v>
      </c>
      <c r="AT639" s="74">
        <f t="shared" si="350"/>
        <v>208.82000000000005</v>
      </c>
      <c r="AU639" s="74">
        <f t="shared" si="351"/>
        <v>1.1631585187236528</v>
      </c>
      <c r="AV639" s="74">
        <f t="shared" si="352"/>
        <v>281.44485091999996</v>
      </c>
      <c r="AW639" s="74">
        <f t="shared" si="353"/>
        <v>4.9399999999999977</v>
      </c>
      <c r="AX639" s="74">
        <f t="shared" si="354"/>
        <v>370.16820000000001</v>
      </c>
      <c r="AY639" s="74">
        <f t="shared" si="355"/>
        <v>286.38</v>
      </c>
      <c r="AZ639" s="43">
        <v>286.38</v>
      </c>
      <c r="BA639" s="43">
        <v>286.38</v>
      </c>
      <c r="BB639" s="49">
        <v>286.38</v>
      </c>
      <c r="BC639" s="73" t="str">
        <f t="shared" si="356"/>
        <v/>
      </c>
      <c r="BD639" s="73">
        <f t="shared" si="357"/>
        <v>574.04820000000007</v>
      </c>
      <c r="BE639" s="73">
        <f t="shared" si="358"/>
        <v>490.26485092000001</v>
      </c>
      <c r="BF639" s="77">
        <f t="shared" si="359"/>
        <v>83.78</v>
      </c>
      <c r="BG639" s="77">
        <f t="shared" si="360"/>
        <v>25.134</v>
      </c>
      <c r="BH639" s="77">
        <f t="shared" si="361"/>
        <v>365.22820000000002</v>
      </c>
      <c r="BI639" s="78">
        <f t="shared" si="362"/>
        <v>0.23</v>
      </c>
      <c r="BJ639" s="79">
        <f t="shared" si="363"/>
        <v>0.1459459327631373</v>
      </c>
      <c r="BK639" s="80">
        <f t="shared" si="364"/>
        <v>495.20000000000005</v>
      </c>
      <c r="BL639" s="80">
        <f t="shared" si="365"/>
        <v>78.84820000000002</v>
      </c>
      <c r="BM639" s="79">
        <f t="shared" si="366"/>
        <v>0.13735466812717123</v>
      </c>
      <c r="BN639" s="81">
        <f t="shared" si="367"/>
        <v>0.91203821656050954</v>
      </c>
      <c r="BO639" s="82">
        <f t="shared" si="368"/>
        <v>286.38</v>
      </c>
      <c r="BP639" s="81">
        <f t="shared" si="369"/>
        <v>0.91203821656050954</v>
      </c>
      <c r="BQ639" s="81">
        <f t="shared" si="370"/>
        <v>0.91202683159481845</v>
      </c>
      <c r="BR639" s="81">
        <f t="shared" si="371"/>
        <v>1.1631357487922707</v>
      </c>
      <c r="BS639" s="82">
        <f t="shared" si="372"/>
        <v>314</v>
      </c>
      <c r="BT639" s="82">
        <f t="shared" si="373"/>
        <v>365.224625120773</v>
      </c>
      <c r="BU639" s="82">
        <f t="shared" si="374"/>
        <v>365.22820000000002</v>
      </c>
      <c r="BW639" s="82">
        <f>IFERROR(INDEX('Infos Clientes'!$T:$T,MATCH('Detalhe Por UC'!$C639,'Infos Clientes'!B:B,0)),"")</f>
        <v>802.5</v>
      </c>
      <c r="BX639" s="83">
        <f t="shared" si="375"/>
        <v>0</v>
      </c>
      <c r="BY639" s="84">
        <f t="shared" si="376"/>
        <v>0.21588960485324987</v>
      </c>
      <c r="BZ639" s="85">
        <f>IF(_xlfn.MINIFS('Detalhe Por UC'!R:R,'Detalhe Por UC'!C:C,C639,'Detalhe Por UC'!AD:AD,"&gt;"&amp;0)=0,"",_xlfn.MINIFS('Detalhe Por UC'!R:R,'Detalhe Por UC'!C:C,C639,'Detalhe Por UC'!AD:AD,"&gt;"&amp;0))</f>
        <v>45627</v>
      </c>
      <c r="CA639" s="114">
        <f ca="1">IF(OR(S639&gt;0,AD639&gt;0),IFERROR(
SUMIFS(INDIRECT("'Infos Clientes'!$W"&amp;INDEX('Infos Clientes'!$C:$C,MATCH(C639,'Infos Clientes'!$H:$H,0))&amp;":$CZ"&amp;INDEX('Infos Clientes'!$C:$C,MATCH(C639,'Infos Clientes'!$H:$H,0))),'Infos Clientes'!$W$2:$CZ$2,"&gt;"&amp;$R639-365,'Infos Clientes'!$W$2:$CZ$2,"&lt;="&amp;$R639)/
COUNTIFS(INDIRECT("'Infos Clientes'!$W"&amp;INDEX('Infos Clientes'!$C:$C,MATCH(C639,'Infos Clientes'!$H:$H,0))&amp;":$CZ"&amp;INDEX('Infos Clientes'!$C:$C,MATCH(C639,'Infos Clientes'!$H:$H,0))),"&gt;="&amp;0,'Infos Clientes'!$W$2:$CZ$2,"&gt;"&amp;$R639-365,'Infos Clientes'!$W$2:$CZ$2,"&lt;="&amp;$R639),""),"")</f>
        <v>735.66666666666663</v>
      </c>
      <c r="CB639" s="87">
        <f>VLOOKUP(C639,'Infos Clientes'!B:L,11,0)</f>
        <v>0</v>
      </c>
      <c r="CC639" s="88" t="str">
        <f t="shared" si="377"/>
        <v>A Unidade Consumidora 10/191945-5 economizou R$83,78 na fatura referente à jul/2025  consumindo 314 kWh em créditos de energia renovável conforme fatura de energia. A economia foi de 22,94% em relação ao que seria pago para a Energisa considerando os créditos consumidos. Atenção: Mantenha as contas da Energisa em dia para evitar cortes.</v>
      </c>
      <c r="CD639" s="40" t="s">
        <v>66</v>
      </c>
      <c r="CE639" s="43">
        <v>208.82</v>
      </c>
      <c r="CF639" s="115">
        <f t="shared" si="378"/>
        <v>0</v>
      </c>
    </row>
    <row r="640" spans="1:84" ht="16.2" hidden="1" customHeight="1" x14ac:dyDescent="0.3">
      <c r="A640" s="105" t="str">
        <f>INDEX('Infos Clientes'!$D:$D,MATCH('Detalhe Por UC'!C640,'Infos Clientes'!B:B,0))</f>
        <v>IGREJA DO EVANGELHO QUADRANGULAR</v>
      </c>
      <c r="B640" s="106" t="str">
        <f>INDEX('Infos Clientes'!$F:$F,MATCH('Detalhe Por UC'!C640,'Infos Clientes'!B:B,0))</f>
        <v>62.955.505/3793-95</v>
      </c>
      <c r="C640" s="31" t="s">
        <v>84</v>
      </c>
      <c r="D640" t="s">
        <v>351</v>
      </c>
      <c r="E640" s="1" t="s">
        <v>352</v>
      </c>
      <c r="F640" s="56" t="str">
        <f>INDEX('Infos Clientes'!$I:$I,MATCH('Detalhe Por UC'!C640,'Infos Clientes'!B:B,0))</f>
        <v>BT</v>
      </c>
      <c r="G640" s="56" t="str">
        <f>INDEX('Infos Clientes'!$J:$J,MATCH('Detalhe Por UC'!C640,'Infos Clientes'!B:B,0))</f>
        <v>trifasico</v>
      </c>
      <c r="H640" s="108" t="s">
        <v>24</v>
      </c>
      <c r="I640" s="58">
        <f>IFERROR(VLOOKUP(C640,'Infos Clientes'!B:E,4,),"")</f>
        <v>302</v>
      </c>
      <c r="J640" s="109">
        <v>0.22939999999999999</v>
      </c>
      <c r="K640" s="79">
        <f>INDEX('Resumo Operacional'!$A$1:$P$151,MATCH("Desconto percentual Ucs",'Resumo Operacional'!$B$1:$B$151,0),MATCH('Detalhe Por UC'!$R640,'Resumo Operacional'!$A$1:$P$1,0))</f>
        <v>0.25212408425707711</v>
      </c>
      <c r="L640" s="125">
        <v>0</v>
      </c>
      <c r="M640" s="56">
        <f>INDEX('Infos Clientes'!$N:$N,MATCH('Detalhe Por UC'!C640,'Infos Clientes'!B:B,0))</f>
        <v>0</v>
      </c>
      <c r="N640" s="56">
        <f t="shared" si="343"/>
        <v>0</v>
      </c>
      <c r="O640" s="56">
        <f t="shared" si="344"/>
        <v>12</v>
      </c>
      <c r="P640" s="56">
        <f t="shared" si="379"/>
        <v>0</v>
      </c>
      <c r="Q640" s="61">
        <f>IFERROR(IFERROR(INDEX('Infos Clientes'!$A$2:$V$9884,MATCH($C640,'Infos Clientes'!$B$2:$B$9884,0),MATCH(Q$8,'Infos Clientes'!$A$2:$V$2,0)),"")
+IF(OR(INDEX('Infos Clientes'!$A$2:$V$9884,MATCH($C640,'Infos Clientes'!$B$2:$B$9884,0),MATCH("Tempo de Fidelidade (meses)",'Infos Clientes'!$A$2:$V$2,0))=0,R640&gt;=MAX(R:R)),0,
ROUND((MAX(R:R)-R640)/(365/12),0)),"")</f>
        <v>0</v>
      </c>
      <c r="R640" s="111">
        <v>45839</v>
      </c>
      <c r="S640" s="63">
        <v>5.4100000000000002E-2</v>
      </c>
      <c r="T640" s="113">
        <f>IF($H640="GIROSSOL II",AP640/INDEX('Resumo Operacional'!$A$1:$P$1103,17,MATCH('Detalhe Por UC'!$R640,'Resumo Operacional'!$A$1:$P$1,0)),
IF($H640="GIROSSOL II e III",AP640/INDEX('Resumo Operacional'!$A$1:$P$1103,17,MATCH('Detalhe Por UC'!$R640,'Resumo Operacional'!$A$1:$P$1,0)),
""))</f>
        <v>0.11612121212121213</v>
      </c>
      <c r="U640" s="113" t="str">
        <f>IF($H640="GIROSSOL III",AP640/INDEX('Resumo Operacional'!$A$1:$P$1103,53,MATCH('Detalhe Por UC'!$R640,'Resumo Operacional'!$A$1:$P$1,0)),
IF($H640="GIROSSOL II e III",AP640/INDEX('Resumo Operacional'!$A$1:$P$1103,53,MATCH('Detalhe Por UC'!$R640,'Resumo Operacional'!$A$1:$P$1,0)),
""))</f>
        <v/>
      </c>
      <c r="V640" s="45"/>
      <c r="X640">
        <v>1.1631354430379748</v>
      </c>
      <c r="Y640">
        <v>0</v>
      </c>
      <c r="Z640" s="18">
        <v>1.1630883211678833</v>
      </c>
      <c r="AA640">
        <v>0</v>
      </c>
      <c r="AB640" s="18">
        <v>237</v>
      </c>
      <c r="AC640">
        <v>0</v>
      </c>
      <c r="AD640" s="143">
        <v>137</v>
      </c>
      <c r="AE640" s="35"/>
      <c r="AF640" s="18">
        <v>1512</v>
      </c>
      <c r="AG640">
        <v>0</v>
      </c>
      <c r="AH640" s="48">
        <v>0</v>
      </c>
      <c r="AI640">
        <v>0</v>
      </c>
      <c r="AJ640">
        <v>0</v>
      </c>
      <c r="AN640" s="71">
        <f t="shared" si="345"/>
        <v>821</v>
      </c>
      <c r="AO640" s="71">
        <f t="shared" si="346"/>
        <v>0</v>
      </c>
      <c r="AP640" s="71">
        <f t="shared" si="347"/>
        <v>958</v>
      </c>
      <c r="AQ640" s="72">
        <f>IF(OR($H640="GIROSSOL II",$H640="GIROSSOL II e III"),INDEX('Resumo Operacional'!$A$1:$P$1103,MATCH("Energia Injetada prevista total Fatura da Usina (TUSD)",'Resumo Operacional'!$B$1:$B$1103,0),MATCH('Detalhe Por UC'!$R640,'Resumo Operacional'!$A$1:$P$1,0))*$S640,INDEX('Resumo Operacional'!$A$1:$P$1103,53,MATCH('Detalhe Por UC'!$R640,'Resumo Operacional'!$A$1:$P$1,0))*$S640)</f>
        <v>446.32500000000005</v>
      </c>
      <c r="AR640" s="71">
        <f t="shared" si="348"/>
        <v>511.67499999999995</v>
      </c>
      <c r="AS640" s="73">
        <f t="shared" si="349"/>
        <v>116.32000000000002</v>
      </c>
      <c r="AT640" s="74">
        <f t="shared" si="350"/>
        <v>116.32000000000002</v>
      </c>
      <c r="AU640" s="74">
        <f t="shared" si="351"/>
        <v>1.1630411992977918</v>
      </c>
      <c r="AV640" s="74">
        <f t="shared" si="352"/>
        <v>122.78979286000001</v>
      </c>
      <c r="AW640" s="74">
        <f t="shared" si="353"/>
        <v>5.3300000000000409</v>
      </c>
      <c r="AX640" s="74">
        <f t="shared" si="354"/>
        <v>164.67310000000006</v>
      </c>
      <c r="AY640" s="74">
        <f t="shared" si="355"/>
        <v>128.12</v>
      </c>
      <c r="AZ640" s="43">
        <v>128.12</v>
      </c>
      <c r="BA640" s="43">
        <v>128.12</v>
      </c>
      <c r="BB640" s="49">
        <v>128.12</v>
      </c>
      <c r="BC640" s="73" t="str">
        <f t="shared" si="356"/>
        <v/>
      </c>
      <c r="BD640" s="73">
        <f t="shared" si="357"/>
        <v>275.66310000000004</v>
      </c>
      <c r="BE640" s="73">
        <f t="shared" si="358"/>
        <v>239.10979286000003</v>
      </c>
      <c r="BF640" s="77">
        <f t="shared" si="359"/>
        <v>36.549999999999997</v>
      </c>
      <c r="BG640" s="77">
        <f t="shared" si="360"/>
        <v>10.964999999999998</v>
      </c>
      <c r="BH640" s="77">
        <f t="shared" si="361"/>
        <v>159.34310000000002</v>
      </c>
      <c r="BI640" s="78">
        <f t="shared" si="362"/>
        <v>0.22</v>
      </c>
      <c r="BJ640" s="79">
        <f t="shared" si="363"/>
        <v>0.13258938174895368</v>
      </c>
      <c r="BK640" s="80">
        <f t="shared" si="364"/>
        <v>244.44000000000003</v>
      </c>
      <c r="BL640" s="80">
        <f t="shared" si="365"/>
        <v>31.223100000000017</v>
      </c>
      <c r="BM640" s="79">
        <f t="shared" si="366"/>
        <v>0.11326543160836547</v>
      </c>
      <c r="BN640" s="81">
        <f t="shared" si="367"/>
        <v>0.93518248175182483</v>
      </c>
      <c r="BO640" s="82">
        <f t="shared" si="368"/>
        <v>128.12</v>
      </c>
      <c r="BP640" s="81">
        <f t="shared" si="369"/>
        <v>0.93518248175182483</v>
      </c>
      <c r="BQ640" s="81">
        <f t="shared" si="370"/>
        <v>0.93522960362191632</v>
      </c>
      <c r="BR640" s="81">
        <f t="shared" si="371"/>
        <v>1.1631354430379748</v>
      </c>
      <c r="BS640" s="82">
        <f t="shared" si="372"/>
        <v>137</v>
      </c>
      <c r="BT640" s="82">
        <f t="shared" si="373"/>
        <v>159.34955569620254</v>
      </c>
      <c r="BU640" s="82">
        <f t="shared" si="374"/>
        <v>159.34310000000002</v>
      </c>
      <c r="BW640" s="82">
        <f>IFERROR(INDEX('Infos Clientes'!$T:$T,MATCH('Detalhe Por UC'!$C640,'Infos Clientes'!B:B,0)),"")</f>
        <v>818</v>
      </c>
      <c r="BX640" s="83">
        <f t="shared" si="375"/>
        <v>0</v>
      </c>
      <c r="BY640" s="84">
        <f t="shared" si="376"/>
        <v>0.19594092913271979</v>
      </c>
      <c r="BZ640" s="85">
        <f>IF(_xlfn.MINIFS('Detalhe Por UC'!R:R,'Detalhe Por UC'!C:C,C640,'Detalhe Por UC'!AD:AD,"&gt;"&amp;0)=0,"",_xlfn.MINIFS('Detalhe Por UC'!R:R,'Detalhe Por UC'!C:C,C640,'Detalhe Por UC'!AD:AD,"&gt;"&amp;0))</f>
        <v>45627</v>
      </c>
      <c r="CA640" s="114">
        <f ca="1">IF(OR(S640&gt;0,AD640&gt;0),IFERROR(
SUMIFS(INDIRECT("'Infos Clientes'!$W"&amp;INDEX('Infos Clientes'!$C:$C,MATCH(C640,'Infos Clientes'!$H:$H,0))&amp;":$CZ"&amp;INDEX('Infos Clientes'!$C:$C,MATCH(C640,'Infos Clientes'!$H:$H,0))),'Infos Clientes'!$W$2:$CZ$2,"&gt;"&amp;$R640-365,'Infos Clientes'!$W$2:$CZ$2,"&lt;="&amp;$R640)/
COUNTIFS(INDIRECT("'Infos Clientes'!$W"&amp;INDEX('Infos Clientes'!$C:$C,MATCH(C640,'Infos Clientes'!$H:$H,0))&amp;":$CZ"&amp;INDEX('Infos Clientes'!$C:$C,MATCH(C640,'Infos Clientes'!$H:$H,0))),"&gt;="&amp;0,'Infos Clientes'!$W$2:$CZ$2,"&gt;"&amp;$R640-365,'Infos Clientes'!$W$2:$CZ$2,"&lt;="&amp;$R640),""),"")</f>
        <v>826.66666666666663</v>
      </c>
      <c r="CB640" s="87">
        <f>VLOOKUP(C640,'Infos Clientes'!B:L,11,0)</f>
        <v>0</v>
      </c>
      <c r="CC640" s="88" t="str">
        <f t="shared" si="377"/>
        <v>A Unidade Consumidora 10/2599101-9 economizou R$36,55 na fatura referente à jul/2025  consumindo 137 kWh em créditos de energia renovável conforme fatura de energia. A economia foi de 22,94% em relação ao que seria pago para a Energisa considerando os créditos consumidos. Atenção: Mantenha as contas da Energisa em dia para evitar cortes.</v>
      </c>
      <c r="CD640" s="40" t="s">
        <v>86</v>
      </c>
      <c r="CE640" s="43">
        <v>116.32</v>
      </c>
      <c r="CF640" s="115">
        <f t="shared" si="378"/>
        <v>0</v>
      </c>
    </row>
    <row r="641" spans="1:84" ht="16.2" hidden="1" customHeight="1" x14ac:dyDescent="0.3">
      <c r="A641" s="105" t="str">
        <f>INDEX('Infos Clientes'!$D:$D,MATCH('Detalhe Por UC'!C641,'Infos Clientes'!B:B,0))</f>
        <v>IGREJA DO EVANGELHO QUADRANGULAR</v>
      </c>
      <c r="B641" s="106" t="str">
        <f>INDEX('Infos Clientes'!$F:$F,MATCH('Detalhe Por UC'!C641,'Infos Clientes'!B:B,0))</f>
        <v>62.955.505/4612-10</v>
      </c>
      <c r="C641" s="31" t="s">
        <v>57</v>
      </c>
      <c r="D641" t="s">
        <v>351</v>
      </c>
      <c r="E641" s="1" t="s">
        <v>352</v>
      </c>
      <c r="F641" s="56" t="str">
        <f>INDEX('Infos Clientes'!$I:$I,MATCH('Detalhe Por UC'!C641,'Infos Clientes'!B:B,0))</f>
        <v>BT</v>
      </c>
      <c r="G641" s="56" t="str">
        <f>INDEX('Infos Clientes'!$J:$J,MATCH('Detalhe Por UC'!C641,'Infos Clientes'!B:B,0))</f>
        <v>trifasico</v>
      </c>
      <c r="H641" s="108" t="s">
        <v>24</v>
      </c>
      <c r="I641" s="58">
        <f>IFERROR(VLOOKUP(C641,'Infos Clientes'!B:E,4,),"")</f>
        <v>306</v>
      </c>
      <c r="J641" s="109">
        <v>0.22939999999999999</v>
      </c>
      <c r="K641" s="79">
        <f>INDEX('Resumo Operacional'!$A$1:$P$151,MATCH("Desconto percentual Ucs",'Resumo Operacional'!$B$1:$B$151,0),MATCH('Detalhe Por UC'!$R641,'Resumo Operacional'!$A$1:$P$1,0))</f>
        <v>0.25212408425707711</v>
      </c>
      <c r="L641" s="125">
        <v>0</v>
      </c>
      <c r="M641" s="56">
        <f>INDEX('Infos Clientes'!$N:$N,MATCH('Detalhe Por UC'!C641,'Infos Clientes'!B:B,0))</f>
        <v>0</v>
      </c>
      <c r="N641" s="56">
        <f t="shared" si="343"/>
        <v>0</v>
      </c>
      <c r="O641" s="56">
        <f t="shared" si="344"/>
        <v>12</v>
      </c>
      <c r="P641" s="56">
        <f t="shared" si="379"/>
        <v>0</v>
      </c>
      <c r="Q641" s="61">
        <f>IFERROR(IFERROR(INDEX('Infos Clientes'!$A$2:$V$9884,MATCH($C641,'Infos Clientes'!$B$2:$B$9884,0),MATCH(Q$8,'Infos Clientes'!$A$2:$V$2,0)),"")
+IF(OR(INDEX('Infos Clientes'!$A$2:$V$9884,MATCH($C641,'Infos Clientes'!$B$2:$B$9884,0),MATCH("Tempo de Fidelidade (meses)",'Infos Clientes'!$A$2:$V$2,0))=0,R641&gt;=MAX(R:R)),0,
ROUND((MAX(R:R)-R641)/(365/12),0)),"")</f>
        <v>0</v>
      </c>
      <c r="R641" s="111">
        <v>45839</v>
      </c>
      <c r="S641" s="63">
        <v>4.9299999999999997E-2</v>
      </c>
      <c r="T641" s="113">
        <f>IF($H641="GIROSSOL II",AP641/INDEX('Resumo Operacional'!$A$1:$P$1103,17,MATCH('Detalhe Por UC'!$R641,'Resumo Operacional'!$A$1:$P$1,0)),
IF($H641="GIROSSOL II e III",AP641/INDEX('Resumo Operacional'!$A$1:$P$1103,17,MATCH('Detalhe Por UC'!$R641,'Resumo Operacional'!$A$1:$P$1,0)),
""))</f>
        <v>4.9212121212121214E-2</v>
      </c>
      <c r="U641" s="113" t="str">
        <f>IF($H641="GIROSSOL III",AP641/INDEX('Resumo Operacional'!$A$1:$P$1103,53,MATCH('Detalhe Por UC'!$R641,'Resumo Operacional'!$A$1:$P$1,0)),
IF($H641="GIROSSOL II e III",AP641/INDEX('Resumo Operacional'!$A$1:$P$1103,53,MATCH('Detalhe Por UC'!$R641,'Resumo Operacional'!$A$1:$P$1,0)),
""))</f>
        <v/>
      </c>
      <c r="V641" s="45"/>
      <c r="X641">
        <v>1.1630402487920219</v>
      </c>
      <c r="Y641">
        <v>0</v>
      </c>
      <c r="Z641" s="18">
        <v>1.1630444737389856</v>
      </c>
      <c r="AA641">
        <v>0</v>
      </c>
      <c r="AB641" s="18">
        <v>548</v>
      </c>
      <c r="AC641">
        <v>0</v>
      </c>
      <c r="AD641" s="143">
        <v>406</v>
      </c>
      <c r="AE641" s="35"/>
      <c r="AF641" s="18">
        <v>0</v>
      </c>
      <c r="AG641">
        <v>0</v>
      </c>
      <c r="AH641" s="48">
        <v>92.51</v>
      </c>
      <c r="AI641">
        <v>0</v>
      </c>
      <c r="AJ641">
        <v>0</v>
      </c>
      <c r="AN641" s="71">
        <f t="shared" si="345"/>
        <v>0</v>
      </c>
      <c r="AO641" s="71">
        <f t="shared" si="346"/>
        <v>0</v>
      </c>
      <c r="AP641" s="71">
        <f t="shared" si="347"/>
        <v>406</v>
      </c>
      <c r="AQ641" s="72">
        <f>IF(OR($H641="GIROSSOL II",$H641="GIROSSOL II e III"),INDEX('Resumo Operacional'!$A$1:$P$1103,MATCH("Energia Injetada prevista total Fatura da Usina (TUSD)",'Resumo Operacional'!$B$1:$B$1103,0),MATCH('Detalhe Por UC'!$R641,'Resumo Operacional'!$A$1:$P$1,0))*$S641,INDEX('Resumo Operacional'!$A$1:$P$1103,53,MATCH('Detalhe Por UC'!$R641,'Resumo Operacional'!$A$1:$P$1,0))*$S641)</f>
        <v>406.72499999999997</v>
      </c>
      <c r="AR641" s="71">
        <f t="shared" si="348"/>
        <v>-0.72499999999996589</v>
      </c>
      <c r="AS641" s="73">
        <f t="shared" si="349"/>
        <v>257.65999999999985</v>
      </c>
      <c r="AT641" s="74">
        <f t="shared" si="350"/>
        <v>257.65999999999985</v>
      </c>
      <c r="AU641" s="74">
        <f t="shared" si="351"/>
        <v>1.1630486986859492</v>
      </c>
      <c r="AV641" s="74">
        <f t="shared" si="352"/>
        <v>363.87428101408443</v>
      </c>
      <c r="AW641" s="74">
        <f t="shared" si="353"/>
        <v>0.67999999999999972</v>
      </c>
      <c r="AX641" s="74">
        <f t="shared" si="354"/>
        <v>472.87605633802815</v>
      </c>
      <c r="AY641" s="74">
        <f t="shared" si="355"/>
        <v>364.55</v>
      </c>
      <c r="AZ641" s="43">
        <v>364.55</v>
      </c>
      <c r="BA641" s="43">
        <v>364.55</v>
      </c>
      <c r="BB641" s="49">
        <v>364.55</v>
      </c>
      <c r="BC641" s="73" t="str">
        <f t="shared" si="356"/>
        <v/>
      </c>
      <c r="BD641" s="73">
        <f t="shared" si="357"/>
        <v>729.856056338028</v>
      </c>
      <c r="BE641" s="73">
        <f t="shared" si="358"/>
        <v>621.53428101408429</v>
      </c>
      <c r="BF641" s="77">
        <f t="shared" si="359"/>
        <v>108.32</v>
      </c>
      <c r="BG641" s="77">
        <f t="shared" si="360"/>
        <v>32.495999999999995</v>
      </c>
      <c r="BH641" s="77">
        <f t="shared" si="361"/>
        <v>472.19605633802814</v>
      </c>
      <c r="BI641" s="78">
        <f t="shared" si="362"/>
        <v>0.23</v>
      </c>
      <c r="BJ641" s="79">
        <f t="shared" si="363"/>
        <v>0.14841282614476559</v>
      </c>
      <c r="BK641" s="80">
        <f t="shared" si="364"/>
        <v>622.20999999999981</v>
      </c>
      <c r="BL641" s="80">
        <f t="shared" si="365"/>
        <v>107.64605633802819</v>
      </c>
      <c r="BM641" s="79">
        <f t="shared" si="366"/>
        <v>0.14748943357150499</v>
      </c>
      <c r="BN641" s="81">
        <f t="shared" si="367"/>
        <v>0.89790640394088672</v>
      </c>
      <c r="BO641" s="82">
        <f t="shared" si="368"/>
        <v>364.55</v>
      </c>
      <c r="BP641" s="81">
        <f t="shared" si="369"/>
        <v>0.89790640394088672</v>
      </c>
      <c r="BQ641" s="81">
        <f t="shared" si="370"/>
        <v>0.89790217899392311</v>
      </c>
      <c r="BR641" s="81">
        <f t="shared" si="371"/>
        <v>1.1630402487920219</v>
      </c>
      <c r="BS641" s="82">
        <f t="shared" si="372"/>
        <v>406</v>
      </c>
      <c r="BT641" s="82">
        <f t="shared" si="373"/>
        <v>472.1943410095609</v>
      </c>
      <c r="BU641" s="82">
        <f t="shared" si="374"/>
        <v>472.19605633802814</v>
      </c>
      <c r="BW641" s="82">
        <f>IFERROR(INDEX('Infos Clientes'!$T:$T,MATCH('Detalhe Por UC'!$C641,'Infos Clientes'!B:B,0)),"")</f>
        <v>511.41666666666669</v>
      </c>
      <c r="BX641" s="83">
        <f t="shared" si="375"/>
        <v>0</v>
      </c>
      <c r="BY641" s="84">
        <f t="shared" si="376"/>
        <v>0.22796981452145046</v>
      </c>
      <c r="BZ641" s="85">
        <f>IF(_xlfn.MINIFS('Detalhe Por UC'!R:R,'Detalhe Por UC'!C:C,C641,'Detalhe Por UC'!AD:AD,"&gt;"&amp;0)=0,"",_xlfn.MINIFS('Detalhe Por UC'!R:R,'Detalhe Por UC'!C:C,C641,'Detalhe Por UC'!AD:AD,"&gt;"&amp;0))</f>
        <v>45627</v>
      </c>
      <c r="CA641" s="114">
        <f ca="1">IF(OR(S641&gt;0,AD641&gt;0),IFERROR(
SUMIFS(INDIRECT("'Infos Clientes'!$W"&amp;INDEX('Infos Clientes'!$C:$C,MATCH(C641,'Infos Clientes'!$H:$H,0))&amp;":$CZ"&amp;INDEX('Infos Clientes'!$C:$C,MATCH(C641,'Infos Clientes'!$H:$H,0))),'Infos Clientes'!$W$2:$CZ$2,"&gt;"&amp;$R641-365,'Infos Clientes'!$W$2:$CZ$2,"&lt;="&amp;$R641)/
COUNTIFS(INDIRECT("'Infos Clientes'!$W"&amp;INDEX('Infos Clientes'!$C:$C,MATCH(C641,'Infos Clientes'!$H:$H,0))&amp;":$CZ"&amp;INDEX('Infos Clientes'!$C:$C,MATCH(C641,'Infos Clientes'!$H:$H,0))),"&gt;="&amp;0,'Infos Clientes'!$W$2:$CZ$2,"&gt;"&amp;$R641-365,'Infos Clientes'!$W$2:$CZ$2,"&lt;="&amp;$R641),""),"")</f>
        <v>746.91666666666663</v>
      </c>
      <c r="CB641" s="87">
        <f>VLOOKUP(C641,'Infos Clientes'!B:L,11,0)</f>
        <v>0</v>
      </c>
      <c r="CC641" s="88" t="str">
        <f t="shared" si="377"/>
        <v>A Unidade Consumidora 10/1695011-5 economizou R$108,32 na fatura referente à jul/2025  consumindo 406 kWh em créditos de energia renovável conforme fatura de energia. A economia foi de 22,94% em relação ao que seria pago para a Energisa considerando os créditos consumidos. Atenção: Mantenha as contas da Energisa em dia para evitar cortes.</v>
      </c>
      <c r="CD641" s="40" t="s">
        <v>59</v>
      </c>
      <c r="CE641" s="43">
        <v>257.66000000000003</v>
      </c>
      <c r="CF641" s="115">
        <f t="shared" si="378"/>
        <v>0</v>
      </c>
    </row>
    <row r="642" spans="1:84" ht="16.2" hidden="1" customHeight="1" x14ac:dyDescent="0.3">
      <c r="A642" s="105" t="str">
        <f>INDEX('Infos Clientes'!$D:$D,MATCH('Detalhe Por UC'!C642,'Infos Clientes'!B:B,0))</f>
        <v>IGREJA DO EVANGELHO QUADRANGULAR</v>
      </c>
      <c r="B642" s="106" t="str">
        <f>INDEX('Infos Clientes'!$F:$F,MATCH('Detalhe Por UC'!C642,'Infos Clientes'!B:B,0))</f>
        <v>62.955.505/3671-17</v>
      </c>
      <c r="C642" s="31" t="s">
        <v>111</v>
      </c>
      <c r="D642" t="s">
        <v>351</v>
      </c>
      <c r="E642" s="1" t="s">
        <v>352</v>
      </c>
      <c r="F642" s="56" t="str">
        <f>INDEX('Infos Clientes'!$I:$I,MATCH('Detalhe Por UC'!C642,'Infos Clientes'!B:B,0))</f>
        <v>BT</v>
      </c>
      <c r="G642" s="56" t="str">
        <f>INDEX('Infos Clientes'!$J:$J,MATCH('Detalhe Por UC'!C642,'Infos Clientes'!B:B,0))</f>
        <v>trifasico</v>
      </c>
      <c r="H642" s="108" t="s">
        <v>24</v>
      </c>
      <c r="I642" s="58">
        <f>IFERROR(VLOOKUP(C642,'Infos Clientes'!B:E,4,),"")</f>
        <v>358</v>
      </c>
      <c r="J642" s="109">
        <v>0.22939999999999999</v>
      </c>
      <c r="K642" s="79">
        <f>INDEX('Resumo Operacional'!$A$1:$P$151,MATCH("Desconto percentual Ucs",'Resumo Operacional'!$B$1:$B$151,0),MATCH('Detalhe Por UC'!$R642,'Resumo Operacional'!$A$1:$P$1,0))</f>
        <v>0.25212408425707711</v>
      </c>
      <c r="L642" s="125">
        <v>0</v>
      </c>
      <c r="M642" s="56">
        <f>INDEX('Infos Clientes'!$N:$N,MATCH('Detalhe Por UC'!C642,'Infos Clientes'!B:B,0))</f>
        <v>0</v>
      </c>
      <c r="N642" s="56">
        <f t="shared" si="343"/>
        <v>0</v>
      </c>
      <c r="O642" s="56">
        <f t="shared" si="344"/>
        <v>12</v>
      </c>
      <c r="P642" s="56">
        <f t="shared" si="379"/>
        <v>0</v>
      </c>
      <c r="Q642" s="61">
        <f>IFERROR(IFERROR(INDEX('Infos Clientes'!$A$2:$V$9884,MATCH($C642,'Infos Clientes'!$B$2:$B$9884,0),MATCH(Q$8,'Infos Clientes'!$A$2:$V$2,0)),"")
+IF(OR(INDEX('Infos Clientes'!$A$2:$V$9884,MATCH($C642,'Infos Clientes'!$B$2:$B$9884,0),MATCH("Tempo de Fidelidade (meses)",'Infos Clientes'!$A$2:$V$2,0))=0,R642&gt;=MAX(R:R)),0,
ROUND((MAX(R:R)-R642)/(365/12),0)),"")</f>
        <v>0</v>
      </c>
      <c r="R642" s="111">
        <v>45839</v>
      </c>
      <c r="S642" s="63">
        <v>4.2900000000000001E-2</v>
      </c>
      <c r="T642" s="113">
        <f>IF($H642="GIROSSOL II",AP642/INDEX('Resumo Operacional'!$A$1:$P$1103,17,MATCH('Detalhe Por UC'!$R642,'Resumo Operacional'!$A$1:$P$1,0)),
IF($H642="GIROSSOL II e III",AP642/INDEX('Resumo Operacional'!$A$1:$P$1103,17,MATCH('Detalhe Por UC'!$R642,'Resumo Operacional'!$A$1:$P$1,0)),
""))</f>
        <v>6.8848484848484853E-2</v>
      </c>
      <c r="U642" s="113" t="str">
        <f>IF($H642="GIROSSOL III",AP642/INDEX('Resumo Operacional'!$A$1:$P$1103,53,MATCH('Detalhe Por UC'!$R642,'Resumo Operacional'!$A$1:$P$1,0)),
IF($H642="GIROSSOL II e III",AP642/INDEX('Resumo Operacional'!$A$1:$P$1103,53,MATCH('Detalhe Por UC'!$R642,'Resumo Operacional'!$A$1:$P$1,0)),
""))</f>
        <v/>
      </c>
      <c r="V642" s="45"/>
      <c r="X642">
        <v>1.163129268292683</v>
      </c>
      <c r="Y642">
        <v>0</v>
      </c>
      <c r="Z642" s="18">
        <v>1.1631449197860961</v>
      </c>
      <c r="AA642">
        <v>0</v>
      </c>
      <c r="AB642" s="18">
        <v>287</v>
      </c>
      <c r="AC642">
        <v>0</v>
      </c>
      <c r="AD642" s="143">
        <v>187</v>
      </c>
      <c r="AE642" s="35"/>
      <c r="AF642" s="18">
        <v>381</v>
      </c>
      <c r="AG642">
        <v>0</v>
      </c>
      <c r="AH642" s="48">
        <v>59.89</v>
      </c>
      <c r="AI642">
        <v>0</v>
      </c>
      <c r="AJ642">
        <v>0</v>
      </c>
      <c r="AN642" s="71">
        <f t="shared" si="345"/>
        <v>381</v>
      </c>
      <c r="AO642" s="71">
        <f t="shared" si="346"/>
        <v>0</v>
      </c>
      <c r="AP642" s="71">
        <f t="shared" si="347"/>
        <v>568</v>
      </c>
      <c r="AQ642" s="72">
        <f>IF(OR($H642="GIROSSOL II",$H642="GIROSSOL II e III"),INDEX('Resumo Operacional'!$A$1:$P$1103,MATCH("Energia Injetada prevista total Fatura da Usina (TUSD)",'Resumo Operacional'!$B$1:$B$1103,0),MATCH('Detalhe Por UC'!$R642,'Resumo Operacional'!$A$1:$P$1,0))*$S642,INDEX('Resumo Operacional'!$A$1:$P$1103,53,MATCH('Detalhe Por UC'!$R642,'Resumo Operacional'!$A$1:$P$1,0))*$S642)</f>
        <v>353.92500000000001</v>
      </c>
      <c r="AR642" s="71">
        <f t="shared" si="348"/>
        <v>214.07499999999999</v>
      </c>
      <c r="AS642" s="73">
        <f t="shared" si="349"/>
        <v>176.20000000000005</v>
      </c>
      <c r="AT642" s="74">
        <f t="shared" si="350"/>
        <v>176.20000000000005</v>
      </c>
      <c r="AU642" s="74">
        <f t="shared" si="351"/>
        <v>1.1631605712795092</v>
      </c>
      <c r="AV642" s="74">
        <f t="shared" si="352"/>
        <v>167.61174185999997</v>
      </c>
      <c r="AW642" s="74">
        <f t="shared" si="353"/>
        <v>0.70000000000000284</v>
      </c>
      <c r="AX642" s="74">
        <f t="shared" si="354"/>
        <v>218.2081</v>
      </c>
      <c r="AY642" s="74">
        <f t="shared" si="355"/>
        <v>168.31</v>
      </c>
      <c r="AZ642" s="43">
        <v>168.31</v>
      </c>
      <c r="BA642" s="43">
        <v>168.31</v>
      </c>
      <c r="BB642" s="49">
        <v>218.21</v>
      </c>
      <c r="BC642" s="73">
        <f t="shared" si="356"/>
        <v>49.900000000000006</v>
      </c>
      <c r="BD642" s="73">
        <f t="shared" si="357"/>
        <v>393.7081</v>
      </c>
      <c r="BE642" s="73">
        <f t="shared" si="358"/>
        <v>343.81174185999998</v>
      </c>
      <c r="BF642" s="77">
        <f t="shared" si="359"/>
        <v>49.9</v>
      </c>
      <c r="BG642" s="77">
        <f t="shared" si="360"/>
        <v>14.969999999999999</v>
      </c>
      <c r="BH642" s="77">
        <f t="shared" si="361"/>
        <v>217.50809999999998</v>
      </c>
      <c r="BI642" s="78">
        <f t="shared" si="362"/>
        <v>0.23</v>
      </c>
      <c r="BJ642" s="79">
        <f t="shared" si="363"/>
        <v>0.12674364586352171</v>
      </c>
      <c r="BK642" s="80">
        <f t="shared" si="364"/>
        <v>344.51000000000005</v>
      </c>
      <c r="BL642" s="80">
        <f t="shared" si="365"/>
        <v>49.198099999999954</v>
      </c>
      <c r="BM642" s="79">
        <f t="shared" si="366"/>
        <v>0.12496085297711669</v>
      </c>
      <c r="BN642" s="81">
        <f t="shared" si="367"/>
        <v>0.90005347593582885</v>
      </c>
      <c r="BO642" s="82">
        <f t="shared" si="368"/>
        <v>168.31</v>
      </c>
      <c r="BP642" s="81">
        <f t="shared" si="369"/>
        <v>0.90005347593582885</v>
      </c>
      <c r="BQ642" s="81">
        <f t="shared" si="370"/>
        <v>0.90003782444241576</v>
      </c>
      <c r="BR642" s="81">
        <f t="shared" si="371"/>
        <v>1.163129268292683</v>
      </c>
      <c r="BS642" s="82">
        <f t="shared" si="372"/>
        <v>187</v>
      </c>
      <c r="BT642" s="82">
        <f t="shared" si="373"/>
        <v>217.50517317073172</v>
      </c>
      <c r="BU642" s="82">
        <f t="shared" si="374"/>
        <v>217.50809999999998</v>
      </c>
      <c r="BW642" s="82">
        <f>IFERROR(INDEX('Infos Clientes'!$T:$T,MATCH('Detalhe Por UC'!$C642,'Infos Clientes'!B:B,0)),"")</f>
        <v>586</v>
      </c>
      <c r="BX642" s="83">
        <f t="shared" si="375"/>
        <v>0</v>
      </c>
      <c r="BY642" s="84">
        <f t="shared" si="376"/>
        <v>0.22619278099368101</v>
      </c>
      <c r="BZ642" s="85">
        <f>IF(_xlfn.MINIFS('Detalhe Por UC'!R:R,'Detalhe Por UC'!C:C,C642,'Detalhe Por UC'!AD:AD,"&gt;"&amp;0)=0,"",_xlfn.MINIFS('Detalhe Por UC'!R:R,'Detalhe Por UC'!C:C,C642,'Detalhe Por UC'!AD:AD,"&gt;"&amp;0))</f>
        <v>45627</v>
      </c>
      <c r="CA642" s="114">
        <f ca="1">IF(OR(S642&gt;0,AD642&gt;0),IFERROR(
SUMIFS(INDIRECT("'Infos Clientes'!$W"&amp;INDEX('Infos Clientes'!$C:$C,MATCH(C642,'Infos Clientes'!$H:$H,0))&amp;":$CZ"&amp;INDEX('Infos Clientes'!$C:$C,MATCH(C642,'Infos Clientes'!$H:$H,0))),'Infos Clientes'!$W$2:$CZ$2,"&gt;"&amp;$R642-365,'Infos Clientes'!$W$2:$CZ$2,"&lt;="&amp;$R642)/
COUNTIFS(INDIRECT("'Infos Clientes'!$W"&amp;INDEX('Infos Clientes'!$C:$C,MATCH(C642,'Infos Clientes'!$H:$H,0))&amp;":$CZ"&amp;INDEX('Infos Clientes'!$C:$C,MATCH(C642,'Infos Clientes'!$H:$H,0))),"&gt;="&amp;0,'Infos Clientes'!$W$2:$CZ$2,"&gt;"&amp;$R642-365,'Infos Clientes'!$W$2:$CZ$2,"&lt;="&amp;$R642),""),"")</f>
        <v>570.66666666666663</v>
      </c>
      <c r="CB642" s="87">
        <f>VLOOKUP(C642,'Infos Clientes'!B:L,11,0)</f>
        <v>0</v>
      </c>
      <c r="CC642" s="88" t="str">
        <f t="shared" si="377"/>
        <v>A Unidade Consumidora 10/510330-4 economizou R$49,9 na fatura referente à jul/2025  consumindo 187 kWh em créditos de energia renovável conforme fatura de energia. A economia foi de 22,94% em relação ao que seria pago para a Energisa considerando os créditos consumidos. Atenção: Mantenha as contas da Energisa em dia para evitar cortes.</v>
      </c>
      <c r="CD642" s="40" t="s">
        <v>113</v>
      </c>
      <c r="CE642" s="43">
        <v>176.2</v>
      </c>
      <c r="CF642" s="115">
        <f t="shared" si="378"/>
        <v>0</v>
      </c>
    </row>
    <row r="643" spans="1:84" ht="16.2" hidden="1" customHeight="1" x14ac:dyDescent="0.3">
      <c r="A643" s="105" t="str">
        <f>INDEX('Infos Clientes'!$D:$D,MATCH('Detalhe Por UC'!C643,'Infos Clientes'!B:B,0))</f>
        <v>IGREJA DO EVANGELHO QUADRANGULAR</v>
      </c>
      <c r="B643" s="106" t="str">
        <f>INDEX('Infos Clientes'!$F:$F,MATCH('Detalhe Por UC'!C643,'Infos Clientes'!B:B,0))</f>
        <v>62.955.505/3216-30</v>
      </c>
      <c r="C643" s="31" t="s">
        <v>116</v>
      </c>
      <c r="D643" t="s">
        <v>351</v>
      </c>
      <c r="E643" s="1" t="s">
        <v>352</v>
      </c>
      <c r="F643" s="56" t="str">
        <f>INDEX('Infos Clientes'!$I:$I,MATCH('Detalhe Por UC'!C643,'Infos Clientes'!B:B,0))</f>
        <v>BT</v>
      </c>
      <c r="G643" s="56" t="str">
        <f>INDEX('Infos Clientes'!$J:$J,MATCH('Detalhe Por UC'!C643,'Infos Clientes'!B:B,0))</f>
        <v>trifasico</v>
      </c>
      <c r="H643" s="108" t="s">
        <v>24</v>
      </c>
      <c r="I643" s="58">
        <f>IFERROR(VLOOKUP(C643,'Infos Clientes'!B:E,4,),"")</f>
        <v>371</v>
      </c>
      <c r="J643" s="109">
        <v>0.22939999999999999</v>
      </c>
      <c r="K643" s="79">
        <f>INDEX('Resumo Operacional'!$A$1:$P$151,MATCH("Desconto percentual Ucs",'Resumo Operacional'!$B$1:$B$151,0),MATCH('Detalhe Por UC'!$R643,'Resumo Operacional'!$A$1:$P$1,0))</f>
        <v>0.25212408425707711</v>
      </c>
      <c r="L643" s="125">
        <v>0</v>
      </c>
      <c r="M643" s="56">
        <f>INDEX('Infos Clientes'!$N:$N,MATCH('Detalhe Por UC'!C643,'Infos Clientes'!B:B,0))</f>
        <v>0</v>
      </c>
      <c r="N643" s="56">
        <f t="shared" si="343"/>
        <v>0</v>
      </c>
      <c r="O643" s="56">
        <f t="shared" si="344"/>
        <v>9</v>
      </c>
      <c r="P643" s="56">
        <f t="shared" si="379"/>
        <v>0</v>
      </c>
      <c r="Q643" s="61">
        <f>IFERROR(IFERROR(INDEX('Infos Clientes'!$A$2:$V$9884,MATCH($C643,'Infos Clientes'!$B$2:$B$9884,0),MATCH(Q$8,'Infos Clientes'!$A$2:$V$2,0)),"")
+IF(OR(INDEX('Infos Clientes'!$A$2:$V$9884,MATCH($C643,'Infos Clientes'!$B$2:$B$9884,0),MATCH("Tempo de Fidelidade (meses)",'Infos Clientes'!$A$2:$V$2,0))=0,R643&gt;=MAX(R:R)),0,
ROUND((MAX(R:R)-R643)/(365/12),0)),"")</f>
        <v>0</v>
      </c>
      <c r="R643" s="111">
        <v>45839</v>
      </c>
      <c r="S643" s="63">
        <v>3.3700000000000001E-2</v>
      </c>
      <c r="T643" s="113">
        <f>IF($H643="GIROSSOL II",AP643/INDEX('Resumo Operacional'!$A$1:$P$1103,17,MATCH('Detalhe Por UC'!$R643,'Resumo Operacional'!$A$1:$P$1,0)),
IF($H643="GIROSSOL II e III",AP643/INDEX('Resumo Operacional'!$A$1:$P$1103,17,MATCH('Detalhe Por UC'!$R643,'Resumo Operacional'!$A$1:$P$1,0)),
""))</f>
        <v>7.1151515151515146E-2</v>
      </c>
      <c r="U643" s="113" t="str">
        <f>IF($H643="GIROSSOL III",AP643/INDEX('Resumo Operacional'!$A$1:$P$1103,53,MATCH('Detalhe Por UC'!$R643,'Resumo Operacional'!$A$1:$P$1,0)),
IF($H643="GIROSSOL II e III",AP643/INDEX('Resumo Operacional'!$A$1:$P$1103,53,MATCH('Detalhe Por UC'!$R643,'Resumo Operacional'!$A$1:$P$1,0)),
""))</f>
        <v/>
      </c>
      <c r="V643" s="45"/>
      <c r="X643">
        <v>1.163129268292683</v>
      </c>
      <c r="Y643">
        <v>0</v>
      </c>
      <c r="Z643" s="18">
        <v>1.1630619047619046</v>
      </c>
      <c r="AA643">
        <v>0</v>
      </c>
      <c r="AB643" s="18">
        <v>205</v>
      </c>
      <c r="AC643">
        <v>0</v>
      </c>
      <c r="AD643" s="143">
        <v>105</v>
      </c>
      <c r="AE643" s="35"/>
      <c r="AF643" s="18">
        <v>482</v>
      </c>
      <c r="AG643">
        <v>0</v>
      </c>
      <c r="AH643" s="48">
        <v>43.17</v>
      </c>
      <c r="AI643">
        <v>0</v>
      </c>
      <c r="AJ643">
        <v>0</v>
      </c>
      <c r="AN643" s="71">
        <f t="shared" si="345"/>
        <v>482</v>
      </c>
      <c r="AO643" s="71">
        <f t="shared" si="346"/>
        <v>0</v>
      </c>
      <c r="AP643" s="71">
        <f t="shared" si="347"/>
        <v>587</v>
      </c>
      <c r="AQ643" s="72">
        <f>IF(OR($H643="GIROSSOL II",$H643="GIROSSOL II e III"),INDEX('Resumo Operacional'!$A$1:$P$1103,MATCH("Energia Injetada prevista total Fatura da Usina (TUSD)",'Resumo Operacional'!$B$1:$B$1103,0),MATCH('Detalhe Por UC'!$R643,'Resumo Operacional'!$A$1:$P$1,0))*$S643,INDEX('Resumo Operacional'!$A$1:$P$1103,53,MATCH('Detalhe Por UC'!$R643,'Resumo Operacional'!$A$1:$P$1,0))*$S643)</f>
        <v>278.02500000000003</v>
      </c>
      <c r="AR643" s="71">
        <f t="shared" si="348"/>
        <v>308.97499999999997</v>
      </c>
      <c r="AS643" s="73">
        <f t="shared" si="349"/>
        <v>159.49000000000004</v>
      </c>
      <c r="AT643" s="74">
        <f t="shared" si="350"/>
        <v>159.49000000000004</v>
      </c>
      <c r="AU643" s="74">
        <f t="shared" si="351"/>
        <v>1.1629945412311262</v>
      </c>
      <c r="AV643" s="74">
        <f t="shared" si="352"/>
        <v>94.106827899999985</v>
      </c>
      <c r="AW643" s="74">
        <f t="shared" si="353"/>
        <v>0</v>
      </c>
      <c r="AX643" s="74">
        <f t="shared" si="354"/>
        <v>122.12149999999998</v>
      </c>
      <c r="AY643" s="74">
        <f t="shared" si="355"/>
        <v>94.11</v>
      </c>
      <c r="AZ643" s="43">
        <v>94.11</v>
      </c>
      <c r="BA643" s="43">
        <v>94.11</v>
      </c>
      <c r="BB643" s="49">
        <v>94.11</v>
      </c>
      <c r="BC643" s="73" t="str">
        <f t="shared" si="356"/>
        <v/>
      </c>
      <c r="BD643" s="73">
        <f t="shared" si="357"/>
        <v>281.61150000000004</v>
      </c>
      <c r="BE643" s="73">
        <f t="shared" si="358"/>
        <v>253.59682790000002</v>
      </c>
      <c r="BF643" s="77">
        <f t="shared" si="359"/>
        <v>28.01</v>
      </c>
      <c r="BG643" s="77">
        <f t="shared" si="360"/>
        <v>8.4030000000000005</v>
      </c>
      <c r="BH643" s="77">
        <f t="shared" si="361"/>
        <v>122.12149999999998</v>
      </c>
      <c r="BI643" s="78">
        <f t="shared" si="362"/>
        <v>0.23</v>
      </c>
      <c r="BJ643" s="79">
        <f t="shared" si="363"/>
        <v>9.946326765774835E-2</v>
      </c>
      <c r="BK643" s="80">
        <f t="shared" si="364"/>
        <v>253.60000000000002</v>
      </c>
      <c r="BL643" s="80">
        <f t="shared" si="365"/>
        <v>28.011500000000012</v>
      </c>
      <c r="BM643" s="79">
        <f t="shared" si="366"/>
        <v>9.9468594144770398E-2</v>
      </c>
      <c r="BN643" s="81">
        <f t="shared" si="367"/>
        <v>0.89628571428571424</v>
      </c>
      <c r="BO643" s="82">
        <f t="shared" si="368"/>
        <v>94.11</v>
      </c>
      <c r="BP643" s="81">
        <f t="shared" si="369"/>
        <v>0.89628571428571424</v>
      </c>
      <c r="BQ643" s="81">
        <f t="shared" si="370"/>
        <v>0.89635307781649265</v>
      </c>
      <c r="BR643" s="81">
        <f t="shared" si="371"/>
        <v>1.163129268292683</v>
      </c>
      <c r="BS643" s="82">
        <f t="shared" si="372"/>
        <v>105</v>
      </c>
      <c r="BT643" s="82">
        <f t="shared" si="373"/>
        <v>122.12857317073171</v>
      </c>
      <c r="BU643" s="82">
        <f t="shared" si="374"/>
        <v>122.12149999999998</v>
      </c>
      <c r="BW643" s="82">
        <f>IFERROR(INDEX('Infos Clientes'!$T:$T,MATCH('Detalhe Por UC'!$C643,'Infos Clientes'!B:B,0)),"")</f>
        <v>513.41666666666663</v>
      </c>
      <c r="BX643" s="83">
        <f t="shared" si="375"/>
        <v>0</v>
      </c>
      <c r="BY643" s="84">
        <f t="shared" si="376"/>
        <v>0.2293607406748365</v>
      </c>
      <c r="BZ643" s="85">
        <f>IF(_xlfn.MINIFS('Detalhe Por UC'!R:R,'Detalhe Por UC'!C:C,C643,'Detalhe Por UC'!AD:AD,"&gt;"&amp;0)=0,"",_xlfn.MINIFS('Detalhe Por UC'!R:R,'Detalhe Por UC'!C:C,C643,'Detalhe Por UC'!AD:AD,"&gt;"&amp;0))</f>
        <v>45627</v>
      </c>
      <c r="CA643" s="114">
        <f ca="1">IF(OR(S643&gt;0,AD643&gt;0),IFERROR(
SUMIFS(INDIRECT("'Infos Clientes'!$W"&amp;INDEX('Infos Clientes'!$C:$C,MATCH(C643,'Infos Clientes'!$H:$H,0))&amp;":$CZ"&amp;INDEX('Infos Clientes'!$C:$C,MATCH(C643,'Infos Clientes'!$H:$H,0))),'Infos Clientes'!$W$2:$CZ$2,"&gt;"&amp;$R643-365,'Infos Clientes'!$W$2:$CZ$2,"&lt;="&amp;$R643)/
COUNTIFS(INDIRECT("'Infos Clientes'!$W"&amp;INDEX('Infos Clientes'!$C:$C,MATCH(C643,'Infos Clientes'!$H:$H,0))&amp;":$CZ"&amp;INDEX('Infos Clientes'!$C:$C,MATCH(C643,'Infos Clientes'!$H:$H,0))),"&gt;="&amp;0,'Infos Clientes'!$W$2:$CZ$2,"&gt;"&amp;$R643-365,'Infos Clientes'!$W$2:$CZ$2,"&lt;="&amp;$R643),""),"")</f>
        <v>460.08333333333331</v>
      </c>
      <c r="CB643" s="87">
        <f>VLOOKUP(C643,'Infos Clientes'!B:L,11,0)</f>
        <v>0</v>
      </c>
      <c r="CC643" s="88" t="str">
        <f t="shared" si="377"/>
        <v>A Unidade Consumidora 10/513413-5 economizou R$28,01 na fatura referente à jul/2025  consumindo 105 kWh em créditos de energia renovável conforme fatura de energia. A economia foi de 22,94% em relação ao que seria pago para a Energisa considerando os créditos consumidos. Atenção: Mantenha as contas da Energisa em dia para evitar cortes.</v>
      </c>
      <c r="CD643" s="40" t="s">
        <v>118</v>
      </c>
      <c r="CE643" s="43">
        <v>159.49</v>
      </c>
      <c r="CF643" s="115">
        <f t="shared" si="378"/>
        <v>0</v>
      </c>
    </row>
    <row r="644" spans="1:84" ht="16.2" hidden="1" customHeight="1" x14ac:dyDescent="0.3">
      <c r="A644" s="105" t="str">
        <f>INDEX('Infos Clientes'!$D:$D,MATCH('Detalhe Por UC'!C644,'Infos Clientes'!B:B,0))</f>
        <v>IGREJA DO EVANGELHO QUADRANGULAR</v>
      </c>
      <c r="B644" s="106" t="str">
        <f>INDEX('Infos Clientes'!$F:$F,MATCH('Detalhe Por UC'!C644,'Infos Clientes'!B:B,0))</f>
        <v>62.955.505/0676-60</v>
      </c>
      <c r="C644" s="31" t="s">
        <v>91</v>
      </c>
      <c r="D644" t="s">
        <v>351</v>
      </c>
      <c r="E644" s="1" t="s">
        <v>352</v>
      </c>
      <c r="F644" s="56" t="str">
        <f>INDEX('Infos Clientes'!$I:$I,MATCH('Detalhe Por UC'!C644,'Infos Clientes'!B:B,0))</f>
        <v>BT</v>
      </c>
      <c r="G644" s="56" t="str">
        <f>INDEX('Infos Clientes'!$J:$J,MATCH('Detalhe Por UC'!C644,'Infos Clientes'!B:B,0))</f>
        <v>trifasico</v>
      </c>
      <c r="H644" s="108" t="s">
        <v>24</v>
      </c>
      <c r="I644" s="58">
        <f>IFERROR(VLOOKUP(C644,'Infos Clientes'!B:E,4,),"")</f>
        <v>357</v>
      </c>
      <c r="J644" s="109">
        <v>0.22939999999999999</v>
      </c>
      <c r="K644" s="79">
        <f>INDEX('Resumo Operacional'!$A$1:$P$151,MATCH("Desconto percentual Ucs",'Resumo Operacional'!$B$1:$B$151,0),MATCH('Detalhe Por UC'!$R644,'Resumo Operacional'!$A$1:$P$1,0))</f>
        <v>0.25212408425707711</v>
      </c>
      <c r="L644" s="125">
        <v>0</v>
      </c>
      <c r="M644" s="56">
        <f>INDEX('Infos Clientes'!$N:$N,MATCH('Detalhe Por UC'!C644,'Infos Clientes'!B:B,0))</f>
        <v>0</v>
      </c>
      <c r="N644" s="56">
        <f t="shared" si="343"/>
        <v>0</v>
      </c>
      <c r="O644" s="56">
        <f t="shared" si="344"/>
        <v>12</v>
      </c>
      <c r="P644" s="56">
        <f t="shared" si="379"/>
        <v>0</v>
      </c>
      <c r="Q644" s="61">
        <f>IFERROR(IFERROR(INDEX('Infos Clientes'!$A$2:$V$9884,MATCH($C644,'Infos Clientes'!$B$2:$B$9884,0),MATCH(Q$8,'Infos Clientes'!$A$2:$V$2,0)),"")
+IF(OR(INDEX('Infos Clientes'!$A$2:$V$9884,MATCH($C644,'Infos Clientes'!$B$2:$B$9884,0),MATCH("Tempo de Fidelidade (meses)",'Infos Clientes'!$A$2:$V$2,0))=0,R644&gt;=MAX(R:R)),0,
ROUND((MAX(R:R)-R644)/(365/12),0)),"")</f>
        <v>0</v>
      </c>
      <c r="R644" s="111">
        <v>45839</v>
      </c>
      <c r="S644" s="63">
        <v>3.1199999999999999E-2</v>
      </c>
      <c r="T644" s="113">
        <f>IF($H644="GIROSSOL II",AP644/INDEX('Resumo Operacional'!$A$1:$P$1103,17,MATCH('Detalhe Por UC'!$R644,'Resumo Operacional'!$A$1:$P$1,0)),
IF($H644="GIROSSOL II e III",AP644/INDEX('Resumo Operacional'!$A$1:$P$1103,17,MATCH('Detalhe Por UC'!$R644,'Resumo Operacional'!$A$1:$P$1,0)),
""))</f>
        <v>6.5818181818181817E-2</v>
      </c>
      <c r="U644" s="113" t="str">
        <f>IF($H644="GIROSSOL III",AP644/INDEX('Resumo Operacional'!$A$1:$P$1103,53,MATCH('Detalhe Por UC'!$R644,'Resumo Operacional'!$A$1:$P$1,0)),
IF($H644="GIROSSOL II e III",AP644/INDEX('Resumo Operacional'!$A$1:$P$1103,53,MATCH('Detalhe Por UC'!$R644,'Resumo Operacional'!$A$1:$P$1,0)),
""))</f>
        <v/>
      </c>
      <c r="V644" s="45"/>
      <c r="X644">
        <v>1.1631372093023256</v>
      </c>
      <c r="Y644">
        <v>0</v>
      </c>
      <c r="Z644" s="18">
        <v>1.1630826086956523</v>
      </c>
      <c r="AA644">
        <v>0</v>
      </c>
      <c r="AB644" s="18">
        <v>215</v>
      </c>
      <c r="AC644">
        <v>0</v>
      </c>
      <c r="AD644" s="143">
        <v>115</v>
      </c>
      <c r="AE644" s="35"/>
      <c r="AF644" s="18">
        <v>894</v>
      </c>
      <c r="AG644">
        <v>0</v>
      </c>
      <c r="AH644" s="48">
        <v>2.6</v>
      </c>
      <c r="AI644">
        <v>0</v>
      </c>
      <c r="AJ644">
        <v>0</v>
      </c>
      <c r="AN644" s="71">
        <f t="shared" si="345"/>
        <v>428</v>
      </c>
      <c r="AO644" s="71">
        <f t="shared" si="346"/>
        <v>0</v>
      </c>
      <c r="AP644" s="71">
        <f t="shared" si="347"/>
        <v>543</v>
      </c>
      <c r="AQ644" s="72">
        <f>IF(OR($H644="GIROSSOL II",$H644="GIROSSOL II e III"),INDEX('Resumo Operacional'!$A$1:$P$1103,MATCH("Energia Injetada prevista total Fatura da Usina (TUSD)",'Resumo Operacional'!$B$1:$B$1103,0),MATCH('Detalhe Por UC'!$R644,'Resumo Operacional'!$A$1:$P$1,0))*$S644,INDEX('Resumo Operacional'!$A$1:$P$1103,53,MATCH('Detalhe Por UC'!$R644,'Resumo Operacional'!$A$1:$P$1,0))*$S644)</f>
        <v>257.39999999999998</v>
      </c>
      <c r="AR644" s="71">
        <f t="shared" si="348"/>
        <v>285.60000000000002</v>
      </c>
      <c r="AS644" s="73">
        <f t="shared" si="349"/>
        <v>118.91999999999999</v>
      </c>
      <c r="AT644" s="74">
        <f t="shared" si="350"/>
        <v>118.91999999999999</v>
      </c>
      <c r="AU644" s="74">
        <f t="shared" si="351"/>
        <v>1.163028008088979</v>
      </c>
      <c r="AV644" s="74">
        <f t="shared" si="352"/>
        <v>103.07121770000001</v>
      </c>
      <c r="AW644" s="74">
        <f t="shared" si="353"/>
        <v>4.2700000000000102</v>
      </c>
      <c r="AX644" s="74">
        <f t="shared" si="354"/>
        <v>138.02450000000002</v>
      </c>
      <c r="AY644" s="74">
        <f t="shared" si="355"/>
        <v>107.34</v>
      </c>
      <c r="AZ644" s="43">
        <v>107.34</v>
      </c>
      <c r="BA644" s="43">
        <v>107.34</v>
      </c>
      <c r="BB644" s="49">
        <v>107.34</v>
      </c>
      <c r="BC644" s="73" t="str">
        <f t="shared" si="356"/>
        <v/>
      </c>
      <c r="BD644" s="73">
        <f t="shared" si="357"/>
        <v>252.67449999999999</v>
      </c>
      <c r="BE644" s="73">
        <f t="shared" si="358"/>
        <v>221.99121769999999</v>
      </c>
      <c r="BF644" s="77">
        <f t="shared" si="359"/>
        <v>30.68</v>
      </c>
      <c r="BG644" s="77">
        <f t="shared" si="360"/>
        <v>9.2039999999999988</v>
      </c>
      <c r="BH644" s="77">
        <f t="shared" si="361"/>
        <v>133.75450000000001</v>
      </c>
      <c r="BI644" s="78">
        <f t="shared" si="362"/>
        <v>0.22</v>
      </c>
      <c r="BJ644" s="79">
        <f t="shared" si="363"/>
        <v>0.12142103773827592</v>
      </c>
      <c r="BK644" s="80">
        <f t="shared" si="364"/>
        <v>226.26</v>
      </c>
      <c r="BL644" s="80">
        <f t="shared" si="365"/>
        <v>26.414500000000004</v>
      </c>
      <c r="BM644" s="79">
        <f t="shared" si="366"/>
        <v>0.10453963498493123</v>
      </c>
      <c r="BN644" s="81">
        <f t="shared" si="367"/>
        <v>0.93339130434782613</v>
      </c>
      <c r="BO644" s="82">
        <f t="shared" si="368"/>
        <v>107.34</v>
      </c>
      <c r="BP644" s="81">
        <f t="shared" si="369"/>
        <v>0.93339130434782613</v>
      </c>
      <c r="BQ644" s="81">
        <f t="shared" si="370"/>
        <v>0.93344590495449942</v>
      </c>
      <c r="BR644" s="81">
        <f t="shared" si="371"/>
        <v>1.1631372093023256</v>
      </c>
      <c r="BS644" s="82">
        <f t="shared" si="372"/>
        <v>115</v>
      </c>
      <c r="BT644" s="82">
        <f t="shared" si="373"/>
        <v>133.76077906976744</v>
      </c>
      <c r="BU644" s="82">
        <f t="shared" si="374"/>
        <v>133.75450000000001</v>
      </c>
      <c r="BW644" s="82">
        <f>IFERROR(INDEX('Infos Clientes'!$T:$T,MATCH('Detalhe Por UC'!$C644,'Infos Clientes'!B:B,0)),"")</f>
        <v>708</v>
      </c>
      <c r="BX644" s="83">
        <f t="shared" si="375"/>
        <v>0</v>
      </c>
      <c r="BY644" s="84">
        <f t="shared" si="376"/>
        <v>0.19747567398828197</v>
      </c>
      <c r="BZ644" s="85">
        <f>IF(_xlfn.MINIFS('Detalhe Por UC'!R:R,'Detalhe Por UC'!C:C,C644,'Detalhe Por UC'!AD:AD,"&gt;"&amp;0)=0,"",_xlfn.MINIFS('Detalhe Por UC'!R:R,'Detalhe Por UC'!C:C,C644,'Detalhe Por UC'!AD:AD,"&gt;"&amp;0))</f>
        <v>45627</v>
      </c>
      <c r="CA644" s="114">
        <f ca="1">IF(OR(S644&gt;0,AD644&gt;0),IFERROR(
SUMIFS(INDIRECT("'Infos Clientes'!$W"&amp;INDEX('Infos Clientes'!$C:$C,MATCH(C644,'Infos Clientes'!$H:$H,0))&amp;":$CZ"&amp;INDEX('Infos Clientes'!$C:$C,MATCH(C644,'Infos Clientes'!$H:$H,0))),'Infos Clientes'!$W$2:$CZ$2,"&gt;"&amp;$R644-365,'Infos Clientes'!$W$2:$CZ$2,"&lt;="&amp;$R644)/
COUNTIFS(INDIRECT("'Infos Clientes'!$W"&amp;INDEX('Infos Clientes'!$C:$C,MATCH(C644,'Infos Clientes'!$H:$H,0))&amp;":$CZ"&amp;INDEX('Infos Clientes'!$C:$C,MATCH(C644,'Infos Clientes'!$H:$H,0))),"&gt;="&amp;0,'Infos Clientes'!$W$2:$CZ$2,"&gt;"&amp;$R644-365,'Infos Clientes'!$W$2:$CZ$2,"&lt;="&amp;$R644),""),"")</f>
        <v>636</v>
      </c>
      <c r="CB644" s="87">
        <f>VLOOKUP(C644,'Infos Clientes'!B:L,11,0)</f>
        <v>0</v>
      </c>
      <c r="CC644" s="88" t="str">
        <f t="shared" si="377"/>
        <v>A Unidade Consumidora 10/29964-4 economizou R$30,68 na fatura referente à jul/2025  consumindo 115 kWh em créditos de energia renovável conforme fatura de energia. A economia foi de 22,94% em relação ao que seria pago para a Energisa considerando os créditos consumidos. Atenção: Mantenha as contas da Energisa em dia para evitar cortes.</v>
      </c>
      <c r="CD644" s="40" t="s">
        <v>93</v>
      </c>
      <c r="CE644" s="43">
        <v>118.92</v>
      </c>
      <c r="CF644" s="115">
        <f t="shared" si="378"/>
        <v>0</v>
      </c>
    </row>
    <row r="645" spans="1:84" ht="16.2" hidden="1" customHeight="1" x14ac:dyDescent="0.3">
      <c r="A645" s="105" t="str">
        <f>INDEX('Infos Clientes'!$D:$D,MATCH('Detalhe Por UC'!C645,'Infos Clientes'!B:B,0))</f>
        <v>IGREJA DO EVANGELHO QUADRANGULAR</v>
      </c>
      <c r="B645" s="106" t="str">
        <f>INDEX('Infos Clientes'!$F:$F,MATCH('Detalhe Por UC'!C645,'Infos Clientes'!B:B,0))</f>
        <v>62.955.505/8789-87</v>
      </c>
      <c r="C645" s="31" t="s">
        <v>250</v>
      </c>
      <c r="D645" t="s">
        <v>351</v>
      </c>
      <c r="E645" s="1" t="s">
        <v>352</v>
      </c>
      <c r="F645" s="56">
        <f>INDEX('Infos Clientes'!$I:$I,MATCH('Detalhe Por UC'!C645,'Infos Clientes'!B:B,0))</f>
        <v>0</v>
      </c>
      <c r="G645" s="56" t="str">
        <f>INDEX('Infos Clientes'!$J:$J,MATCH('Detalhe Por UC'!C645,'Infos Clientes'!B:B,0))</f>
        <v>bifasico</v>
      </c>
      <c r="H645" s="47" t="str">
        <f>HYPERLINK("https://geraebcsp.sharepoint.com/sites/gestao.gdc/Shared Documents/EGS/2- Faturas/"&amp; TEXT($R645,"AAA") &amp;"/"&amp; TEXT($R645,"MM") &amp;"."&amp; TEXT($R645,"AAA") &amp;"/"&amp;"_10-"&amp; RIGHT($C645,LEN($C645)-3) &amp;"_" &amp; TEXT($R645,"AAAA") &amp;"-"&amp; TEXT($R645,"MM") &amp;".pdf","GIROSSOL II")</f>
        <v>GIROSSOL II</v>
      </c>
      <c r="I645" s="58">
        <f>IFERROR(VLOOKUP(C645,'Infos Clientes'!B:E,4,),"")</f>
        <v>319</v>
      </c>
      <c r="J645" s="109">
        <v>0.22939999999999999</v>
      </c>
      <c r="K645" s="79">
        <f>INDEX('Resumo Operacional'!$A$1:$P$151,MATCH("Desconto percentual Ucs",'Resumo Operacional'!$B$1:$B$151,0),MATCH('Detalhe Por UC'!$R645,'Resumo Operacional'!$A$1:$P$1,0))</f>
        <v>0.25212408425707711</v>
      </c>
      <c r="L645" s="125">
        <v>0</v>
      </c>
      <c r="M645" s="56">
        <f>INDEX('Infos Clientes'!$N:$N,MATCH('Detalhe Por UC'!C645,'Infos Clientes'!B:B,0))</f>
        <v>0</v>
      </c>
      <c r="N645" s="56">
        <f t="shared" si="343"/>
        <v>0</v>
      </c>
      <c r="O645" s="56">
        <f t="shared" si="344"/>
        <v>5</v>
      </c>
      <c r="P645" s="56">
        <f t="shared" si="379"/>
        <v>0</v>
      </c>
      <c r="Q645" s="61">
        <f>IFERROR(IFERROR(INDEX('Infos Clientes'!$A$2:$V$9884,MATCH($C645,'Infos Clientes'!$B$2:$B$9884,0),MATCH(Q$8,'Infos Clientes'!$A$2:$V$2,0)),"")
+IF(OR(INDEX('Infos Clientes'!$A$2:$V$9884,MATCH($C645,'Infos Clientes'!$B$2:$B$9884,0),MATCH("Tempo de Fidelidade (meses)",'Infos Clientes'!$A$2:$V$2,0))=0,R645&gt;=MAX(R:R)),0,
ROUND((MAX(R:R)-R645)/(365/12),0)),"")</f>
        <v>0</v>
      </c>
      <c r="R645" s="111">
        <v>45839</v>
      </c>
      <c r="S645" s="63">
        <v>3.0099999999999998E-2</v>
      </c>
      <c r="T645" s="113">
        <f>IF($H645="GIROSSOL II",AP645/INDEX('Resumo Operacional'!$A$1:$P$1103,17,MATCH('Detalhe Por UC'!$R645,'Resumo Operacional'!$A$1:$P$1,0)),
IF($H645="GIROSSOL II e III",AP645/INDEX('Resumo Operacional'!$A$1:$P$1103,17,MATCH('Detalhe Por UC'!$R645,'Resumo Operacional'!$A$1:$P$1,0)),
""))</f>
        <v>6.7272727272727276E-2</v>
      </c>
      <c r="U645" s="113" t="str">
        <f>IF($H645="GIROSSOL III",AP645/INDEX('Resumo Operacional'!$A$1:$P$1103,53,MATCH('Detalhe Por UC'!$R645,'Resumo Operacional'!$A$1:$P$1,0)),
IF($H645="GIROSSOL II e III",AP645/INDEX('Resumo Operacional'!$A$1:$P$1103,53,MATCH('Detalhe Por UC'!$R645,'Resumo Operacional'!$A$1:$P$1,0)),
""))</f>
        <v/>
      </c>
      <c r="V645" s="45"/>
      <c r="X645">
        <v>1.1630235294117648</v>
      </c>
      <c r="Y645">
        <v>0</v>
      </c>
      <c r="Z645" s="18">
        <v>1.163029268292683</v>
      </c>
      <c r="AA645">
        <v>0</v>
      </c>
      <c r="AB645" s="18">
        <v>255</v>
      </c>
      <c r="AC645">
        <v>0</v>
      </c>
      <c r="AD645" s="143">
        <v>205</v>
      </c>
      <c r="AE645" s="35"/>
      <c r="AF645" s="18">
        <v>350</v>
      </c>
      <c r="AG645">
        <v>0</v>
      </c>
      <c r="AH645" s="48">
        <v>122.69000000000001</v>
      </c>
      <c r="AI645">
        <v>0</v>
      </c>
      <c r="AJ645">
        <v>0</v>
      </c>
      <c r="AN645" s="71">
        <f t="shared" si="345"/>
        <v>350</v>
      </c>
      <c r="AO645" s="71">
        <f t="shared" si="346"/>
        <v>0</v>
      </c>
      <c r="AP645" s="71">
        <f t="shared" si="347"/>
        <v>555</v>
      </c>
      <c r="AQ645" s="72">
        <f>IF(OR($H645="GIROSSOL II",$H645="GIROSSOL II e III"),INDEX('Resumo Operacional'!$A$1:$P$1103,MATCH("Energia Injetada prevista total Fatura da Usina (TUSD)",'Resumo Operacional'!$B$1:$B$1103,0),MATCH('Detalhe Por UC'!$R645,'Resumo Operacional'!$A$1:$P$1,0))*$S645,INDEX('Resumo Operacional'!$A$1:$P$1103,53,MATCH('Detalhe Por UC'!$R645,'Resumo Operacional'!$A$1:$P$1,0))*$S645)</f>
        <v>248.32499999999999</v>
      </c>
      <c r="AR645" s="71">
        <f t="shared" si="348"/>
        <v>306.67500000000001</v>
      </c>
      <c r="AS645" s="73">
        <f t="shared" si="349"/>
        <v>180.84000000000003</v>
      </c>
      <c r="AT645" s="74">
        <f t="shared" si="350"/>
        <v>180.84000000000003</v>
      </c>
      <c r="AU645" s="74">
        <f t="shared" si="351"/>
        <v>1.1630350071736013</v>
      </c>
      <c r="AV645" s="74">
        <f t="shared" si="352"/>
        <v>183.72722260000003</v>
      </c>
      <c r="AW645" s="74">
        <f t="shared" si="353"/>
        <v>0</v>
      </c>
      <c r="AX645" s="74">
        <f t="shared" si="354"/>
        <v>238.42100000000002</v>
      </c>
      <c r="AY645" s="74">
        <f t="shared" si="355"/>
        <v>183.73</v>
      </c>
      <c r="AZ645" s="43">
        <v>183.73</v>
      </c>
      <c r="BA645" s="43">
        <v>183.73</v>
      </c>
      <c r="BB645" s="49">
        <v>183.73</v>
      </c>
      <c r="BC645" s="73" t="str">
        <f t="shared" si="356"/>
        <v/>
      </c>
      <c r="BD645" s="73">
        <f t="shared" si="357"/>
        <v>419.26100000000002</v>
      </c>
      <c r="BE645" s="73">
        <f t="shared" si="358"/>
        <v>364.56722260000004</v>
      </c>
      <c r="BF645" s="77">
        <f t="shared" si="359"/>
        <v>54.69</v>
      </c>
      <c r="BG645" s="77">
        <f t="shared" si="360"/>
        <v>16.407</v>
      </c>
      <c r="BH645" s="77">
        <f t="shared" si="361"/>
        <v>238.42100000000002</v>
      </c>
      <c r="BI645" s="78">
        <f t="shared" si="362"/>
        <v>0.23</v>
      </c>
      <c r="BJ645" s="79">
        <f t="shared" si="363"/>
        <v>0.13044380469445047</v>
      </c>
      <c r="BK645" s="80">
        <f t="shared" si="364"/>
        <v>364.57000000000005</v>
      </c>
      <c r="BL645" s="80">
        <f t="shared" si="365"/>
        <v>54.690999999999974</v>
      </c>
      <c r="BM645" s="79">
        <f t="shared" si="366"/>
        <v>0.13044618984355799</v>
      </c>
      <c r="BN645" s="81">
        <f t="shared" si="367"/>
        <v>0.8962439024390243</v>
      </c>
      <c r="BO645" s="82">
        <f t="shared" si="368"/>
        <v>183.73</v>
      </c>
      <c r="BP645" s="81">
        <f t="shared" si="369"/>
        <v>0.8962439024390243</v>
      </c>
      <c r="BQ645" s="81">
        <f t="shared" si="370"/>
        <v>0.89623816355810604</v>
      </c>
      <c r="BR645" s="81">
        <f t="shared" si="371"/>
        <v>1.1630235294117648</v>
      </c>
      <c r="BS645" s="82">
        <f t="shared" si="372"/>
        <v>205</v>
      </c>
      <c r="BT645" s="82">
        <f t="shared" si="373"/>
        <v>238.41982352941179</v>
      </c>
      <c r="BU645" s="82">
        <f t="shared" si="374"/>
        <v>238.42100000000002</v>
      </c>
      <c r="BW645" s="82">
        <f>IFERROR(INDEX('Infos Clientes'!$T:$T,MATCH('Detalhe Por UC'!$C645,'Infos Clientes'!B:B,0)),"")</f>
        <v>325</v>
      </c>
      <c r="BX645" s="83">
        <f t="shared" si="375"/>
        <v>0</v>
      </c>
      <c r="BY645" s="84">
        <f t="shared" si="376"/>
        <v>0.22938948276359786</v>
      </c>
      <c r="BZ645" s="85">
        <f>IF(_xlfn.MINIFS('Detalhe Por UC'!R:R,'Detalhe Por UC'!C:C,C645,'Detalhe Por UC'!AD:AD,"&gt;"&amp;0)=0,"",_xlfn.MINIFS('Detalhe Por UC'!R:R,'Detalhe Por UC'!C:C,C645,'Detalhe Por UC'!AD:AD,"&gt;"&amp;0))</f>
        <v>45839</v>
      </c>
      <c r="CA645" s="114">
        <f ca="1">IF(OR(S645&gt;0,AD645&gt;0),IFERROR(
SUMIFS(INDIRECT("'Infos Clientes'!$W"&amp;INDEX('Infos Clientes'!$C:$C,MATCH(C645,'Infos Clientes'!$H:$H,0))&amp;":$CZ"&amp;INDEX('Infos Clientes'!$C:$C,MATCH(C645,'Infos Clientes'!$H:$H,0))),'Infos Clientes'!$W$2:$CZ$2,"&gt;"&amp;$R645-365,'Infos Clientes'!$W$2:$CZ$2,"&lt;="&amp;$R645)/
COUNTIFS(INDIRECT("'Infos Clientes'!$W"&amp;INDEX('Infos Clientes'!$C:$C,MATCH(C645,'Infos Clientes'!$H:$H,0))&amp;":$CZ"&amp;INDEX('Infos Clientes'!$C:$C,MATCH(C645,'Infos Clientes'!$H:$H,0))),"&gt;="&amp;0,'Infos Clientes'!$W$2:$CZ$2,"&gt;"&amp;$R645-365,'Infos Clientes'!$W$2:$CZ$2,"&lt;="&amp;$R645),""),"")</f>
        <v>255</v>
      </c>
      <c r="CB645" s="87">
        <f>VLOOKUP(C645,'Infos Clientes'!B:L,11,0)</f>
        <v>0</v>
      </c>
      <c r="CC645" s="88" t="str">
        <f t="shared" si="377"/>
        <v>A Unidade Consumidora 10/1017804-4 economizou R$54,69 na fatura referente à jul/2025  consumindo 205 kWh em créditos de energia renovável conforme fatura de energia. A economia foi de 22,94% em relação ao que seria pago para a Energisa considerando os créditos consumidos. Atenção: Mantenha as contas da Energisa em dia para evitar cortes.</v>
      </c>
      <c r="CD645" s="40">
        <v>0</v>
      </c>
      <c r="CE645" s="43">
        <v>180.84</v>
      </c>
      <c r="CF645" s="115">
        <f t="shared" si="378"/>
        <v>0</v>
      </c>
    </row>
    <row r="646" spans="1:84" ht="16.2" hidden="1" customHeight="1" x14ac:dyDescent="0.3">
      <c r="A646" s="105" t="str">
        <f>INDEX('Infos Clientes'!$D:$D,MATCH('Detalhe Por UC'!C646,'Infos Clientes'!B:B,0))</f>
        <v>IGREJA DO EVANGELHO QUADRANGULAR</v>
      </c>
      <c r="B646" s="106" t="str">
        <f>INDEX('Infos Clientes'!$F:$F,MATCH('Detalhe Por UC'!C646,'Infos Clientes'!B:B,0))</f>
        <v>62.955.505/0160-80</v>
      </c>
      <c r="C646" s="31" t="s">
        <v>97</v>
      </c>
      <c r="D646" t="s">
        <v>351</v>
      </c>
      <c r="E646" s="1" t="s">
        <v>352</v>
      </c>
      <c r="F646" s="56" t="str">
        <f>INDEX('Infos Clientes'!$I:$I,MATCH('Detalhe Por UC'!C646,'Infos Clientes'!B:B,0))</f>
        <v>BT</v>
      </c>
      <c r="G646" s="56" t="str">
        <f>INDEX('Infos Clientes'!$J:$J,MATCH('Detalhe Por UC'!C646,'Infos Clientes'!B:B,0))</f>
        <v>trifasico</v>
      </c>
      <c r="H646" s="47" t="str">
        <f>HYPERLINK("https://geraebcsp.sharepoint.com/sites/gestao.gdc/Shared Documents/EGS/2- Faturas/"&amp; TEXT($R646,"AAA") &amp;"/"&amp; TEXT($R646,"MM") &amp;"."&amp; TEXT($R646,"AAA") &amp;"/"&amp;"_10-"&amp; RIGHT($C646,LEN($C646)-3) &amp;"_" &amp; TEXT($R646,"AAAA") &amp;"-"&amp; TEXT($R646,"MM") &amp;".pdf","GIROSSOL II")</f>
        <v>GIROSSOL II</v>
      </c>
      <c r="I646" s="58">
        <f>IFERROR(VLOOKUP(C646,'Infos Clientes'!B:E,4,),"")</f>
        <v>357</v>
      </c>
      <c r="J646" s="109">
        <v>0.22939999999999999</v>
      </c>
      <c r="K646" s="79">
        <f>INDEX('Resumo Operacional'!$A$1:$P$151,MATCH("Desconto percentual Ucs",'Resumo Operacional'!$B$1:$B$151,0),MATCH('Detalhe Por UC'!$R646,'Resumo Operacional'!$A$1:$P$1,0))</f>
        <v>0.25212408425707711</v>
      </c>
      <c r="L646" s="125">
        <v>0</v>
      </c>
      <c r="M646" s="56">
        <f>INDEX('Infos Clientes'!$N:$N,MATCH('Detalhe Por UC'!C646,'Infos Clientes'!B:B,0))</f>
        <v>0</v>
      </c>
      <c r="N646" s="56">
        <f t="shared" si="343"/>
        <v>0</v>
      </c>
      <c r="O646" s="56">
        <f t="shared" si="344"/>
        <v>11</v>
      </c>
      <c r="P646" s="56">
        <f t="shared" si="379"/>
        <v>0</v>
      </c>
      <c r="Q646" s="61">
        <f>IFERROR(IFERROR(INDEX('Infos Clientes'!$A$2:$V$9884,MATCH($C646,'Infos Clientes'!$B$2:$B$9884,0),MATCH(Q$8,'Infos Clientes'!$A$2:$V$2,0)),"")
+IF(OR(INDEX('Infos Clientes'!$A$2:$V$9884,MATCH($C646,'Infos Clientes'!$B$2:$B$9884,0),MATCH("Tempo de Fidelidade (meses)",'Infos Clientes'!$A$2:$V$2,0))=0,R646&gt;=MAX(R:R)),0,
ROUND((MAX(R:R)-R646)/(365/12),0)),"")</f>
        <v>0</v>
      </c>
      <c r="R646" s="111">
        <v>45839</v>
      </c>
      <c r="S646" s="63">
        <v>2.9600000000000001E-2</v>
      </c>
      <c r="T646" s="113">
        <f>IF($H646="GIROSSOL II",AP646/INDEX('Resumo Operacional'!$A$1:$P$1103,17,MATCH('Detalhe Por UC'!$R646,'Resumo Operacional'!$A$1:$P$1,0)),
IF($H646="GIROSSOL II e III",AP646/INDEX('Resumo Operacional'!$A$1:$P$1103,17,MATCH('Detalhe Por UC'!$R646,'Resumo Operacional'!$A$1:$P$1,0)),
""))</f>
        <v>0</v>
      </c>
      <c r="U646" s="113" t="str">
        <f>IF($H646="GIROSSOL III",AP646/INDEX('Resumo Operacional'!$A$1:$P$1103,53,MATCH('Detalhe Por UC'!$R646,'Resumo Operacional'!$A$1:$P$1,0)),
IF($H646="GIROSSOL II e III",AP646/INDEX('Resumo Operacional'!$A$1:$P$1103,53,MATCH('Detalhe Por UC'!$R646,'Resumo Operacional'!$A$1:$P$1,0)),
""))</f>
        <v/>
      </c>
      <c r="V646" s="45"/>
      <c r="X646" s="31">
        <v>1.1630914826498424</v>
      </c>
      <c r="Y646">
        <v>0</v>
      </c>
      <c r="Z646" s="18">
        <v>0</v>
      </c>
      <c r="AA646">
        <v>0</v>
      </c>
      <c r="AB646" s="18">
        <v>317</v>
      </c>
      <c r="AC646">
        <v>0</v>
      </c>
      <c r="AD646" s="143">
        <v>0</v>
      </c>
      <c r="AE646" s="35"/>
      <c r="AF646" s="18">
        <v>0</v>
      </c>
      <c r="AG646">
        <v>0</v>
      </c>
      <c r="AH646" s="48">
        <v>69.210000000000008</v>
      </c>
      <c r="AI646">
        <v>0</v>
      </c>
      <c r="AJ646">
        <v>0</v>
      </c>
      <c r="AN646" s="71">
        <f t="shared" si="345"/>
        <v>0</v>
      </c>
      <c r="AO646" s="71">
        <f t="shared" si="346"/>
        <v>0</v>
      </c>
      <c r="AP646" s="71">
        <f t="shared" si="347"/>
        <v>0</v>
      </c>
      <c r="AQ646" s="72">
        <f>IF(OR($H646="GIROSSOL II",$H646="GIROSSOL II e III"),INDEX('Resumo Operacional'!$A$1:$P$1103,MATCH("Energia Injetada prevista total Fatura da Usina (TUSD)",'Resumo Operacional'!$B$1:$B$1103,0),MATCH('Detalhe Por UC'!$R646,'Resumo Operacional'!$A$1:$P$1,0))*$S646,INDEX('Resumo Operacional'!$A$1:$P$1103,53,MATCH('Detalhe Por UC'!$R646,'Resumo Operacional'!$A$1:$P$1,0))*$S646)</f>
        <v>244.20000000000002</v>
      </c>
      <c r="AR646" s="71">
        <f t="shared" si="348"/>
        <v>-244.20000000000002</v>
      </c>
      <c r="AS646" s="73">
        <f t="shared" si="349"/>
        <v>437.91000000000008</v>
      </c>
      <c r="AT646" s="74">
        <f t="shared" si="350"/>
        <v>437.91000000000008</v>
      </c>
      <c r="AU646" s="74" t="str">
        <f t="shared" si="351"/>
        <v/>
      </c>
      <c r="AV646" s="74">
        <f t="shared" si="352"/>
        <v>0</v>
      </c>
      <c r="AW646" s="74">
        <f t="shared" si="353"/>
        <v>2.5900000000000034</v>
      </c>
      <c r="AX646" s="74">
        <f t="shared" si="354"/>
        <v>2.5900000000000034</v>
      </c>
      <c r="AY646" s="74">
        <f t="shared" si="355"/>
        <v>2.5900000000000034</v>
      </c>
      <c r="AZ646" s="43">
        <v>2.5900000000000034</v>
      </c>
      <c r="BA646" s="43">
        <v>2.59</v>
      </c>
      <c r="BB646" s="49">
        <v>2.59</v>
      </c>
      <c r="BC646" s="73" t="str">
        <f t="shared" si="356"/>
        <v/>
      </c>
      <c r="BD646" s="73">
        <f t="shared" si="357"/>
        <v>437.91000000000008</v>
      </c>
      <c r="BE646" s="73">
        <f t="shared" si="358"/>
        <v>437.91000000000008</v>
      </c>
      <c r="BF646" s="77">
        <f t="shared" si="359"/>
        <v>0</v>
      </c>
      <c r="BG646" s="77">
        <f t="shared" si="360"/>
        <v>0</v>
      </c>
      <c r="BH646" s="77">
        <f t="shared" si="361"/>
        <v>0</v>
      </c>
      <c r="BI646" s="78" t="str">
        <f t="shared" si="362"/>
        <v/>
      </c>
      <c r="BJ646" s="79">
        <f t="shared" si="363"/>
        <v>0</v>
      </c>
      <c r="BK646" s="80">
        <f t="shared" si="364"/>
        <v>440.50000000000011</v>
      </c>
      <c r="BL646" s="80">
        <f t="shared" si="365"/>
        <v>-2.5900000000000318</v>
      </c>
      <c r="BM646" s="79">
        <f t="shared" si="366"/>
        <v>-5.9144573085794603E-3</v>
      </c>
      <c r="BN646" s="81" t="str">
        <f t="shared" si="367"/>
        <v/>
      </c>
      <c r="BO646" s="82" t="str">
        <f t="shared" si="368"/>
        <v/>
      </c>
      <c r="BP646" s="81" t="str">
        <f t="shared" si="369"/>
        <v/>
      </c>
      <c r="BQ646" s="81" t="str">
        <f t="shared" si="370"/>
        <v/>
      </c>
      <c r="BR646" s="81" t="str">
        <f t="shared" si="371"/>
        <v/>
      </c>
      <c r="BS646" s="82">
        <f t="shared" si="372"/>
        <v>0</v>
      </c>
      <c r="BT646" s="82" t="str">
        <f t="shared" si="373"/>
        <v/>
      </c>
      <c r="BU646" s="82">
        <f t="shared" si="374"/>
        <v>0</v>
      </c>
      <c r="BW646" s="82">
        <f>IFERROR(INDEX('Infos Clientes'!$T:$T,MATCH('Detalhe Por UC'!$C646,'Infos Clientes'!B:B,0)),"")</f>
        <v>468.66666666666669</v>
      </c>
      <c r="BX646" s="83">
        <f t="shared" si="375"/>
        <v>0</v>
      </c>
      <c r="BY646" s="84" t="str">
        <f t="shared" si="376"/>
        <v/>
      </c>
      <c r="BZ646" s="85">
        <f>IF(_xlfn.MINIFS('Detalhe Por UC'!R:R,'Detalhe Por UC'!C:C,C646,'Detalhe Por UC'!AD:AD,"&gt;"&amp;0)=0,"",_xlfn.MINIFS('Detalhe Por UC'!R:R,'Detalhe Por UC'!C:C,C646,'Detalhe Por UC'!AD:AD,"&gt;"&amp;0))</f>
        <v>45627</v>
      </c>
      <c r="CA646" s="114">
        <f ca="1">IF(OR(S646&gt;0,AD646&gt;0),IFERROR(
SUMIFS(INDIRECT("'Infos Clientes'!$W"&amp;INDEX('Infos Clientes'!$C:$C,MATCH(C646,'Infos Clientes'!$H:$H,0))&amp;":$CZ"&amp;INDEX('Infos Clientes'!$C:$C,MATCH(C646,'Infos Clientes'!$H:$H,0))),'Infos Clientes'!$W$2:$CZ$2,"&gt;"&amp;$R646-365,'Infos Clientes'!$W$2:$CZ$2,"&lt;="&amp;$R646)/
COUNTIFS(INDIRECT("'Infos Clientes'!$W"&amp;INDEX('Infos Clientes'!$C:$C,MATCH(C646,'Infos Clientes'!$H:$H,0))&amp;":$CZ"&amp;INDEX('Infos Clientes'!$C:$C,MATCH(C646,'Infos Clientes'!$H:$H,0))),"&gt;="&amp;0,'Infos Clientes'!$W$2:$CZ$2,"&gt;"&amp;$R646-365,'Infos Clientes'!$W$2:$CZ$2,"&lt;="&amp;$R646),""),"")</f>
        <v>464.33333333333331</v>
      </c>
      <c r="CB646" s="87">
        <f>VLOOKUP(C646,'Infos Clientes'!B:L,11,0)</f>
        <v>0</v>
      </c>
      <c r="CC646" s="88" t="str">
        <f t="shared" si="377"/>
        <v>A Unidade Consumidora 10/3030784-7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646" s="40" t="s">
        <v>98</v>
      </c>
      <c r="CE646" s="43">
        <v>437.91</v>
      </c>
      <c r="CF646" s="115">
        <f t="shared" si="378"/>
        <v>0</v>
      </c>
    </row>
    <row r="647" spans="1:84" ht="16.2" hidden="1" customHeight="1" x14ac:dyDescent="0.3">
      <c r="A647" s="105" t="str">
        <f>INDEX('Infos Clientes'!$D:$D,MATCH('Detalhe Por UC'!C647,'Infos Clientes'!B:B,0))</f>
        <v>IGREJA DO EVANGELHO QUADRANGULAR</v>
      </c>
      <c r="B647" s="106" t="str">
        <f>INDEX('Infos Clientes'!$F:$F,MATCH('Detalhe Por UC'!C647,'Infos Clientes'!B:B,0))</f>
        <v>62.955.505/0151-99</v>
      </c>
      <c r="C647" s="31" t="s">
        <v>48</v>
      </c>
      <c r="D647" t="s">
        <v>351</v>
      </c>
      <c r="E647" s="1" t="s">
        <v>352</v>
      </c>
      <c r="F647" s="56" t="str">
        <f>INDEX('Infos Clientes'!$I:$I,MATCH('Detalhe Por UC'!C647,'Infos Clientes'!B:B,0))</f>
        <v>BT</v>
      </c>
      <c r="G647" s="56" t="str">
        <f>INDEX('Infos Clientes'!$J:$J,MATCH('Detalhe Por UC'!C647,'Infos Clientes'!B:B,0))</f>
        <v>trifasico</v>
      </c>
      <c r="H647" s="47" t="str">
        <f>HYPERLINK("https://geraebcsp.sharepoint.com/sites/gestao.gdc/Shared Documents/EGS/2- Faturas/"&amp; TEXT($R647,"AAA") &amp;"/"&amp; TEXT($R647,"MM") &amp;"."&amp; TEXT($R647,"AAA") &amp;"/"&amp;"_10-"&amp; RIGHT($C647,LEN($C647)-3) &amp;"_" &amp; TEXT($R647,"AAAA") &amp;"-"&amp; TEXT($R647,"MM") &amp;".pdf","GIROSSOL II")</f>
        <v>GIROSSOL II</v>
      </c>
      <c r="I647" s="58">
        <f>IFERROR(VLOOKUP(C647,'Infos Clientes'!B:E,4,),"")</f>
        <v>306</v>
      </c>
      <c r="J647" s="109">
        <v>0.22939999999999999</v>
      </c>
      <c r="K647" s="79">
        <f>INDEX('Resumo Operacional'!$A$1:$P$151,MATCH("Desconto percentual Ucs",'Resumo Operacional'!$B$1:$B$151,0),MATCH('Detalhe Por UC'!$R647,'Resumo Operacional'!$A$1:$P$1,0))</f>
        <v>0.25212408425707711</v>
      </c>
      <c r="L647" s="125">
        <v>0</v>
      </c>
      <c r="M647" s="56">
        <f>INDEX('Infos Clientes'!$N:$N,MATCH('Detalhe Por UC'!C647,'Infos Clientes'!B:B,0))</f>
        <v>0</v>
      </c>
      <c r="N647" s="56">
        <f t="shared" si="343"/>
        <v>0</v>
      </c>
      <c r="O647" s="56">
        <f t="shared" si="344"/>
        <v>9</v>
      </c>
      <c r="P647" s="56">
        <f t="shared" si="379"/>
        <v>0</v>
      </c>
      <c r="Q647" s="61">
        <f>IFERROR(IFERROR(INDEX('Infos Clientes'!$A$2:$V$9884,MATCH($C647,'Infos Clientes'!$B$2:$B$9884,0),MATCH(Q$8,'Infos Clientes'!$A$2:$V$2,0)),"")
+IF(OR(INDEX('Infos Clientes'!$A$2:$V$9884,MATCH($C647,'Infos Clientes'!$B$2:$B$9884,0),MATCH("Tempo de Fidelidade (meses)",'Infos Clientes'!$A$2:$V$2,0))=0,R647&gt;=MAX(R:R)),0,
ROUND((MAX(R:R)-R647)/(365/12),0)),"")</f>
        <v>0</v>
      </c>
      <c r="R647" s="111">
        <v>45839</v>
      </c>
      <c r="S647" s="63">
        <v>2.5600000000000001E-2</v>
      </c>
      <c r="T647" s="113">
        <f>IF($H647="GIROSSOL II",AP647/INDEX('Resumo Operacional'!$A$1:$P$1103,17,MATCH('Detalhe Por UC'!$R647,'Resumo Operacional'!$A$1:$P$1,0)),
IF($H647="GIROSSOL II e III",AP647/INDEX('Resumo Operacional'!$A$1:$P$1103,17,MATCH('Detalhe Por UC'!$R647,'Resumo Operacional'!$A$1:$P$1,0)),
""))</f>
        <v>0</v>
      </c>
      <c r="U647" s="113" t="str">
        <f>IF($H647="GIROSSOL III",AP647/INDEX('Resumo Operacional'!$A$1:$P$1103,53,MATCH('Detalhe Por UC'!$R647,'Resumo Operacional'!$A$1:$P$1,0)),
IF($H647="GIROSSOL II e III",AP647/INDEX('Resumo Operacional'!$A$1:$P$1103,53,MATCH('Detalhe Por UC'!$R647,'Resumo Operacional'!$A$1:$P$1,0)),
""))</f>
        <v/>
      </c>
      <c r="V647" s="45"/>
      <c r="X647">
        <v>1.1630769230769231</v>
      </c>
      <c r="Y647">
        <v>0</v>
      </c>
      <c r="Z647" s="18">
        <v>0</v>
      </c>
      <c r="AA647">
        <v>0</v>
      </c>
      <c r="AB647" s="18">
        <v>299</v>
      </c>
      <c r="AC647">
        <v>0</v>
      </c>
      <c r="AD647" s="143">
        <v>0</v>
      </c>
      <c r="AE647" s="35"/>
      <c r="AF647" s="18">
        <v>0</v>
      </c>
      <c r="AG647">
        <v>0</v>
      </c>
      <c r="AH647" s="48">
        <v>0</v>
      </c>
      <c r="AI647">
        <v>0</v>
      </c>
      <c r="AJ647">
        <v>0</v>
      </c>
      <c r="AN647" s="71">
        <f t="shared" si="345"/>
        <v>0</v>
      </c>
      <c r="AO647" s="71">
        <f t="shared" si="346"/>
        <v>0</v>
      </c>
      <c r="AP647" s="71">
        <f t="shared" si="347"/>
        <v>0</v>
      </c>
      <c r="AQ647" s="72">
        <f>IF(OR($H647="GIROSSOL II",$H647="GIROSSOL II e III"),INDEX('Resumo Operacional'!$A$1:$P$1103,MATCH("Energia Injetada prevista total Fatura da Usina (TUSD)",'Resumo Operacional'!$B$1:$B$1103,0),MATCH('Detalhe Por UC'!$R647,'Resumo Operacional'!$A$1:$P$1,0))*$S647,INDEX('Resumo Operacional'!$A$1:$P$1103,53,MATCH('Detalhe Por UC'!$R647,'Resumo Operacional'!$A$1:$P$1,0))*$S647)</f>
        <v>211.20000000000002</v>
      </c>
      <c r="AR647" s="71">
        <f t="shared" si="348"/>
        <v>-211.20000000000002</v>
      </c>
      <c r="AS647" s="73">
        <f t="shared" si="349"/>
        <v>347.76</v>
      </c>
      <c r="AT647" s="74">
        <f t="shared" si="350"/>
        <v>347.76</v>
      </c>
      <c r="AU647" s="74" t="str">
        <f t="shared" si="351"/>
        <v/>
      </c>
      <c r="AV647" s="74">
        <f t="shared" si="352"/>
        <v>0</v>
      </c>
      <c r="AW647" s="74">
        <f t="shared" si="353"/>
        <v>0</v>
      </c>
      <c r="AX647" s="74">
        <f t="shared" si="354"/>
        <v>0</v>
      </c>
      <c r="AY647" s="74" t="str">
        <f t="shared" si="355"/>
        <v/>
      </c>
      <c r="AZ647" s="43" t="s">
        <v>354</v>
      </c>
      <c r="BA647" s="43">
        <v>0</v>
      </c>
      <c r="BC647" s="73" t="str">
        <f t="shared" si="356"/>
        <v/>
      </c>
      <c r="BD647" s="73">
        <f t="shared" si="357"/>
        <v>347.76</v>
      </c>
      <c r="BE647" s="73">
        <f t="shared" si="358"/>
        <v>347.76</v>
      </c>
      <c r="BF647" s="77">
        <f t="shared" si="359"/>
        <v>0</v>
      </c>
      <c r="BG647" s="77">
        <f t="shared" si="360"/>
        <v>0</v>
      </c>
      <c r="BH647" s="77">
        <f t="shared" si="361"/>
        <v>0</v>
      </c>
      <c r="BI647" s="78" t="str">
        <f t="shared" si="362"/>
        <v/>
      </c>
      <c r="BJ647" s="79">
        <f t="shared" si="363"/>
        <v>0</v>
      </c>
      <c r="BK647" s="80" t="str">
        <f t="shared" si="364"/>
        <v/>
      </c>
      <c r="BL647" s="80" t="str">
        <f t="shared" si="365"/>
        <v/>
      </c>
      <c r="BM647" s="79" t="str">
        <f t="shared" si="366"/>
        <v/>
      </c>
      <c r="BN647" s="81" t="str">
        <f t="shared" si="367"/>
        <v/>
      </c>
      <c r="BO647" s="82" t="str">
        <f t="shared" si="368"/>
        <v/>
      </c>
      <c r="BP647" s="81" t="str">
        <f t="shared" si="369"/>
        <v/>
      </c>
      <c r="BQ647" s="81" t="str">
        <f t="shared" si="370"/>
        <v/>
      </c>
      <c r="BR647" s="81" t="str">
        <f t="shared" si="371"/>
        <v/>
      </c>
      <c r="BS647" s="82">
        <f t="shared" si="372"/>
        <v>0</v>
      </c>
      <c r="BT647" s="82" t="str">
        <f t="shared" si="373"/>
        <v/>
      </c>
      <c r="BU647" s="82">
        <f t="shared" si="374"/>
        <v>0</v>
      </c>
      <c r="BW647" s="82">
        <f>IFERROR(INDEX('Infos Clientes'!$T:$T,MATCH('Detalhe Por UC'!$C647,'Infos Clientes'!B:B,0)),"")</f>
        <v>286.5</v>
      </c>
      <c r="BX647" s="83">
        <f t="shared" si="375"/>
        <v>0</v>
      </c>
      <c r="BY647" s="84" t="str">
        <f t="shared" si="376"/>
        <v/>
      </c>
      <c r="BZ647" s="85">
        <f>IF(_xlfn.MINIFS('Detalhe Por UC'!R:R,'Detalhe Por UC'!C:C,C647,'Detalhe Por UC'!AD:AD,"&gt;"&amp;0)=0,"",_xlfn.MINIFS('Detalhe Por UC'!R:R,'Detalhe Por UC'!C:C,C647,'Detalhe Por UC'!AD:AD,"&gt;"&amp;0))</f>
        <v>45658</v>
      </c>
      <c r="CA647" s="114">
        <f ca="1">IF(OR(S647&gt;0,AD647&gt;0),IFERROR(
SUMIFS(INDIRECT("'Infos Clientes'!$W"&amp;INDEX('Infos Clientes'!$C:$C,MATCH(C647,'Infos Clientes'!$H:$H,0))&amp;":$CZ"&amp;INDEX('Infos Clientes'!$C:$C,MATCH(C647,'Infos Clientes'!$H:$H,0))),'Infos Clientes'!$W$2:$CZ$2,"&gt;"&amp;$R647-365,'Infos Clientes'!$W$2:$CZ$2,"&lt;="&amp;$R647)/
COUNTIFS(INDIRECT("'Infos Clientes'!$W"&amp;INDEX('Infos Clientes'!$C:$C,MATCH(C647,'Infos Clientes'!$H:$H,0))&amp;":$CZ"&amp;INDEX('Infos Clientes'!$C:$C,MATCH(C647,'Infos Clientes'!$H:$H,0))),"&gt;="&amp;0,'Infos Clientes'!$W$2:$CZ$2,"&gt;"&amp;$R647-365,'Infos Clientes'!$W$2:$CZ$2,"&lt;="&amp;$R647),""),"")</f>
        <v>478.58333333333331</v>
      </c>
      <c r="CB647" s="87">
        <f>VLOOKUP(C647,'Infos Clientes'!B:L,11,0)</f>
        <v>0</v>
      </c>
      <c r="CC647" s="88" t="str">
        <f t="shared" si="377"/>
        <v>A Unidade Consumidora 10/2794432-1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647" s="40" t="s">
        <v>50</v>
      </c>
      <c r="CE647" s="43">
        <v>347.76</v>
      </c>
      <c r="CF647" s="115">
        <f t="shared" si="378"/>
        <v>0</v>
      </c>
    </row>
    <row r="648" spans="1:84" ht="16.2" hidden="1" customHeight="1" x14ac:dyDescent="0.3">
      <c r="A648" s="105" t="str">
        <f>INDEX('Infos Clientes'!$D:$D,MATCH('Detalhe Por UC'!C648,'Infos Clientes'!B:B,0))</f>
        <v>IGREJA DO EVANGELHO QUADRANGULAR</v>
      </c>
      <c r="B648" s="106" t="str">
        <f>INDEX('Infos Clientes'!$F:$F,MATCH('Detalhe Por UC'!C648,'Infos Clientes'!B:B,0))</f>
        <v>62.955.505/4194-43</v>
      </c>
      <c r="C648" s="31" t="s">
        <v>99</v>
      </c>
      <c r="D648" t="s">
        <v>351</v>
      </c>
      <c r="E648" s="1" t="s">
        <v>352</v>
      </c>
      <c r="F648" s="56" t="str">
        <f>INDEX('Infos Clientes'!$I:$I,MATCH('Detalhe Por UC'!C648,'Infos Clientes'!B:B,0))</f>
        <v>BT</v>
      </c>
      <c r="G648" s="56" t="str">
        <f>INDEX('Infos Clientes'!$J:$J,MATCH('Detalhe Por UC'!C648,'Infos Clientes'!B:B,0))</f>
        <v>trifasico</v>
      </c>
      <c r="H648" s="108" t="s">
        <v>24</v>
      </c>
      <c r="I648" s="58">
        <f>IFERROR(VLOOKUP(C648,'Infos Clientes'!B:E,4,),"")</f>
        <v>331</v>
      </c>
      <c r="J648" s="109">
        <v>0.22939999999999999</v>
      </c>
      <c r="K648" s="79">
        <f>INDEX('Resumo Operacional'!$A$1:$P$151,MATCH("Desconto percentual Ucs",'Resumo Operacional'!$B$1:$B$151,0),MATCH('Detalhe Por UC'!$R648,'Resumo Operacional'!$A$1:$P$1,0))</f>
        <v>0.25212408425707711</v>
      </c>
      <c r="L648" s="125">
        <v>0</v>
      </c>
      <c r="M648" s="56">
        <f>INDEX('Infos Clientes'!$N:$N,MATCH('Detalhe Por UC'!C648,'Infos Clientes'!B:B,0))</f>
        <v>0</v>
      </c>
      <c r="N648" s="56">
        <f t="shared" si="343"/>
        <v>0</v>
      </c>
      <c r="O648" s="56">
        <f t="shared" si="344"/>
        <v>12</v>
      </c>
      <c r="P648" s="56">
        <f t="shared" si="379"/>
        <v>0</v>
      </c>
      <c r="Q648" s="61">
        <f>IFERROR(IFERROR(INDEX('Infos Clientes'!$A$2:$V$9884,MATCH($C648,'Infos Clientes'!$B$2:$B$9884,0),MATCH(Q$8,'Infos Clientes'!$A$2:$V$2,0)),"")
+IF(OR(INDEX('Infos Clientes'!$A$2:$V$9884,MATCH($C648,'Infos Clientes'!$B$2:$B$9884,0),MATCH("Tempo de Fidelidade (meses)",'Infos Clientes'!$A$2:$V$2,0))=0,R648&gt;=MAX(R:R)),0,
ROUND((MAX(R:R)-R648)/(365/12),0)),"")</f>
        <v>0</v>
      </c>
      <c r="R648" s="111">
        <v>45839</v>
      </c>
      <c r="S648" s="63">
        <v>2.4899999999999999E-2</v>
      </c>
      <c r="T648" s="113">
        <f>IF($H648="GIROSSOL II",AP648/INDEX('Resumo Operacional'!$A$1:$P$1103,17,MATCH('Detalhe Por UC'!$R648,'Resumo Operacional'!$A$1:$P$1,0)),
IF($H648="GIROSSOL II e III",AP648/INDEX('Resumo Operacional'!$A$1:$P$1103,17,MATCH('Detalhe Por UC'!$R648,'Resumo Operacional'!$A$1:$P$1,0)),
""))</f>
        <v>5.2606060606060608E-2</v>
      </c>
      <c r="U648" s="113" t="str">
        <f>IF($H648="GIROSSOL III",AP648/INDEX('Resumo Operacional'!$A$1:$P$1103,53,MATCH('Detalhe Por UC'!$R648,'Resumo Operacional'!$A$1:$P$1,0)),
IF($H648="GIROSSOL II e III",AP648/INDEX('Resumo Operacional'!$A$1:$P$1103,53,MATCH('Detalhe Por UC'!$R648,'Resumo Operacional'!$A$1:$P$1,0)),
""))</f>
        <v/>
      </c>
      <c r="V648" s="45"/>
      <c r="X648">
        <v>1.1630260869565217</v>
      </c>
      <c r="Y648">
        <v>0</v>
      </c>
      <c r="Z648" s="18">
        <v>1.1630461538461538</v>
      </c>
      <c r="AA648">
        <v>0</v>
      </c>
      <c r="AB648" s="18">
        <v>230</v>
      </c>
      <c r="AC648">
        <v>0</v>
      </c>
      <c r="AD648" s="143">
        <v>130</v>
      </c>
      <c r="AE648" s="35"/>
      <c r="AF648" s="18">
        <v>304</v>
      </c>
      <c r="AG648">
        <v>0</v>
      </c>
      <c r="AH648" s="48">
        <v>0</v>
      </c>
      <c r="AI648">
        <v>0</v>
      </c>
      <c r="AJ648">
        <v>0</v>
      </c>
      <c r="AN648" s="71">
        <f t="shared" si="345"/>
        <v>304</v>
      </c>
      <c r="AO648" s="71">
        <f t="shared" si="346"/>
        <v>0</v>
      </c>
      <c r="AP648" s="71">
        <f t="shared" si="347"/>
        <v>434</v>
      </c>
      <c r="AQ648" s="72">
        <f>IF(OR($H648="GIROSSOL II",$H648="GIROSSOL II e III"),INDEX('Resumo Operacional'!$A$1:$P$1103,MATCH("Energia Injetada prevista total Fatura da Usina (TUSD)",'Resumo Operacional'!$B$1:$B$1103,0),MATCH('Detalhe Por UC'!$R648,'Resumo Operacional'!$A$1:$P$1,0))*$S648,INDEX('Resumo Operacional'!$A$1:$P$1103,53,MATCH('Detalhe Por UC'!$R648,'Resumo Operacional'!$A$1:$P$1,0))*$S648)</f>
        <v>205.42499999999998</v>
      </c>
      <c r="AR648" s="71">
        <f t="shared" si="348"/>
        <v>228.57500000000002</v>
      </c>
      <c r="AS648" s="73">
        <f t="shared" si="349"/>
        <v>116.29999999999998</v>
      </c>
      <c r="AT648" s="74">
        <f t="shared" si="350"/>
        <v>116.29999999999998</v>
      </c>
      <c r="AU648" s="74">
        <f t="shared" si="351"/>
        <v>1.163066220735786</v>
      </c>
      <c r="AV648" s="74">
        <f t="shared" si="352"/>
        <v>116.5116376</v>
      </c>
      <c r="AW648" s="74">
        <f t="shared" si="353"/>
        <v>0.95000000000000284</v>
      </c>
      <c r="AX648" s="74">
        <f t="shared" si="354"/>
        <v>152.14600000000002</v>
      </c>
      <c r="AY648" s="74">
        <f t="shared" si="355"/>
        <v>117.46</v>
      </c>
      <c r="AZ648" s="43">
        <v>117.46</v>
      </c>
      <c r="BA648" s="43">
        <v>117.46</v>
      </c>
      <c r="BB648" s="49">
        <v>117.46</v>
      </c>
      <c r="BC648" s="73" t="str">
        <f t="shared" si="356"/>
        <v/>
      </c>
      <c r="BD648" s="73">
        <f t="shared" si="357"/>
        <v>267.49599999999998</v>
      </c>
      <c r="BE648" s="73">
        <f t="shared" si="358"/>
        <v>232.81163759999998</v>
      </c>
      <c r="BF648" s="77">
        <f t="shared" si="359"/>
        <v>34.68</v>
      </c>
      <c r="BG648" s="77">
        <f t="shared" si="360"/>
        <v>10.404</v>
      </c>
      <c r="BH648" s="77">
        <f t="shared" si="361"/>
        <v>151.196</v>
      </c>
      <c r="BI648" s="78">
        <f t="shared" si="362"/>
        <v>0.23</v>
      </c>
      <c r="BJ648" s="79">
        <f t="shared" si="363"/>
        <v>0.12964679845679936</v>
      </c>
      <c r="BK648" s="80">
        <f t="shared" si="364"/>
        <v>233.76</v>
      </c>
      <c r="BL648" s="80">
        <f t="shared" si="365"/>
        <v>33.73599999999999</v>
      </c>
      <c r="BM648" s="79">
        <f t="shared" si="366"/>
        <v>0.12611777372371921</v>
      </c>
      <c r="BN648" s="81">
        <f t="shared" si="367"/>
        <v>0.90353846153846151</v>
      </c>
      <c r="BO648" s="82">
        <f t="shared" si="368"/>
        <v>117.46</v>
      </c>
      <c r="BP648" s="81">
        <f t="shared" si="369"/>
        <v>0.90353846153846151</v>
      </c>
      <c r="BQ648" s="81">
        <f t="shared" si="370"/>
        <v>0.90351839464882933</v>
      </c>
      <c r="BR648" s="81">
        <f t="shared" si="371"/>
        <v>1.1630260869565217</v>
      </c>
      <c r="BS648" s="82">
        <f t="shared" si="372"/>
        <v>130</v>
      </c>
      <c r="BT648" s="82">
        <f t="shared" si="373"/>
        <v>151.19339130434781</v>
      </c>
      <c r="BU648" s="82">
        <f t="shared" si="374"/>
        <v>151.196</v>
      </c>
      <c r="BW648" s="82">
        <f>IFERROR(INDEX('Infos Clientes'!$T:$T,MATCH('Detalhe Por UC'!$C648,'Infos Clientes'!B:B,0)),"")</f>
        <v>433.16666666666669</v>
      </c>
      <c r="BX648" s="83">
        <f t="shared" si="375"/>
        <v>0</v>
      </c>
      <c r="BY648" s="84">
        <f t="shared" si="376"/>
        <v>0.22313144581888791</v>
      </c>
      <c r="BZ648" s="85">
        <f>IF(_xlfn.MINIFS('Detalhe Por UC'!R:R,'Detalhe Por UC'!C:C,C648,'Detalhe Por UC'!AD:AD,"&gt;"&amp;0)=0,"",_xlfn.MINIFS('Detalhe Por UC'!R:R,'Detalhe Por UC'!C:C,C648,'Detalhe Por UC'!AD:AD,"&gt;"&amp;0))</f>
        <v>45627</v>
      </c>
      <c r="CA648" s="114">
        <f ca="1">IF(OR(S648&gt;0,AD648&gt;0),IFERROR(
SUMIFS(INDIRECT("'Infos Clientes'!$W"&amp;INDEX('Infos Clientes'!$C:$C,MATCH(C648,'Infos Clientes'!$H:$H,0))&amp;":$CZ"&amp;INDEX('Infos Clientes'!$C:$C,MATCH(C648,'Infos Clientes'!$H:$H,0))),'Infos Clientes'!$W$2:$CZ$2,"&gt;"&amp;$R648-365,'Infos Clientes'!$W$2:$CZ$2,"&lt;="&amp;$R648)/
COUNTIFS(INDIRECT("'Infos Clientes'!$W"&amp;INDEX('Infos Clientes'!$C:$C,MATCH(C648,'Infos Clientes'!$H:$H,0))&amp;":$CZ"&amp;INDEX('Infos Clientes'!$C:$C,MATCH(C648,'Infos Clientes'!$H:$H,0))),"&gt;="&amp;0,'Infos Clientes'!$W$2:$CZ$2,"&gt;"&amp;$R648-365,'Infos Clientes'!$W$2:$CZ$2,"&lt;="&amp;$R648),""),"")</f>
        <v>386.75</v>
      </c>
      <c r="CB648" s="87">
        <f>VLOOKUP(C648,'Infos Clientes'!B:L,11,0)</f>
        <v>0</v>
      </c>
      <c r="CC648" s="88" t="str">
        <f t="shared" si="377"/>
        <v>A Unidade Consumidora 10/3092868-3 economizou R$34,68 na fatura referente à jul/2025  consumindo 130 kWh em créditos de energia renovável conforme fatura de energia. A economia foi de 22,94% em relação ao que seria pago para a Energisa considerando os créditos consumidos. Atenção: Mantenha as contas da Energisa em dia para evitar cortes.</v>
      </c>
      <c r="CD648" s="40" t="s">
        <v>100</v>
      </c>
      <c r="CE648" s="43">
        <v>116.3</v>
      </c>
      <c r="CF648" s="115">
        <f t="shared" si="378"/>
        <v>0</v>
      </c>
    </row>
    <row r="649" spans="1:84" ht="16.2" hidden="1" customHeight="1" x14ac:dyDescent="0.3">
      <c r="A649" s="105" t="str">
        <f>INDEX('Infos Clientes'!$D:$D,MATCH('Detalhe Por UC'!C649,'Infos Clientes'!B:B,0))</f>
        <v>IGREJA DO EVANGELHO QUADRANGULAR</v>
      </c>
      <c r="B649" s="106">
        <f>INDEX('Infos Clientes'!$F:$F,MATCH('Detalhe Por UC'!C649,'Infos Clientes'!B:B,0))</f>
        <v>0</v>
      </c>
      <c r="C649" s="31" t="s">
        <v>252</v>
      </c>
      <c r="D649" t="s">
        <v>351</v>
      </c>
      <c r="E649" s="1" t="s">
        <v>352</v>
      </c>
      <c r="F649" s="56" t="str">
        <f>INDEX('Infos Clientes'!$I:$I,MATCH('Detalhe Por UC'!C649,'Infos Clientes'!B:B,0))</f>
        <v>BT</v>
      </c>
      <c r="G649" s="56" t="str">
        <f>INDEX('Infos Clientes'!$J:$J,MATCH('Detalhe Por UC'!C649,'Infos Clientes'!B:B,0))</f>
        <v>bifasico</v>
      </c>
      <c r="H649" s="108" t="s">
        <v>24</v>
      </c>
      <c r="I649" s="58">
        <f>IFERROR(VLOOKUP(C649,'Infos Clientes'!B:E,4,),"")</f>
        <v>0</v>
      </c>
      <c r="J649" s="109">
        <v>0.22939999999999999</v>
      </c>
      <c r="K649" s="79">
        <f>INDEX('Resumo Operacional'!$A$1:$P$151,MATCH("Desconto percentual Ucs",'Resumo Operacional'!$B$1:$B$151,0),MATCH('Detalhe Por UC'!$R649,'Resumo Operacional'!$A$1:$P$1,0))</f>
        <v>0.25212408425707711</v>
      </c>
      <c r="L649" s="125">
        <v>0</v>
      </c>
      <c r="M649" s="56">
        <f>INDEX('Infos Clientes'!$N:$N,MATCH('Detalhe Por UC'!C649,'Infos Clientes'!B:B,0))</f>
        <v>0</v>
      </c>
      <c r="N649" s="56">
        <f t="shared" ref="N649:N712" si="381">COUNTIFS(C:C,C649,J:J,L649)</f>
        <v>0</v>
      </c>
      <c r="O649" s="56">
        <f t="shared" ref="O649:O712" si="382">COUNTIFS(C:C,C649,AD:AD,"&gt;0")</f>
        <v>3</v>
      </c>
      <c r="P649" s="56">
        <f t="shared" si="379"/>
        <v>0</v>
      </c>
      <c r="Q649" s="61">
        <f>IFERROR(IFERROR(INDEX('Infos Clientes'!$A$2:$V$9884,MATCH($C649,'Infos Clientes'!$B$2:$B$9884,0),MATCH(Q$8,'Infos Clientes'!$A$2:$V$2,0)),"")
+IF(OR(INDEX('Infos Clientes'!$A$2:$V$9884,MATCH($C649,'Infos Clientes'!$B$2:$B$9884,0),MATCH("Tempo de Fidelidade (meses)",'Infos Clientes'!$A$2:$V$2,0))=0,R649&gt;=MAX(R:R)),0,
ROUND((MAX(R:R)-R649)/(365/12),0)),"")</f>
        <v>0</v>
      </c>
      <c r="R649" s="111">
        <v>45839</v>
      </c>
      <c r="S649" s="63">
        <v>2.2700000000000001E-2</v>
      </c>
      <c r="T649" s="113">
        <f>IF($H649="GIROSSOL II",AP649/INDEX('Resumo Operacional'!$A$1:$P$1103,17,MATCH('Detalhe Por UC'!$R649,'Resumo Operacional'!$A$1:$P$1,0)),
IF($H649="GIROSSOL II e III",AP649/INDEX('Resumo Operacional'!$A$1:$P$1103,17,MATCH('Detalhe Por UC'!$R649,'Resumo Operacional'!$A$1:$P$1,0)),
""))</f>
        <v>1.7090909090909091E-2</v>
      </c>
      <c r="U649" s="113" t="str">
        <f>IF($H649="GIROSSOL III",AP649/INDEX('Resumo Operacional'!$A$1:$P$1103,53,MATCH('Detalhe Por UC'!$R649,'Resumo Operacional'!$A$1:$P$1,0)),
IF($H649="GIROSSOL II e III",AP649/INDEX('Resumo Operacional'!$A$1:$P$1103,53,MATCH('Detalhe Por UC'!$R649,'Resumo Operacional'!$A$1:$P$1,0)),
""))</f>
        <v/>
      </c>
      <c r="V649" s="45"/>
      <c r="X649">
        <v>1.1630494534096825</v>
      </c>
      <c r="Y649">
        <v>0</v>
      </c>
      <c r="Z649" s="18">
        <v>1.163043804755945</v>
      </c>
      <c r="AA649">
        <v>0</v>
      </c>
      <c r="AB649" s="18">
        <v>226</v>
      </c>
      <c r="AC649">
        <v>0</v>
      </c>
      <c r="AD649" s="143">
        <v>141</v>
      </c>
      <c r="AE649" s="35"/>
      <c r="AF649" s="18"/>
      <c r="AH649" s="48">
        <v>0</v>
      </c>
      <c r="AI649">
        <v>0</v>
      </c>
      <c r="AJ649">
        <v>0</v>
      </c>
      <c r="AN649" s="71">
        <f t="shared" ref="AN649:AN712" si="383">IF(X649="","",AF649-SUMIFS(AF:AF,$C:$C,$C649,$R:$R,EDATE($R649,-1)))</f>
        <v>0</v>
      </c>
      <c r="AO649" s="71">
        <f t="shared" ref="AO649:AO712" si="384">IF(X649="","",AG649-SUMIFS(AG:AG,$H:$H,$H649,$C:$C,$C649,$R:$R,EDATE($R649,-1)))</f>
        <v>0</v>
      </c>
      <c r="AP649" s="71">
        <f t="shared" ref="AP649:AP712" si="385">IFERROR(IF(D649="CRÉD. CONSUMIDO",SUM(AD649,AE649,AN649,AO649),IF(D649="GERADO",AQ649)),"")</f>
        <v>141</v>
      </c>
      <c r="AQ649" s="72">
        <f>IF(OR($H649="GIROSSOL II",$H649="GIROSSOL II e III"),INDEX('Resumo Operacional'!$A$1:$P$1103,MATCH("Energia Injetada prevista total Fatura da Usina (TUSD)",'Resumo Operacional'!$B$1:$B$1103,0),MATCH('Detalhe Por UC'!$R649,'Resumo Operacional'!$A$1:$P$1,0))*$S649,INDEX('Resumo Operacional'!$A$1:$P$1103,53,MATCH('Detalhe Por UC'!$R649,'Resumo Operacional'!$A$1:$P$1,0))*$S649)</f>
        <v>187.27500000000001</v>
      </c>
      <c r="AR649" s="71">
        <f t="shared" ref="AR649:AR712" si="386">IF(X649="","",AP649-AQ649)</f>
        <v>-46.275000000000006</v>
      </c>
      <c r="AS649" s="73">
        <f t="shared" ref="AS649:AS712" si="387">IFERROR((X649*AB649-Z649*AD649+Y649*AC649-AA649*AE649)+AH649+
IF(F649&lt;&gt;"BT",0,
IF(AND(G649="trifasico",AD649=0,AB649&lt;100),X649*(100-(AB649-AD649)),
IF(AND(G649="bifasico",AD649=0,AB649&lt;50),X649*(50-(AB649-AD649)),
IF(AND(G649="monofasico",AD649=0,AB649&lt;30),X649*(30-(AB649-AD649)),0)))),"")</f>
        <v>98.859999999999985</v>
      </c>
      <c r="AT649" s="74">
        <f t="shared" ref="AT649:AT712" si="388">IFERROR(AS649+AI649+AJ649,"")</f>
        <v>98.859999999999985</v>
      </c>
      <c r="AU649" s="74">
        <f t="shared" ref="AU649:AU712" si="389">IFERROR((Z649*AD649+AA649*AE649)/(AD649+AE649)-((X649-Z649)*AD649+(Y649-AA649)*AE649)/(AD649+AE649),"")</f>
        <v>1.1630381561022076</v>
      </c>
      <c r="AV649" s="74">
        <f t="shared" ref="AV649:AV712" si="390">IFERROR(IF(AND(E649="FINAL-Ñ.COMP",D649="CRÉD. CONSUMIDO"),(X649*(1-J649)-(X649-Z649))*AD649+(Y649*(1-J649)-(Y649-AA649))*AE649,
IF(AND(E649="T.COMP",D649="CRÉD. CONSUMIDO"),Z649*(1-J649)*AD649+AA649*(1-J649)*AE649,
IF(AND(E649="T.S.IMP",D649="CRÉD. CONSUMIDO"),V649*(1-J649)*AD649+W649*(1-J649)*AE649,
IF(AND(E649="T.S.IMP",D649="GERADO"),V649*(1-J649)*AQ649+W649*(1-J649)*AQ649,
IF(AND(E649="T.COMP",D649="GERADO"),AU649*(1-J649)*AQ649,
IF(AND(E649="FINAL-Ñ.COMP",D649="GERADO"),(AU649*(1-J649)-(X649-Z649))*AQ649,"ERRO")))))),"")</f>
        <v>126.37005938823529</v>
      </c>
      <c r="AW649" s="74">
        <f t="shared" ref="AW649:AW712" si="391">IF(45658=R649,0,IF(
SUMIFS($BA:$BA,$C:$C,$C649,$R:$R,EDATE($R649,-1))
&gt;=0,
SUMIFS(AY:AY,$C:$C,$C649,$R:$R,EDATE($R649,-1))-SUMIFS(BA:BA,$C:$C,$C649,$R:$R,EDATE($R649,-1)),0))</f>
        <v>0</v>
      </c>
      <c r="AX649" s="74">
        <f t="shared" ref="AX649:AX712" si="392">IFERROR(IF(AND(E649="FINAL-Ñ.COMP",D649="CRÉD. CONSUMIDO"),(X649-(X649-Z649))*AD649+(Y649-(Y649-AA649))*AE649,
IF(AND(E649="T.COMP",D649="CRÉD. CONSUMIDO"),Z649*AD649+AA649*AE649,
IF(AND(E649="T.S.IMP",D649="CRÉD. CONSUMIDO"),V649*AD649+W649*AE649,
IF(AND(E649="T.S.IMP",D649="GERADO"),V649*AQ649+W649*AQ649,
IF(AND(E649="T.COMP",D649="GERADO"),AU649*AQ649,
IF(AND(E649="FINAL-Ñ.COMP",D649="GERADO"),(AU649-(X649-Z649))*AQ649,"ERRO"))))))+AW649,"")</f>
        <v>163.98917647058826</v>
      </c>
      <c r="AY649" s="74">
        <f t="shared" ref="AY649:AY712" si="393">IF(AV649=0,IF(AW649=0,"",AW649),IFERROR(ROUND(IF(SUMIFS($BA:$BA,$C:$C,$C649,$R:$R,EDATE($R649,-1))&gt;0,AV649+AW649,AV649),2),""))</f>
        <v>126.37</v>
      </c>
      <c r="AZ649" s="43">
        <v>126.37</v>
      </c>
      <c r="BA649" s="43"/>
      <c r="BC649" s="73" t="str">
        <f t="shared" ref="BC649:BC712" si="394">IF(BB649&gt;BA649,BB649-BA649,"")</f>
        <v/>
      </c>
      <c r="BD649" s="73">
        <f t="shared" ref="BD649:BD712" si="395">IF(AB649&gt;0,X649*AB649+Y649*AC649+AH649,AH649+
IF(AND(G649="trifasico",AB649-AD649=0),X649*(100-(AB649-AD649)),
IF(AND(G649="bifasico",AB649-AD649=0),X649*(50-(AB649-AD649)),
IF(AND(G649="monofasico",AB649-AD649=0),X649*(30-(AB649-AD649)),0))))</f>
        <v>262.84917647058825</v>
      </c>
      <c r="BE649" s="73">
        <f t="shared" ref="BE649:BE712" si="396">IFERROR(AS649+AV649,"")</f>
        <v>225.23005938823528</v>
      </c>
      <c r="BF649" s="77">
        <f t="shared" ref="BF649:BF712" si="397">ROUND(BD649-BE649,2)</f>
        <v>37.619999999999997</v>
      </c>
      <c r="BG649" s="77">
        <f t="shared" ref="BG649:BG712" si="398">BF649*0.3</f>
        <v>11.286</v>
      </c>
      <c r="BH649" s="77">
        <f t="shared" ref="BH649:BH712" si="399">(X649*AD649)-((X649-Z649)*AD649)</f>
        <v>163.98917647058823</v>
      </c>
      <c r="BI649" s="78">
        <f t="shared" ref="BI649:BI712" si="400">IFERROR(ROUND(IFERROR(IF(BF649=0,"",BF649/(AY649+Z649*J649*AD649+AA649*J649*AE649)),0),2),"")</f>
        <v>0.23</v>
      </c>
      <c r="BJ649" s="79">
        <f t="shared" ref="BJ649:BJ712" si="401">IFERROR(BF649/BD649,"")</f>
        <v>0.14312390285997156</v>
      </c>
      <c r="BK649" s="80">
        <f t="shared" ref="BK649:BK712" si="402">IFERROR(AS649+AY649,"")</f>
        <v>225.23</v>
      </c>
      <c r="BL649" s="80">
        <f t="shared" ref="BL649:BL712" si="403">IFERROR(BD649-BK649,"")</f>
        <v>37.619176470588258</v>
      </c>
      <c r="BM649" s="79">
        <f t="shared" ref="BM649:BM712" si="404">IFERROR(IF(BL649=0,"",BL649/BD649),"")</f>
        <v>0.14312076977269012</v>
      </c>
      <c r="BN649" s="81">
        <f t="shared" ref="BN649:BN712" si="405">IFERROR(IF(AD649="","",AY649/(AD649+AE649)),"")</f>
        <v>0.89624113475177303</v>
      </c>
      <c r="BO649" s="82">
        <f t="shared" ref="BO649:BO712" si="406">IF(OR(BN649="",BN649=0),"",BN649*(AD649+AE649))</f>
        <v>126.36999999999999</v>
      </c>
      <c r="BP649" s="81">
        <f t="shared" ref="BP649:BP712" si="407">IFERROR(IF(AD649="","",AY649/AD649),"")</f>
        <v>0.89624113475177303</v>
      </c>
      <c r="BQ649" s="81">
        <f t="shared" ref="BQ649:BQ712" si="408">IFERROR(BP649+(X649-Z649),"")</f>
        <v>0.89624678340551045</v>
      </c>
      <c r="BR649" s="81">
        <f t="shared" ref="BR649:BR712" si="409">IFERROR(IF(AD649="","",(X649*AD649+Y649*AE649)/(AD649+AE649)),"")</f>
        <v>1.1630494534096825</v>
      </c>
      <c r="BS649" s="82">
        <f t="shared" ref="BS649:BS712" si="410">IFERROR(IF(D649="gerado",AQ649,AD649),"")</f>
        <v>141</v>
      </c>
      <c r="BT649" s="82">
        <f t="shared" ref="BT649:BT712" si="411">IF(OR(BR649="",BR649=0),"",BR649*(AD649+AE649))</f>
        <v>163.98997293076522</v>
      </c>
      <c r="BU649" s="82">
        <f t="shared" ref="BU649:BU712" si="412">IFERROR(BS649*Z649,"")</f>
        <v>163.98917647058826</v>
      </c>
      <c r="BW649" s="82">
        <f>IFERROR(INDEX('Infos Clientes'!$T:$T,MATCH('Detalhe Por UC'!$C649,'Infos Clientes'!B:B,0)),"")</f>
        <v>0</v>
      </c>
      <c r="BX649" s="83">
        <f t="shared" ref="BX649:BX712" si="413">IFERROR(BW649*Q649,"")</f>
        <v>0</v>
      </c>
      <c r="BY649" s="84">
        <f t="shared" ref="BY649:BY712" si="414">IFERROR((X649-BQ649)/X649,"")</f>
        <v>0.22939924800445366</v>
      </c>
      <c r="BZ649" s="85">
        <f>IF(_xlfn.MINIFS('Detalhe Por UC'!R:R,'Detalhe Por UC'!C:C,C649,'Detalhe Por UC'!AD:AD,"&gt;"&amp;0)=0,"",_xlfn.MINIFS('Detalhe Por UC'!R:R,'Detalhe Por UC'!C:C,C649,'Detalhe Por UC'!AD:AD,"&gt;"&amp;0))</f>
        <v>45839</v>
      </c>
      <c r="CA649" s="114">
        <f ca="1">IF(OR(S649&gt;0,AD649&gt;0),IFERROR(
SUMIFS(INDIRECT("'Infos Clientes'!$W"&amp;INDEX('Infos Clientes'!$C:$C,MATCH(C649,'Infos Clientes'!$H:$H,0))&amp;":$CZ"&amp;INDEX('Infos Clientes'!$C:$C,MATCH(C649,'Infos Clientes'!$H:$H,0))),'Infos Clientes'!$W$2:$CZ$2,"&gt;"&amp;$R649-365,'Infos Clientes'!$W$2:$CZ$2,"&lt;="&amp;$R649)/
COUNTIFS(INDIRECT("'Infos Clientes'!$W"&amp;INDEX('Infos Clientes'!$C:$C,MATCH(C649,'Infos Clientes'!$H:$H,0))&amp;":$CZ"&amp;INDEX('Infos Clientes'!$C:$C,MATCH(C649,'Infos Clientes'!$H:$H,0))),"&gt;="&amp;0,'Infos Clientes'!$W$2:$CZ$2,"&gt;"&amp;$R649-365,'Infos Clientes'!$W$2:$CZ$2,"&lt;="&amp;$R649),""),"")</f>
        <v>226</v>
      </c>
      <c r="CB649" s="87">
        <f>VLOOKUP(C649,'Infos Clientes'!B:L,11,0)</f>
        <v>0</v>
      </c>
      <c r="CC649" s="88" t="str">
        <f t="shared" ref="CC649:CC712" si="415">"A Unidade Consumidora "&amp;C649&amp;" economizou R$"&amp;BF649&amp;" na fatura referente à "&amp;TEXT(R649,"mmm/aaaa")&amp;"  consumindo "&amp;AD649&amp;" kWh em créditos de energia renovável conforme fatura de energia. A economia foi de "&amp;$J649*100&amp;"% em relação ao que seria pago para a Energisa considerando os créditos consumidos. Atenção: Mantenha as contas da Energisa em dia para evitar cortes."</f>
        <v>A Unidade Consumidora 10/3556072-1 economizou R$37,62 na fatura referente à jul/2025  consumindo 141 kWh em créditos de energia renovável conforme fatura de energia. A economia foi de 22,94% em relação ao que seria pago para a Energisa considerando os créditos consumidos. Atenção: Mantenha as contas da Energisa em dia para evitar cortes.</v>
      </c>
      <c r="CD649" s="40"/>
      <c r="CE649" s="43">
        <v>98.86</v>
      </c>
      <c r="CF649" s="115">
        <f t="shared" ref="CF649:CF712" si="416">CE649-AT649</f>
        <v>0</v>
      </c>
    </row>
    <row r="650" spans="1:84" ht="16.2" hidden="1" customHeight="1" x14ac:dyDescent="0.3">
      <c r="A650" s="105" t="str">
        <f>INDEX('Infos Clientes'!$D:$D,MATCH('Detalhe Por UC'!C650,'Infos Clientes'!B:B,0))</f>
        <v>IGREJA DO EVANGELHO QUADRANGULAR</v>
      </c>
      <c r="B650" s="106" t="str">
        <f>INDEX('Infos Clientes'!$F:$F,MATCH('Detalhe Por UC'!C650,'Infos Clientes'!B:B,0))</f>
        <v>62.955.505/1935-34</v>
      </c>
      <c r="C650" s="148" t="s">
        <v>120</v>
      </c>
      <c r="D650" t="s">
        <v>351</v>
      </c>
      <c r="E650" s="1" t="s">
        <v>352</v>
      </c>
      <c r="F650" s="56" t="str">
        <f>INDEX('Infos Clientes'!$I:$I,MATCH('Detalhe Por UC'!C650,'Infos Clientes'!B:B,0))</f>
        <v>BT</v>
      </c>
      <c r="G650" s="56" t="str">
        <f>INDEX('Infos Clientes'!$J:$J,MATCH('Detalhe Por UC'!C650,'Infos Clientes'!B:B,0))</f>
        <v>trifasico</v>
      </c>
      <c r="H650" s="47" t="str">
        <f>HYPERLINK("https://geraebcsp.sharepoint.com/sites/gestao.gdc/Shared Documents/EGS/2- Faturas/"&amp; TEXT($R650,"AAA") &amp;"/"&amp; TEXT($R650,"MM") &amp;"."&amp; TEXT($R650,"AAA") &amp;"/"&amp;"_10-"&amp; RIGHT($C650,LEN($C650)-3) &amp;"_" &amp; TEXT($R650,"AAAA") &amp;"-"&amp; TEXT($R650,"MM") &amp;".pdf","GIROSSOL II")</f>
        <v>GIROSSOL II</v>
      </c>
      <c r="I650" s="58">
        <f>IFERROR(VLOOKUP(C650,'Infos Clientes'!B:E,4,),"")</f>
        <v>994</v>
      </c>
      <c r="J650" s="109">
        <v>0.22939999999999999</v>
      </c>
      <c r="K650" s="79">
        <f>INDEX('Resumo Operacional'!$A$1:$P$151,MATCH("Desconto percentual Ucs",'Resumo Operacional'!$B$1:$B$151,0),MATCH('Detalhe Por UC'!$R650,'Resumo Operacional'!$A$1:$P$1,0))</f>
        <v>0.25212408425707711</v>
      </c>
      <c r="L650" s="125">
        <v>0</v>
      </c>
      <c r="M650" s="56">
        <f>INDEX('Infos Clientes'!$N:$N,MATCH('Detalhe Por UC'!C650,'Infos Clientes'!B:B,0))</f>
        <v>0</v>
      </c>
      <c r="N650" s="56">
        <f t="shared" si="381"/>
        <v>0</v>
      </c>
      <c r="O650" s="56">
        <f t="shared" si="382"/>
        <v>12</v>
      </c>
      <c r="P650" s="56">
        <f t="shared" ref="P650:P713" si="417">M650-N650</f>
        <v>0</v>
      </c>
      <c r="Q650" s="61">
        <f>IFERROR(IFERROR(INDEX('Infos Clientes'!$A$2:$V$9884,MATCH($C650,'Infos Clientes'!$B$2:$B$9884,0),MATCH(Q$8,'Infos Clientes'!$A$2:$V$2,0)),"")
+IF(OR(INDEX('Infos Clientes'!$A$2:$V$9884,MATCH($C650,'Infos Clientes'!$B$2:$B$9884,0),MATCH("Tempo de Fidelidade (meses)",'Infos Clientes'!$A$2:$V$2,0))=0,R650&gt;=MAX(R:R)),0,
ROUND((MAX(R:R)-R650)/(365/12),0)),"")</f>
        <v>0</v>
      </c>
      <c r="R650" s="111">
        <v>45839</v>
      </c>
      <c r="S650" s="63">
        <v>2.1999999999999999E-2</v>
      </c>
      <c r="T650" s="113">
        <f>IF($H650="GIROSSOL II",AP650/INDEX('Resumo Operacional'!$A$1:$P$1103,17,MATCH('Detalhe Por UC'!$R650,'Resumo Operacional'!$A$1:$P$1,0)),
IF($H650="GIROSSOL II e III",AP650/INDEX('Resumo Operacional'!$A$1:$P$1103,17,MATCH('Detalhe Por UC'!$R650,'Resumo Operacional'!$A$1:$P$1,0)),
""))</f>
        <v>0</v>
      </c>
      <c r="U650" s="113" t="str">
        <f>IF($H650="GIROSSOL III",AP650/INDEX('Resumo Operacional'!$A$1:$P$1103,53,MATCH('Detalhe Por UC'!$R650,'Resumo Operacional'!$A$1:$P$1,0)),
IF($H650="GIROSSOL II e III",AP650/INDEX('Resumo Operacional'!$A$1:$P$1103,53,MATCH('Detalhe Por UC'!$R650,'Resumo Operacional'!$A$1:$P$1,0)),
""))</f>
        <v/>
      </c>
      <c r="V650" s="45"/>
      <c r="X650">
        <v>1.1630085106382979</v>
      </c>
      <c r="Y650">
        <v>0</v>
      </c>
      <c r="Z650" s="18">
        <v>1.163018181818182</v>
      </c>
      <c r="AA650">
        <v>0</v>
      </c>
      <c r="AB650" s="18">
        <v>188</v>
      </c>
      <c r="AC650">
        <v>0</v>
      </c>
      <c r="AD650" s="143">
        <v>88</v>
      </c>
      <c r="AE650" s="35"/>
      <c r="AF650" s="18">
        <v>247</v>
      </c>
      <c r="AG650">
        <v>0</v>
      </c>
      <c r="AH650" s="48">
        <v>36.01</v>
      </c>
      <c r="AI650">
        <v>0</v>
      </c>
      <c r="AJ650">
        <v>0</v>
      </c>
      <c r="AN650" s="71">
        <f t="shared" si="383"/>
        <v>-88</v>
      </c>
      <c r="AO650" s="71">
        <f t="shared" si="384"/>
        <v>0</v>
      </c>
      <c r="AP650" s="71">
        <f t="shared" si="385"/>
        <v>0</v>
      </c>
      <c r="AQ650" s="72">
        <f>IF(OR($H650="GIROSSOL II",$H650="GIROSSOL II e III"),INDEX('Resumo Operacional'!$A$1:$P$1103,MATCH("Energia Injetada prevista total Fatura da Usina (TUSD)",'Resumo Operacional'!$B$1:$B$1103,0),MATCH('Detalhe Por UC'!$R650,'Resumo Operacional'!$A$1:$P$1,0))*$S650,INDEX('Resumo Operacional'!$A$1:$P$1103,53,MATCH('Detalhe Por UC'!$R650,'Resumo Operacional'!$A$1:$P$1,0))*$S650)</f>
        <v>181.5</v>
      </c>
      <c r="AR650" s="71">
        <f t="shared" si="386"/>
        <v>-181.5</v>
      </c>
      <c r="AS650" s="73">
        <f t="shared" si="387"/>
        <v>152.30999999999997</v>
      </c>
      <c r="AT650" s="74">
        <f t="shared" si="388"/>
        <v>152.30999999999997</v>
      </c>
      <c r="AU650" s="74">
        <f t="shared" si="389"/>
        <v>1.163027852998066</v>
      </c>
      <c r="AV650" s="74">
        <f t="shared" si="390"/>
        <v>78.867519360000003</v>
      </c>
      <c r="AW650" s="74">
        <f t="shared" si="391"/>
        <v>1.8499999999999943</v>
      </c>
      <c r="AX650" s="74">
        <f t="shared" si="392"/>
        <v>104.19560000000001</v>
      </c>
      <c r="AY650" s="74">
        <f t="shared" si="393"/>
        <v>80.72</v>
      </c>
      <c r="AZ650" s="43">
        <v>80.72</v>
      </c>
      <c r="BA650" s="43">
        <v>80.72</v>
      </c>
      <c r="BB650" s="49">
        <v>80.72</v>
      </c>
      <c r="BC650" s="73" t="str">
        <f t="shared" si="394"/>
        <v/>
      </c>
      <c r="BD650" s="73">
        <f t="shared" si="395"/>
        <v>254.65559999999999</v>
      </c>
      <c r="BE650" s="73">
        <f t="shared" si="396"/>
        <v>231.17751935999996</v>
      </c>
      <c r="BF650" s="77">
        <f t="shared" si="397"/>
        <v>23.48</v>
      </c>
      <c r="BG650" s="77">
        <f t="shared" si="398"/>
        <v>7.0439999999999996</v>
      </c>
      <c r="BH650" s="77">
        <f t="shared" si="399"/>
        <v>102.34560000000002</v>
      </c>
      <c r="BI650" s="78">
        <f t="shared" si="400"/>
        <v>0.23</v>
      </c>
      <c r="BJ650" s="79">
        <f t="shared" si="401"/>
        <v>9.2202959605050899E-2</v>
      </c>
      <c r="BK650" s="80">
        <f t="shared" si="402"/>
        <v>233.02999999999997</v>
      </c>
      <c r="BL650" s="80">
        <f t="shared" si="403"/>
        <v>21.62560000000002</v>
      </c>
      <c r="BM650" s="79">
        <f t="shared" si="404"/>
        <v>8.4920967769803693E-2</v>
      </c>
      <c r="BN650" s="81">
        <f t="shared" si="405"/>
        <v>0.91727272727272724</v>
      </c>
      <c r="BO650" s="82">
        <f t="shared" si="406"/>
        <v>80.72</v>
      </c>
      <c r="BP650" s="81">
        <f t="shared" si="407"/>
        <v>0.91727272727272724</v>
      </c>
      <c r="BQ650" s="81">
        <f t="shared" si="408"/>
        <v>0.9172630560928432</v>
      </c>
      <c r="BR650" s="81">
        <f t="shared" si="409"/>
        <v>1.1630085106382979</v>
      </c>
      <c r="BS650" s="82">
        <f t="shared" si="410"/>
        <v>88</v>
      </c>
      <c r="BT650" s="82">
        <f t="shared" si="411"/>
        <v>102.34474893617022</v>
      </c>
      <c r="BU650" s="82">
        <f t="shared" si="412"/>
        <v>102.34560000000002</v>
      </c>
      <c r="BW650" s="82">
        <f>IFERROR(INDEX('Infos Clientes'!$T:$T,MATCH('Detalhe Por UC'!$C650,'Infos Clientes'!B:B,0)),"")</f>
        <v>350.91666666666669</v>
      </c>
      <c r="BX650" s="83">
        <f t="shared" si="413"/>
        <v>0</v>
      </c>
      <c r="BY650" s="84">
        <f t="shared" si="414"/>
        <v>0.21130151009005205</v>
      </c>
      <c r="BZ650" s="85">
        <f>IF(_xlfn.MINIFS('Detalhe Por UC'!R:R,'Detalhe Por UC'!C:C,C650,'Detalhe Por UC'!AD:AD,"&gt;"&amp;0)=0,"",_xlfn.MINIFS('Detalhe Por UC'!R:R,'Detalhe Por UC'!C:C,C650,'Detalhe Por UC'!AD:AD,"&gt;"&amp;0))</f>
        <v>45627</v>
      </c>
      <c r="CA650" s="114">
        <f ca="1">IF(OR(S650&gt;0,AD650&gt;0),IFERROR(
SUMIFS(INDIRECT("'Infos Clientes'!$W"&amp;INDEX('Infos Clientes'!$C:$C,MATCH(C650,'Infos Clientes'!$H:$H,0))&amp;":$CZ"&amp;INDEX('Infos Clientes'!$C:$C,MATCH(C650,'Infos Clientes'!$H:$H,0))),'Infos Clientes'!$W$2:$CZ$2,"&gt;"&amp;$R650-365,'Infos Clientes'!$W$2:$CZ$2,"&lt;="&amp;$R650)/
COUNTIFS(INDIRECT("'Infos Clientes'!$W"&amp;INDEX('Infos Clientes'!$C:$C,MATCH(C650,'Infos Clientes'!$H:$H,0))&amp;":$CZ"&amp;INDEX('Infos Clientes'!$C:$C,MATCH(C650,'Infos Clientes'!$H:$H,0))),"&gt;="&amp;0,'Infos Clientes'!$W$2:$CZ$2,"&gt;"&amp;$R650-365,'Infos Clientes'!$W$2:$CZ$2,"&lt;="&amp;$R650),""),"")</f>
        <v>331.5</v>
      </c>
      <c r="CB650" s="87">
        <f>VLOOKUP(C650,'Infos Clientes'!B:L,11,0)</f>
        <v>0</v>
      </c>
      <c r="CC650" s="88" t="str">
        <f t="shared" si="415"/>
        <v>A Unidade Consumidora 10/532081-7 economizou R$23,48 na fatura referente à jul/2025  consumindo 88 kWh em créditos de energia renovável conforme fatura de energia. A economia foi de 22,94% em relação ao que seria pago para a Energisa considerando os créditos consumidos. Atenção: Mantenha as contas da Energisa em dia para evitar cortes.</v>
      </c>
      <c r="CD650" s="40" t="s">
        <v>122</v>
      </c>
      <c r="CE650" s="43">
        <v>152.31</v>
      </c>
      <c r="CF650" s="115">
        <f t="shared" si="416"/>
        <v>0</v>
      </c>
    </row>
    <row r="651" spans="1:84" ht="16.2" hidden="1" customHeight="1" x14ac:dyDescent="0.3">
      <c r="A651" s="105" t="str">
        <f>INDEX('Infos Clientes'!$D:$D,MATCH('Detalhe Por UC'!C651,'Infos Clientes'!B:B,0))</f>
        <v>IGREJA DO EVANGELHO QUADRANGULAR</v>
      </c>
      <c r="B651" s="106" t="str">
        <f>INDEX('Infos Clientes'!$F:$F,MATCH('Detalhe Por UC'!C651,'Infos Clientes'!B:B,0))</f>
        <v>62.955.505/4194-43</v>
      </c>
      <c r="C651" s="31" t="s">
        <v>135</v>
      </c>
      <c r="D651" t="s">
        <v>351</v>
      </c>
      <c r="E651" s="1" t="s">
        <v>352</v>
      </c>
      <c r="F651" s="56" t="str">
        <f>INDEX('Infos Clientes'!$I:$I,MATCH('Detalhe Por UC'!C651,'Infos Clientes'!B:B,0))</f>
        <v>BT</v>
      </c>
      <c r="G651" s="56" t="str">
        <f>INDEX('Infos Clientes'!$J:$J,MATCH('Detalhe Por UC'!C651,'Infos Clientes'!B:B,0))</f>
        <v>trifasico</v>
      </c>
      <c r="H651" s="108" t="s">
        <v>24</v>
      </c>
      <c r="I651" s="58">
        <f>IFERROR(VLOOKUP(C651,'Infos Clientes'!B:E,4,),"")</f>
        <v>0</v>
      </c>
      <c r="J651" s="109">
        <v>0.22939999999999999</v>
      </c>
      <c r="K651" s="79">
        <f>INDEX('Resumo Operacional'!$A$1:$P$151,MATCH("Desconto percentual Ucs",'Resumo Operacional'!$B$1:$B$151,0),MATCH('Detalhe Por UC'!$R651,'Resumo Operacional'!$A$1:$P$1,0))</f>
        <v>0.25212408425707711</v>
      </c>
      <c r="L651" s="125">
        <v>0</v>
      </c>
      <c r="M651" s="56">
        <f>INDEX('Infos Clientes'!$N:$N,MATCH('Detalhe Por UC'!C651,'Infos Clientes'!B:B,0))</f>
        <v>0</v>
      </c>
      <c r="N651" s="56">
        <f t="shared" si="381"/>
        <v>0</v>
      </c>
      <c r="O651" s="56">
        <f t="shared" si="382"/>
        <v>7</v>
      </c>
      <c r="P651" s="56">
        <f t="shared" si="417"/>
        <v>0</v>
      </c>
      <c r="Q651" s="61">
        <f>IFERROR(IFERROR(INDEX('Infos Clientes'!$A$2:$V$9884,MATCH($C651,'Infos Clientes'!$B$2:$B$9884,0),MATCH(Q$8,'Infos Clientes'!$A$2:$V$2,0)),"")
+IF(OR(INDEX('Infos Clientes'!$A$2:$V$9884,MATCH($C651,'Infos Clientes'!$B$2:$B$9884,0),MATCH("Tempo de Fidelidade (meses)",'Infos Clientes'!$A$2:$V$2,0))=0,R651&gt;=MAX(R:R)),0,
ROUND((MAX(R:R)-R651)/(365/12),0)),"")</f>
        <v>0</v>
      </c>
      <c r="R651" s="111">
        <v>45839</v>
      </c>
      <c r="S651" s="63">
        <v>1.83E-2</v>
      </c>
      <c r="T651" s="113">
        <f>IF($H651="GIROSSOL II",AP651/INDEX('Resumo Operacional'!$A$1:$P$1103,17,MATCH('Detalhe Por UC'!$R651,'Resumo Operacional'!$A$1:$P$1,0)),
IF($H651="GIROSSOL II e III",AP651/INDEX('Resumo Operacional'!$A$1:$P$1103,17,MATCH('Detalhe Por UC'!$R651,'Resumo Operacional'!$A$1:$P$1,0)),
""))</f>
        <v>3.4424242424242427E-2</v>
      </c>
      <c r="U651" s="113" t="str">
        <f>IF($H651="GIROSSOL III",AP651/INDEX('Resumo Operacional'!$A$1:$P$1103,53,MATCH('Detalhe Por UC'!$R651,'Resumo Operacional'!$A$1:$P$1,0)),
IF($H651="GIROSSOL II e III",AP651/INDEX('Resumo Operacional'!$A$1:$P$1103,53,MATCH('Detalhe Por UC'!$R651,'Resumo Operacional'!$A$1:$P$1,0)),
""))</f>
        <v/>
      </c>
      <c r="V651" s="45"/>
      <c r="X651">
        <v>1.163</v>
      </c>
      <c r="Y651">
        <v>0</v>
      </c>
      <c r="Z651" s="18">
        <v>0</v>
      </c>
      <c r="AA651">
        <v>0</v>
      </c>
      <c r="AB651" s="18">
        <v>0</v>
      </c>
      <c r="AC651">
        <v>0</v>
      </c>
      <c r="AD651" s="143">
        <v>0</v>
      </c>
      <c r="AE651" s="35"/>
      <c r="AF651" s="18">
        <v>284</v>
      </c>
      <c r="AG651">
        <v>0</v>
      </c>
      <c r="AH651" s="48">
        <v>8.73</v>
      </c>
      <c r="AI651">
        <v>0</v>
      </c>
      <c r="AJ651">
        <v>0</v>
      </c>
      <c r="AN651" s="71">
        <f t="shared" si="383"/>
        <v>284</v>
      </c>
      <c r="AO651" s="71">
        <f t="shared" si="384"/>
        <v>0</v>
      </c>
      <c r="AP651" s="71">
        <f t="shared" si="385"/>
        <v>284</v>
      </c>
      <c r="AQ651" s="72">
        <f>IF(OR($H651="GIROSSOL II",$H651="GIROSSOL II e III"),INDEX('Resumo Operacional'!$A$1:$P$1103,MATCH("Energia Injetada prevista total Fatura da Usina (TUSD)",'Resumo Operacional'!$B$1:$B$1103,0),MATCH('Detalhe Por UC'!$R651,'Resumo Operacional'!$A$1:$P$1,0))*$S651,INDEX('Resumo Operacional'!$A$1:$P$1103,53,MATCH('Detalhe Por UC'!$R651,'Resumo Operacional'!$A$1:$P$1,0))*$S651)</f>
        <v>150.97499999999999</v>
      </c>
      <c r="AR651" s="71">
        <f t="shared" si="386"/>
        <v>133.02500000000001</v>
      </c>
      <c r="AS651" s="73">
        <f t="shared" si="387"/>
        <v>125.03</v>
      </c>
      <c r="AT651" s="74">
        <f t="shared" si="388"/>
        <v>125.03</v>
      </c>
      <c r="AU651" s="74" t="str">
        <f t="shared" si="389"/>
        <v/>
      </c>
      <c r="AV651" s="74">
        <f t="shared" si="390"/>
        <v>0</v>
      </c>
      <c r="AW651" s="74">
        <f t="shared" si="391"/>
        <v>0</v>
      </c>
      <c r="AX651" s="74">
        <f t="shared" si="392"/>
        <v>0</v>
      </c>
      <c r="AY651" s="74" t="str">
        <f t="shared" si="393"/>
        <v/>
      </c>
      <c r="AZ651" s="43" t="s">
        <v>354</v>
      </c>
      <c r="BA651" s="43">
        <v>0</v>
      </c>
      <c r="BC651" s="73" t="str">
        <f t="shared" si="394"/>
        <v/>
      </c>
      <c r="BD651" s="73">
        <f t="shared" si="395"/>
        <v>125.03</v>
      </c>
      <c r="BE651" s="73">
        <f t="shared" si="396"/>
        <v>125.03</v>
      </c>
      <c r="BF651" s="77">
        <f t="shared" si="397"/>
        <v>0</v>
      </c>
      <c r="BG651" s="77">
        <f t="shared" si="398"/>
        <v>0</v>
      </c>
      <c r="BH651" s="77">
        <f t="shared" si="399"/>
        <v>0</v>
      </c>
      <c r="BI651" s="78" t="str">
        <f t="shared" si="400"/>
        <v/>
      </c>
      <c r="BJ651" s="79">
        <f t="shared" si="401"/>
        <v>0</v>
      </c>
      <c r="BK651" s="80" t="str">
        <f t="shared" si="402"/>
        <v/>
      </c>
      <c r="BL651" s="80" t="str">
        <f t="shared" si="403"/>
        <v/>
      </c>
      <c r="BM651" s="79" t="str">
        <f t="shared" si="404"/>
        <v/>
      </c>
      <c r="BN651" s="81" t="str">
        <f t="shared" si="405"/>
        <v/>
      </c>
      <c r="BO651" s="82" t="str">
        <f t="shared" si="406"/>
        <v/>
      </c>
      <c r="BP651" s="81" t="str">
        <f t="shared" si="407"/>
        <v/>
      </c>
      <c r="BQ651" s="81" t="str">
        <f t="shared" si="408"/>
        <v/>
      </c>
      <c r="BR651" s="81" t="str">
        <f t="shared" si="409"/>
        <v/>
      </c>
      <c r="BS651" s="82">
        <f t="shared" si="410"/>
        <v>0</v>
      </c>
      <c r="BT651" s="82" t="str">
        <f t="shared" si="411"/>
        <v/>
      </c>
      <c r="BU651" s="82">
        <f t="shared" si="412"/>
        <v>0</v>
      </c>
      <c r="BW651" s="82">
        <f>IFERROR(INDEX('Infos Clientes'!$T:$T,MATCH('Detalhe Por UC'!$C651,'Infos Clientes'!B:B,0)),"")</f>
        <v>0</v>
      </c>
      <c r="BX651" s="83">
        <f t="shared" si="413"/>
        <v>0</v>
      </c>
      <c r="BY651" s="84" t="str">
        <f t="shared" si="414"/>
        <v/>
      </c>
      <c r="BZ651" s="85">
        <f>IF(_xlfn.MINIFS('Detalhe Por UC'!R:R,'Detalhe Por UC'!C:C,C651,'Detalhe Por UC'!AD:AD,"&gt;"&amp;0)=0,"",_xlfn.MINIFS('Detalhe Por UC'!R:R,'Detalhe Por UC'!C:C,C651,'Detalhe Por UC'!AD:AD,"&gt;"&amp;0))</f>
        <v>45689</v>
      </c>
      <c r="CA651" s="114">
        <f ca="1">IF(OR(S651&gt;0,AD651&gt;0),IFERROR(
SUMIFS(INDIRECT("'Infos Clientes'!$W"&amp;INDEX('Infos Clientes'!$C:$C,MATCH(C651,'Infos Clientes'!$H:$H,0))&amp;":$CZ"&amp;INDEX('Infos Clientes'!$C:$C,MATCH(C651,'Infos Clientes'!$H:$H,0))),'Infos Clientes'!$W$2:$CZ$2,"&gt;"&amp;$R651-365,'Infos Clientes'!$W$2:$CZ$2,"&lt;="&amp;$R651)/
COUNTIFS(INDIRECT("'Infos Clientes'!$W"&amp;INDEX('Infos Clientes'!$C:$C,MATCH(C651,'Infos Clientes'!$H:$H,0))&amp;":$CZ"&amp;INDEX('Infos Clientes'!$C:$C,MATCH(C651,'Infos Clientes'!$H:$H,0))),"&gt;="&amp;0,'Infos Clientes'!$W$2:$CZ$2,"&gt;"&amp;$R651-365,'Infos Clientes'!$W$2:$CZ$2,"&lt;="&amp;$R651),""),"")</f>
        <v>294.25</v>
      </c>
      <c r="CB651" s="87">
        <f>VLOOKUP(C651,'Infos Clientes'!B:L,11,0)</f>
        <v>0</v>
      </c>
      <c r="CC651" s="88" t="str">
        <f t="shared" si="415"/>
        <v>A Unidade Consumidora 10/1433087-2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651" s="40">
        <v>0</v>
      </c>
      <c r="CE651" s="43">
        <v>125.03</v>
      </c>
      <c r="CF651" s="115">
        <f t="shared" si="416"/>
        <v>0</v>
      </c>
    </row>
    <row r="652" spans="1:84" ht="16.2" hidden="1" customHeight="1" x14ac:dyDescent="0.3">
      <c r="A652" s="105" t="str">
        <f>INDEX('Infos Clientes'!$D:$D,MATCH('Detalhe Por UC'!C652,'Infos Clientes'!B:B,0))</f>
        <v>IGREJA DO EVANGELHO QUADRANGULAR</v>
      </c>
      <c r="B652" s="106" t="str">
        <f>INDEX('Infos Clientes'!$F:$F,MATCH('Detalhe Por UC'!C652,'Infos Clientes'!B:B,0))</f>
        <v>62.955.505/4194-43</v>
      </c>
      <c r="C652" s="31" t="s">
        <v>67</v>
      </c>
      <c r="D652" t="s">
        <v>351</v>
      </c>
      <c r="E652" s="1" t="s">
        <v>352</v>
      </c>
      <c r="F652" s="56" t="str">
        <f>INDEX('Infos Clientes'!$I:$I,MATCH('Detalhe Por UC'!C652,'Infos Clientes'!B:B,0))</f>
        <v>BT</v>
      </c>
      <c r="G652" s="56" t="str">
        <f>INDEX('Infos Clientes'!$J:$J,MATCH('Detalhe Por UC'!C652,'Infos Clientes'!B:B,0))</f>
        <v>bifasico</v>
      </c>
      <c r="H652" s="108" t="s">
        <v>24</v>
      </c>
      <c r="I652" s="58">
        <f>IFERROR(VLOOKUP(C652,'Infos Clientes'!B:E,4,),"")</f>
        <v>331</v>
      </c>
      <c r="J652" s="109">
        <v>0.22939999999999999</v>
      </c>
      <c r="K652" s="79">
        <f>INDEX('Resumo Operacional'!$A$1:$P$151,MATCH("Desconto percentual Ucs",'Resumo Operacional'!$B$1:$B$151,0),MATCH('Detalhe Por UC'!$R652,'Resumo Operacional'!$A$1:$P$1,0))</f>
        <v>0.25212408425707711</v>
      </c>
      <c r="L652" s="125">
        <v>0</v>
      </c>
      <c r="M652" s="56">
        <f>INDEX('Infos Clientes'!$N:$N,MATCH('Detalhe Por UC'!C652,'Infos Clientes'!B:B,0))</f>
        <v>0</v>
      </c>
      <c r="N652" s="56">
        <f t="shared" si="381"/>
        <v>0</v>
      </c>
      <c r="O652" s="56">
        <f t="shared" si="382"/>
        <v>12</v>
      </c>
      <c r="P652" s="56">
        <f t="shared" si="417"/>
        <v>0</v>
      </c>
      <c r="Q652" s="61">
        <f>IFERROR(IFERROR(INDEX('Infos Clientes'!$A$2:$V$9884,MATCH($C652,'Infos Clientes'!$B$2:$B$9884,0),MATCH(Q$8,'Infos Clientes'!$A$2:$V$2,0)),"")
+IF(OR(INDEX('Infos Clientes'!$A$2:$V$9884,MATCH($C652,'Infos Clientes'!$B$2:$B$9884,0),MATCH("Tempo de Fidelidade (meses)",'Infos Clientes'!$A$2:$V$2,0))=0,R652&gt;=MAX(R:R)),0,
ROUND((MAX(R:R)-R652)/(365/12),0)),"")</f>
        <v>0</v>
      </c>
      <c r="R652" s="111">
        <v>45839</v>
      </c>
      <c r="S652" s="63">
        <v>1.7899999999999999E-2</v>
      </c>
      <c r="T652" s="113">
        <f>IF($H652="GIROSSOL II",AP652/INDEX('Resumo Operacional'!$A$1:$P$1103,17,MATCH('Detalhe Por UC'!$R652,'Resumo Operacional'!$A$1:$P$1,0)),
IF($H652="GIROSSOL II e III",AP652/INDEX('Resumo Operacional'!$A$1:$P$1103,17,MATCH('Detalhe Por UC'!$R652,'Resumo Operacional'!$A$1:$P$1,0)),
""))</f>
        <v>3.8909090909090907E-2</v>
      </c>
      <c r="U652" s="113" t="str">
        <f>IF($H652="GIROSSOL III",AP652/INDEX('Resumo Operacional'!$A$1:$P$1103,53,MATCH('Detalhe Por UC'!$R652,'Resumo Operacional'!$A$1:$P$1,0)),
IF($H652="GIROSSOL II e III",AP652/INDEX('Resumo Operacional'!$A$1:$P$1103,53,MATCH('Detalhe Por UC'!$R652,'Resumo Operacional'!$A$1:$P$1,0)),
""))</f>
        <v/>
      </c>
      <c r="V652" s="45"/>
      <c r="X652">
        <v>1.1630224299065421</v>
      </c>
      <c r="Y652">
        <v>0</v>
      </c>
      <c r="Z652" s="18">
        <v>1.163029268292683</v>
      </c>
      <c r="AA652">
        <v>0</v>
      </c>
      <c r="AB652" s="18">
        <v>214</v>
      </c>
      <c r="AC652">
        <v>0</v>
      </c>
      <c r="AD652" s="143">
        <v>164</v>
      </c>
      <c r="AE652" s="35"/>
      <c r="AF652" s="18">
        <v>564</v>
      </c>
      <c r="AG652">
        <v>0</v>
      </c>
      <c r="AH652" s="48">
        <v>26.040000000000003</v>
      </c>
      <c r="AI652">
        <v>0</v>
      </c>
      <c r="AJ652">
        <v>0</v>
      </c>
      <c r="AN652" s="71">
        <f t="shared" si="383"/>
        <v>157</v>
      </c>
      <c r="AO652" s="71">
        <f t="shared" si="384"/>
        <v>0</v>
      </c>
      <c r="AP652" s="71">
        <f t="shared" si="385"/>
        <v>321</v>
      </c>
      <c r="AQ652" s="72">
        <f>IF(OR($H652="GIROSSOL II",$H652="GIROSSOL II e III"),INDEX('Resumo Operacional'!$A$1:$P$1103,MATCH("Energia Injetada prevista total Fatura da Usina (TUSD)",'Resumo Operacional'!$B$1:$B$1103,0),MATCH('Detalhe Por UC'!$R652,'Resumo Operacional'!$A$1:$P$1,0))*$S652,INDEX('Resumo Operacional'!$A$1:$P$1103,53,MATCH('Detalhe Por UC'!$R652,'Resumo Operacional'!$A$1:$P$1,0))*$S652)</f>
        <v>147.67499999999998</v>
      </c>
      <c r="AR652" s="71">
        <f t="shared" si="386"/>
        <v>173.32500000000002</v>
      </c>
      <c r="AS652" s="73">
        <f t="shared" si="387"/>
        <v>84.190000000000012</v>
      </c>
      <c r="AT652" s="74">
        <f t="shared" si="388"/>
        <v>84.190000000000012</v>
      </c>
      <c r="AU652" s="74">
        <f t="shared" si="389"/>
        <v>1.163036106678824</v>
      </c>
      <c r="AV652" s="74">
        <f t="shared" si="390"/>
        <v>146.98177808000003</v>
      </c>
      <c r="AW652" s="74">
        <f t="shared" si="391"/>
        <v>3.0699999999999932</v>
      </c>
      <c r="AX652" s="74">
        <f t="shared" si="392"/>
        <v>193.80680000000001</v>
      </c>
      <c r="AY652" s="74">
        <f t="shared" si="393"/>
        <v>150.05000000000001</v>
      </c>
      <c r="AZ652" s="43">
        <v>150.05000000000001</v>
      </c>
      <c r="BA652" s="43">
        <v>150.05000000000001</v>
      </c>
      <c r="BB652" s="49">
        <v>150.05000000000001</v>
      </c>
      <c r="BC652" s="73" t="str">
        <f t="shared" si="394"/>
        <v/>
      </c>
      <c r="BD652" s="73">
        <f t="shared" si="395"/>
        <v>274.92680000000001</v>
      </c>
      <c r="BE652" s="73">
        <f t="shared" si="396"/>
        <v>231.17177808000002</v>
      </c>
      <c r="BF652" s="77">
        <f t="shared" si="397"/>
        <v>43.76</v>
      </c>
      <c r="BG652" s="77">
        <f t="shared" si="398"/>
        <v>13.127999999999998</v>
      </c>
      <c r="BH652" s="77">
        <f t="shared" si="399"/>
        <v>190.73680000000002</v>
      </c>
      <c r="BI652" s="78">
        <f t="shared" si="400"/>
        <v>0.23</v>
      </c>
      <c r="BJ652" s="79">
        <f t="shared" si="401"/>
        <v>0.15916964079165799</v>
      </c>
      <c r="BK652" s="80">
        <f t="shared" si="402"/>
        <v>234.24</v>
      </c>
      <c r="BL652" s="80">
        <f t="shared" si="403"/>
        <v>40.686800000000005</v>
      </c>
      <c r="BM652" s="79">
        <f t="shared" si="404"/>
        <v>0.14799139261796232</v>
      </c>
      <c r="BN652" s="81">
        <f t="shared" si="405"/>
        <v>0.91493902439024399</v>
      </c>
      <c r="BO652" s="82">
        <f t="shared" si="406"/>
        <v>150.05000000000001</v>
      </c>
      <c r="BP652" s="81">
        <f t="shared" si="407"/>
        <v>0.91493902439024399</v>
      </c>
      <c r="BQ652" s="81">
        <f t="shared" si="408"/>
        <v>0.91493218600410309</v>
      </c>
      <c r="BR652" s="81">
        <f t="shared" si="409"/>
        <v>1.1630224299065421</v>
      </c>
      <c r="BS652" s="82">
        <f t="shared" si="410"/>
        <v>164</v>
      </c>
      <c r="BT652" s="82">
        <f t="shared" si="411"/>
        <v>190.7356785046729</v>
      </c>
      <c r="BU652" s="82">
        <f t="shared" si="412"/>
        <v>190.73680000000002</v>
      </c>
      <c r="BW652" s="82">
        <f>IFERROR(INDEX('Infos Clientes'!$T:$T,MATCH('Detalhe Por UC'!$C652,'Infos Clientes'!B:B,0)),"")</f>
        <v>372.25</v>
      </c>
      <c r="BX652" s="83">
        <f t="shared" si="413"/>
        <v>0</v>
      </c>
      <c r="BY652" s="84">
        <f t="shared" si="414"/>
        <v>0.2133150982499753</v>
      </c>
      <c r="BZ652" s="85">
        <f>IF(_xlfn.MINIFS('Detalhe Por UC'!R:R,'Detalhe Por UC'!C:C,C652,'Detalhe Por UC'!AD:AD,"&gt;"&amp;0)=0,"",_xlfn.MINIFS('Detalhe Por UC'!R:R,'Detalhe Por UC'!C:C,C652,'Detalhe Por UC'!AD:AD,"&gt;"&amp;0))</f>
        <v>45627</v>
      </c>
      <c r="CA652" s="114">
        <f ca="1">IF(OR(S652&gt;0,AD652&gt;0),IFERROR(
SUMIFS(INDIRECT("'Infos Clientes'!$W"&amp;INDEX('Infos Clientes'!$C:$C,MATCH(C652,'Infos Clientes'!$H:$H,0))&amp;":$CZ"&amp;INDEX('Infos Clientes'!$C:$C,MATCH(C652,'Infos Clientes'!$H:$H,0))),'Infos Clientes'!$W$2:$CZ$2,"&gt;"&amp;$R652-365,'Infos Clientes'!$W$2:$CZ$2,"&lt;="&amp;$R652)/
COUNTIFS(INDIRECT("'Infos Clientes'!$W"&amp;INDEX('Infos Clientes'!$C:$C,MATCH(C652,'Infos Clientes'!$H:$H,0))&amp;":$CZ"&amp;INDEX('Infos Clientes'!$C:$C,MATCH(C652,'Infos Clientes'!$H:$H,0))),"&gt;="&amp;0,'Infos Clientes'!$W$2:$CZ$2,"&gt;"&amp;$R652-365,'Infos Clientes'!$W$2:$CZ$2,"&lt;="&amp;$R652),""),"")</f>
        <v>341.41666666666669</v>
      </c>
      <c r="CB652" s="87">
        <f>VLOOKUP(C652,'Infos Clientes'!B:L,11,0)</f>
        <v>0</v>
      </c>
      <c r="CC652" s="88" t="str">
        <f t="shared" si="415"/>
        <v>A Unidade Consumidora 10/1939035-0 economizou R$43,76 na fatura referente à jul/2025  consumindo 164 kWh em créditos de energia renovável conforme fatura de energia. A economia foi de 22,94% em relação ao que seria pago para a Energisa considerando os créditos consumidos. Atenção: Mantenha as contas da Energisa em dia para evitar cortes.</v>
      </c>
      <c r="CD652" s="40" t="s">
        <v>69</v>
      </c>
      <c r="CE652" s="43">
        <v>84.19</v>
      </c>
      <c r="CF652" s="115">
        <f t="shared" si="416"/>
        <v>0</v>
      </c>
    </row>
    <row r="653" spans="1:84" ht="16.2" hidden="1" customHeight="1" x14ac:dyDescent="0.3">
      <c r="A653" s="105" t="str">
        <f>INDEX('Infos Clientes'!$D:$D,MATCH('Detalhe Por UC'!C653,'Infos Clientes'!B:B,0))</f>
        <v>IGREJA DO EVANGELHO QUADRANGULAR</v>
      </c>
      <c r="B653" s="106" t="str">
        <f>INDEX('Infos Clientes'!$F:$F,MATCH('Detalhe Por UC'!C653,'Infos Clientes'!B:B,0))</f>
        <v>62.955.505/4612-10</v>
      </c>
      <c r="C653" s="148" t="s">
        <v>60</v>
      </c>
      <c r="D653" t="s">
        <v>351</v>
      </c>
      <c r="E653" s="1" t="s">
        <v>352</v>
      </c>
      <c r="F653" s="56" t="str">
        <f>INDEX('Infos Clientes'!$I:$I,MATCH('Detalhe Por UC'!C653,'Infos Clientes'!B:B,0))</f>
        <v>BT</v>
      </c>
      <c r="G653" s="56" t="str">
        <f>INDEX('Infos Clientes'!$J:$J,MATCH('Detalhe Por UC'!C653,'Infos Clientes'!B:B,0))</f>
        <v>trifasico</v>
      </c>
      <c r="H653" s="47" t="str">
        <f>HYPERLINK("https://geraebcsp.sharepoint.com/sites/gestao.gdc/Shared Documents/EGS/2- Faturas/"&amp; TEXT($R653,"AAA") &amp;"/"&amp; TEXT($R653,"MM") &amp;"."&amp; TEXT($R653,"AAA") &amp;"/"&amp;"_10-"&amp; RIGHT($C653,LEN($C653)-3) &amp;"_" &amp; TEXT($R653,"AAAA") &amp;"-"&amp; TEXT($R653,"MM") &amp;".pdf","GIROSSOL II")</f>
        <v>GIROSSOL II</v>
      </c>
      <c r="I653" s="58">
        <f>IFERROR(VLOOKUP(C653,'Infos Clientes'!B:E,4,),"")</f>
        <v>306</v>
      </c>
      <c r="J653" s="109">
        <v>0.22939999999999999</v>
      </c>
      <c r="K653" s="79">
        <f>INDEX('Resumo Operacional'!$A$1:$P$151,MATCH("Desconto percentual Ucs",'Resumo Operacional'!$B$1:$B$151,0),MATCH('Detalhe Por UC'!$R653,'Resumo Operacional'!$A$1:$P$1,0))</f>
        <v>0.25212408425707711</v>
      </c>
      <c r="L653" s="125">
        <v>0</v>
      </c>
      <c r="M653" s="56">
        <f>INDEX('Infos Clientes'!$N:$N,MATCH('Detalhe Por UC'!C653,'Infos Clientes'!B:B,0))</f>
        <v>0</v>
      </c>
      <c r="N653" s="56">
        <f t="shared" si="381"/>
        <v>0</v>
      </c>
      <c r="O653" s="56">
        <f t="shared" si="382"/>
        <v>12</v>
      </c>
      <c r="P653" s="56">
        <f t="shared" si="417"/>
        <v>0</v>
      </c>
      <c r="Q653" s="61">
        <f>IFERROR(IFERROR(INDEX('Infos Clientes'!$A$2:$V$9884,MATCH($C653,'Infos Clientes'!$B$2:$B$9884,0),MATCH(Q$8,'Infos Clientes'!$A$2:$V$2,0)),"")
+IF(OR(INDEX('Infos Clientes'!$A$2:$V$9884,MATCH($C653,'Infos Clientes'!$B$2:$B$9884,0),MATCH("Tempo de Fidelidade (meses)",'Infos Clientes'!$A$2:$V$2,0))=0,R653&gt;=MAX(R:R)),0,
ROUND((MAX(R:R)-R653)/(365/12),0)),"")</f>
        <v>0</v>
      </c>
      <c r="R653" s="111">
        <v>45839</v>
      </c>
      <c r="S653" s="63">
        <v>1.44E-2</v>
      </c>
      <c r="T653" s="113">
        <f>IF($H653="GIROSSOL II",AP653/INDEX('Resumo Operacional'!$A$1:$P$1103,17,MATCH('Detalhe Por UC'!$R653,'Resumo Operacional'!$A$1:$P$1,0)),
IF($H653="GIROSSOL II e III",AP653/INDEX('Resumo Operacional'!$A$1:$P$1103,17,MATCH('Detalhe Por UC'!$R653,'Resumo Operacional'!$A$1:$P$1,0)),
""))</f>
        <v>0</v>
      </c>
      <c r="U653" s="113" t="str">
        <f>IF($H653="GIROSSOL III",AP653/INDEX('Resumo Operacional'!$A$1:$P$1103,53,MATCH('Detalhe Por UC'!$R653,'Resumo Operacional'!$A$1:$P$1,0)),
IF($H653="GIROSSOL II e III",AP653/INDEX('Resumo Operacional'!$A$1:$P$1103,53,MATCH('Detalhe Por UC'!$R653,'Resumo Operacional'!$A$1:$P$1,0)),
""))</f>
        <v/>
      </c>
      <c r="V653" s="45"/>
      <c r="X653">
        <v>1.1631181818181817</v>
      </c>
      <c r="Z653" s="18">
        <v>1.1629666666666667</v>
      </c>
      <c r="AA653">
        <v>0</v>
      </c>
      <c r="AB653" s="18">
        <v>154</v>
      </c>
      <c r="AC653">
        <v>0</v>
      </c>
      <c r="AD653" s="143">
        <v>54</v>
      </c>
      <c r="AE653" s="35"/>
      <c r="AF653" s="18">
        <v>164</v>
      </c>
      <c r="AG653">
        <v>0</v>
      </c>
      <c r="AH653" s="48">
        <v>61.67</v>
      </c>
      <c r="AI653">
        <v>0</v>
      </c>
      <c r="AJ653">
        <v>0</v>
      </c>
      <c r="AN653" s="71">
        <f t="shared" si="383"/>
        <v>-54</v>
      </c>
      <c r="AO653" s="71">
        <f t="shared" si="384"/>
        <v>0</v>
      </c>
      <c r="AP653" s="71">
        <f t="shared" si="385"/>
        <v>0</v>
      </c>
      <c r="AQ653" s="72">
        <f>IF(OR($H653="GIROSSOL II",$H653="GIROSSOL II e III"),INDEX('Resumo Operacional'!$A$1:$P$1103,MATCH("Energia Injetada prevista total Fatura da Usina (TUSD)",'Resumo Operacional'!$B$1:$B$1103,0),MATCH('Detalhe Por UC'!$R653,'Resumo Operacional'!$A$1:$P$1,0))*$S653,INDEX('Resumo Operacional'!$A$1:$P$1103,53,MATCH('Detalhe Por UC'!$R653,'Resumo Operacional'!$A$1:$P$1,0))*$S653)</f>
        <v>118.8</v>
      </c>
      <c r="AR653" s="71">
        <f t="shared" si="386"/>
        <v>-118.8</v>
      </c>
      <c r="AS653" s="73">
        <f t="shared" si="387"/>
        <v>177.98999999999998</v>
      </c>
      <c r="AT653" s="74">
        <f t="shared" si="388"/>
        <v>177.98999999999998</v>
      </c>
      <c r="AU653" s="74">
        <f t="shared" si="389"/>
        <v>1.1628151515151517</v>
      </c>
      <c r="AV653" s="74">
        <f t="shared" si="390"/>
        <v>48.393834120000001</v>
      </c>
      <c r="AW653" s="74">
        <f t="shared" si="391"/>
        <v>1.6200000000000045</v>
      </c>
      <c r="AX653" s="74">
        <f t="shared" si="392"/>
        <v>64.420200000000008</v>
      </c>
      <c r="AY653" s="74">
        <f t="shared" si="393"/>
        <v>50.01</v>
      </c>
      <c r="AZ653" s="43">
        <v>50.01</v>
      </c>
      <c r="BA653" s="43">
        <v>50.01</v>
      </c>
      <c r="BB653" s="49">
        <v>50.01</v>
      </c>
      <c r="BC653" s="73" t="str">
        <f t="shared" si="394"/>
        <v/>
      </c>
      <c r="BD653" s="73">
        <f t="shared" si="395"/>
        <v>240.79019999999997</v>
      </c>
      <c r="BE653" s="73">
        <f t="shared" si="396"/>
        <v>226.38383411999999</v>
      </c>
      <c r="BF653" s="77">
        <f t="shared" si="397"/>
        <v>14.41</v>
      </c>
      <c r="BG653" s="77">
        <f t="shared" si="398"/>
        <v>4.3229999999999995</v>
      </c>
      <c r="BH653" s="77">
        <f t="shared" si="399"/>
        <v>62.800200000000004</v>
      </c>
      <c r="BI653" s="78">
        <f t="shared" si="400"/>
        <v>0.22</v>
      </c>
      <c r="BJ653" s="79">
        <f t="shared" si="401"/>
        <v>5.9844628228225241E-2</v>
      </c>
      <c r="BK653" s="80">
        <f t="shared" si="402"/>
        <v>227.99999999999997</v>
      </c>
      <c r="BL653" s="80">
        <f t="shared" si="403"/>
        <v>12.790199999999999</v>
      </c>
      <c r="BM653" s="79">
        <f t="shared" si="404"/>
        <v>5.3117610268191978E-2</v>
      </c>
      <c r="BN653" s="81">
        <f t="shared" si="405"/>
        <v>0.92611111111111111</v>
      </c>
      <c r="BO653" s="82">
        <f t="shared" si="406"/>
        <v>50.01</v>
      </c>
      <c r="BP653" s="81">
        <f t="shared" si="407"/>
        <v>0.92611111111111111</v>
      </c>
      <c r="BQ653" s="81">
        <f t="shared" si="408"/>
        <v>0.92626262626262612</v>
      </c>
      <c r="BR653" s="81">
        <f t="shared" si="409"/>
        <v>1.1631181818181817</v>
      </c>
      <c r="BS653" s="82">
        <f t="shared" si="410"/>
        <v>54</v>
      </c>
      <c r="BT653" s="82">
        <f t="shared" si="411"/>
        <v>62.808381818181815</v>
      </c>
      <c r="BU653" s="82">
        <f t="shared" si="412"/>
        <v>62.800200000000004</v>
      </c>
      <c r="BW653" s="82">
        <f>IFERROR(INDEX('Infos Clientes'!$T:$T,MATCH('Detalhe Por UC'!$C653,'Infos Clientes'!B:B,0)),"")</f>
        <v>279.08333333333331</v>
      </c>
      <c r="BX653" s="83">
        <f t="shared" si="413"/>
        <v>0</v>
      </c>
      <c r="BY653" s="84">
        <f t="shared" si="414"/>
        <v>0.20363842579204114</v>
      </c>
      <c r="BZ653" s="85">
        <f>IF(_xlfn.MINIFS('Detalhe Por UC'!R:R,'Detalhe Por UC'!C:C,C653,'Detalhe Por UC'!AD:AD,"&gt;"&amp;0)=0,"",_xlfn.MINIFS('Detalhe Por UC'!R:R,'Detalhe Por UC'!C:C,C653,'Detalhe Por UC'!AD:AD,"&gt;"&amp;0))</f>
        <v>45627</v>
      </c>
      <c r="CA653" s="114">
        <f ca="1">IF(OR(S653&gt;0,AD653&gt;0),IFERROR(
SUMIFS(INDIRECT("'Infos Clientes'!$W"&amp;INDEX('Infos Clientes'!$C:$C,MATCH(C653,'Infos Clientes'!$H:$H,0))&amp;":$CZ"&amp;INDEX('Infos Clientes'!$C:$C,MATCH(C653,'Infos Clientes'!$H:$H,0))),'Infos Clientes'!$W$2:$CZ$2,"&gt;"&amp;$R653-365,'Infos Clientes'!$W$2:$CZ$2,"&lt;="&amp;$R653)/
COUNTIFS(INDIRECT("'Infos Clientes'!$W"&amp;INDEX('Infos Clientes'!$C:$C,MATCH(C653,'Infos Clientes'!$H:$H,0))&amp;":$CZ"&amp;INDEX('Infos Clientes'!$C:$C,MATCH(C653,'Infos Clientes'!$H:$H,0))),"&gt;="&amp;0,'Infos Clientes'!$W$2:$CZ$2,"&gt;"&amp;$R653-365,'Infos Clientes'!$W$2:$CZ$2,"&lt;="&amp;$R653),""),"")</f>
        <v>271</v>
      </c>
      <c r="CB653" s="87">
        <f>VLOOKUP(C653,'Infos Clientes'!B:L,11,0)</f>
        <v>0</v>
      </c>
      <c r="CC653" s="88" t="str">
        <f t="shared" si="415"/>
        <v>A Unidade Consumidora 10/1698130-0 economizou R$14,41 na fatura referente à jul/2025  consumindo 54 kWh em créditos de energia renovável conforme fatura de energia. A economia foi de 22,94% em relação ao que seria pago para a Energisa considerando os créditos consumidos. Atenção: Mantenha as contas da Energisa em dia para evitar cortes.</v>
      </c>
      <c r="CD653" s="40" t="s">
        <v>59</v>
      </c>
      <c r="CE653" s="43">
        <v>177.99</v>
      </c>
      <c r="CF653" s="115">
        <f t="shared" si="416"/>
        <v>0</v>
      </c>
    </row>
    <row r="654" spans="1:84" ht="16.2" hidden="1" customHeight="1" x14ac:dyDescent="0.3">
      <c r="A654" s="105" t="str">
        <f>INDEX('Infos Clientes'!$D:$D,MATCH('Detalhe Por UC'!C654,'Infos Clientes'!B:B,0))</f>
        <v>IGREJA DO EVANGELHO QUADRANGULAR</v>
      </c>
      <c r="B654" s="106" t="str">
        <f>INDEX('Infos Clientes'!$F:$F,MATCH('Detalhe Por UC'!C654,'Infos Clientes'!B:B,0))</f>
        <v>62.955.505/0156-01</v>
      </c>
      <c r="C654" s="31" t="s">
        <v>32</v>
      </c>
      <c r="D654" t="s">
        <v>351</v>
      </c>
      <c r="E654" s="1" t="s">
        <v>352</v>
      </c>
      <c r="F654" s="56" t="str">
        <f>INDEX('Infos Clientes'!$I:$I,MATCH('Detalhe Por UC'!C654,'Infos Clientes'!B:B,0))</f>
        <v>BT</v>
      </c>
      <c r="G654" s="56" t="str">
        <f>INDEX('Infos Clientes'!$J:$J,MATCH('Detalhe Por UC'!C654,'Infos Clientes'!B:B,0))</f>
        <v>trifasico</v>
      </c>
      <c r="H654" s="108" t="s">
        <v>24</v>
      </c>
      <c r="I654" s="58">
        <f>IFERROR(VLOOKUP(C654,'Infos Clientes'!B:E,4,),"")</f>
        <v>319</v>
      </c>
      <c r="J654" s="109">
        <v>0.22939999999999999</v>
      </c>
      <c r="K654" s="79">
        <f>INDEX('Resumo Operacional'!$A$1:$P$151,MATCH("Desconto percentual Ucs",'Resumo Operacional'!$B$1:$B$151,0),MATCH('Detalhe Por UC'!$R654,'Resumo Operacional'!$A$1:$P$1,0))</f>
        <v>0.25212408425707711</v>
      </c>
      <c r="L654" s="125">
        <v>0</v>
      </c>
      <c r="M654" s="56">
        <f>INDEX('Infos Clientes'!$N:$N,MATCH('Detalhe Por UC'!C654,'Infos Clientes'!B:B,0))</f>
        <v>0</v>
      </c>
      <c r="N654" s="56">
        <f t="shared" si="381"/>
        <v>0</v>
      </c>
      <c r="O654" s="56">
        <f t="shared" si="382"/>
        <v>9</v>
      </c>
      <c r="P654" s="56">
        <f t="shared" si="417"/>
        <v>0</v>
      </c>
      <c r="Q654" s="61">
        <f>IFERROR(IFERROR(INDEX('Infos Clientes'!$A$2:$V$9884,MATCH($C654,'Infos Clientes'!$B$2:$B$9884,0),MATCH(Q$8,'Infos Clientes'!$A$2:$V$2,0)),"")
+IF(OR(INDEX('Infos Clientes'!$A$2:$V$9884,MATCH($C654,'Infos Clientes'!$B$2:$B$9884,0),MATCH("Tempo de Fidelidade (meses)",'Infos Clientes'!$A$2:$V$2,0))=0,R654&gt;=MAX(R:R)),0,
ROUND((MAX(R:R)-R654)/(365/12),0)),"")</f>
        <v>0</v>
      </c>
      <c r="R654" s="111">
        <v>45839</v>
      </c>
      <c r="S654" s="63">
        <v>1.35E-2</v>
      </c>
      <c r="T654" s="113">
        <f>IF($H654="GIROSSOL II",AP654/INDEX('Resumo Operacional'!$A$1:$P$1103,17,MATCH('Detalhe Por UC'!$R654,'Resumo Operacional'!$A$1:$P$1,0)),
IF($H654="GIROSSOL II e III",AP654/INDEX('Resumo Operacional'!$A$1:$P$1103,17,MATCH('Detalhe Por UC'!$R654,'Resumo Operacional'!$A$1:$P$1,0)),
""))</f>
        <v>2.8484848484848484E-2</v>
      </c>
      <c r="U654" s="113" t="str">
        <f>IF($H654="GIROSSOL III",AP654/INDEX('Resumo Operacional'!$A$1:$P$1103,53,MATCH('Detalhe Por UC'!$R654,'Resumo Operacional'!$A$1:$P$1,0)),
IF($H654="GIROSSOL II e III",AP654/INDEX('Resumo Operacional'!$A$1:$P$1103,53,MATCH('Detalhe Por UC'!$R654,'Resumo Operacional'!$A$1:$P$1,0)),
""))</f>
        <v/>
      </c>
      <c r="V654" s="45"/>
      <c r="X654">
        <v>1.1631020304568527</v>
      </c>
      <c r="Y654">
        <v>0</v>
      </c>
      <c r="Z654" s="18">
        <v>1.1631041237113402</v>
      </c>
      <c r="AA654">
        <v>0</v>
      </c>
      <c r="AB654" s="18">
        <v>197</v>
      </c>
      <c r="AC654">
        <v>0</v>
      </c>
      <c r="AD654" s="143">
        <v>97</v>
      </c>
      <c r="AE654" s="35"/>
      <c r="AF654" s="18">
        <v>138</v>
      </c>
      <c r="AG654">
        <v>0</v>
      </c>
      <c r="AH654" s="48">
        <v>19.8</v>
      </c>
      <c r="AI654">
        <v>0</v>
      </c>
      <c r="AJ654">
        <v>0</v>
      </c>
      <c r="AN654" s="71">
        <f t="shared" si="383"/>
        <v>138</v>
      </c>
      <c r="AO654" s="71">
        <f t="shared" si="384"/>
        <v>0</v>
      </c>
      <c r="AP654" s="71">
        <f t="shared" si="385"/>
        <v>235</v>
      </c>
      <c r="AQ654" s="72">
        <f>IF(OR($H654="GIROSSOL II",$H654="GIROSSOL II e III"),INDEX('Resumo Operacional'!$A$1:$P$1103,MATCH("Energia Injetada prevista total Fatura da Usina (TUSD)",'Resumo Operacional'!$B$1:$B$1103,0),MATCH('Detalhe Por UC'!$R654,'Resumo Operacional'!$A$1:$P$1,0))*$S654,INDEX('Resumo Operacional'!$A$1:$P$1103,53,MATCH('Detalhe Por UC'!$R654,'Resumo Operacional'!$A$1:$P$1,0))*$S654)</f>
        <v>111.375</v>
      </c>
      <c r="AR654" s="71">
        <f t="shared" si="386"/>
        <v>123.625</v>
      </c>
      <c r="AS654" s="73">
        <f t="shared" si="387"/>
        <v>136.10999999999999</v>
      </c>
      <c r="AT654" s="74">
        <f t="shared" si="388"/>
        <v>136.10999999999999</v>
      </c>
      <c r="AU654" s="74">
        <f t="shared" si="389"/>
        <v>1.1631062169658277</v>
      </c>
      <c r="AV654" s="74">
        <f t="shared" si="390"/>
        <v>86.939939659999993</v>
      </c>
      <c r="AW654" s="74">
        <f t="shared" si="391"/>
        <v>0</v>
      </c>
      <c r="AX654" s="74">
        <f t="shared" si="392"/>
        <v>112.8211</v>
      </c>
      <c r="AY654" s="74">
        <f t="shared" si="393"/>
        <v>86.94</v>
      </c>
      <c r="AZ654" s="43">
        <v>86.94</v>
      </c>
      <c r="BA654" s="43">
        <v>86.94</v>
      </c>
      <c r="BB654" s="49">
        <v>86.94</v>
      </c>
      <c r="BC654" s="73" t="str">
        <f t="shared" si="394"/>
        <v/>
      </c>
      <c r="BD654" s="73">
        <f t="shared" si="395"/>
        <v>248.93109999999999</v>
      </c>
      <c r="BE654" s="73">
        <f t="shared" si="396"/>
        <v>223.04993965999998</v>
      </c>
      <c r="BF654" s="77">
        <f t="shared" si="397"/>
        <v>25.88</v>
      </c>
      <c r="BG654" s="77">
        <f t="shared" si="398"/>
        <v>7.7639999999999993</v>
      </c>
      <c r="BH654" s="77">
        <f t="shared" si="399"/>
        <v>112.8211</v>
      </c>
      <c r="BI654" s="78">
        <f t="shared" si="400"/>
        <v>0.23</v>
      </c>
      <c r="BJ654" s="79">
        <f t="shared" si="401"/>
        <v>0.10396451066178553</v>
      </c>
      <c r="BK654" s="80">
        <f t="shared" si="402"/>
        <v>223.04999999999998</v>
      </c>
      <c r="BL654" s="80">
        <f t="shared" si="403"/>
        <v>25.881100000000004</v>
      </c>
      <c r="BM654" s="79">
        <f t="shared" si="404"/>
        <v>0.10396892955520626</v>
      </c>
      <c r="BN654" s="81">
        <f t="shared" si="405"/>
        <v>0.89628865979381445</v>
      </c>
      <c r="BO654" s="82">
        <f t="shared" si="406"/>
        <v>86.94</v>
      </c>
      <c r="BP654" s="81">
        <f t="shared" si="407"/>
        <v>0.89628865979381445</v>
      </c>
      <c r="BQ654" s="81">
        <f t="shared" si="408"/>
        <v>0.89628656653932692</v>
      </c>
      <c r="BR654" s="81">
        <f t="shared" si="409"/>
        <v>1.1631020304568527</v>
      </c>
      <c r="BS654" s="82">
        <f t="shared" si="410"/>
        <v>97</v>
      </c>
      <c r="BT654" s="82">
        <f t="shared" si="411"/>
        <v>112.8208969543147</v>
      </c>
      <c r="BU654" s="82">
        <f t="shared" si="412"/>
        <v>112.8211</v>
      </c>
      <c r="BW654" s="82">
        <f>IFERROR(INDEX('Infos Clientes'!$T:$T,MATCH('Detalhe Por UC'!$C654,'Infos Clientes'!B:B,0)),"")</f>
        <v>236.08333333333334</v>
      </c>
      <c r="BX654" s="83">
        <f t="shared" si="413"/>
        <v>0</v>
      </c>
      <c r="BY654" s="84">
        <f t="shared" si="414"/>
        <v>0.22939987802508074</v>
      </c>
      <c r="BZ654" s="85">
        <f>IF(_xlfn.MINIFS('Detalhe Por UC'!R:R,'Detalhe Por UC'!C:C,C654,'Detalhe Por UC'!AD:AD,"&gt;"&amp;0)=0,"",_xlfn.MINIFS('Detalhe Por UC'!R:R,'Detalhe Por UC'!C:C,C654,'Detalhe Por UC'!AD:AD,"&gt;"&amp;0))</f>
        <v>45627</v>
      </c>
      <c r="CA654" s="114">
        <f ca="1">IF(OR(S654&gt;0,AD654&gt;0),IFERROR(
SUMIFS(INDIRECT("'Infos Clientes'!$W"&amp;INDEX('Infos Clientes'!$C:$C,MATCH(C654,'Infos Clientes'!$H:$H,0))&amp;":$CZ"&amp;INDEX('Infos Clientes'!$C:$C,MATCH(C654,'Infos Clientes'!$H:$H,0))),'Infos Clientes'!$W$2:$CZ$2,"&gt;"&amp;$R654-365,'Infos Clientes'!$W$2:$CZ$2,"&lt;="&amp;$R654)/
COUNTIFS(INDIRECT("'Infos Clientes'!$W"&amp;INDEX('Infos Clientes'!$C:$C,MATCH(C654,'Infos Clientes'!$H:$H,0))&amp;":$CZ"&amp;INDEX('Infos Clientes'!$C:$C,MATCH(C654,'Infos Clientes'!$H:$H,0))),"&gt;="&amp;0,'Infos Clientes'!$W$2:$CZ$2,"&gt;"&amp;$R654-365,'Infos Clientes'!$W$2:$CZ$2,"&lt;="&amp;$R654),""),"")</f>
        <v>251.75</v>
      </c>
      <c r="CB654" s="87">
        <f>VLOOKUP(C654,'Infos Clientes'!B:L,11,0)</f>
        <v>0</v>
      </c>
      <c r="CC654" s="88" t="str">
        <f t="shared" si="415"/>
        <v>A Unidade Consumidora 10/113971-6 economizou R$25,88 na fatura referente à jul/2025  consumindo 97 kWh em créditos de energia renovável conforme fatura de energia. A economia foi de 22,94% em relação ao que seria pago para a Energisa considerando os créditos consumidos. Atenção: Mantenha as contas da Energisa em dia para evitar cortes.</v>
      </c>
      <c r="CD654" s="40" t="s">
        <v>34</v>
      </c>
      <c r="CE654" s="43">
        <v>136.11000000000001</v>
      </c>
      <c r="CF654" s="115">
        <f t="shared" si="416"/>
        <v>0</v>
      </c>
    </row>
    <row r="655" spans="1:84" ht="16.2" hidden="1" customHeight="1" x14ac:dyDescent="0.3">
      <c r="A655" s="105" t="str">
        <f>INDEX('Infos Clientes'!$D:$D,MATCH('Detalhe Por UC'!C655,'Infos Clientes'!B:B,0))</f>
        <v>IGREJA DO EVANGELHO QUADRANGULAR</v>
      </c>
      <c r="B655" s="106" t="str">
        <f>INDEX('Infos Clientes'!$F:$F,MATCH('Detalhe Por UC'!C655,'Infos Clientes'!B:B,0))</f>
        <v>62.955.505/0153-50</v>
      </c>
      <c r="C655" s="31" t="s">
        <v>45</v>
      </c>
      <c r="D655" t="s">
        <v>351</v>
      </c>
      <c r="E655" s="1" t="s">
        <v>352</v>
      </c>
      <c r="F655" s="56" t="str">
        <f>INDEX('Infos Clientes'!$I:$I,MATCH('Detalhe Por UC'!C655,'Infos Clientes'!B:B,0))</f>
        <v>BT</v>
      </c>
      <c r="G655" s="56" t="str">
        <f>INDEX('Infos Clientes'!$J:$J,MATCH('Detalhe Por UC'!C655,'Infos Clientes'!B:B,0))</f>
        <v>trifasico</v>
      </c>
      <c r="H655" s="108" t="s">
        <v>24</v>
      </c>
      <c r="I655" s="58">
        <f>IFERROR(VLOOKUP(C655,'Infos Clientes'!B:E,4,),"")</f>
        <v>994</v>
      </c>
      <c r="J655" s="109">
        <v>0.22939999999999999</v>
      </c>
      <c r="K655" s="79">
        <f>INDEX('Resumo Operacional'!$A$1:$P$151,MATCH("Desconto percentual Ucs",'Resumo Operacional'!$B$1:$B$151,0),MATCH('Detalhe Por UC'!$R655,'Resumo Operacional'!$A$1:$P$1,0))</f>
        <v>0.25212408425707711</v>
      </c>
      <c r="L655" s="125">
        <v>0</v>
      </c>
      <c r="M655" s="56">
        <f>INDEX('Infos Clientes'!$N:$N,MATCH('Detalhe Por UC'!C655,'Infos Clientes'!B:B,0))</f>
        <v>0</v>
      </c>
      <c r="N655" s="56">
        <f t="shared" si="381"/>
        <v>0</v>
      </c>
      <c r="O655" s="56">
        <f t="shared" si="382"/>
        <v>12</v>
      </c>
      <c r="P655" s="56">
        <f t="shared" si="417"/>
        <v>0</v>
      </c>
      <c r="Q655" s="61">
        <f>IFERROR(IFERROR(INDEX('Infos Clientes'!$A$2:$V$9884,MATCH($C655,'Infos Clientes'!$B$2:$B$9884,0),MATCH(Q$8,'Infos Clientes'!$A$2:$V$2,0)),"")
+IF(OR(INDEX('Infos Clientes'!$A$2:$V$9884,MATCH($C655,'Infos Clientes'!$B$2:$B$9884,0),MATCH("Tempo de Fidelidade (meses)",'Infos Clientes'!$A$2:$V$2,0))=0,R655&gt;=MAX(R:R)),0,
ROUND((MAX(R:R)-R655)/(365/12),0)),"")</f>
        <v>0</v>
      </c>
      <c r="R655" s="111">
        <v>45839</v>
      </c>
      <c r="S655" s="63">
        <v>1.26E-2</v>
      </c>
      <c r="T655" s="113">
        <f>IF($H655="GIROSSOL II",AP655/INDEX('Resumo Operacional'!$A$1:$P$1103,17,MATCH('Detalhe Por UC'!$R655,'Resumo Operacional'!$A$1:$P$1,0)),
IF($H655="GIROSSOL II e III",AP655/INDEX('Resumo Operacional'!$A$1:$P$1103,17,MATCH('Detalhe Por UC'!$R655,'Resumo Operacional'!$A$1:$P$1,0)),
""))</f>
        <v>2.6545454545454546E-2</v>
      </c>
      <c r="U655" s="113" t="str">
        <f>IF($H655="GIROSSOL III",AP655/INDEX('Resumo Operacional'!$A$1:$P$1103,53,MATCH('Detalhe Por UC'!$R655,'Resumo Operacional'!$A$1:$P$1,0)),
IF($H655="GIROSSOL II e III",AP655/INDEX('Resumo Operacional'!$A$1:$P$1103,53,MATCH('Detalhe Por UC'!$R655,'Resumo Operacional'!$A$1:$P$1,0)),
""))</f>
        <v/>
      </c>
      <c r="V655" s="45"/>
      <c r="X655">
        <v>1.1631181818181817</v>
      </c>
      <c r="Y655">
        <v>0</v>
      </c>
      <c r="Z655" s="18">
        <v>1.1629666666666667</v>
      </c>
      <c r="AA655">
        <v>0</v>
      </c>
      <c r="AB655" s="18">
        <v>154</v>
      </c>
      <c r="AC655">
        <v>0</v>
      </c>
      <c r="AD655" s="143">
        <v>54</v>
      </c>
      <c r="AE655" s="35"/>
      <c r="AF655" s="18">
        <v>670</v>
      </c>
      <c r="AG655">
        <v>0</v>
      </c>
      <c r="AH655" s="48">
        <v>38.61</v>
      </c>
      <c r="AI655">
        <v>0</v>
      </c>
      <c r="AJ655">
        <v>0</v>
      </c>
      <c r="AN655" s="71">
        <f t="shared" si="383"/>
        <v>165</v>
      </c>
      <c r="AO655" s="71">
        <f t="shared" si="384"/>
        <v>0</v>
      </c>
      <c r="AP655" s="71">
        <f t="shared" si="385"/>
        <v>219</v>
      </c>
      <c r="AQ655" s="72">
        <f>IF(OR($H655="GIROSSOL II",$H655="GIROSSOL II e III"),INDEX('Resumo Operacional'!$A$1:$P$1103,MATCH("Energia Injetada prevista total Fatura da Usina (TUSD)",'Resumo Operacional'!$B$1:$B$1103,0),MATCH('Detalhe Por UC'!$R655,'Resumo Operacional'!$A$1:$P$1,0))*$S655,INDEX('Resumo Operacional'!$A$1:$P$1103,53,MATCH('Detalhe Por UC'!$R655,'Resumo Operacional'!$A$1:$P$1,0))*$S655)</f>
        <v>103.95</v>
      </c>
      <c r="AR655" s="71">
        <f t="shared" si="386"/>
        <v>115.05</v>
      </c>
      <c r="AS655" s="73">
        <f t="shared" si="387"/>
        <v>154.92999999999998</v>
      </c>
      <c r="AT655" s="74">
        <f t="shared" si="388"/>
        <v>154.92999999999998</v>
      </c>
      <c r="AU655" s="74">
        <f t="shared" si="389"/>
        <v>1.1628151515151517</v>
      </c>
      <c r="AV655" s="74">
        <f t="shared" si="390"/>
        <v>48.393834120000001</v>
      </c>
      <c r="AW655" s="74">
        <f t="shared" si="391"/>
        <v>1.3200000000000074</v>
      </c>
      <c r="AX655" s="74">
        <f t="shared" si="392"/>
        <v>64.120200000000011</v>
      </c>
      <c r="AY655" s="74">
        <f t="shared" si="393"/>
        <v>49.71</v>
      </c>
      <c r="AZ655" s="43">
        <v>49.71</v>
      </c>
      <c r="BA655" s="43">
        <v>49.71</v>
      </c>
      <c r="BB655" s="49">
        <v>49.71</v>
      </c>
      <c r="BC655" s="73" t="str">
        <f t="shared" si="394"/>
        <v/>
      </c>
      <c r="BD655" s="73">
        <f t="shared" si="395"/>
        <v>217.73019999999997</v>
      </c>
      <c r="BE655" s="73">
        <f t="shared" si="396"/>
        <v>203.32383411999999</v>
      </c>
      <c r="BF655" s="77">
        <f t="shared" si="397"/>
        <v>14.41</v>
      </c>
      <c r="BG655" s="77">
        <f t="shared" si="398"/>
        <v>4.3229999999999995</v>
      </c>
      <c r="BH655" s="77">
        <f t="shared" si="399"/>
        <v>62.800200000000004</v>
      </c>
      <c r="BI655" s="78">
        <f t="shared" si="400"/>
        <v>0.22</v>
      </c>
      <c r="BJ655" s="79">
        <f t="shared" si="401"/>
        <v>6.6182826268473563E-2</v>
      </c>
      <c r="BK655" s="80">
        <f t="shared" si="402"/>
        <v>204.64</v>
      </c>
      <c r="BL655" s="80">
        <f t="shared" si="403"/>
        <v>13.090199999999982</v>
      </c>
      <c r="BM655" s="79">
        <f t="shared" si="404"/>
        <v>6.0121195865341523E-2</v>
      </c>
      <c r="BN655" s="81">
        <f t="shared" si="405"/>
        <v>0.92055555555555557</v>
      </c>
      <c r="BO655" s="82">
        <f t="shared" si="406"/>
        <v>49.71</v>
      </c>
      <c r="BP655" s="81">
        <f t="shared" si="407"/>
        <v>0.92055555555555557</v>
      </c>
      <c r="BQ655" s="81">
        <f t="shared" si="408"/>
        <v>0.92070707070707059</v>
      </c>
      <c r="BR655" s="81">
        <f t="shared" si="409"/>
        <v>1.1631181818181817</v>
      </c>
      <c r="BS655" s="82">
        <f t="shared" si="410"/>
        <v>54</v>
      </c>
      <c r="BT655" s="82">
        <f t="shared" si="411"/>
        <v>62.808381818181815</v>
      </c>
      <c r="BU655" s="82">
        <f t="shared" si="412"/>
        <v>62.800200000000004</v>
      </c>
      <c r="BW655" s="82">
        <f>IFERROR(INDEX('Infos Clientes'!$T:$T,MATCH('Detalhe Por UC'!$C655,'Infos Clientes'!B:B,0)),"")</f>
        <v>362.41666666666669</v>
      </c>
      <c r="BX655" s="83">
        <f t="shared" si="413"/>
        <v>0</v>
      </c>
      <c r="BY655" s="84">
        <f t="shared" si="414"/>
        <v>0.20841485835272133</v>
      </c>
      <c r="BZ655" s="85">
        <f>IF(_xlfn.MINIFS('Detalhe Por UC'!R:R,'Detalhe Por UC'!C:C,C655,'Detalhe Por UC'!AD:AD,"&gt;"&amp;0)=0,"",_xlfn.MINIFS('Detalhe Por UC'!R:R,'Detalhe Por UC'!C:C,C655,'Detalhe Por UC'!AD:AD,"&gt;"&amp;0))</f>
        <v>45627</v>
      </c>
      <c r="CA655" s="114">
        <f ca="1">IF(OR(S655&gt;0,AD655&gt;0),IFERROR(
SUMIFS(INDIRECT("'Infos Clientes'!$W"&amp;INDEX('Infos Clientes'!$C:$C,MATCH(C655,'Infos Clientes'!$H:$H,0))&amp;":$CZ"&amp;INDEX('Infos Clientes'!$C:$C,MATCH(C655,'Infos Clientes'!$H:$H,0))),'Infos Clientes'!$W$2:$CZ$2,"&gt;"&amp;$R655-365,'Infos Clientes'!$W$2:$CZ$2,"&lt;="&amp;$R655)/
COUNTIFS(INDIRECT("'Infos Clientes'!$W"&amp;INDEX('Infos Clientes'!$C:$C,MATCH(C655,'Infos Clientes'!$H:$H,0))&amp;":$CZ"&amp;INDEX('Infos Clientes'!$C:$C,MATCH(C655,'Infos Clientes'!$H:$H,0))),"&gt;="&amp;0,'Infos Clientes'!$W$2:$CZ$2,"&gt;"&amp;$R655-365,'Infos Clientes'!$W$2:$CZ$2,"&lt;="&amp;$R655),""),"")</f>
        <v>332.41666666666669</v>
      </c>
      <c r="CB655" s="87">
        <f>VLOOKUP(C655,'Infos Clientes'!B:L,11,0)</f>
        <v>0</v>
      </c>
      <c r="CC655" s="88" t="str">
        <f t="shared" si="415"/>
        <v>A Unidade Consumidora 10/156956-5 economizou R$14,41 na fatura referente à jul/2025  consumindo 54 kWh em créditos de energia renovável conforme fatura de energia. A economia foi de 22,94% em relação ao que seria pago para a Energisa considerando os créditos consumidos. Atenção: Mantenha as contas da Energisa em dia para evitar cortes.</v>
      </c>
      <c r="CD655" s="40" t="s">
        <v>47</v>
      </c>
      <c r="CE655" s="43">
        <v>154.93</v>
      </c>
      <c r="CF655" s="115">
        <f t="shared" si="416"/>
        <v>0</v>
      </c>
    </row>
    <row r="656" spans="1:84" ht="16.2" hidden="1" customHeight="1" x14ac:dyDescent="0.3">
      <c r="A656" s="105" t="str">
        <f>INDEX('Infos Clientes'!$D:$D,MATCH('Detalhe Por UC'!C656,'Infos Clientes'!B:B,0))</f>
        <v>IGREJA DO EVANGELHO QUADRANGULAR</v>
      </c>
      <c r="B656" s="106" t="str">
        <f>INDEX('Infos Clientes'!$F:$F,MATCH('Detalhe Por UC'!C656,'Infos Clientes'!B:B,0))</f>
        <v>62.955.505/1973-60</v>
      </c>
      <c r="C656" s="31" t="s">
        <v>51</v>
      </c>
      <c r="D656" t="s">
        <v>351</v>
      </c>
      <c r="E656" s="1" t="s">
        <v>352</v>
      </c>
      <c r="F656" s="56" t="str">
        <f>INDEX('Infos Clientes'!$I:$I,MATCH('Detalhe Por UC'!C656,'Infos Clientes'!B:B,0))</f>
        <v>BT</v>
      </c>
      <c r="G656" s="56" t="str">
        <f>INDEX('Infos Clientes'!$J:$J,MATCH('Detalhe Por UC'!C656,'Infos Clientes'!B:B,0))</f>
        <v>trifasico</v>
      </c>
      <c r="H656" s="108" t="s">
        <v>24</v>
      </c>
      <c r="I656" s="58">
        <f>IFERROR(VLOOKUP(C656,'Infos Clientes'!B:E,4,),"")</f>
        <v>360</v>
      </c>
      <c r="J656" s="109">
        <v>0.22939999999999999</v>
      </c>
      <c r="K656" s="79">
        <f>INDEX('Resumo Operacional'!$A$1:$P$151,MATCH("Desconto percentual Ucs",'Resumo Operacional'!$B$1:$B$151,0),MATCH('Detalhe Por UC'!$R656,'Resumo Operacional'!$A$1:$P$1,0))</f>
        <v>0.25212408425707711</v>
      </c>
      <c r="L656" s="125">
        <v>0</v>
      </c>
      <c r="M656" s="56">
        <f>INDEX('Infos Clientes'!$N:$N,MATCH('Detalhe Por UC'!C656,'Infos Clientes'!B:B,0))</f>
        <v>0</v>
      </c>
      <c r="N656" s="56">
        <f t="shared" si="381"/>
        <v>0</v>
      </c>
      <c r="O656" s="56">
        <f t="shared" si="382"/>
        <v>9</v>
      </c>
      <c r="P656" s="56">
        <f t="shared" si="417"/>
        <v>0</v>
      </c>
      <c r="Q656" s="61">
        <f>IFERROR(IFERROR(INDEX('Infos Clientes'!$A$2:$V$9884,MATCH($C656,'Infos Clientes'!$B$2:$B$9884,0),MATCH(Q$8,'Infos Clientes'!$A$2:$V$2,0)),"")
+IF(OR(INDEX('Infos Clientes'!$A$2:$V$9884,MATCH($C656,'Infos Clientes'!$B$2:$B$9884,0),MATCH("Tempo de Fidelidade (meses)",'Infos Clientes'!$A$2:$V$2,0))=0,R656&gt;=MAX(R:R)),0,
ROUND((MAX(R:R)-R656)/(365/12),0)),"")</f>
        <v>0</v>
      </c>
      <c r="R656" s="111">
        <v>45839</v>
      </c>
      <c r="S656" s="63">
        <v>1.2200000000000001E-2</v>
      </c>
      <c r="T656" s="113">
        <f>IF($H656="GIROSSOL II",AP656/INDEX('Resumo Operacional'!$A$1:$P$1103,17,MATCH('Detalhe Por UC'!$R656,'Resumo Operacional'!$A$1:$P$1,0)),
IF($H656="GIROSSOL II e III",AP656/INDEX('Resumo Operacional'!$A$1:$P$1103,17,MATCH('Detalhe Por UC'!$R656,'Resumo Operacional'!$A$1:$P$1,0)),
""))</f>
        <v>1.9878787878787878E-2</v>
      </c>
      <c r="U656" s="113" t="str">
        <f>IF($H656="GIROSSOL III",AP656/INDEX('Resumo Operacional'!$A$1:$P$1103,53,MATCH('Detalhe Por UC'!$R656,'Resumo Operacional'!$A$1:$P$1,0)),
IF($H656="GIROSSOL II e III",AP656/INDEX('Resumo Operacional'!$A$1:$P$1103,53,MATCH('Detalhe Por UC'!$R656,'Resumo Operacional'!$A$1:$P$1,0)),
""))</f>
        <v/>
      </c>
      <c r="V656" s="45"/>
      <c r="X656">
        <v>1.163</v>
      </c>
      <c r="Y656">
        <v>0</v>
      </c>
      <c r="Z656" s="18">
        <v>0</v>
      </c>
      <c r="AA656">
        <v>0</v>
      </c>
      <c r="AB656" s="18">
        <v>0</v>
      </c>
      <c r="AC656">
        <v>0</v>
      </c>
      <c r="AD656" s="143">
        <v>0</v>
      </c>
      <c r="AE656" s="35"/>
      <c r="AF656" s="18">
        <v>164</v>
      </c>
      <c r="AG656">
        <v>0</v>
      </c>
      <c r="AH656" s="48">
        <v>0</v>
      </c>
      <c r="AI656">
        <v>0</v>
      </c>
      <c r="AJ656">
        <v>0</v>
      </c>
      <c r="AN656" s="71">
        <f t="shared" si="383"/>
        <v>164</v>
      </c>
      <c r="AO656" s="71">
        <f t="shared" si="384"/>
        <v>0</v>
      </c>
      <c r="AP656" s="71">
        <f t="shared" si="385"/>
        <v>164</v>
      </c>
      <c r="AQ656" s="72">
        <f>IF(OR($H656="GIROSSOL II",$H656="GIROSSOL II e III"),INDEX('Resumo Operacional'!$A$1:$P$1103,MATCH("Energia Injetada prevista total Fatura da Usina (TUSD)",'Resumo Operacional'!$B$1:$B$1103,0),MATCH('Detalhe Por UC'!$R656,'Resumo Operacional'!$A$1:$P$1,0))*$S656,INDEX('Resumo Operacional'!$A$1:$P$1103,53,MATCH('Detalhe Por UC'!$R656,'Resumo Operacional'!$A$1:$P$1,0))*$S656)</f>
        <v>100.65</v>
      </c>
      <c r="AR656" s="71">
        <f t="shared" si="386"/>
        <v>63.349999999999994</v>
      </c>
      <c r="AS656" s="73">
        <f t="shared" si="387"/>
        <v>116.3</v>
      </c>
      <c r="AT656" s="74">
        <f t="shared" si="388"/>
        <v>116.3</v>
      </c>
      <c r="AU656" s="74" t="str">
        <f t="shared" si="389"/>
        <v/>
      </c>
      <c r="AV656" s="74">
        <f t="shared" si="390"/>
        <v>0</v>
      </c>
      <c r="AW656" s="74">
        <f t="shared" si="391"/>
        <v>0</v>
      </c>
      <c r="AX656" s="74">
        <f t="shared" si="392"/>
        <v>0</v>
      </c>
      <c r="AY656" s="74" t="str">
        <f t="shared" si="393"/>
        <v/>
      </c>
      <c r="AZ656" s="43" t="s">
        <v>354</v>
      </c>
      <c r="BA656" s="43">
        <v>0</v>
      </c>
      <c r="BC656" s="73" t="str">
        <f t="shared" si="394"/>
        <v/>
      </c>
      <c r="BD656" s="73">
        <f t="shared" si="395"/>
        <v>116.3</v>
      </c>
      <c r="BE656" s="73">
        <f t="shared" si="396"/>
        <v>116.3</v>
      </c>
      <c r="BF656" s="77">
        <f t="shared" si="397"/>
        <v>0</v>
      </c>
      <c r="BG656" s="77">
        <f t="shared" si="398"/>
        <v>0</v>
      </c>
      <c r="BH656" s="77">
        <f t="shared" si="399"/>
        <v>0</v>
      </c>
      <c r="BI656" s="78" t="str">
        <f t="shared" si="400"/>
        <v/>
      </c>
      <c r="BJ656" s="79">
        <f t="shared" si="401"/>
        <v>0</v>
      </c>
      <c r="BK656" s="80" t="str">
        <f t="shared" si="402"/>
        <v/>
      </c>
      <c r="BL656" s="80" t="str">
        <f t="shared" si="403"/>
        <v/>
      </c>
      <c r="BM656" s="79" t="str">
        <f t="shared" si="404"/>
        <v/>
      </c>
      <c r="BN656" s="81" t="str">
        <f t="shared" si="405"/>
        <v/>
      </c>
      <c r="BO656" s="82" t="str">
        <f t="shared" si="406"/>
        <v/>
      </c>
      <c r="BP656" s="81" t="str">
        <f t="shared" si="407"/>
        <v/>
      </c>
      <c r="BQ656" s="81" t="str">
        <f t="shared" si="408"/>
        <v/>
      </c>
      <c r="BR656" s="81" t="str">
        <f t="shared" si="409"/>
        <v/>
      </c>
      <c r="BS656" s="82">
        <f t="shared" si="410"/>
        <v>0</v>
      </c>
      <c r="BT656" s="82" t="str">
        <f t="shared" si="411"/>
        <v/>
      </c>
      <c r="BU656" s="82">
        <f t="shared" si="412"/>
        <v>0</v>
      </c>
      <c r="BW656" s="82">
        <f>IFERROR(INDEX('Infos Clientes'!$T:$T,MATCH('Detalhe Por UC'!$C656,'Infos Clientes'!B:B,0)),"")</f>
        <v>185.66666666666666</v>
      </c>
      <c r="BX656" s="83">
        <f t="shared" si="413"/>
        <v>0</v>
      </c>
      <c r="BY656" s="84" t="str">
        <f t="shared" si="414"/>
        <v/>
      </c>
      <c r="BZ656" s="85">
        <f>IF(_xlfn.MINIFS('Detalhe Por UC'!R:R,'Detalhe Por UC'!C:C,C656,'Detalhe Por UC'!AD:AD,"&gt;"&amp;0)=0,"",_xlfn.MINIFS('Detalhe Por UC'!R:R,'Detalhe Por UC'!C:C,C656,'Detalhe Por UC'!AD:AD,"&gt;"&amp;0))</f>
        <v>45627</v>
      </c>
      <c r="CA656" s="114">
        <f ca="1">IF(OR(S656&gt;0,AD656&gt;0),IFERROR(
SUMIFS(INDIRECT("'Infos Clientes'!$W"&amp;INDEX('Infos Clientes'!$C:$C,MATCH(C656,'Infos Clientes'!$H:$H,0))&amp;":$CZ"&amp;INDEX('Infos Clientes'!$C:$C,MATCH(C656,'Infos Clientes'!$H:$H,0))),'Infos Clientes'!$W$2:$CZ$2,"&gt;"&amp;$R656-365,'Infos Clientes'!$W$2:$CZ$2,"&lt;="&amp;$R656)/
COUNTIFS(INDIRECT("'Infos Clientes'!$W"&amp;INDEX('Infos Clientes'!$C:$C,MATCH(C656,'Infos Clientes'!$H:$H,0))&amp;":$CZ"&amp;INDEX('Infos Clientes'!$C:$C,MATCH(C656,'Infos Clientes'!$H:$H,0))),"&gt;="&amp;0,'Infos Clientes'!$W$2:$CZ$2,"&gt;"&amp;$R656-365,'Infos Clientes'!$W$2:$CZ$2,"&lt;="&amp;$R656),""),"")</f>
        <v>272.36363636363637</v>
      </c>
      <c r="CB656" s="87">
        <f>VLOOKUP(C656,'Infos Clientes'!B:L,11,0)</f>
        <v>0</v>
      </c>
      <c r="CC656" s="88" t="str">
        <f t="shared" si="415"/>
        <v>A Unidade Consumidora 10/162736-3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656" s="40" t="s">
        <v>53</v>
      </c>
      <c r="CE656" s="43">
        <v>116.3</v>
      </c>
      <c r="CF656" s="115">
        <f t="shared" si="416"/>
        <v>0</v>
      </c>
    </row>
    <row r="657" spans="1:84" ht="16.2" hidden="1" customHeight="1" x14ac:dyDescent="0.3">
      <c r="A657" s="105" t="str">
        <f>INDEX('Infos Clientes'!$D:$D,MATCH('Detalhe Por UC'!C657,'Infos Clientes'!B:B,0))</f>
        <v>IGREJA DO EVANGELHO QUADRANGULAR</v>
      </c>
      <c r="B657" s="106" t="str">
        <f>INDEX('Infos Clientes'!$F:$F,MATCH('Detalhe Por UC'!C657,'Infos Clientes'!B:B,0))</f>
        <v>62.955.505/0914-56</v>
      </c>
      <c r="C657" s="107" t="s">
        <v>132</v>
      </c>
      <c r="D657" t="s">
        <v>351</v>
      </c>
      <c r="E657" s="1" t="s">
        <v>352</v>
      </c>
      <c r="F657" s="56">
        <f>INDEX('Infos Clientes'!$I:$I,MATCH('Detalhe Por UC'!C657,'Infos Clientes'!B:B,0))</f>
        <v>0</v>
      </c>
      <c r="G657" s="56">
        <f>INDEX('Infos Clientes'!$J:$J,MATCH('Detalhe Por UC'!C657,'Infos Clientes'!B:B,0))</f>
        <v>0</v>
      </c>
      <c r="H657" s="108" t="s">
        <v>24</v>
      </c>
      <c r="I657" s="58">
        <f>IFERROR(VLOOKUP(C657,'Infos Clientes'!B:E,4,),"")</f>
        <v>0</v>
      </c>
      <c r="J657" s="109">
        <v>0.22939999999999999</v>
      </c>
      <c r="K657" s="79">
        <f>INDEX('Resumo Operacional'!$A$1:$P$151,MATCH("Desconto percentual Ucs",'Resumo Operacional'!$B$1:$B$151,0),MATCH('Detalhe Por UC'!$R657,'Resumo Operacional'!$A$1:$P$1,0))</f>
        <v>0.25212408425707711</v>
      </c>
      <c r="L657" s="125">
        <v>0</v>
      </c>
      <c r="M657" s="56">
        <f>INDEX('Infos Clientes'!$N:$N,MATCH('Detalhe Por UC'!C657,'Infos Clientes'!B:B,0))</f>
        <v>0</v>
      </c>
      <c r="N657" s="56">
        <f t="shared" si="381"/>
        <v>6</v>
      </c>
      <c r="O657" s="56">
        <f t="shared" si="382"/>
        <v>0</v>
      </c>
      <c r="P657" s="56">
        <f t="shared" si="417"/>
        <v>-6</v>
      </c>
      <c r="Q657" s="61">
        <f>IFERROR(IFERROR(INDEX('Infos Clientes'!$A$2:$V$9884,MATCH($C657,'Infos Clientes'!$B$2:$B$9884,0),MATCH(Q$8,'Infos Clientes'!$A$2:$V$2,0)),"")
+IF(OR(INDEX('Infos Clientes'!$A$2:$V$9884,MATCH($C657,'Infos Clientes'!$B$2:$B$9884,0),MATCH("Tempo de Fidelidade (meses)",'Infos Clientes'!$A$2:$V$2,0))=0,R657&gt;=MAX(R:R)),0,
ROUND((MAX(R:R)-R657)/(365/12),0)),"")</f>
        <v>0</v>
      </c>
      <c r="R657" s="111">
        <v>45839</v>
      </c>
      <c r="S657" s="63">
        <v>1.18E-2</v>
      </c>
      <c r="T657" s="113">
        <f>IF($H657="GIROSSOL II",AP657/INDEX('Resumo Operacional'!$A$1:$P$1103,17,MATCH('Detalhe Por UC'!$R657,'Resumo Operacional'!$A$1:$P$1,0)),
IF($H657="GIROSSOL II e III",AP657/INDEX('Resumo Operacional'!$A$1:$P$1103,17,MATCH('Detalhe Por UC'!$R657,'Resumo Operacional'!$A$1:$P$1,0)),
""))</f>
        <v>0</v>
      </c>
      <c r="U657" s="113" t="str">
        <f>IF($H657="GIROSSOL III",AP657/INDEX('Resumo Operacional'!$A$1:$P$1103,53,MATCH('Detalhe Por UC'!$R657,'Resumo Operacional'!$A$1:$P$1,0)),
IF($H657="GIROSSOL II e III",AP657/INDEX('Resumo Operacional'!$A$1:$P$1103,53,MATCH('Detalhe Por UC'!$R657,'Resumo Operacional'!$A$1:$P$1,0)),
""))</f>
        <v/>
      </c>
      <c r="V657" s="45"/>
      <c r="Z657" s="18"/>
      <c r="AB657" s="18"/>
      <c r="AD657" s="143"/>
      <c r="AE657" s="35"/>
      <c r="AF657" s="18"/>
      <c r="AH657" s="48"/>
      <c r="AN657" s="71" t="str">
        <f t="shared" si="383"/>
        <v/>
      </c>
      <c r="AO657" s="71" t="str">
        <f t="shared" si="384"/>
        <v/>
      </c>
      <c r="AP657" s="71">
        <f t="shared" si="385"/>
        <v>0</v>
      </c>
      <c r="AQ657" s="72">
        <f>IF(OR($H657="GIROSSOL II",$H657="GIROSSOL II e III"),INDEX('Resumo Operacional'!$A$1:$P$1103,MATCH("Energia Injetada prevista total Fatura da Usina (TUSD)",'Resumo Operacional'!$B$1:$B$1103,0),MATCH('Detalhe Por UC'!$R657,'Resumo Operacional'!$A$1:$P$1,0))*$S657,INDEX('Resumo Operacional'!$A$1:$P$1103,53,MATCH('Detalhe Por UC'!$R657,'Resumo Operacional'!$A$1:$P$1,0))*$S657)</f>
        <v>97.35</v>
      </c>
      <c r="AR657" s="71" t="str">
        <f t="shared" si="386"/>
        <v/>
      </c>
      <c r="AS657" s="73">
        <f t="shared" si="387"/>
        <v>0</v>
      </c>
      <c r="AT657" s="74">
        <f t="shared" si="388"/>
        <v>0</v>
      </c>
      <c r="AU657" s="74" t="str">
        <f t="shared" si="389"/>
        <v/>
      </c>
      <c r="AV657" s="74">
        <f t="shared" si="390"/>
        <v>0</v>
      </c>
      <c r="AW657" s="74">
        <f t="shared" si="391"/>
        <v>0</v>
      </c>
      <c r="AX657" s="74">
        <f t="shared" si="392"/>
        <v>0</v>
      </c>
      <c r="AY657" s="74" t="str">
        <f t="shared" si="393"/>
        <v/>
      </c>
      <c r="AZ657" s="43" t="s">
        <v>354</v>
      </c>
      <c r="BA657" s="43">
        <v>0</v>
      </c>
      <c r="BC657" s="73" t="str">
        <f t="shared" si="394"/>
        <v/>
      </c>
      <c r="BD657" s="73">
        <f t="shared" si="395"/>
        <v>0</v>
      </c>
      <c r="BE657" s="73">
        <f t="shared" si="396"/>
        <v>0</v>
      </c>
      <c r="BF657" s="77">
        <f t="shared" si="397"/>
        <v>0</v>
      </c>
      <c r="BG657" s="77">
        <f t="shared" si="398"/>
        <v>0</v>
      </c>
      <c r="BH657" s="77">
        <f t="shared" si="399"/>
        <v>0</v>
      </c>
      <c r="BI657" s="78" t="str">
        <f t="shared" si="400"/>
        <v/>
      </c>
      <c r="BJ657" s="79" t="str">
        <f t="shared" si="401"/>
        <v/>
      </c>
      <c r="BK657" s="80" t="str">
        <f t="shared" si="402"/>
        <v/>
      </c>
      <c r="BL657" s="80" t="str">
        <f t="shared" si="403"/>
        <v/>
      </c>
      <c r="BM657" s="79" t="str">
        <f t="shared" si="404"/>
        <v/>
      </c>
      <c r="BN657" s="81" t="str">
        <f t="shared" si="405"/>
        <v/>
      </c>
      <c r="BO657" s="82" t="str">
        <f t="shared" si="406"/>
        <v/>
      </c>
      <c r="BP657" s="81" t="str">
        <f t="shared" si="407"/>
        <v/>
      </c>
      <c r="BQ657" s="81" t="str">
        <f t="shared" si="408"/>
        <v/>
      </c>
      <c r="BR657" s="81" t="str">
        <f t="shared" si="409"/>
        <v/>
      </c>
      <c r="BS657" s="82">
        <f t="shared" si="410"/>
        <v>0</v>
      </c>
      <c r="BT657" s="82" t="str">
        <f t="shared" si="411"/>
        <v/>
      </c>
      <c r="BU657" s="82">
        <f t="shared" si="412"/>
        <v>0</v>
      </c>
      <c r="BW657" s="82">
        <f>IFERROR(INDEX('Infos Clientes'!$T:$T,MATCH('Detalhe Por UC'!$C657,'Infos Clientes'!B:B,0)),"")</f>
        <v>0</v>
      </c>
      <c r="BX657" s="83">
        <f t="shared" si="413"/>
        <v>0</v>
      </c>
      <c r="BY657" s="84" t="str">
        <f t="shared" si="414"/>
        <v/>
      </c>
      <c r="BZ657" s="85" t="str">
        <f>IF(_xlfn.MINIFS('Detalhe Por UC'!R:R,'Detalhe Por UC'!C:C,C657,'Detalhe Por UC'!AD:AD,"&gt;"&amp;0)=0,"",_xlfn.MINIFS('Detalhe Por UC'!R:R,'Detalhe Por UC'!C:C,C657,'Detalhe Por UC'!AD:AD,"&gt;"&amp;0))</f>
        <v/>
      </c>
      <c r="CA657" s="114">
        <f ca="1">IF(OR(S657&gt;0,AD657&gt;0),IFERROR(
SUMIFS(INDIRECT("'Infos Clientes'!$W"&amp;INDEX('Infos Clientes'!$C:$C,MATCH(C657,'Infos Clientes'!$H:$H,0))&amp;":$CZ"&amp;INDEX('Infos Clientes'!$C:$C,MATCH(C657,'Infos Clientes'!$H:$H,0))),'Infos Clientes'!$W$2:$CZ$2,"&gt;"&amp;$R657-365,'Infos Clientes'!$W$2:$CZ$2,"&lt;="&amp;$R657)/
COUNTIFS(INDIRECT("'Infos Clientes'!$W"&amp;INDEX('Infos Clientes'!$C:$C,MATCH(C657,'Infos Clientes'!$H:$H,0))&amp;":$CZ"&amp;INDEX('Infos Clientes'!$C:$C,MATCH(C657,'Infos Clientes'!$H:$H,0))),"&gt;="&amp;0,'Infos Clientes'!$W$2:$CZ$2,"&gt;"&amp;$R657-365,'Infos Clientes'!$W$2:$CZ$2,"&lt;="&amp;$R657),""),"")</f>
        <v>136</v>
      </c>
      <c r="CB657" s="87">
        <f>VLOOKUP(C657,'Infos Clientes'!B:L,11,0)</f>
        <v>0</v>
      </c>
      <c r="CC657" s="88" t="str">
        <f t="shared" si="415"/>
        <v>A Unidade Consumidora 10/104720-8 economizou R$0 na fatura referente à jul/2025  consumindo  kWh em créditos de energia renovável conforme fatura de energia. A economia foi de 22,94% em relação ao que seria pago para a Energisa considerando os créditos consumidos. Atenção: Mantenha as contas da Energisa em dia para evitar cortes.</v>
      </c>
      <c r="CD657" s="40">
        <v>0</v>
      </c>
      <c r="CE657" s="43" t="e">
        <v>#N/A</v>
      </c>
      <c r="CF657" s="115" t="e">
        <f t="shared" si="416"/>
        <v>#N/A</v>
      </c>
    </row>
    <row r="658" spans="1:84" ht="16.2" hidden="1" customHeight="1" x14ac:dyDescent="0.3">
      <c r="A658" s="105" t="str">
        <f>INDEX('Infos Clientes'!$D:$D,MATCH('Detalhe Por UC'!C658,'Infos Clientes'!B:B,0))</f>
        <v>IGREJA DO EVANGELHO QUADRANGULAR</v>
      </c>
      <c r="B658" s="106" t="str">
        <f>INDEX('Infos Clientes'!$F:$F,MATCH('Detalhe Por UC'!C658,'Infos Clientes'!B:B,0))</f>
        <v>62.955.505/1821-76</v>
      </c>
      <c r="C658" s="148" t="s">
        <v>81</v>
      </c>
      <c r="D658" t="s">
        <v>351</v>
      </c>
      <c r="E658" s="1" t="s">
        <v>352</v>
      </c>
      <c r="F658" s="56" t="str">
        <f>INDEX('Infos Clientes'!$I:$I,MATCH('Detalhe Por UC'!C658,'Infos Clientes'!B:B,0))</f>
        <v>BT</v>
      </c>
      <c r="G658" s="56" t="str">
        <f>INDEX('Infos Clientes'!$J:$J,MATCH('Detalhe Por UC'!C658,'Infos Clientes'!B:B,0))</f>
        <v>bifasico</v>
      </c>
      <c r="H658" s="47" t="str">
        <f>HYPERLINK("https://geraebcsp.sharepoint.com/sites/gestao.gdc/Shared Documents/EGS/2- Faturas/"&amp; TEXT($R658,"AAA") &amp;"/"&amp; TEXT($R658,"MM") &amp;"."&amp; TEXT($R658,"AAA") &amp;"/"&amp;"_10-"&amp; RIGHT($C658,LEN($C658)-3) &amp;"_" &amp; TEXT($R658,"AAAA") &amp;"-"&amp; TEXT($R658,"MM") &amp;".pdf","GIROSSOL II")</f>
        <v>GIROSSOL II</v>
      </c>
      <c r="I658" s="58">
        <f>IFERROR(VLOOKUP(C658,'Infos Clientes'!B:E,4,),"")</f>
        <v>362</v>
      </c>
      <c r="J658" s="109">
        <v>0.22939999999999999</v>
      </c>
      <c r="K658" s="79">
        <f>INDEX('Resumo Operacional'!$A$1:$P$151,MATCH("Desconto percentual Ucs",'Resumo Operacional'!$B$1:$B$151,0),MATCH('Detalhe Por UC'!$R658,'Resumo Operacional'!$A$1:$P$1,0))</f>
        <v>0.25212408425707711</v>
      </c>
      <c r="L658" s="125">
        <v>0</v>
      </c>
      <c r="M658" s="56">
        <f>INDEX('Infos Clientes'!$N:$N,MATCH('Detalhe Por UC'!C658,'Infos Clientes'!B:B,0))</f>
        <v>0</v>
      </c>
      <c r="N658" s="56">
        <f t="shared" si="381"/>
        <v>0</v>
      </c>
      <c r="O658" s="56">
        <f t="shared" si="382"/>
        <v>12</v>
      </c>
      <c r="P658" s="56">
        <f t="shared" si="417"/>
        <v>0</v>
      </c>
      <c r="Q658" s="61">
        <f>IFERROR(IFERROR(INDEX('Infos Clientes'!$A$2:$V$9884,MATCH($C658,'Infos Clientes'!$B$2:$B$9884,0),MATCH(Q$8,'Infos Clientes'!$A$2:$V$2,0)),"")
+IF(OR(INDEX('Infos Clientes'!$A$2:$V$9884,MATCH($C658,'Infos Clientes'!$B$2:$B$9884,0),MATCH("Tempo de Fidelidade (meses)",'Infos Clientes'!$A$2:$V$2,0))=0,R658&gt;=MAX(R:R)),0,
ROUND((MAX(R:R)-R658)/(365/12),0)),"")</f>
        <v>0</v>
      </c>
      <c r="R658" s="111">
        <v>45839</v>
      </c>
      <c r="S658" s="63">
        <v>1.0699999999999999E-2</v>
      </c>
      <c r="T658" s="113">
        <f>IF($H658="GIROSSOL II",AP658/INDEX('Resumo Operacional'!$A$1:$P$1103,17,MATCH('Detalhe Por UC'!$R658,'Resumo Operacional'!$A$1:$P$1,0)),
IF($H658="GIROSSOL II e III",AP658/INDEX('Resumo Operacional'!$A$1:$P$1103,17,MATCH('Detalhe Por UC'!$R658,'Resumo Operacional'!$A$1:$P$1,0)),
""))</f>
        <v>0</v>
      </c>
      <c r="U658" s="113" t="str">
        <f>IF($H658="GIROSSOL III",AP658/INDEX('Resumo Operacional'!$A$1:$P$1103,53,MATCH('Detalhe Por UC'!$R658,'Resumo Operacional'!$A$1:$P$1,0)),
IF($H658="GIROSSOL II e III",AP658/INDEX('Resumo Operacional'!$A$1:$P$1103,53,MATCH('Detalhe Por UC'!$R658,'Resumo Operacional'!$A$1:$P$1,0)),
""))</f>
        <v/>
      </c>
      <c r="V658" s="45"/>
      <c r="X658">
        <v>1.1629164179104479</v>
      </c>
      <c r="Y658">
        <v>0</v>
      </c>
      <c r="Z658" s="18">
        <v>1.1626705882352941</v>
      </c>
      <c r="AA658">
        <v>0</v>
      </c>
      <c r="AB658" s="18">
        <v>67</v>
      </c>
      <c r="AC658">
        <v>0</v>
      </c>
      <c r="AD658" s="143">
        <v>17</v>
      </c>
      <c r="AE658" s="35"/>
      <c r="AF658" s="18">
        <v>158</v>
      </c>
      <c r="AG658">
        <v>0</v>
      </c>
      <c r="AH658" s="48">
        <v>26.35</v>
      </c>
      <c r="AI658">
        <v>0</v>
      </c>
      <c r="AJ658">
        <v>0</v>
      </c>
      <c r="AN658" s="71">
        <f t="shared" si="383"/>
        <v>-17</v>
      </c>
      <c r="AO658" s="71">
        <f t="shared" si="384"/>
        <v>0</v>
      </c>
      <c r="AP658" s="71">
        <f t="shared" si="385"/>
        <v>0</v>
      </c>
      <c r="AQ658" s="72">
        <f>IF(OR($H658="GIROSSOL II",$H658="GIROSSOL II e III"),INDEX('Resumo Operacional'!$A$1:$P$1103,MATCH("Energia Injetada prevista total Fatura da Usina (TUSD)",'Resumo Operacional'!$B$1:$B$1103,0),MATCH('Detalhe Por UC'!$R658,'Resumo Operacional'!$A$1:$P$1,0))*$S658,INDEX('Resumo Operacional'!$A$1:$P$1103,53,MATCH('Detalhe Por UC'!$R658,'Resumo Operacional'!$A$1:$P$1,0))*$S658)</f>
        <v>88.274999999999991</v>
      </c>
      <c r="AR658" s="71">
        <f t="shared" si="386"/>
        <v>-88.274999999999991</v>
      </c>
      <c r="AS658" s="73">
        <f t="shared" si="387"/>
        <v>84.5</v>
      </c>
      <c r="AT658" s="74">
        <f t="shared" si="388"/>
        <v>84.5</v>
      </c>
      <c r="AU658" s="74">
        <f t="shared" si="389"/>
        <v>1.1624247585601404</v>
      </c>
      <c r="AV658" s="74">
        <f t="shared" si="390"/>
        <v>15.231217239999999</v>
      </c>
      <c r="AW658" s="74">
        <f t="shared" si="391"/>
        <v>0.73000000000000398</v>
      </c>
      <c r="AX658" s="74">
        <f t="shared" si="392"/>
        <v>20.495400000000004</v>
      </c>
      <c r="AY658" s="74">
        <f t="shared" si="393"/>
        <v>15.96</v>
      </c>
      <c r="AZ658" s="43">
        <v>15.96</v>
      </c>
      <c r="BA658" s="43">
        <v>15.96</v>
      </c>
      <c r="BC658" s="73" t="str">
        <f t="shared" si="394"/>
        <v/>
      </c>
      <c r="BD658" s="73">
        <f t="shared" si="395"/>
        <v>104.2654</v>
      </c>
      <c r="BE658" s="73">
        <f t="shared" si="396"/>
        <v>99.731217240000007</v>
      </c>
      <c r="BF658" s="77">
        <f t="shared" si="397"/>
        <v>4.53</v>
      </c>
      <c r="BG658" s="77">
        <f t="shared" si="398"/>
        <v>1.359</v>
      </c>
      <c r="BH658" s="77">
        <f t="shared" si="399"/>
        <v>19.7654</v>
      </c>
      <c r="BI658" s="78">
        <f t="shared" si="400"/>
        <v>0.22</v>
      </c>
      <c r="BJ658" s="79">
        <f t="shared" si="401"/>
        <v>4.3446819366731441E-2</v>
      </c>
      <c r="BK658" s="80">
        <f t="shared" si="402"/>
        <v>100.46000000000001</v>
      </c>
      <c r="BL658" s="80">
        <f t="shared" si="403"/>
        <v>3.8053999999999917</v>
      </c>
      <c r="BM658" s="79">
        <f t="shared" si="404"/>
        <v>3.6497246449924824E-2</v>
      </c>
      <c r="BN658" s="81">
        <f t="shared" si="405"/>
        <v>0.93882352941176472</v>
      </c>
      <c r="BO658" s="82">
        <f t="shared" si="406"/>
        <v>15.96</v>
      </c>
      <c r="BP658" s="81">
        <f t="shared" si="407"/>
        <v>0.93882352941176472</v>
      </c>
      <c r="BQ658" s="81">
        <f t="shared" si="408"/>
        <v>0.93906935908691846</v>
      </c>
      <c r="BR658" s="81">
        <f t="shared" si="409"/>
        <v>1.1629164179104479</v>
      </c>
      <c r="BS658" s="82">
        <f t="shared" si="410"/>
        <v>17</v>
      </c>
      <c r="BT658" s="82">
        <f t="shared" si="411"/>
        <v>19.769579104477614</v>
      </c>
      <c r="BU658" s="82">
        <f t="shared" si="412"/>
        <v>19.7654</v>
      </c>
      <c r="BW658" s="82">
        <f>IFERROR(INDEX('Infos Clientes'!$T:$T,MATCH('Detalhe Por UC'!$C658,'Infos Clientes'!B:B,0)),"")</f>
        <v>153.91666666666666</v>
      </c>
      <c r="BX658" s="83">
        <f t="shared" si="413"/>
        <v>0</v>
      </c>
      <c r="BY658" s="84">
        <f t="shared" si="414"/>
        <v>0.19248765893746894</v>
      </c>
      <c r="BZ658" s="85">
        <f>IF(_xlfn.MINIFS('Detalhe Por UC'!R:R,'Detalhe Por UC'!C:C,C658,'Detalhe Por UC'!AD:AD,"&gt;"&amp;0)=0,"",_xlfn.MINIFS('Detalhe Por UC'!R:R,'Detalhe Por UC'!C:C,C658,'Detalhe Por UC'!AD:AD,"&gt;"&amp;0))</f>
        <v>45627</v>
      </c>
      <c r="CA658" s="114">
        <f ca="1">IF(OR(S658&gt;0,AD658&gt;0),IFERROR(
SUMIFS(INDIRECT("'Infos Clientes'!$W"&amp;INDEX('Infos Clientes'!$C:$C,MATCH(C658,'Infos Clientes'!$H:$H,0))&amp;":$CZ"&amp;INDEX('Infos Clientes'!$C:$C,MATCH(C658,'Infos Clientes'!$H:$H,0))),'Infos Clientes'!$W$2:$CZ$2,"&gt;"&amp;$R658-365,'Infos Clientes'!$W$2:$CZ$2,"&lt;="&amp;$R658)/
COUNTIFS(INDIRECT("'Infos Clientes'!$W"&amp;INDEX('Infos Clientes'!$C:$C,MATCH(C658,'Infos Clientes'!$H:$H,0))&amp;":$CZ"&amp;INDEX('Infos Clientes'!$C:$C,MATCH(C658,'Infos Clientes'!$H:$H,0))),"&gt;="&amp;0,'Infos Clientes'!$W$2:$CZ$2,"&gt;"&amp;$R658-365,'Infos Clientes'!$W$2:$CZ$2,"&lt;="&amp;$R658),""),"")</f>
        <v>179.25</v>
      </c>
      <c r="CB658" s="87">
        <f>VLOOKUP(C658,'Infos Clientes'!B:L,11,0)</f>
        <v>0</v>
      </c>
      <c r="CC658" s="88" t="str">
        <f t="shared" si="415"/>
        <v>A Unidade Consumidora 10/257864-9 economizou R$4,53 na fatura referente à jul/2025  consumindo 17 kWh em créditos de energia renovável conforme fatura de energia. A economia foi de 22,94% em relação ao que seria pago para a Energisa considerando os créditos consumidos. Atenção: Mantenha as contas da Energisa em dia para evitar cortes.</v>
      </c>
      <c r="CD658" s="40" t="s">
        <v>83</v>
      </c>
      <c r="CE658" s="43">
        <v>84.5</v>
      </c>
      <c r="CF658" s="115">
        <f t="shared" si="416"/>
        <v>0</v>
      </c>
    </row>
    <row r="659" spans="1:84" ht="16.2" hidden="1" customHeight="1" x14ac:dyDescent="0.3">
      <c r="A659" s="105" t="str">
        <f>INDEX('Infos Clientes'!$D:$D,MATCH('Detalhe Por UC'!C659,'Infos Clientes'!B:B,0))</f>
        <v>IGREJA DO EVANGELHO QUADRANGULAR</v>
      </c>
      <c r="B659" s="106" t="str">
        <f>INDEX('Infos Clientes'!$F:$F,MATCH('Detalhe Por UC'!C659,'Infos Clientes'!B:B,0))</f>
        <v>62.955.505/0001-67</v>
      </c>
      <c r="C659" s="31" t="s">
        <v>106</v>
      </c>
      <c r="D659" t="s">
        <v>351</v>
      </c>
      <c r="E659" s="1" t="s">
        <v>352</v>
      </c>
      <c r="F659" s="56" t="str">
        <f>INDEX('Infos Clientes'!$I:$I,MATCH('Detalhe Por UC'!C659,'Infos Clientes'!B:B,0))</f>
        <v>BT</v>
      </c>
      <c r="G659" s="56" t="str">
        <f>INDEX('Infos Clientes'!$J:$J,MATCH('Detalhe Por UC'!C659,'Infos Clientes'!B:B,0))</f>
        <v>bifasico</v>
      </c>
      <c r="H659" s="108" t="s">
        <v>24</v>
      </c>
      <c r="I659" s="58">
        <f>IFERROR(VLOOKUP(C659,'Infos Clientes'!B:E,4,),"")</f>
        <v>302</v>
      </c>
      <c r="J659" s="109">
        <v>0.22939999999999999</v>
      </c>
      <c r="K659" s="79">
        <f>INDEX('Resumo Operacional'!$A$1:$P$151,MATCH("Desconto percentual Ucs",'Resumo Operacional'!$B$1:$B$151,0),MATCH('Detalhe Por UC'!$R659,'Resumo Operacional'!$A$1:$P$1,0))</f>
        <v>0.25212408425707711</v>
      </c>
      <c r="L659" s="125">
        <v>0</v>
      </c>
      <c r="M659" s="56">
        <f>INDEX('Infos Clientes'!$N:$N,MATCH('Detalhe Por UC'!C659,'Infos Clientes'!B:B,0))</f>
        <v>0</v>
      </c>
      <c r="N659" s="56">
        <f t="shared" si="381"/>
        <v>0</v>
      </c>
      <c r="O659" s="56">
        <f t="shared" si="382"/>
        <v>11</v>
      </c>
      <c r="P659" s="56">
        <f t="shared" si="417"/>
        <v>0</v>
      </c>
      <c r="Q659" s="61">
        <f>IFERROR(IFERROR(INDEX('Infos Clientes'!$A$2:$V$9884,MATCH($C659,'Infos Clientes'!$B$2:$B$9884,0),MATCH(Q$8,'Infos Clientes'!$A$2:$V$2,0)),"")
+IF(OR(INDEX('Infos Clientes'!$A$2:$V$9884,MATCH($C659,'Infos Clientes'!$B$2:$B$9884,0),MATCH("Tempo de Fidelidade (meses)",'Infos Clientes'!$A$2:$V$2,0))=0,R659&gt;=MAX(R:R)),0,
ROUND((MAX(R:R)-R659)/(365/12),0)),"")</f>
        <v>0</v>
      </c>
      <c r="R659" s="111">
        <v>45839</v>
      </c>
      <c r="S659" s="63">
        <v>8.6E-3</v>
      </c>
      <c r="T659" s="113">
        <f>IF($H659="GIROSSOL II",AP659/INDEX('Resumo Operacional'!$A$1:$P$1103,17,MATCH('Detalhe Por UC'!$R659,'Resumo Operacional'!$A$1:$P$1,0)),
IF($H659="GIROSSOL II e III",AP659/INDEX('Resumo Operacional'!$A$1:$P$1103,17,MATCH('Detalhe Por UC'!$R659,'Resumo Operacional'!$A$1:$P$1,0)),
""))</f>
        <v>1.696969696969697E-3</v>
      </c>
      <c r="U659" s="113" t="str">
        <f>IF($H659="GIROSSOL III",AP659/INDEX('Resumo Operacional'!$A$1:$P$1103,53,MATCH('Detalhe Por UC'!$R659,'Resumo Operacional'!$A$1:$P$1,0)),
IF($H659="GIROSSOL II e III",AP659/INDEX('Resumo Operacional'!$A$1:$P$1103,53,MATCH('Detalhe Por UC'!$R659,'Resumo Operacional'!$A$1:$P$1,0)),
""))</f>
        <v/>
      </c>
      <c r="V659" s="45"/>
      <c r="X659">
        <v>1.1630622865506586</v>
      </c>
      <c r="Y659">
        <v>0</v>
      </c>
      <c r="Z659" s="18">
        <v>1.1627076411960133</v>
      </c>
      <c r="AA659">
        <v>0</v>
      </c>
      <c r="AB659" s="18">
        <v>143</v>
      </c>
      <c r="AC659">
        <v>0</v>
      </c>
      <c r="AD659" s="143">
        <v>14</v>
      </c>
      <c r="AE659" s="35"/>
      <c r="AF659" s="18">
        <v>0</v>
      </c>
      <c r="AG659">
        <v>0</v>
      </c>
      <c r="AH659" s="48">
        <v>0</v>
      </c>
      <c r="AI659">
        <v>0</v>
      </c>
      <c r="AJ659">
        <v>0</v>
      </c>
      <c r="AN659" s="71">
        <f t="shared" si="383"/>
        <v>0</v>
      </c>
      <c r="AO659" s="71">
        <f t="shared" si="384"/>
        <v>0</v>
      </c>
      <c r="AP659" s="71">
        <f t="shared" si="385"/>
        <v>14</v>
      </c>
      <c r="AQ659" s="72">
        <f>IF(OR($H659="GIROSSOL II",$H659="GIROSSOL II e III"),INDEX('Resumo Operacional'!$A$1:$P$1103,MATCH("Energia Injetada prevista total Fatura da Usina (TUSD)",'Resumo Operacional'!$B$1:$B$1103,0),MATCH('Detalhe Por UC'!$R659,'Resumo Operacional'!$A$1:$P$1,0))*$S659,INDEX('Resumo Operacional'!$A$1:$P$1103,53,MATCH('Detalhe Por UC'!$R659,'Resumo Operacional'!$A$1:$P$1,0))*$S659)</f>
        <v>70.95</v>
      </c>
      <c r="AR659" s="71">
        <f t="shared" si="386"/>
        <v>-56.95</v>
      </c>
      <c r="AS659" s="73">
        <f t="shared" si="387"/>
        <v>150.04</v>
      </c>
      <c r="AT659" s="74">
        <f t="shared" si="388"/>
        <v>150.04</v>
      </c>
      <c r="AU659" s="74">
        <f t="shared" si="389"/>
        <v>1.1623529958413681</v>
      </c>
      <c r="AV659" s="74">
        <f t="shared" si="390"/>
        <v>12.543755116279069</v>
      </c>
      <c r="AW659" s="74">
        <f t="shared" si="391"/>
        <v>-98.640010000000004</v>
      </c>
      <c r="AX659" s="74">
        <f t="shared" si="392"/>
        <v>-82.362103023255813</v>
      </c>
      <c r="AY659" s="74">
        <f t="shared" si="393"/>
        <v>-86.1</v>
      </c>
      <c r="AZ659" s="43">
        <v>12.54</v>
      </c>
      <c r="BA659" s="43">
        <v>12.54</v>
      </c>
      <c r="BB659" s="49">
        <v>12.54</v>
      </c>
      <c r="BC659" s="73" t="str">
        <f t="shared" si="394"/>
        <v/>
      </c>
      <c r="BD659" s="73">
        <f t="shared" si="395"/>
        <v>166.31790697674418</v>
      </c>
      <c r="BE659" s="73">
        <f t="shared" si="396"/>
        <v>162.58375511627906</v>
      </c>
      <c r="BF659" s="77">
        <f t="shared" si="397"/>
        <v>3.73</v>
      </c>
      <c r="BG659" s="77">
        <f t="shared" si="398"/>
        <v>1.119</v>
      </c>
      <c r="BH659" s="77">
        <f t="shared" si="399"/>
        <v>16.277906976744188</v>
      </c>
      <c r="BI659" s="78">
        <f t="shared" si="400"/>
        <v>-0.05</v>
      </c>
      <c r="BJ659" s="79">
        <f t="shared" si="401"/>
        <v>2.2426929654192657E-2</v>
      </c>
      <c r="BK659" s="80">
        <f t="shared" si="402"/>
        <v>63.94</v>
      </c>
      <c r="BL659" s="80">
        <f t="shared" si="403"/>
        <v>102.37790697674419</v>
      </c>
      <c r="BM659" s="79">
        <f t="shared" si="404"/>
        <v>0.61555552759005938</v>
      </c>
      <c r="BN659" s="81">
        <f t="shared" si="405"/>
        <v>-6.1499999999999995</v>
      </c>
      <c r="BO659" s="82">
        <f t="shared" si="406"/>
        <v>-86.1</v>
      </c>
      <c r="BP659" s="81">
        <f t="shared" si="407"/>
        <v>-6.1499999999999995</v>
      </c>
      <c r="BQ659" s="81">
        <f t="shared" si="408"/>
        <v>-6.1496453546453544</v>
      </c>
      <c r="BR659" s="81">
        <f t="shared" si="409"/>
        <v>1.1630622865506586</v>
      </c>
      <c r="BS659" s="82">
        <f t="shared" si="410"/>
        <v>14</v>
      </c>
      <c r="BT659" s="82">
        <f t="shared" si="411"/>
        <v>16.28287201170922</v>
      </c>
      <c r="BU659" s="82">
        <f t="shared" si="412"/>
        <v>16.277906976744188</v>
      </c>
      <c r="BW659" s="82">
        <f>IFERROR(INDEX('Infos Clientes'!$T:$T,MATCH('Detalhe Por UC'!$C659,'Infos Clientes'!B:B,0)),"")</f>
        <v>147.33333333333334</v>
      </c>
      <c r="BX659" s="83">
        <f t="shared" si="413"/>
        <v>0</v>
      </c>
      <c r="BY659" s="84">
        <f t="shared" si="414"/>
        <v>6.28746003181275</v>
      </c>
      <c r="BZ659" s="85">
        <f>IF(_xlfn.MINIFS('Detalhe Por UC'!R:R,'Detalhe Por UC'!C:C,C659,'Detalhe Por UC'!AD:AD,"&gt;"&amp;0)=0,"",_xlfn.MINIFS('Detalhe Por UC'!R:R,'Detalhe Por UC'!C:C,C659,'Detalhe Por UC'!AD:AD,"&gt;"&amp;0))</f>
        <v>45627</v>
      </c>
      <c r="CA659" s="114">
        <f ca="1">IF(OR(S659&gt;0,AD659&gt;0),IFERROR(
SUMIFS(INDIRECT("'Infos Clientes'!$W"&amp;INDEX('Infos Clientes'!$C:$C,MATCH(C659,'Infos Clientes'!$H:$H,0))&amp;":$CZ"&amp;INDEX('Infos Clientes'!$C:$C,MATCH(C659,'Infos Clientes'!$H:$H,0))),'Infos Clientes'!$W$2:$CZ$2,"&gt;"&amp;$R659-365,'Infos Clientes'!$W$2:$CZ$2,"&lt;="&amp;$R659)/
COUNTIFS(INDIRECT("'Infos Clientes'!$W"&amp;INDEX('Infos Clientes'!$C:$C,MATCH(C659,'Infos Clientes'!$H:$H,0))&amp;":$CZ"&amp;INDEX('Infos Clientes'!$C:$C,MATCH(C659,'Infos Clientes'!$H:$H,0))),"&gt;="&amp;0,'Infos Clientes'!$W$2:$CZ$2,"&gt;"&amp;$R659-365,'Infos Clientes'!$W$2:$CZ$2,"&lt;="&amp;$R659),""),"")</f>
        <v>192.66666666666666</v>
      </c>
      <c r="CB659" s="87">
        <f>VLOOKUP(C659,'Infos Clientes'!B:L,11,0)</f>
        <v>0</v>
      </c>
      <c r="CC659" s="88" t="str">
        <f t="shared" si="415"/>
        <v>A Unidade Consumidora 10/452884-0 economizou R$3,73 na fatura referente à jul/2025  consumindo 14 kWh em créditos de energia renovável conforme fatura de energia. A economia foi de 22,94% em relação ao que seria pago para a Energisa considerando os créditos consumidos. Atenção: Mantenha as contas da Energisa em dia para evitar cortes.</v>
      </c>
      <c r="CD659" s="40" t="s">
        <v>107</v>
      </c>
      <c r="CE659" s="43">
        <v>150.04</v>
      </c>
      <c r="CF659" s="115">
        <f t="shared" si="416"/>
        <v>0</v>
      </c>
    </row>
    <row r="660" spans="1:84" ht="16.2" hidden="1" customHeight="1" x14ac:dyDescent="0.3">
      <c r="A660" s="105" t="str">
        <f>INDEX('Infos Clientes'!$D:$D,MATCH('Detalhe Por UC'!C660,'Infos Clientes'!B:B,0))</f>
        <v>IGREJA DO EVANGELHO QUADRANGULAR</v>
      </c>
      <c r="B660" s="106" t="str">
        <f>INDEX('Infos Clientes'!$F:$F,MATCH('Detalhe Por UC'!C660,'Infos Clientes'!B:B,0))</f>
        <v>62.955.505/0847-51</v>
      </c>
      <c r="C660" s="148" t="s">
        <v>41</v>
      </c>
      <c r="D660" t="s">
        <v>351</v>
      </c>
      <c r="E660" s="1" t="s">
        <v>352</v>
      </c>
      <c r="F660" s="56" t="str">
        <f>INDEX('Infos Clientes'!$I:$I,MATCH('Detalhe Por UC'!C660,'Infos Clientes'!B:B,0))</f>
        <v>BT</v>
      </c>
      <c r="G660" s="56" t="str">
        <f>INDEX('Infos Clientes'!$J:$J,MATCH('Detalhe Por UC'!C660,'Infos Clientes'!B:B,0))</f>
        <v>monofasico</v>
      </c>
      <c r="H660" s="47" t="str">
        <f>HYPERLINK("https://geraebcsp.sharepoint.com/sites/gestao.gdc/Shared Documents/EGS/2- Faturas/"&amp; TEXT($R660,"AAA") &amp;"/"&amp; TEXT($R660,"MM") &amp;"."&amp; TEXT($R660,"AAA") &amp;"/"&amp;"_10-"&amp; RIGHT($C660,LEN($C660)-3) &amp;"_" &amp; TEXT($R660,"AAAA") &amp;"-"&amp; TEXT($R660,"MM") &amp;".pdf","GIROSSOL II")</f>
        <v>GIROSSOL II</v>
      </c>
      <c r="I660" s="58">
        <f>IFERROR(VLOOKUP(C660,'Infos Clientes'!B:E,4,),"")</f>
        <v>349</v>
      </c>
      <c r="J660" s="109">
        <v>0.22939999999999999</v>
      </c>
      <c r="K660" s="79">
        <f>INDEX('Resumo Operacional'!$A$1:$P$151,MATCH("Desconto percentual Ucs",'Resumo Operacional'!$B$1:$B$151,0),MATCH('Detalhe Por UC'!$R660,'Resumo Operacional'!$A$1:$P$1,0))</f>
        <v>0.25212408425707711</v>
      </c>
      <c r="L660" s="125">
        <v>0</v>
      </c>
      <c r="M660" s="56">
        <f>INDEX('Infos Clientes'!$N:$N,MATCH('Detalhe Por UC'!C660,'Infos Clientes'!B:B,0))</f>
        <v>0</v>
      </c>
      <c r="N660" s="56">
        <f t="shared" si="381"/>
        <v>0</v>
      </c>
      <c r="O660" s="56">
        <f t="shared" si="382"/>
        <v>12</v>
      </c>
      <c r="P660" s="56">
        <f t="shared" si="417"/>
        <v>0</v>
      </c>
      <c r="Q660" s="61">
        <f>IFERROR(IFERROR(INDEX('Infos Clientes'!$A$2:$V$9884,MATCH($C660,'Infos Clientes'!$B$2:$B$9884,0),MATCH(Q$8,'Infos Clientes'!$A$2:$V$2,0)),"")
+IF(OR(INDEX('Infos Clientes'!$A$2:$V$9884,MATCH($C660,'Infos Clientes'!$B$2:$B$9884,0),MATCH("Tempo de Fidelidade (meses)",'Infos Clientes'!$A$2:$V$2,0))=0,R660&gt;=MAX(R:R)),0,
ROUND((MAX(R:R)-R660)/(365/12),0)),"")</f>
        <v>0</v>
      </c>
      <c r="R660" s="111">
        <v>45839</v>
      </c>
      <c r="S660" s="63">
        <v>5.3E-3</v>
      </c>
      <c r="T660" s="113">
        <f>IF($H660="GIROSSOL II",AP660/INDEX('Resumo Operacional'!$A$1:$P$1103,17,MATCH('Detalhe Por UC'!$R660,'Resumo Operacional'!$A$1:$P$1,0)),
IF($H660="GIROSSOL II e III",AP660/INDEX('Resumo Operacional'!$A$1:$P$1103,17,MATCH('Detalhe Por UC'!$R660,'Resumo Operacional'!$A$1:$P$1,0)),
""))</f>
        <v>0</v>
      </c>
      <c r="U660" s="113" t="str">
        <f>IF($H660="GIROSSOL III",AP660/INDEX('Resumo Operacional'!$A$1:$P$1103,53,MATCH('Detalhe Por UC'!$R660,'Resumo Operacional'!$A$1:$P$1,0)),
IF($H660="GIROSSOL II e III",AP660/INDEX('Resumo Operacional'!$A$1:$P$1103,53,MATCH('Detalhe Por UC'!$R660,'Resumo Operacional'!$A$1:$P$1,0)),
""))</f>
        <v/>
      </c>
      <c r="V660" s="45"/>
      <c r="X660">
        <v>1.1631739811912225</v>
      </c>
      <c r="Y660">
        <v>0</v>
      </c>
      <c r="Z660" s="18">
        <v>1.0797678916827853</v>
      </c>
      <c r="AA660">
        <v>0</v>
      </c>
      <c r="AB660" s="18">
        <v>116</v>
      </c>
      <c r="AC660">
        <v>0</v>
      </c>
      <c r="AD660" s="143">
        <v>94</v>
      </c>
      <c r="AE660" s="35"/>
      <c r="AF660" s="18">
        <v>106</v>
      </c>
      <c r="AG660">
        <v>0</v>
      </c>
      <c r="AH660" s="48">
        <v>62.440000000000005</v>
      </c>
      <c r="AI660">
        <v>0</v>
      </c>
      <c r="AJ660">
        <v>0</v>
      </c>
      <c r="AN660" s="71">
        <f t="shared" si="383"/>
        <v>-94</v>
      </c>
      <c r="AO660" s="71">
        <f t="shared" si="384"/>
        <v>0</v>
      </c>
      <c r="AP660" s="71">
        <f t="shared" si="385"/>
        <v>0</v>
      </c>
      <c r="AQ660" s="72">
        <f>IF(OR($H660="GIROSSOL II",$H660="GIROSSOL II e III"),INDEX('Resumo Operacional'!$A$1:$P$1103,MATCH("Energia Injetada prevista total Fatura da Usina (TUSD)",'Resumo Operacional'!$B$1:$B$1103,0),MATCH('Detalhe Por UC'!$R660,'Resumo Operacional'!$A$1:$P$1,0))*$S660,INDEX('Resumo Operacional'!$A$1:$P$1103,53,MATCH('Detalhe Por UC'!$R660,'Resumo Operacional'!$A$1:$P$1,0))*$S660)</f>
        <v>43.725000000000001</v>
      </c>
      <c r="AR660" s="71">
        <f t="shared" si="386"/>
        <v>-43.725000000000001</v>
      </c>
      <c r="AS660" s="73">
        <f t="shared" si="387"/>
        <v>95.869999999999976</v>
      </c>
      <c r="AT660" s="74">
        <f t="shared" si="388"/>
        <v>95.869999999999976</v>
      </c>
      <c r="AU660" s="74">
        <f t="shared" si="389"/>
        <v>0.99636180217434811</v>
      </c>
      <c r="AV660" s="74">
        <f t="shared" si="390"/>
        <v>78.214498909090906</v>
      </c>
      <c r="AW660" s="74">
        <f t="shared" si="391"/>
        <v>1.4400000000000119</v>
      </c>
      <c r="AX660" s="74">
        <f t="shared" si="392"/>
        <v>102.93818181818183</v>
      </c>
      <c r="AY660" s="74">
        <f t="shared" si="393"/>
        <v>79.650000000000006</v>
      </c>
      <c r="AZ660" s="43">
        <v>79.650000000000006</v>
      </c>
      <c r="BA660" s="43">
        <v>79.650000000000006</v>
      </c>
      <c r="BB660" s="49">
        <v>79.650000000000006</v>
      </c>
      <c r="BC660" s="73" t="str">
        <f t="shared" si="394"/>
        <v/>
      </c>
      <c r="BD660" s="73">
        <f t="shared" si="395"/>
        <v>197.3681818181818</v>
      </c>
      <c r="BE660" s="73">
        <f t="shared" si="396"/>
        <v>174.08449890909088</v>
      </c>
      <c r="BF660" s="77">
        <f t="shared" si="397"/>
        <v>23.28</v>
      </c>
      <c r="BG660" s="77">
        <f t="shared" si="398"/>
        <v>6.984</v>
      </c>
      <c r="BH660" s="77">
        <f t="shared" si="399"/>
        <v>101.49818181818182</v>
      </c>
      <c r="BI660" s="78">
        <f t="shared" si="400"/>
        <v>0.23</v>
      </c>
      <c r="BJ660" s="79">
        <f t="shared" si="401"/>
        <v>0.11795214297229453</v>
      </c>
      <c r="BK660" s="80">
        <f t="shared" si="402"/>
        <v>175.51999999999998</v>
      </c>
      <c r="BL660" s="80">
        <f t="shared" si="403"/>
        <v>21.848181818181814</v>
      </c>
      <c r="BM660" s="79">
        <f t="shared" si="404"/>
        <v>0.11069758872434995</v>
      </c>
      <c r="BN660" s="81">
        <f t="shared" si="405"/>
        <v>0.84734042553191491</v>
      </c>
      <c r="BO660" s="82">
        <f t="shared" si="406"/>
        <v>79.650000000000006</v>
      </c>
      <c r="BP660" s="81">
        <f t="shared" si="407"/>
        <v>0.84734042553191491</v>
      </c>
      <c r="BQ660" s="81">
        <f t="shared" si="408"/>
        <v>0.93074651504035211</v>
      </c>
      <c r="BR660" s="81">
        <f t="shared" si="409"/>
        <v>1.1631739811912225</v>
      </c>
      <c r="BS660" s="82">
        <f t="shared" si="410"/>
        <v>94</v>
      </c>
      <c r="BT660" s="82">
        <f t="shared" si="411"/>
        <v>109.33835423197492</v>
      </c>
      <c r="BU660" s="82">
        <f t="shared" si="412"/>
        <v>101.49818181818182</v>
      </c>
      <c r="BW660" s="82">
        <f>IFERROR(INDEX('Infos Clientes'!$T:$T,MATCH('Detalhe Por UC'!$C660,'Infos Clientes'!B:B,0)),"")</f>
        <v>156.25</v>
      </c>
      <c r="BX660" s="83">
        <f t="shared" si="413"/>
        <v>0</v>
      </c>
      <c r="BY660" s="84">
        <f t="shared" si="414"/>
        <v>0.19982175487869686</v>
      </c>
      <c r="BZ660" s="85">
        <f>IF(_xlfn.MINIFS('Detalhe Por UC'!R:R,'Detalhe Por UC'!C:C,C660,'Detalhe Por UC'!AD:AD,"&gt;"&amp;0)=0,"",_xlfn.MINIFS('Detalhe Por UC'!R:R,'Detalhe Por UC'!C:C,C660,'Detalhe Por UC'!AD:AD,"&gt;"&amp;0))</f>
        <v>45627</v>
      </c>
      <c r="CA660" s="114">
        <f ca="1">IF(OR(S660&gt;0,AD660&gt;0),IFERROR(
SUMIFS(INDIRECT("'Infos Clientes'!$W"&amp;INDEX('Infos Clientes'!$C:$C,MATCH(C660,'Infos Clientes'!$H:$H,0))&amp;":$CZ"&amp;INDEX('Infos Clientes'!$C:$C,MATCH(C660,'Infos Clientes'!$H:$H,0))),'Infos Clientes'!$W$2:$CZ$2,"&gt;"&amp;$R660-365,'Infos Clientes'!$W$2:$CZ$2,"&lt;="&amp;$R660)/
COUNTIFS(INDIRECT("'Infos Clientes'!$W"&amp;INDEX('Infos Clientes'!$C:$C,MATCH(C660,'Infos Clientes'!$H:$H,0))&amp;":$CZ"&amp;INDEX('Infos Clientes'!$C:$C,MATCH(C660,'Infos Clientes'!$H:$H,0))),"&gt;="&amp;0,'Infos Clientes'!$W$2:$CZ$2,"&gt;"&amp;$R660-365,'Infos Clientes'!$W$2:$CZ$2,"&lt;="&amp;$R660),""),"")</f>
        <v>149.25</v>
      </c>
      <c r="CB660" s="87">
        <f>VLOOKUP(C660,'Infos Clientes'!B:L,11,0)</f>
        <v>0</v>
      </c>
      <c r="CC660" s="88" t="str">
        <f t="shared" si="415"/>
        <v>A Unidade Consumidora 10/1548741-6 economizou R$23,28 na fatura referente à jul/2025  consumindo 94 kWh em créditos de energia renovável conforme fatura de energia. A economia foi de 22,94% em relação ao que seria pago para a Energisa considerando os créditos consumidos. Atenção: Mantenha as contas da Energisa em dia para evitar cortes.</v>
      </c>
      <c r="CD660" s="40" t="s">
        <v>43</v>
      </c>
      <c r="CE660" s="43">
        <v>95.87</v>
      </c>
      <c r="CF660" s="115">
        <f t="shared" si="416"/>
        <v>0</v>
      </c>
    </row>
    <row r="661" spans="1:84" ht="16.2" hidden="1" customHeight="1" x14ac:dyDescent="0.3">
      <c r="A661" s="105" t="str">
        <f>INDEX('Infos Clientes'!$D:$D,MATCH('Detalhe Por UC'!C661,'Infos Clientes'!B:B,0))</f>
        <v>IGREJA DO EVANGELHO QUADRANGULAR</v>
      </c>
      <c r="B661" s="106" t="str">
        <f>INDEX('Infos Clientes'!$F:$F,MATCH('Detalhe Por UC'!C661,'Infos Clientes'!B:B,0))</f>
        <v>62.955.505/1490-47</v>
      </c>
      <c r="C661" s="31" t="s">
        <v>35</v>
      </c>
      <c r="D661" t="s">
        <v>351</v>
      </c>
      <c r="E661" s="1" t="s">
        <v>352</v>
      </c>
      <c r="F661" s="56" t="str">
        <f>INDEX('Infos Clientes'!$I:$I,MATCH('Detalhe Por UC'!C661,'Infos Clientes'!B:B,0))</f>
        <v>BT</v>
      </c>
      <c r="G661" s="56" t="str">
        <f>INDEX('Infos Clientes'!$J:$J,MATCH('Detalhe Por UC'!C661,'Infos Clientes'!B:B,0))</f>
        <v>trifasico</v>
      </c>
      <c r="H661" s="108" t="s">
        <v>24</v>
      </c>
      <c r="I661" s="58">
        <f>IFERROR(VLOOKUP(C661,'Infos Clientes'!B:E,4,),"")</f>
        <v>319</v>
      </c>
      <c r="J661" s="109">
        <v>0.22939999999999999</v>
      </c>
      <c r="K661" s="79">
        <f>INDEX('Resumo Operacional'!$A$1:$P$151,MATCH("Desconto percentual Ucs",'Resumo Operacional'!$B$1:$B$151,0),MATCH('Detalhe Por UC'!$R661,'Resumo Operacional'!$A$1:$P$1,0))</f>
        <v>0.25212408425707711</v>
      </c>
      <c r="L661" s="125">
        <v>0</v>
      </c>
      <c r="M661" s="56">
        <f>INDEX('Infos Clientes'!$N:$N,MATCH('Detalhe Por UC'!C661,'Infos Clientes'!B:B,0))</f>
        <v>0</v>
      </c>
      <c r="N661" s="56">
        <f t="shared" si="381"/>
        <v>0</v>
      </c>
      <c r="O661" s="56">
        <f t="shared" si="382"/>
        <v>12</v>
      </c>
      <c r="P661" s="56">
        <f t="shared" si="417"/>
        <v>0</v>
      </c>
      <c r="Q661" s="61">
        <f>IFERROR(IFERROR(INDEX('Infos Clientes'!$A$2:$V$9884,MATCH($C661,'Infos Clientes'!$B$2:$B$9884,0),MATCH(Q$8,'Infos Clientes'!$A$2:$V$2,0)),"")
+IF(OR(INDEX('Infos Clientes'!$A$2:$V$9884,MATCH($C661,'Infos Clientes'!$B$2:$B$9884,0),MATCH("Tempo de Fidelidade (meses)",'Infos Clientes'!$A$2:$V$2,0))=0,R661&gt;=MAX(R:R)),0,
ROUND((MAX(R:R)-R661)/(365/12),0)),"")</f>
        <v>0</v>
      </c>
      <c r="R661" s="111">
        <v>45839</v>
      </c>
      <c r="S661" s="63">
        <v>4.8999999999999998E-3</v>
      </c>
      <c r="T661" s="113">
        <f>IF($H661="GIROSSOL II",AP661/INDEX('Resumo Operacional'!$A$1:$P$1103,17,MATCH('Detalhe Por UC'!$R661,'Resumo Operacional'!$A$1:$P$1,0)),
IF($H661="GIROSSOL II e III",AP661/INDEX('Resumo Operacional'!$A$1:$P$1103,17,MATCH('Detalhe Por UC'!$R661,'Resumo Operacional'!$A$1:$P$1,0)),
""))</f>
        <v>1.0303030303030303E-2</v>
      </c>
      <c r="U661" s="113" t="str">
        <f>IF($H661="GIROSSOL III",AP661/INDEX('Resumo Operacional'!$A$1:$P$1103,53,MATCH('Detalhe Por UC'!$R661,'Resumo Operacional'!$A$1:$P$1,0)),
IF($H661="GIROSSOL II e III",AP661/INDEX('Resumo Operacional'!$A$1:$P$1103,53,MATCH('Detalhe Por UC'!$R661,'Resumo Operacional'!$A$1:$P$1,0)),
""))</f>
        <v/>
      </c>
      <c r="V661" s="45"/>
      <c r="X661">
        <v>1.1630650684931505</v>
      </c>
      <c r="Y661">
        <v>0</v>
      </c>
      <c r="Z661" s="18">
        <v>1.1630241935483872</v>
      </c>
      <c r="AA661">
        <v>0</v>
      </c>
      <c r="AB661" s="18">
        <v>292</v>
      </c>
      <c r="AC661">
        <v>0</v>
      </c>
      <c r="AD661" s="143">
        <v>124</v>
      </c>
      <c r="AE661" s="35"/>
      <c r="AF661" s="18">
        <v>0</v>
      </c>
      <c r="AG661">
        <v>0</v>
      </c>
      <c r="AH661" s="48">
        <v>59.51</v>
      </c>
      <c r="AI661">
        <v>0</v>
      </c>
      <c r="AJ661">
        <v>0</v>
      </c>
      <c r="AN661" s="71">
        <f t="shared" si="383"/>
        <v>-39</v>
      </c>
      <c r="AO661" s="71">
        <f t="shared" si="384"/>
        <v>0</v>
      </c>
      <c r="AP661" s="71">
        <f t="shared" si="385"/>
        <v>85</v>
      </c>
      <c r="AQ661" s="72">
        <f>IF(OR($H661="GIROSSOL II",$H661="GIROSSOL II e III"),INDEX('Resumo Operacional'!$A$1:$P$1103,MATCH("Energia Injetada prevista total Fatura da Usina (TUSD)",'Resumo Operacional'!$B$1:$B$1103,0),MATCH('Detalhe Por UC'!$R661,'Resumo Operacional'!$A$1:$P$1,0))*$S661,INDEX('Resumo Operacional'!$A$1:$P$1103,53,MATCH('Detalhe Por UC'!$R661,'Resumo Operacional'!$A$1:$P$1,0))*$S661)</f>
        <v>40.424999999999997</v>
      </c>
      <c r="AR661" s="71">
        <f t="shared" si="386"/>
        <v>44.575000000000003</v>
      </c>
      <c r="AS661" s="73">
        <f t="shared" si="387"/>
        <v>254.90999999999994</v>
      </c>
      <c r="AT661" s="74">
        <f t="shared" si="388"/>
        <v>254.90999999999994</v>
      </c>
      <c r="AU661" s="74">
        <f t="shared" si="389"/>
        <v>1.1629833186036238</v>
      </c>
      <c r="AV661" s="74">
        <f t="shared" si="390"/>
        <v>111.132079</v>
      </c>
      <c r="AW661" s="74">
        <f t="shared" si="391"/>
        <v>3.3000000000000114</v>
      </c>
      <c r="AX661" s="74">
        <f t="shared" si="392"/>
        <v>147.51500000000001</v>
      </c>
      <c r="AY661" s="74">
        <f t="shared" si="393"/>
        <v>114.43</v>
      </c>
      <c r="AZ661" s="43">
        <v>114.43</v>
      </c>
      <c r="BA661" s="149">
        <v>261.14999999999998</v>
      </c>
      <c r="BB661" s="136">
        <v>261.14999999999998</v>
      </c>
      <c r="BC661" s="73" t="str">
        <f t="shared" si="394"/>
        <v/>
      </c>
      <c r="BD661" s="73">
        <f t="shared" si="395"/>
        <v>399.12499999999994</v>
      </c>
      <c r="BE661" s="73">
        <f t="shared" si="396"/>
        <v>366.04207899999994</v>
      </c>
      <c r="BF661" s="77">
        <f t="shared" si="397"/>
        <v>33.08</v>
      </c>
      <c r="BG661" s="77">
        <f t="shared" si="398"/>
        <v>9.9239999999999995</v>
      </c>
      <c r="BH661" s="77">
        <f t="shared" si="399"/>
        <v>144.215</v>
      </c>
      <c r="BI661" s="78">
        <f t="shared" si="400"/>
        <v>0.22</v>
      </c>
      <c r="BJ661" s="79">
        <f t="shared" si="401"/>
        <v>8.2881302849984351E-2</v>
      </c>
      <c r="BK661" s="80">
        <f t="shared" si="402"/>
        <v>369.33999999999992</v>
      </c>
      <c r="BL661" s="80">
        <f t="shared" si="403"/>
        <v>29.785000000000025</v>
      </c>
      <c r="BM661" s="79">
        <f t="shared" si="404"/>
        <v>7.4625743814594497E-2</v>
      </c>
      <c r="BN661" s="81">
        <f t="shared" si="405"/>
        <v>0.92282258064516132</v>
      </c>
      <c r="BO661" s="82">
        <f t="shared" si="406"/>
        <v>114.43</v>
      </c>
      <c r="BP661" s="81">
        <f t="shared" si="407"/>
        <v>0.92282258064516132</v>
      </c>
      <c r="BQ661" s="81">
        <f t="shared" si="408"/>
        <v>0.92286345558992466</v>
      </c>
      <c r="BR661" s="81">
        <f t="shared" si="409"/>
        <v>1.1630650684931505</v>
      </c>
      <c r="BS661" s="82">
        <f t="shared" si="410"/>
        <v>124</v>
      </c>
      <c r="BT661" s="82">
        <f t="shared" si="411"/>
        <v>144.22006849315065</v>
      </c>
      <c r="BU661" s="82">
        <f t="shared" si="412"/>
        <v>144.215</v>
      </c>
      <c r="BW661" s="82">
        <f>IFERROR(INDEX('Infos Clientes'!$T:$T,MATCH('Detalhe Por UC'!$C661,'Infos Clientes'!B:B,0)),"")</f>
        <v>182.25</v>
      </c>
      <c r="BX661" s="83">
        <f t="shared" si="413"/>
        <v>0</v>
      </c>
      <c r="BY661" s="84">
        <f t="shared" si="414"/>
        <v>0.20652465576532825</v>
      </c>
      <c r="BZ661" s="85">
        <f>IF(_xlfn.MINIFS('Detalhe Por UC'!R:R,'Detalhe Por UC'!C:C,C661,'Detalhe Por UC'!AD:AD,"&gt;"&amp;0)=0,"",_xlfn.MINIFS('Detalhe Por UC'!R:R,'Detalhe Por UC'!C:C,C661,'Detalhe Por UC'!AD:AD,"&gt;"&amp;0))</f>
        <v>45627</v>
      </c>
      <c r="CA661" s="114">
        <f ca="1">IF(OR(S661&gt;0,AD661&gt;0),IFERROR(
SUMIFS(INDIRECT("'Infos Clientes'!$W"&amp;INDEX('Infos Clientes'!$C:$C,MATCH(C661,'Infos Clientes'!$H:$H,0))&amp;":$CZ"&amp;INDEX('Infos Clientes'!$C:$C,MATCH(C661,'Infos Clientes'!$H:$H,0))),'Infos Clientes'!$W$2:$CZ$2,"&gt;"&amp;$R661-365,'Infos Clientes'!$W$2:$CZ$2,"&lt;="&amp;$R661)/
COUNTIFS(INDIRECT("'Infos Clientes'!$W"&amp;INDEX('Infos Clientes'!$C:$C,MATCH(C661,'Infos Clientes'!$H:$H,0))&amp;":$CZ"&amp;INDEX('Infos Clientes'!$C:$C,MATCH(C661,'Infos Clientes'!$H:$H,0))),"&gt;="&amp;0,'Infos Clientes'!$W$2:$CZ$2,"&gt;"&amp;$R661-365,'Infos Clientes'!$W$2:$CZ$2,"&lt;="&amp;$R661),""),"")</f>
        <v>243.33333333333334</v>
      </c>
      <c r="CB661" s="87">
        <f>VLOOKUP(C661,'Infos Clientes'!B:L,11,0)</f>
        <v>0</v>
      </c>
      <c r="CC661" s="88" t="str">
        <f t="shared" si="415"/>
        <v>A Unidade Consumidora 10/1184751-4 economizou R$33,08 na fatura referente à jul/2025  consumindo 124 kWh em créditos de energia renovável conforme fatura de energia. A economia foi de 22,94% em relação ao que seria pago para a Energisa considerando os créditos consumidos. Atenção: Mantenha as contas da Energisa em dia para evitar cortes.</v>
      </c>
      <c r="CD661" s="40" t="s">
        <v>37</v>
      </c>
      <c r="CE661" s="43">
        <v>254.91</v>
      </c>
      <c r="CF661" s="115">
        <f t="shared" si="416"/>
        <v>0</v>
      </c>
    </row>
    <row r="662" spans="1:84" ht="16.2" hidden="1" customHeight="1" x14ac:dyDescent="0.3">
      <c r="A662" s="105" t="str">
        <f>INDEX('Infos Clientes'!$D:$D,MATCH('Detalhe Por UC'!C662,'Infos Clientes'!B:B,0))</f>
        <v>IGREJA DO EVANGELHO QUADRANGULAR</v>
      </c>
      <c r="B662" s="106" t="str">
        <f>INDEX('Infos Clientes'!$F:$F,MATCH('Detalhe Por UC'!C662,'Infos Clientes'!B:B,0))</f>
        <v>62.955.505/0160-80</v>
      </c>
      <c r="C662" s="31" t="s">
        <v>114</v>
      </c>
      <c r="D662" t="s">
        <v>351</v>
      </c>
      <c r="E662" s="1" t="s">
        <v>352</v>
      </c>
      <c r="F662" s="56" t="str">
        <f>INDEX('Infos Clientes'!$I:$I,MATCH('Detalhe Por UC'!C662,'Infos Clientes'!B:B,0))</f>
        <v>BT</v>
      </c>
      <c r="G662" s="56" t="str">
        <f>INDEX('Infos Clientes'!$J:$J,MATCH('Detalhe Por UC'!C662,'Infos Clientes'!B:B,0))</f>
        <v>bifasico</v>
      </c>
      <c r="H662" s="108" t="s">
        <v>24</v>
      </c>
      <c r="I662" s="58">
        <f>IFERROR(VLOOKUP(C662,'Infos Clientes'!B:E,4,),"")</f>
        <v>357</v>
      </c>
      <c r="J662" s="109">
        <v>0.22939999999999999</v>
      </c>
      <c r="K662" s="79">
        <f>INDEX('Resumo Operacional'!$A$1:$P$151,MATCH("Desconto percentual Ucs",'Resumo Operacional'!$B$1:$B$151,0),MATCH('Detalhe Por UC'!$R662,'Resumo Operacional'!$A$1:$P$1,0))</f>
        <v>0.25212408425707711</v>
      </c>
      <c r="L662" s="125">
        <v>0</v>
      </c>
      <c r="M662" s="56">
        <f>INDEX('Infos Clientes'!$N:$N,MATCH('Detalhe Por UC'!C662,'Infos Clientes'!B:B,0))</f>
        <v>0</v>
      </c>
      <c r="N662" s="56">
        <f t="shared" si="381"/>
        <v>0</v>
      </c>
      <c r="O662" s="56">
        <f t="shared" si="382"/>
        <v>12</v>
      </c>
      <c r="P662" s="56">
        <f t="shared" si="417"/>
        <v>0</v>
      </c>
      <c r="Q662" s="61">
        <f>IFERROR(IFERROR(INDEX('Infos Clientes'!$A$2:$V$9884,MATCH($C662,'Infos Clientes'!$B$2:$B$9884,0),MATCH(Q$8,'Infos Clientes'!$A$2:$V$2,0)),"")
+IF(OR(INDEX('Infos Clientes'!$A$2:$V$9884,MATCH($C662,'Infos Clientes'!$B$2:$B$9884,0),MATCH("Tempo de Fidelidade (meses)",'Infos Clientes'!$A$2:$V$2,0))=0,R662&gt;=MAX(R:R)),0,
ROUND((MAX(R:R)-R662)/(365/12),0)),"")</f>
        <v>0</v>
      </c>
      <c r="R662" s="111">
        <v>45839</v>
      </c>
      <c r="S662" s="63">
        <v>3.3999999999999998E-3</v>
      </c>
      <c r="T662" s="113">
        <f>IF($H662="GIROSSOL II",AP662/INDEX('Resumo Operacional'!$A$1:$P$1103,17,MATCH('Detalhe Por UC'!$R662,'Resumo Operacional'!$A$1:$P$1,0)),
IF($H662="GIROSSOL II e III",AP662/INDEX('Resumo Operacional'!$A$1:$P$1103,17,MATCH('Detalhe Por UC'!$R662,'Resumo Operacional'!$A$1:$P$1,0)),
""))</f>
        <v>7.1515151515151518E-3</v>
      </c>
      <c r="U662" s="113" t="str">
        <f>IF($H662="GIROSSOL III",AP662/INDEX('Resumo Operacional'!$A$1:$P$1103,53,MATCH('Detalhe Por UC'!$R662,'Resumo Operacional'!$A$1:$P$1,0)),
IF($H662="GIROSSOL II e III",AP662/INDEX('Resumo Operacional'!$A$1:$P$1103,53,MATCH('Detalhe Por UC'!$R662,'Resumo Operacional'!$A$1:$P$1,0)),
""))</f>
        <v/>
      </c>
      <c r="V662" s="45"/>
      <c r="X662">
        <v>1.163029268292683</v>
      </c>
      <c r="Y662">
        <v>0</v>
      </c>
      <c r="Z662" s="18">
        <v>1.1627624999999999</v>
      </c>
      <c r="AA662">
        <v>0</v>
      </c>
      <c r="AB662" s="18">
        <v>82</v>
      </c>
      <c r="AC662">
        <v>0</v>
      </c>
      <c r="AD662" s="143">
        <v>32</v>
      </c>
      <c r="AE662" s="35"/>
      <c r="AF662" s="18">
        <v>544</v>
      </c>
      <c r="AG662">
        <v>0</v>
      </c>
      <c r="AH662" s="48">
        <v>24.67</v>
      </c>
      <c r="AI662">
        <v>0</v>
      </c>
      <c r="AJ662">
        <v>0</v>
      </c>
      <c r="AN662" s="71">
        <f t="shared" si="383"/>
        <v>27</v>
      </c>
      <c r="AO662" s="71">
        <f t="shared" si="384"/>
        <v>0</v>
      </c>
      <c r="AP662" s="71">
        <f t="shared" si="385"/>
        <v>59</v>
      </c>
      <c r="AQ662" s="72">
        <f>IF(OR($H662="GIROSSOL II",$H662="GIROSSOL II e III"),INDEX('Resumo Operacional'!$A$1:$P$1103,MATCH("Energia Injetada prevista total Fatura da Usina (TUSD)",'Resumo Operacional'!$B$1:$B$1103,0),MATCH('Detalhe Por UC'!$R662,'Resumo Operacional'!$A$1:$P$1,0))*$S662,INDEX('Resumo Operacional'!$A$1:$P$1103,53,MATCH('Detalhe Por UC'!$R662,'Resumo Operacional'!$A$1:$P$1,0))*$S662)</f>
        <v>28.049999999999997</v>
      </c>
      <c r="AR662" s="71">
        <f t="shared" si="386"/>
        <v>30.950000000000003</v>
      </c>
      <c r="AS662" s="73">
        <f t="shared" si="387"/>
        <v>82.830000000000013</v>
      </c>
      <c r="AT662" s="74">
        <f t="shared" si="388"/>
        <v>82.830000000000013</v>
      </c>
      <c r="AU662" s="74">
        <f t="shared" si="389"/>
        <v>1.1624957317073168</v>
      </c>
      <c r="AV662" s="74">
        <f t="shared" si="390"/>
        <v>28.672793039999995</v>
      </c>
      <c r="AW662" s="74">
        <f t="shared" si="391"/>
        <v>2.9399999999999977</v>
      </c>
      <c r="AX662" s="74">
        <f t="shared" si="392"/>
        <v>40.148399999999995</v>
      </c>
      <c r="AY662" s="74">
        <f t="shared" si="393"/>
        <v>31.61</v>
      </c>
      <c r="AZ662" s="43">
        <v>31.61</v>
      </c>
      <c r="BA662" s="43">
        <v>31.61</v>
      </c>
      <c r="BB662" s="49">
        <v>31.61</v>
      </c>
      <c r="BC662" s="73" t="str">
        <f t="shared" si="394"/>
        <v/>
      </c>
      <c r="BD662" s="73">
        <f t="shared" si="395"/>
        <v>120.03840000000001</v>
      </c>
      <c r="BE662" s="73">
        <f t="shared" si="396"/>
        <v>111.50279304</v>
      </c>
      <c r="BF662" s="77">
        <f t="shared" si="397"/>
        <v>8.5399999999999991</v>
      </c>
      <c r="BG662" s="77">
        <f t="shared" si="398"/>
        <v>2.5619999999999998</v>
      </c>
      <c r="BH662" s="77">
        <f t="shared" si="399"/>
        <v>37.208399999999997</v>
      </c>
      <c r="BI662" s="78">
        <f t="shared" si="400"/>
        <v>0.21</v>
      </c>
      <c r="BJ662" s="79">
        <f t="shared" si="401"/>
        <v>7.1143900618468744E-2</v>
      </c>
      <c r="BK662" s="80">
        <f t="shared" si="402"/>
        <v>114.44000000000001</v>
      </c>
      <c r="BL662" s="80">
        <f t="shared" si="403"/>
        <v>5.598399999999998</v>
      </c>
      <c r="BM662" s="79">
        <f t="shared" si="404"/>
        <v>4.6638409042439731E-2</v>
      </c>
      <c r="BN662" s="81">
        <f t="shared" si="405"/>
        <v>0.98781249999999998</v>
      </c>
      <c r="BO662" s="82">
        <f t="shared" si="406"/>
        <v>31.61</v>
      </c>
      <c r="BP662" s="81">
        <f t="shared" si="407"/>
        <v>0.98781249999999998</v>
      </c>
      <c r="BQ662" s="81">
        <f t="shared" si="408"/>
        <v>0.98807926829268311</v>
      </c>
      <c r="BR662" s="81">
        <f t="shared" si="409"/>
        <v>1.163029268292683</v>
      </c>
      <c r="BS662" s="82">
        <f t="shared" si="410"/>
        <v>32</v>
      </c>
      <c r="BT662" s="82">
        <f t="shared" si="411"/>
        <v>37.216936585365858</v>
      </c>
      <c r="BU662" s="82">
        <f t="shared" si="412"/>
        <v>37.208399999999997</v>
      </c>
      <c r="BW662" s="82">
        <f>IFERROR(INDEX('Infos Clientes'!$T:$T,MATCH('Detalhe Por UC'!$C662,'Infos Clientes'!B:B,0)),"")</f>
        <v>215.58333333333334</v>
      </c>
      <c r="BX662" s="83">
        <f t="shared" si="413"/>
        <v>0</v>
      </c>
      <c r="BY662" s="84">
        <f t="shared" si="414"/>
        <v>0.15042613695941207</v>
      </c>
      <c r="BZ662" s="85">
        <f>IF(_xlfn.MINIFS('Detalhe Por UC'!R:R,'Detalhe Por UC'!C:C,C662,'Detalhe Por UC'!AD:AD,"&gt;"&amp;0)=0,"",_xlfn.MINIFS('Detalhe Por UC'!R:R,'Detalhe Por UC'!C:C,C662,'Detalhe Por UC'!AD:AD,"&gt;"&amp;0))</f>
        <v>45627</v>
      </c>
      <c r="CA662" s="114">
        <f ca="1">IF(OR(S662&gt;0,AD662&gt;0),IFERROR(
SUMIFS(INDIRECT("'Infos Clientes'!$W"&amp;INDEX('Infos Clientes'!$C:$C,MATCH(C662,'Infos Clientes'!$H:$H,0))&amp;":$CZ"&amp;INDEX('Infos Clientes'!$C:$C,MATCH(C662,'Infos Clientes'!$H:$H,0))),'Infos Clientes'!$W$2:$CZ$2,"&gt;"&amp;$R662-365,'Infos Clientes'!$W$2:$CZ$2,"&lt;="&amp;$R662)/
COUNTIFS(INDIRECT("'Infos Clientes'!$W"&amp;INDEX('Infos Clientes'!$C:$C,MATCH(C662,'Infos Clientes'!$H:$H,0))&amp;":$CZ"&amp;INDEX('Infos Clientes'!$C:$C,MATCH(C662,'Infos Clientes'!$H:$H,0))),"&gt;="&amp;0,'Infos Clientes'!$W$2:$CZ$2,"&gt;"&amp;$R662-365,'Infos Clientes'!$W$2:$CZ$2,"&lt;="&amp;$R662),""),"")</f>
        <v>218.5</v>
      </c>
      <c r="CB662" s="87">
        <f>VLOOKUP(C662,'Infos Clientes'!B:L,11,0)</f>
        <v>0</v>
      </c>
      <c r="CC662" s="88" t="str">
        <f t="shared" si="415"/>
        <v>A Unidade Consumidora 10/511753-6 economizou R$8,54 na fatura referente à jul/2025  consumindo 32 kWh em créditos de energia renovável conforme fatura de energia. A economia foi de 22,94% em relação ao que seria pago para a Energisa considerando os créditos consumidos. Atenção: Mantenha as contas da Energisa em dia para evitar cortes.</v>
      </c>
      <c r="CD662" s="40" t="s">
        <v>115</v>
      </c>
      <c r="CE662" s="43">
        <v>82.83</v>
      </c>
      <c r="CF662" s="115">
        <f t="shared" si="416"/>
        <v>0</v>
      </c>
    </row>
    <row r="663" spans="1:84" ht="16.2" hidden="1" customHeight="1" x14ac:dyDescent="0.3">
      <c r="A663" s="105" t="str">
        <f>INDEX('Infos Clientes'!$D:$D,MATCH('Detalhe Por UC'!C663,'Infos Clientes'!B:B,0))</f>
        <v>IGREJA DO EVANGELHO QUADRANGULAR</v>
      </c>
      <c r="B663" s="106" t="str">
        <f>INDEX('Infos Clientes'!$F:$F,MATCH('Detalhe Por UC'!C663,'Infos Clientes'!B:B,0))</f>
        <v>62.955.505/0884-04</v>
      </c>
      <c r="C663" s="148" t="s">
        <v>88</v>
      </c>
      <c r="D663" t="s">
        <v>351</v>
      </c>
      <c r="E663" s="1" t="s">
        <v>352</v>
      </c>
      <c r="F663" s="56" t="str">
        <f>INDEX('Infos Clientes'!$I:$I,MATCH('Detalhe Por UC'!C663,'Infos Clientes'!B:B,0))</f>
        <v>BT</v>
      </c>
      <c r="G663" s="56" t="str">
        <f>INDEX('Infos Clientes'!$J:$J,MATCH('Detalhe Por UC'!C663,'Infos Clientes'!B:B,0))</f>
        <v>trifasico</v>
      </c>
      <c r="H663" s="47" t="str">
        <f>HYPERLINK("https://geraebcsp.sharepoint.com/sites/gestao.gdc/Shared Documents/EGS/2- Faturas/"&amp; TEXT($R663,"AAA") &amp;"/"&amp; TEXT($R663,"MM") &amp;"."&amp; TEXT($R663,"AAA") &amp;"/"&amp;"_10-"&amp; RIGHT($C663,LEN($C663)-3) &amp;"_" &amp; TEXT($R663,"AAAA") &amp;"-"&amp; TEXT($R663,"MM") &amp;".pdf","GIROSSOL II")</f>
        <v>GIROSSOL II</v>
      </c>
      <c r="I663" s="58">
        <f>IFERROR(VLOOKUP(C663,'Infos Clientes'!B:E,4,),"")</f>
        <v>994</v>
      </c>
      <c r="J663" s="109">
        <v>0.22939999999999999</v>
      </c>
      <c r="K663" s="79">
        <f>INDEX('Resumo Operacional'!$A$1:$P$151,MATCH("Desconto percentual Ucs",'Resumo Operacional'!$B$1:$B$151,0),MATCH('Detalhe Por UC'!$R663,'Resumo Operacional'!$A$1:$P$1,0))</f>
        <v>0.25212408425707711</v>
      </c>
      <c r="L663" s="125">
        <v>0</v>
      </c>
      <c r="M663" s="56">
        <f>INDEX('Infos Clientes'!$N:$N,MATCH('Detalhe Por UC'!C663,'Infos Clientes'!B:B,0))</f>
        <v>0</v>
      </c>
      <c r="N663" s="56">
        <f t="shared" si="381"/>
        <v>0</v>
      </c>
      <c r="O663" s="56">
        <f t="shared" si="382"/>
        <v>12</v>
      </c>
      <c r="P663" s="56">
        <f t="shared" si="417"/>
        <v>0</v>
      </c>
      <c r="Q663" s="61">
        <f>IFERROR(IFERROR(INDEX('Infos Clientes'!$A$2:$V$9884,MATCH($C663,'Infos Clientes'!$B$2:$B$9884,0),MATCH(Q$8,'Infos Clientes'!$A$2:$V$2,0)),"")
+IF(OR(INDEX('Infos Clientes'!$A$2:$V$9884,MATCH($C663,'Infos Clientes'!$B$2:$B$9884,0),MATCH("Tempo de Fidelidade (meses)",'Infos Clientes'!$A$2:$V$2,0))=0,R663&gt;=MAX(R:R)),0,
ROUND((MAX(R:R)-R663)/(365/12),0)),"")</f>
        <v>0</v>
      </c>
      <c r="R663" s="111">
        <v>45839</v>
      </c>
      <c r="S663" s="63">
        <v>2.0999999999999999E-3</v>
      </c>
      <c r="T663" s="113">
        <f>IF($H663="GIROSSOL II",AP663/INDEX('Resumo Operacional'!$A$1:$P$1103,17,MATCH('Detalhe Por UC'!$R663,'Resumo Operacional'!$A$1:$P$1,0)),
IF($H663="GIROSSOL II e III",AP663/INDEX('Resumo Operacional'!$A$1:$P$1103,17,MATCH('Detalhe Por UC'!$R663,'Resumo Operacional'!$A$1:$P$1,0)),
""))</f>
        <v>-8.4121212121212124E-2</v>
      </c>
      <c r="U663" s="113" t="str">
        <f>IF($H663="GIROSSOL III",AP663/INDEX('Resumo Operacional'!$A$1:$P$1103,53,MATCH('Detalhe Por UC'!$R663,'Resumo Operacional'!$A$1:$P$1,0)),
IF($H663="GIROSSOL II e III",AP663/INDEX('Resumo Operacional'!$A$1:$P$1103,53,MATCH('Detalhe Por UC'!$R663,'Resumo Operacional'!$A$1:$P$1,0)),
""))</f>
        <v/>
      </c>
      <c r="V663" s="45"/>
      <c r="X663">
        <v>1.1631487394957984</v>
      </c>
      <c r="Y663">
        <v>0</v>
      </c>
      <c r="Z663" s="18">
        <v>1.1630391304347827</v>
      </c>
      <c r="AA663">
        <v>0</v>
      </c>
      <c r="AB663" s="18">
        <v>238</v>
      </c>
      <c r="AC663">
        <v>0</v>
      </c>
      <c r="AD663" s="143">
        <v>138</v>
      </c>
      <c r="AE663" s="35"/>
      <c r="AF663" s="18"/>
      <c r="AH663" s="48">
        <v>43.17</v>
      </c>
      <c r="AI663">
        <v>0</v>
      </c>
      <c r="AJ663">
        <v>0</v>
      </c>
      <c r="AN663" s="71">
        <f t="shared" si="383"/>
        <v>-832</v>
      </c>
      <c r="AO663" s="71">
        <f t="shared" si="384"/>
        <v>0</v>
      </c>
      <c r="AP663" s="71">
        <f t="shared" si="385"/>
        <v>-694</v>
      </c>
      <c r="AQ663" s="72">
        <f>IF(OR($H663="GIROSSOL II",$H663="GIROSSOL II e III"),INDEX('Resumo Operacional'!$A$1:$P$1103,MATCH("Energia Injetada prevista total Fatura da Usina (TUSD)",'Resumo Operacional'!$B$1:$B$1103,0),MATCH('Detalhe Por UC'!$R663,'Resumo Operacional'!$A$1:$P$1,0))*$S663,INDEX('Resumo Operacional'!$A$1:$P$1103,53,MATCH('Detalhe Por UC'!$R663,'Resumo Operacional'!$A$1:$P$1,0))*$S663)</f>
        <v>17.324999999999999</v>
      </c>
      <c r="AR663" s="71">
        <f t="shared" si="386"/>
        <v>-711.32500000000005</v>
      </c>
      <c r="AS663" s="73">
        <f t="shared" si="387"/>
        <v>159.5</v>
      </c>
      <c r="AT663" s="74">
        <f t="shared" si="388"/>
        <v>159.5</v>
      </c>
      <c r="AU663" s="74">
        <f t="shared" si="389"/>
        <v>1.1629295213737669</v>
      </c>
      <c r="AV663" s="74">
        <f t="shared" si="390"/>
        <v>123.68083764000001</v>
      </c>
      <c r="AW663" s="74">
        <f t="shared" si="391"/>
        <v>1.9000000000000057</v>
      </c>
      <c r="AX663" s="74">
        <f t="shared" si="392"/>
        <v>162.39940000000001</v>
      </c>
      <c r="AY663" s="74">
        <f t="shared" si="393"/>
        <v>125.58</v>
      </c>
      <c r="AZ663" s="43">
        <v>125.58</v>
      </c>
      <c r="BA663" s="43">
        <v>125.58</v>
      </c>
      <c r="BB663" s="49">
        <v>125.58</v>
      </c>
      <c r="BC663" s="73" t="str">
        <f t="shared" si="394"/>
        <v/>
      </c>
      <c r="BD663" s="73">
        <f t="shared" si="395"/>
        <v>319.99940000000004</v>
      </c>
      <c r="BE663" s="73">
        <f t="shared" si="396"/>
        <v>283.18083763999999</v>
      </c>
      <c r="BF663" s="77">
        <f t="shared" si="397"/>
        <v>36.82</v>
      </c>
      <c r="BG663" s="77">
        <f t="shared" si="398"/>
        <v>11.045999999999999</v>
      </c>
      <c r="BH663" s="77">
        <f t="shared" si="399"/>
        <v>160.49940000000001</v>
      </c>
      <c r="BI663" s="78">
        <f t="shared" si="400"/>
        <v>0.23</v>
      </c>
      <c r="BJ663" s="79">
        <f t="shared" si="401"/>
        <v>0.11506271574259201</v>
      </c>
      <c r="BK663" s="80">
        <f t="shared" si="402"/>
        <v>285.08</v>
      </c>
      <c r="BL663" s="80">
        <f t="shared" si="403"/>
        <v>34.919400000000053</v>
      </c>
      <c r="BM663" s="79">
        <f t="shared" si="404"/>
        <v>0.10912332960624316</v>
      </c>
      <c r="BN663" s="81">
        <f t="shared" si="405"/>
        <v>0.91</v>
      </c>
      <c r="BO663" s="82">
        <f t="shared" si="406"/>
        <v>125.58</v>
      </c>
      <c r="BP663" s="81">
        <f t="shared" si="407"/>
        <v>0.91</v>
      </c>
      <c r="BQ663" s="81">
        <f t="shared" si="408"/>
        <v>0.91010960906101579</v>
      </c>
      <c r="BR663" s="81">
        <f t="shared" si="409"/>
        <v>1.1631487394957984</v>
      </c>
      <c r="BS663" s="82">
        <f t="shared" si="410"/>
        <v>138</v>
      </c>
      <c r="BT663" s="82">
        <f t="shared" si="411"/>
        <v>160.51452605042019</v>
      </c>
      <c r="BU663" s="82">
        <f t="shared" si="412"/>
        <v>160.49940000000001</v>
      </c>
      <c r="BW663" s="82">
        <f>IFERROR(INDEX('Infos Clientes'!$T:$T,MATCH('Detalhe Por UC'!$C663,'Infos Clientes'!B:B,0)),"")</f>
        <v>335.75</v>
      </c>
      <c r="BX663" s="83">
        <f t="shared" si="413"/>
        <v>0</v>
      </c>
      <c r="BY663" s="84">
        <f t="shared" si="414"/>
        <v>0.21754666608199225</v>
      </c>
      <c r="BZ663" s="85">
        <f>IF(_xlfn.MINIFS('Detalhe Por UC'!R:R,'Detalhe Por UC'!C:C,C663,'Detalhe Por UC'!AD:AD,"&gt;"&amp;0)=0,"",_xlfn.MINIFS('Detalhe Por UC'!R:R,'Detalhe Por UC'!C:C,C663,'Detalhe Por UC'!AD:AD,"&gt;"&amp;0))</f>
        <v>45627</v>
      </c>
      <c r="CA663" s="114">
        <f ca="1">IF(OR(S663&gt;0,AD663&gt;0),IFERROR(
SUMIFS(INDIRECT("'Infos Clientes'!$W"&amp;INDEX('Infos Clientes'!$C:$C,MATCH(C663,'Infos Clientes'!$H:$H,0))&amp;":$CZ"&amp;INDEX('Infos Clientes'!$C:$C,MATCH(C663,'Infos Clientes'!$H:$H,0))),'Infos Clientes'!$W$2:$CZ$2,"&gt;"&amp;$R663-365,'Infos Clientes'!$W$2:$CZ$2,"&lt;="&amp;$R663)/
COUNTIFS(INDIRECT("'Infos Clientes'!$W"&amp;INDEX('Infos Clientes'!$C:$C,MATCH(C663,'Infos Clientes'!$H:$H,0))&amp;":$CZ"&amp;INDEX('Infos Clientes'!$C:$C,MATCH(C663,'Infos Clientes'!$H:$H,0))),"&gt;="&amp;0,'Infos Clientes'!$W$2:$CZ$2,"&gt;"&amp;$R663-365,'Infos Clientes'!$W$2:$CZ$2,"&lt;="&amp;$R663),""),"")</f>
        <v>334.75</v>
      </c>
      <c r="CB663" s="87">
        <f>VLOOKUP(C663,'Infos Clientes'!B:L,11,0)</f>
        <v>0</v>
      </c>
      <c r="CC663" s="88" t="str">
        <f t="shared" si="415"/>
        <v>A Unidade Consumidora 10/276283-9 economizou R$36,82 na fatura referente à jul/2025  consumindo 138 kWh em créditos de energia renovável conforme fatura de energia. A economia foi de 22,94% em relação ao que seria pago para a Energisa considerando os créditos consumidos. Atenção: Mantenha as contas da Energisa em dia para evitar cortes.</v>
      </c>
      <c r="CD663" s="40" t="s">
        <v>90</v>
      </c>
      <c r="CE663" s="43">
        <v>159.5</v>
      </c>
      <c r="CF663" s="115">
        <f t="shared" si="416"/>
        <v>0</v>
      </c>
    </row>
    <row r="664" spans="1:84" ht="16.2" hidden="1" customHeight="1" x14ac:dyDescent="0.3">
      <c r="A664" s="105" t="str">
        <f>INDEX('Infos Clientes'!$D:$D,MATCH('Detalhe Por UC'!C664,'Infos Clientes'!B:B,0))</f>
        <v>IGREJA DO EVANGELHO QUADRANGULAR</v>
      </c>
      <c r="B664" s="106" t="str">
        <f>INDEX('Infos Clientes'!$F:$F,MATCH('Detalhe Por UC'!C664,'Infos Clientes'!B:B,0))</f>
        <v>62.955.505/0154-31</v>
      </c>
      <c r="C664" s="31" t="s">
        <v>218</v>
      </c>
      <c r="D664" t="s">
        <v>351</v>
      </c>
      <c r="E664" s="1" t="s">
        <v>352</v>
      </c>
      <c r="F664" s="56" t="str">
        <f>INDEX('Infos Clientes'!$I:$I,MATCH('Detalhe Por UC'!C664,'Infos Clientes'!B:B,0))</f>
        <v>BT</v>
      </c>
      <c r="G664" s="56" t="str">
        <f>INDEX('Infos Clientes'!$J:$J,MATCH('Detalhe Por UC'!C664,'Infos Clientes'!B:B,0))</f>
        <v>bifasico</v>
      </c>
      <c r="H664" s="108" t="s">
        <v>138</v>
      </c>
      <c r="I664" s="58">
        <f>IFERROR(VLOOKUP(C664,'Infos Clientes'!B:E,4,),"")</f>
        <v>319</v>
      </c>
      <c r="J664" s="109">
        <v>0.22939999999999999</v>
      </c>
      <c r="K664" s="79">
        <f>INDEX('Resumo Operacional'!$A$1:$P$151,MATCH("Desconto percentual Ucs",'Resumo Operacional'!$B$1:$B$151,0),MATCH('Detalhe Por UC'!$R664,'Resumo Operacional'!$A$1:$P$1,0))</f>
        <v>0.25212408425707711</v>
      </c>
      <c r="L664" s="125">
        <v>0</v>
      </c>
      <c r="M664" s="56">
        <f>INDEX('Infos Clientes'!$N:$N,MATCH('Detalhe Por UC'!C664,'Infos Clientes'!B:B,0))</f>
        <v>0</v>
      </c>
      <c r="N664" s="56">
        <f t="shared" si="381"/>
        <v>0</v>
      </c>
      <c r="O664" s="56">
        <f t="shared" si="382"/>
        <v>9</v>
      </c>
      <c r="P664" s="56">
        <f t="shared" si="417"/>
        <v>0</v>
      </c>
      <c r="Q664" s="61">
        <f>IFERROR(IFERROR(INDEX('Infos Clientes'!$A$2:$V$9884,MATCH($C664,'Infos Clientes'!$B$2:$B$9884,0),MATCH(Q$8,'Infos Clientes'!$A$2:$V$2,0)),"")
+IF(OR(INDEX('Infos Clientes'!$A$2:$V$9884,MATCH($C664,'Infos Clientes'!$B$2:$B$9884,0),MATCH("Tempo de Fidelidade (meses)",'Infos Clientes'!$A$2:$V$2,0))=0,R664&gt;=MAX(R:R)),0,
ROUND((MAX(R:R)-R664)/(365/12),0)),"")</f>
        <v>0</v>
      </c>
      <c r="R664" s="111">
        <v>45839</v>
      </c>
      <c r="S664" s="63">
        <v>7.85E-2</v>
      </c>
      <c r="T664" s="113" t="str">
        <f>IF($H664="GIROSSOL II",AP664/INDEX('Resumo Operacional'!$A$1:$P$1103,17,MATCH('Detalhe Por UC'!$R664,'Resumo Operacional'!$A$1:$P$1,0)),
IF($H664="GIROSSOL II e III",AP664/INDEX('Resumo Operacional'!$A$1:$P$1103,17,MATCH('Detalhe Por UC'!$R664,'Resumo Operacional'!$A$1:$P$1,0)),
""))</f>
        <v/>
      </c>
      <c r="U664" s="113">
        <f>IF($H664="GIROSSOL III",AP664/INDEX('Resumo Operacional'!$A$1:$P$1103,53,MATCH('Detalhe Por UC'!$R664,'Resumo Operacional'!$A$1:$P$1,0)),
IF($H664="GIROSSOL II e III",AP664/INDEX('Resumo Operacional'!$A$1:$P$1103,53,MATCH('Detalhe Por UC'!$R664,'Resumo Operacional'!$A$1:$P$1,0)),
""))</f>
        <v>0.16265650517147523</v>
      </c>
      <c r="V664" s="45"/>
      <c r="X664">
        <v>1.1068266666666666</v>
      </c>
      <c r="Y664">
        <v>0</v>
      </c>
      <c r="Z664" s="18">
        <v>0.94994666666666672</v>
      </c>
      <c r="AA664">
        <v>0</v>
      </c>
      <c r="AB664" s="18">
        <v>375</v>
      </c>
      <c r="AC664">
        <v>0</v>
      </c>
      <c r="AD664" s="143">
        <v>375</v>
      </c>
      <c r="AE664" s="35"/>
      <c r="AF664" s="18">
        <v>1119</v>
      </c>
      <c r="AG664">
        <v>0</v>
      </c>
      <c r="AH664" s="48">
        <v>59.51</v>
      </c>
      <c r="AI664">
        <v>0</v>
      </c>
      <c r="AJ664">
        <v>0</v>
      </c>
      <c r="AN664" s="71">
        <f t="shared" si="383"/>
        <v>1119</v>
      </c>
      <c r="AO664" s="71">
        <f t="shared" si="384"/>
        <v>0</v>
      </c>
      <c r="AP664" s="71">
        <f t="shared" si="385"/>
        <v>1494</v>
      </c>
      <c r="AQ664" s="72">
        <f>IF(OR($H664="GIROSSOL II",$H664="GIROSSOL II e III"),INDEX('Resumo Operacional'!$A$1:$P$1103,MATCH("Energia Injetada prevista total Fatura da Usina (TUSD)",'Resumo Operacional'!$B$1:$B$1103,0),MATCH('Detalhe Por UC'!$R664,'Resumo Operacional'!$A$1:$P$1,0))*$S664,INDEX('Resumo Operacional'!$A$1:$P$1103,53,MATCH('Detalhe Por UC'!$R664,'Resumo Operacional'!$A$1:$P$1,0))*$S664)</f>
        <v>721.02250000000004</v>
      </c>
      <c r="AR664" s="71">
        <f t="shared" si="386"/>
        <v>772.97749999999996</v>
      </c>
      <c r="AS664" s="73">
        <f t="shared" si="387"/>
        <v>118.33999999999997</v>
      </c>
      <c r="AT664" s="74">
        <f t="shared" si="388"/>
        <v>118.33999999999997</v>
      </c>
      <c r="AU664" s="74">
        <f t="shared" si="389"/>
        <v>0.79306666666666681</v>
      </c>
      <c r="AV664" s="74">
        <f t="shared" si="390"/>
        <v>274.51083799999998</v>
      </c>
      <c r="AW664" s="74">
        <f t="shared" si="391"/>
        <v>0</v>
      </c>
      <c r="AX664" s="74">
        <f t="shared" si="392"/>
        <v>356.23</v>
      </c>
      <c r="AY664" s="74">
        <f t="shared" si="393"/>
        <v>274.51</v>
      </c>
      <c r="AZ664" s="43">
        <v>274.51</v>
      </c>
      <c r="BA664" s="43">
        <v>274.51</v>
      </c>
      <c r="BB664" s="49">
        <v>356.23</v>
      </c>
      <c r="BC664" s="73">
        <f t="shared" si="394"/>
        <v>81.720000000000027</v>
      </c>
      <c r="BD664" s="73">
        <f t="shared" si="395"/>
        <v>474.57</v>
      </c>
      <c r="BE664" s="73">
        <f t="shared" si="396"/>
        <v>392.85083799999995</v>
      </c>
      <c r="BF664" s="77">
        <f t="shared" si="397"/>
        <v>81.72</v>
      </c>
      <c r="BG664" s="77">
        <f t="shared" si="398"/>
        <v>24.515999999999998</v>
      </c>
      <c r="BH664" s="77">
        <f t="shared" si="399"/>
        <v>356.23</v>
      </c>
      <c r="BI664" s="78">
        <f t="shared" si="400"/>
        <v>0.23</v>
      </c>
      <c r="BJ664" s="79">
        <f t="shared" si="401"/>
        <v>0.17219798975915038</v>
      </c>
      <c r="BK664" s="80">
        <f t="shared" si="402"/>
        <v>392.84999999999997</v>
      </c>
      <c r="BL664" s="80">
        <f t="shared" si="403"/>
        <v>81.720000000000027</v>
      </c>
      <c r="BM664" s="79">
        <f t="shared" si="404"/>
        <v>0.17219798975915046</v>
      </c>
      <c r="BN664" s="81">
        <f t="shared" si="405"/>
        <v>0.7320266666666666</v>
      </c>
      <c r="BO664" s="82">
        <f t="shared" si="406"/>
        <v>274.51</v>
      </c>
      <c r="BP664" s="81">
        <f t="shared" si="407"/>
        <v>0.7320266666666666</v>
      </c>
      <c r="BQ664" s="81">
        <f t="shared" si="408"/>
        <v>0.88890666666666651</v>
      </c>
      <c r="BR664" s="81">
        <f t="shared" si="409"/>
        <v>1.1068266666666666</v>
      </c>
      <c r="BS664" s="82">
        <f t="shared" si="410"/>
        <v>375</v>
      </c>
      <c r="BT664" s="82">
        <f t="shared" si="411"/>
        <v>415.06</v>
      </c>
      <c r="BU664" s="82">
        <f t="shared" si="412"/>
        <v>356.23</v>
      </c>
      <c r="BW664" s="82">
        <f>IFERROR(INDEX('Infos Clientes'!$T:$T,MATCH('Detalhe Por UC'!$C664,'Infos Clientes'!B:B,0)),"")</f>
        <v>806.81818181818187</v>
      </c>
      <c r="BX664" s="83">
        <f t="shared" si="413"/>
        <v>0</v>
      </c>
      <c r="BY664" s="84">
        <f t="shared" si="414"/>
        <v>0.19688719703175456</v>
      </c>
      <c r="BZ664" s="85">
        <f>IF(_xlfn.MINIFS('Detalhe Por UC'!R:R,'Detalhe Por UC'!C:C,C664,'Detalhe Por UC'!AD:AD,"&gt;"&amp;0)=0,"",_xlfn.MINIFS('Detalhe Por UC'!R:R,'Detalhe Por UC'!C:C,C664,'Detalhe Por UC'!AD:AD,"&gt;"&amp;0))</f>
        <v>45658</v>
      </c>
      <c r="CA664" s="114">
        <f ca="1">IF(OR(S664&gt;0,AD664&gt;0),IFERROR(
SUMIFS(INDIRECT("'Infos Clientes'!$W"&amp;INDEX('Infos Clientes'!$C:$C,MATCH(C664,'Infos Clientes'!$H:$H,0))&amp;":$CZ"&amp;INDEX('Infos Clientes'!$C:$C,MATCH(C664,'Infos Clientes'!$H:$H,0))),'Infos Clientes'!$W$2:$CZ$2,"&gt;"&amp;$R664-365,'Infos Clientes'!$W$2:$CZ$2,"&lt;="&amp;$R664)/
COUNTIFS(INDIRECT("'Infos Clientes'!$W"&amp;INDEX('Infos Clientes'!$C:$C,MATCH(C664,'Infos Clientes'!$H:$H,0))&amp;":$CZ"&amp;INDEX('Infos Clientes'!$C:$C,MATCH(C664,'Infos Clientes'!$H:$H,0))),"&gt;="&amp;0,'Infos Clientes'!$W$2:$CZ$2,"&gt;"&amp;$R664-365,'Infos Clientes'!$W$2:$CZ$2,"&lt;="&amp;$R664),""),"")</f>
        <v>750.75</v>
      </c>
      <c r="CB664" s="87">
        <f>VLOOKUP(C664,'Infos Clientes'!B:L,11,0)</f>
        <v>0</v>
      </c>
      <c r="CC664" s="88" t="str">
        <f t="shared" si="415"/>
        <v>A Unidade Consumidora 10/61344-8 economizou R$81,72 na fatura referente à jul/2025  consumindo 375 kWh em créditos de energia renovável conforme fatura de energia. A economia foi de 22,94% em relação ao que seria pago para a Energisa considerando os créditos consumidos. Atenção: Mantenha as contas da Energisa em dia para evitar cortes.</v>
      </c>
      <c r="CD664" s="40">
        <v>0</v>
      </c>
      <c r="CE664" s="43">
        <v>118.34</v>
      </c>
      <c r="CF664" s="115">
        <f t="shared" si="416"/>
        <v>0</v>
      </c>
    </row>
    <row r="665" spans="1:84" ht="16.2" hidden="1" customHeight="1" x14ac:dyDescent="0.3">
      <c r="A665" s="105" t="str">
        <f>INDEX('Infos Clientes'!$D:$D,MATCH('Detalhe Por UC'!C665,'Infos Clientes'!B:B,0))</f>
        <v>IGREJA DO EVANGELHO QUADRANGULAR</v>
      </c>
      <c r="B665" s="106" t="str">
        <f>INDEX('Infos Clientes'!$F:$F,MATCH('Detalhe Por UC'!C665,'Infos Clientes'!B:B,0))</f>
        <v>62.955.505/0169-18</v>
      </c>
      <c r="C665" s="31" t="s">
        <v>139</v>
      </c>
      <c r="D665" t="s">
        <v>351</v>
      </c>
      <c r="E665" s="1" t="s">
        <v>352</v>
      </c>
      <c r="F665" s="56" t="str">
        <f>INDEX('Infos Clientes'!$I:$I,MATCH('Detalhe Por UC'!C665,'Infos Clientes'!B:B,0))</f>
        <v>BT</v>
      </c>
      <c r="G665" s="56" t="str">
        <f>INDEX('Infos Clientes'!$J:$J,MATCH('Detalhe Por UC'!C665,'Infos Clientes'!B:B,0))</f>
        <v>bifasico</v>
      </c>
      <c r="H665" s="108" t="s">
        <v>138</v>
      </c>
      <c r="I665" s="58">
        <f>IFERROR(VLOOKUP(C665,'Infos Clientes'!B:E,4,),"")</f>
        <v>351</v>
      </c>
      <c r="J665" s="109">
        <v>0.22939999999999999</v>
      </c>
      <c r="K665" s="79">
        <f>INDEX('Resumo Operacional'!$A$1:$P$151,MATCH("Desconto percentual Ucs",'Resumo Operacional'!$B$1:$B$151,0),MATCH('Detalhe Por UC'!$R665,'Resumo Operacional'!$A$1:$P$1,0))</f>
        <v>0.25212408425707711</v>
      </c>
      <c r="L665" s="125">
        <v>0</v>
      </c>
      <c r="M665" s="56">
        <f>INDEX('Infos Clientes'!$N:$N,MATCH('Detalhe Por UC'!C665,'Infos Clientes'!B:B,0))</f>
        <v>0</v>
      </c>
      <c r="N665" s="56">
        <f t="shared" si="381"/>
        <v>0</v>
      </c>
      <c r="O665" s="56">
        <f t="shared" si="382"/>
        <v>9</v>
      </c>
      <c r="P665" s="56">
        <f t="shared" si="417"/>
        <v>0</v>
      </c>
      <c r="Q665" s="61">
        <f>IFERROR(IFERROR(INDEX('Infos Clientes'!$A$2:$V$9884,MATCH($C665,'Infos Clientes'!$B$2:$B$9884,0),MATCH(Q$8,'Infos Clientes'!$A$2:$V$2,0)),"")
+IF(OR(INDEX('Infos Clientes'!$A$2:$V$9884,MATCH($C665,'Infos Clientes'!$B$2:$B$9884,0),MATCH("Tempo de Fidelidade (meses)",'Infos Clientes'!$A$2:$V$2,0))=0,R665&gt;=MAX(R:R)),0,
ROUND((MAX(R:R)-R665)/(365/12),0)),"")</f>
        <v>0</v>
      </c>
      <c r="R665" s="111">
        <v>45839</v>
      </c>
      <c r="S665" s="63">
        <v>4.2999999999999997E-2</v>
      </c>
      <c r="T665" s="113" t="str">
        <f>IF($H665="GIROSSOL II",AP665/INDEX('Resumo Operacional'!$A$1:$P$1103,17,MATCH('Detalhe Por UC'!$R665,'Resumo Operacional'!$A$1:$P$1,0)),
IF($H665="GIROSSOL II e III",AP665/INDEX('Resumo Operacional'!$A$1:$P$1103,17,MATCH('Detalhe Por UC'!$R665,'Resumo Operacional'!$A$1:$P$1,0)),
""))</f>
        <v/>
      </c>
      <c r="U665" s="113">
        <f>IF($H665="GIROSSOL III",AP665/INDEX('Resumo Operacional'!$A$1:$P$1103,53,MATCH('Detalhe Por UC'!$R665,'Resumo Operacional'!$A$1:$P$1,0)),
IF($H665="GIROSSOL II e III",AP665/INDEX('Resumo Operacional'!$A$1:$P$1103,53,MATCH('Detalhe Por UC'!$R665,'Resumo Operacional'!$A$1:$P$1,0)),
""))</f>
        <v>8.0675013609145349E-2</v>
      </c>
      <c r="V665" s="45"/>
      <c r="X665">
        <v>1.1068337730870712</v>
      </c>
      <c r="Y665">
        <v>0</v>
      </c>
      <c r="Z665" s="18">
        <v>0.94994722955145128</v>
      </c>
      <c r="AA665">
        <v>0</v>
      </c>
      <c r="AB665" s="18">
        <v>379</v>
      </c>
      <c r="AC665">
        <v>0</v>
      </c>
      <c r="AD665" s="143">
        <v>379</v>
      </c>
      <c r="AE665" s="35"/>
      <c r="AF665" s="18">
        <v>362</v>
      </c>
      <c r="AG665">
        <v>0</v>
      </c>
      <c r="AH665" s="48">
        <v>46.31</v>
      </c>
      <c r="AI665">
        <v>0</v>
      </c>
      <c r="AJ665">
        <v>0</v>
      </c>
      <c r="AN665" s="71">
        <f t="shared" si="383"/>
        <v>362</v>
      </c>
      <c r="AO665" s="71">
        <f t="shared" si="384"/>
        <v>0</v>
      </c>
      <c r="AP665" s="71">
        <f t="shared" si="385"/>
        <v>741</v>
      </c>
      <c r="AQ665" s="72">
        <f>IF(OR($H665="GIROSSOL II",$H665="GIROSSOL II e III"),INDEX('Resumo Operacional'!$A$1:$P$1103,MATCH("Energia Injetada prevista total Fatura da Usina (TUSD)",'Resumo Operacional'!$B$1:$B$1103,0),MATCH('Detalhe Por UC'!$R665,'Resumo Operacional'!$A$1:$P$1,0))*$S665,INDEX('Resumo Operacional'!$A$1:$P$1103,53,MATCH('Detalhe Por UC'!$R665,'Resumo Operacional'!$A$1:$P$1,0))*$S665)</f>
        <v>394.95499999999998</v>
      </c>
      <c r="AR665" s="71">
        <f t="shared" si="386"/>
        <v>346.04500000000002</v>
      </c>
      <c r="AS665" s="73">
        <f t="shared" si="387"/>
        <v>105.76999999999998</v>
      </c>
      <c r="AT665" s="74">
        <f t="shared" si="388"/>
        <v>105.76999999999998</v>
      </c>
      <c r="AU665" s="74">
        <f t="shared" si="389"/>
        <v>0.79306068601583135</v>
      </c>
      <c r="AV665" s="74">
        <f t="shared" si="390"/>
        <v>277.43911800000001</v>
      </c>
      <c r="AW665" s="74">
        <f t="shared" si="391"/>
        <v>3.0199999999999818</v>
      </c>
      <c r="AX665" s="74">
        <f t="shared" si="392"/>
        <v>363.05</v>
      </c>
      <c r="AY665" s="74">
        <f t="shared" si="393"/>
        <v>280.45999999999998</v>
      </c>
      <c r="AZ665" s="43">
        <v>280.45999999999998</v>
      </c>
      <c r="BA665" s="43">
        <v>280.45999999999998</v>
      </c>
      <c r="BB665" s="49">
        <v>280.45999999999998</v>
      </c>
      <c r="BC665" s="73" t="str">
        <f t="shared" si="394"/>
        <v/>
      </c>
      <c r="BD665" s="73">
        <f t="shared" si="395"/>
        <v>465.8</v>
      </c>
      <c r="BE665" s="73">
        <f t="shared" si="396"/>
        <v>383.20911799999999</v>
      </c>
      <c r="BF665" s="77">
        <f t="shared" si="397"/>
        <v>82.59</v>
      </c>
      <c r="BG665" s="77">
        <f t="shared" si="398"/>
        <v>24.777000000000001</v>
      </c>
      <c r="BH665" s="77">
        <f t="shared" si="399"/>
        <v>360.03000000000009</v>
      </c>
      <c r="BI665" s="78">
        <f t="shared" si="400"/>
        <v>0.23</v>
      </c>
      <c r="BJ665" s="79">
        <f t="shared" si="401"/>
        <v>0.17730785744954916</v>
      </c>
      <c r="BK665" s="80">
        <f t="shared" si="402"/>
        <v>386.22999999999996</v>
      </c>
      <c r="BL665" s="80">
        <f t="shared" si="403"/>
        <v>79.57000000000005</v>
      </c>
      <c r="BM665" s="79">
        <f t="shared" si="404"/>
        <v>0.17082438814942044</v>
      </c>
      <c r="BN665" s="81">
        <f t="shared" si="405"/>
        <v>0.74</v>
      </c>
      <c r="BO665" s="82">
        <f t="shared" si="406"/>
        <v>280.45999999999998</v>
      </c>
      <c r="BP665" s="81">
        <f t="shared" si="407"/>
        <v>0.74</v>
      </c>
      <c r="BQ665" s="81">
        <f t="shared" si="408"/>
        <v>0.89688654353561992</v>
      </c>
      <c r="BR665" s="81">
        <f t="shared" si="409"/>
        <v>1.1068337730870712</v>
      </c>
      <c r="BS665" s="82">
        <f t="shared" si="410"/>
        <v>379</v>
      </c>
      <c r="BT665" s="82">
        <f t="shared" si="411"/>
        <v>419.49</v>
      </c>
      <c r="BU665" s="82">
        <f t="shared" si="412"/>
        <v>360.03000000000003</v>
      </c>
      <c r="BW665" s="82">
        <f>IFERROR(INDEX('Infos Clientes'!$T:$T,MATCH('Detalhe Por UC'!$C665,'Infos Clientes'!B:B,0)),"")</f>
        <v>547.4545454545455</v>
      </c>
      <c r="BX665" s="83">
        <f t="shared" si="413"/>
        <v>0</v>
      </c>
      <c r="BY665" s="84">
        <f t="shared" si="414"/>
        <v>0.18968270995732922</v>
      </c>
      <c r="BZ665" s="85">
        <f>IF(_xlfn.MINIFS('Detalhe Por UC'!R:R,'Detalhe Por UC'!C:C,C665,'Detalhe Por UC'!AD:AD,"&gt;"&amp;0)=0,"",_xlfn.MINIFS('Detalhe Por UC'!R:R,'Detalhe Por UC'!C:C,C665,'Detalhe Por UC'!AD:AD,"&gt;"&amp;0))</f>
        <v>45658</v>
      </c>
      <c r="CA665" s="114">
        <f ca="1">IF(OR(S665&gt;0,AD665&gt;0),IFERROR(
SUMIFS(INDIRECT("'Infos Clientes'!$W"&amp;INDEX('Infos Clientes'!$C:$C,MATCH(C665,'Infos Clientes'!$H:$H,0))&amp;":$CZ"&amp;INDEX('Infos Clientes'!$C:$C,MATCH(C665,'Infos Clientes'!$H:$H,0))),'Infos Clientes'!$W$2:$CZ$2,"&gt;"&amp;$R665-365,'Infos Clientes'!$W$2:$CZ$2,"&lt;="&amp;$R665)/
COUNTIFS(INDIRECT("'Infos Clientes'!$W"&amp;INDEX('Infos Clientes'!$C:$C,MATCH(C665,'Infos Clientes'!$H:$H,0))&amp;":$CZ"&amp;INDEX('Infos Clientes'!$C:$C,MATCH(C665,'Infos Clientes'!$H:$H,0))),"&gt;="&amp;0,'Infos Clientes'!$W$2:$CZ$2,"&gt;"&amp;$R665-365,'Infos Clientes'!$W$2:$CZ$2,"&lt;="&amp;$R665),""),"")</f>
        <v>540.58333333333337</v>
      </c>
      <c r="CB665" s="87">
        <f>VLOOKUP(C665,'Infos Clientes'!B:L,11,0)</f>
        <v>0</v>
      </c>
      <c r="CC665" s="88" t="str">
        <f t="shared" si="415"/>
        <v>A Unidade Consumidora 10/1081489-5 economizou R$82,59 na fatura referente à jul/2025  consumindo 379 kWh em créditos de energia renovável conforme fatura de energia. A economia foi de 22,94% em relação ao que seria pago para a Energisa considerando os créditos consumidos. Atenção: Mantenha as contas da Energisa em dia para evitar cortes.</v>
      </c>
      <c r="CD665" s="40" t="s">
        <v>141</v>
      </c>
      <c r="CE665" s="43">
        <v>105.77</v>
      </c>
      <c r="CF665" s="115">
        <f t="shared" si="416"/>
        <v>0</v>
      </c>
    </row>
    <row r="666" spans="1:84" ht="16.2" hidden="1" customHeight="1" x14ac:dyDescent="0.3">
      <c r="A666" s="105" t="str">
        <f>INDEX('Infos Clientes'!$D:$D,MATCH('Detalhe Por UC'!C666,'Infos Clientes'!B:B,0))</f>
        <v>IGREJA DO EVANGELHO QUADRANGULAR</v>
      </c>
      <c r="B666" s="106" t="str">
        <f>INDEX('Infos Clientes'!$F:$F,MATCH('Detalhe Por UC'!C666,'Infos Clientes'!B:B,0))</f>
        <v>62.955.505/3124-87</v>
      </c>
      <c r="C666" s="31" t="s">
        <v>160</v>
      </c>
      <c r="D666" t="s">
        <v>351</v>
      </c>
      <c r="E666" s="1" t="s">
        <v>352</v>
      </c>
      <c r="F666" s="56" t="str">
        <f>INDEX('Infos Clientes'!$I:$I,MATCH('Detalhe Por UC'!C666,'Infos Clientes'!B:B,0))</f>
        <v>BT</v>
      </c>
      <c r="G666" s="56" t="str">
        <f>INDEX('Infos Clientes'!$J:$J,MATCH('Detalhe Por UC'!C666,'Infos Clientes'!B:B,0))</f>
        <v>trifasico</v>
      </c>
      <c r="H666" s="108" t="s">
        <v>138</v>
      </c>
      <c r="I666" s="58">
        <f>IFERROR(VLOOKUP(C666,'Infos Clientes'!B:E,4,),"")</f>
        <v>357</v>
      </c>
      <c r="J666" s="109">
        <v>0.22939999999999999</v>
      </c>
      <c r="K666" s="79">
        <f>INDEX('Resumo Operacional'!$A$1:$P$151,MATCH("Desconto percentual Ucs",'Resumo Operacional'!$B$1:$B$151,0),MATCH('Detalhe Por UC'!$R666,'Resumo Operacional'!$A$1:$P$1,0))</f>
        <v>0.25212408425707711</v>
      </c>
      <c r="L666" s="125">
        <v>0</v>
      </c>
      <c r="M666" s="56">
        <f>INDEX('Infos Clientes'!$N:$N,MATCH('Detalhe Por UC'!C666,'Infos Clientes'!B:B,0))</f>
        <v>0</v>
      </c>
      <c r="N666" s="56">
        <f t="shared" si="381"/>
        <v>0</v>
      </c>
      <c r="O666" s="56">
        <f t="shared" si="382"/>
        <v>9</v>
      </c>
      <c r="P666" s="56">
        <f t="shared" si="417"/>
        <v>0</v>
      </c>
      <c r="Q666" s="61">
        <f>IFERROR(IFERROR(INDEX('Infos Clientes'!$A$2:$V$9884,MATCH($C666,'Infos Clientes'!$B$2:$B$9884,0),MATCH(Q$8,'Infos Clientes'!$A$2:$V$2,0)),"")
+IF(OR(INDEX('Infos Clientes'!$A$2:$V$9884,MATCH($C666,'Infos Clientes'!$B$2:$B$9884,0),MATCH("Tempo de Fidelidade (meses)",'Infos Clientes'!$A$2:$V$2,0))=0,R666&gt;=MAX(R:R)),0,
ROUND((MAX(R:R)-R666)/(365/12),0)),"")</f>
        <v>0</v>
      </c>
      <c r="R666" s="111">
        <v>45839</v>
      </c>
      <c r="S666" s="63">
        <v>4.1099999999999998E-2</v>
      </c>
      <c r="T666" s="113" t="str">
        <f>IF($H666="GIROSSOL II",AP666/INDEX('Resumo Operacional'!$A$1:$P$1103,17,MATCH('Detalhe Por UC'!$R666,'Resumo Operacional'!$A$1:$P$1,0)),
IF($H666="GIROSSOL II e III",AP666/INDEX('Resumo Operacional'!$A$1:$P$1103,17,MATCH('Detalhe Por UC'!$R666,'Resumo Operacional'!$A$1:$P$1,0)),
""))</f>
        <v/>
      </c>
      <c r="U666" s="113">
        <f>IF($H666="GIROSSOL III",AP666/INDEX('Resumo Operacional'!$A$1:$P$1103,53,MATCH('Detalhe Por UC'!$R666,'Resumo Operacional'!$A$1:$P$1,0)),
IF($H666="GIROSSOL II e III",AP666/INDEX('Resumo Operacional'!$A$1:$P$1103,53,MATCH('Detalhe Por UC'!$R666,'Resumo Operacional'!$A$1:$P$1,0)),
""))</f>
        <v>7.7082199237887866E-2</v>
      </c>
      <c r="V666" s="45"/>
      <c r="X666">
        <v>1.1630265686828716</v>
      </c>
      <c r="Y666">
        <v>0</v>
      </c>
      <c r="Z666" s="18">
        <v>1.0061664107217645</v>
      </c>
      <c r="AA666">
        <v>0</v>
      </c>
      <c r="AB666" s="18">
        <v>305</v>
      </c>
      <c r="AC666">
        <v>0</v>
      </c>
      <c r="AD666" s="143">
        <v>247</v>
      </c>
      <c r="AE666" s="35"/>
      <c r="AF666" s="18">
        <v>461</v>
      </c>
      <c r="AG666">
        <v>0</v>
      </c>
      <c r="AH666" s="48">
        <v>0</v>
      </c>
      <c r="AI666">
        <v>0</v>
      </c>
      <c r="AJ666">
        <v>0</v>
      </c>
      <c r="AN666" s="71">
        <f t="shared" si="383"/>
        <v>461</v>
      </c>
      <c r="AO666" s="71">
        <f t="shared" si="384"/>
        <v>0</v>
      </c>
      <c r="AP666" s="71">
        <f t="shared" si="385"/>
        <v>708</v>
      </c>
      <c r="AQ666" s="72">
        <f>IF(OR($H666="GIROSSOL II",$H666="GIROSSOL II e III"),INDEX('Resumo Operacional'!$A$1:$P$1103,MATCH("Energia Injetada prevista total Fatura da Usina (TUSD)",'Resumo Operacional'!$B$1:$B$1103,0),MATCH('Detalhe Por UC'!$R666,'Resumo Operacional'!$A$1:$P$1,0))*$S666,INDEX('Resumo Operacional'!$A$1:$P$1103,53,MATCH('Detalhe Por UC'!$R666,'Resumo Operacional'!$A$1:$P$1,0))*$S666)</f>
        <v>377.50349999999997</v>
      </c>
      <c r="AR666" s="71">
        <f t="shared" si="386"/>
        <v>330.49650000000003</v>
      </c>
      <c r="AS666" s="73">
        <f t="shared" si="387"/>
        <v>106.19999999999999</v>
      </c>
      <c r="AT666" s="74">
        <f t="shared" si="388"/>
        <v>106.19999999999999</v>
      </c>
      <c r="AU666" s="74">
        <f t="shared" si="389"/>
        <v>0.84930625276065741</v>
      </c>
      <c r="AV666" s="74">
        <f t="shared" si="390"/>
        <v>191.51190351724136</v>
      </c>
      <c r="AW666" s="74">
        <f t="shared" si="391"/>
        <v>0.29999999999999716</v>
      </c>
      <c r="AX666" s="74">
        <f t="shared" si="392"/>
        <v>248.82310344827584</v>
      </c>
      <c r="AY666" s="74">
        <f t="shared" si="393"/>
        <v>191.81</v>
      </c>
      <c r="AZ666" s="43">
        <v>191.81</v>
      </c>
      <c r="BA666" s="43">
        <v>191.81</v>
      </c>
      <c r="BB666" s="49">
        <v>191.81</v>
      </c>
      <c r="BC666" s="73" t="str">
        <f t="shared" si="394"/>
        <v/>
      </c>
      <c r="BD666" s="73">
        <f t="shared" si="395"/>
        <v>354.72310344827582</v>
      </c>
      <c r="BE666" s="73">
        <f t="shared" si="396"/>
        <v>297.71190351724135</v>
      </c>
      <c r="BF666" s="77">
        <f t="shared" si="397"/>
        <v>57.01</v>
      </c>
      <c r="BG666" s="77">
        <f t="shared" si="398"/>
        <v>17.102999999999998</v>
      </c>
      <c r="BH666" s="77">
        <f t="shared" si="399"/>
        <v>248.5231034482758</v>
      </c>
      <c r="BI666" s="78">
        <f t="shared" si="400"/>
        <v>0.23</v>
      </c>
      <c r="BJ666" s="79">
        <f t="shared" si="401"/>
        <v>0.16071690692205773</v>
      </c>
      <c r="BK666" s="80">
        <f t="shared" si="402"/>
        <v>298.01</v>
      </c>
      <c r="BL666" s="80">
        <f t="shared" si="403"/>
        <v>56.713103448275831</v>
      </c>
      <c r="BM666" s="79">
        <f t="shared" si="404"/>
        <v>0.15987992577017326</v>
      </c>
      <c r="BN666" s="81">
        <f t="shared" si="405"/>
        <v>0.77655870445344133</v>
      </c>
      <c r="BO666" s="82">
        <f t="shared" si="406"/>
        <v>191.81</v>
      </c>
      <c r="BP666" s="81">
        <f t="shared" si="407"/>
        <v>0.77655870445344133</v>
      </c>
      <c r="BQ666" s="81">
        <f t="shared" si="408"/>
        <v>0.93341886241454841</v>
      </c>
      <c r="BR666" s="81">
        <f t="shared" si="409"/>
        <v>1.1630265686828716</v>
      </c>
      <c r="BS666" s="82">
        <f t="shared" si="410"/>
        <v>247</v>
      </c>
      <c r="BT666" s="82">
        <f t="shared" si="411"/>
        <v>287.26756246466925</v>
      </c>
      <c r="BU666" s="82">
        <f t="shared" si="412"/>
        <v>248.52310344827583</v>
      </c>
      <c r="BW666" s="82">
        <f>IFERROR(INDEX('Infos Clientes'!$T:$T,MATCH('Detalhe Por UC'!$C666,'Infos Clientes'!B:B,0)),"")</f>
        <v>495.18181818181819</v>
      </c>
      <c r="BX666" s="83">
        <f t="shared" si="413"/>
        <v>0</v>
      </c>
      <c r="BY666" s="84">
        <f t="shared" si="414"/>
        <v>0.19742258040446492</v>
      </c>
      <c r="BZ666" s="85">
        <f>IF(_xlfn.MINIFS('Detalhe Por UC'!R:R,'Detalhe Por UC'!C:C,C666,'Detalhe Por UC'!AD:AD,"&gt;"&amp;0)=0,"",_xlfn.MINIFS('Detalhe Por UC'!R:R,'Detalhe Por UC'!C:C,C666,'Detalhe Por UC'!AD:AD,"&gt;"&amp;0))</f>
        <v>45658</v>
      </c>
      <c r="CA666" s="114">
        <f ca="1">IF(OR(S666&gt;0,AD666&gt;0),IFERROR(
SUMIFS(INDIRECT("'Infos Clientes'!$W"&amp;INDEX('Infos Clientes'!$C:$C,MATCH(C666,'Infos Clientes'!$H:$H,0))&amp;":$CZ"&amp;INDEX('Infos Clientes'!$C:$C,MATCH(C666,'Infos Clientes'!$H:$H,0))),'Infos Clientes'!$W$2:$CZ$2,"&gt;"&amp;$R666-365,'Infos Clientes'!$W$2:$CZ$2,"&lt;="&amp;$R666)/
COUNTIFS(INDIRECT("'Infos Clientes'!$W"&amp;INDEX('Infos Clientes'!$C:$C,MATCH(C666,'Infos Clientes'!$H:$H,0))&amp;":$CZ"&amp;INDEX('Infos Clientes'!$C:$C,MATCH(C666,'Infos Clientes'!$H:$H,0))),"&gt;="&amp;0,'Infos Clientes'!$W$2:$CZ$2,"&gt;"&amp;$R666-365,'Infos Clientes'!$W$2:$CZ$2,"&lt;="&amp;$R666),""),"")</f>
        <v>510.08333333333331</v>
      </c>
      <c r="CB666" s="87">
        <f>VLOOKUP(C666,'Infos Clientes'!B:L,11,0)</f>
        <v>0</v>
      </c>
      <c r="CC666" s="88" t="str">
        <f t="shared" si="415"/>
        <v>A Unidade Consumidora 10/15297-5 economizou R$57,01 na fatura referente à jul/2025  consumindo 247 kWh em créditos de energia renovável conforme fatura de energia. A economia foi de 22,94% em relação ao que seria pago para a Energisa considerando os créditos consumidos. Atenção: Mantenha as contas da Energisa em dia para evitar cortes.</v>
      </c>
      <c r="CD666" s="40" t="s">
        <v>162</v>
      </c>
      <c r="CE666" s="43">
        <v>106.2</v>
      </c>
      <c r="CF666" s="115">
        <f t="shared" si="416"/>
        <v>0</v>
      </c>
    </row>
    <row r="667" spans="1:84" ht="16.2" hidden="1" customHeight="1" x14ac:dyDescent="0.3">
      <c r="A667" s="105" t="str">
        <f>INDEX('Infos Clientes'!$D:$D,MATCH('Detalhe Por UC'!C667,'Infos Clientes'!B:B,0))</f>
        <v>IGREJA DO EVANGELHO QUADRANGULAR</v>
      </c>
      <c r="B667" s="106" t="str">
        <f>INDEX('Infos Clientes'!$F:$F,MATCH('Detalhe Por UC'!C667,'Infos Clientes'!B:B,0))</f>
        <v>62.955.505/2132-33</v>
      </c>
      <c r="C667" s="31" t="s">
        <v>197</v>
      </c>
      <c r="D667" t="s">
        <v>351</v>
      </c>
      <c r="E667" s="1" t="s">
        <v>352</v>
      </c>
      <c r="F667" s="56" t="str">
        <f>INDEX('Infos Clientes'!$I:$I,MATCH('Detalhe Por UC'!C667,'Infos Clientes'!B:B,0))</f>
        <v>BT</v>
      </c>
      <c r="G667" s="56" t="str">
        <f>INDEX('Infos Clientes'!$J:$J,MATCH('Detalhe Por UC'!C667,'Infos Clientes'!B:B,0))</f>
        <v>trifasico</v>
      </c>
      <c r="H667" s="108" t="s">
        <v>138</v>
      </c>
      <c r="I667" s="58">
        <f>IFERROR(VLOOKUP(C667,'Infos Clientes'!B:E,4,),"")</f>
        <v>306</v>
      </c>
      <c r="J667" s="109">
        <v>0.22939999999999999</v>
      </c>
      <c r="K667" s="79">
        <f>INDEX('Resumo Operacional'!$A$1:$P$151,MATCH("Desconto percentual Ucs",'Resumo Operacional'!$B$1:$B$151,0),MATCH('Detalhe Por UC'!$R667,'Resumo Operacional'!$A$1:$P$1,0))</f>
        <v>0.25212408425707711</v>
      </c>
      <c r="L667" s="125">
        <v>0</v>
      </c>
      <c r="M667" s="56">
        <f>INDEX('Infos Clientes'!$N:$N,MATCH('Detalhe Por UC'!C667,'Infos Clientes'!B:B,0))</f>
        <v>0</v>
      </c>
      <c r="N667" s="56">
        <f t="shared" si="381"/>
        <v>0</v>
      </c>
      <c r="O667" s="56">
        <f t="shared" si="382"/>
        <v>9</v>
      </c>
      <c r="P667" s="56">
        <f t="shared" si="417"/>
        <v>0</v>
      </c>
      <c r="Q667" s="61">
        <f>IFERROR(IFERROR(INDEX('Infos Clientes'!$A$2:$V$9884,MATCH($C667,'Infos Clientes'!$B$2:$B$9884,0),MATCH(Q$8,'Infos Clientes'!$A$2:$V$2,0)),"")
+IF(OR(INDEX('Infos Clientes'!$A$2:$V$9884,MATCH($C667,'Infos Clientes'!$B$2:$B$9884,0),MATCH("Tempo de Fidelidade (meses)",'Infos Clientes'!$A$2:$V$2,0))=0,R667&gt;=MAX(R:R)),0,
ROUND((MAX(R:R)-R667)/(365/12),0)),"")</f>
        <v>0</v>
      </c>
      <c r="R667" s="111">
        <v>45839</v>
      </c>
      <c r="S667" s="63">
        <v>4.1000000000000002E-2</v>
      </c>
      <c r="T667" s="113" t="str">
        <f>IF($H667="GIROSSOL II",AP667/INDEX('Resumo Operacional'!$A$1:$P$1103,17,MATCH('Detalhe Por UC'!$R667,'Resumo Operacional'!$A$1:$P$1,0)),
IF($H667="GIROSSOL II e III",AP667/INDEX('Resumo Operacional'!$A$1:$P$1103,17,MATCH('Detalhe Por UC'!$R667,'Resumo Operacional'!$A$1:$P$1,0)),
""))</f>
        <v/>
      </c>
      <c r="U667" s="113">
        <f>IF($H667="GIROSSOL III",AP667/INDEX('Resumo Operacional'!$A$1:$P$1103,53,MATCH('Detalhe Por UC'!$R667,'Resumo Operacional'!$A$1:$P$1,0)),
IF($H667="GIROSSOL II e III",AP667/INDEX('Resumo Operacional'!$A$1:$P$1103,53,MATCH('Detalhe Por UC'!$R667,'Resumo Operacional'!$A$1:$P$1,0)),
""))</f>
        <v>7.6864452912357106E-2</v>
      </c>
      <c r="V667" s="45"/>
      <c r="X667">
        <v>1.1630964730290456</v>
      </c>
      <c r="Y667">
        <v>0</v>
      </c>
      <c r="Z667" s="18">
        <v>1.0061908284023668</v>
      </c>
      <c r="AA667">
        <v>0</v>
      </c>
      <c r="AB667" s="18">
        <v>241</v>
      </c>
      <c r="AC667">
        <v>0</v>
      </c>
      <c r="AD667" s="143">
        <v>169</v>
      </c>
      <c r="AE667" s="35"/>
      <c r="AF667" s="18">
        <v>619</v>
      </c>
      <c r="AG667">
        <v>0</v>
      </c>
      <c r="AH667" s="48">
        <v>2.2099999999999995</v>
      </c>
      <c r="AI667">
        <v>0</v>
      </c>
      <c r="AJ667">
        <v>0</v>
      </c>
      <c r="AN667" s="71">
        <f t="shared" si="383"/>
        <v>537</v>
      </c>
      <c r="AO667" s="71">
        <f t="shared" si="384"/>
        <v>0</v>
      </c>
      <c r="AP667" s="71">
        <f t="shared" si="385"/>
        <v>706</v>
      </c>
      <c r="AQ667" s="72">
        <f>IF(OR($H667="GIROSSOL II",$H667="GIROSSOL II e III"),INDEX('Resumo Operacional'!$A$1:$P$1103,MATCH("Energia Injetada prevista total Fatura da Usina (TUSD)",'Resumo Operacional'!$B$1:$B$1103,0),MATCH('Detalhe Por UC'!$R667,'Resumo Operacional'!$A$1:$P$1,0))*$S667,INDEX('Resumo Operacional'!$A$1:$P$1103,53,MATCH('Detalhe Por UC'!$R667,'Resumo Operacional'!$A$1:$P$1,0))*$S667)</f>
        <v>376.58500000000004</v>
      </c>
      <c r="AR667" s="71">
        <f t="shared" si="386"/>
        <v>329.41499999999996</v>
      </c>
      <c r="AS667" s="73">
        <f t="shared" si="387"/>
        <v>112.46999999999998</v>
      </c>
      <c r="AT667" s="74">
        <f t="shared" si="388"/>
        <v>112.46999999999998</v>
      </c>
      <c r="AU667" s="74">
        <f t="shared" si="389"/>
        <v>0.84928518377568807</v>
      </c>
      <c r="AV667" s="74">
        <f t="shared" si="390"/>
        <v>131.03764024999998</v>
      </c>
      <c r="AW667" s="74">
        <f t="shared" si="391"/>
        <v>3.3000000000000114</v>
      </c>
      <c r="AX667" s="74">
        <f t="shared" si="392"/>
        <v>173.34625</v>
      </c>
      <c r="AY667" s="74">
        <f t="shared" si="393"/>
        <v>134.34</v>
      </c>
      <c r="AZ667" s="43">
        <v>134.34</v>
      </c>
      <c r="BA667" s="43">
        <v>134.34</v>
      </c>
      <c r="BB667" s="49">
        <v>134.34</v>
      </c>
      <c r="BC667" s="73" t="str">
        <f t="shared" si="394"/>
        <v/>
      </c>
      <c r="BD667" s="73">
        <f t="shared" si="395"/>
        <v>282.51624999999996</v>
      </c>
      <c r="BE667" s="73">
        <f t="shared" si="396"/>
        <v>243.50764024999995</v>
      </c>
      <c r="BF667" s="77">
        <f t="shared" si="397"/>
        <v>39.01</v>
      </c>
      <c r="BG667" s="77">
        <f t="shared" si="398"/>
        <v>11.702999999999999</v>
      </c>
      <c r="BH667" s="77">
        <f t="shared" si="399"/>
        <v>170.04624999999999</v>
      </c>
      <c r="BI667" s="78">
        <f t="shared" si="400"/>
        <v>0.23</v>
      </c>
      <c r="BJ667" s="79">
        <f t="shared" si="401"/>
        <v>0.13808055288855067</v>
      </c>
      <c r="BK667" s="80">
        <f t="shared" si="402"/>
        <v>246.81</v>
      </c>
      <c r="BL667" s="80">
        <f t="shared" si="403"/>
        <v>35.706249999999955</v>
      </c>
      <c r="BM667" s="79">
        <f t="shared" si="404"/>
        <v>0.12638653528779303</v>
      </c>
      <c r="BN667" s="81">
        <f t="shared" si="405"/>
        <v>0.79491124260355028</v>
      </c>
      <c r="BO667" s="82">
        <f t="shared" si="406"/>
        <v>134.34</v>
      </c>
      <c r="BP667" s="81">
        <f t="shared" si="407"/>
        <v>0.79491124260355028</v>
      </c>
      <c r="BQ667" s="81">
        <f t="shared" si="408"/>
        <v>0.95181688723022906</v>
      </c>
      <c r="BR667" s="81">
        <f t="shared" si="409"/>
        <v>1.1630964730290456</v>
      </c>
      <c r="BS667" s="82">
        <f t="shared" si="410"/>
        <v>169</v>
      </c>
      <c r="BT667" s="82">
        <f t="shared" si="411"/>
        <v>196.56330394190871</v>
      </c>
      <c r="BU667" s="82">
        <f t="shared" si="412"/>
        <v>170.04624999999999</v>
      </c>
      <c r="BW667" s="82">
        <f>IFERROR(INDEX('Infos Clientes'!$T:$T,MATCH('Detalhe Por UC'!$C667,'Infos Clientes'!B:B,0)),"")</f>
        <v>659.09090909090912</v>
      </c>
      <c r="BX667" s="83">
        <f t="shared" si="413"/>
        <v>0</v>
      </c>
      <c r="BY667" s="84">
        <f t="shared" si="414"/>
        <v>0.1816526751633786</v>
      </c>
      <c r="BZ667" s="85">
        <f>IF(_xlfn.MINIFS('Detalhe Por UC'!R:R,'Detalhe Por UC'!C:C,C667,'Detalhe Por UC'!AD:AD,"&gt;"&amp;0)=0,"",_xlfn.MINIFS('Detalhe Por UC'!R:R,'Detalhe Por UC'!C:C,C667,'Detalhe Por UC'!AD:AD,"&gt;"&amp;0))</f>
        <v>45658</v>
      </c>
      <c r="CA667" s="114">
        <f ca="1">IF(OR(S667&gt;0,AD667&gt;0),IFERROR(
SUMIFS(INDIRECT("'Infos Clientes'!$W"&amp;INDEX('Infos Clientes'!$C:$C,MATCH(C667,'Infos Clientes'!$H:$H,0))&amp;":$CZ"&amp;INDEX('Infos Clientes'!$C:$C,MATCH(C667,'Infos Clientes'!$H:$H,0))),'Infos Clientes'!$W$2:$CZ$2,"&gt;"&amp;$R667-365,'Infos Clientes'!$W$2:$CZ$2,"&lt;="&amp;$R667)/
COUNTIFS(INDIRECT("'Infos Clientes'!$W"&amp;INDEX('Infos Clientes'!$C:$C,MATCH(C667,'Infos Clientes'!$H:$H,0))&amp;":$CZ"&amp;INDEX('Infos Clientes'!$C:$C,MATCH(C667,'Infos Clientes'!$H:$H,0))),"&gt;="&amp;0,'Infos Clientes'!$W$2:$CZ$2,"&gt;"&amp;$R667-365,'Infos Clientes'!$W$2:$CZ$2,"&lt;="&amp;$R667),""),"")</f>
        <v>566.08333333333337</v>
      </c>
      <c r="CB667" s="87">
        <f>VLOOKUP(C667,'Infos Clientes'!B:L,11,0)</f>
        <v>0</v>
      </c>
      <c r="CC667" s="88" t="str">
        <f t="shared" si="415"/>
        <v>A Unidade Consumidora 10/399338-3 economizou R$39,01 na fatura referente à jul/2025  consumindo 169 kWh em créditos de energia renovável conforme fatura de energia. A economia foi de 22,94% em relação ao que seria pago para a Energisa considerando os créditos consumidos. Atenção: Mantenha as contas da Energisa em dia para evitar cortes.</v>
      </c>
      <c r="CD667" s="40" t="s">
        <v>143</v>
      </c>
      <c r="CE667" s="43">
        <v>112.47</v>
      </c>
      <c r="CF667" s="115">
        <f t="shared" si="416"/>
        <v>0</v>
      </c>
    </row>
    <row r="668" spans="1:84" ht="16.2" hidden="1" customHeight="1" x14ac:dyDescent="0.3">
      <c r="A668" s="105" t="str">
        <f>INDEX('Infos Clientes'!$D:$D,MATCH('Detalhe Por UC'!C668,'Infos Clientes'!B:B,0))</f>
        <v>IGREJA DO EVANGELHO QUADRANGULAR</v>
      </c>
      <c r="B668" s="106" t="str">
        <f>INDEX('Infos Clientes'!$F:$F,MATCH('Detalhe Por UC'!C668,'Infos Clientes'!B:B,0))</f>
        <v>62.955.505/3311-98</v>
      </c>
      <c r="C668" s="31" t="s">
        <v>147</v>
      </c>
      <c r="D668" t="s">
        <v>351</v>
      </c>
      <c r="E668" s="1" t="s">
        <v>352</v>
      </c>
      <c r="F668" s="56" t="str">
        <f>INDEX('Infos Clientes'!$I:$I,MATCH('Detalhe Por UC'!C668,'Infos Clientes'!B:B,0))</f>
        <v>BT</v>
      </c>
      <c r="G668" s="56" t="str">
        <f>INDEX('Infos Clientes'!$J:$J,MATCH('Detalhe Por UC'!C668,'Infos Clientes'!B:B,0))</f>
        <v>trifasico</v>
      </c>
      <c r="H668" s="108" t="s">
        <v>138</v>
      </c>
      <c r="I668" s="58">
        <f>IFERROR(VLOOKUP(C668,'Infos Clientes'!B:E,4,),"")</f>
        <v>360</v>
      </c>
      <c r="J668" s="109">
        <v>0.22939999999999999</v>
      </c>
      <c r="K668" s="79">
        <f>INDEX('Resumo Operacional'!$A$1:$P$151,MATCH("Desconto percentual Ucs",'Resumo Operacional'!$B$1:$B$151,0),MATCH('Detalhe Por UC'!$R668,'Resumo Operacional'!$A$1:$P$1,0))</f>
        <v>0.25212408425707711</v>
      </c>
      <c r="L668" s="125">
        <v>0</v>
      </c>
      <c r="M668" s="56">
        <f>INDEX('Infos Clientes'!$N:$N,MATCH('Detalhe Por UC'!C668,'Infos Clientes'!B:B,0))</f>
        <v>0</v>
      </c>
      <c r="N668" s="56">
        <f t="shared" si="381"/>
        <v>0</v>
      </c>
      <c r="O668" s="56">
        <f t="shared" si="382"/>
        <v>9</v>
      </c>
      <c r="P668" s="56">
        <f t="shared" si="417"/>
        <v>0</v>
      </c>
      <c r="Q668" s="61">
        <f>IFERROR(IFERROR(INDEX('Infos Clientes'!$A$2:$V$9884,MATCH($C668,'Infos Clientes'!$B$2:$B$9884,0),MATCH(Q$8,'Infos Clientes'!$A$2:$V$2,0)),"")
+IF(OR(INDEX('Infos Clientes'!$A$2:$V$9884,MATCH($C668,'Infos Clientes'!$B$2:$B$9884,0),MATCH("Tempo de Fidelidade (meses)",'Infos Clientes'!$A$2:$V$2,0))=0,R668&gt;=MAX(R:R)),0,
ROUND((MAX(R:R)-R668)/(365/12),0)),"")</f>
        <v>0</v>
      </c>
      <c r="R668" s="111">
        <v>45839</v>
      </c>
      <c r="S668" s="63">
        <v>3.8100000000000002E-2</v>
      </c>
      <c r="T668" s="113" t="str">
        <f>IF($H668="GIROSSOL II",AP668/INDEX('Resumo Operacional'!$A$1:$P$1103,17,MATCH('Detalhe Por UC'!$R668,'Resumo Operacional'!$A$1:$P$1,0)),
IF($H668="GIROSSOL II e III",AP668/INDEX('Resumo Operacional'!$A$1:$P$1103,17,MATCH('Detalhe Por UC'!$R668,'Resumo Operacional'!$A$1:$P$1,0)),
""))</f>
        <v/>
      </c>
      <c r="U668" s="113">
        <f>IF($H668="GIROSSOL III",AP668/INDEX('Resumo Operacional'!$A$1:$P$1103,53,MATCH('Detalhe Por UC'!$R668,'Resumo Operacional'!$A$1:$P$1,0)),
IF($H668="GIROSSOL II e III",AP668/INDEX('Resumo Operacional'!$A$1:$P$1103,53,MATCH('Detalhe Por UC'!$R668,'Resumo Operacional'!$A$1:$P$1,0)),
""))</f>
        <v>7.1420794774088192E-2</v>
      </c>
      <c r="V668" s="45"/>
      <c r="X668">
        <v>1.1630405797101451</v>
      </c>
      <c r="Y668">
        <v>0</v>
      </c>
      <c r="Z668" s="18">
        <v>1.006166101694915</v>
      </c>
      <c r="AA668">
        <v>0</v>
      </c>
      <c r="AB668" s="18">
        <v>345</v>
      </c>
      <c r="AC668">
        <v>0</v>
      </c>
      <c r="AD668" s="143">
        <v>295</v>
      </c>
      <c r="AE668" s="35"/>
      <c r="AF668" s="18">
        <v>361</v>
      </c>
      <c r="AG668">
        <v>0</v>
      </c>
      <c r="AH668" s="48">
        <v>69.72</v>
      </c>
      <c r="AI668">
        <v>0</v>
      </c>
      <c r="AJ668">
        <v>0</v>
      </c>
      <c r="AN668" s="71">
        <f t="shared" si="383"/>
        <v>361</v>
      </c>
      <c r="AO668" s="71">
        <f t="shared" si="384"/>
        <v>0</v>
      </c>
      <c r="AP668" s="71">
        <f t="shared" si="385"/>
        <v>656</v>
      </c>
      <c r="AQ668" s="72">
        <f>IF(OR($H668="GIROSSOL II",$H668="GIROSSOL II e III"),INDEX('Resumo Operacional'!$A$1:$P$1103,MATCH("Energia Injetada prevista total Fatura da Usina (TUSD)",'Resumo Operacional'!$B$1:$B$1103,0),MATCH('Detalhe Por UC'!$R668,'Resumo Operacional'!$A$1:$P$1,0))*$S668,INDEX('Resumo Operacional'!$A$1:$P$1103,53,MATCH('Detalhe Por UC'!$R668,'Resumo Operacional'!$A$1:$P$1,0))*$S668)</f>
        <v>349.94850000000002</v>
      </c>
      <c r="AR668" s="71">
        <f t="shared" si="386"/>
        <v>306.05149999999998</v>
      </c>
      <c r="AS668" s="73">
        <f t="shared" si="387"/>
        <v>174.15000000000006</v>
      </c>
      <c r="AT668" s="74">
        <f t="shared" si="388"/>
        <v>174.15000000000006</v>
      </c>
      <c r="AU668" s="74">
        <f t="shared" si="389"/>
        <v>0.84929162367968503</v>
      </c>
      <c r="AV668" s="74">
        <f t="shared" si="390"/>
        <v>228.72872139999996</v>
      </c>
      <c r="AW668" s="74">
        <f t="shared" si="391"/>
        <v>4.0300000000000011</v>
      </c>
      <c r="AX668" s="74">
        <f t="shared" si="392"/>
        <v>300.84899999999993</v>
      </c>
      <c r="AY668" s="74">
        <f t="shared" si="393"/>
        <v>232.76</v>
      </c>
      <c r="AZ668" s="43">
        <v>232.76</v>
      </c>
      <c r="BA668" s="43">
        <v>232.76</v>
      </c>
      <c r="BB668" s="49">
        <v>300.85000000000002</v>
      </c>
      <c r="BC668" s="73">
        <f t="shared" si="394"/>
        <v>68.090000000000032</v>
      </c>
      <c r="BD668" s="73">
        <f t="shared" si="395"/>
        <v>470.96900000000005</v>
      </c>
      <c r="BE668" s="73">
        <f t="shared" si="396"/>
        <v>402.87872140000002</v>
      </c>
      <c r="BF668" s="77">
        <f t="shared" si="397"/>
        <v>68.09</v>
      </c>
      <c r="BG668" s="77">
        <f t="shared" si="398"/>
        <v>20.427</v>
      </c>
      <c r="BH668" s="77">
        <f t="shared" si="399"/>
        <v>296.81899999999996</v>
      </c>
      <c r="BI668" s="78">
        <f t="shared" si="400"/>
        <v>0.23</v>
      </c>
      <c r="BJ668" s="79">
        <f t="shared" si="401"/>
        <v>0.14457427134269982</v>
      </c>
      <c r="BK668" s="80">
        <f t="shared" si="402"/>
        <v>406.91000000000008</v>
      </c>
      <c r="BL668" s="80">
        <f t="shared" si="403"/>
        <v>64.058999999999969</v>
      </c>
      <c r="BM668" s="79">
        <f t="shared" si="404"/>
        <v>0.13601532160290797</v>
      </c>
      <c r="BN668" s="81">
        <f t="shared" si="405"/>
        <v>0.78901694915254239</v>
      </c>
      <c r="BO668" s="82">
        <f t="shared" si="406"/>
        <v>232.76000000000002</v>
      </c>
      <c r="BP668" s="81">
        <f t="shared" si="407"/>
        <v>0.78901694915254239</v>
      </c>
      <c r="BQ668" s="81">
        <f t="shared" si="408"/>
        <v>0.94589142716777241</v>
      </c>
      <c r="BR668" s="81">
        <f t="shared" si="409"/>
        <v>1.1630405797101451</v>
      </c>
      <c r="BS668" s="82">
        <f t="shared" si="410"/>
        <v>295</v>
      </c>
      <c r="BT668" s="82">
        <f t="shared" si="411"/>
        <v>343.09697101449279</v>
      </c>
      <c r="BU668" s="82">
        <f t="shared" si="412"/>
        <v>296.81899999999996</v>
      </c>
      <c r="BW668" s="82">
        <f>IFERROR(INDEX('Infos Clientes'!$T:$T,MATCH('Detalhe Por UC'!$C668,'Infos Clientes'!B:B,0)),"")</f>
        <v>471.63636363636363</v>
      </c>
      <c r="BX668" s="83">
        <f t="shared" si="413"/>
        <v>0</v>
      </c>
      <c r="BY668" s="84">
        <f t="shared" si="414"/>
        <v>0.18670814787605342</v>
      </c>
      <c r="BZ668" s="85">
        <f>IF(_xlfn.MINIFS('Detalhe Por UC'!R:R,'Detalhe Por UC'!C:C,C668,'Detalhe Por UC'!AD:AD,"&gt;"&amp;0)=0,"",_xlfn.MINIFS('Detalhe Por UC'!R:R,'Detalhe Por UC'!C:C,C668,'Detalhe Por UC'!AD:AD,"&gt;"&amp;0))</f>
        <v>45658</v>
      </c>
      <c r="CA668" s="114">
        <f ca="1">IF(OR(S668&gt;0,AD668&gt;0),IFERROR(
SUMIFS(INDIRECT("'Infos Clientes'!$W"&amp;INDEX('Infos Clientes'!$C:$C,MATCH(C668,'Infos Clientes'!$H:$H,0))&amp;":$CZ"&amp;INDEX('Infos Clientes'!$C:$C,MATCH(C668,'Infos Clientes'!$H:$H,0))),'Infos Clientes'!$W$2:$CZ$2,"&gt;"&amp;$R668-365,'Infos Clientes'!$W$2:$CZ$2,"&lt;="&amp;$R668)/
COUNTIFS(INDIRECT("'Infos Clientes'!$W"&amp;INDEX('Infos Clientes'!$C:$C,MATCH(C668,'Infos Clientes'!$H:$H,0))&amp;":$CZ"&amp;INDEX('Infos Clientes'!$C:$C,MATCH(C668,'Infos Clientes'!$H:$H,0))),"&gt;="&amp;0,'Infos Clientes'!$W$2:$CZ$2,"&gt;"&amp;$R668-365,'Infos Clientes'!$W$2:$CZ$2,"&lt;="&amp;$R668),""),"")</f>
        <v>487.75</v>
      </c>
      <c r="CB668" s="87">
        <f>VLOOKUP(C668,'Infos Clientes'!B:L,11,0)</f>
        <v>0</v>
      </c>
      <c r="CC668" s="88" t="str">
        <f t="shared" si="415"/>
        <v>A Unidade Consumidora 10/127464-6 economizou R$68,09 na fatura referente à jul/2025  consumindo 295 kWh em créditos de energia renovável conforme fatura de energia. A economia foi de 22,94% em relação ao que seria pago para a Energisa considerando os créditos consumidos. Atenção: Mantenha as contas da Energisa em dia para evitar cortes.</v>
      </c>
      <c r="CD668" s="40" t="s">
        <v>149</v>
      </c>
      <c r="CE668" s="43">
        <v>174.15</v>
      </c>
      <c r="CF668" s="115">
        <f t="shared" si="416"/>
        <v>0</v>
      </c>
    </row>
    <row r="669" spans="1:84" ht="16.2" hidden="1" customHeight="1" x14ac:dyDescent="0.3">
      <c r="A669" s="105" t="str">
        <f>INDEX('Infos Clientes'!$D:$D,MATCH('Detalhe Por UC'!C669,'Infos Clientes'!B:B,0))</f>
        <v>IGREJA DO EVANGELHO QUADRANGULAR</v>
      </c>
      <c r="B669" s="106" t="str">
        <f>INDEX('Infos Clientes'!$F:$F,MATCH('Detalhe Por UC'!C669,'Infos Clientes'!B:B,0))</f>
        <v>62.955.505/1138-75</v>
      </c>
      <c r="C669" s="31" t="s">
        <v>157</v>
      </c>
      <c r="D669" t="s">
        <v>351</v>
      </c>
      <c r="E669" s="1" t="s">
        <v>352</v>
      </c>
      <c r="F669" s="56" t="str">
        <f>INDEX('Infos Clientes'!$I:$I,MATCH('Detalhe Por UC'!C669,'Infos Clientes'!B:B,0))</f>
        <v>BT</v>
      </c>
      <c r="G669" s="56" t="str">
        <f>INDEX('Infos Clientes'!$J:$J,MATCH('Detalhe Por UC'!C669,'Infos Clientes'!B:B,0))</f>
        <v>bifasico</v>
      </c>
      <c r="H669" s="108" t="s">
        <v>138</v>
      </c>
      <c r="I669" s="58">
        <f>IFERROR(VLOOKUP(C669,'Infos Clientes'!B:E,4,),"")</f>
        <v>358</v>
      </c>
      <c r="J669" s="109">
        <v>0.22939999999999999</v>
      </c>
      <c r="K669" s="79">
        <f>INDEX('Resumo Operacional'!$A$1:$P$151,MATCH("Desconto percentual Ucs",'Resumo Operacional'!$B$1:$B$151,0),MATCH('Detalhe Por UC'!$R669,'Resumo Operacional'!$A$1:$P$1,0))</f>
        <v>0.25212408425707711</v>
      </c>
      <c r="L669" s="125">
        <v>0</v>
      </c>
      <c r="M669" s="56">
        <f>INDEX('Infos Clientes'!$N:$N,MATCH('Detalhe Por UC'!C669,'Infos Clientes'!B:B,0))</f>
        <v>0</v>
      </c>
      <c r="N669" s="56">
        <f t="shared" si="381"/>
        <v>0</v>
      </c>
      <c r="O669" s="56">
        <f t="shared" si="382"/>
        <v>9</v>
      </c>
      <c r="P669" s="56">
        <f t="shared" si="417"/>
        <v>0</v>
      </c>
      <c r="Q669" s="61">
        <f>IFERROR(IFERROR(INDEX('Infos Clientes'!$A$2:$V$9884,MATCH($C669,'Infos Clientes'!$B$2:$B$9884,0),MATCH(Q$8,'Infos Clientes'!$A$2:$V$2,0)),"")
+IF(OR(INDEX('Infos Clientes'!$A$2:$V$9884,MATCH($C669,'Infos Clientes'!$B$2:$B$9884,0),MATCH("Tempo de Fidelidade (meses)",'Infos Clientes'!$A$2:$V$2,0))=0,R669&gt;=MAX(R:R)),0,
ROUND((MAX(R:R)-R669)/(365/12),0)),"")</f>
        <v>0</v>
      </c>
      <c r="R669" s="111">
        <v>45839</v>
      </c>
      <c r="S669" s="63">
        <v>3.4799999999999998E-2</v>
      </c>
      <c r="T669" s="113" t="str">
        <f>IF($H669="GIROSSOL II",AP669/INDEX('Resumo Operacional'!$A$1:$P$1103,17,MATCH('Detalhe Por UC'!$R669,'Resumo Operacional'!$A$1:$P$1,0)),
IF($H669="GIROSSOL II e III",AP669/INDEX('Resumo Operacional'!$A$1:$P$1103,17,MATCH('Detalhe Por UC'!$R669,'Resumo Operacional'!$A$1:$P$1,0)),
""))</f>
        <v/>
      </c>
      <c r="U669" s="113">
        <f>IF($H669="GIROSSOL III",AP669/INDEX('Resumo Operacional'!$A$1:$P$1103,53,MATCH('Detalhe Por UC'!$R669,'Resumo Operacional'!$A$1:$P$1,0)),
IF($H669="GIROSSOL II e III",AP669/INDEX('Resumo Operacional'!$A$1:$P$1103,53,MATCH('Detalhe Por UC'!$R669,'Resumo Operacional'!$A$1:$P$1,0)),
""))</f>
        <v>6.5215024496461618E-2</v>
      </c>
      <c r="V669" s="45"/>
      <c r="X669">
        <v>1.1634994068801896</v>
      </c>
      <c r="Y669">
        <v>0</v>
      </c>
      <c r="Z669" s="18">
        <v>1.006630695443645</v>
      </c>
      <c r="AA669">
        <v>0</v>
      </c>
      <c r="AB669" s="18">
        <v>281</v>
      </c>
      <c r="AC669">
        <v>0</v>
      </c>
      <c r="AD669" s="143">
        <v>278</v>
      </c>
      <c r="AE669" s="35"/>
      <c r="AF669" s="18">
        <v>321</v>
      </c>
      <c r="AG669">
        <v>0</v>
      </c>
      <c r="AH669" s="48">
        <v>60.589999999999996</v>
      </c>
      <c r="AI669">
        <v>0</v>
      </c>
      <c r="AJ669">
        <v>0</v>
      </c>
      <c r="AN669" s="71">
        <f t="shared" si="383"/>
        <v>321</v>
      </c>
      <c r="AO669" s="71">
        <f t="shared" si="384"/>
        <v>0</v>
      </c>
      <c r="AP669" s="71">
        <f t="shared" si="385"/>
        <v>599</v>
      </c>
      <c r="AQ669" s="72">
        <f>IF(OR($H669="GIROSSOL II",$H669="GIROSSOL II e III"),INDEX('Resumo Operacional'!$A$1:$P$1103,MATCH("Energia Injetada prevista total Fatura da Usina (TUSD)",'Resumo Operacional'!$B$1:$B$1103,0),MATCH('Detalhe Por UC'!$R669,'Resumo Operacional'!$A$1:$P$1,0))*$S669,INDEX('Resumo Operacional'!$A$1:$P$1103,53,MATCH('Detalhe Por UC'!$R669,'Resumo Operacional'!$A$1:$P$1,0))*$S669)</f>
        <v>319.63799999999998</v>
      </c>
      <c r="AR669" s="71">
        <f t="shared" si="386"/>
        <v>279.36200000000002</v>
      </c>
      <c r="AS669" s="73">
        <f t="shared" si="387"/>
        <v>107.68999999999997</v>
      </c>
      <c r="AT669" s="74">
        <f t="shared" si="388"/>
        <v>107.68999999999997</v>
      </c>
      <c r="AU669" s="74">
        <f t="shared" si="389"/>
        <v>0.84976198400710046</v>
      </c>
      <c r="AV669" s="74">
        <f t="shared" si="390"/>
        <v>215.64727266666665</v>
      </c>
      <c r="AW669" s="74">
        <f t="shared" si="391"/>
        <v>2.8000000000000114</v>
      </c>
      <c r="AX669" s="74">
        <f t="shared" si="392"/>
        <v>282.64333333333332</v>
      </c>
      <c r="AY669" s="74">
        <f t="shared" si="393"/>
        <v>218.45</v>
      </c>
      <c r="AZ669" s="43">
        <v>218.45</v>
      </c>
      <c r="BA669" s="43">
        <v>218.45</v>
      </c>
      <c r="BB669" s="49">
        <v>282.64</v>
      </c>
      <c r="BC669" s="73">
        <f t="shared" si="394"/>
        <v>64.19</v>
      </c>
      <c r="BD669" s="73">
        <f t="shared" si="395"/>
        <v>387.53333333333325</v>
      </c>
      <c r="BE669" s="73">
        <f t="shared" si="396"/>
        <v>323.33727266666665</v>
      </c>
      <c r="BF669" s="77">
        <f t="shared" si="397"/>
        <v>64.2</v>
      </c>
      <c r="BG669" s="77">
        <f t="shared" si="398"/>
        <v>19.260000000000002</v>
      </c>
      <c r="BH669" s="77">
        <f t="shared" si="399"/>
        <v>279.84333333333331</v>
      </c>
      <c r="BI669" s="78">
        <f t="shared" si="400"/>
        <v>0.23</v>
      </c>
      <c r="BJ669" s="79">
        <f t="shared" si="401"/>
        <v>0.16566316875967663</v>
      </c>
      <c r="BK669" s="80">
        <f t="shared" si="402"/>
        <v>326.14</v>
      </c>
      <c r="BL669" s="80">
        <f t="shared" si="403"/>
        <v>61.39333333333326</v>
      </c>
      <c r="BM669" s="79">
        <f t="shared" si="404"/>
        <v>0.15842078100808518</v>
      </c>
      <c r="BN669" s="81">
        <f t="shared" si="405"/>
        <v>0.78579136690647478</v>
      </c>
      <c r="BO669" s="82">
        <f t="shared" si="406"/>
        <v>218.45</v>
      </c>
      <c r="BP669" s="81">
        <f t="shared" si="407"/>
        <v>0.78579136690647478</v>
      </c>
      <c r="BQ669" s="81">
        <f t="shared" si="408"/>
        <v>0.94266007834301935</v>
      </c>
      <c r="BR669" s="81">
        <f t="shared" si="409"/>
        <v>1.1634994068801896</v>
      </c>
      <c r="BS669" s="82">
        <f t="shared" si="410"/>
        <v>278</v>
      </c>
      <c r="BT669" s="82">
        <f t="shared" si="411"/>
        <v>323.4528351126927</v>
      </c>
      <c r="BU669" s="82">
        <f t="shared" si="412"/>
        <v>279.84333333333331</v>
      </c>
      <c r="BW669" s="82">
        <f>IFERROR(INDEX('Infos Clientes'!$T:$T,MATCH('Detalhe Por UC'!$C669,'Infos Clientes'!B:B,0)),"")</f>
        <v>449.81818181818181</v>
      </c>
      <c r="BX669" s="83">
        <f t="shared" si="413"/>
        <v>0</v>
      </c>
      <c r="BY669" s="84">
        <f t="shared" si="414"/>
        <v>0.18980613761491244</v>
      </c>
      <c r="BZ669" s="85">
        <f>IF(_xlfn.MINIFS('Detalhe Por UC'!R:R,'Detalhe Por UC'!C:C,C669,'Detalhe Por UC'!AD:AD,"&gt;"&amp;0)=0,"",_xlfn.MINIFS('Detalhe Por UC'!R:R,'Detalhe Por UC'!C:C,C669,'Detalhe Por UC'!AD:AD,"&gt;"&amp;0))</f>
        <v>45658</v>
      </c>
      <c r="CA669" s="114">
        <f ca="1">IF(OR(S669&gt;0,AD669&gt;0),IFERROR(
SUMIFS(INDIRECT("'Infos Clientes'!$W"&amp;INDEX('Infos Clientes'!$C:$C,MATCH(C669,'Infos Clientes'!$H:$H,0))&amp;":$CZ"&amp;INDEX('Infos Clientes'!$C:$C,MATCH(C669,'Infos Clientes'!$H:$H,0))),'Infos Clientes'!$W$2:$CZ$2,"&gt;"&amp;$R669-365,'Infos Clientes'!$W$2:$CZ$2,"&lt;="&amp;$R669)/
COUNTIFS(INDIRECT("'Infos Clientes'!$W"&amp;INDEX('Infos Clientes'!$C:$C,MATCH(C669,'Infos Clientes'!$H:$H,0))&amp;":$CZ"&amp;INDEX('Infos Clientes'!$C:$C,MATCH(C669,'Infos Clientes'!$H:$H,0))),"&gt;="&amp;0,'Infos Clientes'!$W$2:$CZ$2,"&gt;"&amp;$R669-365,'Infos Clientes'!$W$2:$CZ$2,"&lt;="&amp;$R669),""),"")</f>
        <v>461.41666666666669</v>
      </c>
      <c r="CB669" s="87">
        <f>VLOOKUP(C669,'Infos Clientes'!B:L,11,0)</f>
        <v>0</v>
      </c>
      <c r="CC669" s="88" t="str">
        <f t="shared" si="415"/>
        <v>A Unidade Consumidora 10/142353-2 economizou R$64,2 na fatura referente à jul/2025  consumindo 278 kWh em créditos de energia renovável conforme fatura de energia. A economia foi de 22,94% em relação ao que seria pago para a Energisa considerando os créditos consumidos. Atenção: Mantenha as contas da Energisa em dia para evitar cortes.</v>
      </c>
      <c r="CD669" s="40" t="s">
        <v>159</v>
      </c>
      <c r="CE669" s="43">
        <v>107.69</v>
      </c>
      <c r="CF669" s="115">
        <f t="shared" si="416"/>
        <v>0</v>
      </c>
    </row>
    <row r="670" spans="1:84" ht="16.2" hidden="1" customHeight="1" x14ac:dyDescent="0.3">
      <c r="A670" s="105" t="str">
        <f>INDEX('Infos Clientes'!$D:$D,MATCH('Detalhe Por UC'!C670,'Infos Clientes'!B:B,0))</f>
        <v>IGREJA DO EVANGELHO QUADRANGULAR</v>
      </c>
      <c r="B670" s="106" t="str">
        <f>INDEX('Infos Clientes'!$F:$F,MATCH('Detalhe Por UC'!C670,'Infos Clientes'!B:B,0))</f>
        <v>62.955.505/0159-46</v>
      </c>
      <c r="C670" s="31" t="s">
        <v>231</v>
      </c>
      <c r="D670" t="s">
        <v>351</v>
      </c>
      <c r="E670" s="1" t="s">
        <v>352</v>
      </c>
      <c r="F670" s="56" t="str">
        <f>INDEX('Infos Clientes'!$I:$I,MATCH('Detalhe Por UC'!C670,'Infos Clientes'!B:B,0))</f>
        <v>BT</v>
      </c>
      <c r="G670" s="56" t="str">
        <f>INDEX('Infos Clientes'!$J:$J,MATCH('Detalhe Por UC'!C670,'Infos Clientes'!B:B,0))</f>
        <v>trifasico</v>
      </c>
      <c r="H670" s="108" t="s">
        <v>138</v>
      </c>
      <c r="I670" s="58">
        <f>IFERROR(VLOOKUP(C670,'Infos Clientes'!B:E,4,),"")</f>
        <v>302</v>
      </c>
      <c r="J670" s="109">
        <v>0.22939999999999999</v>
      </c>
      <c r="K670" s="79">
        <f>INDEX('Resumo Operacional'!$A$1:$P$151,MATCH("Desconto percentual Ucs",'Resumo Operacional'!$B$1:$B$151,0),MATCH('Detalhe Por UC'!$R670,'Resumo Operacional'!$A$1:$P$1,0))</f>
        <v>0.25212408425707711</v>
      </c>
      <c r="L670" s="125">
        <v>0</v>
      </c>
      <c r="M670" s="56">
        <f>INDEX('Infos Clientes'!$N:$N,MATCH('Detalhe Por UC'!C670,'Infos Clientes'!B:B,0))</f>
        <v>0</v>
      </c>
      <c r="N670" s="56">
        <f t="shared" si="381"/>
        <v>0</v>
      </c>
      <c r="O670" s="56">
        <f t="shared" si="382"/>
        <v>9</v>
      </c>
      <c r="P670" s="56">
        <f t="shared" si="417"/>
        <v>0</v>
      </c>
      <c r="Q670" s="61">
        <f>IFERROR(IFERROR(INDEX('Infos Clientes'!$A$2:$V$9884,MATCH($C670,'Infos Clientes'!$B$2:$B$9884,0),MATCH(Q$8,'Infos Clientes'!$A$2:$V$2,0)),"")
+IF(OR(INDEX('Infos Clientes'!$A$2:$V$9884,MATCH($C670,'Infos Clientes'!$B$2:$B$9884,0),MATCH("Tempo de Fidelidade (meses)",'Infos Clientes'!$A$2:$V$2,0))=0,R670&gt;=MAX(R:R)),0,
ROUND((MAX(R:R)-R670)/(365/12),0)),"")</f>
        <v>0</v>
      </c>
      <c r="R670" s="111">
        <v>45839</v>
      </c>
      <c r="S670" s="63">
        <v>3.4500000000000003E-2</v>
      </c>
      <c r="T670" s="113" t="str">
        <f>IF($H670="GIROSSOL II",AP670/INDEX('Resumo Operacional'!$A$1:$P$1103,17,MATCH('Detalhe Por UC'!$R670,'Resumo Operacional'!$A$1:$P$1,0)),
IF($H670="GIROSSOL II e III",AP670/INDEX('Resumo Operacional'!$A$1:$P$1103,17,MATCH('Detalhe Por UC'!$R670,'Resumo Operacional'!$A$1:$P$1,0)),
""))</f>
        <v/>
      </c>
      <c r="U670" s="113">
        <f>IF($H670="GIROSSOL III",AP670/INDEX('Resumo Operacional'!$A$1:$P$1103,53,MATCH('Detalhe Por UC'!$R670,'Resumo Operacional'!$A$1:$P$1,0)),
IF($H670="GIROSSOL II e III",AP670/INDEX('Resumo Operacional'!$A$1:$P$1103,53,MATCH('Detalhe Por UC'!$R670,'Resumo Operacional'!$A$1:$P$1,0)),
""))</f>
        <v>6.4670658682634732E-2</v>
      </c>
      <c r="V670" s="45"/>
      <c r="X670">
        <v>1.1630915750915751</v>
      </c>
      <c r="Y670">
        <v>0</v>
      </c>
      <c r="Z670" s="18">
        <v>1.0062062937062937</v>
      </c>
      <c r="AA670">
        <v>0</v>
      </c>
      <c r="AB670" s="18">
        <v>210</v>
      </c>
      <c r="AC670">
        <v>0</v>
      </c>
      <c r="AD670" s="143">
        <v>132</v>
      </c>
      <c r="AE670" s="35"/>
      <c r="AF670" s="18">
        <v>506</v>
      </c>
      <c r="AG670">
        <v>0</v>
      </c>
      <c r="AH670" s="48">
        <v>27.75</v>
      </c>
      <c r="AI670">
        <v>0</v>
      </c>
      <c r="AJ670">
        <v>0</v>
      </c>
      <c r="AN670" s="71">
        <f t="shared" si="383"/>
        <v>462</v>
      </c>
      <c r="AO670" s="71">
        <f t="shared" si="384"/>
        <v>0</v>
      </c>
      <c r="AP670" s="71">
        <f t="shared" si="385"/>
        <v>594</v>
      </c>
      <c r="AQ670" s="72">
        <f>IF(OR($H670="GIROSSOL II",$H670="GIROSSOL II e III"),INDEX('Resumo Operacional'!$A$1:$P$1103,MATCH("Energia Injetada prevista total Fatura da Usina (TUSD)",'Resumo Operacional'!$B$1:$B$1103,0),MATCH('Detalhe Por UC'!$R670,'Resumo Operacional'!$A$1:$P$1,0))*$S670,INDEX('Resumo Operacional'!$A$1:$P$1103,53,MATCH('Detalhe Por UC'!$R670,'Resumo Operacional'!$A$1:$P$1,0))*$S670)</f>
        <v>316.88250000000005</v>
      </c>
      <c r="AR670" s="71">
        <f t="shared" si="386"/>
        <v>277.11749999999995</v>
      </c>
      <c r="AS670" s="73">
        <f t="shared" si="387"/>
        <v>139.18</v>
      </c>
      <c r="AT670" s="74">
        <f t="shared" si="388"/>
        <v>139.18</v>
      </c>
      <c r="AU670" s="74">
        <f t="shared" si="389"/>
        <v>0.8493210123210122</v>
      </c>
      <c r="AV670" s="74">
        <f t="shared" si="390"/>
        <v>102.35049923076922</v>
      </c>
      <c r="AW670" s="74">
        <f t="shared" si="391"/>
        <v>3.1100000000000136</v>
      </c>
      <c r="AX670" s="74">
        <f t="shared" si="392"/>
        <v>135.92923076923077</v>
      </c>
      <c r="AY670" s="74">
        <f t="shared" si="393"/>
        <v>105.46</v>
      </c>
      <c r="AZ670" s="43">
        <v>105.46</v>
      </c>
      <c r="BA670" s="43">
        <v>105.46</v>
      </c>
      <c r="BB670" s="49">
        <v>105.46</v>
      </c>
      <c r="BC670" s="73" t="str">
        <f t="shared" si="394"/>
        <v/>
      </c>
      <c r="BD670" s="73">
        <f t="shared" si="395"/>
        <v>271.99923076923073</v>
      </c>
      <c r="BE670" s="73">
        <f t="shared" si="396"/>
        <v>241.53049923076924</v>
      </c>
      <c r="BF670" s="77">
        <f t="shared" si="397"/>
        <v>30.47</v>
      </c>
      <c r="BG670" s="77">
        <f t="shared" si="398"/>
        <v>9.141</v>
      </c>
      <c r="BH670" s="77">
        <f t="shared" si="399"/>
        <v>132.81923076923078</v>
      </c>
      <c r="BI670" s="78">
        <f t="shared" si="400"/>
        <v>0.22</v>
      </c>
      <c r="BJ670" s="79">
        <f t="shared" si="401"/>
        <v>0.11202237562889036</v>
      </c>
      <c r="BK670" s="80">
        <f t="shared" si="402"/>
        <v>244.64</v>
      </c>
      <c r="BL670" s="80">
        <f t="shared" si="403"/>
        <v>27.359230769230749</v>
      </c>
      <c r="BM670" s="79">
        <f t="shared" si="404"/>
        <v>0.10058569170161674</v>
      </c>
      <c r="BN670" s="81">
        <f t="shared" si="405"/>
        <v>0.79893939393939384</v>
      </c>
      <c r="BO670" s="82">
        <f t="shared" si="406"/>
        <v>105.45999999999998</v>
      </c>
      <c r="BP670" s="81">
        <f t="shared" si="407"/>
        <v>0.79893939393939384</v>
      </c>
      <c r="BQ670" s="81">
        <f t="shared" si="408"/>
        <v>0.9558246753246753</v>
      </c>
      <c r="BR670" s="81">
        <f t="shared" si="409"/>
        <v>1.1630915750915751</v>
      </c>
      <c r="BS670" s="82">
        <f t="shared" si="410"/>
        <v>132</v>
      </c>
      <c r="BT670" s="82">
        <f t="shared" si="411"/>
        <v>153.52808791208793</v>
      </c>
      <c r="BU670" s="82">
        <f t="shared" si="412"/>
        <v>132.81923076923076</v>
      </c>
      <c r="BW670" s="82">
        <f>IFERROR(INDEX('Infos Clientes'!$T:$T,MATCH('Detalhe Por UC'!$C670,'Infos Clientes'!B:B,0)),"")</f>
        <v>461.45454545454544</v>
      </c>
      <c r="BX670" s="83">
        <f t="shared" si="413"/>
        <v>0</v>
      </c>
      <c r="BY670" s="84">
        <f t="shared" si="414"/>
        <v>0.1782034228479222</v>
      </c>
      <c r="BZ670" s="85">
        <f>IF(_xlfn.MINIFS('Detalhe Por UC'!R:R,'Detalhe Por UC'!C:C,C670,'Detalhe Por UC'!AD:AD,"&gt;"&amp;0)=0,"",_xlfn.MINIFS('Detalhe Por UC'!R:R,'Detalhe Por UC'!C:C,C670,'Detalhe Por UC'!AD:AD,"&gt;"&amp;0))</f>
        <v>45658</v>
      </c>
      <c r="CA670" s="114">
        <f ca="1">IF(OR(S670&gt;0,AD670&gt;0),IFERROR(
SUMIFS(INDIRECT("'Infos Clientes'!$W"&amp;INDEX('Infos Clientes'!$C:$C,MATCH(C670,'Infos Clientes'!$H:$H,0))&amp;":$CZ"&amp;INDEX('Infos Clientes'!$C:$C,MATCH(C670,'Infos Clientes'!$H:$H,0))),'Infos Clientes'!$W$2:$CZ$2,"&gt;"&amp;$R670-365,'Infos Clientes'!$W$2:$CZ$2,"&lt;="&amp;$R670)/
COUNTIFS(INDIRECT("'Infos Clientes'!$W"&amp;INDEX('Infos Clientes'!$C:$C,MATCH(C670,'Infos Clientes'!$H:$H,0))&amp;":$CZ"&amp;INDEX('Infos Clientes'!$C:$C,MATCH(C670,'Infos Clientes'!$H:$H,0))),"&gt;="&amp;0,'Infos Clientes'!$W$2:$CZ$2,"&gt;"&amp;$R670-365,'Infos Clientes'!$W$2:$CZ$2,"&lt;="&amp;$R670),""),"")</f>
        <v>429.33333333333331</v>
      </c>
      <c r="CB670" s="87">
        <f>VLOOKUP(C670,'Infos Clientes'!B:L,11,0)</f>
        <v>0</v>
      </c>
      <c r="CC670" s="88" t="str">
        <f t="shared" si="415"/>
        <v>A Unidade Consumidora 10/81222-2 economizou R$30,47 na fatura referente à jul/2025  consumindo 132 kWh em créditos de energia renovável conforme fatura de energia. A economia foi de 22,94% em relação ao que seria pago para a Energisa considerando os créditos consumidos. Atenção: Mantenha as contas da Energisa em dia para evitar cortes.</v>
      </c>
      <c r="CD670" s="40" t="s">
        <v>233</v>
      </c>
      <c r="CE670" s="43">
        <v>139.18</v>
      </c>
      <c r="CF670" s="115">
        <f t="shared" si="416"/>
        <v>0</v>
      </c>
    </row>
    <row r="671" spans="1:84" ht="16.2" hidden="1" customHeight="1" x14ac:dyDescent="0.3">
      <c r="A671" s="105" t="str">
        <f>INDEX('Infos Clientes'!$D:$D,MATCH('Detalhe Por UC'!C671,'Infos Clientes'!B:B,0))</f>
        <v>IGREJA DO EVANGELHO QUADRANGULAR</v>
      </c>
      <c r="B671" s="106" t="str">
        <f>INDEX('Infos Clientes'!$F:$F,MATCH('Detalhe Por UC'!C671,'Infos Clientes'!B:B,0))</f>
        <v>62.955.505/0160-80</v>
      </c>
      <c r="C671" s="31" t="s">
        <v>207</v>
      </c>
      <c r="D671" t="s">
        <v>351</v>
      </c>
      <c r="E671" s="1" t="s">
        <v>352</v>
      </c>
      <c r="F671" s="56" t="str">
        <f>INDEX('Infos Clientes'!$I:$I,MATCH('Detalhe Por UC'!C671,'Infos Clientes'!B:B,0))</f>
        <v>BT</v>
      </c>
      <c r="G671" s="56" t="str">
        <f>INDEX('Infos Clientes'!$J:$J,MATCH('Detalhe Por UC'!C671,'Infos Clientes'!B:B,0))</f>
        <v>trifasico</v>
      </c>
      <c r="H671" s="108" t="s">
        <v>138</v>
      </c>
      <c r="I671" s="58">
        <f>IFERROR(VLOOKUP(C671,'Infos Clientes'!B:E,4,),"")</f>
        <v>357</v>
      </c>
      <c r="J671" s="109">
        <v>0.22939999999999999</v>
      </c>
      <c r="K671" s="79">
        <f>INDEX('Resumo Operacional'!$A$1:$P$151,MATCH("Desconto percentual Ucs",'Resumo Operacional'!$B$1:$B$151,0),MATCH('Detalhe Por UC'!$R671,'Resumo Operacional'!$A$1:$P$1,0))</f>
        <v>0.25212408425707711</v>
      </c>
      <c r="L671" s="125">
        <v>0</v>
      </c>
      <c r="M671" s="56">
        <f>INDEX('Infos Clientes'!$N:$N,MATCH('Detalhe Por UC'!C671,'Infos Clientes'!B:B,0))</f>
        <v>0</v>
      </c>
      <c r="N671" s="56">
        <f t="shared" si="381"/>
        <v>0</v>
      </c>
      <c r="O671" s="56">
        <f t="shared" si="382"/>
        <v>9</v>
      </c>
      <c r="P671" s="56">
        <f t="shared" si="417"/>
        <v>0</v>
      </c>
      <c r="Q671" s="61">
        <f>IFERROR(IFERROR(INDEX('Infos Clientes'!$A$2:$V$9884,MATCH($C671,'Infos Clientes'!$B$2:$B$9884,0),MATCH(Q$8,'Infos Clientes'!$A$2:$V$2,0)),"")
+IF(OR(INDEX('Infos Clientes'!$A$2:$V$9884,MATCH($C671,'Infos Clientes'!$B$2:$B$9884,0),MATCH("Tempo de Fidelidade (meses)",'Infos Clientes'!$A$2:$V$2,0))=0,R671&gt;=MAX(R:R)),0,
ROUND((MAX(R:R)-R671)/(365/12),0)),"")</f>
        <v>0</v>
      </c>
      <c r="R671" s="111">
        <v>45839</v>
      </c>
      <c r="S671" s="63">
        <v>3.0200000000000001E-2</v>
      </c>
      <c r="T671" s="113" t="str">
        <f>IF($H671="GIROSSOL II",AP671/INDEX('Resumo Operacional'!$A$1:$P$1103,17,MATCH('Detalhe Por UC'!$R671,'Resumo Operacional'!$A$1:$P$1,0)),
IF($H671="GIROSSOL II e III",AP671/INDEX('Resumo Operacional'!$A$1:$P$1103,17,MATCH('Detalhe Por UC'!$R671,'Resumo Operacional'!$A$1:$P$1,0)),
""))</f>
        <v/>
      </c>
      <c r="U671" s="113">
        <f>IF($H671="GIROSSOL III",AP671/INDEX('Resumo Operacional'!$A$1:$P$1103,53,MATCH('Detalhe Por UC'!$R671,'Resumo Operacional'!$A$1:$P$1,0)),
IF($H671="GIROSSOL II e III",AP671/INDEX('Resumo Operacional'!$A$1:$P$1103,53,MATCH('Detalhe Por UC'!$R671,'Resumo Operacional'!$A$1:$P$1,0)),
""))</f>
        <v>5.6614044637996734E-2</v>
      </c>
      <c r="V671" s="45"/>
      <c r="X671">
        <v>1.1630232164039991</v>
      </c>
      <c r="Y671">
        <v>0</v>
      </c>
      <c r="Z671" s="18">
        <v>1.0061446046308429</v>
      </c>
      <c r="AA671">
        <v>0</v>
      </c>
      <c r="AB671" s="18">
        <v>281</v>
      </c>
      <c r="AC671">
        <v>0</v>
      </c>
      <c r="AD671" s="143">
        <v>218</v>
      </c>
      <c r="AE671" s="35"/>
      <c r="AF671" s="18">
        <v>302</v>
      </c>
      <c r="AG671">
        <v>0</v>
      </c>
      <c r="AH671" s="48">
        <v>61.67</v>
      </c>
      <c r="AI671">
        <v>0</v>
      </c>
      <c r="AJ671">
        <v>0</v>
      </c>
      <c r="AN671" s="71">
        <f t="shared" si="383"/>
        <v>302</v>
      </c>
      <c r="AO671" s="71">
        <f t="shared" si="384"/>
        <v>0</v>
      </c>
      <c r="AP671" s="71">
        <f t="shared" si="385"/>
        <v>520</v>
      </c>
      <c r="AQ671" s="72">
        <f>IF(OR($H671="GIROSSOL II",$H671="GIROSSOL II e III"),INDEX('Resumo Operacional'!$A$1:$P$1103,MATCH("Energia Injetada prevista total Fatura da Usina (TUSD)",'Resumo Operacional'!$B$1:$B$1103,0),MATCH('Detalhe Por UC'!$R671,'Resumo Operacional'!$A$1:$P$1,0))*$S671,INDEX('Resumo Operacional'!$A$1:$P$1103,53,MATCH('Detalhe Por UC'!$R671,'Resumo Operacional'!$A$1:$P$1,0))*$S671)</f>
        <v>277.387</v>
      </c>
      <c r="AR671" s="71">
        <f t="shared" si="386"/>
        <v>242.613</v>
      </c>
      <c r="AS671" s="73">
        <f t="shared" si="387"/>
        <v>169.14</v>
      </c>
      <c r="AT671" s="74">
        <f t="shared" si="388"/>
        <v>169.14</v>
      </c>
      <c r="AU671" s="74">
        <f t="shared" si="389"/>
        <v>0.84926599285768667</v>
      </c>
      <c r="AV671" s="74">
        <f t="shared" si="390"/>
        <v>169.023037047619</v>
      </c>
      <c r="AW671" s="74">
        <f t="shared" si="391"/>
        <v>3.0199999999999818</v>
      </c>
      <c r="AX671" s="74">
        <f t="shared" si="392"/>
        <v>222.35952380952372</v>
      </c>
      <c r="AY671" s="74">
        <f t="shared" si="393"/>
        <v>172.04</v>
      </c>
      <c r="AZ671" s="43">
        <v>172.04</v>
      </c>
      <c r="BA671" s="43">
        <v>172.04</v>
      </c>
      <c r="BB671" s="49">
        <v>172.04</v>
      </c>
      <c r="BC671" s="73" t="str">
        <f t="shared" si="394"/>
        <v/>
      </c>
      <c r="BD671" s="73">
        <f t="shared" si="395"/>
        <v>388.47952380952376</v>
      </c>
      <c r="BE671" s="73">
        <f t="shared" si="396"/>
        <v>338.16303704761901</v>
      </c>
      <c r="BF671" s="77">
        <f t="shared" si="397"/>
        <v>50.32</v>
      </c>
      <c r="BG671" s="77">
        <f t="shared" si="398"/>
        <v>15.096</v>
      </c>
      <c r="BH671" s="77">
        <f t="shared" si="399"/>
        <v>219.33952380952377</v>
      </c>
      <c r="BI671" s="78">
        <f t="shared" si="400"/>
        <v>0.23</v>
      </c>
      <c r="BJ671" s="79">
        <f t="shared" si="401"/>
        <v>0.12953063653535704</v>
      </c>
      <c r="BK671" s="80">
        <f t="shared" si="402"/>
        <v>341.17999999999995</v>
      </c>
      <c r="BL671" s="80">
        <f t="shared" si="403"/>
        <v>47.299523809523805</v>
      </c>
      <c r="BM671" s="79">
        <f t="shared" si="404"/>
        <v>0.12175551325252174</v>
      </c>
      <c r="BN671" s="81">
        <f t="shared" si="405"/>
        <v>0.78917431192660548</v>
      </c>
      <c r="BO671" s="82">
        <f t="shared" si="406"/>
        <v>172.04</v>
      </c>
      <c r="BP671" s="81">
        <f t="shared" si="407"/>
        <v>0.78917431192660548</v>
      </c>
      <c r="BQ671" s="81">
        <f t="shared" si="408"/>
        <v>0.94605292369976168</v>
      </c>
      <c r="BR671" s="81">
        <f t="shared" si="409"/>
        <v>1.1630232164039991</v>
      </c>
      <c r="BS671" s="82">
        <f t="shared" si="410"/>
        <v>218</v>
      </c>
      <c r="BT671" s="82">
        <f t="shared" si="411"/>
        <v>253.53906117607181</v>
      </c>
      <c r="BU671" s="82">
        <f t="shared" si="412"/>
        <v>219.33952380952374</v>
      </c>
      <c r="BW671" s="82">
        <f>IFERROR(INDEX('Infos Clientes'!$T:$T,MATCH('Detalhe Por UC'!$C671,'Infos Clientes'!B:B,0)),"")</f>
        <v>510.45454545454544</v>
      </c>
      <c r="BX671" s="83">
        <f t="shared" si="413"/>
        <v>0</v>
      </c>
      <c r="BY671" s="84">
        <f t="shared" si="414"/>
        <v>0.18655714661921977</v>
      </c>
      <c r="BZ671" s="85">
        <f>IF(_xlfn.MINIFS('Detalhe Por UC'!R:R,'Detalhe Por UC'!C:C,C671,'Detalhe Por UC'!AD:AD,"&gt;"&amp;0)=0,"",_xlfn.MINIFS('Detalhe Por UC'!R:R,'Detalhe Por UC'!C:C,C671,'Detalhe Por UC'!AD:AD,"&gt;"&amp;0))</f>
        <v>45658</v>
      </c>
      <c r="CA671" s="114">
        <f ca="1">IF(OR(S671&gt;0,AD671&gt;0),IFERROR(
SUMIFS(INDIRECT("'Infos Clientes'!$W"&amp;INDEX('Infos Clientes'!$C:$C,MATCH(C671,'Infos Clientes'!$H:$H,0))&amp;":$CZ"&amp;INDEX('Infos Clientes'!$C:$C,MATCH(C671,'Infos Clientes'!$H:$H,0))),'Infos Clientes'!$W$2:$CZ$2,"&gt;"&amp;$R671-365,'Infos Clientes'!$W$2:$CZ$2,"&lt;="&amp;$R671)/
COUNTIFS(INDIRECT("'Infos Clientes'!$W"&amp;INDEX('Infos Clientes'!$C:$C,MATCH(C671,'Infos Clientes'!$H:$H,0))&amp;":$CZ"&amp;INDEX('Infos Clientes'!$C:$C,MATCH(C671,'Infos Clientes'!$H:$H,0))),"&gt;="&amp;0,'Infos Clientes'!$W$2:$CZ$2,"&gt;"&amp;$R671-365,'Infos Clientes'!$W$2:$CZ$2,"&lt;="&amp;$R671),""),"")</f>
        <v>469.91666666666669</v>
      </c>
      <c r="CB671" s="87">
        <f>VLOOKUP(C671,'Infos Clientes'!B:L,11,0)</f>
        <v>0</v>
      </c>
      <c r="CC671" s="88" t="str">
        <f t="shared" si="415"/>
        <v>A Unidade Consumidora 10/489076-0 economizou R$50,32 na fatura referente à jul/2025  consumindo 218 kWh em créditos de energia renovável conforme fatura de energia. A economia foi de 22,94% em relação ao que seria pago para a Energisa considerando os créditos consumidos. Atenção: Mantenha as contas da Energisa em dia para evitar cortes.</v>
      </c>
      <c r="CD671" s="40" t="s">
        <v>208</v>
      </c>
      <c r="CE671" s="43">
        <v>169.14</v>
      </c>
      <c r="CF671" s="115">
        <f t="shared" si="416"/>
        <v>0</v>
      </c>
    </row>
    <row r="672" spans="1:84" ht="16.2" hidden="1" customHeight="1" x14ac:dyDescent="0.3">
      <c r="A672" s="105" t="str">
        <f>INDEX('Infos Clientes'!$D:$D,MATCH('Detalhe Por UC'!C672,'Infos Clientes'!B:B,0))</f>
        <v>IGREJA DO EVANGELHO QUADRANGULAR</v>
      </c>
      <c r="B672" s="106" t="str">
        <f>INDEX('Infos Clientes'!$F:$F,MATCH('Detalhe Por UC'!C672,'Infos Clientes'!B:B,0))</f>
        <v>62.955.505/3793-95</v>
      </c>
      <c r="C672" s="31" t="s">
        <v>146</v>
      </c>
      <c r="D672" t="s">
        <v>351</v>
      </c>
      <c r="E672" s="1" t="s">
        <v>352</v>
      </c>
      <c r="F672" s="56" t="str">
        <f>INDEX('Infos Clientes'!$I:$I,MATCH('Detalhe Por UC'!C672,'Infos Clientes'!B:B,0))</f>
        <v>BT</v>
      </c>
      <c r="G672" s="56" t="str">
        <f>INDEX('Infos Clientes'!$J:$J,MATCH('Detalhe Por UC'!C672,'Infos Clientes'!B:B,0))</f>
        <v>trifasico</v>
      </c>
      <c r="H672" s="108" t="s">
        <v>138</v>
      </c>
      <c r="I672" s="58">
        <f>IFERROR(VLOOKUP(C672,'Infos Clientes'!B:E,4,),"")</f>
        <v>306</v>
      </c>
      <c r="J672" s="109">
        <v>0.22939999999999999</v>
      </c>
      <c r="K672" s="79">
        <f>INDEX('Resumo Operacional'!$A$1:$P$151,MATCH("Desconto percentual Ucs",'Resumo Operacional'!$B$1:$B$151,0),MATCH('Detalhe Por UC'!$R672,'Resumo Operacional'!$A$1:$P$1,0))</f>
        <v>0.25212408425707711</v>
      </c>
      <c r="L672" s="125">
        <v>0</v>
      </c>
      <c r="M672" s="56">
        <f>INDEX('Infos Clientes'!$N:$N,MATCH('Detalhe Por UC'!C672,'Infos Clientes'!B:B,0))</f>
        <v>0</v>
      </c>
      <c r="N672" s="56">
        <f t="shared" si="381"/>
        <v>0</v>
      </c>
      <c r="O672" s="56">
        <f t="shared" si="382"/>
        <v>10</v>
      </c>
      <c r="P672" s="56">
        <f t="shared" si="417"/>
        <v>0</v>
      </c>
      <c r="Q672" s="61">
        <f>IFERROR(IFERROR(INDEX('Infos Clientes'!$A$2:$V$9884,MATCH($C672,'Infos Clientes'!$B$2:$B$9884,0),MATCH(Q$8,'Infos Clientes'!$A$2:$V$2,0)),"")
+IF(OR(INDEX('Infos Clientes'!$A$2:$V$9884,MATCH($C672,'Infos Clientes'!$B$2:$B$9884,0),MATCH("Tempo de Fidelidade (meses)",'Infos Clientes'!$A$2:$V$2,0))=0,R672&gt;=MAX(R:R)),0,
ROUND((MAX(R:R)-R672)/(365/12),0)),"")</f>
        <v>0</v>
      </c>
      <c r="R672" s="111">
        <v>45839</v>
      </c>
      <c r="S672" s="63">
        <v>3.0200000000000001E-2</v>
      </c>
      <c r="T672" s="113" t="str">
        <f>IF($H672="GIROSSOL II",AP672/INDEX('Resumo Operacional'!$A$1:$P$1103,17,MATCH('Detalhe Por UC'!$R672,'Resumo Operacional'!$A$1:$P$1,0)),
IF($H672="GIROSSOL II e III",AP672/INDEX('Resumo Operacional'!$A$1:$P$1103,17,MATCH('Detalhe Por UC'!$R672,'Resumo Operacional'!$A$1:$P$1,0)),
""))</f>
        <v/>
      </c>
      <c r="U672" s="113">
        <f>IF($H672="GIROSSOL III",AP672/INDEX('Resumo Operacional'!$A$1:$P$1103,53,MATCH('Detalhe Por UC'!$R672,'Resumo Operacional'!$A$1:$P$1,0)),
IF($H672="GIROSSOL II e III",AP672/INDEX('Resumo Operacional'!$A$1:$P$1103,53,MATCH('Detalhe Por UC'!$R672,'Resumo Operacional'!$A$1:$P$1,0)),
""))</f>
        <v>5.9227000544365811E-2</v>
      </c>
      <c r="V672" s="45"/>
      <c r="X672">
        <v>1.1630222222222222</v>
      </c>
      <c r="Y672">
        <v>0</v>
      </c>
      <c r="Z672" s="18">
        <v>1.0062222222222224</v>
      </c>
      <c r="AA672">
        <v>0</v>
      </c>
      <c r="AB672" s="18">
        <v>150</v>
      </c>
      <c r="AC672">
        <v>0</v>
      </c>
      <c r="AD672" s="143">
        <v>60</v>
      </c>
      <c r="AE672" s="35"/>
      <c r="AF672" s="18">
        <v>484</v>
      </c>
      <c r="AG672">
        <v>0</v>
      </c>
      <c r="AH672" s="48">
        <v>0</v>
      </c>
      <c r="AI672">
        <v>0</v>
      </c>
      <c r="AJ672">
        <v>0</v>
      </c>
      <c r="AN672" s="71">
        <f t="shared" si="383"/>
        <v>484</v>
      </c>
      <c r="AO672" s="71">
        <f t="shared" si="384"/>
        <v>0</v>
      </c>
      <c r="AP672" s="71">
        <f t="shared" si="385"/>
        <v>544</v>
      </c>
      <c r="AQ672" s="72">
        <f>IF(OR($H672="GIROSSOL II",$H672="GIROSSOL II e III"),INDEX('Resumo Operacional'!$A$1:$P$1103,MATCH("Energia Injetada prevista total Fatura da Usina (TUSD)",'Resumo Operacional'!$B$1:$B$1103,0),MATCH('Detalhe Por UC'!$R672,'Resumo Operacional'!$A$1:$P$1,0))*$S672,INDEX('Resumo Operacional'!$A$1:$P$1103,53,MATCH('Detalhe Por UC'!$R672,'Resumo Operacional'!$A$1:$P$1,0))*$S672)</f>
        <v>277.387</v>
      </c>
      <c r="AR672" s="71">
        <f t="shared" si="386"/>
        <v>266.613</v>
      </c>
      <c r="AS672" s="73">
        <f t="shared" si="387"/>
        <v>114.07999999999998</v>
      </c>
      <c r="AT672" s="74">
        <f t="shared" si="388"/>
        <v>114.07999999999998</v>
      </c>
      <c r="AU672" s="74">
        <f t="shared" si="389"/>
        <v>0.84942222222222252</v>
      </c>
      <c r="AV672" s="74">
        <f t="shared" si="390"/>
        <v>46.523690666666667</v>
      </c>
      <c r="AW672" s="74">
        <f t="shared" si="391"/>
        <v>0.10000000000000053</v>
      </c>
      <c r="AX672" s="74">
        <f t="shared" si="392"/>
        <v>60.473333333333343</v>
      </c>
      <c r="AY672" s="74">
        <f t="shared" si="393"/>
        <v>46.62</v>
      </c>
      <c r="AZ672" s="43">
        <v>46.62</v>
      </c>
      <c r="BA672" s="43">
        <v>46.62</v>
      </c>
      <c r="BB672" s="49">
        <v>46.62</v>
      </c>
      <c r="BC672" s="73" t="str">
        <f t="shared" si="394"/>
        <v/>
      </c>
      <c r="BD672" s="73">
        <f t="shared" si="395"/>
        <v>174.45333333333332</v>
      </c>
      <c r="BE672" s="73">
        <f t="shared" si="396"/>
        <v>160.60369066666664</v>
      </c>
      <c r="BF672" s="77">
        <f t="shared" si="397"/>
        <v>13.85</v>
      </c>
      <c r="BG672" s="77">
        <f t="shared" si="398"/>
        <v>4.1549999999999994</v>
      </c>
      <c r="BH672" s="77">
        <f t="shared" si="399"/>
        <v>60.373333333333349</v>
      </c>
      <c r="BI672" s="78">
        <f t="shared" si="400"/>
        <v>0.23</v>
      </c>
      <c r="BJ672" s="79">
        <f t="shared" si="401"/>
        <v>7.939085906450627E-2</v>
      </c>
      <c r="BK672" s="80">
        <f t="shared" si="402"/>
        <v>160.69999999999999</v>
      </c>
      <c r="BL672" s="80">
        <f t="shared" si="403"/>
        <v>13.75333333333333</v>
      </c>
      <c r="BM672" s="79">
        <f t="shared" si="404"/>
        <v>7.883674717211861E-2</v>
      </c>
      <c r="BN672" s="81">
        <f t="shared" si="405"/>
        <v>0.77699999999999991</v>
      </c>
      <c r="BO672" s="82">
        <f t="shared" si="406"/>
        <v>46.62</v>
      </c>
      <c r="BP672" s="81">
        <f t="shared" si="407"/>
        <v>0.77699999999999991</v>
      </c>
      <c r="BQ672" s="81">
        <f t="shared" si="408"/>
        <v>0.93379999999999974</v>
      </c>
      <c r="BR672" s="81">
        <f t="shared" si="409"/>
        <v>1.1630222222222222</v>
      </c>
      <c r="BS672" s="82">
        <f t="shared" si="410"/>
        <v>60</v>
      </c>
      <c r="BT672" s="82">
        <f t="shared" si="411"/>
        <v>69.781333333333336</v>
      </c>
      <c r="BU672" s="82">
        <f t="shared" si="412"/>
        <v>60.373333333333342</v>
      </c>
      <c r="BW672" s="82">
        <f>IFERROR(INDEX('Infos Clientes'!$T:$T,MATCH('Detalhe Por UC'!$C672,'Infos Clientes'!B:B,0)),"")</f>
        <v>398.18181818181819</v>
      </c>
      <c r="BX672" s="83">
        <f t="shared" si="413"/>
        <v>0</v>
      </c>
      <c r="BY672" s="84">
        <f t="shared" si="414"/>
        <v>0.19709186793029673</v>
      </c>
      <c r="BZ672" s="85">
        <f>IF(_xlfn.MINIFS('Detalhe Por UC'!R:R,'Detalhe Por UC'!C:C,C672,'Detalhe Por UC'!AD:AD,"&gt;"&amp;0)=0,"",_xlfn.MINIFS('Detalhe Por UC'!R:R,'Detalhe Por UC'!C:C,C672,'Detalhe Por UC'!AD:AD,"&gt;"&amp;0))</f>
        <v>45658</v>
      </c>
      <c r="CA672" s="114">
        <f ca="1">IF(OR(S672&gt;0,AD672&gt;0),IFERROR(
SUMIFS(INDIRECT("'Infos Clientes'!$W"&amp;INDEX('Infos Clientes'!$C:$C,MATCH(C672,'Infos Clientes'!$H:$H,0))&amp;":$CZ"&amp;INDEX('Infos Clientes'!$C:$C,MATCH(C672,'Infos Clientes'!$H:$H,0))),'Infos Clientes'!$W$2:$CZ$2,"&gt;"&amp;$R672-365,'Infos Clientes'!$W$2:$CZ$2,"&lt;="&amp;$R672)/
COUNTIFS(INDIRECT("'Infos Clientes'!$W"&amp;INDEX('Infos Clientes'!$C:$C,MATCH(C672,'Infos Clientes'!$H:$H,0))&amp;":$CZ"&amp;INDEX('Infos Clientes'!$C:$C,MATCH(C672,'Infos Clientes'!$H:$H,0))),"&gt;="&amp;0,'Infos Clientes'!$W$2:$CZ$2,"&gt;"&amp;$R672-365,'Infos Clientes'!$W$2:$CZ$2,"&lt;="&amp;$R672),""),"")</f>
        <v>381.33333333333331</v>
      </c>
      <c r="CB672" s="87">
        <f>VLOOKUP(C672,'Infos Clientes'!B:L,11,0)</f>
        <v>0</v>
      </c>
      <c r="CC672" s="88" t="str">
        <f t="shared" si="415"/>
        <v>A Unidade Consumidora 10/1266128-6 economizou R$13,85 na fatura referente à jul/2025  consumindo 60 kWh em créditos de energia renovável conforme fatura de energia. A economia foi de 22,94% em relação ao que seria pago para a Energisa considerando os créditos consumidos. Atenção: Mantenha as contas da Energisa em dia para evitar cortes.</v>
      </c>
      <c r="CD672" s="40" t="s">
        <v>143</v>
      </c>
      <c r="CE672" s="43">
        <v>114.08</v>
      </c>
      <c r="CF672" s="115">
        <f t="shared" si="416"/>
        <v>0</v>
      </c>
    </row>
    <row r="673" spans="1:84" ht="16.2" hidden="1" customHeight="1" x14ac:dyDescent="0.3">
      <c r="A673" s="105" t="str">
        <f>INDEX('Infos Clientes'!$D:$D,MATCH('Detalhe Por UC'!C673,'Infos Clientes'!B:B,0))</f>
        <v>IGREJA DO EVANGELHO QUADRANGULAR</v>
      </c>
      <c r="B673" s="106" t="str">
        <f>INDEX('Infos Clientes'!$F:$F,MATCH('Detalhe Por UC'!C673,'Infos Clientes'!B:B,0))</f>
        <v>62.955.505/1224-32</v>
      </c>
      <c r="C673" s="31" t="s">
        <v>234</v>
      </c>
      <c r="D673" t="s">
        <v>351</v>
      </c>
      <c r="E673" s="1" t="s">
        <v>352</v>
      </c>
      <c r="F673" s="56" t="str">
        <f>INDEX('Infos Clientes'!$I:$I,MATCH('Detalhe Por UC'!C673,'Infos Clientes'!B:B,0))</f>
        <v>BT</v>
      </c>
      <c r="G673" s="56" t="str">
        <f>INDEX('Infos Clientes'!$J:$J,MATCH('Detalhe Por UC'!C673,'Infos Clientes'!B:B,0))</f>
        <v>trifasico</v>
      </c>
      <c r="H673" s="108" t="s">
        <v>138</v>
      </c>
      <c r="I673" s="58">
        <f>IFERROR(VLOOKUP(C673,'Infos Clientes'!B:E,4,),"")</f>
        <v>302</v>
      </c>
      <c r="J673" s="109">
        <v>0.22939999999999999</v>
      </c>
      <c r="K673" s="79">
        <f>INDEX('Resumo Operacional'!$A$1:$P$151,MATCH("Desconto percentual Ucs",'Resumo Operacional'!$B$1:$B$151,0),MATCH('Detalhe Por UC'!$R673,'Resumo Operacional'!$A$1:$P$1,0))</f>
        <v>0.25212408425707711</v>
      </c>
      <c r="L673" s="125">
        <v>0</v>
      </c>
      <c r="M673" s="56">
        <f>INDEX('Infos Clientes'!$N:$N,MATCH('Detalhe Por UC'!C673,'Infos Clientes'!B:B,0))</f>
        <v>0</v>
      </c>
      <c r="N673" s="56">
        <f t="shared" si="381"/>
        <v>0</v>
      </c>
      <c r="O673" s="56">
        <f t="shared" si="382"/>
        <v>7</v>
      </c>
      <c r="P673" s="56">
        <f t="shared" si="417"/>
        <v>0</v>
      </c>
      <c r="Q673" s="61">
        <f>IFERROR(IFERROR(INDEX('Infos Clientes'!$A$2:$V$9884,MATCH($C673,'Infos Clientes'!$B$2:$B$9884,0),MATCH(Q$8,'Infos Clientes'!$A$2:$V$2,0)),"")
+IF(OR(INDEX('Infos Clientes'!$A$2:$V$9884,MATCH($C673,'Infos Clientes'!$B$2:$B$9884,0),MATCH("Tempo de Fidelidade (meses)",'Infos Clientes'!$A$2:$V$2,0))=0,R673&gt;=MAX(R:R)),0,
ROUND((MAX(R:R)-R673)/(365/12),0)),"")</f>
        <v>0</v>
      </c>
      <c r="R673" s="111">
        <v>45839</v>
      </c>
      <c r="S673" s="63">
        <v>3.0099999999999998E-2</v>
      </c>
      <c r="T673" s="113" t="str">
        <f>IF($H673="GIROSSOL II",AP673/INDEX('Resumo Operacional'!$A$1:$P$1103,17,MATCH('Detalhe Por UC'!$R673,'Resumo Operacional'!$A$1:$P$1,0)),
IF($H673="GIROSSOL II e III",AP673/INDEX('Resumo Operacional'!$A$1:$P$1103,17,MATCH('Detalhe Por UC'!$R673,'Resumo Operacional'!$A$1:$P$1,0)),
""))</f>
        <v/>
      </c>
      <c r="U673" s="113">
        <f>IF($H673="GIROSSOL III",AP673/INDEX('Resumo Operacional'!$A$1:$P$1103,53,MATCH('Detalhe Por UC'!$R673,'Resumo Operacional'!$A$1:$P$1,0)),
IF($H673="GIROSSOL II e III",AP673/INDEX('Resumo Operacional'!$A$1:$P$1103,53,MATCH('Detalhe Por UC'!$R673,'Resumo Operacional'!$A$1:$P$1,0)),
""))</f>
        <v>5.6396298312465974E-2</v>
      </c>
      <c r="V673" s="45"/>
      <c r="X673">
        <v>1.1629670329670332</v>
      </c>
      <c r="Y673">
        <v>0</v>
      </c>
      <c r="Z673" s="18">
        <v>1.0061057692307693</v>
      </c>
      <c r="AA673">
        <v>0</v>
      </c>
      <c r="AB673" s="18">
        <v>273</v>
      </c>
      <c r="AC673">
        <v>0</v>
      </c>
      <c r="AD673" s="143">
        <v>208</v>
      </c>
      <c r="AE673" s="35"/>
      <c r="AF673" s="18">
        <v>310</v>
      </c>
      <c r="AG673">
        <v>0</v>
      </c>
      <c r="AH673" s="48">
        <v>56.239999999999995</v>
      </c>
      <c r="AI673">
        <v>0</v>
      </c>
      <c r="AJ673">
        <v>0</v>
      </c>
      <c r="AN673" s="71">
        <f t="shared" si="383"/>
        <v>310</v>
      </c>
      <c r="AO673" s="71">
        <f t="shared" si="384"/>
        <v>0</v>
      </c>
      <c r="AP673" s="71">
        <f t="shared" si="385"/>
        <v>518</v>
      </c>
      <c r="AQ673" s="72">
        <f>IF(OR($H673="GIROSSOL II",$H673="GIROSSOL II e III"),INDEX('Resumo Operacional'!$A$1:$P$1103,MATCH("Energia Injetada prevista total Fatura da Usina (TUSD)",'Resumo Operacional'!$B$1:$B$1103,0),MATCH('Detalhe Por UC'!$R673,'Resumo Operacional'!$A$1:$P$1,0))*$S673,INDEX('Resumo Operacional'!$A$1:$P$1103,53,MATCH('Detalhe Por UC'!$R673,'Resumo Operacional'!$A$1:$P$1,0))*$S673)</f>
        <v>276.46850000000001</v>
      </c>
      <c r="AR673" s="71">
        <f t="shared" si="386"/>
        <v>241.53149999999999</v>
      </c>
      <c r="AS673" s="73">
        <f t="shared" si="387"/>
        <v>164.46000000000004</v>
      </c>
      <c r="AT673" s="74">
        <f t="shared" si="388"/>
        <v>164.46000000000004</v>
      </c>
      <c r="AU673" s="74">
        <f t="shared" si="389"/>
        <v>0.84924450549450547</v>
      </c>
      <c r="AV673" s="74">
        <f t="shared" si="390"/>
        <v>161.263462</v>
      </c>
      <c r="AW673" s="74">
        <f t="shared" si="391"/>
        <v>0</v>
      </c>
      <c r="AX673" s="74">
        <f t="shared" si="392"/>
        <v>209.27</v>
      </c>
      <c r="AY673" s="74">
        <f t="shared" si="393"/>
        <v>161.26</v>
      </c>
      <c r="AZ673" s="43">
        <v>161.26</v>
      </c>
      <c r="BA673" s="43">
        <v>161.26</v>
      </c>
      <c r="BB673" s="49">
        <v>161.26</v>
      </c>
      <c r="BC673" s="73" t="str">
        <f t="shared" si="394"/>
        <v/>
      </c>
      <c r="BD673" s="73">
        <f t="shared" si="395"/>
        <v>373.73000000000008</v>
      </c>
      <c r="BE673" s="73">
        <f t="shared" si="396"/>
        <v>325.72346200000004</v>
      </c>
      <c r="BF673" s="77">
        <f t="shared" si="397"/>
        <v>48.01</v>
      </c>
      <c r="BG673" s="77">
        <f t="shared" si="398"/>
        <v>14.402999999999999</v>
      </c>
      <c r="BH673" s="77">
        <f t="shared" si="399"/>
        <v>209.27000000000004</v>
      </c>
      <c r="BI673" s="78">
        <f t="shared" si="400"/>
        <v>0.23</v>
      </c>
      <c r="BJ673" s="79">
        <f t="shared" si="401"/>
        <v>0.12846172370427847</v>
      </c>
      <c r="BK673" s="80">
        <f t="shared" si="402"/>
        <v>325.72000000000003</v>
      </c>
      <c r="BL673" s="80">
        <f t="shared" si="403"/>
        <v>48.010000000000048</v>
      </c>
      <c r="BM673" s="79">
        <f t="shared" si="404"/>
        <v>0.12846172370427858</v>
      </c>
      <c r="BN673" s="81">
        <f t="shared" si="405"/>
        <v>0.77528846153846154</v>
      </c>
      <c r="BO673" s="82">
        <f t="shared" si="406"/>
        <v>161.26</v>
      </c>
      <c r="BP673" s="81">
        <f t="shared" si="407"/>
        <v>0.77528846153846154</v>
      </c>
      <c r="BQ673" s="81">
        <f t="shared" si="408"/>
        <v>0.93214972527472539</v>
      </c>
      <c r="BR673" s="81">
        <f t="shared" si="409"/>
        <v>1.1629670329670332</v>
      </c>
      <c r="BS673" s="82">
        <f t="shared" si="410"/>
        <v>208</v>
      </c>
      <c r="BT673" s="82">
        <f t="shared" si="411"/>
        <v>241.89714285714291</v>
      </c>
      <c r="BU673" s="82">
        <f t="shared" si="412"/>
        <v>209.27</v>
      </c>
      <c r="BW673" s="82">
        <f>IFERROR(INDEX('Infos Clientes'!$T:$T,MATCH('Detalhe Por UC'!$C673,'Infos Clientes'!B:B,0)),"")</f>
        <v>426.36363636363637</v>
      </c>
      <c r="BX673" s="83">
        <f t="shared" si="413"/>
        <v>0</v>
      </c>
      <c r="BY673" s="84">
        <f t="shared" si="414"/>
        <v>0.19847278654445813</v>
      </c>
      <c r="BZ673" s="85">
        <f>IF(_xlfn.MINIFS('Detalhe Por UC'!R:R,'Detalhe Por UC'!C:C,C673,'Detalhe Por UC'!AD:AD,"&gt;"&amp;0)=0,"",_xlfn.MINIFS('Detalhe Por UC'!R:R,'Detalhe Por UC'!C:C,C673,'Detalhe Por UC'!AD:AD,"&gt;"&amp;0))</f>
        <v>45658</v>
      </c>
      <c r="CA673" s="114">
        <f ca="1">IF(OR(S673&gt;0,AD673&gt;0),IFERROR(
SUMIFS(INDIRECT("'Infos Clientes'!$W"&amp;INDEX('Infos Clientes'!$C:$C,MATCH(C673,'Infos Clientes'!$H:$H,0))&amp;":$CZ"&amp;INDEX('Infos Clientes'!$C:$C,MATCH(C673,'Infos Clientes'!$H:$H,0))),'Infos Clientes'!$W$2:$CZ$2,"&gt;"&amp;$R673-365,'Infos Clientes'!$W$2:$CZ$2,"&lt;="&amp;$R673)/
COUNTIFS(INDIRECT("'Infos Clientes'!$W"&amp;INDEX('Infos Clientes'!$C:$C,MATCH(C673,'Infos Clientes'!$H:$H,0))&amp;":$CZ"&amp;INDEX('Infos Clientes'!$C:$C,MATCH(C673,'Infos Clientes'!$H:$H,0))),"&gt;="&amp;0,'Infos Clientes'!$W$2:$CZ$2,"&gt;"&amp;$R673-365,'Infos Clientes'!$W$2:$CZ$2,"&lt;="&amp;$R673),""),"")</f>
        <v>466.16666666666669</v>
      </c>
      <c r="CB673" s="87">
        <f>VLOOKUP(C673,'Infos Clientes'!B:L,11,0)</f>
        <v>0</v>
      </c>
      <c r="CC673" s="88" t="str">
        <f t="shared" si="415"/>
        <v>A Unidade Consumidora 10/8777-5 economizou R$48,01 na fatura referente à jul/2025  consumindo 208 kWh em créditos de energia renovável conforme fatura de energia. A economia foi de 22,94% em relação ao que seria pago para a Energisa considerando os créditos consumidos. Atenção: Mantenha as contas da Energisa em dia para evitar cortes.</v>
      </c>
      <c r="CD673" s="40" t="s">
        <v>236</v>
      </c>
      <c r="CE673" s="43">
        <v>164.46</v>
      </c>
      <c r="CF673" s="115">
        <f t="shared" si="416"/>
        <v>0</v>
      </c>
    </row>
    <row r="674" spans="1:84" ht="16.2" hidden="1" customHeight="1" x14ac:dyDescent="0.3">
      <c r="A674" s="105" t="str">
        <f>INDEX('Infos Clientes'!$D:$D,MATCH('Detalhe Por UC'!C674,'Infos Clientes'!B:B,0))</f>
        <v>IGREJA DO EVANGELHO QUADRANGULAR</v>
      </c>
      <c r="B674" s="106" t="str">
        <f>INDEX('Infos Clientes'!$F:$F,MATCH('Detalhe Por UC'!C674,'Infos Clientes'!B:B,0))</f>
        <v>62.955.505/1822-57</v>
      </c>
      <c r="C674" s="31" t="s">
        <v>192</v>
      </c>
      <c r="D674" t="s">
        <v>351</v>
      </c>
      <c r="E674" s="1" t="s">
        <v>352</v>
      </c>
      <c r="F674" s="56" t="str">
        <f>INDEX('Infos Clientes'!$I:$I,MATCH('Detalhe Por UC'!C674,'Infos Clientes'!B:B,0))</f>
        <v>BT</v>
      </c>
      <c r="G674" s="56" t="str">
        <f>INDEX('Infos Clientes'!$J:$J,MATCH('Detalhe Por UC'!C674,'Infos Clientes'!B:B,0))</f>
        <v>trifasico</v>
      </c>
      <c r="H674" s="108" t="s">
        <v>138</v>
      </c>
      <c r="I674" s="58">
        <f>IFERROR(VLOOKUP(C674,'Infos Clientes'!B:E,4,),"")</f>
        <v>319</v>
      </c>
      <c r="J674" s="109">
        <v>0.22939999999999999</v>
      </c>
      <c r="K674" s="79">
        <f>INDEX('Resumo Operacional'!$A$1:$P$151,MATCH("Desconto percentual Ucs",'Resumo Operacional'!$B$1:$B$151,0),MATCH('Detalhe Por UC'!$R674,'Resumo Operacional'!$A$1:$P$1,0))</f>
        <v>0.25212408425707711</v>
      </c>
      <c r="L674" s="125">
        <v>0</v>
      </c>
      <c r="M674" s="56">
        <f>INDEX('Infos Clientes'!$N:$N,MATCH('Detalhe Por UC'!C674,'Infos Clientes'!B:B,0))</f>
        <v>0</v>
      </c>
      <c r="N674" s="56">
        <f t="shared" si="381"/>
        <v>0</v>
      </c>
      <c r="O674" s="56">
        <f t="shared" si="382"/>
        <v>9</v>
      </c>
      <c r="P674" s="56">
        <f t="shared" si="417"/>
        <v>0</v>
      </c>
      <c r="Q674" s="61">
        <f>IFERROR(IFERROR(INDEX('Infos Clientes'!$A$2:$V$9884,MATCH($C674,'Infos Clientes'!$B$2:$B$9884,0),MATCH(Q$8,'Infos Clientes'!$A$2:$V$2,0)),"")
+IF(OR(INDEX('Infos Clientes'!$A$2:$V$9884,MATCH($C674,'Infos Clientes'!$B$2:$B$9884,0),MATCH("Tempo de Fidelidade (meses)",'Infos Clientes'!$A$2:$V$2,0))=0,R674&gt;=MAX(R:R)),0,
ROUND((MAX(R:R)-R674)/(365/12),0)),"")</f>
        <v>0</v>
      </c>
      <c r="R674" s="111">
        <v>45839</v>
      </c>
      <c r="S674" s="63">
        <v>2.8899999999999999E-2</v>
      </c>
      <c r="T674" s="113" t="str">
        <f>IF($H674="GIROSSOL II",AP674/INDEX('Resumo Operacional'!$A$1:$P$1103,17,MATCH('Detalhe Por UC'!$R674,'Resumo Operacional'!$A$1:$P$1,0)),
IF($H674="GIROSSOL II e III",AP674/INDEX('Resumo Operacional'!$A$1:$P$1103,17,MATCH('Detalhe Por UC'!$R674,'Resumo Operacional'!$A$1:$P$1,0)),
""))</f>
        <v/>
      </c>
      <c r="U674" s="113">
        <f>IF($H674="GIROSSOL III",AP674/INDEX('Resumo Operacional'!$A$1:$P$1103,53,MATCH('Detalhe Por UC'!$R674,'Resumo Operacional'!$A$1:$P$1,0)),
IF($H674="GIROSSOL II e III",AP674/INDEX('Resumo Operacional'!$A$1:$P$1103,53,MATCH('Detalhe Por UC'!$R674,'Resumo Operacional'!$A$1:$P$1,0)),
""))</f>
        <v>5.421883505715841E-2</v>
      </c>
      <c r="V674" s="45"/>
      <c r="X674">
        <v>1.1632149346462692</v>
      </c>
      <c r="Y674">
        <v>0</v>
      </c>
      <c r="Z674" s="18">
        <v>1.0063196875841638</v>
      </c>
      <c r="AA674">
        <v>0</v>
      </c>
      <c r="AB674" s="18">
        <v>363</v>
      </c>
      <c r="AC674">
        <v>0</v>
      </c>
      <c r="AD674" s="143">
        <v>316</v>
      </c>
      <c r="AE674" s="35"/>
      <c r="AF674" s="18">
        <v>182</v>
      </c>
      <c r="AG674">
        <v>0</v>
      </c>
      <c r="AH674" s="48">
        <v>125.96</v>
      </c>
      <c r="AI674">
        <v>0</v>
      </c>
      <c r="AJ674">
        <v>0</v>
      </c>
      <c r="AN674" s="71">
        <f t="shared" si="383"/>
        <v>182</v>
      </c>
      <c r="AO674" s="71">
        <f t="shared" si="384"/>
        <v>0</v>
      </c>
      <c r="AP674" s="71">
        <f t="shared" si="385"/>
        <v>498</v>
      </c>
      <c r="AQ674" s="72">
        <f>IF(OR($H674="GIROSSOL II",$H674="GIROSSOL II e III"),INDEX('Resumo Operacional'!$A$1:$P$1103,MATCH("Energia Injetada prevista total Fatura da Usina (TUSD)",'Resumo Operacional'!$B$1:$B$1103,0),MATCH('Detalhe Por UC'!$R674,'Resumo Operacional'!$A$1:$P$1,0))*$S674,INDEX('Resumo Operacional'!$A$1:$P$1103,53,MATCH('Detalhe Por UC'!$R674,'Resumo Operacional'!$A$1:$P$1,0))*$S674)</f>
        <v>265.44650000000001</v>
      </c>
      <c r="AR674" s="71">
        <f t="shared" si="386"/>
        <v>232.55349999999999</v>
      </c>
      <c r="AS674" s="73">
        <f t="shared" si="387"/>
        <v>230.20999999999992</v>
      </c>
      <c r="AT674" s="74">
        <f t="shared" si="388"/>
        <v>230.20999999999992</v>
      </c>
      <c r="AU674" s="74">
        <f t="shared" si="389"/>
        <v>0.84942444052205834</v>
      </c>
      <c r="AV674" s="74">
        <f t="shared" si="390"/>
        <v>245.04850459574465</v>
      </c>
      <c r="AW674" s="74">
        <f t="shared" si="391"/>
        <v>3.0099999999999909</v>
      </c>
      <c r="AX674" s="74">
        <f t="shared" si="392"/>
        <v>321.00702127659576</v>
      </c>
      <c r="AY674" s="74">
        <f t="shared" si="393"/>
        <v>248.06</v>
      </c>
      <c r="AZ674" s="43">
        <v>248.06</v>
      </c>
      <c r="BA674" s="43">
        <v>248.06</v>
      </c>
      <c r="BB674" s="49">
        <v>321.01</v>
      </c>
      <c r="BC674" s="73">
        <f t="shared" si="394"/>
        <v>72.949999999999989</v>
      </c>
      <c r="BD674" s="73">
        <f t="shared" si="395"/>
        <v>548.2070212765957</v>
      </c>
      <c r="BE674" s="73">
        <f t="shared" si="396"/>
        <v>475.25850459574457</v>
      </c>
      <c r="BF674" s="77">
        <f t="shared" si="397"/>
        <v>72.95</v>
      </c>
      <c r="BG674" s="77">
        <f t="shared" si="398"/>
        <v>21.885000000000002</v>
      </c>
      <c r="BH674" s="77">
        <f t="shared" si="399"/>
        <v>317.99702127659577</v>
      </c>
      <c r="BI674" s="78">
        <f t="shared" si="400"/>
        <v>0.23</v>
      </c>
      <c r="BJ674" s="79">
        <f t="shared" si="401"/>
        <v>0.13307016723376364</v>
      </c>
      <c r="BK674" s="80">
        <f t="shared" si="402"/>
        <v>478.26999999999992</v>
      </c>
      <c r="BL674" s="80">
        <f t="shared" si="403"/>
        <v>69.937021276595772</v>
      </c>
      <c r="BM674" s="79">
        <f t="shared" si="404"/>
        <v>0.12757410715706488</v>
      </c>
      <c r="BN674" s="81">
        <f t="shared" si="405"/>
        <v>0.78500000000000003</v>
      </c>
      <c r="BO674" s="82">
        <f t="shared" si="406"/>
        <v>248.06</v>
      </c>
      <c r="BP674" s="81">
        <f t="shared" si="407"/>
        <v>0.78500000000000003</v>
      </c>
      <c r="BQ674" s="81">
        <f t="shared" si="408"/>
        <v>0.94189524706210548</v>
      </c>
      <c r="BR674" s="81">
        <f t="shared" si="409"/>
        <v>1.1632149346462692</v>
      </c>
      <c r="BS674" s="82">
        <f t="shared" si="410"/>
        <v>316</v>
      </c>
      <c r="BT674" s="82">
        <f t="shared" si="411"/>
        <v>367.57591934822108</v>
      </c>
      <c r="BU674" s="82">
        <f t="shared" si="412"/>
        <v>317.99702127659577</v>
      </c>
      <c r="BW674" s="82">
        <f>IFERROR(INDEX('Infos Clientes'!$T:$T,MATCH('Detalhe Por UC'!$C674,'Infos Clientes'!B:B,0)),"")</f>
        <v>502.09090909090907</v>
      </c>
      <c r="BX674" s="83">
        <f t="shared" si="413"/>
        <v>0</v>
      </c>
      <c r="BY674" s="84">
        <f t="shared" si="414"/>
        <v>0.19026551412999743</v>
      </c>
      <c r="BZ674" s="85">
        <f>IF(_xlfn.MINIFS('Detalhe Por UC'!R:R,'Detalhe Por UC'!C:C,C674,'Detalhe Por UC'!AD:AD,"&gt;"&amp;0)=0,"",_xlfn.MINIFS('Detalhe Por UC'!R:R,'Detalhe Por UC'!C:C,C674,'Detalhe Por UC'!AD:AD,"&gt;"&amp;0))</f>
        <v>45658</v>
      </c>
      <c r="CA674" s="114">
        <f ca="1">IF(OR(S674&gt;0,AD674&gt;0),IFERROR(
SUMIFS(INDIRECT("'Infos Clientes'!$W"&amp;INDEX('Infos Clientes'!$C:$C,MATCH(C674,'Infos Clientes'!$H:$H,0))&amp;":$CZ"&amp;INDEX('Infos Clientes'!$C:$C,MATCH(C674,'Infos Clientes'!$H:$H,0))),'Infos Clientes'!$W$2:$CZ$2,"&gt;"&amp;$R674-365,'Infos Clientes'!$W$2:$CZ$2,"&lt;="&amp;$R674)/
COUNTIFS(INDIRECT("'Infos Clientes'!$W"&amp;INDEX('Infos Clientes'!$C:$C,MATCH(C674,'Infos Clientes'!$H:$H,0))&amp;":$CZ"&amp;INDEX('Infos Clientes'!$C:$C,MATCH(C674,'Infos Clientes'!$H:$H,0))),"&gt;="&amp;0,'Infos Clientes'!$W$2:$CZ$2,"&gt;"&amp;$R674-365,'Infos Clientes'!$W$2:$CZ$2,"&lt;="&amp;$R674),""),"")</f>
        <v>452.25</v>
      </c>
      <c r="CB674" s="87">
        <f>VLOOKUP(C674,'Infos Clientes'!B:L,11,0)</f>
        <v>0</v>
      </c>
      <c r="CC674" s="88" t="str">
        <f t="shared" si="415"/>
        <v>A Unidade Consumidora 10/3139326-7 economizou R$72,95 na fatura referente à jul/2025  consumindo 316 kWh em créditos de energia renovável conforme fatura de energia. A economia foi de 22,94% em relação ao que seria pago para a Energisa considerando os créditos consumidos. Atenção: Mantenha as contas da Energisa em dia para evitar cortes.</v>
      </c>
      <c r="CD674" s="40" t="s">
        <v>143</v>
      </c>
      <c r="CE674" s="43">
        <v>230.21</v>
      </c>
      <c r="CF674" s="115">
        <f t="shared" si="416"/>
        <v>0</v>
      </c>
    </row>
    <row r="675" spans="1:84" ht="16.2" hidden="1" customHeight="1" x14ac:dyDescent="0.3">
      <c r="A675" s="105" t="str">
        <f>INDEX('Infos Clientes'!$D:$D,MATCH('Detalhe Por UC'!C675,'Infos Clientes'!B:B,0))</f>
        <v>IGREJA DO EVANGELHO QUADRANGULAR</v>
      </c>
      <c r="B675" s="106" t="str">
        <f>INDEX('Infos Clientes'!$F:$F,MATCH('Detalhe Por UC'!C675,'Infos Clientes'!B:B,0))</f>
        <v>62.955.505/3544-81</v>
      </c>
      <c r="C675" s="31" t="s">
        <v>209</v>
      </c>
      <c r="D675" t="s">
        <v>351</v>
      </c>
      <c r="E675" s="1" t="s">
        <v>352</v>
      </c>
      <c r="F675" s="56" t="str">
        <f>INDEX('Infos Clientes'!$I:$I,MATCH('Detalhe Por UC'!C675,'Infos Clientes'!B:B,0))</f>
        <v>BT</v>
      </c>
      <c r="G675" s="56" t="str">
        <f>INDEX('Infos Clientes'!$J:$J,MATCH('Detalhe Por UC'!C675,'Infos Clientes'!B:B,0))</f>
        <v>trifasico</v>
      </c>
      <c r="H675" s="108" t="s">
        <v>138</v>
      </c>
      <c r="I675" s="58">
        <f>IFERROR(VLOOKUP(C675,'Infos Clientes'!B:E,4,),"")</f>
        <v>371</v>
      </c>
      <c r="J675" s="109">
        <v>0.22939999999999999</v>
      </c>
      <c r="K675" s="79">
        <f>INDEX('Resumo Operacional'!$A$1:$P$151,MATCH("Desconto percentual Ucs",'Resumo Operacional'!$B$1:$B$151,0),MATCH('Detalhe Por UC'!$R675,'Resumo Operacional'!$A$1:$P$1,0))</f>
        <v>0.25212408425707711</v>
      </c>
      <c r="L675" s="125">
        <v>0</v>
      </c>
      <c r="M675" s="56">
        <f>INDEX('Infos Clientes'!$N:$N,MATCH('Detalhe Por UC'!C675,'Infos Clientes'!B:B,0))</f>
        <v>0</v>
      </c>
      <c r="N675" s="56">
        <f t="shared" si="381"/>
        <v>0</v>
      </c>
      <c r="O675" s="56">
        <f t="shared" si="382"/>
        <v>8</v>
      </c>
      <c r="P675" s="56">
        <f t="shared" si="417"/>
        <v>0</v>
      </c>
      <c r="Q675" s="61">
        <f>IFERROR(IFERROR(INDEX('Infos Clientes'!$A$2:$V$9884,MATCH($C675,'Infos Clientes'!$B$2:$B$9884,0),MATCH(Q$8,'Infos Clientes'!$A$2:$V$2,0)),"")
+IF(OR(INDEX('Infos Clientes'!$A$2:$V$9884,MATCH($C675,'Infos Clientes'!$B$2:$B$9884,0),MATCH("Tempo de Fidelidade (meses)",'Infos Clientes'!$A$2:$V$2,0))=0,R675&gt;=MAX(R:R)),0,
ROUND((MAX(R:R)-R675)/(365/12),0)),"")</f>
        <v>0</v>
      </c>
      <c r="R675" s="111">
        <v>45839</v>
      </c>
      <c r="S675" s="63">
        <v>2.8400000000000002E-2</v>
      </c>
      <c r="T675" s="113" t="str">
        <f>IF($H675="GIROSSOL II",AP675/INDEX('Resumo Operacional'!$A$1:$P$1103,17,MATCH('Detalhe Por UC'!$R675,'Resumo Operacional'!$A$1:$P$1,0)),
IF($H675="GIROSSOL II e III",AP675/INDEX('Resumo Operacional'!$A$1:$P$1103,17,MATCH('Detalhe Por UC'!$R675,'Resumo Operacional'!$A$1:$P$1,0)),
""))</f>
        <v/>
      </c>
      <c r="U675" s="113">
        <f>IF($H675="GIROSSOL III",AP675/INDEX('Resumo Operacional'!$A$1:$P$1103,53,MATCH('Detalhe Por UC'!$R675,'Resumo Operacional'!$A$1:$P$1,0)),
IF($H675="GIROSSOL II e III",AP675/INDEX('Resumo Operacional'!$A$1:$P$1103,53,MATCH('Detalhe Por UC'!$R675,'Resumo Operacional'!$A$1:$P$1,0)),
""))</f>
        <v>5.3238976592270004E-2</v>
      </c>
      <c r="V675" s="45"/>
      <c r="X675">
        <v>1.1630554134697357</v>
      </c>
      <c r="Y675">
        <v>0</v>
      </c>
      <c r="Z675" s="18">
        <v>1.0061781206171108</v>
      </c>
      <c r="AA675">
        <v>0</v>
      </c>
      <c r="AB675" s="18">
        <v>255</v>
      </c>
      <c r="AC675">
        <v>0</v>
      </c>
      <c r="AD675" s="143">
        <v>186</v>
      </c>
      <c r="AE675" s="35"/>
      <c r="AF675" s="18">
        <v>303</v>
      </c>
      <c r="AG675">
        <v>0</v>
      </c>
      <c r="AH675" s="48">
        <v>36.04</v>
      </c>
      <c r="AI675">
        <v>0</v>
      </c>
      <c r="AJ675">
        <v>0</v>
      </c>
      <c r="AN675" s="71">
        <f t="shared" si="383"/>
        <v>303</v>
      </c>
      <c r="AO675" s="71">
        <f t="shared" si="384"/>
        <v>0</v>
      </c>
      <c r="AP675" s="71">
        <f t="shared" si="385"/>
        <v>489</v>
      </c>
      <c r="AQ675" s="72">
        <f>IF(OR($H675="GIROSSOL II",$H675="GIROSSOL II e III"),INDEX('Resumo Operacional'!$A$1:$P$1103,MATCH("Energia Injetada prevista total Fatura da Usina (TUSD)",'Resumo Operacional'!$B$1:$B$1103,0),MATCH('Detalhe Por UC'!$R675,'Resumo Operacional'!$A$1:$P$1,0))*$S675,INDEX('Resumo Operacional'!$A$1:$P$1103,53,MATCH('Detalhe Por UC'!$R675,'Resumo Operacional'!$A$1:$P$1,0))*$S675)</f>
        <v>260.85400000000004</v>
      </c>
      <c r="AR675" s="71">
        <f t="shared" si="386"/>
        <v>228.14599999999996</v>
      </c>
      <c r="AS675" s="73">
        <f t="shared" si="387"/>
        <v>145.47</v>
      </c>
      <c r="AT675" s="74">
        <f t="shared" si="388"/>
        <v>145.47</v>
      </c>
      <c r="AU675" s="74">
        <f t="shared" si="389"/>
        <v>0.84930082776448579</v>
      </c>
      <c r="AV675" s="74">
        <f t="shared" si="390"/>
        <v>144.21711991304346</v>
      </c>
      <c r="AW675" s="74">
        <f t="shared" si="391"/>
        <v>0</v>
      </c>
      <c r="AX675" s="74">
        <f t="shared" si="392"/>
        <v>187.14913043478259</v>
      </c>
      <c r="AY675" s="74">
        <f t="shared" si="393"/>
        <v>144.22</v>
      </c>
      <c r="AZ675" s="43">
        <v>144.22</v>
      </c>
      <c r="BA675" s="43">
        <v>144.22</v>
      </c>
      <c r="BB675" s="49">
        <v>144.22</v>
      </c>
      <c r="BC675" s="73" t="str">
        <f t="shared" si="394"/>
        <v/>
      </c>
      <c r="BD675" s="73">
        <f t="shared" si="395"/>
        <v>332.61913043478262</v>
      </c>
      <c r="BE675" s="73">
        <f t="shared" si="396"/>
        <v>289.68711991304349</v>
      </c>
      <c r="BF675" s="77">
        <f t="shared" si="397"/>
        <v>42.93</v>
      </c>
      <c r="BG675" s="77">
        <f t="shared" si="398"/>
        <v>12.879</v>
      </c>
      <c r="BH675" s="77">
        <f t="shared" si="399"/>
        <v>187.14913043478259</v>
      </c>
      <c r="BI675" s="78">
        <f t="shared" si="400"/>
        <v>0.23</v>
      </c>
      <c r="BJ675" s="79">
        <f t="shared" si="401"/>
        <v>0.12906653908896976</v>
      </c>
      <c r="BK675" s="80">
        <f t="shared" si="402"/>
        <v>289.69</v>
      </c>
      <c r="BL675" s="80">
        <f t="shared" si="403"/>
        <v>42.929130434782621</v>
      </c>
      <c r="BM675" s="79">
        <f t="shared" si="404"/>
        <v>0.12906392479190198</v>
      </c>
      <c r="BN675" s="81">
        <f t="shared" si="405"/>
        <v>0.77537634408602152</v>
      </c>
      <c r="BO675" s="82">
        <f t="shared" si="406"/>
        <v>144.22</v>
      </c>
      <c r="BP675" s="81">
        <f t="shared" si="407"/>
        <v>0.77537634408602152</v>
      </c>
      <c r="BQ675" s="81">
        <f t="shared" si="408"/>
        <v>0.93225363693864649</v>
      </c>
      <c r="BR675" s="81">
        <f t="shared" si="409"/>
        <v>1.1630554134697357</v>
      </c>
      <c r="BS675" s="82">
        <f t="shared" si="410"/>
        <v>186</v>
      </c>
      <c r="BT675" s="82">
        <f t="shared" si="411"/>
        <v>216.32830690537085</v>
      </c>
      <c r="BU675" s="82">
        <f t="shared" si="412"/>
        <v>187.14913043478259</v>
      </c>
      <c r="BW675" s="82">
        <f>IFERROR(INDEX('Infos Clientes'!$T:$T,MATCH('Detalhe Por UC'!$C675,'Infos Clientes'!B:B,0)),"")</f>
        <v>433.54545454545456</v>
      </c>
      <c r="BX675" s="83">
        <f t="shared" si="413"/>
        <v>0</v>
      </c>
      <c r="BY675" s="84">
        <f t="shared" si="414"/>
        <v>0.19844435085215742</v>
      </c>
      <c r="BZ675" s="85">
        <f>IF(_xlfn.MINIFS('Detalhe Por UC'!R:R,'Detalhe Por UC'!C:C,C675,'Detalhe Por UC'!AD:AD,"&gt;"&amp;0)=0,"",_xlfn.MINIFS('Detalhe Por UC'!R:R,'Detalhe Por UC'!C:C,C675,'Detalhe Por UC'!AD:AD,"&gt;"&amp;0))</f>
        <v>45658</v>
      </c>
      <c r="CA675" s="114">
        <f ca="1">IF(OR(S675&gt;0,AD675&gt;0),IFERROR(
SUMIFS(INDIRECT("'Infos Clientes'!$W"&amp;INDEX('Infos Clientes'!$C:$C,MATCH(C675,'Infos Clientes'!$H:$H,0))&amp;":$CZ"&amp;INDEX('Infos Clientes'!$C:$C,MATCH(C675,'Infos Clientes'!$H:$H,0))),'Infos Clientes'!$W$2:$CZ$2,"&gt;"&amp;$R675-365,'Infos Clientes'!$W$2:$CZ$2,"&lt;="&amp;$R675)/
COUNTIFS(INDIRECT("'Infos Clientes'!$W"&amp;INDEX('Infos Clientes'!$C:$C,MATCH(C675,'Infos Clientes'!$H:$H,0))&amp;":$CZ"&amp;INDEX('Infos Clientes'!$C:$C,MATCH(C675,'Infos Clientes'!$H:$H,0))),"&gt;="&amp;0,'Infos Clientes'!$W$2:$CZ$2,"&gt;"&amp;$R675-365,'Infos Clientes'!$W$2:$CZ$2,"&lt;="&amp;$R675),""),"")</f>
        <v>445.66666666666669</v>
      </c>
      <c r="CB675" s="87">
        <f>VLOOKUP(C675,'Infos Clientes'!B:L,11,0)</f>
        <v>0</v>
      </c>
      <c r="CC675" s="88" t="str">
        <f t="shared" si="415"/>
        <v>A Unidade Consumidora 10/504844-2 economizou R$42,93 na fatura referente à jul/2025  consumindo 186 kWh em créditos de energia renovável conforme fatura de energia. A economia foi de 22,94% em relação ao que seria pago para a Energisa considerando os créditos consumidos. Atenção: Mantenha as contas da Energisa em dia para evitar cortes.</v>
      </c>
      <c r="CD675" s="40" t="s">
        <v>211</v>
      </c>
      <c r="CE675" s="43">
        <v>145.47</v>
      </c>
      <c r="CF675" s="115">
        <f t="shared" si="416"/>
        <v>0</v>
      </c>
    </row>
    <row r="676" spans="1:84" ht="16.2" hidden="1" customHeight="1" x14ac:dyDescent="0.3">
      <c r="A676" s="105" t="str">
        <f>INDEX('Infos Clientes'!$D:$D,MATCH('Detalhe Por UC'!C676,'Infos Clientes'!B:B,0))</f>
        <v>IGREJA DO EVANGELHO QUADRANGULAR</v>
      </c>
      <c r="B676" s="106" t="str">
        <f>INDEX('Infos Clientes'!$F:$F,MATCH('Detalhe Por UC'!C676,'Infos Clientes'!B:B,0))</f>
        <v>62.955.505/3757-21</v>
      </c>
      <c r="C676" s="31" t="s">
        <v>187</v>
      </c>
      <c r="D676" t="s">
        <v>351</v>
      </c>
      <c r="E676" s="1" t="s">
        <v>352</v>
      </c>
      <c r="F676" s="56" t="str">
        <f>INDEX('Infos Clientes'!$I:$I,MATCH('Detalhe Por UC'!C676,'Infos Clientes'!B:B,0))</f>
        <v>BT</v>
      </c>
      <c r="G676" s="56" t="str">
        <f>INDEX('Infos Clientes'!$J:$J,MATCH('Detalhe Por UC'!C676,'Infos Clientes'!B:B,0))</f>
        <v>trifasico</v>
      </c>
      <c r="H676" s="108" t="s">
        <v>138</v>
      </c>
      <c r="I676" s="58">
        <f>IFERROR(VLOOKUP(C676,'Infos Clientes'!B:E,4,),"")</f>
        <v>362</v>
      </c>
      <c r="J676" s="109">
        <v>0.22939999999999999</v>
      </c>
      <c r="K676" s="79">
        <f>INDEX('Resumo Operacional'!$A$1:$P$151,MATCH("Desconto percentual Ucs",'Resumo Operacional'!$B$1:$B$151,0),MATCH('Detalhe Por UC'!$R676,'Resumo Operacional'!$A$1:$P$1,0))</f>
        <v>0.25212408425707711</v>
      </c>
      <c r="L676" s="125">
        <v>0</v>
      </c>
      <c r="M676" s="56">
        <f>INDEX('Infos Clientes'!$N:$N,MATCH('Detalhe Por UC'!C676,'Infos Clientes'!B:B,0))</f>
        <v>0</v>
      </c>
      <c r="N676" s="56">
        <f t="shared" si="381"/>
        <v>0</v>
      </c>
      <c r="O676" s="56">
        <f t="shared" si="382"/>
        <v>9</v>
      </c>
      <c r="P676" s="56">
        <f t="shared" si="417"/>
        <v>0</v>
      </c>
      <c r="Q676" s="61">
        <f>IFERROR(IFERROR(INDEX('Infos Clientes'!$A$2:$V$9884,MATCH($C676,'Infos Clientes'!$B$2:$B$9884,0),MATCH(Q$8,'Infos Clientes'!$A$2:$V$2,0)),"")
+IF(OR(INDEX('Infos Clientes'!$A$2:$V$9884,MATCH($C676,'Infos Clientes'!$B$2:$B$9884,0),MATCH("Tempo de Fidelidade (meses)",'Infos Clientes'!$A$2:$V$2,0))=0,R676&gt;=MAX(R:R)),0,
ROUND((MAX(R:R)-R676)/(365/12),0)),"")</f>
        <v>0</v>
      </c>
      <c r="R676" s="111">
        <v>45839</v>
      </c>
      <c r="S676" s="63">
        <v>2.7300000000000001E-2</v>
      </c>
      <c r="T676" s="113" t="str">
        <f>IF($H676="GIROSSOL II",AP676/INDEX('Resumo Operacional'!$A$1:$P$1103,17,MATCH('Detalhe Por UC'!$R676,'Resumo Operacional'!$A$1:$P$1,0)),
IF($H676="GIROSSOL II e III",AP676/INDEX('Resumo Operacional'!$A$1:$P$1103,17,MATCH('Detalhe Por UC'!$R676,'Resumo Operacional'!$A$1:$P$1,0)),
""))</f>
        <v/>
      </c>
      <c r="U676" s="113">
        <f>IF($H676="GIROSSOL III",AP676/INDEX('Resumo Operacional'!$A$1:$P$1103,53,MATCH('Detalhe Por UC'!$R676,'Resumo Operacional'!$A$1:$P$1,0)),
IF($H676="GIROSSOL II e III",AP676/INDEX('Resumo Operacional'!$A$1:$P$1103,53,MATCH('Detalhe Por UC'!$R676,'Resumo Operacional'!$A$1:$P$1,0)),
""))</f>
        <v>5.117038649972782E-2</v>
      </c>
      <c r="V676" s="45"/>
      <c r="W676" s="150" t="s">
        <v>354</v>
      </c>
      <c r="X676">
        <v>1.1630950704225351</v>
      </c>
      <c r="Y676">
        <v>0</v>
      </c>
      <c r="Z676" s="18">
        <v>1.0062174267100976</v>
      </c>
      <c r="AA676">
        <v>0</v>
      </c>
      <c r="AB676" s="18">
        <v>355</v>
      </c>
      <c r="AC676">
        <v>0</v>
      </c>
      <c r="AD676" s="143">
        <v>307</v>
      </c>
      <c r="AE676" s="35"/>
      <c r="AF676" s="18">
        <v>163</v>
      </c>
      <c r="AG676">
        <v>0</v>
      </c>
      <c r="AH676" s="48">
        <v>61.27</v>
      </c>
      <c r="AI676">
        <v>0</v>
      </c>
      <c r="AJ676">
        <v>0</v>
      </c>
      <c r="AN676" s="71">
        <f t="shared" si="383"/>
        <v>163</v>
      </c>
      <c r="AO676" s="71">
        <f t="shared" si="384"/>
        <v>0</v>
      </c>
      <c r="AP676" s="71">
        <f t="shared" si="385"/>
        <v>470</v>
      </c>
      <c r="AQ676" s="72">
        <f>IF(OR($H676="GIROSSOL II",$H676="GIROSSOL II e III"),INDEX('Resumo Operacional'!$A$1:$P$1103,MATCH("Energia Injetada prevista total Fatura da Usina (TUSD)",'Resumo Operacional'!$B$1:$B$1103,0),MATCH('Detalhe Por UC'!$R676,'Resumo Operacional'!$A$1:$P$1,0))*$S676,INDEX('Resumo Operacional'!$A$1:$P$1103,53,MATCH('Detalhe Por UC'!$R676,'Resumo Operacional'!$A$1:$P$1,0))*$S676)</f>
        <v>250.75050000000002</v>
      </c>
      <c r="AR676" s="71">
        <f t="shared" si="386"/>
        <v>219.24949999999998</v>
      </c>
      <c r="AS676" s="73">
        <f t="shared" si="387"/>
        <v>165.26000000000002</v>
      </c>
      <c r="AT676" s="74">
        <f t="shared" si="388"/>
        <v>165.26000000000002</v>
      </c>
      <c r="AU676" s="74">
        <f t="shared" si="389"/>
        <v>0.84933978299766011</v>
      </c>
      <c r="AV676" s="74">
        <f t="shared" si="390"/>
        <v>238.04508274999995</v>
      </c>
      <c r="AW676" s="74">
        <f t="shared" si="391"/>
        <v>0</v>
      </c>
      <c r="AX676" s="74">
        <f t="shared" si="392"/>
        <v>308.90874999999994</v>
      </c>
      <c r="AY676" s="74">
        <f t="shared" si="393"/>
        <v>238.05</v>
      </c>
      <c r="AZ676" s="43">
        <v>238.05</v>
      </c>
      <c r="BA676" s="43">
        <v>238.05</v>
      </c>
      <c r="BB676" s="49">
        <v>238.05</v>
      </c>
      <c r="BC676" s="73" t="str">
        <f t="shared" si="394"/>
        <v/>
      </c>
      <c r="BD676" s="73">
        <f t="shared" si="395"/>
        <v>474.16874999999993</v>
      </c>
      <c r="BE676" s="73">
        <f t="shared" si="396"/>
        <v>403.30508275</v>
      </c>
      <c r="BF676" s="77">
        <f t="shared" si="397"/>
        <v>70.86</v>
      </c>
      <c r="BG676" s="77">
        <f t="shared" si="398"/>
        <v>21.257999999999999</v>
      </c>
      <c r="BH676" s="77">
        <f t="shared" si="399"/>
        <v>308.90875</v>
      </c>
      <c r="BI676" s="78">
        <f t="shared" si="400"/>
        <v>0.23</v>
      </c>
      <c r="BJ676" s="79">
        <f t="shared" si="401"/>
        <v>0.14944046818774964</v>
      </c>
      <c r="BK676" s="80">
        <f t="shared" si="402"/>
        <v>403.31000000000006</v>
      </c>
      <c r="BL676" s="80">
        <f t="shared" si="403"/>
        <v>70.858749999999873</v>
      </c>
      <c r="BM676" s="79">
        <f t="shared" si="404"/>
        <v>0.14943783199546551</v>
      </c>
      <c r="BN676" s="81">
        <f t="shared" si="405"/>
        <v>0.77540716612377858</v>
      </c>
      <c r="BO676" s="82">
        <f t="shared" si="406"/>
        <v>238.05</v>
      </c>
      <c r="BP676" s="81">
        <f t="shared" si="407"/>
        <v>0.77540716612377858</v>
      </c>
      <c r="BQ676" s="81">
        <f t="shared" si="408"/>
        <v>0.93228480983621609</v>
      </c>
      <c r="BR676" s="81">
        <f t="shared" si="409"/>
        <v>1.1630950704225351</v>
      </c>
      <c r="BS676" s="82">
        <f t="shared" si="410"/>
        <v>307</v>
      </c>
      <c r="BT676" s="82">
        <f t="shared" si="411"/>
        <v>357.0701866197183</v>
      </c>
      <c r="BU676" s="82">
        <f t="shared" si="412"/>
        <v>308.90874999999994</v>
      </c>
      <c r="BW676" s="82">
        <f>IFERROR(INDEX('Infos Clientes'!$T:$T,MATCH('Detalhe Por UC'!$C676,'Infos Clientes'!B:B,0)),"")</f>
        <v>365.90909090909093</v>
      </c>
      <c r="BX676" s="83">
        <f t="shared" si="413"/>
        <v>0</v>
      </c>
      <c r="BY676" s="84">
        <f t="shared" si="414"/>
        <v>0.19844487906089148</v>
      </c>
      <c r="BZ676" s="85">
        <f>IF(_xlfn.MINIFS('Detalhe Por UC'!R:R,'Detalhe Por UC'!C:C,C676,'Detalhe Por UC'!AD:AD,"&gt;"&amp;0)=0,"",_xlfn.MINIFS('Detalhe Por UC'!R:R,'Detalhe Por UC'!C:C,C676,'Detalhe Por UC'!AD:AD,"&gt;"&amp;0))</f>
        <v>45658</v>
      </c>
      <c r="CA676" s="114">
        <f ca="1">IF(OR(S676&gt;0,AD676&gt;0),IFERROR(
SUMIFS(INDIRECT("'Infos Clientes'!$W"&amp;INDEX('Infos Clientes'!$C:$C,MATCH(C676,'Infos Clientes'!$H:$H,0))&amp;":$CZ"&amp;INDEX('Infos Clientes'!$C:$C,MATCH(C676,'Infos Clientes'!$H:$H,0))),'Infos Clientes'!$W$2:$CZ$2,"&gt;"&amp;$R676-365,'Infos Clientes'!$W$2:$CZ$2,"&lt;="&amp;$R676)/
COUNTIFS(INDIRECT("'Infos Clientes'!$W"&amp;INDEX('Infos Clientes'!$C:$C,MATCH(C676,'Infos Clientes'!$H:$H,0))&amp;":$CZ"&amp;INDEX('Infos Clientes'!$C:$C,MATCH(C676,'Infos Clientes'!$H:$H,0))),"&gt;="&amp;0,'Infos Clientes'!$W$2:$CZ$2,"&gt;"&amp;$R676-365,'Infos Clientes'!$W$2:$CZ$2,"&lt;="&amp;$R676),""),"")</f>
        <v>360.25</v>
      </c>
      <c r="CB676" s="87">
        <f>VLOOKUP(C676,'Infos Clientes'!B:L,11,0)</f>
        <v>0</v>
      </c>
      <c r="CC676" s="88" t="str">
        <f t="shared" si="415"/>
        <v>A Unidade Consumidora 10/3123706-8 economizou R$70,86 na fatura referente à jul/2025  consumindo 307 kWh em créditos de energia renovável conforme fatura de energia. A economia foi de 22,94% em relação ao que seria pago para a Energisa considerando os créditos consumidos. Atenção: Mantenha as contas da Energisa em dia para evitar cortes.</v>
      </c>
      <c r="CD676" s="40" t="s">
        <v>83</v>
      </c>
      <c r="CE676" s="43">
        <v>165.26</v>
      </c>
      <c r="CF676" s="115">
        <f t="shared" si="416"/>
        <v>0</v>
      </c>
    </row>
    <row r="677" spans="1:84" ht="16.2" hidden="1" customHeight="1" x14ac:dyDescent="0.3">
      <c r="A677" s="105" t="str">
        <f>INDEX('Infos Clientes'!$D:$D,MATCH('Detalhe Por UC'!C677,'Infos Clientes'!B:B,0))</f>
        <v>IGREJA DO EVANGELHO QUADRANGULAR</v>
      </c>
      <c r="B677" s="106" t="str">
        <f>INDEX('Infos Clientes'!$F:$F,MATCH('Detalhe Por UC'!C677,'Infos Clientes'!B:B,0))</f>
        <v>62.955.505/0161-60</v>
      </c>
      <c r="C677" s="31" t="s">
        <v>163</v>
      </c>
      <c r="D677" t="s">
        <v>351</v>
      </c>
      <c r="E677" s="1" t="s">
        <v>352</v>
      </c>
      <c r="F677" s="56" t="str">
        <f>INDEX('Infos Clientes'!$I:$I,MATCH('Detalhe Por UC'!C677,'Infos Clientes'!B:B,0))</f>
        <v>BT</v>
      </c>
      <c r="G677" s="56" t="str">
        <f>INDEX('Infos Clientes'!$J:$J,MATCH('Detalhe Por UC'!C677,'Infos Clientes'!B:B,0))</f>
        <v>trifasico</v>
      </c>
      <c r="H677" s="108" t="s">
        <v>138</v>
      </c>
      <c r="I677" s="58">
        <f>IFERROR(VLOOKUP(C677,'Infos Clientes'!B:E,4,),"")</f>
        <v>302</v>
      </c>
      <c r="J677" s="109">
        <v>0.22939999999999999</v>
      </c>
      <c r="K677" s="79">
        <f>INDEX('Resumo Operacional'!$A$1:$P$151,MATCH("Desconto percentual Ucs",'Resumo Operacional'!$B$1:$B$151,0),MATCH('Detalhe Por UC'!$R677,'Resumo Operacional'!$A$1:$P$1,0))</f>
        <v>0.25212408425707711</v>
      </c>
      <c r="L677" s="125">
        <v>0</v>
      </c>
      <c r="M677" s="56">
        <f>INDEX('Infos Clientes'!$N:$N,MATCH('Detalhe Por UC'!C677,'Infos Clientes'!B:B,0))</f>
        <v>0</v>
      </c>
      <c r="N677" s="56">
        <f t="shared" si="381"/>
        <v>0</v>
      </c>
      <c r="O677" s="56">
        <f t="shared" si="382"/>
        <v>9</v>
      </c>
      <c r="P677" s="56">
        <f t="shared" si="417"/>
        <v>0</v>
      </c>
      <c r="Q677" s="61">
        <f>IFERROR(IFERROR(INDEX('Infos Clientes'!$A$2:$V$9884,MATCH($C677,'Infos Clientes'!$B$2:$B$9884,0),MATCH(Q$8,'Infos Clientes'!$A$2:$V$2,0)),"")
+IF(OR(INDEX('Infos Clientes'!$A$2:$V$9884,MATCH($C677,'Infos Clientes'!$B$2:$B$9884,0),MATCH("Tempo de Fidelidade (meses)",'Infos Clientes'!$A$2:$V$2,0))=0,R677&gt;=MAX(R:R)),0,
ROUND((MAX(R:R)-R677)/(365/12),0)),"")</f>
        <v>0</v>
      </c>
      <c r="R677" s="111">
        <v>45839</v>
      </c>
      <c r="S677" s="63">
        <v>2.7099999999999999E-2</v>
      </c>
      <c r="T677" s="113" t="str">
        <f>IF($H677="GIROSSOL II",AP677/INDEX('Resumo Operacional'!$A$1:$P$1103,17,MATCH('Detalhe Por UC'!$R677,'Resumo Operacional'!$A$1:$P$1,0)),
IF($H677="GIROSSOL II e III",AP677/INDEX('Resumo Operacional'!$A$1:$P$1103,17,MATCH('Detalhe Por UC'!$R677,'Resumo Operacional'!$A$1:$P$1,0)),
""))</f>
        <v/>
      </c>
      <c r="U677" s="113">
        <f>IF($H677="GIROSSOL III",AP677/INDEX('Resumo Operacional'!$A$1:$P$1103,53,MATCH('Detalhe Por UC'!$R677,'Resumo Operacional'!$A$1:$P$1,0)),
IF($H677="GIROSSOL II e III",AP677/INDEX('Resumo Operacional'!$A$1:$P$1103,53,MATCH('Detalhe Por UC'!$R677,'Resumo Operacional'!$A$1:$P$1,0)),
""))</f>
        <v>5.084376701143168E-2</v>
      </c>
      <c r="V677" s="45"/>
      <c r="X677">
        <v>1.1630816831683168</v>
      </c>
      <c r="Y677">
        <v>0</v>
      </c>
      <c r="Z677" s="18">
        <v>1.0061680327868854</v>
      </c>
      <c r="AA677">
        <v>0</v>
      </c>
      <c r="AB677" s="18">
        <v>202</v>
      </c>
      <c r="AC677">
        <v>0</v>
      </c>
      <c r="AD677" s="143">
        <v>122</v>
      </c>
      <c r="AE677" s="35"/>
      <c r="AF677" s="18">
        <v>345</v>
      </c>
      <c r="AG677">
        <v>0</v>
      </c>
      <c r="AH677" s="48">
        <v>42.74</v>
      </c>
      <c r="AI677">
        <v>0</v>
      </c>
      <c r="AJ677">
        <v>0</v>
      </c>
      <c r="AN677" s="71">
        <f t="shared" si="383"/>
        <v>345</v>
      </c>
      <c r="AO677" s="71">
        <f t="shared" si="384"/>
        <v>0</v>
      </c>
      <c r="AP677" s="71">
        <f t="shared" si="385"/>
        <v>467</v>
      </c>
      <c r="AQ677" s="72">
        <f>IF(OR($H677="GIROSSOL II",$H677="GIROSSOL II e III"),INDEX('Resumo Operacional'!$A$1:$P$1103,MATCH("Energia Injetada prevista total Fatura da Usina (TUSD)",'Resumo Operacional'!$B$1:$B$1103,0),MATCH('Detalhe Por UC'!$R677,'Resumo Operacional'!$A$1:$P$1,0))*$S677,INDEX('Resumo Operacional'!$A$1:$P$1103,53,MATCH('Detalhe Por UC'!$R677,'Resumo Operacional'!$A$1:$P$1,0))*$S677)</f>
        <v>248.9135</v>
      </c>
      <c r="AR677" s="71">
        <f t="shared" si="386"/>
        <v>218.0865</v>
      </c>
      <c r="AS677" s="73">
        <f t="shared" si="387"/>
        <v>154.92999999999998</v>
      </c>
      <c r="AT677" s="74">
        <f t="shared" si="388"/>
        <v>154.92999999999998</v>
      </c>
      <c r="AU677" s="74">
        <f t="shared" si="389"/>
        <v>0.84925438240545392</v>
      </c>
      <c r="AV677" s="74">
        <f t="shared" si="390"/>
        <v>94.593076500000009</v>
      </c>
      <c r="AW677" s="74">
        <f t="shared" si="391"/>
        <v>2.019999999999996</v>
      </c>
      <c r="AX677" s="74">
        <f t="shared" si="392"/>
        <v>124.77250000000001</v>
      </c>
      <c r="AY677" s="74">
        <f t="shared" si="393"/>
        <v>96.61</v>
      </c>
      <c r="AZ677" s="43">
        <v>96.61</v>
      </c>
      <c r="BA677" s="43">
        <v>96.61</v>
      </c>
      <c r="BB677" s="49">
        <v>96.61</v>
      </c>
      <c r="BC677" s="73" t="str">
        <f t="shared" si="394"/>
        <v/>
      </c>
      <c r="BD677" s="73">
        <f t="shared" si="395"/>
        <v>277.6825</v>
      </c>
      <c r="BE677" s="73">
        <f t="shared" si="396"/>
        <v>249.5230765</v>
      </c>
      <c r="BF677" s="77">
        <f t="shared" si="397"/>
        <v>28.16</v>
      </c>
      <c r="BG677" s="77">
        <f t="shared" si="398"/>
        <v>8.4480000000000004</v>
      </c>
      <c r="BH677" s="77">
        <f t="shared" si="399"/>
        <v>122.75250000000003</v>
      </c>
      <c r="BI677" s="78">
        <f t="shared" si="400"/>
        <v>0.23</v>
      </c>
      <c r="BJ677" s="79">
        <f t="shared" si="401"/>
        <v>0.10141078389887731</v>
      </c>
      <c r="BK677" s="80">
        <f t="shared" si="402"/>
        <v>251.53999999999996</v>
      </c>
      <c r="BL677" s="80">
        <f t="shared" si="403"/>
        <v>26.142500000000041</v>
      </c>
      <c r="BM677" s="79">
        <f t="shared" si="404"/>
        <v>9.4145291835099579E-2</v>
      </c>
      <c r="BN677" s="81">
        <f t="shared" si="405"/>
        <v>0.79188524590163933</v>
      </c>
      <c r="BO677" s="82">
        <f t="shared" si="406"/>
        <v>96.61</v>
      </c>
      <c r="BP677" s="81">
        <f t="shared" si="407"/>
        <v>0.79188524590163933</v>
      </c>
      <c r="BQ677" s="81">
        <f t="shared" si="408"/>
        <v>0.94879889628307079</v>
      </c>
      <c r="BR677" s="81">
        <f t="shared" si="409"/>
        <v>1.1630816831683168</v>
      </c>
      <c r="BS677" s="82">
        <f t="shared" si="410"/>
        <v>122</v>
      </c>
      <c r="BT677" s="82">
        <f t="shared" si="411"/>
        <v>141.89596534653467</v>
      </c>
      <c r="BU677" s="82">
        <f t="shared" si="412"/>
        <v>122.75250000000001</v>
      </c>
      <c r="BW677" s="82">
        <f>IFERROR(INDEX('Infos Clientes'!$T:$T,MATCH('Detalhe Por UC'!$C677,'Infos Clientes'!B:B,0)),"")</f>
        <v>393</v>
      </c>
      <c r="BX677" s="83">
        <f t="shared" si="413"/>
        <v>0</v>
      </c>
      <c r="BY677" s="84">
        <f t="shared" si="414"/>
        <v>0.18423709184510975</v>
      </c>
      <c r="BZ677" s="85">
        <f>IF(_xlfn.MINIFS('Detalhe Por UC'!R:R,'Detalhe Por UC'!C:C,C677,'Detalhe Por UC'!AD:AD,"&gt;"&amp;0)=0,"",_xlfn.MINIFS('Detalhe Por UC'!R:R,'Detalhe Por UC'!C:C,C677,'Detalhe Por UC'!AD:AD,"&gt;"&amp;0))</f>
        <v>45658</v>
      </c>
      <c r="CA677" s="114">
        <f ca="1">IF(OR(S677&gt;0,AD677&gt;0),IFERROR(
SUMIFS(INDIRECT("'Infos Clientes'!$W"&amp;INDEX('Infos Clientes'!$C:$C,MATCH(C677,'Infos Clientes'!$H:$H,0))&amp;":$CZ"&amp;INDEX('Infos Clientes'!$C:$C,MATCH(C677,'Infos Clientes'!$H:$H,0))),'Infos Clientes'!$W$2:$CZ$2,"&gt;"&amp;$R677-365,'Infos Clientes'!$W$2:$CZ$2,"&lt;="&amp;$R677)/
COUNTIFS(INDIRECT("'Infos Clientes'!$W"&amp;INDEX('Infos Clientes'!$C:$C,MATCH(C677,'Infos Clientes'!$H:$H,0))&amp;":$CZ"&amp;INDEX('Infos Clientes'!$C:$C,MATCH(C677,'Infos Clientes'!$H:$H,0))),"&gt;="&amp;0,'Infos Clientes'!$W$2:$CZ$2,"&gt;"&amp;$R677-365,'Infos Clientes'!$W$2:$CZ$2,"&lt;="&amp;$R677),""),"")</f>
        <v>225.91666666666666</v>
      </c>
      <c r="CB677" s="87">
        <f>VLOOKUP(C677,'Infos Clientes'!B:L,11,0)</f>
        <v>0</v>
      </c>
      <c r="CC677" s="88" t="str">
        <f t="shared" si="415"/>
        <v>A Unidade Consumidora 10/1674177-9 economizou R$28,16 na fatura referente à jul/2025  consumindo 122 kWh em créditos de energia renovável conforme fatura de energia. A economia foi de 22,94% em relação ao que seria pago para a Energisa considerando os créditos consumidos. Atenção: Mantenha as contas da Energisa em dia para evitar cortes.</v>
      </c>
      <c r="CD677" s="40" t="s">
        <v>165</v>
      </c>
      <c r="CE677" s="43">
        <v>154.93</v>
      </c>
      <c r="CF677" s="115">
        <f t="shared" si="416"/>
        <v>0</v>
      </c>
    </row>
    <row r="678" spans="1:84" ht="16.2" hidden="1" customHeight="1" x14ac:dyDescent="0.3">
      <c r="A678" s="105" t="str">
        <f>INDEX('Infos Clientes'!$D:$D,MATCH('Detalhe Por UC'!C678,'Infos Clientes'!B:B,0))</f>
        <v>IGREJA DO EVANGELHO QUADRANGULAR</v>
      </c>
      <c r="B678" s="106" t="str">
        <f>INDEX('Infos Clientes'!$F:$F,MATCH('Detalhe Por UC'!C678,'Infos Clientes'!B:B,0))</f>
        <v>62.955.505/1355-00</v>
      </c>
      <c r="C678" s="31" t="s">
        <v>219</v>
      </c>
      <c r="D678" t="s">
        <v>351</v>
      </c>
      <c r="E678" s="1" t="s">
        <v>352</v>
      </c>
      <c r="F678" s="56" t="str">
        <f>INDEX('Infos Clientes'!$I:$I,MATCH('Detalhe Por UC'!C678,'Infos Clientes'!B:B,0))</f>
        <v>BT</v>
      </c>
      <c r="G678" s="56" t="str">
        <f>INDEX('Infos Clientes'!$J:$J,MATCH('Detalhe Por UC'!C678,'Infos Clientes'!B:B,0))</f>
        <v>trifasico</v>
      </c>
      <c r="H678" s="108" t="s">
        <v>138</v>
      </c>
      <c r="I678" s="58">
        <f>IFERROR(VLOOKUP(C678,'Infos Clientes'!B:E,4,),"")</f>
        <v>319</v>
      </c>
      <c r="J678" s="109">
        <v>0.22939999999999999</v>
      </c>
      <c r="K678" s="79">
        <f>INDEX('Resumo Operacional'!$A$1:$P$151,MATCH("Desconto percentual Ucs",'Resumo Operacional'!$B$1:$B$151,0),MATCH('Detalhe Por UC'!$R678,'Resumo Operacional'!$A$1:$P$1,0))</f>
        <v>0.25212408425707711</v>
      </c>
      <c r="L678" s="125">
        <v>0</v>
      </c>
      <c r="M678" s="56">
        <f>INDEX('Infos Clientes'!$N:$N,MATCH('Detalhe Por UC'!C678,'Infos Clientes'!B:B,0))</f>
        <v>0</v>
      </c>
      <c r="N678" s="56">
        <f t="shared" si="381"/>
        <v>0</v>
      </c>
      <c r="O678" s="56">
        <f t="shared" si="382"/>
        <v>9</v>
      </c>
      <c r="P678" s="56">
        <f t="shared" si="417"/>
        <v>0</v>
      </c>
      <c r="Q678" s="61">
        <f>IFERROR(IFERROR(INDEX('Infos Clientes'!$A$2:$V$9884,MATCH($C678,'Infos Clientes'!$B$2:$B$9884,0),MATCH(Q$8,'Infos Clientes'!$A$2:$V$2,0)),"")
+IF(OR(INDEX('Infos Clientes'!$A$2:$V$9884,MATCH($C678,'Infos Clientes'!$B$2:$B$9884,0),MATCH("Tempo de Fidelidade (meses)",'Infos Clientes'!$A$2:$V$2,0))=0,R678&gt;=MAX(R:R)),0,
ROUND((MAX(R:R)-R678)/(365/12),0)),"")</f>
        <v>0</v>
      </c>
      <c r="R678" s="111">
        <v>45839</v>
      </c>
      <c r="S678" s="63">
        <v>2.35E-2</v>
      </c>
      <c r="T678" s="113" t="str">
        <f>IF($H678="GIROSSOL II",AP678/INDEX('Resumo Operacional'!$A$1:$P$1103,17,MATCH('Detalhe Por UC'!$R678,'Resumo Operacional'!$A$1:$P$1,0)),
IF($H678="GIROSSOL II e III",AP678/INDEX('Resumo Operacional'!$A$1:$P$1103,17,MATCH('Detalhe Por UC'!$R678,'Resumo Operacional'!$A$1:$P$1,0)),
""))</f>
        <v/>
      </c>
      <c r="U678" s="113">
        <f>IF($H678="GIROSSOL III",AP678/INDEX('Resumo Operacional'!$A$1:$P$1103,53,MATCH('Detalhe Por UC'!$R678,'Resumo Operacional'!$A$1:$P$1,0)),
IF($H678="GIROSSOL II e III",AP678/INDEX('Resumo Operacional'!$A$1:$P$1103,53,MATCH('Detalhe Por UC'!$R678,'Resumo Operacional'!$A$1:$P$1,0)),
""))</f>
        <v>4.4093630919978227E-2</v>
      </c>
      <c r="V678" s="45"/>
      <c r="X678">
        <v>1.1630445766898718</v>
      </c>
      <c r="Y678">
        <v>0</v>
      </c>
      <c r="Z678" s="18">
        <v>1.0061862181534313</v>
      </c>
      <c r="AA678">
        <v>0</v>
      </c>
      <c r="AB678" s="18">
        <v>292</v>
      </c>
      <c r="AC678">
        <v>0</v>
      </c>
      <c r="AD678" s="143">
        <v>231</v>
      </c>
      <c r="AE678" s="35"/>
      <c r="AF678" s="18">
        <v>174</v>
      </c>
      <c r="AG678">
        <v>0</v>
      </c>
      <c r="AH678" s="48">
        <v>65.789999999999992</v>
      </c>
      <c r="AI678">
        <v>0</v>
      </c>
      <c r="AJ678">
        <v>0</v>
      </c>
      <c r="AN678" s="71">
        <f t="shared" si="383"/>
        <v>174</v>
      </c>
      <c r="AO678" s="71">
        <f t="shared" si="384"/>
        <v>0</v>
      </c>
      <c r="AP678" s="71">
        <f t="shared" si="385"/>
        <v>405</v>
      </c>
      <c r="AQ678" s="72">
        <f>IF(OR($H678="GIROSSOL II",$H678="GIROSSOL II e III"),INDEX('Resumo Operacional'!$A$1:$P$1103,MATCH("Energia Injetada prevista total Fatura da Usina (TUSD)",'Resumo Operacional'!$B$1:$B$1103,0),MATCH('Detalhe Por UC'!$R678,'Resumo Operacional'!$A$1:$P$1,0))*$S678,INDEX('Resumo Operacional'!$A$1:$P$1103,53,MATCH('Detalhe Por UC'!$R678,'Resumo Operacional'!$A$1:$P$1,0))*$S678)</f>
        <v>215.8475</v>
      </c>
      <c r="AR678" s="71">
        <f t="shared" si="386"/>
        <v>189.1525</v>
      </c>
      <c r="AS678" s="73">
        <f t="shared" si="387"/>
        <v>172.96999999999991</v>
      </c>
      <c r="AT678" s="74">
        <f t="shared" si="388"/>
        <v>172.96999999999991</v>
      </c>
      <c r="AU678" s="74">
        <f t="shared" si="389"/>
        <v>0.84932785961699087</v>
      </c>
      <c r="AV678" s="74">
        <f t="shared" si="390"/>
        <v>179.10980003278689</v>
      </c>
      <c r="AW678" s="74">
        <f t="shared" si="391"/>
        <v>2.0200000000000102</v>
      </c>
      <c r="AX678" s="74">
        <f t="shared" si="392"/>
        <v>234.44901639344266</v>
      </c>
      <c r="AY678" s="74">
        <f t="shared" si="393"/>
        <v>181.13</v>
      </c>
      <c r="AZ678" s="43">
        <v>181.13</v>
      </c>
      <c r="BA678" s="43">
        <v>181.13</v>
      </c>
      <c r="BB678" s="49">
        <v>181.13</v>
      </c>
      <c r="BC678" s="73" t="str">
        <f t="shared" si="394"/>
        <v/>
      </c>
      <c r="BD678" s="73">
        <f t="shared" si="395"/>
        <v>405.39901639344259</v>
      </c>
      <c r="BE678" s="73">
        <f t="shared" si="396"/>
        <v>352.07980003278681</v>
      </c>
      <c r="BF678" s="77">
        <f t="shared" si="397"/>
        <v>53.32</v>
      </c>
      <c r="BG678" s="77">
        <f t="shared" si="398"/>
        <v>15.995999999999999</v>
      </c>
      <c r="BH678" s="77">
        <f t="shared" si="399"/>
        <v>232.42901639344262</v>
      </c>
      <c r="BI678" s="78">
        <f t="shared" si="400"/>
        <v>0.23</v>
      </c>
      <c r="BJ678" s="79">
        <f t="shared" si="401"/>
        <v>0.13152473943906309</v>
      </c>
      <c r="BK678" s="80">
        <f t="shared" si="402"/>
        <v>354.09999999999991</v>
      </c>
      <c r="BL678" s="80">
        <f t="shared" si="403"/>
        <v>51.299016393442685</v>
      </c>
      <c r="BM678" s="79">
        <f t="shared" si="404"/>
        <v>0.12653956797876548</v>
      </c>
      <c r="BN678" s="81">
        <f t="shared" si="405"/>
        <v>0.78411255411255409</v>
      </c>
      <c r="BO678" s="82">
        <f t="shared" si="406"/>
        <v>181.13</v>
      </c>
      <c r="BP678" s="81">
        <f t="shared" si="407"/>
        <v>0.78411255411255409</v>
      </c>
      <c r="BQ678" s="81">
        <f t="shared" si="408"/>
        <v>0.94097091264899457</v>
      </c>
      <c r="BR678" s="81">
        <f t="shared" si="409"/>
        <v>1.1630445766898718</v>
      </c>
      <c r="BS678" s="82">
        <f t="shared" si="410"/>
        <v>231</v>
      </c>
      <c r="BT678" s="82">
        <f t="shared" si="411"/>
        <v>268.66329721536039</v>
      </c>
      <c r="BU678" s="82">
        <f t="shared" si="412"/>
        <v>232.42901639344265</v>
      </c>
      <c r="BW678" s="82">
        <f>IFERROR(INDEX('Infos Clientes'!$T:$T,MATCH('Detalhe Por UC'!$C678,'Infos Clientes'!B:B,0)),"")</f>
        <v>385.63636363636363</v>
      </c>
      <c r="BX678" s="83">
        <f t="shared" si="413"/>
        <v>0</v>
      </c>
      <c r="BY678" s="84">
        <f t="shared" si="414"/>
        <v>0.19094166164543636</v>
      </c>
      <c r="BZ678" s="85">
        <f>IF(_xlfn.MINIFS('Detalhe Por UC'!R:R,'Detalhe Por UC'!C:C,C678,'Detalhe Por UC'!AD:AD,"&gt;"&amp;0)=0,"",_xlfn.MINIFS('Detalhe Por UC'!R:R,'Detalhe Por UC'!C:C,C678,'Detalhe Por UC'!AD:AD,"&gt;"&amp;0))</f>
        <v>45658</v>
      </c>
      <c r="CA678" s="114">
        <f ca="1">IF(OR(S678&gt;0,AD678&gt;0),IFERROR(
SUMIFS(INDIRECT("'Infos Clientes'!$W"&amp;INDEX('Infos Clientes'!$C:$C,MATCH(C678,'Infos Clientes'!$H:$H,0))&amp;":$CZ"&amp;INDEX('Infos Clientes'!$C:$C,MATCH(C678,'Infos Clientes'!$H:$H,0))),'Infos Clientes'!$W$2:$CZ$2,"&gt;"&amp;$R678-365,'Infos Clientes'!$W$2:$CZ$2,"&lt;="&amp;$R678)/
COUNTIFS(INDIRECT("'Infos Clientes'!$W"&amp;INDEX('Infos Clientes'!$C:$C,MATCH(C678,'Infos Clientes'!$H:$H,0))&amp;":$CZ"&amp;INDEX('Infos Clientes'!$C:$C,MATCH(C678,'Infos Clientes'!$H:$H,0))),"&gt;="&amp;0,'Infos Clientes'!$W$2:$CZ$2,"&gt;"&amp;$R678-365,'Infos Clientes'!$W$2:$CZ$2,"&lt;="&amp;$R678),""),"")</f>
        <v>381.58333333333331</v>
      </c>
      <c r="CB678" s="87">
        <f>VLOOKUP(C678,'Infos Clientes'!B:L,11,0)</f>
        <v>0</v>
      </c>
      <c r="CC678" s="88" t="str">
        <f t="shared" si="415"/>
        <v>A Unidade Consumidora 10/63920-3 economizou R$53,32 na fatura referente à jul/2025  consumindo 231 kWh em créditos de energia renovável conforme fatura de energia. A economia foi de 22,94% em relação ao que seria pago para a Energisa considerando os créditos consumidos. Atenção: Mantenha as contas da Energisa em dia para evitar cortes.</v>
      </c>
      <c r="CD678" s="40" t="s">
        <v>221</v>
      </c>
      <c r="CE678" s="43">
        <v>172.97</v>
      </c>
      <c r="CF678" s="115">
        <f t="shared" si="416"/>
        <v>0</v>
      </c>
    </row>
    <row r="679" spans="1:84" ht="16.2" hidden="1" customHeight="1" x14ac:dyDescent="0.3">
      <c r="A679" s="105" t="str">
        <f>INDEX('Infos Clientes'!$D:$D,MATCH('Detalhe Por UC'!C679,'Infos Clientes'!B:B,0))</f>
        <v>IGREJA DO EVANGELHO QUADRANGULAR</v>
      </c>
      <c r="B679" s="106" t="str">
        <f>INDEX('Infos Clientes'!$F:$F,MATCH('Detalhe Por UC'!C679,'Infos Clientes'!B:B,0))</f>
        <v>62.955.505/0154-31</v>
      </c>
      <c r="C679" s="31" t="s">
        <v>183</v>
      </c>
      <c r="D679" t="s">
        <v>351</v>
      </c>
      <c r="E679" s="1" t="s">
        <v>352</v>
      </c>
      <c r="F679" s="56" t="str">
        <f>INDEX('Infos Clientes'!$I:$I,MATCH('Detalhe Por UC'!C679,'Infos Clientes'!B:B,0))</f>
        <v>BT</v>
      </c>
      <c r="G679" s="56" t="str">
        <f>INDEX('Infos Clientes'!$J:$J,MATCH('Detalhe Por UC'!C679,'Infos Clientes'!B:B,0))</f>
        <v>bifasico</v>
      </c>
      <c r="H679" s="108" t="s">
        <v>138</v>
      </c>
      <c r="I679" s="58">
        <f>IFERROR(VLOOKUP(C679,'Infos Clientes'!B:E,4,),"")</f>
        <v>319</v>
      </c>
      <c r="J679" s="109">
        <v>0.22939999999999999</v>
      </c>
      <c r="K679" s="79">
        <f>INDEX('Resumo Operacional'!$A$1:$P$151,MATCH("Desconto percentual Ucs",'Resumo Operacional'!$B$1:$B$151,0),MATCH('Detalhe Por UC'!$R679,'Resumo Operacional'!$A$1:$P$1,0))</f>
        <v>0.25212408425707711</v>
      </c>
      <c r="L679" s="125">
        <v>0</v>
      </c>
      <c r="M679" s="56">
        <f>INDEX('Infos Clientes'!$N:$N,MATCH('Detalhe Por UC'!C679,'Infos Clientes'!B:B,0))</f>
        <v>0</v>
      </c>
      <c r="N679" s="56">
        <f t="shared" si="381"/>
        <v>0</v>
      </c>
      <c r="O679" s="56">
        <f t="shared" si="382"/>
        <v>9</v>
      </c>
      <c r="P679" s="56">
        <f t="shared" si="417"/>
        <v>0</v>
      </c>
      <c r="Q679" s="61">
        <f>IFERROR(IFERROR(INDEX('Infos Clientes'!$A$2:$V$9884,MATCH($C679,'Infos Clientes'!$B$2:$B$9884,0),MATCH(Q$8,'Infos Clientes'!$A$2:$V$2,0)),"")
+IF(OR(INDEX('Infos Clientes'!$A$2:$V$9884,MATCH($C679,'Infos Clientes'!$B$2:$B$9884,0),MATCH("Tempo de Fidelidade (meses)",'Infos Clientes'!$A$2:$V$2,0))=0,R679&gt;=MAX(R:R)),0,
ROUND((MAX(R:R)-R679)/(365/12),0)),"")</f>
        <v>0</v>
      </c>
      <c r="R679" s="111">
        <v>45839</v>
      </c>
      <c r="S679" s="63">
        <v>2.3400000000000001E-2</v>
      </c>
      <c r="T679" s="113" t="str">
        <f>IF($H679="GIROSSOL II",AP679/INDEX('Resumo Operacional'!$A$1:$P$1103,17,MATCH('Detalhe Por UC'!$R679,'Resumo Operacional'!$A$1:$P$1,0)),
IF($H679="GIROSSOL II e III",AP679/INDEX('Resumo Operacional'!$A$1:$P$1103,17,MATCH('Detalhe Por UC'!$R679,'Resumo Operacional'!$A$1:$P$1,0)),
""))</f>
        <v/>
      </c>
      <c r="U679" s="113">
        <f>IF($H679="GIROSSOL III",AP679/INDEX('Resumo Operacional'!$A$1:$P$1103,53,MATCH('Detalhe Por UC'!$R679,'Resumo Operacional'!$A$1:$P$1,0)),
IF($H679="GIROSSOL II e III",AP679/INDEX('Resumo Operacional'!$A$1:$P$1103,53,MATCH('Detalhe Por UC'!$R679,'Resumo Operacional'!$A$1:$P$1,0)),
""))</f>
        <v>4.3875884594447467E-2</v>
      </c>
      <c r="V679" s="45"/>
      <c r="X679">
        <v>1.1618181818181819</v>
      </c>
      <c r="Y679">
        <v>0</v>
      </c>
      <c r="Z679" s="18">
        <v>1.004964788732394</v>
      </c>
      <c r="AA679">
        <v>0</v>
      </c>
      <c r="AB679" s="18">
        <v>286</v>
      </c>
      <c r="AC679">
        <v>0</v>
      </c>
      <c r="AD679" s="143">
        <v>284</v>
      </c>
      <c r="AE679" s="35"/>
      <c r="AF679" s="18">
        <v>119</v>
      </c>
      <c r="AG679">
        <v>0</v>
      </c>
      <c r="AH679" s="48">
        <v>51.7</v>
      </c>
      <c r="AI679">
        <v>0</v>
      </c>
      <c r="AJ679">
        <v>0</v>
      </c>
      <c r="AN679" s="71">
        <f t="shared" si="383"/>
        <v>119</v>
      </c>
      <c r="AO679" s="71">
        <f t="shared" si="384"/>
        <v>0</v>
      </c>
      <c r="AP679" s="71">
        <f t="shared" si="385"/>
        <v>403</v>
      </c>
      <c r="AQ679" s="72">
        <f>IF(OR($H679="GIROSSOL II",$H679="GIROSSOL II e III"),INDEX('Resumo Operacional'!$A$1:$P$1103,MATCH("Energia Injetada prevista total Fatura da Usina (TUSD)",'Resumo Operacional'!$B$1:$B$1103,0),MATCH('Detalhe Por UC'!$R679,'Resumo Operacional'!$A$1:$P$1,0))*$S679,INDEX('Resumo Operacional'!$A$1:$P$1103,53,MATCH('Detalhe Por UC'!$R679,'Resumo Operacional'!$A$1:$P$1,0))*$S679)</f>
        <v>214.929</v>
      </c>
      <c r="AR679" s="71">
        <f t="shared" si="386"/>
        <v>188.071</v>
      </c>
      <c r="AS679" s="73">
        <f t="shared" si="387"/>
        <v>98.570000000000121</v>
      </c>
      <c r="AT679" s="74">
        <f t="shared" si="388"/>
        <v>98.570000000000121</v>
      </c>
      <c r="AU679" s="74">
        <f t="shared" si="389"/>
        <v>0.8481113956466062</v>
      </c>
      <c r="AV679" s="74">
        <f t="shared" si="390"/>
        <v>219.93694599999992</v>
      </c>
      <c r="AW679" s="74">
        <f t="shared" si="391"/>
        <v>0</v>
      </c>
      <c r="AX679" s="74">
        <f t="shared" si="392"/>
        <v>285.40999999999991</v>
      </c>
      <c r="AY679" s="74">
        <f t="shared" si="393"/>
        <v>219.94</v>
      </c>
      <c r="AZ679" s="43">
        <v>219.94</v>
      </c>
      <c r="BA679" s="43">
        <v>219.94</v>
      </c>
      <c r="BB679" s="49">
        <v>219.94</v>
      </c>
      <c r="BC679" s="73" t="str">
        <f t="shared" si="394"/>
        <v/>
      </c>
      <c r="BD679" s="73">
        <f t="shared" si="395"/>
        <v>383.98</v>
      </c>
      <c r="BE679" s="73">
        <f t="shared" si="396"/>
        <v>318.50694600000003</v>
      </c>
      <c r="BF679" s="77">
        <f t="shared" si="397"/>
        <v>65.47</v>
      </c>
      <c r="BG679" s="77">
        <f t="shared" si="398"/>
        <v>19.640999999999998</v>
      </c>
      <c r="BH679" s="77">
        <f t="shared" si="399"/>
        <v>285.40999999999991</v>
      </c>
      <c r="BI679" s="78">
        <f t="shared" si="400"/>
        <v>0.23</v>
      </c>
      <c r="BJ679" s="79">
        <f t="shared" si="401"/>
        <v>0.17050367206625344</v>
      </c>
      <c r="BK679" s="80">
        <f t="shared" si="402"/>
        <v>318.5100000000001</v>
      </c>
      <c r="BL679" s="80">
        <f t="shared" si="403"/>
        <v>65.469999999999914</v>
      </c>
      <c r="BM679" s="79">
        <f t="shared" si="404"/>
        <v>0.17050367206625322</v>
      </c>
      <c r="BN679" s="81">
        <f t="shared" si="405"/>
        <v>0.7744366197183099</v>
      </c>
      <c r="BO679" s="82">
        <f t="shared" si="406"/>
        <v>219.94000000000003</v>
      </c>
      <c r="BP679" s="81">
        <f t="shared" si="407"/>
        <v>0.7744366197183099</v>
      </c>
      <c r="BQ679" s="81">
        <f t="shared" si="408"/>
        <v>0.93129001280409773</v>
      </c>
      <c r="BR679" s="81">
        <f t="shared" si="409"/>
        <v>1.1618181818181819</v>
      </c>
      <c r="BS679" s="82">
        <f t="shared" si="410"/>
        <v>284</v>
      </c>
      <c r="BT679" s="82">
        <f t="shared" si="411"/>
        <v>329.95636363636368</v>
      </c>
      <c r="BU679" s="82">
        <f t="shared" si="412"/>
        <v>285.40999999999991</v>
      </c>
      <c r="BW679" s="82">
        <f>IFERROR(INDEX('Infos Clientes'!$T:$T,MATCH('Detalhe Por UC'!$C679,'Infos Clientes'!B:B,0)),"")</f>
        <v>250.27272727272728</v>
      </c>
      <c r="BX679" s="83">
        <f t="shared" si="413"/>
        <v>0</v>
      </c>
      <c r="BY679" s="84">
        <f t="shared" si="414"/>
        <v>0.19842017677268586</v>
      </c>
      <c r="BZ679" s="85">
        <f>IF(_xlfn.MINIFS('Detalhe Por UC'!R:R,'Detalhe Por UC'!C:C,C679,'Detalhe Por UC'!AD:AD,"&gt;"&amp;0)=0,"",_xlfn.MINIFS('Detalhe Por UC'!R:R,'Detalhe Por UC'!C:C,C679,'Detalhe Por UC'!AD:AD,"&gt;"&amp;0))</f>
        <v>45658</v>
      </c>
      <c r="CA679" s="114">
        <f ca="1">IF(OR(S679&gt;0,AD679&gt;0),IFERROR(
SUMIFS(INDIRECT("'Infos Clientes'!$W"&amp;INDEX('Infos Clientes'!$C:$C,MATCH(C679,'Infos Clientes'!$H:$H,0))&amp;":$CZ"&amp;INDEX('Infos Clientes'!$C:$C,MATCH(C679,'Infos Clientes'!$H:$H,0))),'Infos Clientes'!$W$2:$CZ$2,"&gt;"&amp;$R679-365,'Infos Clientes'!$W$2:$CZ$2,"&lt;="&amp;$R679)/
COUNTIFS(INDIRECT("'Infos Clientes'!$W"&amp;INDEX('Infos Clientes'!$C:$C,MATCH(C679,'Infos Clientes'!$H:$H,0))&amp;":$CZ"&amp;INDEX('Infos Clientes'!$C:$C,MATCH(C679,'Infos Clientes'!$H:$H,0))),"&gt;="&amp;0,'Infos Clientes'!$W$2:$CZ$2,"&gt;"&amp;$R679-365,'Infos Clientes'!$W$2:$CZ$2,"&lt;="&amp;$R679),""),"")</f>
        <v>291.58333333333331</v>
      </c>
      <c r="CB679" s="87">
        <f>VLOOKUP(C679,'Infos Clientes'!B:L,11,0)</f>
        <v>0</v>
      </c>
      <c r="CC679" s="88" t="str">
        <f t="shared" si="415"/>
        <v>A Unidade Consumidora 10/3040565-8 economizou R$65,47 na fatura referente à jul/2025  consumindo 284 kWh em créditos de energia renovável conforme fatura de energia. A economia foi de 22,94% em relação ao que seria pago para a Energisa considerando os créditos consumidos. Atenção: Mantenha as contas da Energisa em dia para evitar cortes.</v>
      </c>
      <c r="CD679" s="40" t="s">
        <v>27</v>
      </c>
      <c r="CE679" s="43">
        <v>98.57</v>
      </c>
      <c r="CF679" s="115">
        <f t="shared" si="416"/>
        <v>-1.2789769243681803E-13</v>
      </c>
    </row>
    <row r="680" spans="1:84" ht="15" hidden="1" customHeight="1" x14ac:dyDescent="0.3">
      <c r="A680" s="105" t="str">
        <f>INDEX('Infos Clientes'!$D:$D,MATCH('Detalhe Por UC'!C680,'Infos Clientes'!B:B,0))</f>
        <v>IGREJA DO EVANGELHO QUADRANGULAR</v>
      </c>
      <c r="B680" s="106" t="str">
        <f>INDEX('Infos Clientes'!$F:$F,MATCH('Detalhe Por UC'!C680,'Infos Clientes'!B:B,0))</f>
        <v>62.955.505/4051-40</v>
      </c>
      <c r="C680" s="31" t="s">
        <v>152</v>
      </c>
      <c r="D680" t="s">
        <v>351</v>
      </c>
      <c r="E680" s="1" t="s">
        <v>352</v>
      </c>
      <c r="F680" s="56" t="str">
        <f>INDEX('Infos Clientes'!$I:$I,MATCH('Detalhe Por UC'!C680,'Infos Clientes'!B:B,0))</f>
        <v>BT</v>
      </c>
      <c r="G680" s="56" t="str">
        <f>INDEX('Infos Clientes'!$J:$J,MATCH('Detalhe Por UC'!C680,'Infos Clientes'!B:B,0))</f>
        <v>bifasico</v>
      </c>
      <c r="H680" s="108" t="s">
        <v>138</v>
      </c>
      <c r="I680" s="58">
        <f>IFERROR(VLOOKUP(C680,'Infos Clientes'!B:E,4,),"")</f>
        <v>351</v>
      </c>
      <c r="J680" s="109">
        <v>0.22939999999999999</v>
      </c>
      <c r="K680" s="79">
        <f>INDEX('Resumo Operacional'!$A$1:$P$151,MATCH("Desconto percentual Ucs",'Resumo Operacional'!$B$1:$B$151,0),MATCH('Detalhe Por UC'!$R680,'Resumo Operacional'!$A$1:$P$1,0))</f>
        <v>0.25212408425707711</v>
      </c>
      <c r="L680" s="125">
        <v>0</v>
      </c>
      <c r="M680" s="56">
        <f>INDEX('Infos Clientes'!$N:$N,MATCH('Detalhe Por UC'!C680,'Infos Clientes'!B:B,0))</f>
        <v>0</v>
      </c>
      <c r="N680" s="56">
        <f t="shared" si="381"/>
        <v>0</v>
      </c>
      <c r="O680" s="56">
        <f t="shared" si="382"/>
        <v>9</v>
      </c>
      <c r="P680" s="56">
        <f t="shared" si="417"/>
        <v>0</v>
      </c>
      <c r="Q680" s="61">
        <f>IFERROR(IFERROR(INDEX('Infos Clientes'!$A$2:$V$9884,MATCH($C680,'Infos Clientes'!$B$2:$B$9884,0),MATCH(Q$8,'Infos Clientes'!$A$2:$V$2,0)),"")
+IF(OR(INDEX('Infos Clientes'!$A$2:$V$9884,MATCH($C680,'Infos Clientes'!$B$2:$B$9884,0),MATCH("Tempo de Fidelidade (meses)",'Infos Clientes'!$A$2:$V$2,0))=0,R680&gt;=MAX(R:R)),0,
ROUND((MAX(R:R)-R680)/(365/12),0)),"")</f>
        <v>0</v>
      </c>
      <c r="R680" s="111">
        <v>45839</v>
      </c>
      <c r="S680" s="63">
        <v>2.2800000000000001E-2</v>
      </c>
      <c r="T680" s="113" t="str">
        <f>IF($H680="GIROSSOL II",AP680/INDEX('Resumo Operacional'!$A$1:$P$1103,17,MATCH('Detalhe Por UC'!$R680,'Resumo Operacional'!$A$1:$P$1,0)),
IF($H680="GIROSSOL II e III",AP680/INDEX('Resumo Operacional'!$A$1:$P$1103,17,MATCH('Detalhe Por UC'!$R680,'Resumo Operacional'!$A$1:$P$1,0)),
""))</f>
        <v/>
      </c>
      <c r="U680" s="113">
        <f>IF($H680="GIROSSOL III",AP680/INDEX('Resumo Operacional'!$A$1:$P$1103,53,MATCH('Detalhe Por UC'!$R680,'Resumo Operacional'!$A$1:$P$1,0)),
IF($H680="GIROSSOL II e III",AP680/INDEX('Resumo Operacional'!$A$1:$P$1103,53,MATCH('Detalhe Por UC'!$R680,'Resumo Operacional'!$A$1:$P$1,0)),
""))</f>
        <v>4.2787152966793689E-2</v>
      </c>
      <c r="V680" s="45"/>
      <c r="X680">
        <v>1.1630848623853209</v>
      </c>
      <c r="Y680">
        <v>0</v>
      </c>
      <c r="Z680" s="18">
        <v>1.0062004950495049</v>
      </c>
      <c r="AA680">
        <v>0</v>
      </c>
      <c r="AB680" s="18">
        <v>218</v>
      </c>
      <c r="AC680">
        <v>0</v>
      </c>
      <c r="AD680" s="143">
        <v>202</v>
      </c>
      <c r="AE680" s="35"/>
      <c r="AF680" s="18">
        <v>191</v>
      </c>
      <c r="AG680">
        <v>0</v>
      </c>
      <c r="AH680" s="48">
        <v>23.31</v>
      </c>
      <c r="AI680">
        <v>0</v>
      </c>
      <c r="AJ680">
        <v>0</v>
      </c>
      <c r="AN680" s="71">
        <f t="shared" si="383"/>
        <v>191</v>
      </c>
      <c r="AO680" s="71">
        <f t="shared" si="384"/>
        <v>0</v>
      </c>
      <c r="AP680" s="71">
        <f t="shared" si="385"/>
        <v>393</v>
      </c>
      <c r="AQ680" s="72">
        <f>IF(OR($H680="GIROSSOL II",$H680="GIROSSOL II e III"),INDEX('Resumo Operacional'!$A$1:$P$1103,MATCH("Energia Injetada prevista total Fatura da Usina (TUSD)",'Resumo Operacional'!$B$1:$B$1103,0),MATCH('Detalhe Por UC'!$R680,'Resumo Operacional'!$A$1:$P$1,0))*$S680,INDEX('Resumo Operacional'!$A$1:$P$1103,53,MATCH('Detalhe Por UC'!$R680,'Resumo Operacional'!$A$1:$P$1,0))*$S680)</f>
        <v>209.41800000000001</v>
      </c>
      <c r="AR680" s="71">
        <f t="shared" si="386"/>
        <v>183.58199999999999</v>
      </c>
      <c r="AS680" s="73">
        <f t="shared" si="387"/>
        <v>73.609999999999957</v>
      </c>
      <c r="AT680" s="74">
        <f t="shared" si="388"/>
        <v>73.609999999999957</v>
      </c>
      <c r="AU680" s="74">
        <f t="shared" si="389"/>
        <v>0.84931612771368892</v>
      </c>
      <c r="AV680" s="74">
        <f t="shared" si="390"/>
        <v>156.62637649999999</v>
      </c>
      <c r="AW680" s="74">
        <f t="shared" si="391"/>
        <v>0</v>
      </c>
      <c r="AX680" s="74">
        <f t="shared" si="392"/>
        <v>203.2525</v>
      </c>
      <c r="AY680" s="74">
        <f t="shared" si="393"/>
        <v>156.63</v>
      </c>
      <c r="AZ680" s="43">
        <v>156.63</v>
      </c>
      <c r="BA680" s="43">
        <v>156.63</v>
      </c>
      <c r="BB680" s="49">
        <v>203.25</v>
      </c>
      <c r="BC680" s="73">
        <f t="shared" si="394"/>
        <v>46.620000000000005</v>
      </c>
      <c r="BD680" s="73">
        <f t="shared" si="395"/>
        <v>276.86249999999995</v>
      </c>
      <c r="BE680" s="73">
        <f t="shared" si="396"/>
        <v>230.23637649999995</v>
      </c>
      <c r="BF680" s="77">
        <f t="shared" si="397"/>
        <v>46.63</v>
      </c>
      <c r="BG680" s="77">
        <f t="shared" si="398"/>
        <v>13.989000000000001</v>
      </c>
      <c r="BH680" s="77">
        <f t="shared" si="399"/>
        <v>203.2525</v>
      </c>
      <c r="BI680" s="78">
        <f t="shared" si="400"/>
        <v>0.23</v>
      </c>
      <c r="BJ680" s="79">
        <f t="shared" si="401"/>
        <v>0.16842295363221821</v>
      </c>
      <c r="BK680" s="80">
        <f t="shared" si="402"/>
        <v>230.23999999999995</v>
      </c>
      <c r="BL680" s="80">
        <f t="shared" si="403"/>
        <v>46.622500000000002</v>
      </c>
      <c r="BM680" s="79">
        <f t="shared" si="404"/>
        <v>0.16839586437310944</v>
      </c>
      <c r="BN680" s="81">
        <f t="shared" si="405"/>
        <v>0.77539603960396042</v>
      </c>
      <c r="BO680" s="82">
        <f t="shared" si="406"/>
        <v>156.63</v>
      </c>
      <c r="BP680" s="81">
        <f t="shared" si="407"/>
        <v>0.77539603960396042</v>
      </c>
      <c r="BQ680" s="81">
        <f t="shared" si="408"/>
        <v>0.93228040693977643</v>
      </c>
      <c r="BR680" s="81">
        <f t="shared" si="409"/>
        <v>1.1630848623853209</v>
      </c>
      <c r="BS680" s="82">
        <f t="shared" si="410"/>
        <v>202</v>
      </c>
      <c r="BT680" s="82">
        <f t="shared" si="411"/>
        <v>234.94314220183483</v>
      </c>
      <c r="BU680" s="82">
        <f t="shared" si="412"/>
        <v>203.2525</v>
      </c>
      <c r="BW680" s="82">
        <f>IFERROR(INDEX('Infos Clientes'!$T:$T,MATCH('Detalhe Por UC'!$C680,'Infos Clientes'!B:B,0)),"")</f>
        <v>246.72727272727272</v>
      </c>
      <c r="BX680" s="83">
        <f t="shared" si="413"/>
        <v>0</v>
      </c>
      <c r="BY680" s="84">
        <f t="shared" si="414"/>
        <v>0.19844162959201234</v>
      </c>
      <c r="BZ680" s="85">
        <f>IF(_xlfn.MINIFS('Detalhe Por UC'!R:R,'Detalhe Por UC'!C:C,C680,'Detalhe Por UC'!AD:AD,"&gt;"&amp;0)=0,"",_xlfn.MINIFS('Detalhe Por UC'!R:R,'Detalhe Por UC'!C:C,C680,'Detalhe Por UC'!AD:AD,"&gt;"&amp;0))</f>
        <v>45658</v>
      </c>
      <c r="CA680" s="114">
        <f ca="1">IF(OR(S680&gt;0,AD680&gt;0),IFERROR(
SUMIFS(INDIRECT("'Infos Clientes'!$W"&amp;INDEX('Infos Clientes'!$C:$C,MATCH(C680,'Infos Clientes'!$H:$H,0))&amp;":$CZ"&amp;INDEX('Infos Clientes'!$C:$C,MATCH(C680,'Infos Clientes'!$H:$H,0))),'Infos Clientes'!$W$2:$CZ$2,"&gt;"&amp;$R680-365,'Infos Clientes'!$W$2:$CZ$2,"&lt;="&amp;$R680)/
COUNTIFS(INDIRECT("'Infos Clientes'!$W"&amp;INDEX('Infos Clientes'!$C:$C,MATCH(C680,'Infos Clientes'!$H:$H,0))&amp;":$CZ"&amp;INDEX('Infos Clientes'!$C:$C,MATCH(C680,'Infos Clientes'!$H:$H,0))),"&gt;="&amp;0,'Infos Clientes'!$W$2:$CZ$2,"&gt;"&amp;$R680-365,'Infos Clientes'!$W$2:$CZ$2,"&lt;="&amp;$R680),""),"")</f>
        <v>276.58333333333331</v>
      </c>
      <c r="CB680" s="87">
        <f>VLOOKUP(C680,'Infos Clientes'!B:L,11,0)</f>
        <v>0</v>
      </c>
      <c r="CC680" s="88" t="str">
        <f t="shared" si="415"/>
        <v>A Unidade Consumidora 10/129490-9 economizou R$46,63 na fatura referente à jul/2025  consumindo 202 kWh em créditos de energia renovável conforme fatura de energia. A economia foi de 22,94% em relação ao que seria pago para a Energisa considerando os créditos consumidos. Atenção: Mantenha as contas da Energisa em dia para evitar cortes.</v>
      </c>
      <c r="CD680" s="40" t="s">
        <v>141</v>
      </c>
      <c r="CE680" s="43">
        <v>73.61</v>
      </c>
      <c r="CF680" s="115">
        <f t="shared" si="416"/>
        <v>0</v>
      </c>
    </row>
    <row r="681" spans="1:84" ht="15.75" hidden="1" customHeight="1" x14ac:dyDescent="0.3">
      <c r="A681" s="105" t="str">
        <f>INDEX('Infos Clientes'!$D:$D,MATCH('Detalhe Por UC'!C681,'Infos Clientes'!B:B,0))</f>
        <v>IGREJA DO EVANGELHO QUADRANGULAR</v>
      </c>
      <c r="B681" s="106" t="str">
        <f>INDEX('Infos Clientes'!$F:$F,MATCH('Detalhe Por UC'!C681,'Infos Clientes'!B:B,0))</f>
        <v>62.955.505/1775-04</v>
      </c>
      <c r="C681" s="31" t="s">
        <v>199</v>
      </c>
      <c r="D681" t="s">
        <v>351</v>
      </c>
      <c r="E681" s="1" t="s">
        <v>352</v>
      </c>
      <c r="F681" s="56" t="str">
        <f>INDEX('Infos Clientes'!$I:$I,MATCH('Detalhe Por UC'!C681,'Infos Clientes'!B:B,0))</f>
        <v>BT</v>
      </c>
      <c r="G681" s="56" t="str">
        <f>INDEX('Infos Clientes'!$J:$J,MATCH('Detalhe Por UC'!C681,'Infos Clientes'!B:B,0))</f>
        <v>bifasico</v>
      </c>
      <c r="H681" s="108" t="s">
        <v>138</v>
      </c>
      <c r="I681" s="58">
        <f>IFERROR(VLOOKUP(C681,'Infos Clientes'!B:E,4,),"")</f>
        <v>319</v>
      </c>
      <c r="J681" s="109">
        <v>0.22939999999999999</v>
      </c>
      <c r="K681" s="79">
        <f>INDEX('Resumo Operacional'!$A$1:$P$151,MATCH("Desconto percentual Ucs",'Resumo Operacional'!$B$1:$B$151,0),MATCH('Detalhe Por UC'!$R681,'Resumo Operacional'!$A$1:$P$1,0))</f>
        <v>0.25212408425707711</v>
      </c>
      <c r="L681" s="125">
        <v>0</v>
      </c>
      <c r="M681" s="56">
        <f>INDEX('Infos Clientes'!$N:$N,MATCH('Detalhe Por UC'!C681,'Infos Clientes'!B:B,0))</f>
        <v>0</v>
      </c>
      <c r="N681" s="56">
        <f t="shared" si="381"/>
        <v>0</v>
      </c>
      <c r="O681" s="56">
        <f t="shared" si="382"/>
        <v>5</v>
      </c>
      <c r="P681" s="56">
        <f t="shared" si="417"/>
        <v>0</v>
      </c>
      <c r="Q681" s="61">
        <f>IFERROR(IFERROR(INDEX('Infos Clientes'!$A$2:$V$9884,MATCH($C681,'Infos Clientes'!$B$2:$B$9884,0),MATCH(Q$8,'Infos Clientes'!$A$2:$V$2,0)),"")
+IF(OR(INDEX('Infos Clientes'!$A$2:$V$9884,MATCH($C681,'Infos Clientes'!$B$2:$B$9884,0),MATCH("Tempo de Fidelidade (meses)",'Infos Clientes'!$A$2:$V$2,0))=0,R681&gt;=MAX(R:R)),0,
ROUND((MAX(R:R)-R681)/(365/12),0)),"")</f>
        <v>0</v>
      </c>
      <c r="R681" s="111">
        <v>45839</v>
      </c>
      <c r="S681" s="63">
        <v>2.2700000000000001E-2</v>
      </c>
      <c r="T681" s="113" t="str">
        <f>IF($H681="GIROSSOL II",AP681/INDEX('Resumo Operacional'!$A$1:$P$1103,17,MATCH('Detalhe Por UC'!$R681,'Resumo Operacional'!$A$1:$P$1,0)),
IF($H681="GIROSSOL II e III",AP681/INDEX('Resumo Operacional'!$A$1:$P$1103,17,MATCH('Detalhe Por UC'!$R681,'Resumo Operacional'!$A$1:$P$1,0)),
""))</f>
        <v/>
      </c>
      <c r="U681" s="113">
        <f>IF($H681="GIROSSOL III",AP681/INDEX('Resumo Operacional'!$A$1:$P$1103,53,MATCH('Detalhe Por UC'!$R681,'Resumo Operacional'!$A$1:$P$1,0)),
IF($H681="GIROSSOL II e III",AP681/INDEX('Resumo Operacional'!$A$1:$P$1103,53,MATCH('Detalhe Por UC'!$R681,'Resumo Operacional'!$A$1:$P$1,0)),
""))</f>
        <v>2.7327163854109961E-2</v>
      </c>
      <c r="V681" s="45"/>
      <c r="X681">
        <v>1.1630839768339769</v>
      </c>
      <c r="Y681">
        <v>0</v>
      </c>
      <c r="Z681" s="18">
        <v>1.0061703187250994</v>
      </c>
      <c r="AA681">
        <v>0</v>
      </c>
      <c r="AB681" s="18">
        <v>259</v>
      </c>
      <c r="AC681">
        <v>0</v>
      </c>
      <c r="AD681" s="143">
        <v>251</v>
      </c>
      <c r="AE681" s="35"/>
      <c r="AF681" s="18"/>
      <c r="AH681" s="48">
        <v>65.239999999999995</v>
      </c>
      <c r="AI681">
        <v>0</v>
      </c>
      <c r="AJ681">
        <v>0</v>
      </c>
      <c r="AN681" s="71">
        <f t="shared" si="383"/>
        <v>0</v>
      </c>
      <c r="AO681" s="71">
        <f t="shared" si="384"/>
        <v>0</v>
      </c>
      <c r="AP681" s="71">
        <f t="shared" si="385"/>
        <v>251</v>
      </c>
      <c r="AQ681" s="72">
        <f>IF(OR($H681="GIROSSOL II",$H681="GIROSSOL II e III"),INDEX('Resumo Operacional'!$A$1:$P$1103,MATCH("Energia Injetada prevista total Fatura da Usina (TUSD)",'Resumo Operacional'!$B$1:$B$1103,0),MATCH('Detalhe Por UC'!$R681,'Resumo Operacional'!$A$1:$P$1,0))*$S681,INDEX('Resumo Operacional'!$A$1:$P$1103,53,MATCH('Detalhe Por UC'!$R681,'Resumo Operacional'!$A$1:$P$1,0))*$S681)</f>
        <v>208.49950000000001</v>
      </c>
      <c r="AR681" s="71">
        <f t="shared" si="386"/>
        <v>42.500499999999988</v>
      </c>
      <c r="AS681" s="73">
        <f t="shared" si="387"/>
        <v>113.93000000000008</v>
      </c>
      <c r="AT681" s="74">
        <f t="shared" si="388"/>
        <v>113.93000000000008</v>
      </c>
      <c r="AU681" s="74">
        <f t="shared" si="389"/>
        <v>0.84925666061622196</v>
      </c>
      <c r="AV681" s="74">
        <f t="shared" si="390"/>
        <v>194.61406674999995</v>
      </c>
      <c r="AW681" s="74">
        <f t="shared" si="391"/>
        <v>2.0099999999999909</v>
      </c>
      <c r="AX681" s="74">
        <f t="shared" si="392"/>
        <v>254.55874999999995</v>
      </c>
      <c r="AY681" s="74">
        <f t="shared" si="393"/>
        <v>196.62</v>
      </c>
      <c r="AZ681" s="43">
        <v>196.62</v>
      </c>
      <c r="BA681" s="43">
        <v>196.62</v>
      </c>
      <c r="BC681" s="73" t="str">
        <f t="shared" si="394"/>
        <v/>
      </c>
      <c r="BD681" s="73">
        <f t="shared" si="395"/>
        <v>366.47875000000005</v>
      </c>
      <c r="BE681" s="73">
        <f t="shared" si="396"/>
        <v>308.54406675000001</v>
      </c>
      <c r="BF681" s="77">
        <f t="shared" si="397"/>
        <v>57.93</v>
      </c>
      <c r="BG681" s="77">
        <f t="shared" si="398"/>
        <v>17.378999999999998</v>
      </c>
      <c r="BH681" s="77">
        <f t="shared" si="399"/>
        <v>252.54874999999993</v>
      </c>
      <c r="BI681" s="78">
        <f t="shared" si="400"/>
        <v>0.23</v>
      </c>
      <c r="BJ681" s="79">
        <f t="shared" si="401"/>
        <v>0.15807192095039616</v>
      </c>
      <c r="BK681" s="80">
        <f t="shared" si="402"/>
        <v>310.55000000000007</v>
      </c>
      <c r="BL681" s="80">
        <f t="shared" si="403"/>
        <v>55.92874999999998</v>
      </c>
      <c r="BM681" s="79">
        <f t="shared" si="404"/>
        <v>0.15261116776893605</v>
      </c>
      <c r="BN681" s="81">
        <f t="shared" si="405"/>
        <v>0.78334661354581681</v>
      </c>
      <c r="BO681" s="82">
        <f t="shared" si="406"/>
        <v>196.62</v>
      </c>
      <c r="BP681" s="81">
        <f t="shared" si="407"/>
        <v>0.78334661354581681</v>
      </c>
      <c r="BQ681" s="81">
        <f t="shared" si="408"/>
        <v>0.94026027165469428</v>
      </c>
      <c r="BR681" s="81">
        <f t="shared" si="409"/>
        <v>1.1630839768339769</v>
      </c>
      <c r="BS681" s="82">
        <f t="shared" si="410"/>
        <v>251</v>
      </c>
      <c r="BT681" s="82">
        <f t="shared" si="411"/>
        <v>291.93407818532819</v>
      </c>
      <c r="BU681" s="82">
        <f t="shared" si="412"/>
        <v>252.54874999999996</v>
      </c>
      <c r="BW681" s="82">
        <f>IFERROR(INDEX('Infos Clientes'!$T:$T,MATCH('Detalhe Por UC'!$C681,'Infos Clientes'!B:B,0)),"")</f>
        <v>336.36363636363637</v>
      </c>
      <c r="BX681" s="83">
        <f t="shared" si="413"/>
        <v>0</v>
      </c>
      <c r="BY681" s="84">
        <f t="shared" si="414"/>
        <v>0.19158006611511366</v>
      </c>
      <c r="BZ681" s="85">
        <f>IF(_xlfn.MINIFS('Detalhe Por UC'!R:R,'Detalhe Por UC'!C:C,C681,'Detalhe Por UC'!AD:AD,"&gt;"&amp;0)=0,"",_xlfn.MINIFS('Detalhe Por UC'!R:R,'Detalhe Por UC'!C:C,C681,'Detalhe Por UC'!AD:AD,"&gt;"&amp;0))</f>
        <v>45658</v>
      </c>
      <c r="CA681" s="114">
        <f ca="1">IF(OR(S681&gt;0,AD681&gt;0),IFERROR(
SUMIFS(INDIRECT("'Infos Clientes'!$W"&amp;INDEX('Infos Clientes'!$C:$C,MATCH(C681,'Infos Clientes'!$H:$H,0))&amp;":$CZ"&amp;INDEX('Infos Clientes'!$C:$C,MATCH(C681,'Infos Clientes'!$H:$H,0))),'Infos Clientes'!$W$2:$CZ$2,"&gt;"&amp;$R681-365,'Infos Clientes'!$W$2:$CZ$2,"&lt;="&amp;$R681)/
COUNTIFS(INDIRECT("'Infos Clientes'!$W"&amp;INDEX('Infos Clientes'!$C:$C,MATCH(C681,'Infos Clientes'!$H:$H,0))&amp;":$CZ"&amp;INDEX('Infos Clientes'!$C:$C,MATCH(C681,'Infos Clientes'!$H:$H,0))),"&gt;="&amp;0,'Infos Clientes'!$W$2:$CZ$2,"&gt;"&amp;$R681-365,'Infos Clientes'!$W$2:$CZ$2,"&lt;="&amp;$R681),""),"")</f>
        <v>320.66666666666669</v>
      </c>
      <c r="CB681" s="87">
        <f>VLOOKUP(C681,'Infos Clientes'!B:L,11,0)</f>
        <v>0</v>
      </c>
      <c r="CC681" s="88" t="str">
        <f t="shared" si="415"/>
        <v>A Unidade Consumidora 10/40190-1 economizou R$57,93 na fatura referente à jul/2025  consumindo 251 kWh em créditos de energia renovável conforme fatura de energia. A economia foi de 22,94% em relação ao que seria pago para a Energisa considerando os créditos consumidos. Atenção: Mantenha as contas da Energisa em dia para evitar cortes.</v>
      </c>
      <c r="CD681" s="40" t="s">
        <v>143</v>
      </c>
      <c r="CE681" s="43">
        <v>113.93</v>
      </c>
      <c r="CF681" s="115">
        <f t="shared" si="416"/>
        <v>0</v>
      </c>
    </row>
    <row r="682" spans="1:84" ht="16.2" hidden="1" customHeight="1" x14ac:dyDescent="0.3">
      <c r="A682" s="105" t="str">
        <f>INDEX('Infos Clientes'!$D:$D,MATCH('Detalhe Por UC'!C682,'Infos Clientes'!B:B,0))</f>
        <v>IGREJA DO EVANGELHO QUADRANGULAR</v>
      </c>
      <c r="B682" s="106" t="str">
        <f>INDEX('Infos Clientes'!$F:$F,MATCH('Detalhe Por UC'!C682,'Infos Clientes'!B:B,0))</f>
        <v>62.955.505/1822-57</v>
      </c>
      <c r="C682" s="31" t="s">
        <v>206</v>
      </c>
      <c r="D682" t="s">
        <v>351</v>
      </c>
      <c r="E682" s="1" t="s">
        <v>352</v>
      </c>
      <c r="F682" s="56" t="str">
        <f>INDEX('Infos Clientes'!$I:$I,MATCH('Detalhe Por UC'!C682,'Infos Clientes'!B:B,0))</f>
        <v>BT</v>
      </c>
      <c r="G682" s="56" t="str">
        <f>INDEX('Infos Clientes'!$J:$J,MATCH('Detalhe Por UC'!C682,'Infos Clientes'!B:B,0))</f>
        <v>trifasico</v>
      </c>
      <c r="H682" s="108" t="s">
        <v>138</v>
      </c>
      <c r="I682" s="58">
        <f>IFERROR(VLOOKUP(C682,'Infos Clientes'!B:E,4,),"")</f>
        <v>319</v>
      </c>
      <c r="J682" s="109">
        <v>0.22939999999999999</v>
      </c>
      <c r="K682" s="79">
        <f>INDEX('Resumo Operacional'!$A$1:$P$151,MATCH("Desconto percentual Ucs",'Resumo Operacional'!$B$1:$B$151,0),MATCH('Detalhe Por UC'!$R682,'Resumo Operacional'!$A$1:$P$1,0))</f>
        <v>0.25212408425707711</v>
      </c>
      <c r="L682" s="125">
        <v>0</v>
      </c>
      <c r="M682" s="56">
        <f>INDEX('Infos Clientes'!$N:$N,MATCH('Detalhe Por UC'!C682,'Infos Clientes'!B:B,0))</f>
        <v>0</v>
      </c>
      <c r="N682" s="56">
        <f t="shared" si="381"/>
        <v>0</v>
      </c>
      <c r="O682" s="56">
        <f t="shared" si="382"/>
        <v>9</v>
      </c>
      <c r="P682" s="56">
        <f t="shared" si="417"/>
        <v>0</v>
      </c>
      <c r="Q682" s="61">
        <f>IFERROR(IFERROR(INDEX('Infos Clientes'!$A$2:$V$9884,MATCH($C682,'Infos Clientes'!$B$2:$B$9884,0),MATCH(Q$8,'Infos Clientes'!$A$2:$V$2,0)),"")
+IF(OR(INDEX('Infos Clientes'!$A$2:$V$9884,MATCH($C682,'Infos Clientes'!$B$2:$B$9884,0),MATCH("Tempo de Fidelidade (meses)",'Infos Clientes'!$A$2:$V$2,0))=0,R682&gt;=MAX(R:R)),0,
ROUND((MAX(R:R)-R682)/(365/12),0)),"")</f>
        <v>0</v>
      </c>
      <c r="R682" s="111">
        <v>45839</v>
      </c>
      <c r="S682" s="63">
        <v>2.2599999999999999E-2</v>
      </c>
      <c r="T682" s="113" t="str">
        <f>IF($H682="GIROSSOL II",AP682/INDEX('Resumo Operacional'!$A$1:$P$1103,17,MATCH('Detalhe Por UC'!$R682,'Resumo Operacional'!$A$1:$P$1,0)),
IF($H682="GIROSSOL II e III",AP682/INDEX('Resumo Operacional'!$A$1:$P$1103,17,MATCH('Detalhe Por UC'!$R682,'Resumo Operacional'!$A$1:$P$1,0)),
""))</f>
        <v/>
      </c>
      <c r="U682" s="113">
        <f>IF($H682="GIROSSOL III",AP682/INDEX('Resumo Operacional'!$A$1:$P$1103,53,MATCH('Detalhe Por UC'!$R682,'Resumo Operacional'!$A$1:$P$1,0)),
IF($H682="GIROSSOL II e III",AP682/INDEX('Resumo Operacional'!$A$1:$P$1103,53,MATCH('Detalhe Por UC'!$R682,'Resumo Operacional'!$A$1:$P$1,0)),
""))</f>
        <v>4.2351660315732169E-2</v>
      </c>
      <c r="V682" s="45"/>
      <c r="X682">
        <v>1.1630247196154726</v>
      </c>
      <c r="Y682">
        <v>0</v>
      </c>
      <c r="Z682" s="18">
        <v>1.0061235605353251</v>
      </c>
      <c r="AA682">
        <v>0</v>
      </c>
      <c r="AB682" s="18">
        <v>257</v>
      </c>
      <c r="AC682">
        <v>0</v>
      </c>
      <c r="AD682" s="143">
        <v>189</v>
      </c>
      <c r="AE682" s="35"/>
      <c r="AF682" s="18">
        <v>200</v>
      </c>
      <c r="AG682">
        <v>0</v>
      </c>
      <c r="AH682" s="48">
        <v>62.61</v>
      </c>
      <c r="AI682">
        <v>0</v>
      </c>
      <c r="AJ682">
        <v>0</v>
      </c>
      <c r="AN682" s="71">
        <f t="shared" si="383"/>
        <v>200</v>
      </c>
      <c r="AO682" s="71">
        <f t="shared" si="384"/>
        <v>0</v>
      </c>
      <c r="AP682" s="71">
        <f t="shared" si="385"/>
        <v>389</v>
      </c>
      <c r="AQ682" s="72">
        <f>IF(OR($H682="GIROSSOL II",$H682="GIROSSOL II e III"),INDEX('Resumo Operacional'!$A$1:$P$1103,MATCH("Energia Injetada prevista total Fatura da Usina (TUSD)",'Resumo Operacional'!$B$1:$B$1103,0),MATCH('Detalhe Por UC'!$R682,'Resumo Operacional'!$A$1:$P$1,0))*$S682,INDEX('Resumo Operacional'!$A$1:$P$1103,53,MATCH('Detalhe Por UC'!$R682,'Resumo Operacional'!$A$1:$P$1,0))*$S682)</f>
        <v>207.58099999999999</v>
      </c>
      <c r="AR682" s="71">
        <f t="shared" si="386"/>
        <v>181.41900000000001</v>
      </c>
      <c r="AS682" s="73">
        <f t="shared" si="387"/>
        <v>171.35000000000002</v>
      </c>
      <c r="AT682" s="74">
        <f t="shared" si="388"/>
        <v>171.35000000000002</v>
      </c>
      <c r="AU682" s="74">
        <f t="shared" si="389"/>
        <v>0.84922240145517769</v>
      </c>
      <c r="AV682" s="74">
        <f t="shared" si="390"/>
        <v>146.53525617647057</v>
      </c>
      <c r="AW682" s="74">
        <f t="shared" si="391"/>
        <v>2.019999999999996</v>
      </c>
      <c r="AX682" s="74">
        <f t="shared" si="392"/>
        <v>192.17735294117642</v>
      </c>
      <c r="AY682" s="74">
        <f t="shared" si="393"/>
        <v>148.56</v>
      </c>
      <c r="AZ682" s="43">
        <v>148.56</v>
      </c>
      <c r="BA682" s="43">
        <v>148.56</v>
      </c>
      <c r="BB682" s="49">
        <v>148.56</v>
      </c>
      <c r="BC682" s="73" t="str">
        <f t="shared" si="394"/>
        <v/>
      </c>
      <c r="BD682" s="73">
        <f t="shared" si="395"/>
        <v>361.50735294117646</v>
      </c>
      <c r="BE682" s="73">
        <f t="shared" si="396"/>
        <v>317.88525617647059</v>
      </c>
      <c r="BF682" s="77">
        <f t="shared" si="397"/>
        <v>43.62</v>
      </c>
      <c r="BG682" s="77">
        <f t="shared" si="398"/>
        <v>13.085999999999999</v>
      </c>
      <c r="BH682" s="77">
        <f t="shared" si="399"/>
        <v>190.15735294117644</v>
      </c>
      <c r="BI682" s="78">
        <f t="shared" si="400"/>
        <v>0.23</v>
      </c>
      <c r="BJ682" s="79">
        <f t="shared" si="401"/>
        <v>0.12066144615071697</v>
      </c>
      <c r="BK682" s="80">
        <f t="shared" si="402"/>
        <v>319.91000000000003</v>
      </c>
      <c r="BL682" s="80">
        <f t="shared" si="403"/>
        <v>41.597352941176439</v>
      </c>
      <c r="BM682" s="79">
        <f t="shared" si="404"/>
        <v>0.11506640903081451</v>
      </c>
      <c r="BN682" s="81">
        <f t="shared" si="405"/>
        <v>0.78603174603174608</v>
      </c>
      <c r="BO682" s="82">
        <f t="shared" si="406"/>
        <v>148.56</v>
      </c>
      <c r="BP682" s="81">
        <f t="shared" si="407"/>
        <v>0.78603174603174608</v>
      </c>
      <c r="BQ682" s="81">
        <f t="shared" si="408"/>
        <v>0.94293290511189354</v>
      </c>
      <c r="BR682" s="81">
        <f t="shared" si="409"/>
        <v>1.1630247196154726</v>
      </c>
      <c r="BS682" s="82">
        <f t="shared" si="410"/>
        <v>189</v>
      </c>
      <c r="BT682" s="82">
        <f t="shared" si="411"/>
        <v>219.81167200732432</v>
      </c>
      <c r="BU682" s="82">
        <f t="shared" si="412"/>
        <v>190.15735294117644</v>
      </c>
      <c r="BW682" s="82">
        <f>IFERROR(INDEX('Infos Clientes'!$T:$T,MATCH('Detalhe Por UC'!$C682,'Infos Clientes'!B:B,0)),"")</f>
        <v>361.81818181818181</v>
      </c>
      <c r="BX682" s="83">
        <f t="shared" si="413"/>
        <v>0</v>
      </c>
      <c r="BY682" s="84">
        <f t="shared" si="414"/>
        <v>0.18924087406873635</v>
      </c>
      <c r="BZ682" s="85">
        <f>IF(_xlfn.MINIFS('Detalhe Por UC'!R:R,'Detalhe Por UC'!C:C,C682,'Detalhe Por UC'!AD:AD,"&gt;"&amp;0)=0,"",_xlfn.MINIFS('Detalhe Por UC'!R:R,'Detalhe Por UC'!C:C,C682,'Detalhe Por UC'!AD:AD,"&gt;"&amp;0))</f>
        <v>45658</v>
      </c>
      <c r="CA682" s="114">
        <f ca="1">IF(OR(S682&gt;0,AD682&gt;0),IFERROR(
SUMIFS(INDIRECT("'Infos Clientes'!$W"&amp;INDEX('Infos Clientes'!$C:$C,MATCH(C682,'Infos Clientes'!$H:$H,0))&amp;":$CZ"&amp;INDEX('Infos Clientes'!$C:$C,MATCH(C682,'Infos Clientes'!$H:$H,0))),'Infos Clientes'!$W$2:$CZ$2,"&gt;"&amp;$R682-365,'Infos Clientes'!$W$2:$CZ$2,"&lt;="&amp;$R682)/
COUNTIFS(INDIRECT("'Infos Clientes'!$W"&amp;INDEX('Infos Clientes'!$C:$C,MATCH(C682,'Infos Clientes'!$H:$H,0))&amp;":$CZ"&amp;INDEX('Infos Clientes'!$C:$C,MATCH(C682,'Infos Clientes'!$H:$H,0))),"&gt;="&amp;0,'Infos Clientes'!$W$2:$CZ$2,"&gt;"&amp;$R682-365,'Infos Clientes'!$W$2:$CZ$2,"&lt;="&amp;$R682),""),"")</f>
        <v>360.41666666666669</v>
      </c>
      <c r="CB682" s="87">
        <f>VLOOKUP(C682,'Infos Clientes'!B:L,11,0)</f>
        <v>0</v>
      </c>
      <c r="CC682" s="88" t="str">
        <f t="shared" si="415"/>
        <v>A Unidade Consumidora 10/480529-7 economizou R$43,62 na fatura referente à jul/2025  consumindo 189 kWh em créditos de energia renovável conforme fatura de energia. A economia foi de 22,94% em relação ao que seria pago para a Energisa considerando os créditos consumidos. Atenção: Mantenha as contas da Energisa em dia para evitar cortes.</v>
      </c>
      <c r="CD682" s="40">
        <v>0</v>
      </c>
      <c r="CE682" s="43">
        <v>171.35</v>
      </c>
      <c r="CF682" s="115">
        <f t="shared" si="416"/>
        <v>0</v>
      </c>
    </row>
    <row r="683" spans="1:84" ht="16.2" hidden="1" customHeight="1" x14ac:dyDescent="0.3">
      <c r="A683" s="105" t="str">
        <f>INDEX('Infos Clientes'!$D:$D,MATCH('Detalhe Por UC'!C683,'Infos Clientes'!B:B,0))</f>
        <v>IGREJA DO EVANGELHO QUADRANGULAR</v>
      </c>
      <c r="B683" s="106" t="str">
        <f>INDEX('Infos Clientes'!$F:$F,MATCH('Detalhe Por UC'!C683,'Infos Clientes'!B:B,0))</f>
        <v>62.955.505/0585-99</v>
      </c>
      <c r="C683" s="31" t="s">
        <v>225</v>
      </c>
      <c r="D683" t="s">
        <v>351</v>
      </c>
      <c r="E683" s="1" t="s">
        <v>352</v>
      </c>
      <c r="F683" s="56" t="str">
        <f>INDEX('Infos Clientes'!$I:$I,MATCH('Detalhe Por UC'!C683,'Infos Clientes'!B:B,0))</f>
        <v>BT</v>
      </c>
      <c r="G683" s="56" t="str">
        <f>INDEX('Infos Clientes'!$J:$J,MATCH('Detalhe Por UC'!C683,'Infos Clientes'!B:B,0))</f>
        <v>trifasico</v>
      </c>
      <c r="H683" s="108" t="s">
        <v>138</v>
      </c>
      <c r="I683" s="58">
        <f>IFERROR(VLOOKUP(C683,'Infos Clientes'!B:E,4,),"")</f>
        <v>302</v>
      </c>
      <c r="J683" s="109">
        <v>0.22939999999999999</v>
      </c>
      <c r="K683" s="79">
        <f>INDEX('Resumo Operacional'!$A$1:$P$151,MATCH("Desconto percentual Ucs",'Resumo Operacional'!$B$1:$B$151,0),MATCH('Detalhe Por UC'!$R683,'Resumo Operacional'!$A$1:$P$1,0))</f>
        <v>0.25212408425707711</v>
      </c>
      <c r="L683" s="125">
        <v>0</v>
      </c>
      <c r="M683" s="56">
        <f>INDEX('Infos Clientes'!$N:$N,MATCH('Detalhe Por UC'!C683,'Infos Clientes'!B:B,0))</f>
        <v>0</v>
      </c>
      <c r="N683" s="56">
        <f t="shared" si="381"/>
        <v>0</v>
      </c>
      <c r="O683" s="56">
        <f t="shared" si="382"/>
        <v>9</v>
      </c>
      <c r="P683" s="56">
        <f t="shared" si="417"/>
        <v>0</v>
      </c>
      <c r="Q683" s="61">
        <f>IFERROR(IFERROR(INDEX('Infos Clientes'!$A$2:$V$9884,MATCH($C683,'Infos Clientes'!$B$2:$B$9884,0),MATCH(Q$8,'Infos Clientes'!$A$2:$V$2,0)),"")
+IF(OR(INDEX('Infos Clientes'!$A$2:$V$9884,MATCH($C683,'Infos Clientes'!$B$2:$B$9884,0),MATCH("Tempo de Fidelidade (meses)",'Infos Clientes'!$A$2:$V$2,0))=0,R683&gt;=MAX(R:R)),0,
ROUND((MAX(R:R)-R683)/(365/12),0)),"")</f>
        <v>0</v>
      </c>
      <c r="R683" s="111">
        <v>45839</v>
      </c>
      <c r="S683" s="63">
        <v>2.24E-2</v>
      </c>
      <c r="T683" s="113" t="str">
        <f>IF($H683="GIROSSOL II",AP683/INDEX('Resumo Operacional'!$A$1:$P$1103,17,MATCH('Detalhe Por UC'!$R683,'Resumo Operacional'!$A$1:$P$1,0)),
IF($H683="GIROSSOL II e III",AP683/INDEX('Resumo Operacional'!$A$1:$P$1103,17,MATCH('Detalhe Por UC'!$R683,'Resumo Operacional'!$A$1:$P$1,0)),
""))</f>
        <v/>
      </c>
      <c r="U683" s="113">
        <f>IF($H683="GIROSSOL III",AP683/INDEX('Resumo Operacional'!$A$1:$P$1103,53,MATCH('Detalhe Por UC'!$R683,'Resumo Operacional'!$A$1:$P$1,0)),
IF($H683="GIROSSOL II e III",AP683/INDEX('Resumo Operacional'!$A$1:$P$1103,53,MATCH('Detalhe Por UC'!$R683,'Resumo Operacional'!$A$1:$P$1,0)),
""))</f>
        <v>4.2025040827436036E-2</v>
      </c>
      <c r="V683" s="45"/>
      <c r="X683">
        <v>1.1630152183188736</v>
      </c>
      <c r="Y683">
        <v>0</v>
      </c>
      <c r="Z683" s="18">
        <v>1.0061797752808987</v>
      </c>
      <c r="AA683">
        <v>0</v>
      </c>
      <c r="AB683" s="18">
        <v>158</v>
      </c>
      <c r="AC683">
        <v>0</v>
      </c>
      <c r="AD683" s="143">
        <v>69</v>
      </c>
      <c r="AE683" s="35"/>
      <c r="AF683" s="18">
        <v>317</v>
      </c>
      <c r="AG683">
        <v>0</v>
      </c>
      <c r="AH683" s="48">
        <v>28.770000000000003</v>
      </c>
      <c r="AI683">
        <v>0</v>
      </c>
      <c r="AJ683">
        <v>0</v>
      </c>
      <c r="AN683" s="71">
        <f t="shared" si="383"/>
        <v>317</v>
      </c>
      <c r="AO683" s="71">
        <f t="shared" si="384"/>
        <v>0</v>
      </c>
      <c r="AP683" s="71">
        <f t="shared" si="385"/>
        <v>386</v>
      </c>
      <c r="AQ683" s="72">
        <f>IF(OR($H683="GIROSSOL II",$H683="GIROSSOL II e III"),INDEX('Resumo Operacional'!$A$1:$P$1103,MATCH("Energia Injetada prevista total Fatura da Usina (TUSD)",'Resumo Operacional'!$B$1:$B$1103,0),MATCH('Detalhe Por UC'!$R683,'Resumo Operacional'!$A$1:$P$1,0))*$S683,INDEX('Resumo Operacional'!$A$1:$P$1103,53,MATCH('Detalhe Por UC'!$R683,'Resumo Operacional'!$A$1:$P$1,0))*$S683)</f>
        <v>205.744</v>
      </c>
      <c r="AR683" s="71">
        <f t="shared" si="386"/>
        <v>180.256</v>
      </c>
      <c r="AS683" s="73">
        <f t="shared" si="387"/>
        <v>143.10000000000002</v>
      </c>
      <c r="AT683" s="74">
        <f t="shared" si="388"/>
        <v>143.10000000000002</v>
      </c>
      <c r="AU683" s="74">
        <f t="shared" si="389"/>
        <v>0.84934433224292394</v>
      </c>
      <c r="AV683" s="74">
        <f t="shared" si="390"/>
        <v>53.49998730337078</v>
      </c>
      <c r="AW683" s="74">
        <f t="shared" si="391"/>
        <v>2.0200000000000102</v>
      </c>
      <c r="AX683" s="74">
        <f t="shared" si="392"/>
        <v>71.446404494382023</v>
      </c>
      <c r="AY683" s="74">
        <f t="shared" si="393"/>
        <v>55.52</v>
      </c>
      <c r="AZ683" s="43">
        <v>55.52</v>
      </c>
      <c r="BA683" s="43">
        <v>55.52</v>
      </c>
      <c r="BB683" s="49">
        <v>71.45</v>
      </c>
      <c r="BC683" s="73">
        <f t="shared" si="394"/>
        <v>15.93</v>
      </c>
      <c r="BD683" s="73">
        <f t="shared" si="395"/>
        <v>212.52640449438204</v>
      </c>
      <c r="BE683" s="73">
        <f t="shared" si="396"/>
        <v>196.5999873033708</v>
      </c>
      <c r="BF683" s="77">
        <f t="shared" si="397"/>
        <v>15.93</v>
      </c>
      <c r="BG683" s="77">
        <f t="shared" si="398"/>
        <v>4.7789999999999999</v>
      </c>
      <c r="BH683" s="77">
        <f t="shared" si="399"/>
        <v>69.426404494382012</v>
      </c>
      <c r="BI683" s="78">
        <f t="shared" si="400"/>
        <v>0.22</v>
      </c>
      <c r="BJ683" s="79">
        <f t="shared" si="401"/>
        <v>7.4955392191849254E-2</v>
      </c>
      <c r="BK683" s="80">
        <f t="shared" si="402"/>
        <v>198.62000000000003</v>
      </c>
      <c r="BL683" s="80">
        <f t="shared" si="403"/>
        <v>13.906404494382002</v>
      </c>
      <c r="BM683" s="79">
        <f t="shared" si="404"/>
        <v>6.5433772935021853E-2</v>
      </c>
      <c r="BN683" s="81">
        <f t="shared" si="405"/>
        <v>0.80463768115942036</v>
      </c>
      <c r="BO683" s="82">
        <f t="shared" si="406"/>
        <v>55.52</v>
      </c>
      <c r="BP683" s="81">
        <f t="shared" si="407"/>
        <v>0.80463768115942036</v>
      </c>
      <c r="BQ683" s="81">
        <f t="shared" si="408"/>
        <v>0.96147312419739517</v>
      </c>
      <c r="BR683" s="81">
        <f t="shared" si="409"/>
        <v>1.1630152183188736</v>
      </c>
      <c r="BS683" s="82">
        <f t="shared" si="410"/>
        <v>69</v>
      </c>
      <c r="BT683" s="82">
        <f t="shared" si="411"/>
        <v>80.248050064002271</v>
      </c>
      <c r="BU683" s="82">
        <f t="shared" si="412"/>
        <v>69.426404494382012</v>
      </c>
      <c r="BW683" s="82">
        <f>IFERROR(INDEX('Infos Clientes'!$T:$T,MATCH('Detalhe Por UC'!$C683,'Infos Clientes'!B:B,0)),"")</f>
        <v>352.63636363636363</v>
      </c>
      <c r="BX683" s="83">
        <f t="shared" si="413"/>
        <v>0</v>
      </c>
      <c r="BY683" s="84">
        <f t="shared" si="414"/>
        <v>0.17329274023843419</v>
      </c>
      <c r="BZ683" s="85">
        <f>IF(_xlfn.MINIFS('Detalhe Por UC'!R:R,'Detalhe Por UC'!C:C,C683,'Detalhe Por UC'!AD:AD,"&gt;"&amp;0)=0,"",_xlfn.MINIFS('Detalhe Por UC'!R:R,'Detalhe Por UC'!C:C,C683,'Detalhe Por UC'!AD:AD,"&gt;"&amp;0))</f>
        <v>45658</v>
      </c>
      <c r="CA683" s="114">
        <f ca="1">IF(OR(S683&gt;0,AD683&gt;0),IFERROR(
SUMIFS(INDIRECT("'Infos Clientes'!$W"&amp;INDEX('Infos Clientes'!$C:$C,MATCH(C683,'Infos Clientes'!$H:$H,0))&amp;":$CZ"&amp;INDEX('Infos Clientes'!$C:$C,MATCH(C683,'Infos Clientes'!$H:$H,0))),'Infos Clientes'!$W$2:$CZ$2,"&gt;"&amp;$R683-365,'Infos Clientes'!$W$2:$CZ$2,"&lt;="&amp;$R683)/
COUNTIFS(INDIRECT("'Infos Clientes'!$W"&amp;INDEX('Infos Clientes'!$C:$C,MATCH(C683,'Infos Clientes'!$H:$H,0))&amp;":$CZ"&amp;INDEX('Infos Clientes'!$C:$C,MATCH(C683,'Infos Clientes'!$H:$H,0))),"&gt;="&amp;0,'Infos Clientes'!$W$2:$CZ$2,"&gt;"&amp;$R683-365,'Infos Clientes'!$W$2:$CZ$2,"&lt;="&amp;$R683),""),"")</f>
        <v>356</v>
      </c>
      <c r="CB683" s="87">
        <f>VLOOKUP(C683,'Infos Clientes'!B:L,11,0)</f>
        <v>0</v>
      </c>
      <c r="CC683" s="88" t="str">
        <f t="shared" si="415"/>
        <v>A Unidade Consumidora 10/76927-3 economizou R$15,93 na fatura referente à jul/2025  consumindo 69 kWh em créditos de energia renovável conforme fatura de energia. A economia foi de 22,94% em relação ao que seria pago para a Energisa considerando os créditos consumidos. Atenção: Mantenha as contas da Energisa em dia para evitar cortes.</v>
      </c>
      <c r="CD683" s="40" t="s">
        <v>227</v>
      </c>
      <c r="CE683" s="43">
        <v>143.1</v>
      </c>
      <c r="CF683" s="115">
        <f t="shared" si="416"/>
        <v>0</v>
      </c>
    </row>
    <row r="684" spans="1:84" ht="16.2" hidden="1" customHeight="1" x14ac:dyDescent="0.3">
      <c r="A684" s="105" t="str">
        <f>INDEX('Infos Clientes'!$D:$D,MATCH('Detalhe Por UC'!C684,'Infos Clientes'!B:B,0))</f>
        <v>IGREJA DO EVANGELHO QUADRANGULAR</v>
      </c>
      <c r="B684" s="106" t="str">
        <f>INDEX('Infos Clientes'!$F:$F,MATCH('Detalhe Por UC'!C684,'Infos Clientes'!B:B,0))</f>
        <v>62.955.505/3574-05</v>
      </c>
      <c r="C684" s="31" t="s">
        <v>203</v>
      </c>
      <c r="D684" t="s">
        <v>351</v>
      </c>
      <c r="E684" s="1" t="s">
        <v>352</v>
      </c>
      <c r="F684" s="56" t="str">
        <f>INDEX('Infos Clientes'!$I:$I,MATCH('Detalhe Por UC'!C684,'Infos Clientes'!B:B,0))</f>
        <v>BT</v>
      </c>
      <c r="G684" s="56" t="str">
        <f>INDEX('Infos Clientes'!$J:$J,MATCH('Detalhe Por UC'!C684,'Infos Clientes'!B:B,0))</f>
        <v>trifasico</v>
      </c>
      <c r="H684" s="108" t="s">
        <v>138</v>
      </c>
      <c r="I684" s="58">
        <f>IFERROR(VLOOKUP(C684,'Infos Clientes'!B:E,4,),"")</f>
        <v>306</v>
      </c>
      <c r="J684" s="109">
        <v>0.22939999999999999</v>
      </c>
      <c r="K684" s="79">
        <f>INDEX('Resumo Operacional'!$A$1:$P$151,MATCH("Desconto percentual Ucs",'Resumo Operacional'!$B$1:$B$151,0),MATCH('Detalhe Por UC'!$R684,'Resumo Operacional'!$A$1:$P$1,0))</f>
        <v>0.25212408425707711</v>
      </c>
      <c r="L684" s="125">
        <v>0</v>
      </c>
      <c r="M684" s="56">
        <f>INDEX('Infos Clientes'!$N:$N,MATCH('Detalhe Por UC'!C684,'Infos Clientes'!B:B,0))</f>
        <v>0</v>
      </c>
      <c r="N684" s="56">
        <f t="shared" si="381"/>
        <v>0</v>
      </c>
      <c r="O684" s="56">
        <f t="shared" si="382"/>
        <v>10</v>
      </c>
      <c r="P684" s="56">
        <f t="shared" si="417"/>
        <v>0</v>
      </c>
      <c r="Q684" s="61">
        <f>IFERROR(IFERROR(INDEX('Infos Clientes'!$A$2:$V$9884,MATCH($C684,'Infos Clientes'!$B$2:$B$9884,0),MATCH(Q$8,'Infos Clientes'!$A$2:$V$2,0)),"")
+IF(OR(INDEX('Infos Clientes'!$A$2:$V$9884,MATCH($C684,'Infos Clientes'!$B$2:$B$9884,0),MATCH("Tempo de Fidelidade (meses)",'Infos Clientes'!$A$2:$V$2,0))=0,R684&gt;=MAX(R:R)),0,
ROUND((MAX(R:R)-R684)/(365/12),0)),"")</f>
        <v>0</v>
      </c>
      <c r="R684" s="111">
        <v>45839</v>
      </c>
      <c r="S684" s="63">
        <v>2.2200000000000001E-2</v>
      </c>
      <c r="T684" s="113" t="str">
        <f>IF($H684="GIROSSOL II",AP684/INDEX('Resumo Operacional'!$A$1:$P$1103,17,MATCH('Detalhe Por UC'!$R684,'Resumo Operacional'!$A$1:$P$1,0)),
IF($H684="GIROSSOL II e III",AP684/INDEX('Resumo Operacional'!$A$1:$P$1103,17,MATCH('Detalhe Por UC'!$R684,'Resumo Operacional'!$A$1:$P$1,0)),
""))</f>
        <v/>
      </c>
      <c r="U684" s="113">
        <f>IF($H684="GIROSSOL III",AP684/INDEX('Resumo Operacional'!$A$1:$P$1103,53,MATCH('Detalhe Por UC'!$R684,'Resumo Operacional'!$A$1:$P$1,0)),
IF($H684="GIROSSOL II e III",AP684/INDEX('Resumo Operacional'!$A$1:$P$1103,53,MATCH('Detalhe Por UC'!$R684,'Resumo Operacional'!$A$1:$P$1,0)),
""))</f>
        <v>4.1589548176374523E-2</v>
      </c>
      <c r="V684" s="45"/>
      <c r="X684">
        <v>1.1631506518590053</v>
      </c>
      <c r="Y684">
        <v>0</v>
      </c>
      <c r="Z684" s="18">
        <v>1.0063157894736841</v>
      </c>
      <c r="AA684">
        <v>0</v>
      </c>
      <c r="AB684" s="18">
        <v>218</v>
      </c>
      <c r="AC684">
        <v>0</v>
      </c>
      <c r="AD684" s="143">
        <v>142</v>
      </c>
      <c r="AE684" s="35"/>
      <c r="AF684" s="18">
        <v>240</v>
      </c>
      <c r="AG684">
        <v>0</v>
      </c>
      <c r="AH684" s="48">
        <v>0</v>
      </c>
      <c r="AI684">
        <v>0</v>
      </c>
      <c r="AJ684">
        <v>0</v>
      </c>
      <c r="AN684" s="71">
        <f t="shared" si="383"/>
        <v>240</v>
      </c>
      <c r="AO684" s="71">
        <f t="shared" si="384"/>
        <v>0</v>
      </c>
      <c r="AP684" s="71">
        <f t="shared" si="385"/>
        <v>382</v>
      </c>
      <c r="AQ684" s="72">
        <f>IF(OR($H684="GIROSSOL II",$H684="GIROSSOL II e III"),INDEX('Resumo Operacional'!$A$1:$P$1103,MATCH("Energia Injetada prevista total Fatura da Usina (TUSD)",'Resumo Operacional'!$B$1:$B$1103,0),MATCH('Detalhe Por UC'!$R684,'Resumo Operacional'!$A$1:$P$1,0))*$S684,INDEX('Resumo Operacional'!$A$1:$P$1103,53,MATCH('Detalhe Por UC'!$R684,'Resumo Operacional'!$A$1:$P$1,0))*$S684)</f>
        <v>203.90700000000001</v>
      </c>
      <c r="AR684" s="71">
        <f t="shared" si="386"/>
        <v>178.09299999999999</v>
      </c>
      <c r="AS684" s="73">
        <f t="shared" si="387"/>
        <v>110.67000000000002</v>
      </c>
      <c r="AT684" s="74">
        <f t="shared" si="388"/>
        <v>110.67000000000002</v>
      </c>
      <c r="AU684" s="74">
        <f t="shared" si="389"/>
        <v>0.84948092708836276</v>
      </c>
      <c r="AV684" s="74">
        <f t="shared" si="390"/>
        <v>110.11630652631577</v>
      </c>
      <c r="AW684" s="74">
        <f t="shared" si="391"/>
        <v>1</v>
      </c>
      <c r="AX684" s="74">
        <f t="shared" si="392"/>
        <v>143.89684210526315</v>
      </c>
      <c r="AY684" s="74">
        <f t="shared" si="393"/>
        <v>111.12</v>
      </c>
      <c r="AZ684" s="43">
        <v>111.12</v>
      </c>
      <c r="BA684" s="43">
        <v>111.12</v>
      </c>
      <c r="BB684" s="49">
        <v>143.9</v>
      </c>
      <c r="BC684" s="73">
        <f t="shared" si="394"/>
        <v>32.78</v>
      </c>
      <c r="BD684" s="73">
        <f t="shared" si="395"/>
        <v>253.56684210526316</v>
      </c>
      <c r="BE684" s="73">
        <f t="shared" si="396"/>
        <v>220.7863065263158</v>
      </c>
      <c r="BF684" s="77">
        <f t="shared" si="397"/>
        <v>32.78</v>
      </c>
      <c r="BG684" s="77">
        <f t="shared" si="398"/>
        <v>9.8339999999999996</v>
      </c>
      <c r="BH684" s="77">
        <f t="shared" si="399"/>
        <v>142.89684210526312</v>
      </c>
      <c r="BI684" s="78">
        <f t="shared" si="400"/>
        <v>0.23</v>
      </c>
      <c r="BJ684" s="79">
        <f t="shared" si="401"/>
        <v>0.12927557770503781</v>
      </c>
      <c r="BK684" s="80">
        <f t="shared" si="402"/>
        <v>221.79000000000002</v>
      </c>
      <c r="BL684" s="80">
        <f t="shared" si="403"/>
        <v>31.776842105263142</v>
      </c>
      <c r="BM684" s="79">
        <f t="shared" si="404"/>
        <v>0.12531939050639604</v>
      </c>
      <c r="BN684" s="81">
        <f t="shared" si="405"/>
        <v>0.78253521126760561</v>
      </c>
      <c r="BO684" s="82">
        <f t="shared" si="406"/>
        <v>111.11999999999999</v>
      </c>
      <c r="BP684" s="81">
        <f t="shared" si="407"/>
        <v>0.78253521126760561</v>
      </c>
      <c r="BQ684" s="81">
        <f t="shared" si="408"/>
        <v>0.93937007365292691</v>
      </c>
      <c r="BR684" s="81">
        <f t="shared" si="409"/>
        <v>1.1631506518590053</v>
      </c>
      <c r="BS684" s="82">
        <f t="shared" si="410"/>
        <v>142</v>
      </c>
      <c r="BT684" s="82">
        <f t="shared" si="411"/>
        <v>165.16739256397875</v>
      </c>
      <c r="BU684" s="82">
        <f t="shared" si="412"/>
        <v>142.89684210526315</v>
      </c>
      <c r="BW684" s="82">
        <f>IFERROR(INDEX('Infos Clientes'!$T:$T,MATCH('Detalhe Por UC'!$C684,'Infos Clientes'!B:B,0)),"")</f>
        <v>378.09090909090907</v>
      </c>
      <c r="BX684" s="83">
        <f t="shared" si="413"/>
        <v>0</v>
      </c>
      <c r="BY684" s="84">
        <f t="shared" si="414"/>
        <v>0.19239174035488968</v>
      </c>
      <c r="BZ684" s="85">
        <f>IF(_xlfn.MINIFS('Detalhe Por UC'!R:R,'Detalhe Por UC'!C:C,C684,'Detalhe Por UC'!AD:AD,"&gt;"&amp;0)=0,"",_xlfn.MINIFS('Detalhe Por UC'!R:R,'Detalhe Por UC'!C:C,C684,'Detalhe Por UC'!AD:AD,"&gt;"&amp;0))</f>
        <v>45658</v>
      </c>
      <c r="CA684" s="114">
        <f ca="1">IF(OR(S684&gt;0,AD684&gt;0),IFERROR(
SUMIFS(INDIRECT("'Infos Clientes'!$W"&amp;INDEX('Infos Clientes'!$C:$C,MATCH(C684,'Infos Clientes'!$H:$H,0))&amp;":$CZ"&amp;INDEX('Infos Clientes'!$C:$C,MATCH(C684,'Infos Clientes'!$H:$H,0))),'Infos Clientes'!$W$2:$CZ$2,"&gt;"&amp;$R684-365,'Infos Clientes'!$W$2:$CZ$2,"&lt;="&amp;$R684)/
COUNTIFS(INDIRECT("'Infos Clientes'!$W"&amp;INDEX('Infos Clientes'!$C:$C,MATCH(C684,'Infos Clientes'!$H:$H,0))&amp;":$CZ"&amp;INDEX('Infos Clientes'!$C:$C,MATCH(C684,'Infos Clientes'!$H:$H,0))),"&gt;="&amp;0,'Infos Clientes'!$W$2:$CZ$2,"&gt;"&amp;$R684-365,'Infos Clientes'!$W$2:$CZ$2,"&lt;="&amp;$R684),""),"")</f>
        <v>364.83333333333331</v>
      </c>
      <c r="CB684" s="87">
        <f>VLOOKUP(C684,'Infos Clientes'!B:L,11,0)</f>
        <v>0</v>
      </c>
      <c r="CC684" s="88" t="str">
        <f t="shared" si="415"/>
        <v>A Unidade Consumidora 10/435964-2 economizou R$32,78 na fatura referente à jul/2025  consumindo 142 kWh em créditos de energia renovável conforme fatura de energia. A economia foi de 22,94% em relação ao que seria pago para a Energisa considerando os créditos consumidos. Atenção: Mantenha as contas da Energisa em dia para evitar cortes.</v>
      </c>
      <c r="CD684" s="40" t="s">
        <v>143</v>
      </c>
      <c r="CE684" s="43">
        <v>110.67</v>
      </c>
      <c r="CF684" s="115">
        <f t="shared" si="416"/>
        <v>0</v>
      </c>
    </row>
    <row r="685" spans="1:84" ht="16.2" hidden="1" customHeight="1" x14ac:dyDescent="0.3">
      <c r="A685" s="105" t="str">
        <f>INDEX('Infos Clientes'!$D:$D,MATCH('Detalhe Por UC'!C685,'Infos Clientes'!B:B,0))</f>
        <v>IGREJA DO EVANGELHO QUADRANGULAR</v>
      </c>
      <c r="B685" s="106" t="str">
        <f>INDEX('Infos Clientes'!$F:$F,MATCH('Detalhe Por UC'!C685,'Infos Clientes'!B:B,0))</f>
        <v>62.955.505/2391-19</v>
      </c>
      <c r="C685" s="31" t="s">
        <v>193</v>
      </c>
      <c r="D685" t="s">
        <v>351</v>
      </c>
      <c r="E685" s="1" t="s">
        <v>352</v>
      </c>
      <c r="F685" s="56" t="str">
        <f>INDEX('Infos Clientes'!$I:$I,MATCH('Detalhe Por UC'!C685,'Infos Clientes'!B:B,0))</f>
        <v>BT</v>
      </c>
      <c r="G685" s="56" t="str">
        <f>INDEX('Infos Clientes'!$J:$J,MATCH('Detalhe Por UC'!C685,'Infos Clientes'!B:B,0))</f>
        <v>bifasico</v>
      </c>
      <c r="H685" s="108" t="s">
        <v>138</v>
      </c>
      <c r="I685" s="58">
        <f>IFERROR(VLOOKUP(C685,'Infos Clientes'!B:E,4,),"")</f>
        <v>306</v>
      </c>
      <c r="J685" s="109">
        <v>0.22939999999999999</v>
      </c>
      <c r="K685" s="79">
        <f>INDEX('Resumo Operacional'!$A$1:$P$151,MATCH("Desconto percentual Ucs",'Resumo Operacional'!$B$1:$B$151,0),MATCH('Detalhe Por UC'!$R685,'Resumo Operacional'!$A$1:$P$1,0))</f>
        <v>0.25212408425707711</v>
      </c>
      <c r="L685" s="125">
        <v>0</v>
      </c>
      <c r="M685" s="56">
        <f>INDEX('Infos Clientes'!$N:$N,MATCH('Detalhe Por UC'!C685,'Infos Clientes'!B:B,0))</f>
        <v>0</v>
      </c>
      <c r="N685" s="56">
        <f t="shared" si="381"/>
        <v>0</v>
      </c>
      <c r="O685" s="56">
        <f t="shared" si="382"/>
        <v>9</v>
      </c>
      <c r="P685" s="56">
        <f t="shared" si="417"/>
        <v>0</v>
      </c>
      <c r="Q685" s="61">
        <f>IFERROR(IFERROR(INDEX('Infos Clientes'!$A$2:$V$9884,MATCH($C685,'Infos Clientes'!$B$2:$B$9884,0),MATCH(Q$8,'Infos Clientes'!$A$2:$V$2,0)),"")
+IF(OR(INDEX('Infos Clientes'!$A$2:$V$9884,MATCH($C685,'Infos Clientes'!$B$2:$B$9884,0),MATCH("Tempo de Fidelidade (meses)",'Infos Clientes'!$A$2:$V$2,0))=0,R685&gt;=MAX(R:R)),0,
ROUND((MAX(R:R)-R685)/(365/12),0)),"")</f>
        <v>0</v>
      </c>
      <c r="R685" s="111">
        <v>45839</v>
      </c>
      <c r="S685" s="63">
        <v>2.18E-2</v>
      </c>
      <c r="T685" s="113" t="str">
        <f>IF($H685="GIROSSOL II",AP685/INDEX('Resumo Operacional'!$A$1:$P$1103,17,MATCH('Detalhe Por UC'!$R685,'Resumo Operacional'!$A$1:$P$1,0)),
IF($H685="GIROSSOL II e III",AP685/INDEX('Resumo Operacional'!$A$1:$P$1103,17,MATCH('Detalhe Por UC'!$R685,'Resumo Operacional'!$A$1:$P$1,0)),
""))</f>
        <v/>
      </c>
      <c r="U685" s="113">
        <f>IF($H685="GIROSSOL III",AP685/INDEX('Resumo Operacional'!$A$1:$P$1103,53,MATCH('Detalhe Por UC'!$R685,'Resumo Operacional'!$A$1:$P$1,0)),
IF($H685="GIROSSOL II e III",AP685/INDEX('Resumo Operacional'!$A$1:$P$1103,53,MATCH('Detalhe Por UC'!$R685,'Resumo Operacional'!$A$1:$P$1,0)),
""))</f>
        <v>4.0827436037016877E-2</v>
      </c>
      <c r="V685" s="45"/>
      <c r="X685">
        <v>1.1628468468468469</v>
      </c>
      <c r="Y685">
        <v>0</v>
      </c>
      <c r="Z685" s="18">
        <v>1.0059516908212562</v>
      </c>
      <c r="AA685">
        <v>0</v>
      </c>
      <c r="AB685" s="18">
        <v>222</v>
      </c>
      <c r="AC685">
        <v>0</v>
      </c>
      <c r="AD685" s="143">
        <v>207</v>
      </c>
      <c r="AE685" s="35"/>
      <c r="AF685" s="18">
        <v>168</v>
      </c>
      <c r="AG685">
        <v>0</v>
      </c>
      <c r="AH685" s="48">
        <v>6.4399999999999995</v>
      </c>
      <c r="AI685">
        <v>0</v>
      </c>
      <c r="AJ685">
        <v>0</v>
      </c>
      <c r="AN685" s="71">
        <f t="shared" si="383"/>
        <v>168</v>
      </c>
      <c r="AO685" s="71">
        <f t="shared" si="384"/>
        <v>0</v>
      </c>
      <c r="AP685" s="71">
        <f t="shared" si="385"/>
        <v>375</v>
      </c>
      <c r="AQ685" s="72">
        <f>IF(OR($H685="GIROSSOL II",$H685="GIROSSOL II e III"),INDEX('Resumo Operacional'!$A$1:$P$1103,MATCH("Energia Injetada prevista total Fatura da Usina (TUSD)",'Resumo Operacional'!$B$1:$B$1103,0),MATCH('Detalhe Por UC'!$R685,'Resumo Operacional'!$A$1:$P$1,0))*$S685,INDEX('Resumo Operacional'!$A$1:$P$1103,53,MATCH('Detalhe Por UC'!$R685,'Resumo Operacional'!$A$1:$P$1,0))*$S685)</f>
        <v>200.233</v>
      </c>
      <c r="AR685" s="71">
        <f t="shared" si="386"/>
        <v>174.767</v>
      </c>
      <c r="AS685" s="73">
        <f t="shared" si="387"/>
        <v>56.360000000000014</v>
      </c>
      <c r="AT685" s="74">
        <f t="shared" si="388"/>
        <v>56.360000000000014</v>
      </c>
      <c r="AU685" s="74">
        <f t="shared" si="389"/>
        <v>0.84905653479566556</v>
      </c>
      <c r="AV685" s="74">
        <f t="shared" si="390"/>
        <v>160.46357920000003</v>
      </c>
      <c r="AW685" s="74">
        <f t="shared" si="391"/>
        <v>1.1000000000000085</v>
      </c>
      <c r="AX685" s="74">
        <f t="shared" si="392"/>
        <v>209.33200000000005</v>
      </c>
      <c r="AY685" s="74">
        <f t="shared" si="393"/>
        <v>161.56</v>
      </c>
      <c r="AZ685" s="43">
        <v>161.56</v>
      </c>
      <c r="BA685" s="43">
        <v>161.56</v>
      </c>
      <c r="BC685" s="73" t="str">
        <f t="shared" si="394"/>
        <v/>
      </c>
      <c r="BD685" s="73">
        <f t="shared" si="395"/>
        <v>264.59200000000004</v>
      </c>
      <c r="BE685" s="73">
        <f t="shared" si="396"/>
        <v>216.82357920000004</v>
      </c>
      <c r="BF685" s="77">
        <f t="shared" si="397"/>
        <v>47.77</v>
      </c>
      <c r="BG685" s="77">
        <f t="shared" si="398"/>
        <v>14.331000000000001</v>
      </c>
      <c r="BH685" s="77">
        <f t="shared" si="399"/>
        <v>208.23200000000006</v>
      </c>
      <c r="BI685" s="78">
        <f t="shared" si="400"/>
        <v>0.23</v>
      </c>
      <c r="BJ685" s="79">
        <f t="shared" si="401"/>
        <v>0.18054211767551551</v>
      </c>
      <c r="BK685" s="80">
        <f t="shared" si="402"/>
        <v>217.92000000000002</v>
      </c>
      <c r="BL685" s="80">
        <f t="shared" si="403"/>
        <v>46.672000000000025</v>
      </c>
      <c r="BM685" s="79">
        <f t="shared" si="404"/>
        <v>0.17639233234564922</v>
      </c>
      <c r="BN685" s="81">
        <f t="shared" si="405"/>
        <v>0.78048309178743958</v>
      </c>
      <c r="BO685" s="82">
        <f t="shared" si="406"/>
        <v>161.56</v>
      </c>
      <c r="BP685" s="81">
        <f t="shared" si="407"/>
        <v>0.78048309178743958</v>
      </c>
      <c r="BQ685" s="81">
        <f t="shared" si="408"/>
        <v>0.93737824781303025</v>
      </c>
      <c r="BR685" s="81">
        <f t="shared" si="409"/>
        <v>1.1628468468468469</v>
      </c>
      <c r="BS685" s="82">
        <f t="shared" si="410"/>
        <v>207</v>
      </c>
      <c r="BT685" s="82">
        <f t="shared" si="411"/>
        <v>240.70929729729733</v>
      </c>
      <c r="BU685" s="82">
        <f t="shared" si="412"/>
        <v>208.23200000000003</v>
      </c>
      <c r="BW685" s="82">
        <f>IFERROR(INDEX('Infos Clientes'!$T:$T,MATCH('Detalhe Por UC'!$C685,'Infos Clientes'!B:B,0)),"")</f>
        <v>330.27272727272725</v>
      </c>
      <c r="BX685" s="83">
        <f t="shared" si="413"/>
        <v>0</v>
      </c>
      <c r="BY685" s="84">
        <f t="shared" si="414"/>
        <v>0.19389363237746482</v>
      </c>
      <c r="BZ685" s="85">
        <f>IF(_xlfn.MINIFS('Detalhe Por UC'!R:R,'Detalhe Por UC'!C:C,C685,'Detalhe Por UC'!AD:AD,"&gt;"&amp;0)=0,"",_xlfn.MINIFS('Detalhe Por UC'!R:R,'Detalhe Por UC'!C:C,C685,'Detalhe Por UC'!AD:AD,"&gt;"&amp;0))</f>
        <v>45658</v>
      </c>
      <c r="CA685" s="114">
        <f ca="1">IF(OR(S685&gt;0,AD685&gt;0),IFERROR(
SUMIFS(INDIRECT("'Infos Clientes'!$W"&amp;INDEX('Infos Clientes'!$C:$C,MATCH(C685,'Infos Clientes'!$H:$H,0))&amp;":$CZ"&amp;INDEX('Infos Clientes'!$C:$C,MATCH(C685,'Infos Clientes'!$H:$H,0))),'Infos Clientes'!$W$2:$CZ$2,"&gt;"&amp;$R685-365,'Infos Clientes'!$W$2:$CZ$2,"&lt;="&amp;$R685)/
COUNTIFS(INDIRECT("'Infos Clientes'!$W"&amp;INDEX('Infos Clientes'!$C:$C,MATCH(C685,'Infos Clientes'!$H:$H,0))&amp;":$CZ"&amp;INDEX('Infos Clientes'!$C:$C,MATCH(C685,'Infos Clientes'!$H:$H,0))),"&gt;="&amp;0,'Infos Clientes'!$W$2:$CZ$2,"&gt;"&amp;$R685-365,'Infos Clientes'!$W$2:$CZ$2,"&lt;="&amp;$R685),""),"")</f>
        <v>297.16666666666669</v>
      </c>
      <c r="CB685" s="87">
        <f>VLOOKUP(C685,'Infos Clientes'!B:L,11,0)</f>
        <v>0</v>
      </c>
      <c r="CC685" s="88" t="str">
        <f t="shared" si="415"/>
        <v>A Unidade Consumidora 10/341308-5 economizou R$47,77 na fatura referente à jul/2025  consumindo 207 kWh em créditos de energia renovável conforme fatura de energia. A economia foi de 22,94% em relação ao que seria pago para a Energisa considerando os créditos consumidos. Atenção: Mantenha as contas da Energisa em dia para evitar cortes.</v>
      </c>
      <c r="CD685" s="40" t="s">
        <v>143</v>
      </c>
      <c r="CE685" s="43">
        <v>56.36</v>
      </c>
      <c r="CF685" s="115">
        <f t="shared" si="416"/>
        <v>0</v>
      </c>
    </row>
    <row r="686" spans="1:84" ht="16.2" hidden="1" customHeight="1" x14ac:dyDescent="0.3">
      <c r="A686" s="105" t="str">
        <f>INDEX('Infos Clientes'!$D:$D,MATCH('Detalhe Por UC'!C686,'Infos Clientes'!B:B,0))</f>
        <v>IGREJA DO EVANGELHO QUADRANGULAR</v>
      </c>
      <c r="B686" s="106" t="str">
        <f>INDEX('Infos Clientes'!$F:$F,MATCH('Detalhe Por UC'!C686,'Infos Clientes'!B:B,0))</f>
        <v>62.955.505/0001-67</v>
      </c>
      <c r="C686" s="31" t="s">
        <v>240</v>
      </c>
      <c r="D686" t="s">
        <v>351</v>
      </c>
      <c r="E686" s="1" t="s">
        <v>352</v>
      </c>
      <c r="F686" s="56" t="str">
        <f>INDEX('Infos Clientes'!$I:$I,MATCH('Detalhe Por UC'!C686,'Infos Clientes'!B:B,0))</f>
        <v>BT</v>
      </c>
      <c r="G686" s="56" t="str">
        <f>INDEX('Infos Clientes'!$J:$J,MATCH('Detalhe Por UC'!C686,'Infos Clientes'!B:B,0))</f>
        <v>trifasico</v>
      </c>
      <c r="H686" s="108" t="s">
        <v>138</v>
      </c>
      <c r="I686" s="58">
        <f>IFERROR(VLOOKUP(C686,'Infos Clientes'!B:E,4,),"")</f>
        <v>360</v>
      </c>
      <c r="J686" s="109">
        <v>0.22939999999999999</v>
      </c>
      <c r="K686" s="79">
        <f>INDEX('Resumo Operacional'!$A$1:$P$151,MATCH("Desconto percentual Ucs",'Resumo Operacional'!$B$1:$B$151,0),MATCH('Detalhe Por UC'!$R686,'Resumo Operacional'!$A$1:$P$1,0))</f>
        <v>0.25212408425707711</v>
      </c>
      <c r="L686" s="125">
        <v>0</v>
      </c>
      <c r="M686" s="56">
        <f>INDEX('Infos Clientes'!$N:$N,MATCH('Detalhe Por UC'!C686,'Infos Clientes'!B:B,0))</f>
        <v>0</v>
      </c>
      <c r="N686" s="56">
        <f t="shared" si="381"/>
        <v>0</v>
      </c>
      <c r="O686" s="56">
        <f t="shared" si="382"/>
        <v>10</v>
      </c>
      <c r="P686" s="56">
        <f t="shared" si="417"/>
        <v>0</v>
      </c>
      <c r="Q686" s="61">
        <f>IFERROR(IFERROR(INDEX('Infos Clientes'!$A$2:$V$9884,MATCH($C686,'Infos Clientes'!$B$2:$B$9884,0),MATCH(Q$8,'Infos Clientes'!$A$2:$V$2,0)),"")
+IF(OR(INDEX('Infos Clientes'!$A$2:$V$9884,MATCH($C686,'Infos Clientes'!$B$2:$B$9884,0),MATCH("Tempo de Fidelidade (meses)",'Infos Clientes'!$A$2:$V$2,0))=0,R686&gt;=MAX(R:R)),0,
ROUND((MAX(R:R)-R686)/(365/12),0)),"")</f>
        <v>0</v>
      </c>
      <c r="R686" s="111">
        <v>45839</v>
      </c>
      <c r="S686" s="63">
        <v>2.07E-2</v>
      </c>
      <c r="T686" s="113" t="str">
        <f>IF($H686="GIROSSOL II",AP686/INDEX('Resumo Operacional'!$A$1:$P$1103,17,MATCH('Detalhe Por UC'!$R686,'Resumo Operacional'!$A$1:$P$1,0)),
IF($H686="GIROSSOL II e III",AP686/INDEX('Resumo Operacional'!$A$1:$P$1103,17,MATCH('Detalhe Por UC'!$R686,'Resumo Operacional'!$A$1:$P$1,0)),
""))</f>
        <v/>
      </c>
      <c r="U686" s="113">
        <f>IF($H686="GIROSSOL III",AP686/INDEX('Resumo Operacional'!$A$1:$P$1103,53,MATCH('Detalhe Por UC'!$R686,'Resumo Operacional'!$A$1:$P$1,0)),
IF($H686="GIROSSOL II e III",AP686/INDEX('Resumo Operacional'!$A$1:$P$1103,53,MATCH('Detalhe Por UC'!$R686,'Resumo Operacional'!$A$1:$P$1,0)),
""))</f>
        <v>3.8758845944474686E-2</v>
      </c>
      <c r="V686" s="45"/>
      <c r="X686">
        <v>1.1630897891202623</v>
      </c>
      <c r="Y686">
        <v>0</v>
      </c>
      <c r="Z686" s="18">
        <v>1.0061999778601867</v>
      </c>
      <c r="AA686">
        <v>0</v>
      </c>
      <c r="AB686" s="18">
        <v>559</v>
      </c>
      <c r="AC686">
        <v>0</v>
      </c>
      <c r="AD686" s="143">
        <v>356</v>
      </c>
      <c r="AE686" s="35"/>
      <c r="AF686" s="18">
        <v>0</v>
      </c>
      <c r="AG686">
        <v>0</v>
      </c>
      <c r="AH686" s="48">
        <v>115.64</v>
      </c>
      <c r="AI686">
        <v>0</v>
      </c>
      <c r="AJ686">
        <v>0</v>
      </c>
      <c r="AN686" s="71">
        <f t="shared" si="383"/>
        <v>0</v>
      </c>
      <c r="AO686" s="71">
        <f t="shared" si="384"/>
        <v>0</v>
      </c>
      <c r="AP686" s="71">
        <f t="shared" si="385"/>
        <v>356</v>
      </c>
      <c r="AQ686" s="72">
        <f>IF(OR($H686="GIROSSOL II",$H686="GIROSSOL II e III"),INDEX('Resumo Operacional'!$A$1:$P$1103,MATCH("Energia Injetada prevista total Fatura da Usina (TUSD)",'Resumo Operacional'!$B$1:$B$1103,0),MATCH('Detalhe Por UC'!$R686,'Resumo Operacional'!$A$1:$P$1,0))*$S686,INDEX('Resumo Operacional'!$A$1:$P$1103,53,MATCH('Detalhe Por UC'!$R686,'Resumo Operacional'!$A$1:$P$1,0))*$S686)</f>
        <v>190.12950000000001</v>
      </c>
      <c r="AR686" s="71">
        <f t="shared" si="386"/>
        <v>165.87049999999999</v>
      </c>
      <c r="AS686" s="73">
        <f t="shared" si="387"/>
        <v>407.60000000000014</v>
      </c>
      <c r="AT686" s="74">
        <f t="shared" si="388"/>
        <v>407.60000000000014</v>
      </c>
      <c r="AU686" s="74">
        <f t="shared" si="389"/>
        <v>0.84931016660011105</v>
      </c>
      <c r="AV686" s="74">
        <f t="shared" si="390"/>
        <v>276.03446224630528</v>
      </c>
      <c r="AW686" s="74">
        <f t="shared" si="391"/>
        <v>0</v>
      </c>
      <c r="AX686" s="74">
        <f t="shared" si="392"/>
        <v>358.20719211822643</v>
      </c>
      <c r="AY686" s="74">
        <f t="shared" si="393"/>
        <v>276.02999999999997</v>
      </c>
      <c r="AZ686" s="43">
        <v>276.02999999999997</v>
      </c>
      <c r="BA686" s="43">
        <v>276.02999999999997</v>
      </c>
      <c r="BB686" s="49">
        <v>276.02999999999997</v>
      </c>
      <c r="BC686" s="73" t="str">
        <f t="shared" si="394"/>
        <v/>
      </c>
      <c r="BD686" s="73">
        <f t="shared" si="395"/>
        <v>765.80719211822657</v>
      </c>
      <c r="BE686" s="73">
        <f t="shared" si="396"/>
        <v>683.63446224630547</v>
      </c>
      <c r="BF686" s="77">
        <f t="shared" si="397"/>
        <v>82.17</v>
      </c>
      <c r="BG686" s="77">
        <f t="shared" si="398"/>
        <v>24.651</v>
      </c>
      <c r="BH686" s="77">
        <f t="shared" si="399"/>
        <v>358.20719211822649</v>
      </c>
      <c r="BI686" s="78">
        <f t="shared" si="400"/>
        <v>0.23</v>
      </c>
      <c r="BJ686" s="79">
        <f t="shared" si="401"/>
        <v>0.1072985483104662</v>
      </c>
      <c r="BK686" s="80">
        <f t="shared" si="402"/>
        <v>683.63000000000011</v>
      </c>
      <c r="BL686" s="80">
        <f t="shared" si="403"/>
        <v>82.177192118226458</v>
      </c>
      <c r="BM686" s="79">
        <f t="shared" si="404"/>
        <v>0.10730793986267474</v>
      </c>
      <c r="BN686" s="81">
        <f t="shared" si="405"/>
        <v>0.7753651685393258</v>
      </c>
      <c r="BO686" s="82">
        <f t="shared" si="406"/>
        <v>276.02999999999997</v>
      </c>
      <c r="BP686" s="81">
        <f t="shared" si="407"/>
        <v>0.7753651685393258</v>
      </c>
      <c r="BQ686" s="81">
        <f t="shared" si="408"/>
        <v>0.93225497979940142</v>
      </c>
      <c r="BR686" s="81">
        <f t="shared" si="409"/>
        <v>1.1630897891202623</v>
      </c>
      <c r="BS686" s="82">
        <f t="shared" si="410"/>
        <v>356</v>
      </c>
      <c r="BT686" s="82">
        <f t="shared" si="411"/>
        <v>414.05996492681339</v>
      </c>
      <c r="BU686" s="82">
        <f t="shared" si="412"/>
        <v>358.20719211822643</v>
      </c>
      <c r="BW686" s="82">
        <f>IFERROR(INDEX('Infos Clientes'!$T:$T,MATCH('Detalhe Por UC'!$C686,'Infos Clientes'!B:B,0)),"")</f>
        <v>413.36363636363637</v>
      </c>
      <c r="BX686" s="83">
        <f t="shared" si="413"/>
        <v>0</v>
      </c>
      <c r="BY686" s="84">
        <f t="shared" si="414"/>
        <v>0.19846688663259582</v>
      </c>
      <c r="BZ686" s="85">
        <f>IF(_xlfn.MINIFS('Detalhe Por UC'!R:R,'Detalhe Por UC'!C:C,C686,'Detalhe Por UC'!AD:AD,"&gt;"&amp;0)=0,"",_xlfn.MINIFS('Detalhe Por UC'!R:R,'Detalhe Por UC'!C:C,C686,'Detalhe Por UC'!AD:AD,"&gt;"&amp;0))</f>
        <v>45658</v>
      </c>
      <c r="CA686" s="114">
        <f ca="1">IF(OR(S686&gt;0,AD686&gt;0),IFERROR(
SUMIFS(INDIRECT("'Infos Clientes'!$W"&amp;INDEX('Infos Clientes'!$C:$C,MATCH(C686,'Infos Clientes'!$H:$H,0))&amp;":$CZ"&amp;INDEX('Infos Clientes'!$C:$C,MATCH(C686,'Infos Clientes'!$H:$H,0))),'Infos Clientes'!$W$2:$CZ$2,"&gt;"&amp;$R686-365,'Infos Clientes'!$W$2:$CZ$2,"&lt;="&amp;$R686)/
COUNTIFS(INDIRECT("'Infos Clientes'!$W"&amp;INDEX('Infos Clientes'!$C:$C,MATCH(C686,'Infos Clientes'!$H:$H,0))&amp;":$CZ"&amp;INDEX('Infos Clientes'!$C:$C,MATCH(C686,'Infos Clientes'!$H:$H,0))),"&gt;="&amp;0,'Infos Clientes'!$W$2:$CZ$2,"&gt;"&amp;$R686-365,'Infos Clientes'!$W$2:$CZ$2,"&lt;="&amp;$R686),""),"")</f>
        <v>422.41666666666669</v>
      </c>
      <c r="CB686" s="87">
        <f>VLOOKUP(C686,'Infos Clientes'!B:L,11,0)</f>
        <v>0</v>
      </c>
      <c r="CC686" s="88" t="str">
        <f t="shared" si="415"/>
        <v>A Unidade Consumidora 10/260761-2 economizou R$82,17 na fatura referente à jul/2025  consumindo 356 kWh em créditos de energia renovável conforme fatura de energia. A economia foi de 22,94% em relação ao que seria pago para a Energisa considerando os créditos consumidos. Atenção: Mantenha as contas da Energisa em dia para evitar cortes.</v>
      </c>
      <c r="CD686" s="40" t="s">
        <v>241</v>
      </c>
      <c r="CE686" s="43">
        <v>407.6</v>
      </c>
      <c r="CF686" s="115">
        <f t="shared" si="416"/>
        <v>0</v>
      </c>
    </row>
    <row r="687" spans="1:84" ht="16.2" hidden="1" customHeight="1" x14ac:dyDescent="0.3">
      <c r="A687" s="105" t="str">
        <f>INDEX('Infos Clientes'!$D:$D,MATCH('Detalhe Por UC'!C687,'Infos Clientes'!B:B,0))</f>
        <v>IGREJA DO EVANGELHO QUADRANGULAR</v>
      </c>
      <c r="B687" s="106" t="str">
        <f>INDEX('Infos Clientes'!$F:$F,MATCH('Detalhe Por UC'!C687,'Infos Clientes'!B:B,0))</f>
        <v>62.955.505/0408-94</v>
      </c>
      <c r="C687" s="31" t="s">
        <v>144</v>
      </c>
      <c r="D687" t="s">
        <v>351</v>
      </c>
      <c r="E687" s="1" t="s">
        <v>352</v>
      </c>
      <c r="F687" s="56" t="str">
        <f>INDEX('Infos Clientes'!$I:$I,MATCH('Detalhe Por UC'!C687,'Infos Clientes'!B:B,0))</f>
        <v>BT</v>
      </c>
      <c r="G687" s="56" t="str">
        <f>INDEX('Infos Clientes'!$J:$J,MATCH('Detalhe Por UC'!C687,'Infos Clientes'!B:B,0))</f>
        <v>bifasico</v>
      </c>
      <c r="H687" s="108" t="s">
        <v>138</v>
      </c>
      <c r="I687" s="58">
        <f>IFERROR(VLOOKUP(C687,'Infos Clientes'!B:E,4,),"")</f>
        <v>371</v>
      </c>
      <c r="J687" s="109">
        <v>0.22939999999999999</v>
      </c>
      <c r="K687" s="79">
        <f>INDEX('Resumo Operacional'!$A$1:$P$151,MATCH("Desconto percentual Ucs",'Resumo Operacional'!$B$1:$B$151,0),MATCH('Detalhe Por UC'!$R687,'Resumo Operacional'!$A$1:$P$1,0))</f>
        <v>0.25212408425707711</v>
      </c>
      <c r="L687" s="125">
        <v>0</v>
      </c>
      <c r="M687" s="56">
        <f>INDEX('Infos Clientes'!$N:$N,MATCH('Detalhe Por UC'!C687,'Infos Clientes'!B:B,0))</f>
        <v>0</v>
      </c>
      <c r="N687" s="56">
        <f t="shared" si="381"/>
        <v>0</v>
      </c>
      <c r="O687" s="56">
        <f t="shared" si="382"/>
        <v>9</v>
      </c>
      <c r="P687" s="56">
        <f t="shared" si="417"/>
        <v>0</v>
      </c>
      <c r="Q687" s="61">
        <f>IFERROR(IFERROR(INDEX('Infos Clientes'!$A$2:$V$9884,MATCH($C687,'Infos Clientes'!$B$2:$B$9884,0),MATCH(Q$8,'Infos Clientes'!$A$2:$V$2,0)),"")
+IF(OR(INDEX('Infos Clientes'!$A$2:$V$9884,MATCH($C687,'Infos Clientes'!$B$2:$B$9884,0),MATCH("Tempo de Fidelidade (meses)",'Infos Clientes'!$A$2:$V$2,0))=0,R687&gt;=MAX(R:R)),0,
ROUND((MAX(R:R)-R687)/(365/12),0)),"")</f>
        <v>0</v>
      </c>
      <c r="R687" s="111">
        <v>45839</v>
      </c>
      <c r="S687" s="63">
        <v>1.9800000000000002E-2</v>
      </c>
      <c r="T687" s="113" t="str">
        <f>IF($H687="GIROSSOL II",AP687/INDEX('Resumo Operacional'!$A$1:$P$1103,17,MATCH('Detalhe Por UC'!$R687,'Resumo Operacional'!$A$1:$P$1,0)),
IF($H687="GIROSSOL II e III",AP687/INDEX('Resumo Operacional'!$A$1:$P$1103,17,MATCH('Detalhe Por UC'!$R687,'Resumo Operacional'!$A$1:$P$1,0)),
""))</f>
        <v/>
      </c>
      <c r="U687" s="113">
        <f>IF($H687="GIROSSOL III",AP687/INDEX('Resumo Operacional'!$A$1:$P$1103,53,MATCH('Detalhe Por UC'!$R687,'Resumo Operacional'!$A$1:$P$1,0)),
IF($H687="GIROSSOL II e III",AP687/INDEX('Resumo Operacional'!$A$1:$P$1103,53,MATCH('Detalhe Por UC'!$R687,'Resumo Operacional'!$A$1:$P$1,0)),
""))</f>
        <v>3.7125748502994015E-2</v>
      </c>
      <c r="V687" s="45"/>
      <c r="X687">
        <v>1.1632027649769587</v>
      </c>
      <c r="Y687">
        <v>0</v>
      </c>
      <c r="Z687" s="18">
        <v>1.0062324929971991</v>
      </c>
      <c r="AA687">
        <v>0</v>
      </c>
      <c r="AB687" s="18">
        <v>93</v>
      </c>
      <c r="AC687">
        <v>0</v>
      </c>
      <c r="AD687" s="143">
        <v>51</v>
      </c>
      <c r="AE687" s="35"/>
      <c r="AF687" s="18">
        <v>290</v>
      </c>
      <c r="AG687">
        <v>0</v>
      </c>
      <c r="AH687" s="48">
        <v>0</v>
      </c>
      <c r="AI687">
        <v>0</v>
      </c>
      <c r="AJ687">
        <v>0</v>
      </c>
      <c r="AN687" s="71">
        <f t="shared" si="383"/>
        <v>290</v>
      </c>
      <c r="AO687" s="71">
        <f t="shared" si="384"/>
        <v>0</v>
      </c>
      <c r="AP687" s="71">
        <f t="shared" si="385"/>
        <v>341</v>
      </c>
      <c r="AQ687" s="72">
        <f>IF(OR($H687="GIROSSOL II",$H687="GIROSSOL II e III"),INDEX('Resumo Operacional'!$A$1:$P$1103,MATCH("Energia Injetada prevista total Fatura da Usina (TUSD)",'Resumo Operacional'!$B$1:$B$1103,0),MATCH('Detalhe Por UC'!$R687,'Resumo Operacional'!$A$1:$P$1,0))*$S687,INDEX('Resumo Operacional'!$A$1:$P$1103,53,MATCH('Detalhe Por UC'!$R687,'Resumo Operacional'!$A$1:$P$1,0))*$S687)</f>
        <v>181.86300000000003</v>
      </c>
      <c r="AR687" s="71">
        <f t="shared" si="386"/>
        <v>159.13699999999997</v>
      </c>
      <c r="AS687" s="73">
        <f t="shared" si="387"/>
        <v>56.860000000000014</v>
      </c>
      <c r="AT687" s="74">
        <f t="shared" si="388"/>
        <v>56.860000000000014</v>
      </c>
      <c r="AU687" s="74">
        <f t="shared" si="389"/>
        <v>0.84926222101743942</v>
      </c>
      <c r="AV687" s="74">
        <f t="shared" si="390"/>
        <v>39.545540714285721</v>
      </c>
      <c r="AW687" s="74">
        <f t="shared" si="391"/>
        <v>0</v>
      </c>
      <c r="AX687" s="74">
        <f t="shared" si="392"/>
        <v>51.31785714285715</v>
      </c>
      <c r="AY687" s="74">
        <f t="shared" si="393"/>
        <v>39.549999999999997</v>
      </c>
      <c r="AZ687" s="43">
        <v>39.549999999999997</v>
      </c>
      <c r="BA687" s="43">
        <v>39.549999999999997</v>
      </c>
      <c r="BB687" s="49">
        <v>39.549999999999997</v>
      </c>
      <c r="BC687" s="73" t="str">
        <f t="shared" si="394"/>
        <v/>
      </c>
      <c r="BD687" s="73">
        <f t="shared" si="395"/>
        <v>108.17785714285716</v>
      </c>
      <c r="BE687" s="73">
        <f t="shared" si="396"/>
        <v>96.405540714285735</v>
      </c>
      <c r="BF687" s="77">
        <f t="shared" si="397"/>
        <v>11.77</v>
      </c>
      <c r="BG687" s="77">
        <f t="shared" si="398"/>
        <v>3.5309999999999997</v>
      </c>
      <c r="BH687" s="77">
        <f t="shared" si="399"/>
        <v>51.31785714285715</v>
      </c>
      <c r="BI687" s="78">
        <f t="shared" si="400"/>
        <v>0.23</v>
      </c>
      <c r="BJ687" s="79">
        <f t="shared" si="401"/>
        <v>0.10880230308552712</v>
      </c>
      <c r="BK687" s="80">
        <f t="shared" si="402"/>
        <v>96.410000000000011</v>
      </c>
      <c r="BL687" s="80">
        <f t="shared" si="403"/>
        <v>11.767857142857153</v>
      </c>
      <c r="BM687" s="79">
        <f t="shared" si="404"/>
        <v>0.1087824944370713</v>
      </c>
      <c r="BN687" s="81">
        <f t="shared" si="405"/>
        <v>0.77549019607843128</v>
      </c>
      <c r="BO687" s="82">
        <f t="shared" si="406"/>
        <v>39.549999999999997</v>
      </c>
      <c r="BP687" s="81">
        <f t="shared" si="407"/>
        <v>0.77549019607843128</v>
      </c>
      <c r="BQ687" s="81">
        <f t="shared" si="408"/>
        <v>0.93246046805819094</v>
      </c>
      <c r="BR687" s="81">
        <f t="shared" si="409"/>
        <v>1.1632027649769587</v>
      </c>
      <c r="BS687" s="82">
        <f t="shared" si="410"/>
        <v>51</v>
      </c>
      <c r="BT687" s="82">
        <f t="shared" si="411"/>
        <v>59.323341013824894</v>
      </c>
      <c r="BU687" s="82">
        <f t="shared" si="412"/>
        <v>51.31785714285715</v>
      </c>
      <c r="BW687" s="82">
        <f>IFERROR(INDEX('Infos Clientes'!$T:$T,MATCH('Detalhe Por UC'!$C687,'Infos Clientes'!B:B,0)),"")</f>
        <v>238.54545454545453</v>
      </c>
      <c r="BX687" s="83">
        <f t="shared" si="413"/>
        <v>0</v>
      </c>
      <c r="BY687" s="84">
        <f t="shared" si="414"/>
        <v>0.19836807809113011</v>
      </c>
      <c r="BZ687" s="85">
        <f>IF(_xlfn.MINIFS('Detalhe Por UC'!R:R,'Detalhe Por UC'!C:C,C687,'Detalhe Por UC'!AD:AD,"&gt;"&amp;0)=0,"",_xlfn.MINIFS('Detalhe Por UC'!R:R,'Detalhe Por UC'!C:C,C687,'Detalhe Por UC'!AD:AD,"&gt;"&amp;0))</f>
        <v>45658</v>
      </c>
      <c r="CA687" s="114">
        <f ca="1">IF(OR(S687&gt;0,AD687&gt;0),IFERROR(
SUMIFS(INDIRECT("'Infos Clientes'!$W"&amp;INDEX('Infos Clientes'!$C:$C,MATCH(C687,'Infos Clientes'!$H:$H,0))&amp;":$CZ"&amp;INDEX('Infos Clientes'!$C:$C,MATCH(C687,'Infos Clientes'!$H:$H,0))),'Infos Clientes'!$W$2:$CZ$2,"&gt;"&amp;$R687-365,'Infos Clientes'!$W$2:$CZ$2,"&lt;="&amp;$R687)/
COUNTIFS(INDIRECT("'Infos Clientes'!$W"&amp;INDEX('Infos Clientes'!$C:$C,MATCH(C687,'Infos Clientes'!$H:$H,0))&amp;":$CZ"&amp;INDEX('Infos Clientes'!$C:$C,MATCH(C687,'Infos Clientes'!$H:$H,0))),"&gt;="&amp;0,'Infos Clientes'!$W$2:$CZ$2,"&gt;"&amp;$R687-365,'Infos Clientes'!$W$2:$CZ$2,"&lt;="&amp;$R687),""),"")</f>
        <v>225.91666666666666</v>
      </c>
      <c r="CB687" s="87">
        <f>VLOOKUP(C687,'Infos Clientes'!B:L,11,0)</f>
        <v>0</v>
      </c>
      <c r="CC687" s="88" t="str">
        <f t="shared" si="415"/>
        <v>A Unidade Consumidora 10/1130988-7 economizou R$11,77 na fatura referente à jul/2025  consumindo 51 kWh em créditos de energia renovável conforme fatura de energia. A economia foi de 22,94% em relação ao que seria pago para a Energisa considerando os créditos consumidos. Atenção: Mantenha as contas da Energisa em dia para evitar cortes.</v>
      </c>
      <c r="CD687" s="40" t="s">
        <v>145</v>
      </c>
      <c r="CE687" s="43">
        <v>56.86</v>
      </c>
      <c r="CF687" s="115">
        <f t="shared" si="416"/>
        <v>0</v>
      </c>
    </row>
    <row r="688" spans="1:84" ht="16.2" hidden="1" customHeight="1" x14ac:dyDescent="0.3">
      <c r="A688" s="105" t="str">
        <f>INDEX('Infos Clientes'!$D:$D,MATCH('Detalhe Por UC'!C688,'Infos Clientes'!B:B,0))</f>
        <v>IGREJA DO EVANGELHO QUADRANGULAR</v>
      </c>
      <c r="B688" s="106" t="str">
        <f>INDEX('Infos Clientes'!$F:$F,MATCH('Detalhe Por UC'!C688,'Infos Clientes'!B:B,0))</f>
        <v>62.955.505/2740-20</v>
      </c>
      <c r="C688" s="31" t="s">
        <v>175</v>
      </c>
      <c r="D688" t="s">
        <v>351</v>
      </c>
      <c r="E688" s="1" t="s">
        <v>352</v>
      </c>
      <c r="F688" s="56" t="str">
        <f>INDEX('Infos Clientes'!$I:$I,MATCH('Detalhe Por UC'!C688,'Infos Clientes'!B:B,0))</f>
        <v>BT</v>
      </c>
      <c r="G688" s="56" t="str">
        <f>INDEX('Infos Clientes'!$J:$J,MATCH('Detalhe Por UC'!C688,'Infos Clientes'!B:B,0))</f>
        <v>trifasico</v>
      </c>
      <c r="H688" s="108" t="s">
        <v>138</v>
      </c>
      <c r="I688" s="58">
        <f>IFERROR(VLOOKUP(C688,'Infos Clientes'!B:E,4,),"")</f>
        <v>371</v>
      </c>
      <c r="J688" s="109">
        <v>0.22939999999999999</v>
      </c>
      <c r="K688" s="79">
        <f>INDEX('Resumo Operacional'!$A$1:$P$151,MATCH("Desconto percentual Ucs",'Resumo Operacional'!$B$1:$B$151,0),MATCH('Detalhe Por UC'!$R688,'Resumo Operacional'!$A$1:$P$1,0))</f>
        <v>0.25212408425707711</v>
      </c>
      <c r="L688" s="125">
        <v>0</v>
      </c>
      <c r="M688" s="56">
        <f>INDEX('Infos Clientes'!$N:$N,MATCH('Detalhe Por UC'!C688,'Infos Clientes'!B:B,0))</f>
        <v>0</v>
      </c>
      <c r="N688" s="56">
        <f t="shared" si="381"/>
        <v>0</v>
      </c>
      <c r="O688" s="56">
        <f t="shared" si="382"/>
        <v>8</v>
      </c>
      <c r="P688" s="56">
        <f t="shared" si="417"/>
        <v>0</v>
      </c>
      <c r="Q688" s="61">
        <f>IFERROR(IFERROR(INDEX('Infos Clientes'!$A$2:$V$9884,MATCH($C688,'Infos Clientes'!$B$2:$B$9884,0),MATCH(Q$8,'Infos Clientes'!$A$2:$V$2,0)),"")
+IF(OR(INDEX('Infos Clientes'!$A$2:$V$9884,MATCH($C688,'Infos Clientes'!$B$2:$B$9884,0),MATCH("Tempo de Fidelidade (meses)",'Infos Clientes'!$A$2:$V$2,0))=0,R688&gt;=MAX(R:R)),0,
ROUND((MAX(R:R)-R688)/(365/12),0)),"")</f>
        <v>0</v>
      </c>
      <c r="R688" s="111">
        <v>45839</v>
      </c>
      <c r="S688" s="63">
        <v>1.9599999999999999E-2</v>
      </c>
      <c r="T688" s="113" t="str">
        <f>IF($H688="GIROSSOL II",AP688/INDEX('Resumo Operacional'!$A$1:$P$1103,17,MATCH('Detalhe Por UC'!$R688,'Resumo Operacional'!$A$1:$P$1,0)),
IF($H688="GIROSSOL II e III",AP688/INDEX('Resumo Operacional'!$A$1:$P$1103,17,MATCH('Detalhe Por UC'!$R688,'Resumo Operacional'!$A$1:$P$1,0)),
""))</f>
        <v/>
      </c>
      <c r="U688" s="113">
        <f>IF($H688="GIROSSOL III",AP688/INDEX('Resumo Operacional'!$A$1:$P$1103,53,MATCH('Detalhe Por UC'!$R688,'Resumo Operacional'!$A$1:$P$1,0)),
IF($H688="GIROSSOL II e III",AP688/INDEX('Resumo Operacional'!$A$1:$P$1103,53,MATCH('Detalhe Por UC'!$R688,'Resumo Operacional'!$A$1:$P$1,0)),
""))</f>
        <v>3.6690255851932502E-2</v>
      </c>
      <c r="V688" s="45"/>
      <c r="X688">
        <v>1.163</v>
      </c>
      <c r="Y688">
        <v>0</v>
      </c>
      <c r="Z688" s="18">
        <v>0</v>
      </c>
      <c r="AA688">
        <v>0</v>
      </c>
      <c r="AB688" s="18">
        <v>0</v>
      </c>
      <c r="AC688">
        <v>0</v>
      </c>
      <c r="AD688" s="143">
        <v>0</v>
      </c>
      <c r="AE688" s="35"/>
      <c r="AF688" s="18">
        <v>337</v>
      </c>
      <c r="AG688">
        <v>0</v>
      </c>
      <c r="AH688" s="48">
        <v>0</v>
      </c>
      <c r="AI688">
        <v>0</v>
      </c>
      <c r="AJ688">
        <v>0</v>
      </c>
      <c r="AN688" s="71">
        <f t="shared" si="383"/>
        <v>337</v>
      </c>
      <c r="AO688" s="71">
        <f t="shared" si="384"/>
        <v>0</v>
      </c>
      <c r="AP688" s="71">
        <f t="shared" si="385"/>
        <v>337</v>
      </c>
      <c r="AQ688" s="72">
        <f>IF(OR($H688="GIROSSOL II",$H688="GIROSSOL II e III"),INDEX('Resumo Operacional'!$A$1:$P$1103,MATCH("Energia Injetada prevista total Fatura da Usina (TUSD)",'Resumo Operacional'!$B$1:$B$1103,0),MATCH('Detalhe Por UC'!$R688,'Resumo Operacional'!$A$1:$P$1,0))*$S688,INDEX('Resumo Operacional'!$A$1:$P$1103,53,MATCH('Detalhe Por UC'!$R688,'Resumo Operacional'!$A$1:$P$1,0))*$S688)</f>
        <v>180.02599999999998</v>
      </c>
      <c r="AR688" s="71">
        <f t="shared" si="386"/>
        <v>156.97400000000002</v>
      </c>
      <c r="AS688" s="73">
        <f t="shared" si="387"/>
        <v>116.3</v>
      </c>
      <c r="AT688" s="74">
        <f t="shared" si="388"/>
        <v>116.3</v>
      </c>
      <c r="AU688" s="74" t="str">
        <f t="shared" si="389"/>
        <v/>
      </c>
      <c r="AV688" s="74">
        <f t="shared" si="390"/>
        <v>0</v>
      </c>
      <c r="AW688" s="74">
        <f t="shared" si="391"/>
        <v>0.66000000000000369</v>
      </c>
      <c r="AX688" s="74">
        <f t="shared" si="392"/>
        <v>0.66000000000000369</v>
      </c>
      <c r="AY688" s="74">
        <f t="shared" si="393"/>
        <v>0.66000000000000369</v>
      </c>
      <c r="AZ688" s="43">
        <v>0.66000000000000369</v>
      </c>
      <c r="BA688" s="43"/>
      <c r="BC688" s="73" t="str">
        <f t="shared" si="394"/>
        <v/>
      </c>
      <c r="BD688" s="73">
        <f t="shared" si="395"/>
        <v>116.3</v>
      </c>
      <c r="BE688" s="73">
        <f t="shared" si="396"/>
        <v>116.3</v>
      </c>
      <c r="BF688" s="77">
        <f t="shared" si="397"/>
        <v>0</v>
      </c>
      <c r="BG688" s="77">
        <f t="shared" si="398"/>
        <v>0</v>
      </c>
      <c r="BH688" s="77">
        <f t="shared" si="399"/>
        <v>0</v>
      </c>
      <c r="BI688" s="78" t="str">
        <f t="shared" si="400"/>
        <v/>
      </c>
      <c r="BJ688" s="79">
        <f t="shared" si="401"/>
        <v>0</v>
      </c>
      <c r="BK688" s="80">
        <f t="shared" si="402"/>
        <v>116.96000000000001</v>
      </c>
      <c r="BL688" s="80">
        <f t="shared" si="403"/>
        <v>-0.6600000000000108</v>
      </c>
      <c r="BM688" s="79">
        <f t="shared" si="404"/>
        <v>-5.6749785038693965E-3</v>
      </c>
      <c r="BN688" s="81" t="str">
        <f t="shared" si="405"/>
        <v/>
      </c>
      <c r="BO688" s="82" t="str">
        <f t="shared" si="406"/>
        <v/>
      </c>
      <c r="BP688" s="81" t="str">
        <f t="shared" si="407"/>
        <v/>
      </c>
      <c r="BQ688" s="81" t="str">
        <f t="shared" si="408"/>
        <v/>
      </c>
      <c r="BR688" s="81" t="str">
        <f t="shared" si="409"/>
        <v/>
      </c>
      <c r="BS688" s="82">
        <f t="shared" si="410"/>
        <v>0</v>
      </c>
      <c r="BT688" s="82" t="str">
        <f t="shared" si="411"/>
        <v/>
      </c>
      <c r="BU688" s="82">
        <f t="shared" si="412"/>
        <v>0</v>
      </c>
      <c r="BW688" s="82">
        <f>IFERROR(INDEX('Infos Clientes'!$T:$T,MATCH('Detalhe Por UC'!$C688,'Infos Clientes'!B:B,0)),"")</f>
        <v>384.90909090909093</v>
      </c>
      <c r="BX688" s="83">
        <f t="shared" si="413"/>
        <v>0</v>
      </c>
      <c r="BY688" s="84" t="str">
        <f t="shared" si="414"/>
        <v/>
      </c>
      <c r="BZ688" s="85">
        <f>IF(_xlfn.MINIFS('Detalhe Por UC'!R:R,'Detalhe Por UC'!C:C,C688,'Detalhe Por UC'!AD:AD,"&gt;"&amp;0)=0,"",_xlfn.MINIFS('Detalhe Por UC'!R:R,'Detalhe Por UC'!C:C,C688,'Detalhe Por UC'!AD:AD,"&gt;"&amp;0))</f>
        <v>45658</v>
      </c>
      <c r="CA688" s="114">
        <f ca="1">IF(OR(S688&gt;0,AD688&gt;0),IFERROR(
SUMIFS(INDIRECT("'Infos Clientes'!$W"&amp;INDEX('Infos Clientes'!$C:$C,MATCH(C688,'Infos Clientes'!$H:$H,0))&amp;":$CZ"&amp;INDEX('Infos Clientes'!$C:$C,MATCH(C688,'Infos Clientes'!$H:$H,0))),'Infos Clientes'!$W$2:$CZ$2,"&gt;"&amp;$R688-365,'Infos Clientes'!$W$2:$CZ$2,"&lt;="&amp;$R688)/
COUNTIFS(INDIRECT("'Infos Clientes'!$W"&amp;INDEX('Infos Clientes'!$C:$C,MATCH(C688,'Infos Clientes'!$H:$H,0))&amp;":$CZ"&amp;INDEX('Infos Clientes'!$C:$C,MATCH(C688,'Infos Clientes'!$H:$H,0))),"&gt;="&amp;0,'Infos Clientes'!$W$2:$CZ$2,"&gt;"&amp;$R688-365,'Infos Clientes'!$W$2:$CZ$2,"&lt;="&amp;$R688),""),"")</f>
        <v>293.81818181818181</v>
      </c>
      <c r="CB688" s="87">
        <f>VLOOKUP(C688,'Infos Clientes'!B:L,11,0)</f>
        <v>0</v>
      </c>
      <c r="CC688" s="88" t="str">
        <f t="shared" si="415"/>
        <v>A Unidade Consumidora 10/252817-2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688" s="40" t="s">
        <v>177</v>
      </c>
      <c r="CE688" s="43">
        <v>116.3</v>
      </c>
      <c r="CF688" s="115">
        <f t="shared" si="416"/>
        <v>0</v>
      </c>
    </row>
    <row r="689" spans="1:84" ht="16.2" hidden="1" customHeight="1" x14ac:dyDescent="0.3">
      <c r="A689" s="105" t="str">
        <f>INDEX('Infos Clientes'!$D:$D,MATCH('Detalhe Por UC'!C689,'Infos Clientes'!B:B,0))</f>
        <v>IGREJA DO EVANGELHO QUADRANGULAR</v>
      </c>
      <c r="B689" s="106" t="str">
        <f>INDEX('Infos Clientes'!$F:$F,MATCH('Detalhe Por UC'!C689,'Infos Clientes'!B:B,0))</f>
        <v>62.955.505/0168-37</v>
      </c>
      <c r="C689" s="31" t="s">
        <v>228</v>
      </c>
      <c r="D689" t="s">
        <v>351</v>
      </c>
      <c r="E689" s="1" t="s">
        <v>352</v>
      </c>
      <c r="F689" s="56" t="str">
        <f>INDEX('Infos Clientes'!$I:$I,MATCH('Detalhe Por UC'!C689,'Infos Clientes'!B:B,0))</f>
        <v>BT</v>
      </c>
      <c r="G689" s="56" t="str">
        <f>INDEX('Infos Clientes'!$J:$J,MATCH('Detalhe Por UC'!C689,'Infos Clientes'!B:B,0))</f>
        <v>trifasico</v>
      </c>
      <c r="H689" s="108" t="s">
        <v>138</v>
      </c>
      <c r="I689" s="58">
        <f>IFERROR(VLOOKUP(C689,'Infos Clientes'!B:E,4,),"")</f>
        <v>302</v>
      </c>
      <c r="J689" s="109">
        <v>0.22939999999999999</v>
      </c>
      <c r="K689" s="79">
        <f>INDEX('Resumo Operacional'!$A$1:$P$151,MATCH("Desconto percentual Ucs",'Resumo Operacional'!$B$1:$B$151,0),MATCH('Detalhe Por UC'!$R689,'Resumo Operacional'!$A$1:$P$1,0))</f>
        <v>0.25212408425707711</v>
      </c>
      <c r="L689" s="125">
        <v>0</v>
      </c>
      <c r="M689" s="56">
        <f>INDEX('Infos Clientes'!$N:$N,MATCH('Detalhe Por UC'!C689,'Infos Clientes'!B:B,0))</f>
        <v>0</v>
      </c>
      <c r="N689" s="56">
        <f t="shared" si="381"/>
        <v>0</v>
      </c>
      <c r="O689" s="56">
        <f t="shared" si="382"/>
        <v>9</v>
      </c>
      <c r="P689" s="56">
        <f t="shared" si="417"/>
        <v>0</v>
      </c>
      <c r="Q689" s="61">
        <f>IFERROR(IFERROR(INDEX('Infos Clientes'!$A$2:$V$9884,MATCH($C689,'Infos Clientes'!$B$2:$B$9884,0),MATCH(Q$8,'Infos Clientes'!$A$2:$V$2,0)),"")
+IF(OR(INDEX('Infos Clientes'!$A$2:$V$9884,MATCH($C689,'Infos Clientes'!$B$2:$B$9884,0),MATCH("Tempo de Fidelidade (meses)",'Infos Clientes'!$A$2:$V$2,0))=0,R689&gt;=MAX(R:R)),0,
ROUND((MAX(R:R)-R689)/(365/12),0)),"")</f>
        <v>0</v>
      </c>
      <c r="R689" s="111">
        <v>45839</v>
      </c>
      <c r="S689" s="63">
        <v>1.9599999999999999E-2</v>
      </c>
      <c r="T689" s="113" t="str">
        <f>IF($H689="GIROSSOL II",AP689/INDEX('Resumo Operacional'!$A$1:$P$1103,17,MATCH('Detalhe Por UC'!$R689,'Resumo Operacional'!$A$1:$P$1,0)),
IF($H689="GIROSSOL II e III",AP689/INDEX('Resumo Operacional'!$A$1:$P$1103,17,MATCH('Detalhe Por UC'!$R689,'Resumo Operacional'!$A$1:$P$1,0)),
""))</f>
        <v/>
      </c>
      <c r="U689" s="113">
        <f>IF($H689="GIROSSOL III",AP689/INDEX('Resumo Operacional'!$A$1:$P$1103,53,MATCH('Detalhe Por UC'!$R689,'Resumo Operacional'!$A$1:$P$1,0)),
IF($H689="GIROSSOL II e III",AP689/INDEX('Resumo Operacional'!$A$1:$P$1103,53,MATCH('Detalhe Por UC'!$R689,'Resumo Operacional'!$A$1:$P$1,0)),
""))</f>
        <v>3.6690255851932502E-2</v>
      </c>
      <c r="V689" s="45"/>
      <c r="X689">
        <v>1.1630361648444072</v>
      </c>
      <c r="Y689">
        <v>0</v>
      </c>
      <c r="Z689" s="18">
        <v>1.0060770264218541</v>
      </c>
      <c r="AA689">
        <v>0</v>
      </c>
      <c r="AB689" s="18">
        <v>164</v>
      </c>
      <c r="AC689">
        <v>0</v>
      </c>
      <c r="AD689" s="143">
        <v>77</v>
      </c>
      <c r="AE689" s="35"/>
      <c r="AF689" s="18">
        <v>260</v>
      </c>
      <c r="AG689">
        <v>0</v>
      </c>
      <c r="AH689" s="48">
        <v>27.73</v>
      </c>
      <c r="AI689">
        <v>0</v>
      </c>
      <c r="AJ689">
        <v>0</v>
      </c>
      <c r="AN689" s="71">
        <f t="shared" si="383"/>
        <v>260</v>
      </c>
      <c r="AO689" s="71">
        <f t="shared" si="384"/>
        <v>0</v>
      </c>
      <c r="AP689" s="71">
        <f t="shared" si="385"/>
        <v>337</v>
      </c>
      <c r="AQ689" s="72">
        <f>IF(OR($H689="GIROSSOL II",$H689="GIROSSOL II e III"),INDEX('Resumo Operacional'!$A$1:$P$1103,MATCH("Energia Injetada prevista total Fatura da Usina (TUSD)",'Resumo Operacional'!$B$1:$B$1103,0),MATCH('Detalhe Por UC'!$R689,'Resumo Operacional'!$A$1:$P$1,0))*$S689,INDEX('Resumo Operacional'!$A$1:$P$1103,53,MATCH('Detalhe Por UC'!$R689,'Resumo Operacional'!$A$1:$P$1,0))*$S689)</f>
        <v>180.02599999999998</v>
      </c>
      <c r="AR689" s="71">
        <f t="shared" si="386"/>
        <v>156.97400000000002</v>
      </c>
      <c r="AS689" s="73">
        <f t="shared" si="387"/>
        <v>141</v>
      </c>
      <c r="AT689" s="74">
        <f t="shared" si="388"/>
        <v>141</v>
      </c>
      <c r="AU689" s="74">
        <f t="shared" si="389"/>
        <v>0.8491178879993011</v>
      </c>
      <c r="AV689" s="74">
        <f t="shared" si="390"/>
        <v>59.696787655172422</v>
      </c>
      <c r="AW689" s="74">
        <f t="shared" si="391"/>
        <v>2.0300000000000011</v>
      </c>
      <c r="AX689" s="74">
        <f t="shared" si="392"/>
        <v>79.497931034482775</v>
      </c>
      <c r="AY689" s="74">
        <f t="shared" si="393"/>
        <v>61.73</v>
      </c>
      <c r="AZ689" s="43">
        <v>61.73</v>
      </c>
      <c r="BA689" s="43">
        <v>61.73</v>
      </c>
      <c r="BB689" s="49">
        <v>61.73</v>
      </c>
      <c r="BC689" s="73" t="str">
        <f t="shared" si="394"/>
        <v/>
      </c>
      <c r="BD689" s="73">
        <f t="shared" si="395"/>
        <v>218.46793103448277</v>
      </c>
      <c r="BE689" s="73">
        <f t="shared" si="396"/>
        <v>200.69678765517241</v>
      </c>
      <c r="BF689" s="77">
        <f t="shared" si="397"/>
        <v>17.77</v>
      </c>
      <c r="BG689" s="77">
        <f t="shared" si="398"/>
        <v>5.3309999999999995</v>
      </c>
      <c r="BH689" s="77">
        <f t="shared" si="399"/>
        <v>77.467931034482774</v>
      </c>
      <c r="BI689" s="78">
        <f t="shared" si="400"/>
        <v>0.22</v>
      </c>
      <c r="BJ689" s="79">
        <f t="shared" si="401"/>
        <v>8.1339169167099407E-2</v>
      </c>
      <c r="BK689" s="80">
        <f t="shared" si="402"/>
        <v>202.73</v>
      </c>
      <c r="BL689" s="80">
        <f t="shared" si="403"/>
        <v>15.737931034482784</v>
      </c>
      <c r="BM689" s="79">
        <f t="shared" si="404"/>
        <v>7.2037717206186763E-2</v>
      </c>
      <c r="BN689" s="81">
        <f t="shared" si="405"/>
        <v>0.80168831168831167</v>
      </c>
      <c r="BO689" s="82">
        <f t="shared" si="406"/>
        <v>61.73</v>
      </c>
      <c r="BP689" s="81">
        <f t="shared" si="407"/>
        <v>0.80168831168831167</v>
      </c>
      <c r="BQ689" s="81">
        <f t="shared" si="408"/>
        <v>0.95864745011086472</v>
      </c>
      <c r="BR689" s="81">
        <f t="shared" si="409"/>
        <v>1.1630361648444072</v>
      </c>
      <c r="BS689" s="82">
        <f t="shared" si="410"/>
        <v>77</v>
      </c>
      <c r="BT689" s="82">
        <f t="shared" si="411"/>
        <v>89.553784693019352</v>
      </c>
      <c r="BU689" s="82">
        <f t="shared" si="412"/>
        <v>77.467931034482774</v>
      </c>
      <c r="BW689" s="82">
        <f>IFERROR(INDEX('Infos Clientes'!$T:$T,MATCH('Detalhe Por UC'!$C689,'Infos Clientes'!B:B,0)),"")</f>
        <v>286.18181818181819</v>
      </c>
      <c r="BX689" s="83">
        <f t="shared" si="413"/>
        <v>0</v>
      </c>
      <c r="BY689" s="84">
        <f t="shared" si="414"/>
        <v>0.17573719623833531</v>
      </c>
      <c r="BZ689" s="85">
        <f>IF(_xlfn.MINIFS('Detalhe Por UC'!R:R,'Detalhe Por UC'!C:C,C689,'Detalhe Por UC'!AD:AD,"&gt;"&amp;0)=0,"",_xlfn.MINIFS('Detalhe Por UC'!R:R,'Detalhe Por UC'!C:C,C689,'Detalhe Por UC'!AD:AD,"&gt;"&amp;0))</f>
        <v>45658</v>
      </c>
      <c r="CA689" s="114">
        <f ca="1">IF(OR(S689&gt;0,AD689&gt;0),IFERROR(
SUMIFS(INDIRECT("'Infos Clientes'!$W"&amp;INDEX('Infos Clientes'!$C:$C,MATCH(C689,'Infos Clientes'!$H:$H,0))&amp;":$CZ"&amp;INDEX('Infos Clientes'!$C:$C,MATCH(C689,'Infos Clientes'!$H:$H,0))),'Infos Clientes'!$W$2:$CZ$2,"&gt;"&amp;$R689-365,'Infos Clientes'!$W$2:$CZ$2,"&lt;="&amp;$R689)/
COUNTIFS(INDIRECT("'Infos Clientes'!$W"&amp;INDEX('Infos Clientes'!$C:$C,MATCH(C689,'Infos Clientes'!$H:$H,0))&amp;":$CZ"&amp;INDEX('Infos Clientes'!$C:$C,MATCH(C689,'Infos Clientes'!$H:$H,0))),"&gt;="&amp;0,'Infos Clientes'!$W$2:$CZ$2,"&gt;"&amp;$R689-365,'Infos Clientes'!$W$2:$CZ$2,"&lt;="&amp;$R689),""),"")</f>
        <v>311.41666666666669</v>
      </c>
      <c r="CB689" s="87">
        <f>VLOOKUP(C689,'Infos Clientes'!B:L,11,0)</f>
        <v>0</v>
      </c>
      <c r="CC689" s="88" t="str">
        <f t="shared" si="415"/>
        <v>A Unidade Consumidora 10/78338-1 economizou R$17,77 na fatura referente à jul/2025  consumindo 77 kWh em créditos de energia renovável conforme fatura de energia. A economia foi de 22,94% em relação ao que seria pago para a Energisa considerando os créditos consumidos. Atenção: Mantenha as contas da Energisa em dia para evitar cortes.</v>
      </c>
      <c r="CD689" s="40" t="s">
        <v>230</v>
      </c>
      <c r="CE689" s="43">
        <v>141</v>
      </c>
      <c r="CF689" s="115">
        <f t="shared" si="416"/>
        <v>0</v>
      </c>
    </row>
    <row r="690" spans="1:84" ht="16.2" hidden="1" customHeight="1" x14ac:dyDescent="0.3">
      <c r="A690" s="105" t="str">
        <f>INDEX('Infos Clientes'!$D:$D,MATCH('Detalhe Por UC'!C690,'Infos Clientes'!B:B,0))</f>
        <v>IGREJA DO EVANGELHO QUADRANGULAR</v>
      </c>
      <c r="B690" s="106" t="str">
        <f>INDEX('Infos Clientes'!$F:$F,MATCH('Detalhe Por UC'!C690,'Infos Clientes'!B:B,0))</f>
        <v>62.955.505/0001-67</v>
      </c>
      <c r="C690" s="31" t="s">
        <v>142</v>
      </c>
      <c r="D690" t="s">
        <v>351</v>
      </c>
      <c r="E690" s="1" t="s">
        <v>352</v>
      </c>
      <c r="F690" s="56" t="str">
        <f>INDEX('Infos Clientes'!$I:$I,MATCH('Detalhe Por UC'!C690,'Infos Clientes'!B:B,0))</f>
        <v>BT</v>
      </c>
      <c r="G690" s="56" t="str">
        <f>INDEX('Infos Clientes'!$J:$J,MATCH('Detalhe Por UC'!C690,'Infos Clientes'!B:B,0))</f>
        <v>bifasico</v>
      </c>
      <c r="H690" s="108" t="s">
        <v>138</v>
      </c>
      <c r="I690" s="58">
        <f>IFERROR(VLOOKUP(C690,'Infos Clientes'!B:E,4,),"")</f>
        <v>319</v>
      </c>
      <c r="J690" s="109">
        <v>0.22939999999999999</v>
      </c>
      <c r="K690" s="79">
        <f>INDEX('Resumo Operacional'!$A$1:$P$151,MATCH("Desconto percentual Ucs",'Resumo Operacional'!$B$1:$B$151,0),MATCH('Detalhe Por UC'!$R690,'Resumo Operacional'!$A$1:$P$1,0))</f>
        <v>0.25212408425707711</v>
      </c>
      <c r="L690" s="125">
        <v>0</v>
      </c>
      <c r="M690" s="56">
        <f>INDEX('Infos Clientes'!$N:$N,MATCH('Detalhe Por UC'!C690,'Infos Clientes'!B:B,0))</f>
        <v>0</v>
      </c>
      <c r="N690" s="56">
        <f t="shared" si="381"/>
        <v>0</v>
      </c>
      <c r="O690" s="56">
        <f t="shared" si="382"/>
        <v>9</v>
      </c>
      <c r="P690" s="56">
        <f t="shared" si="417"/>
        <v>0</v>
      </c>
      <c r="Q690" s="61">
        <f>IFERROR(IFERROR(INDEX('Infos Clientes'!$A$2:$V$9884,MATCH($C690,'Infos Clientes'!$B$2:$B$9884,0),MATCH(Q$8,'Infos Clientes'!$A$2:$V$2,0)),"")
+IF(OR(INDEX('Infos Clientes'!$A$2:$V$9884,MATCH($C690,'Infos Clientes'!$B$2:$B$9884,0),MATCH("Tempo de Fidelidade (meses)",'Infos Clientes'!$A$2:$V$2,0))=0,R690&gt;=MAX(R:R)),0,
ROUND((MAX(R:R)-R690)/(365/12),0)),"")</f>
        <v>0</v>
      </c>
      <c r="R690" s="111">
        <v>45839</v>
      </c>
      <c r="S690" s="63">
        <v>1.9400000000000001E-2</v>
      </c>
      <c r="T690" s="113" t="str">
        <f>IF($H690="GIROSSOL II",AP690/INDEX('Resumo Operacional'!$A$1:$P$1103,17,MATCH('Detalhe Por UC'!$R690,'Resumo Operacional'!$A$1:$P$1,0)),
IF($H690="GIROSSOL II e III",AP690/INDEX('Resumo Operacional'!$A$1:$P$1103,17,MATCH('Detalhe Por UC'!$R690,'Resumo Operacional'!$A$1:$P$1,0)),
""))</f>
        <v/>
      </c>
      <c r="U690" s="113">
        <f>IF($H690="GIROSSOL III",AP690/INDEX('Resumo Operacional'!$A$1:$P$1103,53,MATCH('Detalhe Por UC'!$R690,'Resumo Operacional'!$A$1:$P$1,0)),
IF($H690="GIROSSOL II e III",AP690/INDEX('Resumo Operacional'!$A$1:$P$1103,53,MATCH('Detalhe Por UC'!$R690,'Resumo Operacional'!$A$1:$P$1,0)),
""))</f>
        <v>3.6363636363636362E-2</v>
      </c>
      <c r="V690" s="45"/>
      <c r="X690">
        <v>1.1626534170153418</v>
      </c>
      <c r="Y690">
        <v>0</v>
      </c>
      <c r="Z690" s="18">
        <v>1.0057892804698971</v>
      </c>
      <c r="AA690">
        <v>0</v>
      </c>
      <c r="AB690" s="18">
        <v>239</v>
      </c>
      <c r="AC690">
        <v>0</v>
      </c>
      <c r="AD690" s="143">
        <v>227</v>
      </c>
      <c r="AE690" s="35"/>
      <c r="AF690" s="18">
        <v>107</v>
      </c>
      <c r="AG690">
        <v>0</v>
      </c>
      <c r="AH690" s="48">
        <v>0</v>
      </c>
      <c r="AI690">
        <v>0</v>
      </c>
      <c r="AJ690">
        <v>0</v>
      </c>
      <c r="AN690" s="71">
        <f t="shared" si="383"/>
        <v>107</v>
      </c>
      <c r="AO690" s="71">
        <f t="shared" si="384"/>
        <v>0</v>
      </c>
      <c r="AP690" s="71">
        <f t="shared" si="385"/>
        <v>334</v>
      </c>
      <c r="AQ690" s="72">
        <f>IF(OR($H690="GIROSSOL II",$H690="GIROSSOL II e III"),INDEX('Resumo Operacional'!$A$1:$P$1103,MATCH("Energia Injetada prevista total Fatura da Usina (TUSD)",'Resumo Operacional'!$B$1:$B$1103,0),MATCH('Detalhe Por UC'!$R690,'Resumo Operacional'!$A$1:$P$1,0))*$S690,INDEX('Resumo Operacional'!$A$1:$P$1103,53,MATCH('Detalhe Por UC'!$R690,'Resumo Operacional'!$A$1:$P$1,0))*$S690)</f>
        <v>178.18899999999999</v>
      </c>
      <c r="AR690" s="71">
        <f t="shared" si="386"/>
        <v>155.81100000000001</v>
      </c>
      <c r="AS690" s="73">
        <f t="shared" si="387"/>
        <v>49.560000000000031</v>
      </c>
      <c r="AT690" s="74">
        <f t="shared" si="388"/>
        <v>49.560000000000031</v>
      </c>
      <c r="AU690" s="74">
        <f t="shared" si="389"/>
        <v>0.84892514392445251</v>
      </c>
      <c r="AV690" s="74">
        <f t="shared" si="390"/>
        <v>175.9388968333333</v>
      </c>
      <c r="AW690" s="74">
        <f t="shared" si="391"/>
        <v>2.019999999999996</v>
      </c>
      <c r="AX690" s="74">
        <f t="shared" si="392"/>
        <v>230.33416666666665</v>
      </c>
      <c r="AY690" s="74">
        <f t="shared" si="393"/>
        <v>177.96</v>
      </c>
      <c r="AZ690" s="43">
        <v>177.96</v>
      </c>
      <c r="BA690" s="43">
        <v>177.96</v>
      </c>
      <c r="BB690" s="49">
        <v>177.96</v>
      </c>
      <c r="BC690" s="73" t="str">
        <f t="shared" si="394"/>
        <v/>
      </c>
      <c r="BD690" s="73">
        <f t="shared" si="395"/>
        <v>277.87416666666667</v>
      </c>
      <c r="BE690" s="73">
        <f t="shared" si="396"/>
        <v>225.49889683333333</v>
      </c>
      <c r="BF690" s="77">
        <f t="shared" si="397"/>
        <v>52.38</v>
      </c>
      <c r="BG690" s="77">
        <f t="shared" si="398"/>
        <v>15.714</v>
      </c>
      <c r="BH690" s="77">
        <f t="shared" si="399"/>
        <v>228.31416666666667</v>
      </c>
      <c r="BI690" s="78">
        <f t="shared" si="400"/>
        <v>0.23</v>
      </c>
      <c r="BJ690" s="79">
        <f t="shared" si="401"/>
        <v>0.18850258960140831</v>
      </c>
      <c r="BK690" s="80">
        <f t="shared" si="402"/>
        <v>227.52000000000004</v>
      </c>
      <c r="BL690" s="80">
        <f t="shared" si="403"/>
        <v>50.354166666666629</v>
      </c>
      <c r="BM690" s="79">
        <f t="shared" si="404"/>
        <v>0.18121211939456994</v>
      </c>
      <c r="BN690" s="81">
        <f t="shared" si="405"/>
        <v>0.78396475770925111</v>
      </c>
      <c r="BO690" s="82">
        <f t="shared" si="406"/>
        <v>177.96</v>
      </c>
      <c r="BP690" s="81">
        <f t="shared" si="407"/>
        <v>0.78396475770925111</v>
      </c>
      <c r="BQ690" s="81">
        <f t="shared" si="408"/>
        <v>0.94082889425469574</v>
      </c>
      <c r="BR690" s="81">
        <f t="shared" si="409"/>
        <v>1.1626534170153418</v>
      </c>
      <c r="BS690" s="82">
        <f t="shared" si="410"/>
        <v>227</v>
      </c>
      <c r="BT690" s="82">
        <f t="shared" si="411"/>
        <v>263.92232566248259</v>
      </c>
      <c r="BU690" s="82">
        <f t="shared" si="412"/>
        <v>228.31416666666664</v>
      </c>
      <c r="BW690" s="82">
        <f>IFERROR(INDEX('Infos Clientes'!$T:$T,MATCH('Detalhe Por UC'!$C690,'Infos Clientes'!B:B,0)),"")</f>
        <v>244.81818181818181</v>
      </c>
      <c r="BX690" s="83">
        <f t="shared" si="413"/>
        <v>0</v>
      </c>
      <c r="BY690" s="84">
        <f t="shared" si="414"/>
        <v>0.19079161469296135</v>
      </c>
      <c r="BZ690" s="85">
        <f>IF(_xlfn.MINIFS('Detalhe Por UC'!R:R,'Detalhe Por UC'!C:C,C690,'Detalhe Por UC'!AD:AD,"&gt;"&amp;0)=0,"",_xlfn.MINIFS('Detalhe Por UC'!R:R,'Detalhe Por UC'!C:C,C690,'Detalhe Por UC'!AD:AD,"&gt;"&amp;0))</f>
        <v>45658</v>
      </c>
      <c r="CA690" s="114">
        <f ca="1">IF(OR(S690&gt;0,AD690&gt;0),IFERROR(
SUMIFS(INDIRECT("'Infos Clientes'!$W"&amp;INDEX('Infos Clientes'!$C:$C,MATCH(C690,'Infos Clientes'!$H:$H,0))&amp;":$CZ"&amp;INDEX('Infos Clientes'!$C:$C,MATCH(C690,'Infos Clientes'!$H:$H,0))),'Infos Clientes'!$W$2:$CZ$2,"&gt;"&amp;$R690-365,'Infos Clientes'!$W$2:$CZ$2,"&lt;="&amp;$R690)/
COUNTIFS(INDIRECT("'Infos Clientes'!$W"&amp;INDEX('Infos Clientes'!$C:$C,MATCH(C690,'Infos Clientes'!$H:$H,0))&amp;":$CZ"&amp;INDEX('Infos Clientes'!$C:$C,MATCH(C690,'Infos Clientes'!$H:$H,0))),"&gt;="&amp;0,'Infos Clientes'!$W$2:$CZ$2,"&gt;"&amp;$R690-365,'Infos Clientes'!$W$2:$CZ$2,"&lt;="&amp;$R690),""),"")</f>
        <v>294.25</v>
      </c>
      <c r="CB690" s="87">
        <f>VLOOKUP(C690,'Infos Clientes'!B:L,11,0)</f>
        <v>0</v>
      </c>
      <c r="CC690" s="88" t="str">
        <f t="shared" si="415"/>
        <v>A Unidade Consumidora 10/109074-5 economizou R$52,38 na fatura referente à jul/2025  consumindo 227 kWh em créditos de energia renovável conforme fatura de energia. A economia foi de 22,94% em relação ao que seria pago para a Energisa considerando os créditos consumidos. Atenção: Mantenha as contas da Energisa em dia para evitar cortes.</v>
      </c>
      <c r="CD690" s="40" t="s">
        <v>143</v>
      </c>
      <c r="CE690" s="43">
        <v>49.56</v>
      </c>
      <c r="CF690" s="115">
        <f t="shared" si="416"/>
        <v>0</v>
      </c>
    </row>
    <row r="691" spans="1:84" ht="16.2" hidden="1" customHeight="1" x14ac:dyDescent="0.3">
      <c r="A691" s="105" t="str">
        <f>INDEX('Infos Clientes'!$D:$D,MATCH('Detalhe Por UC'!C691,'Infos Clientes'!B:B,0))</f>
        <v>IGREJA DO EVANGELHO QUADRANGULAR</v>
      </c>
      <c r="B691" s="106" t="str">
        <f>INDEX('Infos Clientes'!$F:$F,MATCH('Detalhe Por UC'!C691,'Infos Clientes'!B:B,0))</f>
        <v>62.955.505/2690-26</v>
      </c>
      <c r="C691" s="31" t="s">
        <v>201</v>
      </c>
      <c r="D691" t="s">
        <v>351</v>
      </c>
      <c r="E691" s="1" t="s">
        <v>352</v>
      </c>
      <c r="F691" s="56" t="str">
        <f>INDEX('Infos Clientes'!$I:$I,MATCH('Detalhe Por UC'!C691,'Infos Clientes'!B:B,0))</f>
        <v>BT</v>
      </c>
      <c r="G691" s="56" t="str">
        <f>INDEX('Infos Clientes'!$J:$J,MATCH('Detalhe Por UC'!C691,'Infos Clientes'!B:B,0))</f>
        <v>bifasico</v>
      </c>
      <c r="H691" s="47" t="str">
        <f>HYPERLINK("https://geraebcsp.sharepoint.com/sites/gestao.gdc/Shared Documents/EGS/2- Faturas/"&amp; TEXT($R691,"AAA") &amp;"/"&amp; TEXT($R691,"MM") &amp;"."&amp; TEXT($R691,"AAA") &amp;"/"&amp;"_10-"&amp; RIGHT($C691,LEN($C691)-3) &amp;"_" &amp; TEXT($R691,"AAAA") &amp;"-"&amp; TEXT($R691,"MM") &amp;".pdf","GIROSSOL III")</f>
        <v>GIROSSOL III</v>
      </c>
      <c r="I691" s="58">
        <f>IFERROR(VLOOKUP(C691,'Infos Clientes'!B:E,4,),"")</f>
        <v>319</v>
      </c>
      <c r="J691" s="109">
        <v>0.22939999999999999</v>
      </c>
      <c r="K691" s="79">
        <f>INDEX('Resumo Operacional'!$A$1:$P$151,MATCH("Desconto percentual Ucs",'Resumo Operacional'!$B$1:$B$151,0),MATCH('Detalhe Por UC'!$R691,'Resumo Operacional'!$A$1:$P$1,0))</f>
        <v>0.25212408425707711</v>
      </c>
      <c r="L691" s="125">
        <v>0</v>
      </c>
      <c r="M691" s="56">
        <f>INDEX('Infos Clientes'!$N:$N,MATCH('Detalhe Por UC'!C691,'Infos Clientes'!B:B,0))</f>
        <v>0</v>
      </c>
      <c r="N691" s="56">
        <f t="shared" si="381"/>
        <v>0</v>
      </c>
      <c r="O691" s="56">
        <f t="shared" si="382"/>
        <v>8</v>
      </c>
      <c r="P691" s="56">
        <f t="shared" si="417"/>
        <v>0</v>
      </c>
      <c r="Q691" s="61">
        <f>IFERROR(IFERROR(INDEX('Infos Clientes'!$A$2:$V$9884,MATCH($C691,'Infos Clientes'!$B$2:$B$9884,0),MATCH(Q$8,'Infos Clientes'!$A$2:$V$2,0)),"")
+IF(OR(INDEX('Infos Clientes'!$A$2:$V$9884,MATCH($C691,'Infos Clientes'!$B$2:$B$9884,0),MATCH("Tempo de Fidelidade (meses)",'Infos Clientes'!$A$2:$V$2,0))=0,R691&gt;=MAX(R:R)),0,
ROUND((MAX(R:R)-R691)/(365/12),0)),"")</f>
        <v>0</v>
      </c>
      <c r="R691" s="111">
        <v>45839</v>
      </c>
      <c r="S691" s="63">
        <v>1.7899999999999999E-2</v>
      </c>
      <c r="T691" s="113" t="str">
        <f>IF($H691="GIROSSOL II",AP691/INDEX('Resumo Operacional'!$A$1:$P$1103,17,MATCH('Detalhe Por UC'!$R691,'Resumo Operacional'!$A$1:$P$1,0)),
IF($H691="GIROSSOL II e III",AP691/INDEX('Resumo Operacional'!$A$1:$P$1103,17,MATCH('Detalhe Por UC'!$R691,'Resumo Operacional'!$A$1:$P$1,0)),
""))</f>
        <v/>
      </c>
      <c r="U691" s="113">
        <f>IF($H691="GIROSSOL III",AP691/INDEX('Resumo Operacional'!$A$1:$P$1103,53,MATCH('Detalhe Por UC'!$R691,'Resumo Operacional'!$A$1:$P$1,0)),
IF($H691="GIROSSOL II e III",AP691/INDEX('Resumo Operacional'!$A$1:$P$1103,53,MATCH('Detalhe Por UC'!$R691,'Resumo Operacional'!$A$1:$P$1,0)),
""))</f>
        <v>0</v>
      </c>
      <c r="V691" s="45"/>
      <c r="X691">
        <v>1.1629787234042552</v>
      </c>
      <c r="Y691">
        <v>0</v>
      </c>
      <c r="Z691" s="18">
        <v>0</v>
      </c>
      <c r="AA691">
        <v>0</v>
      </c>
      <c r="AB691" s="18">
        <v>94</v>
      </c>
      <c r="AC691">
        <v>0</v>
      </c>
      <c r="AD691" s="143">
        <v>0</v>
      </c>
      <c r="AE691" s="35"/>
      <c r="AF691" s="18">
        <v>0</v>
      </c>
      <c r="AG691">
        <v>0</v>
      </c>
      <c r="AH691" s="48">
        <v>1.76</v>
      </c>
      <c r="AI691">
        <v>0</v>
      </c>
      <c r="AJ691">
        <v>0</v>
      </c>
      <c r="AN691" s="71">
        <f t="shared" si="383"/>
        <v>0</v>
      </c>
      <c r="AO691" s="71">
        <f t="shared" si="384"/>
        <v>0</v>
      </c>
      <c r="AP691" s="71">
        <f t="shared" si="385"/>
        <v>0</v>
      </c>
      <c r="AQ691" s="72">
        <f>IF(OR($H691="GIROSSOL II",$H691="GIROSSOL II e III"),INDEX('Resumo Operacional'!$A$1:$P$1103,MATCH("Energia Injetada prevista total Fatura da Usina (TUSD)",'Resumo Operacional'!$B$1:$B$1103,0),MATCH('Detalhe Por UC'!$R691,'Resumo Operacional'!$A$1:$P$1,0))*$S691,INDEX('Resumo Operacional'!$A$1:$P$1103,53,MATCH('Detalhe Por UC'!$R691,'Resumo Operacional'!$A$1:$P$1,0))*$S691)</f>
        <v>164.41149999999999</v>
      </c>
      <c r="AR691" s="71">
        <f t="shared" si="386"/>
        <v>-164.41149999999999</v>
      </c>
      <c r="AS691" s="73">
        <f t="shared" si="387"/>
        <v>111.08</v>
      </c>
      <c r="AT691" s="74">
        <f t="shared" si="388"/>
        <v>111.08</v>
      </c>
      <c r="AU691" s="74" t="str">
        <f t="shared" si="389"/>
        <v/>
      </c>
      <c r="AV691" s="74">
        <f t="shared" si="390"/>
        <v>0</v>
      </c>
      <c r="AW691" s="74">
        <f t="shared" si="391"/>
        <v>2</v>
      </c>
      <c r="AX691" s="74">
        <f t="shared" si="392"/>
        <v>2</v>
      </c>
      <c r="AY691" s="74">
        <f t="shared" si="393"/>
        <v>2</v>
      </c>
      <c r="AZ691" s="43">
        <v>2</v>
      </c>
      <c r="BA691" s="43">
        <v>2</v>
      </c>
      <c r="BB691" s="49">
        <v>2</v>
      </c>
      <c r="BC691" s="73" t="str">
        <f t="shared" si="394"/>
        <v/>
      </c>
      <c r="BD691" s="73">
        <f t="shared" si="395"/>
        <v>111.08</v>
      </c>
      <c r="BE691" s="73">
        <f t="shared" si="396"/>
        <v>111.08</v>
      </c>
      <c r="BF691" s="77">
        <f t="shared" si="397"/>
        <v>0</v>
      </c>
      <c r="BG691" s="77">
        <f t="shared" si="398"/>
        <v>0</v>
      </c>
      <c r="BH691" s="77">
        <f t="shared" si="399"/>
        <v>0</v>
      </c>
      <c r="BI691" s="78" t="str">
        <f t="shared" si="400"/>
        <v/>
      </c>
      <c r="BJ691" s="79">
        <f t="shared" si="401"/>
        <v>0</v>
      </c>
      <c r="BK691" s="80">
        <f t="shared" si="402"/>
        <v>113.08</v>
      </c>
      <c r="BL691" s="80">
        <f t="shared" si="403"/>
        <v>-2</v>
      </c>
      <c r="BM691" s="79">
        <f t="shared" si="404"/>
        <v>-1.8005041411595247E-2</v>
      </c>
      <c r="BN691" s="81" t="str">
        <f t="shared" si="405"/>
        <v/>
      </c>
      <c r="BO691" s="82" t="str">
        <f t="shared" si="406"/>
        <v/>
      </c>
      <c r="BP691" s="81" t="str">
        <f t="shared" si="407"/>
        <v/>
      </c>
      <c r="BQ691" s="81" t="str">
        <f t="shared" si="408"/>
        <v/>
      </c>
      <c r="BR691" s="81" t="str">
        <f t="shared" si="409"/>
        <v/>
      </c>
      <c r="BS691" s="82">
        <f t="shared" si="410"/>
        <v>0</v>
      </c>
      <c r="BT691" s="82" t="str">
        <f t="shared" si="411"/>
        <v/>
      </c>
      <c r="BU691" s="82">
        <f t="shared" si="412"/>
        <v>0</v>
      </c>
      <c r="BW691" s="82">
        <f>IFERROR(INDEX('Infos Clientes'!$T:$T,MATCH('Detalhe Por UC'!$C691,'Infos Clientes'!B:B,0)),"")</f>
        <v>293</v>
      </c>
      <c r="BX691" s="83">
        <f t="shared" si="413"/>
        <v>0</v>
      </c>
      <c r="BY691" s="84" t="str">
        <f t="shared" si="414"/>
        <v/>
      </c>
      <c r="BZ691" s="85">
        <f>IF(_xlfn.MINIFS('Detalhe Por UC'!R:R,'Detalhe Por UC'!C:C,C691,'Detalhe Por UC'!AD:AD,"&gt;"&amp;0)=0,"",_xlfn.MINIFS('Detalhe Por UC'!R:R,'Detalhe Por UC'!C:C,C691,'Detalhe Por UC'!AD:AD,"&gt;"&amp;0))</f>
        <v>45658</v>
      </c>
      <c r="CA691" s="114">
        <f ca="1">IF(OR(S691&gt;0,AD691&gt;0),IFERROR(
SUMIFS(INDIRECT("'Infos Clientes'!$W"&amp;INDEX('Infos Clientes'!$C:$C,MATCH(C691,'Infos Clientes'!$H:$H,0))&amp;":$CZ"&amp;INDEX('Infos Clientes'!$C:$C,MATCH(C691,'Infos Clientes'!$H:$H,0))),'Infos Clientes'!$W$2:$CZ$2,"&gt;"&amp;$R691-365,'Infos Clientes'!$W$2:$CZ$2,"&lt;="&amp;$R691)/
COUNTIFS(INDIRECT("'Infos Clientes'!$W"&amp;INDEX('Infos Clientes'!$C:$C,MATCH(C691,'Infos Clientes'!$H:$H,0))&amp;":$CZ"&amp;INDEX('Infos Clientes'!$C:$C,MATCH(C691,'Infos Clientes'!$H:$H,0))),"&gt;="&amp;0,'Infos Clientes'!$W$2:$CZ$2,"&gt;"&amp;$R691-365,'Infos Clientes'!$W$2:$CZ$2,"&lt;="&amp;$R691),""),"")</f>
        <v>277.66666666666669</v>
      </c>
      <c r="CB691" s="87">
        <f>VLOOKUP(C691,'Infos Clientes'!B:L,11,0)</f>
        <v>0</v>
      </c>
      <c r="CC691" s="88" t="str">
        <f t="shared" si="415"/>
        <v>A Unidade Consumidora 10/41548-9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691" s="40" t="s">
        <v>143</v>
      </c>
      <c r="CE691" s="43">
        <v>111.08</v>
      </c>
      <c r="CF691" s="115">
        <f t="shared" si="416"/>
        <v>0</v>
      </c>
    </row>
    <row r="692" spans="1:84" ht="16.2" hidden="1" customHeight="1" x14ac:dyDescent="0.3">
      <c r="A692" s="105" t="str">
        <f>INDEX('Infos Clientes'!$D:$D,MATCH('Detalhe Por UC'!C692,'Infos Clientes'!B:B,0))</f>
        <v>IGREJA DO EVANGELHO QUADRANGULAR</v>
      </c>
      <c r="B692" s="106" t="str">
        <f>INDEX('Infos Clientes'!$F:$F,MATCH('Detalhe Por UC'!C692,'Infos Clientes'!B:B,0))</f>
        <v>62.955.505/1364-92</v>
      </c>
      <c r="C692" s="31" t="s">
        <v>223</v>
      </c>
      <c r="D692" t="s">
        <v>351</v>
      </c>
      <c r="E692" s="1" t="s">
        <v>352</v>
      </c>
      <c r="F692" s="56" t="str">
        <f>INDEX('Infos Clientes'!$I:$I,MATCH('Detalhe Por UC'!C692,'Infos Clientes'!B:B,0))</f>
        <v>BT</v>
      </c>
      <c r="G692" s="56" t="str">
        <f>INDEX('Infos Clientes'!$J:$J,MATCH('Detalhe Por UC'!C692,'Infos Clientes'!B:B,0))</f>
        <v>trifasico</v>
      </c>
      <c r="H692" s="108" t="s">
        <v>138</v>
      </c>
      <c r="I692" s="58">
        <f>IFERROR(VLOOKUP(C692,'Infos Clientes'!B:E,4,),"")</f>
        <v>319</v>
      </c>
      <c r="J692" s="109">
        <v>0.22939999999999999</v>
      </c>
      <c r="K692" s="79">
        <f>INDEX('Resumo Operacional'!$A$1:$P$151,MATCH("Desconto percentual Ucs",'Resumo Operacional'!$B$1:$B$151,0),MATCH('Detalhe Por UC'!$R692,'Resumo Operacional'!$A$1:$P$1,0))</f>
        <v>0.25212408425707711</v>
      </c>
      <c r="L692" s="125">
        <v>0</v>
      </c>
      <c r="M692" s="56">
        <f>INDEX('Infos Clientes'!$N:$N,MATCH('Detalhe Por UC'!C692,'Infos Clientes'!B:B,0))</f>
        <v>0</v>
      </c>
      <c r="N692" s="56">
        <f t="shared" si="381"/>
        <v>0</v>
      </c>
      <c r="O692" s="56">
        <f t="shared" si="382"/>
        <v>9</v>
      </c>
      <c r="P692" s="56">
        <f t="shared" si="417"/>
        <v>0</v>
      </c>
      <c r="Q692" s="61">
        <f>IFERROR(IFERROR(INDEX('Infos Clientes'!$A$2:$V$9884,MATCH($C692,'Infos Clientes'!$B$2:$B$9884,0),MATCH(Q$8,'Infos Clientes'!$A$2:$V$2,0)),"")
+IF(OR(INDEX('Infos Clientes'!$A$2:$V$9884,MATCH($C692,'Infos Clientes'!$B$2:$B$9884,0),MATCH("Tempo de Fidelidade (meses)",'Infos Clientes'!$A$2:$V$2,0))=0,R692&gt;=MAX(R:R)),0,
ROUND((MAX(R:R)-R692)/(365/12),0)),"")</f>
        <v>0</v>
      </c>
      <c r="R692" s="111">
        <v>45839</v>
      </c>
      <c r="S692" s="63">
        <v>1.7500000000000002E-2</v>
      </c>
      <c r="T692" s="113" t="str">
        <f>IF($H692="GIROSSOL II",AP692/INDEX('Resumo Operacional'!$A$1:$P$1103,17,MATCH('Detalhe Por UC'!$R692,'Resumo Operacional'!$A$1:$P$1,0)),
IF($H692="GIROSSOL II e III",AP692/INDEX('Resumo Operacional'!$A$1:$P$1103,17,MATCH('Detalhe Por UC'!$R692,'Resumo Operacional'!$A$1:$P$1,0)),
""))</f>
        <v/>
      </c>
      <c r="U692" s="113">
        <f>IF($H692="GIROSSOL III",AP692/INDEX('Resumo Operacional'!$A$1:$P$1103,53,MATCH('Detalhe Por UC'!$R692,'Resumo Operacional'!$A$1:$P$1,0)),
IF($H692="GIROSSOL II e III",AP692/INDEX('Resumo Operacional'!$A$1:$P$1103,53,MATCH('Detalhe Por UC'!$R692,'Resumo Operacional'!$A$1:$P$1,0)),
""))</f>
        <v>3.2770821992378879E-2</v>
      </c>
      <c r="V692" s="45"/>
      <c r="X692">
        <v>1.1631122448979592</v>
      </c>
      <c r="Y692">
        <v>0</v>
      </c>
      <c r="Z692" s="18">
        <v>1.0063265306122451</v>
      </c>
      <c r="AA692">
        <v>0</v>
      </c>
      <c r="AB692" s="18">
        <v>112</v>
      </c>
      <c r="AC692">
        <v>0</v>
      </c>
      <c r="AD692" s="143">
        <v>14</v>
      </c>
      <c r="AE692" s="35"/>
      <c r="AF692" s="18">
        <v>690</v>
      </c>
      <c r="AG692">
        <v>0</v>
      </c>
      <c r="AH692" s="48">
        <v>27.44</v>
      </c>
      <c r="AI692">
        <v>0</v>
      </c>
      <c r="AJ692">
        <v>0</v>
      </c>
      <c r="AN692" s="71">
        <f t="shared" si="383"/>
        <v>287</v>
      </c>
      <c r="AO692" s="71">
        <f t="shared" si="384"/>
        <v>0</v>
      </c>
      <c r="AP692" s="71">
        <f t="shared" si="385"/>
        <v>301</v>
      </c>
      <c r="AQ692" s="72">
        <f>IF(OR($H692="GIROSSOL II",$H692="GIROSSOL II e III"),INDEX('Resumo Operacional'!$A$1:$P$1103,MATCH("Energia Injetada prevista total Fatura da Usina (TUSD)",'Resumo Operacional'!$B$1:$B$1103,0),MATCH('Detalhe Por UC'!$R692,'Resumo Operacional'!$A$1:$P$1,0))*$S692,INDEX('Resumo Operacional'!$A$1:$P$1103,53,MATCH('Detalhe Por UC'!$R692,'Resumo Operacional'!$A$1:$P$1,0))*$S692)</f>
        <v>160.73750000000001</v>
      </c>
      <c r="AR692" s="71">
        <f t="shared" si="386"/>
        <v>140.26249999999999</v>
      </c>
      <c r="AS692" s="73">
        <f t="shared" si="387"/>
        <v>143.62</v>
      </c>
      <c r="AT692" s="74">
        <f t="shared" si="388"/>
        <v>143.62</v>
      </c>
      <c r="AU692" s="74">
        <f t="shared" si="389"/>
        <v>0.849540816326531</v>
      </c>
      <c r="AV692" s="74">
        <f t="shared" si="390"/>
        <v>10.856653142857144</v>
      </c>
      <c r="AW692" s="74">
        <f t="shared" si="391"/>
        <v>1.2800000000000011</v>
      </c>
      <c r="AX692" s="74">
        <f t="shared" si="392"/>
        <v>15.368571428571432</v>
      </c>
      <c r="AY692" s="74">
        <f t="shared" si="393"/>
        <v>12.14</v>
      </c>
      <c r="AZ692" s="43">
        <v>12.14</v>
      </c>
      <c r="BA692" s="43">
        <v>12.14</v>
      </c>
      <c r="BB692" s="49">
        <v>12.14</v>
      </c>
      <c r="BC692" s="73" t="str">
        <f t="shared" si="394"/>
        <v/>
      </c>
      <c r="BD692" s="73">
        <f t="shared" si="395"/>
        <v>157.70857142857142</v>
      </c>
      <c r="BE692" s="73">
        <f t="shared" si="396"/>
        <v>154.47665314285715</v>
      </c>
      <c r="BF692" s="77">
        <f t="shared" si="397"/>
        <v>3.23</v>
      </c>
      <c r="BG692" s="77">
        <f t="shared" si="398"/>
        <v>0.96899999999999997</v>
      </c>
      <c r="BH692" s="77">
        <f t="shared" si="399"/>
        <v>14.088571428571431</v>
      </c>
      <c r="BI692" s="78">
        <f t="shared" si="400"/>
        <v>0.21</v>
      </c>
      <c r="BJ692" s="79">
        <f t="shared" si="401"/>
        <v>2.04808145222653E-2</v>
      </c>
      <c r="BK692" s="80">
        <f t="shared" si="402"/>
        <v>155.76</v>
      </c>
      <c r="BL692" s="80">
        <f t="shared" si="403"/>
        <v>1.9485714285714266</v>
      </c>
      <c r="BM692" s="79">
        <f t="shared" si="404"/>
        <v>1.2355520127540841E-2</v>
      </c>
      <c r="BN692" s="81">
        <f t="shared" si="405"/>
        <v>0.86714285714285722</v>
      </c>
      <c r="BO692" s="82">
        <f t="shared" si="406"/>
        <v>12.14</v>
      </c>
      <c r="BP692" s="81">
        <f t="shared" si="407"/>
        <v>0.86714285714285722</v>
      </c>
      <c r="BQ692" s="81">
        <f t="shared" si="408"/>
        <v>1.0239285714285713</v>
      </c>
      <c r="BR692" s="81">
        <f t="shared" si="409"/>
        <v>1.1631122448979592</v>
      </c>
      <c r="BS692" s="82">
        <f t="shared" si="410"/>
        <v>14</v>
      </c>
      <c r="BT692" s="82">
        <f t="shared" si="411"/>
        <v>16.283571428571427</v>
      </c>
      <c r="BU692" s="82">
        <f t="shared" si="412"/>
        <v>14.088571428571431</v>
      </c>
      <c r="BW692" s="82">
        <f>IFERROR(INDEX('Infos Clientes'!$T:$T,MATCH('Detalhe Por UC'!$C692,'Infos Clientes'!B:B,0)),"")</f>
        <v>315</v>
      </c>
      <c r="BX692" s="83">
        <f t="shared" si="413"/>
        <v>0</v>
      </c>
      <c r="BY692" s="84">
        <f t="shared" si="414"/>
        <v>0.11966486818441033</v>
      </c>
      <c r="BZ692" s="85">
        <f>IF(_xlfn.MINIFS('Detalhe Por UC'!R:R,'Detalhe Por UC'!C:C,C692,'Detalhe Por UC'!AD:AD,"&gt;"&amp;0)=0,"",_xlfn.MINIFS('Detalhe Por UC'!R:R,'Detalhe Por UC'!C:C,C692,'Detalhe Por UC'!AD:AD,"&gt;"&amp;0))</f>
        <v>45658</v>
      </c>
      <c r="CA692" s="114">
        <f ca="1">IF(OR(S692&gt;0,AD692&gt;0),IFERROR(
SUMIFS(INDIRECT("'Infos Clientes'!$W"&amp;INDEX('Infos Clientes'!$C:$C,MATCH(C692,'Infos Clientes'!$H:$H,0))&amp;":$CZ"&amp;INDEX('Infos Clientes'!$C:$C,MATCH(C692,'Infos Clientes'!$H:$H,0))),'Infos Clientes'!$W$2:$CZ$2,"&gt;"&amp;$R692-365,'Infos Clientes'!$W$2:$CZ$2,"&lt;="&amp;$R692)/
COUNTIFS(INDIRECT("'Infos Clientes'!$W"&amp;INDEX('Infos Clientes'!$C:$C,MATCH(C692,'Infos Clientes'!$H:$H,0))&amp;":$CZ"&amp;INDEX('Infos Clientes'!$C:$C,MATCH(C692,'Infos Clientes'!$H:$H,0))),"&gt;="&amp;0,'Infos Clientes'!$W$2:$CZ$2,"&gt;"&amp;$R692-365,'Infos Clientes'!$W$2:$CZ$2,"&lt;="&amp;$R692),""),"")</f>
        <v>301.66666666666669</v>
      </c>
      <c r="CB692" s="87">
        <f>VLOOKUP(C692,'Infos Clientes'!B:L,11,0)</f>
        <v>0</v>
      </c>
      <c r="CC692" s="88" t="str">
        <f t="shared" si="415"/>
        <v>A Unidade Consumidora 10/72605-9 economizou R$3,23 na fatura referente à jul/2025  consumindo 14 kWh em créditos de energia renovável conforme fatura de energia. A economia foi de 22,94% em relação ao que seria pago para a Energisa considerando os créditos consumidos. Atenção: Mantenha as contas da Energisa em dia para evitar cortes.</v>
      </c>
      <c r="CD692" s="40" t="s">
        <v>143</v>
      </c>
      <c r="CE692" s="43">
        <v>143.62</v>
      </c>
      <c r="CF692" s="115">
        <f t="shared" si="416"/>
        <v>0</v>
      </c>
    </row>
    <row r="693" spans="1:84" ht="16.2" hidden="1" customHeight="1" x14ac:dyDescent="0.3">
      <c r="A693" s="105" t="str">
        <f>INDEX('Infos Clientes'!$D:$D,MATCH('Detalhe Por UC'!C693,'Infos Clientes'!B:B,0))</f>
        <v>IGREJA DO EVANGELHO QUADRANGULAR</v>
      </c>
      <c r="B693" s="106" t="str">
        <f>INDEX('Infos Clientes'!$F:$F,MATCH('Detalhe Por UC'!C693,'Infos Clientes'!B:B,0))</f>
        <v>62.955.505/0165-94</v>
      </c>
      <c r="C693" s="31" t="s">
        <v>169</v>
      </c>
      <c r="D693" t="s">
        <v>351</v>
      </c>
      <c r="E693" s="1" t="s">
        <v>352</v>
      </c>
      <c r="F693" s="56" t="str">
        <f>INDEX('Infos Clientes'!$I:$I,MATCH('Detalhe Por UC'!C693,'Infos Clientes'!B:B,0))</f>
        <v>BT</v>
      </c>
      <c r="G693" s="56" t="str">
        <f>INDEX('Infos Clientes'!$J:$J,MATCH('Detalhe Por UC'!C693,'Infos Clientes'!B:B,0))</f>
        <v>bifasico</v>
      </c>
      <c r="H693" s="108" t="s">
        <v>138</v>
      </c>
      <c r="I693" s="58">
        <f>IFERROR(VLOOKUP(C693,'Infos Clientes'!B:E,4,),"")</f>
        <v>302</v>
      </c>
      <c r="J693" s="109">
        <v>0.22939999999999999</v>
      </c>
      <c r="K693" s="79">
        <f>INDEX('Resumo Operacional'!$A$1:$P$151,MATCH("Desconto percentual Ucs",'Resumo Operacional'!$B$1:$B$151,0),MATCH('Detalhe Por UC'!$R693,'Resumo Operacional'!$A$1:$P$1,0))</f>
        <v>0.25212408425707711</v>
      </c>
      <c r="L693" s="125">
        <v>0</v>
      </c>
      <c r="M693" s="56">
        <f>INDEX('Infos Clientes'!$N:$N,MATCH('Detalhe Por UC'!C693,'Infos Clientes'!B:B,0))</f>
        <v>0</v>
      </c>
      <c r="N693" s="56">
        <f t="shared" si="381"/>
        <v>0</v>
      </c>
      <c r="O693" s="56">
        <f t="shared" si="382"/>
        <v>9</v>
      </c>
      <c r="P693" s="56">
        <f t="shared" si="417"/>
        <v>0</v>
      </c>
      <c r="Q693" s="61">
        <f>IFERROR(IFERROR(INDEX('Infos Clientes'!$A$2:$V$9884,MATCH($C693,'Infos Clientes'!$B$2:$B$9884,0),MATCH(Q$8,'Infos Clientes'!$A$2:$V$2,0)),"")
+IF(OR(INDEX('Infos Clientes'!$A$2:$V$9884,MATCH($C693,'Infos Clientes'!$B$2:$B$9884,0),MATCH("Tempo de Fidelidade (meses)",'Infos Clientes'!$A$2:$V$2,0))=0,R693&gt;=MAX(R:R)),0,
ROUND((MAX(R:R)-R693)/(365/12),0)),"")</f>
        <v>0</v>
      </c>
      <c r="R693" s="111">
        <v>45839</v>
      </c>
      <c r="S693" s="63">
        <v>1.7399999999999999E-2</v>
      </c>
      <c r="T693" s="113" t="str">
        <f>IF($H693="GIROSSOL II",AP693/INDEX('Resumo Operacional'!$A$1:$P$1103,17,MATCH('Detalhe Por UC'!$R693,'Resumo Operacional'!$A$1:$P$1,0)),
IF($H693="GIROSSOL II e III",AP693/INDEX('Resumo Operacional'!$A$1:$P$1103,17,MATCH('Detalhe Por UC'!$R693,'Resumo Operacional'!$A$1:$P$1,0)),
""))</f>
        <v/>
      </c>
      <c r="U693" s="113">
        <f>IF($H693="GIROSSOL III",AP693/INDEX('Resumo Operacional'!$A$1:$P$1103,53,MATCH('Detalhe Por UC'!$R693,'Resumo Operacional'!$A$1:$P$1,0)),
IF($H693="GIROSSOL II e III",AP693/INDEX('Resumo Operacional'!$A$1:$P$1103,53,MATCH('Detalhe Por UC'!$R693,'Resumo Operacional'!$A$1:$P$1,0)),
""))</f>
        <v>3.2553075666848119E-2</v>
      </c>
      <c r="V693" s="45"/>
      <c r="X693">
        <v>1.162818181818182</v>
      </c>
      <c r="Y693">
        <v>0</v>
      </c>
      <c r="Z693" s="18">
        <v>1.0059438202247191</v>
      </c>
      <c r="AA693">
        <v>0</v>
      </c>
      <c r="AB693" s="18">
        <v>198</v>
      </c>
      <c r="AC693">
        <v>0</v>
      </c>
      <c r="AD693" s="143">
        <v>178</v>
      </c>
      <c r="AE693" s="35"/>
      <c r="AF693" s="18">
        <v>121</v>
      </c>
      <c r="AG693">
        <v>0</v>
      </c>
      <c r="AH693" s="48">
        <v>30.22</v>
      </c>
      <c r="AI693">
        <v>0</v>
      </c>
      <c r="AJ693">
        <v>0</v>
      </c>
      <c r="AN693" s="71">
        <f t="shared" si="383"/>
        <v>121</v>
      </c>
      <c r="AO693" s="71">
        <f t="shared" si="384"/>
        <v>0</v>
      </c>
      <c r="AP693" s="71">
        <f t="shared" si="385"/>
        <v>299</v>
      </c>
      <c r="AQ693" s="72">
        <f>IF(OR($H693="GIROSSOL II",$H693="GIROSSOL II e III"),INDEX('Resumo Operacional'!$A$1:$P$1103,MATCH("Energia Injetada prevista total Fatura da Usina (TUSD)",'Resumo Operacional'!$B$1:$B$1103,0),MATCH('Detalhe Por UC'!$R693,'Resumo Operacional'!$A$1:$P$1,0))*$S693,INDEX('Resumo Operacional'!$A$1:$P$1103,53,MATCH('Detalhe Por UC'!$R693,'Resumo Operacional'!$A$1:$P$1,0))*$S693)</f>
        <v>159.81899999999999</v>
      </c>
      <c r="AR693" s="71">
        <f t="shared" si="386"/>
        <v>139.18100000000001</v>
      </c>
      <c r="AS693" s="73">
        <f t="shared" si="387"/>
        <v>81.400000000000034</v>
      </c>
      <c r="AT693" s="74">
        <f t="shared" si="388"/>
        <v>81.400000000000034</v>
      </c>
      <c r="AU693" s="74">
        <f t="shared" si="389"/>
        <v>0.84906945863125616</v>
      </c>
      <c r="AV693" s="74">
        <f t="shared" si="390"/>
        <v>137.98209479999997</v>
      </c>
      <c r="AW693" s="74">
        <f t="shared" si="391"/>
        <v>2.0300000000000011</v>
      </c>
      <c r="AX693" s="74">
        <f t="shared" si="392"/>
        <v>181.08799999999999</v>
      </c>
      <c r="AY693" s="74">
        <f t="shared" si="393"/>
        <v>140.01</v>
      </c>
      <c r="AZ693" s="43">
        <v>140.01</v>
      </c>
      <c r="BA693" s="43">
        <v>140.01</v>
      </c>
      <c r="BB693" s="49">
        <v>140.01</v>
      </c>
      <c r="BC693" s="73" t="str">
        <f t="shared" si="394"/>
        <v/>
      </c>
      <c r="BD693" s="73">
        <f t="shared" si="395"/>
        <v>260.45800000000003</v>
      </c>
      <c r="BE693" s="73">
        <f t="shared" si="396"/>
        <v>219.3820948</v>
      </c>
      <c r="BF693" s="77">
        <f t="shared" si="397"/>
        <v>41.08</v>
      </c>
      <c r="BG693" s="77">
        <f t="shared" si="398"/>
        <v>12.324</v>
      </c>
      <c r="BH693" s="77">
        <f t="shared" si="399"/>
        <v>179.05799999999999</v>
      </c>
      <c r="BI693" s="78">
        <f t="shared" si="400"/>
        <v>0.23</v>
      </c>
      <c r="BJ693" s="79">
        <f t="shared" si="401"/>
        <v>0.15772216633775885</v>
      </c>
      <c r="BK693" s="80">
        <f t="shared" si="402"/>
        <v>221.41000000000003</v>
      </c>
      <c r="BL693" s="80">
        <f t="shared" si="403"/>
        <v>39.048000000000002</v>
      </c>
      <c r="BM693" s="79">
        <f t="shared" si="404"/>
        <v>0.14992052461433319</v>
      </c>
      <c r="BN693" s="81">
        <f t="shared" si="405"/>
        <v>0.78657303370786513</v>
      </c>
      <c r="BO693" s="82">
        <f t="shared" si="406"/>
        <v>140.01</v>
      </c>
      <c r="BP693" s="81">
        <f t="shared" si="407"/>
        <v>0.78657303370786513</v>
      </c>
      <c r="BQ693" s="81">
        <f t="shared" si="408"/>
        <v>0.94344739530132804</v>
      </c>
      <c r="BR693" s="81">
        <f t="shared" si="409"/>
        <v>1.162818181818182</v>
      </c>
      <c r="BS693" s="82">
        <f t="shared" si="410"/>
        <v>178</v>
      </c>
      <c r="BT693" s="82">
        <f t="shared" si="411"/>
        <v>206.9816363636364</v>
      </c>
      <c r="BU693" s="82">
        <f t="shared" si="412"/>
        <v>179.05799999999999</v>
      </c>
      <c r="BW693" s="82">
        <f>IFERROR(INDEX('Infos Clientes'!$T:$T,MATCH('Detalhe Por UC'!$C693,'Infos Clientes'!B:B,0)),"")</f>
        <v>287.36363636363637</v>
      </c>
      <c r="BX693" s="83">
        <f t="shared" si="413"/>
        <v>0</v>
      </c>
      <c r="BY693" s="84">
        <f t="shared" si="414"/>
        <v>0.18865441730008545</v>
      </c>
      <c r="BZ693" s="85">
        <f>IF(_xlfn.MINIFS('Detalhe Por UC'!R:R,'Detalhe Por UC'!C:C,C693,'Detalhe Por UC'!AD:AD,"&gt;"&amp;0)=0,"",_xlfn.MINIFS('Detalhe Por UC'!R:R,'Detalhe Por UC'!C:C,C693,'Detalhe Por UC'!AD:AD,"&gt;"&amp;0))</f>
        <v>45658</v>
      </c>
      <c r="CA693" s="114">
        <f ca="1">IF(OR(S693&gt;0,AD693&gt;0),IFERROR(
SUMIFS(INDIRECT("'Infos Clientes'!$W"&amp;INDEX('Infos Clientes'!$C:$C,MATCH(C693,'Infos Clientes'!$H:$H,0))&amp;":$CZ"&amp;INDEX('Infos Clientes'!$C:$C,MATCH(C693,'Infos Clientes'!$H:$H,0))),'Infos Clientes'!$W$2:$CZ$2,"&gt;"&amp;$R693-365,'Infos Clientes'!$W$2:$CZ$2,"&lt;="&amp;$R693)/
COUNTIFS(INDIRECT("'Infos Clientes'!$W"&amp;INDEX('Infos Clientes'!$C:$C,MATCH(C693,'Infos Clientes'!$H:$H,0))&amp;":$CZ"&amp;INDEX('Infos Clientes'!$C:$C,MATCH(C693,'Infos Clientes'!$H:$H,0))),"&gt;="&amp;0,'Infos Clientes'!$W$2:$CZ$2,"&gt;"&amp;$R693-365,'Infos Clientes'!$W$2:$CZ$2,"&lt;="&amp;$R693),""),"")</f>
        <v>273.5</v>
      </c>
      <c r="CB693" s="87">
        <f>VLOOKUP(C693,'Infos Clientes'!B:L,11,0)</f>
        <v>0</v>
      </c>
      <c r="CC693" s="88" t="str">
        <f t="shared" si="415"/>
        <v>A Unidade Consumidora 10/239312-2 economizou R$41,08 na fatura referente à jul/2025  consumindo 178 kWh em créditos de energia renovável conforme fatura de energia. A economia foi de 22,94% em relação ao que seria pago para a Energisa considerando os créditos consumidos. Atenção: Mantenha as contas da Energisa em dia para evitar cortes.</v>
      </c>
      <c r="CD693" s="40" t="s">
        <v>171</v>
      </c>
      <c r="CE693" s="43">
        <v>81.400000000000006</v>
      </c>
      <c r="CF693" s="115">
        <f t="shared" si="416"/>
        <v>0</v>
      </c>
    </row>
    <row r="694" spans="1:84" ht="16.2" hidden="1" customHeight="1" x14ac:dyDescent="0.3">
      <c r="A694" s="105" t="str">
        <f>INDEX('Infos Clientes'!$D:$D,MATCH('Detalhe Por UC'!C694,'Infos Clientes'!B:B,0))</f>
        <v>IGREJA DO EVANGELHO QUADRANGULAR</v>
      </c>
      <c r="B694" s="106" t="str">
        <f>INDEX('Infos Clientes'!$F:$F,MATCH('Detalhe Por UC'!C694,'Infos Clientes'!B:B,0))</f>
        <v>62.955.505/1975-21</v>
      </c>
      <c r="C694" s="31" t="s">
        <v>154</v>
      </c>
      <c r="D694" t="s">
        <v>351</v>
      </c>
      <c r="E694" s="1" t="s">
        <v>352</v>
      </c>
      <c r="F694" s="56" t="str">
        <f>INDEX('Infos Clientes'!$I:$I,MATCH('Detalhe Por UC'!C694,'Infos Clientes'!B:B,0))</f>
        <v>BT</v>
      </c>
      <c r="G694" s="56" t="str">
        <f>INDEX('Infos Clientes'!$J:$J,MATCH('Detalhe Por UC'!C694,'Infos Clientes'!B:B,0))</f>
        <v>bifasico</v>
      </c>
      <c r="H694" s="108" t="s">
        <v>138</v>
      </c>
      <c r="I694" s="58">
        <f>IFERROR(VLOOKUP(C694,'Infos Clientes'!B:E,4,),"")</f>
        <v>357</v>
      </c>
      <c r="J694" s="109">
        <v>0.22939999999999999</v>
      </c>
      <c r="K694" s="79">
        <f>INDEX('Resumo Operacional'!$A$1:$P$151,MATCH("Desconto percentual Ucs",'Resumo Operacional'!$B$1:$B$151,0),MATCH('Detalhe Por UC'!$R694,'Resumo Operacional'!$A$1:$P$1,0))</f>
        <v>0.25212408425707711</v>
      </c>
      <c r="L694" s="125">
        <v>0</v>
      </c>
      <c r="M694" s="56">
        <f>INDEX('Infos Clientes'!$N:$N,MATCH('Detalhe Por UC'!C694,'Infos Clientes'!B:B,0))</f>
        <v>0</v>
      </c>
      <c r="N694" s="56">
        <f t="shared" si="381"/>
        <v>0</v>
      </c>
      <c r="O694" s="56">
        <f t="shared" si="382"/>
        <v>9</v>
      </c>
      <c r="P694" s="56">
        <f t="shared" si="417"/>
        <v>0</v>
      </c>
      <c r="Q694" s="61">
        <f>IFERROR(IFERROR(INDEX('Infos Clientes'!$A$2:$V$9884,MATCH($C694,'Infos Clientes'!$B$2:$B$9884,0),MATCH(Q$8,'Infos Clientes'!$A$2:$V$2,0)),"")
+IF(OR(INDEX('Infos Clientes'!$A$2:$V$9884,MATCH($C694,'Infos Clientes'!$B$2:$B$9884,0),MATCH("Tempo de Fidelidade (meses)",'Infos Clientes'!$A$2:$V$2,0))=0,R694&gt;=MAX(R:R)),0,
ROUND((MAX(R:R)-R694)/(365/12),0)),"")</f>
        <v>0</v>
      </c>
      <c r="R694" s="111">
        <v>45839</v>
      </c>
      <c r="S694" s="63">
        <v>1.7100000000000001E-2</v>
      </c>
      <c r="T694" s="113" t="str">
        <f>IF($H694="GIROSSOL II",AP694/INDEX('Resumo Operacional'!$A$1:$P$1103,17,MATCH('Detalhe Por UC'!$R694,'Resumo Operacional'!$A$1:$P$1,0)),
IF($H694="GIROSSOL II e III",AP694/INDEX('Resumo Operacional'!$A$1:$P$1103,17,MATCH('Detalhe Por UC'!$R694,'Resumo Operacional'!$A$1:$P$1,0)),
""))</f>
        <v/>
      </c>
      <c r="U694" s="113">
        <f>IF($H694="GIROSSOL III",AP694/INDEX('Resumo Operacional'!$A$1:$P$1103,53,MATCH('Detalhe Por UC'!$R694,'Resumo Operacional'!$A$1:$P$1,0)),
IF($H694="GIROSSOL II e III",AP694/INDEX('Resumo Operacional'!$A$1:$P$1103,53,MATCH('Detalhe Por UC'!$R694,'Resumo Operacional'!$A$1:$P$1,0)),
""))</f>
        <v>3.2008709853021233E-2</v>
      </c>
      <c r="V694" s="45"/>
      <c r="X694">
        <v>1.163010989010989</v>
      </c>
      <c r="Y694">
        <v>0</v>
      </c>
      <c r="Z694" s="18">
        <v>1.0061330049261084</v>
      </c>
      <c r="AA694">
        <v>0</v>
      </c>
      <c r="AB694" s="18">
        <v>195</v>
      </c>
      <c r="AC694">
        <v>0</v>
      </c>
      <c r="AD694" s="143">
        <v>174</v>
      </c>
      <c r="AE694" s="35"/>
      <c r="AF694" s="18">
        <v>120</v>
      </c>
      <c r="AG694">
        <v>0</v>
      </c>
      <c r="AH694" s="48">
        <v>0</v>
      </c>
      <c r="AI694">
        <v>0</v>
      </c>
      <c r="AJ694">
        <v>0</v>
      </c>
      <c r="AN694" s="71">
        <f t="shared" si="383"/>
        <v>120</v>
      </c>
      <c r="AO694" s="71">
        <f t="shared" si="384"/>
        <v>0</v>
      </c>
      <c r="AP694" s="71">
        <f t="shared" si="385"/>
        <v>294</v>
      </c>
      <c r="AQ694" s="72">
        <f>IF(OR($H694="GIROSSOL II",$H694="GIROSSOL II e III"),INDEX('Resumo Operacional'!$A$1:$P$1103,MATCH("Energia Injetada prevista total Fatura da Usina (TUSD)",'Resumo Operacional'!$B$1:$B$1103,0),MATCH('Detalhe Por UC'!$R694,'Resumo Operacional'!$A$1:$P$1,0))*$S694,INDEX('Resumo Operacional'!$A$1:$P$1103,53,MATCH('Detalhe Por UC'!$R694,'Resumo Operacional'!$A$1:$P$1,0))*$S694)</f>
        <v>157.0635</v>
      </c>
      <c r="AR694" s="71">
        <f t="shared" si="386"/>
        <v>136.9365</v>
      </c>
      <c r="AS694" s="73">
        <f t="shared" si="387"/>
        <v>51.72</v>
      </c>
      <c r="AT694" s="74">
        <f t="shared" si="388"/>
        <v>51.72</v>
      </c>
      <c r="AU694" s="74">
        <f t="shared" si="389"/>
        <v>0.84925502084122773</v>
      </c>
      <c r="AV694" s="74">
        <f t="shared" si="390"/>
        <v>134.90674028571428</v>
      </c>
      <c r="AW694" s="74">
        <f t="shared" si="391"/>
        <v>0.90999999999999659</v>
      </c>
      <c r="AX694" s="74">
        <f t="shared" si="392"/>
        <v>175.97714285714284</v>
      </c>
      <c r="AY694" s="74">
        <f t="shared" si="393"/>
        <v>135.82</v>
      </c>
      <c r="AZ694" s="43">
        <v>135.82</v>
      </c>
      <c r="BA694" s="43">
        <v>135.82</v>
      </c>
      <c r="BB694" s="49">
        <v>135.82</v>
      </c>
      <c r="BC694" s="73" t="str">
        <f t="shared" si="394"/>
        <v/>
      </c>
      <c r="BD694" s="73">
        <f t="shared" si="395"/>
        <v>226.78714285714284</v>
      </c>
      <c r="BE694" s="73">
        <f t="shared" si="396"/>
        <v>186.62674028571428</v>
      </c>
      <c r="BF694" s="77">
        <f t="shared" si="397"/>
        <v>40.159999999999997</v>
      </c>
      <c r="BG694" s="77">
        <f t="shared" si="398"/>
        <v>12.047999999999998</v>
      </c>
      <c r="BH694" s="77">
        <f t="shared" si="399"/>
        <v>175.06714285714284</v>
      </c>
      <c r="BI694" s="78">
        <f t="shared" si="400"/>
        <v>0.23</v>
      </c>
      <c r="BJ694" s="79">
        <f t="shared" si="401"/>
        <v>0.17708234908756479</v>
      </c>
      <c r="BK694" s="80">
        <f t="shared" si="402"/>
        <v>187.54</v>
      </c>
      <c r="BL694" s="80">
        <f t="shared" si="403"/>
        <v>39.247142857142848</v>
      </c>
      <c r="BM694" s="79">
        <f t="shared" si="404"/>
        <v>0.17305717759258207</v>
      </c>
      <c r="BN694" s="81">
        <f t="shared" si="405"/>
        <v>0.78057471264367817</v>
      </c>
      <c r="BO694" s="82">
        <f t="shared" si="406"/>
        <v>135.82</v>
      </c>
      <c r="BP694" s="81">
        <f t="shared" si="407"/>
        <v>0.78057471264367817</v>
      </c>
      <c r="BQ694" s="81">
        <f t="shared" si="408"/>
        <v>0.9374526967285588</v>
      </c>
      <c r="BR694" s="81">
        <f t="shared" si="409"/>
        <v>1.163010989010989</v>
      </c>
      <c r="BS694" s="82">
        <f t="shared" si="410"/>
        <v>174</v>
      </c>
      <c r="BT694" s="82">
        <f t="shared" si="411"/>
        <v>202.36391208791207</v>
      </c>
      <c r="BU694" s="82">
        <f t="shared" si="412"/>
        <v>175.06714285714284</v>
      </c>
      <c r="BW694" s="82">
        <f>IFERROR(INDEX('Infos Clientes'!$T:$T,MATCH('Detalhe Por UC'!$C694,'Infos Clientes'!B:B,0)),"")</f>
        <v>278.36363636363637</v>
      </c>
      <c r="BX694" s="83">
        <f t="shared" si="413"/>
        <v>0</v>
      </c>
      <c r="BY694" s="84">
        <f t="shared" si="414"/>
        <v>0.19394338868134198</v>
      </c>
      <c r="BZ694" s="85">
        <f>IF(_xlfn.MINIFS('Detalhe Por UC'!R:R,'Detalhe Por UC'!C:C,C694,'Detalhe Por UC'!AD:AD,"&gt;"&amp;0)=0,"",_xlfn.MINIFS('Detalhe Por UC'!R:R,'Detalhe Por UC'!C:C,C694,'Detalhe Por UC'!AD:AD,"&gt;"&amp;0))</f>
        <v>45658</v>
      </c>
      <c r="CA694" s="114">
        <f ca="1">IF(OR(S694&gt;0,AD694&gt;0),IFERROR(
SUMIFS(INDIRECT("'Infos Clientes'!$W"&amp;INDEX('Infos Clientes'!$C:$C,MATCH(C694,'Infos Clientes'!$H:$H,0))&amp;":$CZ"&amp;INDEX('Infos Clientes'!$C:$C,MATCH(C694,'Infos Clientes'!$H:$H,0))),'Infos Clientes'!$W$2:$CZ$2,"&gt;"&amp;$R694-365,'Infos Clientes'!$W$2:$CZ$2,"&lt;="&amp;$R694)/
COUNTIFS(INDIRECT("'Infos Clientes'!$W"&amp;INDEX('Infos Clientes'!$C:$C,MATCH(C694,'Infos Clientes'!$H:$H,0))&amp;":$CZ"&amp;INDEX('Infos Clientes'!$C:$C,MATCH(C694,'Infos Clientes'!$H:$H,0))),"&gt;="&amp;0,'Infos Clientes'!$W$2:$CZ$2,"&gt;"&amp;$R694-365,'Infos Clientes'!$W$2:$CZ$2,"&lt;="&amp;$R694),""),"")</f>
        <v>278.91666666666669</v>
      </c>
      <c r="CB694" s="87">
        <f>VLOOKUP(C694,'Infos Clientes'!B:L,11,0)</f>
        <v>0</v>
      </c>
      <c r="CC694" s="88" t="str">
        <f t="shared" si="415"/>
        <v>A Unidade Consumidora 10/13786-9 economizou R$40,16 na fatura referente à jul/2025  consumindo 174 kWh em créditos de energia renovável conforme fatura de energia. A economia foi de 22,94% em relação ao que seria pago para a Energisa considerando os créditos consumidos. Atenção: Mantenha as contas da Energisa em dia para evitar cortes.</v>
      </c>
      <c r="CD694" s="40" t="s">
        <v>156</v>
      </c>
      <c r="CE694" s="43">
        <v>51.72</v>
      </c>
      <c r="CF694" s="115">
        <f t="shared" si="416"/>
        <v>0</v>
      </c>
    </row>
    <row r="695" spans="1:84" ht="16.2" hidden="1" customHeight="1" x14ac:dyDescent="0.3">
      <c r="A695" s="105" t="str">
        <f>INDEX('Infos Clientes'!$D:$D,MATCH('Detalhe Por UC'!C695,'Infos Clientes'!B:B,0))</f>
        <v>IGREJA DO EVANGELHO QUADRANGULAR</v>
      </c>
      <c r="B695" s="106" t="str">
        <f>INDEX('Infos Clientes'!$F:$F,MATCH('Detalhe Por UC'!C695,'Infos Clientes'!B:B,0))</f>
        <v>62.955.505/8432-53</v>
      </c>
      <c r="C695" s="31" t="s">
        <v>178</v>
      </c>
      <c r="D695" t="s">
        <v>351</v>
      </c>
      <c r="E695" s="1" t="s">
        <v>352</v>
      </c>
      <c r="F695" s="56" t="str">
        <f>INDEX('Infos Clientes'!$I:$I,MATCH('Detalhe Por UC'!C695,'Infos Clientes'!B:B,0))</f>
        <v>BT</v>
      </c>
      <c r="G695" s="56" t="str">
        <f>INDEX('Infos Clientes'!$J:$J,MATCH('Detalhe Por UC'!C695,'Infos Clientes'!B:B,0))</f>
        <v>trifasico</v>
      </c>
      <c r="H695" s="108" t="s">
        <v>138</v>
      </c>
      <c r="I695" s="58">
        <f>IFERROR(VLOOKUP(C695,'Infos Clientes'!B:E,4,),"")</f>
        <v>349</v>
      </c>
      <c r="J695" s="109">
        <v>0.22939999999999999</v>
      </c>
      <c r="K695" s="79">
        <f>INDEX('Resumo Operacional'!$A$1:$P$151,MATCH("Desconto percentual Ucs",'Resumo Operacional'!$B$1:$B$151,0),MATCH('Detalhe Por UC'!$R695,'Resumo Operacional'!$A$1:$P$1,0))</f>
        <v>0.25212408425707711</v>
      </c>
      <c r="L695" s="125">
        <v>0</v>
      </c>
      <c r="M695" s="56">
        <f>INDEX('Infos Clientes'!$N:$N,MATCH('Detalhe Por UC'!C695,'Infos Clientes'!B:B,0))</f>
        <v>0</v>
      </c>
      <c r="N695" s="56">
        <f t="shared" si="381"/>
        <v>0</v>
      </c>
      <c r="O695" s="56">
        <f t="shared" si="382"/>
        <v>9</v>
      </c>
      <c r="P695" s="56">
        <f t="shared" si="417"/>
        <v>0</v>
      </c>
      <c r="Q695" s="61">
        <f>IFERROR(IFERROR(INDEX('Infos Clientes'!$A$2:$V$9884,MATCH($C695,'Infos Clientes'!$B$2:$B$9884,0),MATCH(Q$8,'Infos Clientes'!$A$2:$V$2,0)),"")
+IF(OR(INDEX('Infos Clientes'!$A$2:$V$9884,MATCH($C695,'Infos Clientes'!$B$2:$B$9884,0),MATCH("Tempo de Fidelidade (meses)",'Infos Clientes'!$A$2:$V$2,0))=0,R695&gt;=MAX(R:R)),0,
ROUND((MAX(R:R)-R695)/(365/12),0)),"")</f>
        <v>0</v>
      </c>
      <c r="R695" s="111">
        <v>45839</v>
      </c>
      <c r="S695" s="63">
        <v>1.6500000000000001E-2</v>
      </c>
      <c r="T695" s="113" t="str">
        <f>IF($H695="GIROSSOL II",AP695/INDEX('Resumo Operacional'!$A$1:$P$1103,17,MATCH('Detalhe Por UC'!$R695,'Resumo Operacional'!$A$1:$P$1,0)),
IF($H695="GIROSSOL II e III",AP695/INDEX('Resumo Operacional'!$A$1:$P$1103,17,MATCH('Detalhe Por UC'!$R695,'Resumo Operacional'!$A$1:$P$1,0)),
""))</f>
        <v/>
      </c>
      <c r="U695" s="113">
        <f>IF($H695="GIROSSOL III",AP695/INDEX('Resumo Operacional'!$A$1:$P$1103,53,MATCH('Detalhe Por UC'!$R695,'Resumo Operacional'!$A$1:$P$1,0)),
IF($H695="GIROSSOL II e III",AP695/INDEX('Resumo Operacional'!$A$1:$P$1103,53,MATCH('Detalhe Por UC'!$R695,'Resumo Operacional'!$A$1:$P$1,0)),
""))</f>
        <v>3.0919978225367448E-2</v>
      </c>
      <c r="V695" s="45"/>
      <c r="X695">
        <v>1.1630758710517746</v>
      </c>
      <c r="Y695">
        <v>0</v>
      </c>
      <c r="Z695" s="18">
        <v>1.0061670210252773</v>
      </c>
      <c r="AA695">
        <v>0</v>
      </c>
      <c r="AB695" s="18">
        <v>185</v>
      </c>
      <c r="AC695">
        <v>0</v>
      </c>
      <c r="AD695" s="143">
        <v>102</v>
      </c>
      <c r="AE695" s="35"/>
      <c r="AF695" s="18">
        <v>182</v>
      </c>
      <c r="AG695">
        <v>0</v>
      </c>
      <c r="AH695" s="48">
        <v>30.480000000000004</v>
      </c>
      <c r="AI695">
        <v>0</v>
      </c>
      <c r="AJ695">
        <v>0</v>
      </c>
      <c r="AN695" s="71">
        <f t="shared" si="383"/>
        <v>182</v>
      </c>
      <c r="AO695" s="71">
        <f t="shared" si="384"/>
        <v>0</v>
      </c>
      <c r="AP695" s="71">
        <f t="shared" si="385"/>
        <v>284</v>
      </c>
      <c r="AQ695" s="72">
        <f>IF(OR($H695="GIROSSOL II",$H695="GIROSSOL II e III"),INDEX('Resumo Operacional'!$A$1:$P$1103,MATCH("Energia Injetada prevista total Fatura da Usina (TUSD)",'Resumo Operacional'!$B$1:$B$1103,0),MATCH('Detalhe Por UC'!$R695,'Resumo Operacional'!$A$1:$P$1,0))*$S695,INDEX('Resumo Operacional'!$A$1:$P$1103,53,MATCH('Detalhe Por UC'!$R695,'Resumo Operacional'!$A$1:$P$1,0))*$S695)</f>
        <v>151.55250000000001</v>
      </c>
      <c r="AR695" s="71">
        <f t="shared" si="386"/>
        <v>132.44749999999999</v>
      </c>
      <c r="AS695" s="73">
        <f t="shared" si="387"/>
        <v>143.01999999999998</v>
      </c>
      <c r="AT695" s="74">
        <f t="shared" si="388"/>
        <v>143.01999999999998</v>
      </c>
      <c r="AU695" s="74">
        <f t="shared" si="389"/>
        <v>0.84925817099878009</v>
      </c>
      <c r="AV695" s="74">
        <f t="shared" si="390"/>
        <v>79.085935253012025</v>
      </c>
      <c r="AW695" s="74">
        <f t="shared" si="391"/>
        <v>0</v>
      </c>
      <c r="AX695" s="74">
        <f t="shared" si="392"/>
        <v>102.62903614457829</v>
      </c>
      <c r="AY695" s="74">
        <f t="shared" si="393"/>
        <v>79.09</v>
      </c>
      <c r="AZ695" s="43">
        <v>79.09</v>
      </c>
      <c r="BA695" s="43">
        <v>79.09</v>
      </c>
      <c r="BB695" s="49">
        <v>79.09</v>
      </c>
      <c r="BC695" s="73" t="str">
        <f t="shared" si="394"/>
        <v/>
      </c>
      <c r="BD695" s="73">
        <f t="shared" si="395"/>
        <v>245.6490361445783</v>
      </c>
      <c r="BE695" s="73">
        <f t="shared" si="396"/>
        <v>222.10593525301201</v>
      </c>
      <c r="BF695" s="77">
        <f t="shared" si="397"/>
        <v>23.54</v>
      </c>
      <c r="BG695" s="77">
        <f t="shared" si="398"/>
        <v>7.0619999999999994</v>
      </c>
      <c r="BH695" s="77">
        <f t="shared" si="399"/>
        <v>102.62903614457829</v>
      </c>
      <c r="BI695" s="78">
        <f t="shared" si="400"/>
        <v>0.23</v>
      </c>
      <c r="BJ695" s="79">
        <f t="shared" si="401"/>
        <v>9.5827772701478797E-2</v>
      </c>
      <c r="BK695" s="80">
        <f t="shared" si="402"/>
        <v>222.10999999999999</v>
      </c>
      <c r="BL695" s="80">
        <f t="shared" si="403"/>
        <v>23.539036144578318</v>
      </c>
      <c r="BM695" s="79">
        <f t="shared" si="404"/>
        <v>9.5823848992121707E-2</v>
      </c>
      <c r="BN695" s="81">
        <f t="shared" si="405"/>
        <v>0.7753921568627451</v>
      </c>
      <c r="BO695" s="82">
        <f t="shared" si="406"/>
        <v>79.09</v>
      </c>
      <c r="BP695" s="81">
        <f t="shared" si="407"/>
        <v>0.7753921568627451</v>
      </c>
      <c r="BQ695" s="81">
        <f t="shared" si="408"/>
        <v>0.93230100688924233</v>
      </c>
      <c r="BR695" s="81">
        <f t="shared" si="409"/>
        <v>1.1630758710517746</v>
      </c>
      <c r="BS695" s="82">
        <f t="shared" si="410"/>
        <v>102</v>
      </c>
      <c r="BT695" s="82">
        <f t="shared" si="411"/>
        <v>118.63373884728101</v>
      </c>
      <c r="BU695" s="82">
        <f t="shared" si="412"/>
        <v>102.62903614457829</v>
      </c>
      <c r="BW695" s="82">
        <f>IFERROR(INDEX('Infos Clientes'!$T:$T,MATCH('Detalhe Por UC'!$C695,'Infos Clientes'!B:B,0)),"")</f>
        <v>290.18181818181819</v>
      </c>
      <c r="BX695" s="83">
        <f t="shared" si="413"/>
        <v>0</v>
      </c>
      <c r="BY695" s="84">
        <f t="shared" si="414"/>
        <v>0.1984177214112795</v>
      </c>
      <c r="BZ695" s="85">
        <f>IF(_xlfn.MINIFS('Detalhe Por UC'!R:R,'Detalhe Por UC'!C:C,C695,'Detalhe Por UC'!AD:AD,"&gt;"&amp;0)=0,"",_xlfn.MINIFS('Detalhe Por UC'!R:R,'Detalhe Por UC'!C:C,C695,'Detalhe Por UC'!AD:AD,"&gt;"&amp;0))</f>
        <v>45658</v>
      </c>
      <c r="CA695" s="114">
        <f ca="1">IF(OR(S695&gt;0,AD695&gt;0),IFERROR(
SUMIFS(INDIRECT("'Infos Clientes'!$W"&amp;INDEX('Infos Clientes'!$C:$C,MATCH(C695,'Infos Clientes'!$H:$H,0))&amp;":$CZ"&amp;INDEX('Infos Clientes'!$C:$C,MATCH(C695,'Infos Clientes'!$H:$H,0))),'Infos Clientes'!$W$2:$CZ$2,"&gt;"&amp;$R695-365,'Infos Clientes'!$W$2:$CZ$2,"&lt;="&amp;$R695)/
COUNTIFS(INDIRECT("'Infos Clientes'!$W"&amp;INDEX('Infos Clientes'!$C:$C,MATCH(C695,'Infos Clientes'!$H:$H,0))&amp;":$CZ"&amp;INDEX('Infos Clientes'!$C:$C,MATCH(C695,'Infos Clientes'!$H:$H,0))),"&gt;="&amp;0,'Infos Clientes'!$W$2:$CZ$2,"&gt;"&amp;$R695-365,'Infos Clientes'!$W$2:$CZ$2,"&lt;="&amp;$R695),""),"")</f>
        <v>268.66666666666669</v>
      </c>
      <c r="CB695" s="87">
        <f>VLOOKUP(C695,'Infos Clientes'!B:L,11,0)</f>
        <v>0</v>
      </c>
      <c r="CC695" s="88" t="str">
        <f t="shared" si="415"/>
        <v>A Unidade Consumidora 10/280638-8 economizou R$23,54 na fatura referente à jul/2025  consumindo 102 kWh em créditos de energia renovável conforme fatura de energia. A economia foi de 22,94% em relação ao que seria pago para a Energisa considerando os créditos consumidos. Atenção: Mantenha as contas da Energisa em dia para evitar cortes.</v>
      </c>
      <c r="CD695" s="40" t="s">
        <v>66</v>
      </c>
      <c r="CE695" s="43">
        <v>143.02000000000001</v>
      </c>
      <c r="CF695" s="115">
        <f t="shared" si="416"/>
        <v>0</v>
      </c>
    </row>
    <row r="696" spans="1:84" ht="16.2" hidden="1" customHeight="1" x14ac:dyDescent="0.3">
      <c r="A696" s="105" t="str">
        <f>INDEX('Infos Clientes'!$D:$D,MATCH('Detalhe Por UC'!C696,'Infos Clientes'!B:B,0))</f>
        <v>IGREJA DO EVANGELHO QUADRANGULAR</v>
      </c>
      <c r="B696" s="106" t="str">
        <f>INDEX('Infos Clientes'!$F:$F,MATCH('Detalhe Por UC'!C696,'Infos Clientes'!B:B,0))</f>
        <v>62.955.505/1570-66</v>
      </c>
      <c r="C696" s="31" t="s">
        <v>172</v>
      </c>
      <c r="D696" t="s">
        <v>351</v>
      </c>
      <c r="E696" s="1" t="s">
        <v>352</v>
      </c>
      <c r="F696" s="56" t="str">
        <f>INDEX('Infos Clientes'!$I:$I,MATCH('Detalhe Por UC'!C696,'Infos Clientes'!B:B,0))</f>
        <v>BT</v>
      </c>
      <c r="G696" s="56" t="str">
        <f>INDEX('Infos Clientes'!$J:$J,MATCH('Detalhe Por UC'!C696,'Infos Clientes'!B:B,0))</f>
        <v>trifasico</v>
      </c>
      <c r="H696" s="108" t="s">
        <v>138</v>
      </c>
      <c r="I696" s="58">
        <f>IFERROR(VLOOKUP(C696,'Infos Clientes'!B:E,4,),"")</f>
        <v>357</v>
      </c>
      <c r="J696" s="109">
        <v>0.22939999999999999</v>
      </c>
      <c r="K696" s="79">
        <f>INDEX('Resumo Operacional'!$A$1:$P$151,MATCH("Desconto percentual Ucs",'Resumo Operacional'!$B$1:$B$151,0),MATCH('Detalhe Por UC'!$R696,'Resumo Operacional'!$A$1:$P$1,0))</f>
        <v>0.25212408425707711</v>
      </c>
      <c r="L696" s="125">
        <v>0</v>
      </c>
      <c r="M696" s="56">
        <f>INDEX('Infos Clientes'!$N:$N,MATCH('Detalhe Por UC'!C696,'Infos Clientes'!B:B,0))</f>
        <v>0</v>
      </c>
      <c r="N696" s="56">
        <f t="shared" si="381"/>
        <v>0</v>
      </c>
      <c r="O696" s="56">
        <f t="shared" si="382"/>
        <v>9</v>
      </c>
      <c r="P696" s="56">
        <f t="shared" si="417"/>
        <v>0</v>
      </c>
      <c r="Q696" s="61">
        <f>IFERROR(IFERROR(INDEX('Infos Clientes'!$A$2:$V$9884,MATCH($C696,'Infos Clientes'!$B$2:$B$9884,0),MATCH(Q$8,'Infos Clientes'!$A$2:$V$2,0)),"")
+IF(OR(INDEX('Infos Clientes'!$A$2:$V$9884,MATCH($C696,'Infos Clientes'!$B$2:$B$9884,0),MATCH("Tempo de Fidelidade (meses)",'Infos Clientes'!$A$2:$V$2,0))=0,R696&gt;=MAX(R:R)),0,
ROUND((MAX(R:R)-R696)/(365/12),0)),"")</f>
        <v>0</v>
      </c>
      <c r="R696" s="111">
        <v>45839</v>
      </c>
      <c r="S696" s="63">
        <v>1.49E-2</v>
      </c>
      <c r="T696" s="113" t="str">
        <f>IF($H696="GIROSSOL II",AP696/INDEX('Resumo Operacional'!$A$1:$P$1103,17,MATCH('Detalhe Por UC'!$R696,'Resumo Operacional'!$A$1:$P$1,0)),
IF($H696="GIROSSOL II e III",AP696/INDEX('Resumo Operacional'!$A$1:$P$1103,17,MATCH('Detalhe Por UC'!$R696,'Resumo Operacional'!$A$1:$P$1,0)),
""))</f>
        <v/>
      </c>
      <c r="U696" s="113">
        <f>IF($H696="GIROSSOL III",AP696/INDEX('Resumo Operacional'!$A$1:$P$1103,53,MATCH('Detalhe Por UC'!$R696,'Resumo Operacional'!$A$1:$P$1,0)),
IF($H696="GIROSSOL II e III",AP696/INDEX('Resumo Operacional'!$A$1:$P$1103,53,MATCH('Detalhe Por UC'!$R696,'Resumo Operacional'!$A$1:$P$1,0)),
""))</f>
        <v>2.7871529667936854E-2</v>
      </c>
      <c r="V696" s="45"/>
      <c r="X696">
        <v>1.1630481533426835</v>
      </c>
      <c r="Y696">
        <v>0</v>
      </c>
      <c r="Z696" s="18">
        <v>1.0060143369175627</v>
      </c>
      <c r="AA696">
        <v>0</v>
      </c>
      <c r="AB696" s="18">
        <v>138</v>
      </c>
      <c r="AC696">
        <v>0</v>
      </c>
      <c r="AD696" s="143">
        <v>45</v>
      </c>
      <c r="AE696" s="35"/>
      <c r="AF696" s="18">
        <v>542</v>
      </c>
      <c r="AG696">
        <v>0</v>
      </c>
      <c r="AH696" s="48">
        <v>0</v>
      </c>
      <c r="AI696">
        <v>0</v>
      </c>
      <c r="AJ696">
        <v>0</v>
      </c>
      <c r="AN696" s="71">
        <f t="shared" si="383"/>
        <v>211</v>
      </c>
      <c r="AO696" s="71">
        <f t="shared" si="384"/>
        <v>0</v>
      </c>
      <c r="AP696" s="71">
        <f t="shared" si="385"/>
        <v>256</v>
      </c>
      <c r="AQ696" s="72">
        <f>IF(OR($H696="GIROSSOL II",$H696="GIROSSOL II e III"),INDEX('Resumo Operacional'!$A$1:$P$1103,MATCH("Energia Injetada prevista total Fatura da Usina (TUSD)",'Resumo Operacional'!$B$1:$B$1103,0),MATCH('Detalhe Por UC'!$R696,'Resumo Operacional'!$A$1:$P$1,0))*$S696,INDEX('Resumo Operacional'!$A$1:$P$1103,53,MATCH('Detalhe Por UC'!$R696,'Resumo Operacional'!$A$1:$P$1,0))*$S696)</f>
        <v>136.85650000000001</v>
      </c>
      <c r="AR696" s="71">
        <f t="shared" si="386"/>
        <v>119.14349999999999</v>
      </c>
      <c r="AS696" s="73">
        <f t="shared" si="387"/>
        <v>115.23</v>
      </c>
      <c r="AT696" s="74">
        <f t="shared" si="388"/>
        <v>115.23</v>
      </c>
      <c r="AU696" s="74">
        <f t="shared" si="389"/>
        <v>0.84898052049244188</v>
      </c>
      <c r="AV696" s="74">
        <f t="shared" si="390"/>
        <v>34.885559161290324</v>
      </c>
      <c r="AW696" s="74">
        <f t="shared" si="391"/>
        <v>0.79999999999999716</v>
      </c>
      <c r="AX696" s="74">
        <f t="shared" si="392"/>
        <v>46.070645161290315</v>
      </c>
      <c r="AY696" s="74">
        <f t="shared" si="393"/>
        <v>35.69</v>
      </c>
      <c r="AZ696" s="43">
        <v>35.69</v>
      </c>
      <c r="BA696" s="43">
        <v>35.69</v>
      </c>
      <c r="BB696" s="49">
        <v>35.69</v>
      </c>
      <c r="BC696" s="73" t="str">
        <f t="shared" si="394"/>
        <v/>
      </c>
      <c r="BD696" s="73">
        <f t="shared" si="395"/>
        <v>160.50064516129032</v>
      </c>
      <c r="BE696" s="73">
        <f t="shared" si="396"/>
        <v>150.11555916129032</v>
      </c>
      <c r="BF696" s="77">
        <f t="shared" si="397"/>
        <v>10.39</v>
      </c>
      <c r="BG696" s="77">
        <f t="shared" si="398"/>
        <v>3.117</v>
      </c>
      <c r="BH696" s="77">
        <f t="shared" si="399"/>
        <v>45.270645161290325</v>
      </c>
      <c r="BI696" s="78">
        <f t="shared" si="400"/>
        <v>0.23</v>
      </c>
      <c r="BJ696" s="79">
        <f t="shared" si="401"/>
        <v>6.4734942277390101E-2</v>
      </c>
      <c r="BK696" s="80">
        <f t="shared" si="402"/>
        <v>150.92000000000002</v>
      </c>
      <c r="BL696" s="80">
        <f t="shared" si="403"/>
        <v>9.5806451612903061</v>
      </c>
      <c r="BM696" s="79">
        <f t="shared" si="404"/>
        <v>5.9692253272019706E-2</v>
      </c>
      <c r="BN696" s="81">
        <f t="shared" si="405"/>
        <v>0.7931111111111111</v>
      </c>
      <c r="BO696" s="82">
        <f t="shared" si="406"/>
        <v>35.69</v>
      </c>
      <c r="BP696" s="81">
        <f t="shared" si="407"/>
        <v>0.7931111111111111</v>
      </c>
      <c r="BQ696" s="81">
        <f t="shared" si="408"/>
        <v>0.95014492753623192</v>
      </c>
      <c r="BR696" s="81">
        <f t="shared" si="409"/>
        <v>1.1630481533426835</v>
      </c>
      <c r="BS696" s="82">
        <f t="shared" si="410"/>
        <v>45</v>
      </c>
      <c r="BT696" s="82">
        <f t="shared" si="411"/>
        <v>52.337166900420762</v>
      </c>
      <c r="BU696" s="82">
        <f t="shared" si="412"/>
        <v>45.270645161290318</v>
      </c>
      <c r="BW696" s="82">
        <f>IFERROR(INDEX('Infos Clientes'!$T:$T,MATCH('Detalhe Por UC'!$C696,'Infos Clientes'!B:B,0)),"")</f>
        <v>324.72727272727275</v>
      </c>
      <c r="BX696" s="83">
        <f t="shared" si="413"/>
        <v>0</v>
      </c>
      <c r="BY696" s="84">
        <f t="shared" si="414"/>
        <v>0.1830562433675274</v>
      </c>
      <c r="BZ696" s="85">
        <f>IF(_xlfn.MINIFS('Detalhe Por UC'!R:R,'Detalhe Por UC'!C:C,C696,'Detalhe Por UC'!AD:AD,"&gt;"&amp;0)=0,"",_xlfn.MINIFS('Detalhe Por UC'!R:R,'Detalhe Por UC'!C:C,C696,'Detalhe Por UC'!AD:AD,"&gt;"&amp;0))</f>
        <v>45658</v>
      </c>
      <c r="CA696" s="114">
        <f ca="1">IF(OR(S696&gt;0,AD696&gt;0),IFERROR(
SUMIFS(INDIRECT("'Infos Clientes'!$W"&amp;INDEX('Infos Clientes'!$C:$C,MATCH(C696,'Infos Clientes'!$H:$H,0))&amp;":$CZ"&amp;INDEX('Infos Clientes'!$C:$C,MATCH(C696,'Infos Clientes'!$H:$H,0))),'Infos Clientes'!$W$2:$CZ$2,"&gt;"&amp;$R696-365,'Infos Clientes'!$W$2:$CZ$2,"&lt;="&amp;$R696)/
COUNTIFS(INDIRECT("'Infos Clientes'!$W"&amp;INDEX('Infos Clientes'!$C:$C,MATCH(C696,'Infos Clientes'!$H:$H,0))&amp;":$CZ"&amp;INDEX('Infos Clientes'!$C:$C,MATCH(C696,'Infos Clientes'!$H:$H,0))),"&gt;="&amp;0,'Infos Clientes'!$W$2:$CZ$2,"&gt;"&amp;$R696-365,'Infos Clientes'!$W$2:$CZ$2,"&lt;="&amp;$R696),""),"")</f>
        <v>273.75</v>
      </c>
      <c r="CB696" s="87">
        <f>VLOOKUP(C696,'Infos Clientes'!B:L,11,0)</f>
        <v>0</v>
      </c>
      <c r="CC696" s="88" t="str">
        <f t="shared" si="415"/>
        <v>A Unidade Consumidora 10/24514-2 economizou R$10,39 na fatura referente à jul/2025  consumindo 45 kWh em créditos de energia renovável conforme fatura de energia. A economia foi de 22,94% em relação ao que seria pago para a Energisa considerando os créditos consumidos. Atenção: Mantenha as contas da Energisa em dia para evitar cortes.</v>
      </c>
      <c r="CD696" s="40" t="s">
        <v>174</v>
      </c>
      <c r="CE696" s="43">
        <v>115.23</v>
      </c>
      <c r="CF696" s="115">
        <f t="shared" si="416"/>
        <v>0</v>
      </c>
    </row>
    <row r="697" spans="1:84" ht="16.2" hidden="1" customHeight="1" x14ac:dyDescent="0.3">
      <c r="A697" s="105" t="str">
        <f>INDEX('Infos Clientes'!$D:$D,MATCH('Detalhe Por UC'!C697,'Infos Clientes'!B:B,0))</f>
        <v>IGREJA DO EVANGELHO QUADRANGULAR</v>
      </c>
      <c r="B697" s="106" t="str">
        <f>INDEX('Infos Clientes'!$F:$F,MATCH('Detalhe Por UC'!C697,'Infos Clientes'!B:B,0))</f>
        <v>62.955.505/1822-57</v>
      </c>
      <c r="C697" s="31" t="s">
        <v>216</v>
      </c>
      <c r="D697" t="s">
        <v>351</v>
      </c>
      <c r="E697" s="1" t="s">
        <v>352</v>
      </c>
      <c r="F697" s="56" t="str">
        <f>INDEX('Infos Clientes'!$I:$I,MATCH('Detalhe Por UC'!C697,'Infos Clientes'!B:B,0))</f>
        <v>BT</v>
      </c>
      <c r="G697" s="56" t="str">
        <f>INDEX('Infos Clientes'!$J:$J,MATCH('Detalhe Por UC'!C697,'Infos Clientes'!B:B,0))</f>
        <v>trifasico</v>
      </c>
      <c r="H697" s="108" t="s">
        <v>138</v>
      </c>
      <c r="I697" s="58">
        <f>IFERROR(VLOOKUP(C697,'Infos Clientes'!B:E,4,),"")</f>
        <v>319</v>
      </c>
      <c r="J697" s="109">
        <v>0.22939999999999999</v>
      </c>
      <c r="K697" s="79">
        <f>INDEX('Resumo Operacional'!$A$1:$P$151,MATCH("Desconto percentual Ucs",'Resumo Operacional'!$B$1:$B$151,0),MATCH('Detalhe Por UC'!$R697,'Resumo Operacional'!$A$1:$P$1,0))</f>
        <v>0.25212408425707711</v>
      </c>
      <c r="L697" s="125">
        <v>0</v>
      </c>
      <c r="M697" s="56">
        <f>INDEX('Infos Clientes'!$N:$N,MATCH('Detalhe Por UC'!C697,'Infos Clientes'!B:B,0))</f>
        <v>0</v>
      </c>
      <c r="N697" s="56">
        <f t="shared" si="381"/>
        <v>0</v>
      </c>
      <c r="O697" s="56">
        <f t="shared" si="382"/>
        <v>9</v>
      </c>
      <c r="P697" s="56">
        <f t="shared" si="417"/>
        <v>0</v>
      </c>
      <c r="Q697" s="61">
        <f>IFERROR(IFERROR(INDEX('Infos Clientes'!$A$2:$V$9884,MATCH($C697,'Infos Clientes'!$B$2:$B$9884,0),MATCH(Q$8,'Infos Clientes'!$A$2:$V$2,0)),"")
+IF(OR(INDEX('Infos Clientes'!$A$2:$V$9884,MATCH($C697,'Infos Clientes'!$B$2:$B$9884,0),MATCH("Tempo de Fidelidade (meses)",'Infos Clientes'!$A$2:$V$2,0))=0,R697&gt;=MAX(R:R)),0,
ROUND((MAX(R:R)-R697)/(365/12),0)),"")</f>
        <v>0</v>
      </c>
      <c r="R697" s="111">
        <v>45839</v>
      </c>
      <c r="S697" s="63">
        <v>1.47E-2</v>
      </c>
      <c r="T697" s="113" t="str">
        <f>IF($H697="GIROSSOL II",AP697/INDEX('Resumo Operacional'!$A$1:$P$1103,17,MATCH('Detalhe Por UC'!$R697,'Resumo Operacional'!$A$1:$P$1,0)),
IF($H697="GIROSSOL II e III",AP697/INDEX('Resumo Operacional'!$A$1:$P$1103,17,MATCH('Detalhe Por UC'!$R697,'Resumo Operacional'!$A$1:$P$1,0)),
""))</f>
        <v/>
      </c>
      <c r="U697" s="113">
        <f>IF($H697="GIROSSOL III",AP697/INDEX('Resumo Operacional'!$A$1:$P$1103,53,MATCH('Detalhe Por UC'!$R697,'Resumo Operacional'!$A$1:$P$1,0)),
IF($H697="GIROSSOL II e III",AP697/INDEX('Resumo Operacional'!$A$1:$P$1103,53,MATCH('Detalhe Por UC'!$R697,'Resumo Operacional'!$A$1:$P$1,0)),
""))</f>
        <v>2.7544910179640718E-2</v>
      </c>
      <c r="V697" s="45"/>
      <c r="X697">
        <v>1.1630301845480138</v>
      </c>
      <c r="Y697">
        <v>0</v>
      </c>
      <c r="Z697" s="18">
        <v>1.0061956521739133</v>
      </c>
      <c r="AA697">
        <v>0</v>
      </c>
      <c r="AB697" s="18">
        <v>139</v>
      </c>
      <c r="AC697">
        <v>0</v>
      </c>
      <c r="AD697" s="143">
        <v>47</v>
      </c>
      <c r="AE697" s="35"/>
      <c r="AF697" s="18">
        <v>206</v>
      </c>
      <c r="AG697">
        <v>0</v>
      </c>
      <c r="AH697" s="48">
        <v>30.950000000000003</v>
      </c>
      <c r="AI697">
        <v>0</v>
      </c>
      <c r="AJ697">
        <v>0</v>
      </c>
      <c r="AN697" s="71">
        <f t="shared" si="383"/>
        <v>206</v>
      </c>
      <c r="AO697" s="71">
        <f t="shared" si="384"/>
        <v>0</v>
      </c>
      <c r="AP697" s="71">
        <f t="shared" si="385"/>
        <v>253</v>
      </c>
      <c r="AQ697" s="72">
        <f>IF(OR($H697="GIROSSOL II",$H697="GIROSSOL II e III"),INDEX('Resumo Operacional'!$A$1:$P$1103,MATCH("Energia Injetada prevista total Fatura da Usina (TUSD)",'Resumo Operacional'!$B$1:$B$1103,0),MATCH('Detalhe Por UC'!$R697,'Resumo Operacional'!$A$1:$P$1,0))*$S697,INDEX('Resumo Operacional'!$A$1:$P$1103,53,MATCH('Detalhe Por UC'!$R697,'Resumo Operacional'!$A$1:$P$1,0))*$S697)</f>
        <v>135.01949999999999</v>
      </c>
      <c r="AR697" s="71">
        <f t="shared" si="386"/>
        <v>117.98050000000001</v>
      </c>
      <c r="AS697" s="73">
        <f t="shared" si="387"/>
        <v>145.32</v>
      </c>
      <c r="AT697" s="74">
        <f t="shared" si="388"/>
        <v>145.32</v>
      </c>
      <c r="AU697" s="74">
        <f t="shared" si="389"/>
        <v>0.84936111979981277</v>
      </c>
      <c r="AV697" s="74">
        <f t="shared" si="390"/>
        <v>36.442595369565225</v>
      </c>
      <c r="AW697" s="74">
        <f t="shared" si="391"/>
        <v>0.57999999999999829</v>
      </c>
      <c r="AX697" s="74">
        <f t="shared" si="392"/>
        <v>47.871195652173924</v>
      </c>
      <c r="AY697" s="74">
        <f t="shared" si="393"/>
        <v>37.020000000000003</v>
      </c>
      <c r="AZ697" s="43">
        <v>37.020000000000003</v>
      </c>
      <c r="BA697" s="43">
        <v>37.020000000000003</v>
      </c>
      <c r="BB697" s="49">
        <v>37.020000000000003</v>
      </c>
      <c r="BC697" s="73" t="str">
        <f t="shared" si="394"/>
        <v/>
      </c>
      <c r="BD697" s="73">
        <f t="shared" si="395"/>
        <v>192.61119565217393</v>
      </c>
      <c r="BE697" s="73">
        <f t="shared" si="396"/>
        <v>181.76259536956522</v>
      </c>
      <c r="BF697" s="77">
        <f t="shared" si="397"/>
        <v>10.85</v>
      </c>
      <c r="BG697" s="77">
        <f t="shared" si="398"/>
        <v>3.2549999999999999</v>
      </c>
      <c r="BH697" s="77">
        <f t="shared" si="399"/>
        <v>47.291195652173926</v>
      </c>
      <c r="BI697" s="78">
        <f t="shared" si="400"/>
        <v>0.23</v>
      </c>
      <c r="BJ697" s="79">
        <f t="shared" si="401"/>
        <v>5.6331097282597338E-2</v>
      </c>
      <c r="BK697" s="80">
        <f t="shared" si="402"/>
        <v>182.34</v>
      </c>
      <c r="BL697" s="80">
        <f t="shared" si="403"/>
        <v>10.27119565217393</v>
      </c>
      <c r="BM697" s="79">
        <f t="shared" si="404"/>
        <v>5.3326057280294978E-2</v>
      </c>
      <c r="BN697" s="81">
        <f t="shared" si="405"/>
        <v>0.78765957446808521</v>
      </c>
      <c r="BO697" s="82">
        <f t="shared" si="406"/>
        <v>37.020000000000003</v>
      </c>
      <c r="BP697" s="81">
        <f t="shared" si="407"/>
        <v>0.78765957446808521</v>
      </c>
      <c r="BQ697" s="81">
        <f t="shared" si="408"/>
        <v>0.94449410684218571</v>
      </c>
      <c r="BR697" s="81">
        <f t="shared" si="409"/>
        <v>1.1630301845480138</v>
      </c>
      <c r="BS697" s="82">
        <f t="shared" si="410"/>
        <v>47</v>
      </c>
      <c r="BT697" s="82">
        <f t="shared" si="411"/>
        <v>54.662418673756648</v>
      </c>
      <c r="BU697" s="82">
        <f t="shared" si="412"/>
        <v>47.291195652173926</v>
      </c>
      <c r="BW697" s="82">
        <f>IFERROR(INDEX('Infos Clientes'!$T:$T,MATCH('Detalhe Por UC'!$C697,'Infos Clientes'!B:B,0)),"")</f>
        <v>264</v>
      </c>
      <c r="BX697" s="83">
        <f t="shared" si="413"/>
        <v>0</v>
      </c>
      <c r="BY697" s="84">
        <f t="shared" si="414"/>
        <v>0.18790232670595503</v>
      </c>
      <c r="BZ697" s="85">
        <f>IF(_xlfn.MINIFS('Detalhe Por UC'!R:R,'Detalhe Por UC'!C:C,C697,'Detalhe Por UC'!AD:AD,"&gt;"&amp;0)=0,"",_xlfn.MINIFS('Detalhe Por UC'!R:R,'Detalhe Por UC'!C:C,C697,'Detalhe Por UC'!AD:AD,"&gt;"&amp;0))</f>
        <v>45658</v>
      </c>
      <c r="CA697" s="114">
        <f ca="1">IF(OR(S697&gt;0,AD697&gt;0),IFERROR(
SUMIFS(INDIRECT("'Infos Clientes'!$W"&amp;INDEX('Infos Clientes'!$C:$C,MATCH(C697,'Infos Clientes'!$H:$H,0))&amp;":$CZ"&amp;INDEX('Infos Clientes'!$C:$C,MATCH(C697,'Infos Clientes'!$H:$H,0))),'Infos Clientes'!$W$2:$CZ$2,"&gt;"&amp;$R697-365,'Infos Clientes'!$W$2:$CZ$2,"&lt;="&amp;$R697)/
COUNTIFS(INDIRECT("'Infos Clientes'!$W"&amp;INDEX('Infos Clientes'!$C:$C,MATCH(C697,'Infos Clientes'!$H:$H,0))&amp;":$CZ"&amp;INDEX('Infos Clientes'!$C:$C,MATCH(C697,'Infos Clientes'!$H:$H,0))),"&gt;="&amp;0,'Infos Clientes'!$W$2:$CZ$2,"&gt;"&amp;$R697-365,'Infos Clientes'!$W$2:$CZ$2,"&lt;="&amp;$R697),""),"")</f>
        <v>268.66666666666669</v>
      </c>
      <c r="CB697" s="87">
        <f>VLOOKUP(C697,'Infos Clientes'!B:L,11,0)</f>
        <v>0</v>
      </c>
      <c r="CC697" s="88" t="str">
        <f t="shared" si="415"/>
        <v>A Unidade Consumidora 10/52987-5 economizou R$10,85 na fatura referente à jul/2025  consumindo 47 kWh em créditos de energia renovável conforme fatura de energia. A economia foi de 22,94% em relação ao que seria pago para a Energisa considerando os créditos consumidos. Atenção: Mantenha as contas da Energisa em dia para evitar cortes.</v>
      </c>
      <c r="CD697" s="40">
        <v>0</v>
      </c>
      <c r="CE697" s="43">
        <v>145.32</v>
      </c>
      <c r="CF697" s="115">
        <f t="shared" si="416"/>
        <v>0</v>
      </c>
    </row>
    <row r="698" spans="1:84" ht="16.2" hidden="1" customHeight="1" x14ac:dyDescent="0.3">
      <c r="A698" s="105" t="str">
        <f>INDEX('Infos Clientes'!$D:$D,MATCH('Detalhe Por UC'!C698,'Infos Clientes'!B:B,0))</f>
        <v>IGREJA DO EVANGELHO QUADRANGULAR</v>
      </c>
      <c r="B698" s="106" t="str">
        <f>INDEX('Infos Clientes'!$F:$F,MATCH('Detalhe Por UC'!C698,'Infos Clientes'!B:B,0))</f>
        <v>62.955.505/1893-40</v>
      </c>
      <c r="C698" s="107" t="s">
        <v>214</v>
      </c>
      <c r="D698" t="s">
        <v>351</v>
      </c>
      <c r="E698" s="1" t="s">
        <v>352</v>
      </c>
      <c r="F698" s="56" t="str">
        <f>INDEX('Infos Clientes'!$I:$I,MATCH('Detalhe Por UC'!C698,'Infos Clientes'!B:B,0))</f>
        <v>BT</v>
      </c>
      <c r="G698" s="56" t="str">
        <f>INDEX('Infos Clientes'!$J:$J,MATCH('Detalhe Por UC'!C698,'Infos Clientes'!B:B,0))</f>
        <v>trifasico</v>
      </c>
      <c r="H698" s="108" t="s">
        <v>138</v>
      </c>
      <c r="I698" s="58">
        <f>IFERROR(VLOOKUP(C698,'Infos Clientes'!B:E,4,),"")</f>
        <v>349</v>
      </c>
      <c r="J698" s="109">
        <v>0.22939999999999999</v>
      </c>
      <c r="K698" s="79">
        <f>INDEX('Resumo Operacional'!$A$1:$P$151,MATCH("Desconto percentual Ucs",'Resumo Operacional'!$B$1:$B$151,0),MATCH('Detalhe Por UC'!$R698,'Resumo Operacional'!$A$1:$P$1,0))</f>
        <v>0.25212408425707711</v>
      </c>
      <c r="L698" s="125">
        <v>0</v>
      </c>
      <c r="M698" s="56">
        <f>INDEX('Infos Clientes'!$N:$N,MATCH('Detalhe Por UC'!C698,'Infos Clientes'!B:B,0))</f>
        <v>0</v>
      </c>
      <c r="N698" s="56">
        <f t="shared" si="381"/>
        <v>0</v>
      </c>
      <c r="O698" s="56">
        <f t="shared" si="382"/>
        <v>1</v>
      </c>
      <c r="P698" s="56">
        <f t="shared" si="417"/>
        <v>0</v>
      </c>
      <c r="Q698" s="61">
        <f>IFERROR(IFERROR(INDEX('Infos Clientes'!$A$2:$V$9884,MATCH($C698,'Infos Clientes'!$B$2:$B$9884,0),MATCH(Q$8,'Infos Clientes'!$A$2:$V$2,0)),"")
+IF(OR(INDEX('Infos Clientes'!$A$2:$V$9884,MATCH($C698,'Infos Clientes'!$B$2:$B$9884,0),MATCH("Tempo de Fidelidade (meses)",'Infos Clientes'!$A$2:$V$2,0))=0,R698&gt;=MAX(R:R)),0,
ROUND((MAX(R:R)-R698)/(365/12),0)),"")</f>
        <v>0</v>
      </c>
      <c r="R698" s="111">
        <v>45839</v>
      </c>
      <c r="S698" s="63">
        <v>1.47E-2</v>
      </c>
      <c r="T698" s="113" t="str">
        <f>IF($H698="GIROSSOL II",AP698/INDEX('Resumo Operacional'!$A$1:$P$1103,17,MATCH('Detalhe Por UC'!$R698,'Resumo Operacional'!$A$1:$P$1,0)),
IF($H698="GIROSSOL II e III",AP698/INDEX('Resumo Operacional'!$A$1:$P$1103,17,MATCH('Detalhe Por UC'!$R698,'Resumo Operacional'!$A$1:$P$1,0)),
""))</f>
        <v/>
      </c>
      <c r="U698" s="113">
        <f>IF($H698="GIROSSOL III",AP698/INDEX('Resumo Operacional'!$A$1:$P$1103,53,MATCH('Detalhe Por UC'!$R698,'Resumo Operacional'!$A$1:$P$1,0)),
IF($H698="GIROSSOL II e III",AP698/INDEX('Resumo Operacional'!$A$1:$P$1103,53,MATCH('Detalhe Por UC'!$R698,'Resumo Operacional'!$A$1:$P$1,0)),
""))</f>
        <v>0</v>
      </c>
      <c r="V698" s="45"/>
      <c r="Z698" s="18"/>
      <c r="AB698" s="18"/>
      <c r="AD698" s="143"/>
      <c r="AE698" s="35"/>
      <c r="AF698" s="18"/>
      <c r="AH698" s="48"/>
      <c r="AN698" s="71" t="str">
        <f t="shared" si="383"/>
        <v/>
      </c>
      <c r="AO698" s="71" t="str">
        <f t="shared" si="384"/>
        <v/>
      </c>
      <c r="AP698" s="71">
        <f t="shared" si="385"/>
        <v>0</v>
      </c>
      <c r="AQ698" s="72">
        <f>IF(OR($H698="GIROSSOL II",$H698="GIROSSOL II e III"),INDEX('Resumo Operacional'!$A$1:$P$1103,MATCH("Energia Injetada prevista total Fatura da Usina (TUSD)",'Resumo Operacional'!$B$1:$B$1103,0),MATCH('Detalhe Por UC'!$R698,'Resumo Operacional'!$A$1:$P$1,0))*$S698,INDEX('Resumo Operacional'!$A$1:$P$1103,53,MATCH('Detalhe Por UC'!$R698,'Resumo Operacional'!$A$1:$P$1,0))*$S698)</f>
        <v>135.01949999999999</v>
      </c>
      <c r="AR698" s="71" t="str">
        <f t="shared" si="386"/>
        <v/>
      </c>
      <c r="AS698" s="73">
        <f t="shared" si="387"/>
        <v>0</v>
      </c>
      <c r="AT698" s="74">
        <f t="shared" si="388"/>
        <v>0</v>
      </c>
      <c r="AU698" s="74" t="str">
        <f t="shared" si="389"/>
        <v/>
      </c>
      <c r="AV698" s="74">
        <f t="shared" si="390"/>
        <v>0</v>
      </c>
      <c r="AW698" s="74">
        <f t="shared" si="391"/>
        <v>0</v>
      </c>
      <c r="AX698" s="74">
        <f t="shared" si="392"/>
        <v>0</v>
      </c>
      <c r="AY698" s="74" t="str">
        <f t="shared" si="393"/>
        <v/>
      </c>
      <c r="AZ698" s="43" t="s">
        <v>354</v>
      </c>
      <c r="BA698" s="43">
        <v>0</v>
      </c>
      <c r="BC698" s="73" t="str">
        <f t="shared" si="394"/>
        <v/>
      </c>
      <c r="BD698" s="73">
        <f t="shared" si="395"/>
        <v>0</v>
      </c>
      <c r="BE698" s="73">
        <f t="shared" si="396"/>
        <v>0</v>
      </c>
      <c r="BF698" s="77">
        <f t="shared" si="397"/>
        <v>0</v>
      </c>
      <c r="BG698" s="77">
        <f t="shared" si="398"/>
        <v>0</v>
      </c>
      <c r="BH698" s="77">
        <f t="shared" si="399"/>
        <v>0</v>
      </c>
      <c r="BI698" s="78" t="str">
        <f t="shared" si="400"/>
        <v/>
      </c>
      <c r="BJ698" s="79" t="str">
        <f t="shared" si="401"/>
        <v/>
      </c>
      <c r="BK698" s="80" t="str">
        <f t="shared" si="402"/>
        <v/>
      </c>
      <c r="BL698" s="80" t="str">
        <f t="shared" si="403"/>
        <v/>
      </c>
      <c r="BM698" s="79" t="str">
        <f t="shared" si="404"/>
        <v/>
      </c>
      <c r="BN698" s="81" t="str">
        <f t="shared" si="405"/>
        <v/>
      </c>
      <c r="BO698" s="82" t="str">
        <f t="shared" si="406"/>
        <v/>
      </c>
      <c r="BP698" s="81" t="str">
        <f t="shared" si="407"/>
        <v/>
      </c>
      <c r="BQ698" s="81" t="str">
        <f t="shared" si="408"/>
        <v/>
      </c>
      <c r="BR698" s="81" t="str">
        <f t="shared" si="409"/>
        <v/>
      </c>
      <c r="BS698" s="82">
        <f t="shared" si="410"/>
        <v>0</v>
      </c>
      <c r="BT698" s="82" t="str">
        <f t="shared" si="411"/>
        <v/>
      </c>
      <c r="BU698" s="82">
        <f t="shared" si="412"/>
        <v>0</v>
      </c>
      <c r="BW698" s="82">
        <f>IFERROR(INDEX('Infos Clientes'!$T:$T,MATCH('Detalhe Por UC'!$C698,'Infos Clientes'!B:B,0)),"")</f>
        <v>254.09090909090909</v>
      </c>
      <c r="BX698" s="83">
        <f t="shared" si="413"/>
        <v>0</v>
      </c>
      <c r="BY698" s="84" t="str">
        <f t="shared" si="414"/>
        <v/>
      </c>
      <c r="BZ698" s="85">
        <f>IF(_xlfn.MINIFS('Detalhe Por UC'!R:R,'Detalhe Por UC'!C:C,C698,'Detalhe Por UC'!AD:AD,"&gt;"&amp;0)=0,"",_xlfn.MINIFS('Detalhe Por UC'!R:R,'Detalhe Por UC'!C:C,C698,'Detalhe Por UC'!AD:AD,"&gt;"&amp;0))</f>
        <v>45658</v>
      </c>
      <c r="CA698" s="114">
        <f ca="1">IF(OR(S698&gt;0,AD698&gt;0),IFERROR(
SUMIFS(INDIRECT("'Infos Clientes'!$W"&amp;INDEX('Infos Clientes'!$C:$C,MATCH(C698,'Infos Clientes'!$H:$H,0))&amp;":$CZ"&amp;INDEX('Infos Clientes'!$C:$C,MATCH(C698,'Infos Clientes'!$H:$H,0))),'Infos Clientes'!$W$2:$CZ$2,"&gt;"&amp;$R698-365,'Infos Clientes'!$W$2:$CZ$2,"&lt;="&amp;$R698)/
COUNTIFS(INDIRECT("'Infos Clientes'!$W"&amp;INDEX('Infos Clientes'!$C:$C,MATCH(C698,'Infos Clientes'!$H:$H,0))&amp;":$CZ"&amp;INDEX('Infos Clientes'!$C:$C,MATCH(C698,'Infos Clientes'!$H:$H,0))),"&gt;="&amp;0,'Infos Clientes'!$W$2:$CZ$2,"&gt;"&amp;$R698-365,'Infos Clientes'!$W$2:$CZ$2,"&lt;="&amp;$R698),""),"")</f>
        <v>250.71428571428572</v>
      </c>
      <c r="CB698" s="87">
        <f>VLOOKUP(C698,'Infos Clientes'!B:L,11,0)</f>
        <v>0</v>
      </c>
      <c r="CC698" s="88" t="str">
        <f t="shared" si="415"/>
        <v>A Unidade Consumidora 10/512142-1 economizou R$0 na fatura referente à jul/2025  consumindo  kWh em créditos de energia renovável conforme fatura de energia. A economia foi de 22,94% em relação ao que seria pago para a Energisa considerando os créditos consumidos. Atenção: Mantenha as contas da Energisa em dia para evitar cortes.</v>
      </c>
      <c r="CD698" s="40" t="s">
        <v>66</v>
      </c>
      <c r="CE698" s="43" t="e">
        <v>#N/A</v>
      </c>
      <c r="CF698" s="115" t="e">
        <f t="shared" si="416"/>
        <v>#N/A</v>
      </c>
    </row>
    <row r="699" spans="1:84" ht="16.2" hidden="1" customHeight="1" x14ac:dyDescent="0.3">
      <c r="A699" s="105" t="str">
        <f>INDEX('Infos Clientes'!$D:$D,MATCH('Detalhe Por UC'!C699,'Infos Clientes'!B:B,0))</f>
        <v>IGREJA DO EVANGELHO QUADRANGULAR</v>
      </c>
      <c r="B699" s="106" t="str">
        <f>INDEX('Infos Clientes'!$F:$F,MATCH('Detalhe Por UC'!C699,'Infos Clientes'!B:B,0))</f>
        <v>62.955.505/2488-86</v>
      </c>
      <c r="C699" s="31" t="s">
        <v>195</v>
      </c>
      <c r="D699" t="s">
        <v>351</v>
      </c>
      <c r="E699" s="1" t="s">
        <v>352</v>
      </c>
      <c r="F699" s="56" t="str">
        <f>INDEX('Infos Clientes'!$I:$I,MATCH('Detalhe Por UC'!C699,'Infos Clientes'!B:B,0))</f>
        <v>BT</v>
      </c>
      <c r="G699" s="56" t="str">
        <f>INDEX('Infos Clientes'!$J:$J,MATCH('Detalhe Por UC'!C699,'Infos Clientes'!B:B,0))</f>
        <v>trifasico</v>
      </c>
      <c r="H699" s="108" t="s">
        <v>138</v>
      </c>
      <c r="I699" s="58">
        <f>IFERROR(VLOOKUP(C699,'Infos Clientes'!B:E,4,),"")</f>
        <v>306</v>
      </c>
      <c r="J699" s="109">
        <v>0.22939999999999999</v>
      </c>
      <c r="K699" s="79">
        <f>INDEX('Resumo Operacional'!$A$1:$P$151,MATCH("Desconto percentual Ucs",'Resumo Operacional'!$B$1:$B$151,0),MATCH('Detalhe Por UC'!$R699,'Resumo Operacional'!$A$1:$P$1,0))</f>
        <v>0.25212408425707711</v>
      </c>
      <c r="L699" s="125">
        <v>0</v>
      </c>
      <c r="M699" s="56">
        <f>INDEX('Infos Clientes'!$N:$N,MATCH('Detalhe Por UC'!C699,'Infos Clientes'!B:B,0))</f>
        <v>0</v>
      </c>
      <c r="N699" s="56">
        <f t="shared" si="381"/>
        <v>0</v>
      </c>
      <c r="O699" s="56">
        <f t="shared" si="382"/>
        <v>9</v>
      </c>
      <c r="P699" s="56">
        <f t="shared" si="417"/>
        <v>0</v>
      </c>
      <c r="Q699" s="61">
        <f>IFERROR(IFERROR(INDEX('Infos Clientes'!$A$2:$V$9884,MATCH($C699,'Infos Clientes'!$B$2:$B$9884,0),MATCH(Q$8,'Infos Clientes'!$A$2:$V$2,0)),"")
+IF(OR(INDEX('Infos Clientes'!$A$2:$V$9884,MATCH($C699,'Infos Clientes'!$B$2:$B$9884,0),MATCH("Tempo de Fidelidade (meses)",'Infos Clientes'!$A$2:$V$2,0))=0,R699&gt;=MAX(R:R)),0,
ROUND((MAX(R:R)-R699)/(365/12),0)),"")</f>
        <v>0</v>
      </c>
      <c r="R699" s="111">
        <v>45839</v>
      </c>
      <c r="S699" s="63">
        <v>1.34E-2</v>
      </c>
      <c r="T699" s="113" t="str">
        <f>IF($H699="GIROSSOL II",AP699/INDEX('Resumo Operacional'!$A$1:$P$1103,17,MATCH('Detalhe Por UC'!$R699,'Resumo Operacional'!$A$1:$P$1,0)),
IF($H699="GIROSSOL II e III",AP699/INDEX('Resumo Operacional'!$A$1:$P$1103,17,MATCH('Detalhe Por UC'!$R699,'Resumo Operacional'!$A$1:$P$1,0)),
""))</f>
        <v/>
      </c>
      <c r="U699" s="113">
        <f>IF($H699="GIROSSOL III",AP699/INDEX('Resumo Operacional'!$A$1:$P$1103,53,MATCH('Detalhe Por UC'!$R699,'Resumo Operacional'!$A$1:$P$1,0)),
IF($H699="GIROSSOL II e III",AP699/INDEX('Resumo Operacional'!$A$1:$P$1103,53,MATCH('Detalhe Por UC'!$R699,'Resumo Operacional'!$A$1:$P$1,0)),
""))</f>
        <v>2.5149700598802394E-2</v>
      </c>
      <c r="V699" s="45"/>
      <c r="X699">
        <v>1.1631339712918662</v>
      </c>
      <c r="Y699">
        <v>0</v>
      </c>
      <c r="Z699" s="18">
        <v>1.0061769005847954</v>
      </c>
      <c r="AA699">
        <v>0</v>
      </c>
      <c r="AB699" s="18">
        <v>220</v>
      </c>
      <c r="AC699">
        <v>0</v>
      </c>
      <c r="AD699" s="143">
        <v>144</v>
      </c>
      <c r="AE699" s="35"/>
      <c r="AF699" s="18">
        <v>116</v>
      </c>
      <c r="AG699">
        <v>0</v>
      </c>
      <c r="AH699" s="48">
        <v>5.3900000000000006</v>
      </c>
      <c r="AI699">
        <v>0</v>
      </c>
      <c r="AJ699">
        <v>0</v>
      </c>
      <c r="AN699" s="71">
        <f t="shared" si="383"/>
        <v>87</v>
      </c>
      <c r="AO699" s="71">
        <f t="shared" si="384"/>
        <v>0</v>
      </c>
      <c r="AP699" s="71">
        <f t="shared" si="385"/>
        <v>231</v>
      </c>
      <c r="AQ699" s="72">
        <f>IF(OR($H699="GIROSSOL II",$H699="GIROSSOL II e III"),INDEX('Resumo Operacional'!$A$1:$P$1103,MATCH("Energia Injetada prevista total Fatura da Usina (TUSD)",'Resumo Operacional'!$B$1:$B$1103,0),MATCH('Detalhe Por UC'!$R699,'Resumo Operacional'!$A$1:$P$1,0))*$S699,INDEX('Resumo Operacional'!$A$1:$P$1103,53,MATCH('Detalhe Por UC'!$R699,'Resumo Operacional'!$A$1:$P$1,0))*$S699)</f>
        <v>123.07900000000001</v>
      </c>
      <c r="AR699" s="71">
        <f t="shared" si="386"/>
        <v>107.92099999999999</v>
      </c>
      <c r="AS699" s="73">
        <f t="shared" si="387"/>
        <v>116.39000000000003</v>
      </c>
      <c r="AT699" s="74">
        <f t="shared" si="388"/>
        <v>116.39000000000003</v>
      </c>
      <c r="AU699" s="74">
        <f t="shared" si="389"/>
        <v>0.84921982987772449</v>
      </c>
      <c r="AV699" s="74">
        <f t="shared" si="390"/>
        <v>111.65182842105263</v>
      </c>
      <c r="AW699" s="74">
        <f t="shared" si="391"/>
        <v>2.0499999999999972</v>
      </c>
      <c r="AX699" s="74">
        <f t="shared" si="392"/>
        <v>146.93947368421055</v>
      </c>
      <c r="AY699" s="74">
        <f t="shared" si="393"/>
        <v>113.7</v>
      </c>
      <c r="AZ699" s="43">
        <v>113.7</v>
      </c>
      <c r="BA699" s="43">
        <v>113.7</v>
      </c>
      <c r="BB699" s="49">
        <v>113.7</v>
      </c>
      <c r="BC699" s="73" t="str">
        <f t="shared" si="394"/>
        <v/>
      </c>
      <c r="BD699" s="73">
        <f t="shared" si="395"/>
        <v>261.27947368421059</v>
      </c>
      <c r="BE699" s="73">
        <f t="shared" si="396"/>
        <v>228.04182842105266</v>
      </c>
      <c r="BF699" s="77">
        <f t="shared" si="397"/>
        <v>33.24</v>
      </c>
      <c r="BG699" s="77">
        <f t="shared" si="398"/>
        <v>9.9719999999999995</v>
      </c>
      <c r="BH699" s="77">
        <f t="shared" si="399"/>
        <v>144.88947368421054</v>
      </c>
      <c r="BI699" s="78">
        <f t="shared" si="400"/>
        <v>0.23</v>
      </c>
      <c r="BJ699" s="79">
        <f t="shared" si="401"/>
        <v>0.1272200970527626</v>
      </c>
      <c r="BK699" s="80">
        <f t="shared" si="402"/>
        <v>230.09000000000003</v>
      </c>
      <c r="BL699" s="80">
        <f t="shared" si="403"/>
        <v>31.189473684210554</v>
      </c>
      <c r="BM699" s="79">
        <f t="shared" si="404"/>
        <v>0.11937207789199313</v>
      </c>
      <c r="BN699" s="81">
        <f t="shared" si="405"/>
        <v>0.7895833333333333</v>
      </c>
      <c r="BO699" s="82">
        <f t="shared" si="406"/>
        <v>113.69999999999999</v>
      </c>
      <c r="BP699" s="81">
        <f t="shared" si="407"/>
        <v>0.7895833333333333</v>
      </c>
      <c r="BQ699" s="81">
        <f t="shared" si="408"/>
        <v>0.94654040404040418</v>
      </c>
      <c r="BR699" s="81">
        <f t="shared" si="409"/>
        <v>1.1631339712918662</v>
      </c>
      <c r="BS699" s="82">
        <f t="shared" si="410"/>
        <v>144</v>
      </c>
      <c r="BT699" s="82">
        <f t="shared" si="411"/>
        <v>167.49129186602875</v>
      </c>
      <c r="BU699" s="82">
        <f t="shared" si="412"/>
        <v>144.88947368421054</v>
      </c>
      <c r="BW699" s="82">
        <f>IFERROR(INDEX('Infos Clientes'!$T:$T,MATCH('Detalhe Por UC'!$C699,'Infos Clientes'!B:B,0)),"")</f>
        <v>249.81818181818181</v>
      </c>
      <c r="BX699" s="83">
        <f t="shared" si="413"/>
        <v>0</v>
      </c>
      <c r="BY699" s="84">
        <f t="shared" si="414"/>
        <v>0.18621549417123168</v>
      </c>
      <c r="BZ699" s="85">
        <f>IF(_xlfn.MINIFS('Detalhe Por UC'!R:R,'Detalhe Por UC'!C:C,C699,'Detalhe Por UC'!AD:AD,"&gt;"&amp;0)=0,"",_xlfn.MINIFS('Detalhe Por UC'!R:R,'Detalhe Por UC'!C:C,C699,'Detalhe Por UC'!AD:AD,"&gt;"&amp;0))</f>
        <v>45658</v>
      </c>
      <c r="CA699" s="114">
        <f ca="1">IF(OR(S699&gt;0,AD699&gt;0),IFERROR(
SUMIFS(INDIRECT("'Infos Clientes'!$W"&amp;INDEX('Infos Clientes'!$C:$C,MATCH(C699,'Infos Clientes'!$H:$H,0))&amp;":$CZ"&amp;INDEX('Infos Clientes'!$C:$C,MATCH(C699,'Infos Clientes'!$H:$H,0))),'Infos Clientes'!$W$2:$CZ$2,"&gt;"&amp;$R699-365,'Infos Clientes'!$W$2:$CZ$2,"&lt;="&amp;$R699)/
COUNTIFS(INDIRECT("'Infos Clientes'!$W"&amp;INDEX('Infos Clientes'!$C:$C,MATCH(C699,'Infos Clientes'!$H:$H,0))&amp;":$CZ"&amp;INDEX('Infos Clientes'!$C:$C,MATCH(C699,'Infos Clientes'!$H:$H,0))),"&gt;="&amp;0,'Infos Clientes'!$W$2:$CZ$2,"&gt;"&amp;$R699-365,'Infos Clientes'!$W$2:$CZ$2,"&lt;="&amp;$R699),""),"")</f>
        <v>299.5</v>
      </c>
      <c r="CB699" s="87">
        <f>VLOOKUP(C699,'Infos Clientes'!B:L,11,0)</f>
        <v>0</v>
      </c>
      <c r="CC699" s="88" t="str">
        <f t="shared" si="415"/>
        <v>A Unidade Consumidora 10/395471-6 economizou R$33,24 na fatura referente à jul/2025  consumindo 144 kWh em créditos de energia renovável conforme fatura de energia. A economia foi de 22,94% em relação ao que seria pago para a Energisa considerando os créditos consumidos. Atenção: Mantenha as contas da Energisa em dia para evitar cortes.</v>
      </c>
      <c r="CD699" s="40" t="s">
        <v>143</v>
      </c>
      <c r="CE699" s="43">
        <v>116.39</v>
      </c>
      <c r="CF699" s="115">
        <f t="shared" si="416"/>
        <v>0</v>
      </c>
    </row>
    <row r="700" spans="1:84" ht="16.2" hidden="1" customHeight="1" x14ac:dyDescent="0.3">
      <c r="A700" s="105" t="str">
        <f>INDEX('Infos Clientes'!$D:$D,MATCH('Detalhe Por UC'!C700,'Infos Clientes'!B:B,0))</f>
        <v>IGREJA DO EVANGELHO QUADRANGULAR</v>
      </c>
      <c r="B700" s="106" t="str">
        <f>INDEX('Infos Clientes'!$F:$F,MATCH('Detalhe Por UC'!C700,'Infos Clientes'!B:B,0))</f>
        <v>62.955.505/0155-12</v>
      </c>
      <c r="C700" s="31" t="s">
        <v>205</v>
      </c>
      <c r="D700" t="s">
        <v>351</v>
      </c>
      <c r="E700" s="1" t="s">
        <v>352</v>
      </c>
      <c r="F700" s="56" t="str">
        <f>INDEX('Infos Clientes'!$I:$I,MATCH('Detalhe Por UC'!C700,'Infos Clientes'!B:B,0))</f>
        <v>BT</v>
      </c>
      <c r="G700" s="56" t="str">
        <f>INDEX('Infos Clientes'!$J:$J,MATCH('Detalhe Por UC'!C700,'Infos Clientes'!B:B,0))</f>
        <v>bifasico</v>
      </c>
      <c r="H700" s="108" t="s">
        <v>138</v>
      </c>
      <c r="I700" s="58">
        <f>IFERROR(VLOOKUP(C700,'Infos Clientes'!B:E,4,),"")</f>
        <v>358</v>
      </c>
      <c r="J700" s="109">
        <v>0.22939999999999999</v>
      </c>
      <c r="K700" s="79">
        <f>INDEX('Resumo Operacional'!$A$1:$P$151,MATCH("Desconto percentual Ucs",'Resumo Operacional'!$B$1:$B$151,0),MATCH('Detalhe Por UC'!$R700,'Resumo Operacional'!$A$1:$P$1,0))</f>
        <v>0.25212408425707711</v>
      </c>
      <c r="L700" s="125">
        <v>0</v>
      </c>
      <c r="M700" s="56">
        <f>INDEX('Infos Clientes'!$N:$N,MATCH('Detalhe Por UC'!C700,'Infos Clientes'!B:B,0))</f>
        <v>0</v>
      </c>
      <c r="N700" s="56">
        <f t="shared" si="381"/>
        <v>0</v>
      </c>
      <c r="O700" s="56">
        <f t="shared" si="382"/>
        <v>10</v>
      </c>
      <c r="P700" s="56">
        <f t="shared" si="417"/>
        <v>0</v>
      </c>
      <c r="Q700" s="61">
        <f>IFERROR(IFERROR(INDEX('Infos Clientes'!$A$2:$V$9884,MATCH($C700,'Infos Clientes'!$B$2:$B$9884,0),MATCH(Q$8,'Infos Clientes'!$A$2:$V$2,0)),"")
+IF(OR(INDEX('Infos Clientes'!$A$2:$V$9884,MATCH($C700,'Infos Clientes'!$B$2:$B$9884,0),MATCH("Tempo de Fidelidade (meses)",'Infos Clientes'!$A$2:$V$2,0))=0,R700&gt;=MAX(R:R)),0,
ROUND((MAX(R:R)-R700)/(365/12),0)),"")</f>
        <v>0</v>
      </c>
      <c r="R700" s="111">
        <v>45839</v>
      </c>
      <c r="S700" s="63">
        <v>1.21E-2</v>
      </c>
      <c r="T700" s="113" t="str">
        <f>IF($H700="GIROSSOL II",AP700/INDEX('Resumo Operacional'!$A$1:$P$1103,17,MATCH('Detalhe Por UC'!$R700,'Resumo Operacional'!$A$1:$P$1,0)),
IF($H700="GIROSSOL II e III",AP700/INDEX('Resumo Operacional'!$A$1:$P$1103,17,MATCH('Detalhe Por UC'!$R700,'Resumo Operacional'!$A$1:$P$1,0)),
""))</f>
        <v/>
      </c>
      <c r="U700" s="113">
        <f>IF($H700="GIROSSOL III",AP700/INDEX('Resumo Operacional'!$A$1:$P$1103,53,MATCH('Detalhe Por UC'!$R700,'Resumo Operacional'!$A$1:$P$1,0)),
IF($H700="GIROSSOL II e III",AP700/INDEX('Resumo Operacional'!$A$1:$P$1103,53,MATCH('Detalhe Por UC'!$R700,'Resumo Operacional'!$A$1:$P$1,0)),
""))</f>
        <v>2.2645617855198693E-2</v>
      </c>
      <c r="V700" s="45"/>
      <c r="X700">
        <v>1.1627047828477186</v>
      </c>
      <c r="Y700">
        <v>0</v>
      </c>
      <c r="Z700" s="18">
        <v>1.0058315915198566</v>
      </c>
      <c r="AA700">
        <v>0</v>
      </c>
      <c r="AB700" s="18">
        <v>214</v>
      </c>
      <c r="AC700">
        <v>0</v>
      </c>
      <c r="AD700" s="143">
        <v>197</v>
      </c>
      <c r="AE700" s="35"/>
      <c r="AF700" s="18">
        <v>11</v>
      </c>
      <c r="AG700">
        <v>0</v>
      </c>
      <c r="AH700" s="48">
        <v>57.33</v>
      </c>
      <c r="AI700">
        <v>0</v>
      </c>
      <c r="AJ700">
        <v>0</v>
      </c>
      <c r="AN700" s="71">
        <f t="shared" si="383"/>
        <v>11</v>
      </c>
      <c r="AO700" s="71">
        <f t="shared" si="384"/>
        <v>0</v>
      </c>
      <c r="AP700" s="71">
        <f t="shared" si="385"/>
        <v>208</v>
      </c>
      <c r="AQ700" s="72">
        <f>IF(OR($H700="GIROSSOL II",$H700="GIROSSOL II e III"),INDEX('Resumo Operacional'!$A$1:$P$1103,MATCH("Energia Injetada prevista total Fatura da Usina (TUSD)",'Resumo Operacional'!$B$1:$B$1103,0),MATCH('Detalhe Por UC'!$R700,'Resumo Operacional'!$A$1:$P$1,0))*$S700,INDEX('Resumo Operacional'!$A$1:$P$1103,53,MATCH('Detalhe Por UC'!$R700,'Resumo Operacional'!$A$1:$P$1,0))*$S700)</f>
        <v>111.13849999999999</v>
      </c>
      <c r="AR700" s="71">
        <f t="shared" si="386"/>
        <v>96.861500000000007</v>
      </c>
      <c r="AS700" s="73">
        <f t="shared" si="387"/>
        <v>108.00000000000004</v>
      </c>
      <c r="AT700" s="74">
        <f t="shared" si="388"/>
        <v>108.00000000000004</v>
      </c>
      <c r="AU700" s="74">
        <f t="shared" si="389"/>
        <v>0.84895840019199453</v>
      </c>
      <c r="AV700" s="74">
        <f t="shared" si="390"/>
        <v>152.6934834117647</v>
      </c>
      <c r="AW700" s="74">
        <f t="shared" si="391"/>
        <v>1</v>
      </c>
      <c r="AX700" s="74">
        <f t="shared" si="392"/>
        <v>199.14882352941174</v>
      </c>
      <c r="AY700" s="74">
        <f t="shared" si="393"/>
        <v>153.69</v>
      </c>
      <c r="AZ700" s="43">
        <v>153.69</v>
      </c>
      <c r="BA700" s="43">
        <v>153.69</v>
      </c>
      <c r="BB700" s="49">
        <v>153.69</v>
      </c>
      <c r="BC700" s="73" t="str">
        <f t="shared" si="394"/>
        <v/>
      </c>
      <c r="BD700" s="73">
        <f t="shared" si="395"/>
        <v>306.1488235294118</v>
      </c>
      <c r="BE700" s="73">
        <f t="shared" si="396"/>
        <v>260.69348341176476</v>
      </c>
      <c r="BF700" s="77">
        <f t="shared" si="397"/>
        <v>45.46</v>
      </c>
      <c r="BG700" s="77">
        <f t="shared" si="398"/>
        <v>13.638</v>
      </c>
      <c r="BH700" s="77">
        <f t="shared" si="399"/>
        <v>198.14882352941174</v>
      </c>
      <c r="BI700" s="78">
        <f t="shared" si="400"/>
        <v>0.23</v>
      </c>
      <c r="BJ700" s="79">
        <f t="shared" si="401"/>
        <v>0.14848987324503846</v>
      </c>
      <c r="BK700" s="80">
        <f t="shared" si="402"/>
        <v>261.69000000000005</v>
      </c>
      <c r="BL700" s="80">
        <f t="shared" si="403"/>
        <v>44.458823529411745</v>
      </c>
      <c r="BM700" s="79">
        <f t="shared" si="404"/>
        <v>0.14521964519370617</v>
      </c>
      <c r="BN700" s="81">
        <f t="shared" si="405"/>
        <v>0.78015228426395933</v>
      </c>
      <c r="BO700" s="82">
        <f t="shared" si="406"/>
        <v>153.69</v>
      </c>
      <c r="BP700" s="81">
        <f t="shared" si="407"/>
        <v>0.78015228426395933</v>
      </c>
      <c r="BQ700" s="81">
        <f t="shared" si="408"/>
        <v>0.93702547559182137</v>
      </c>
      <c r="BR700" s="81">
        <f t="shared" si="409"/>
        <v>1.1627047828477186</v>
      </c>
      <c r="BS700" s="82">
        <f t="shared" si="410"/>
        <v>197</v>
      </c>
      <c r="BT700" s="82">
        <f t="shared" si="411"/>
        <v>229.05284222100056</v>
      </c>
      <c r="BU700" s="82">
        <f t="shared" si="412"/>
        <v>198.14882352941174</v>
      </c>
      <c r="BW700" s="82">
        <f>IFERROR(INDEX('Infos Clientes'!$T:$T,MATCH('Detalhe Por UC'!$C700,'Infos Clientes'!B:B,0)),"")</f>
        <v>178</v>
      </c>
      <c r="BX700" s="83">
        <f t="shared" si="413"/>
        <v>0</v>
      </c>
      <c r="BY700" s="84">
        <f t="shared" si="414"/>
        <v>0.19409854555096884</v>
      </c>
      <c r="BZ700" s="85">
        <f>IF(_xlfn.MINIFS('Detalhe Por UC'!R:R,'Detalhe Por UC'!C:C,C700,'Detalhe Por UC'!AD:AD,"&gt;"&amp;0)=0,"",_xlfn.MINIFS('Detalhe Por UC'!R:R,'Detalhe Por UC'!C:C,C700,'Detalhe Por UC'!AD:AD,"&gt;"&amp;0))</f>
        <v>45658</v>
      </c>
      <c r="CA700" s="114">
        <f ca="1">IF(OR(S700&gt;0,AD700&gt;0),IFERROR(
SUMIFS(INDIRECT("'Infos Clientes'!$W"&amp;INDEX('Infos Clientes'!$C:$C,MATCH(C700,'Infos Clientes'!$H:$H,0))&amp;":$CZ"&amp;INDEX('Infos Clientes'!$C:$C,MATCH(C700,'Infos Clientes'!$H:$H,0))),'Infos Clientes'!$W$2:$CZ$2,"&gt;"&amp;$R700-365,'Infos Clientes'!$W$2:$CZ$2,"&lt;="&amp;$R700)/
COUNTIFS(INDIRECT("'Infos Clientes'!$W"&amp;INDEX('Infos Clientes'!$C:$C,MATCH(C700,'Infos Clientes'!$H:$H,0))&amp;":$CZ"&amp;INDEX('Infos Clientes'!$C:$C,MATCH(C700,'Infos Clientes'!$H:$H,0))),"&gt;="&amp;0,'Infos Clientes'!$W$2:$CZ$2,"&gt;"&amp;$R700-365,'Infos Clientes'!$W$2:$CZ$2,"&lt;="&amp;$R700),""),"")</f>
        <v>171.33333333333334</v>
      </c>
      <c r="CB700" s="87">
        <f>VLOOKUP(C700,'Infos Clientes'!B:L,11,0)</f>
        <v>0</v>
      </c>
      <c r="CC700" s="88" t="str">
        <f t="shared" si="415"/>
        <v>A Unidade Consumidora 10/466560-0 economizou R$45,46 na fatura referente à jul/2025  consumindo 197 kWh em créditos de energia renovável conforme fatura de energia. A economia foi de 22,94% em relação ao que seria pago para a Energisa considerando os créditos consumidos. Atenção: Mantenha as contas da Energisa em dia para evitar cortes.</v>
      </c>
      <c r="CD700" s="40">
        <v>0</v>
      </c>
      <c r="CE700" s="43">
        <v>108</v>
      </c>
      <c r="CF700" s="115">
        <f t="shared" si="416"/>
        <v>0</v>
      </c>
    </row>
    <row r="701" spans="1:84" ht="16.2" hidden="1" customHeight="1" x14ac:dyDescent="0.3">
      <c r="A701" s="105" t="str">
        <f>INDEX('Infos Clientes'!$D:$D,MATCH('Detalhe Por UC'!C701,'Infos Clientes'!B:B,0))</f>
        <v>IGREJA DO EVANGELHO QUADRANGULAR</v>
      </c>
      <c r="B701" s="106" t="str">
        <f>INDEX('Infos Clientes'!$F:$F,MATCH('Detalhe Por UC'!C701,'Infos Clientes'!B:B,0))</f>
        <v>62.955.505/0155-12</v>
      </c>
      <c r="C701" s="31" t="s">
        <v>189</v>
      </c>
      <c r="D701" t="s">
        <v>351</v>
      </c>
      <c r="E701" s="1" t="s">
        <v>352</v>
      </c>
      <c r="F701" s="56" t="str">
        <f>INDEX('Infos Clientes'!$I:$I,MATCH('Detalhe Por UC'!C701,'Infos Clientes'!B:B,0))</f>
        <v>BT</v>
      </c>
      <c r="G701" s="56" t="str">
        <f>INDEX('Infos Clientes'!$J:$J,MATCH('Detalhe Por UC'!C701,'Infos Clientes'!B:B,0))</f>
        <v>bifasico</v>
      </c>
      <c r="H701" s="108" t="s">
        <v>138</v>
      </c>
      <c r="I701" s="58">
        <f>IFERROR(VLOOKUP(C701,'Infos Clientes'!B:E,4,),"")</f>
        <v>358</v>
      </c>
      <c r="J701" s="109">
        <v>0.22939999999999999</v>
      </c>
      <c r="K701" s="79">
        <f>INDEX('Resumo Operacional'!$A$1:$P$151,MATCH("Desconto percentual Ucs",'Resumo Operacional'!$B$1:$B$151,0),MATCH('Detalhe Por UC'!$R701,'Resumo Operacional'!$A$1:$P$1,0))</f>
        <v>0.25212408425707711</v>
      </c>
      <c r="L701" s="125">
        <v>0</v>
      </c>
      <c r="M701" s="56">
        <f>INDEX('Infos Clientes'!$N:$N,MATCH('Detalhe Por UC'!C701,'Infos Clientes'!B:B,0))</f>
        <v>0</v>
      </c>
      <c r="N701" s="56">
        <f t="shared" si="381"/>
        <v>0</v>
      </c>
      <c r="O701" s="56">
        <f t="shared" si="382"/>
        <v>8</v>
      </c>
      <c r="P701" s="56">
        <f t="shared" si="417"/>
        <v>0</v>
      </c>
      <c r="Q701" s="61">
        <f>IFERROR(IFERROR(INDEX('Infos Clientes'!$A$2:$V$9884,MATCH($C701,'Infos Clientes'!$B$2:$B$9884,0),MATCH(Q$8,'Infos Clientes'!$A$2:$V$2,0)),"")
+IF(OR(INDEX('Infos Clientes'!$A$2:$V$9884,MATCH($C701,'Infos Clientes'!$B$2:$B$9884,0),MATCH("Tempo de Fidelidade (meses)",'Infos Clientes'!$A$2:$V$2,0))=0,R701&gt;=MAX(R:R)),0,
ROUND((MAX(R:R)-R701)/(365/12),0)),"")</f>
        <v>0</v>
      </c>
      <c r="R701" s="111">
        <v>45839</v>
      </c>
      <c r="S701" s="63">
        <v>1.0200000000000001E-2</v>
      </c>
      <c r="T701" s="113" t="str">
        <f>IF($H701="GIROSSOL II",AP701/INDEX('Resumo Operacional'!$A$1:$P$1103,17,MATCH('Detalhe Por UC'!$R701,'Resumo Operacional'!$A$1:$P$1,0)),
IF($H701="GIROSSOL II e III",AP701/INDEX('Resumo Operacional'!$A$1:$P$1103,17,MATCH('Detalhe Por UC'!$R701,'Resumo Operacional'!$A$1:$P$1,0)),
""))</f>
        <v/>
      </c>
      <c r="U701" s="113">
        <f>IF($H701="GIROSSOL III",AP701/INDEX('Resumo Operacional'!$A$1:$P$1103,53,MATCH('Detalhe Por UC'!$R701,'Resumo Operacional'!$A$1:$P$1,0)),
IF($H701="GIROSSOL II e III",AP701/INDEX('Resumo Operacional'!$A$1:$P$1103,53,MATCH('Detalhe Por UC'!$R701,'Resumo Operacional'!$A$1:$P$1,0)),
""))</f>
        <v>1.905280348394121E-2</v>
      </c>
      <c r="V701" s="45"/>
      <c r="X701">
        <v>1.1632018716577541</v>
      </c>
      <c r="Y701">
        <v>0</v>
      </c>
      <c r="Z701" s="18">
        <v>1.0062665489849956</v>
      </c>
      <c r="AA701">
        <v>0</v>
      </c>
      <c r="AB701" s="18">
        <v>136</v>
      </c>
      <c r="AC701">
        <v>0</v>
      </c>
      <c r="AD701" s="143">
        <v>103</v>
      </c>
      <c r="AE701" s="35"/>
      <c r="AF701" s="18">
        <v>72</v>
      </c>
      <c r="AG701">
        <v>0</v>
      </c>
      <c r="AH701" s="48">
        <v>59.64</v>
      </c>
      <c r="AI701">
        <v>0</v>
      </c>
      <c r="AJ701">
        <v>0</v>
      </c>
      <c r="AN701" s="71">
        <f t="shared" si="383"/>
        <v>72</v>
      </c>
      <c r="AO701" s="71">
        <f t="shared" si="384"/>
        <v>0</v>
      </c>
      <c r="AP701" s="71">
        <f t="shared" si="385"/>
        <v>175</v>
      </c>
      <c r="AQ701" s="72">
        <f>IF(OR($H701="GIROSSOL II",$H701="GIROSSOL II e III"),INDEX('Resumo Operacional'!$A$1:$P$1103,MATCH("Energia Injetada prevista total Fatura da Usina (TUSD)",'Resumo Operacional'!$B$1:$B$1103,0),MATCH('Detalhe Por UC'!$R701,'Resumo Operacional'!$A$1:$P$1,0))*$S701,INDEX('Resumo Operacional'!$A$1:$P$1103,53,MATCH('Detalhe Por UC'!$R701,'Resumo Operacional'!$A$1:$P$1,0))*$S701)</f>
        <v>93.687000000000012</v>
      </c>
      <c r="AR701" s="71">
        <f t="shared" si="386"/>
        <v>81.312999999999988</v>
      </c>
      <c r="AS701" s="73">
        <f t="shared" si="387"/>
        <v>114.19000000000003</v>
      </c>
      <c r="AT701" s="74">
        <f t="shared" si="388"/>
        <v>114.19000000000003</v>
      </c>
      <c r="AU701" s="74">
        <f t="shared" si="389"/>
        <v>0.84933122631223701</v>
      </c>
      <c r="AV701" s="74">
        <f t="shared" si="390"/>
        <v>79.86918727272726</v>
      </c>
      <c r="AW701" s="74">
        <f t="shared" si="391"/>
        <v>1.009999999999998</v>
      </c>
      <c r="AX701" s="74">
        <f t="shared" si="392"/>
        <v>104.65545454545455</v>
      </c>
      <c r="AY701" s="74">
        <f t="shared" si="393"/>
        <v>80.88</v>
      </c>
      <c r="AZ701" s="43">
        <v>80.88</v>
      </c>
      <c r="BA701" s="43">
        <v>80.88</v>
      </c>
      <c r="BB701" s="49">
        <v>104.66</v>
      </c>
      <c r="BC701" s="73">
        <f t="shared" si="394"/>
        <v>23.78</v>
      </c>
      <c r="BD701" s="73">
        <f t="shared" si="395"/>
        <v>217.83545454545458</v>
      </c>
      <c r="BE701" s="73">
        <f t="shared" si="396"/>
        <v>194.05918727272729</v>
      </c>
      <c r="BF701" s="77">
        <f t="shared" si="397"/>
        <v>23.78</v>
      </c>
      <c r="BG701" s="77">
        <f t="shared" si="398"/>
        <v>7.1340000000000003</v>
      </c>
      <c r="BH701" s="77">
        <f t="shared" si="399"/>
        <v>103.64545454545456</v>
      </c>
      <c r="BI701" s="78">
        <f t="shared" si="400"/>
        <v>0.23</v>
      </c>
      <c r="BJ701" s="79">
        <f t="shared" si="401"/>
        <v>0.10916496605027146</v>
      </c>
      <c r="BK701" s="80">
        <f t="shared" si="402"/>
        <v>195.07000000000002</v>
      </c>
      <c r="BL701" s="80">
        <f t="shared" si="403"/>
        <v>22.76545454545456</v>
      </c>
      <c r="BM701" s="79">
        <f t="shared" si="404"/>
        <v>0.10450757243791189</v>
      </c>
      <c r="BN701" s="81">
        <f t="shared" si="405"/>
        <v>0.78524271844660187</v>
      </c>
      <c r="BO701" s="82">
        <f t="shared" si="406"/>
        <v>80.88</v>
      </c>
      <c r="BP701" s="81">
        <f t="shared" si="407"/>
        <v>0.78524271844660187</v>
      </c>
      <c r="BQ701" s="81">
        <f t="shared" si="408"/>
        <v>0.94217804111936043</v>
      </c>
      <c r="BR701" s="81">
        <f t="shared" si="409"/>
        <v>1.1632018716577541</v>
      </c>
      <c r="BS701" s="82">
        <f t="shared" si="410"/>
        <v>103</v>
      </c>
      <c r="BT701" s="82">
        <f t="shared" si="411"/>
        <v>119.80979278074868</v>
      </c>
      <c r="BU701" s="82">
        <f t="shared" si="412"/>
        <v>103.64545454545454</v>
      </c>
      <c r="BW701" s="82">
        <f>IFERROR(INDEX('Infos Clientes'!$T:$T,MATCH('Detalhe Por UC'!$C701,'Infos Clientes'!B:B,0)),"")</f>
        <v>164.36363636363637</v>
      </c>
      <c r="BX701" s="83">
        <f t="shared" si="413"/>
        <v>0</v>
      </c>
      <c r="BY701" s="84">
        <f t="shared" si="414"/>
        <v>0.19001330372981462</v>
      </c>
      <c r="BZ701" s="85">
        <f>IF(_xlfn.MINIFS('Detalhe Por UC'!R:R,'Detalhe Por UC'!C:C,C701,'Detalhe Por UC'!AD:AD,"&gt;"&amp;0)=0,"",_xlfn.MINIFS('Detalhe Por UC'!R:R,'Detalhe Por UC'!C:C,C701,'Detalhe Por UC'!AD:AD,"&gt;"&amp;0))</f>
        <v>45658</v>
      </c>
      <c r="CA701" s="114">
        <f ca="1">IF(OR(S701&gt;0,AD701&gt;0),IFERROR(
SUMIFS(INDIRECT("'Infos Clientes'!$W"&amp;INDEX('Infos Clientes'!$C:$C,MATCH(C701,'Infos Clientes'!$H:$H,0))&amp;":$CZ"&amp;INDEX('Infos Clientes'!$C:$C,MATCH(C701,'Infos Clientes'!$H:$H,0))),'Infos Clientes'!$W$2:$CZ$2,"&gt;"&amp;$R701-365,'Infos Clientes'!$W$2:$CZ$2,"&lt;="&amp;$R701)/
COUNTIFS(INDIRECT("'Infos Clientes'!$W"&amp;INDEX('Infos Clientes'!$C:$C,MATCH(C701,'Infos Clientes'!$H:$H,0))&amp;":$CZ"&amp;INDEX('Infos Clientes'!$C:$C,MATCH(C701,'Infos Clientes'!$H:$H,0))),"&gt;="&amp;0,'Infos Clientes'!$W$2:$CZ$2,"&gt;"&amp;$R701-365,'Infos Clientes'!$W$2:$CZ$2,"&lt;="&amp;$R701),""),"")</f>
        <v>189.58333333333334</v>
      </c>
      <c r="CB701" s="87">
        <f>VLOOKUP(C701,'Infos Clientes'!B:L,11,0)</f>
        <v>0</v>
      </c>
      <c r="CC701" s="88" t="str">
        <f t="shared" si="415"/>
        <v>A Unidade Consumidora 10/3125732-2 economizou R$23,78 na fatura referente à jul/2025  consumindo 103 kWh em créditos de energia renovável conforme fatura de energia. A economia foi de 22,94% em relação ao que seria pago para a Energisa considerando os créditos consumidos. Atenção: Mantenha as contas da Energisa em dia para evitar cortes.</v>
      </c>
      <c r="CD701" s="40" t="s">
        <v>159</v>
      </c>
      <c r="CE701" s="43">
        <v>114.19</v>
      </c>
      <c r="CF701" s="115">
        <f t="shared" si="416"/>
        <v>0</v>
      </c>
    </row>
    <row r="702" spans="1:84" ht="16.2" hidden="1" customHeight="1" x14ac:dyDescent="0.3">
      <c r="A702" s="105" t="str">
        <f>INDEX('Infos Clientes'!$D:$D,MATCH('Detalhe Por UC'!C702,'Infos Clientes'!B:B,0))</f>
        <v>IGREJA DO EVANGELHO QUADRANGULAR</v>
      </c>
      <c r="B702" s="106" t="str">
        <f>INDEX('Infos Clientes'!$F:$F,MATCH('Detalhe Por UC'!C702,'Infos Clientes'!B:B,0))</f>
        <v>62.955.505/3358-51</v>
      </c>
      <c r="C702" s="31" t="s">
        <v>150</v>
      </c>
      <c r="D702" t="s">
        <v>351</v>
      </c>
      <c r="E702" s="1" t="s">
        <v>352</v>
      </c>
      <c r="F702" s="56" t="str">
        <f>INDEX('Infos Clientes'!$I:$I,MATCH('Detalhe Por UC'!C702,'Infos Clientes'!B:B,0))</f>
        <v>BT</v>
      </c>
      <c r="G702" s="56" t="str">
        <f>INDEX('Infos Clientes'!$J:$J,MATCH('Detalhe Por UC'!C702,'Infos Clientes'!B:B,0))</f>
        <v>trifasico</v>
      </c>
      <c r="H702" s="108" t="s">
        <v>138</v>
      </c>
      <c r="I702" s="58">
        <f>IFERROR(VLOOKUP(C702,'Infos Clientes'!B:E,4,),"")</f>
        <v>306</v>
      </c>
      <c r="J702" s="109">
        <v>0.22939999999999999</v>
      </c>
      <c r="K702" s="79">
        <f>INDEX('Resumo Operacional'!$A$1:$P$151,MATCH("Desconto percentual Ucs",'Resumo Operacional'!$B$1:$B$151,0),MATCH('Detalhe Por UC'!$R702,'Resumo Operacional'!$A$1:$P$1,0))</f>
        <v>0.25212408425707711</v>
      </c>
      <c r="L702" s="125">
        <v>0</v>
      </c>
      <c r="M702" s="56">
        <f>INDEX('Infos Clientes'!$N:$N,MATCH('Detalhe Por UC'!C702,'Infos Clientes'!B:B,0))</f>
        <v>0</v>
      </c>
      <c r="N702" s="56">
        <f t="shared" si="381"/>
        <v>0</v>
      </c>
      <c r="O702" s="56">
        <f t="shared" si="382"/>
        <v>10</v>
      </c>
      <c r="P702" s="56">
        <f t="shared" si="417"/>
        <v>0</v>
      </c>
      <c r="Q702" s="61">
        <f>IFERROR(IFERROR(INDEX('Infos Clientes'!$A$2:$V$9884,MATCH($C702,'Infos Clientes'!$B$2:$B$9884,0),MATCH(Q$8,'Infos Clientes'!$A$2:$V$2,0)),"")
+IF(OR(INDEX('Infos Clientes'!$A$2:$V$9884,MATCH($C702,'Infos Clientes'!$B$2:$B$9884,0),MATCH("Tempo de Fidelidade (meses)",'Infos Clientes'!$A$2:$V$2,0))=0,R702&gt;=MAX(R:R)),0,
ROUND((MAX(R:R)-R702)/(365/12),0)),"")</f>
        <v>0</v>
      </c>
      <c r="R702" s="111">
        <v>45839</v>
      </c>
      <c r="S702" s="63">
        <v>8.8000000000000005E-3</v>
      </c>
      <c r="T702" s="113" t="str">
        <f>IF($H702="GIROSSOL II",AP702/INDEX('Resumo Operacional'!$A$1:$P$1103,17,MATCH('Detalhe Por UC'!$R702,'Resumo Operacional'!$A$1:$P$1,0)),
IF($H702="GIROSSOL II e III",AP702/INDEX('Resumo Operacional'!$A$1:$P$1103,17,MATCH('Detalhe Por UC'!$R702,'Resumo Operacional'!$A$1:$P$1,0)),
""))</f>
        <v/>
      </c>
      <c r="U702" s="113">
        <f>IF($H702="GIROSSOL III",AP702/INDEX('Resumo Operacional'!$A$1:$P$1103,53,MATCH('Detalhe Por UC'!$R702,'Resumo Operacional'!$A$1:$P$1,0)),
IF($H702="GIROSSOL II e III",AP702/INDEX('Resumo Operacional'!$A$1:$P$1103,53,MATCH('Detalhe Por UC'!$R702,'Resumo Operacional'!$A$1:$P$1,0)),
""))</f>
        <v>1.643984757757213E-2</v>
      </c>
      <c r="V702" s="45"/>
      <c r="X702">
        <v>1.1630352941176472</v>
      </c>
      <c r="Y702">
        <v>0</v>
      </c>
      <c r="Z702" s="18">
        <v>1.0061241830065362</v>
      </c>
      <c r="AA702">
        <v>0</v>
      </c>
      <c r="AB702" s="18">
        <v>175</v>
      </c>
      <c r="AC702">
        <v>0</v>
      </c>
      <c r="AD702" s="143">
        <v>90</v>
      </c>
      <c r="AE702" s="35"/>
      <c r="AF702" s="18">
        <v>61</v>
      </c>
      <c r="AG702">
        <v>0</v>
      </c>
      <c r="AH702" s="48">
        <v>3.25</v>
      </c>
      <c r="AI702">
        <v>0</v>
      </c>
      <c r="AJ702">
        <v>0</v>
      </c>
      <c r="AN702" s="71">
        <f t="shared" si="383"/>
        <v>61</v>
      </c>
      <c r="AO702" s="71">
        <f t="shared" si="384"/>
        <v>0</v>
      </c>
      <c r="AP702" s="71">
        <f t="shared" si="385"/>
        <v>151</v>
      </c>
      <c r="AQ702" s="72">
        <f>IF(OR($H702="GIROSSOL II",$H702="GIROSSOL II e III"),INDEX('Resumo Operacional'!$A$1:$P$1103,MATCH("Energia Injetada prevista total Fatura da Usina (TUSD)",'Resumo Operacional'!$B$1:$B$1103,0),MATCH('Detalhe Por UC'!$R702,'Resumo Operacional'!$A$1:$P$1,0))*$S702,INDEX('Resumo Operacional'!$A$1:$P$1103,53,MATCH('Detalhe Por UC'!$R702,'Resumo Operacional'!$A$1:$P$1,0))*$S702)</f>
        <v>80.828000000000003</v>
      </c>
      <c r="AR702" s="71">
        <f t="shared" si="386"/>
        <v>70.171999999999997</v>
      </c>
      <c r="AS702" s="73">
        <f t="shared" si="387"/>
        <v>116.23</v>
      </c>
      <c r="AT702" s="74">
        <f t="shared" si="388"/>
        <v>116.23</v>
      </c>
      <c r="AU702" s="74">
        <f t="shared" si="389"/>
        <v>0.84921307189542516</v>
      </c>
      <c r="AV702" s="74">
        <f t="shared" si="390"/>
        <v>69.778736588235304</v>
      </c>
      <c r="AW702" s="74">
        <f t="shared" si="391"/>
        <v>1</v>
      </c>
      <c r="AX702" s="74">
        <f t="shared" si="392"/>
        <v>91.55117647058826</v>
      </c>
      <c r="AY702" s="74">
        <f t="shared" si="393"/>
        <v>70.78</v>
      </c>
      <c r="AZ702" s="43">
        <v>70.78</v>
      </c>
      <c r="BA702" s="43">
        <v>70.78</v>
      </c>
      <c r="BB702" s="49">
        <v>91.55</v>
      </c>
      <c r="BC702" s="73">
        <f t="shared" si="394"/>
        <v>20.769999999999996</v>
      </c>
      <c r="BD702" s="73">
        <f t="shared" si="395"/>
        <v>206.78117647058826</v>
      </c>
      <c r="BE702" s="73">
        <f t="shared" si="396"/>
        <v>186.00873658823531</v>
      </c>
      <c r="BF702" s="77">
        <f t="shared" si="397"/>
        <v>20.77</v>
      </c>
      <c r="BG702" s="77">
        <f t="shared" si="398"/>
        <v>6.2309999999999999</v>
      </c>
      <c r="BH702" s="77">
        <f t="shared" si="399"/>
        <v>90.55117647058826</v>
      </c>
      <c r="BI702" s="78">
        <f t="shared" si="400"/>
        <v>0.23</v>
      </c>
      <c r="BJ702" s="79">
        <f t="shared" si="401"/>
        <v>0.10044434582735939</v>
      </c>
      <c r="BK702" s="80">
        <f t="shared" si="402"/>
        <v>187.01</v>
      </c>
      <c r="BL702" s="80">
        <f t="shared" si="403"/>
        <v>19.771176470588273</v>
      </c>
      <c r="BM702" s="79">
        <f t="shared" si="404"/>
        <v>9.5614005143260447E-2</v>
      </c>
      <c r="BN702" s="81">
        <f t="shared" si="405"/>
        <v>0.7864444444444445</v>
      </c>
      <c r="BO702" s="82">
        <f t="shared" si="406"/>
        <v>70.78</v>
      </c>
      <c r="BP702" s="81">
        <f t="shared" si="407"/>
        <v>0.7864444444444445</v>
      </c>
      <c r="BQ702" s="81">
        <f t="shared" si="408"/>
        <v>0.9433555555555555</v>
      </c>
      <c r="BR702" s="81">
        <f t="shared" si="409"/>
        <v>1.1630352941176472</v>
      </c>
      <c r="BS702" s="82">
        <f t="shared" si="410"/>
        <v>90</v>
      </c>
      <c r="BT702" s="82">
        <f t="shared" si="411"/>
        <v>104.67317647058825</v>
      </c>
      <c r="BU702" s="82">
        <f t="shared" si="412"/>
        <v>90.55117647058826</v>
      </c>
      <c r="BW702" s="82">
        <f>IFERROR(INDEX('Infos Clientes'!$T:$T,MATCH('Detalhe Por UC'!$C702,'Infos Clientes'!B:B,0)),"")</f>
        <v>209.54545454545453</v>
      </c>
      <c r="BX702" s="83">
        <f t="shared" si="413"/>
        <v>0</v>
      </c>
      <c r="BY702" s="84">
        <f t="shared" si="414"/>
        <v>0.18888484268119718</v>
      </c>
      <c r="BZ702" s="85">
        <f>IF(_xlfn.MINIFS('Detalhe Por UC'!R:R,'Detalhe Por UC'!C:C,C702,'Detalhe Por UC'!AD:AD,"&gt;"&amp;0)=0,"",_xlfn.MINIFS('Detalhe Por UC'!R:R,'Detalhe Por UC'!C:C,C702,'Detalhe Por UC'!AD:AD,"&gt;"&amp;0))</f>
        <v>45658</v>
      </c>
      <c r="CA702" s="114">
        <f ca="1">IF(OR(S702&gt;0,AD702&gt;0),IFERROR(
SUMIFS(INDIRECT("'Infos Clientes'!$W"&amp;INDEX('Infos Clientes'!$C:$C,MATCH(C702,'Infos Clientes'!$H:$H,0))&amp;":$CZ"&amp;INDEX('Infos Clientes'!$C:$C,MATCH(C702,'Infos Clientes'!$H:$H,0))),'Infos Clientes'!$W$2:$CZ$2,"&gt;"&amp;$R702-365,'Infos Clientes'!$W$2:$CZ$2,"&lt;="&amp;$R702)/
COUNTIFS(INDIRECT("'Infos Clientes'!$W"&amp;INDEX('Infos Clientes'!$C:$C,MATCH(C702,'Infos Clientes'!$H:$H,0))&amp;":$CZ"&amp;INDEX('Infos Clientes'!$C:$C,MATCH(C702,'Infos Clientes'!$H:$H,0))),"&gt;="&amp;0,'Infos Clientes'!$W$2:$CZ$2,"&gt;"&amp;$R702-365,'Infos Clientes'!$W$2:$CZ$2,"&lt;="&amp;$R702),""),"")</f>
        <v>219.5</v>
      </c>
      <c r="CB702" s="87">
        <f>VLOOKUP(C702,'Infos Clientes'!B:L,11,0)</f>
        <v>0</v>
      </c>
      <c r="CC702" s="88" t="str">
        <f t="shared" si="415"/>
        <v>A Unidade Consumidora 10/1288241-1 economizou R$20,77 na fatura referente à jul/2025  consumindo 90 kWh em créditos de energia renovável conforme fatura de energia. A economia foi de 22,94% em relação ao que seria pago para a Energisa considerando os créditos consumidos. Atenção: Mantenha as contas da Energisa em dia para evitar cortes.</v>
      </c>
      <c r="CD702" s="40" t="s">
        <v>143</v>
      </c>
      <c r="CE702" s="43">
        <v>116.23</v>
      </c>
      <c r="CF702" s="115">
        <f t="shared" si="416"/>
        <v>0</v>
      </c>
    </row>
    <row r="703" spans="1:84" ht="16.2" hidden="1" customHeight="1" x14ac:dyDescent="0.3">
      <c r="A703" s="105" t="str">
        <f>INDEX('Infos Clientes'!$D:$D,MATCH('Detalhe Por UC'!C703,'Infos Clientes'!B:B,0))</f>
        <v>IGREJA DO EVANGELHO QUADRANGULAR</v>
      </c>
      <c r="B703" s="106" t="str">
        <f>INDEX('Infos Clientes'!$F:$F,MATCH('Detalhe Por UC'!C703,'Infos Clientes'!B:B,0))</f>
        <v>62.955.505/0160-80</v>
      </c>
      <c r="C703" s="107" t="s">
        <v>190</v>
      </c>
      <c r="D703" t="s">
        <v>351</v>
      </c>
      <c r="E703" s="1" t="s">
        <v>352</v>
      </c>
      <c r="F703" s="56" t="str">
        <f>INDEX('Infos Clientes'!$I:$I,MATCH('Detalhe Por UC'!C703,'Infos Clientes'!B:B,0))</f>
        <v>BT</v>
      </c>
      <c r="G703" s="56" t="str">
        <f>INDEX('Infos Clientes'!$J:$J,MATCH('Detalhe Por UC'!C703,'Infos Clientes'!B:B,0))</f>
        <v>bifasico</v>
      </c>
      <c r="H703" s="108" t="s">
        <v>138</v>
      </c>
      <c r="I703" s="58">
        <f>IFERROR(VLOOKUP(C703,'Infos Clientes'!B:E,4,),"")</f>
        <v>357</v>
      </c>
      <c r="J703" s="109">
        <v>0.22939999999999999</v>
      </c>
      <c r="K703" s="79">
        <f>INDEX('Resumo Operacional'!$A$1:$P$151,MATCH("Desconto percentual Ucs",'Resumo Operacional'!$B$1:$B$151,0),MATCH('Detalhe Por UC'!$R703,'Resumo Operacional'!$A$1:$P$1,0))</f>
        <v>0.25212408425707711</v>
      </c>
      <c r="L703" s="125">
        <v>0</v>
      </c>
      <c r="M703" s="56">
        <f>INDEX('Infos Clientes'!$N:$N,MATCH('Detalhe Por UC'!C703,'Infos Clientes'!B:B,0))</f>
        <v>0</v>
      </c>
      <c r="N703" s="56">
        <f t="shared" si="381"/>
        <v>0</v>
      </c>
      <c r="O703" s="56">
        <f t="shared" si="382"/>
        <v>3</v>
      </c>
      <c r="P703" s="56">
        <f t="shared" si="417"/>
        <v>0</v>
      </c>
      <c r="Q703" s="61">
        <f>IFERROR(IFERROR(INDEX('Infos Clientes'!$A$2:$V$9884,MATCH($C703,'Infos Clientes'!$B$2:$B$9884,0),MATCH(Q$8,'Infos Clientes'!$A$2:$V$2,0)),"")
+IF(OR(INDEX('Infos Clientes'!$A$2:$V$9884,MATCH($C703,'Infos Clientes'!$B$2:$B$9884,0),MATCH("Tempo de Fidelidade (meses)",'Infos Clientes'!$A$2:$V$2,0))=0,R703&gt;=MAX(R:R)),0,
ROUND((MAX(R:R)-R703)/(365/12),0)),"")</f>
        <v>0</v>
      </c>
      <c r="R703" s="111">
        <v>45839</v>
      </c>
      <c r="S703" s="63">
        <v>8.2000000000000007E-3</v>
      </c>
      <c r="T703" s="113" t="str">
        <f>IF($H703="GIROSSOL II",AP703/INDEX('Resumo Operacional'!$A$1:$P$1103,17,MATCH('Detalhe Por UC'!$R703,'Resumo Operacional'!$A$1:$P$1,0)),
IF($H703="GIROSSOL II e III",AP703/INDEX('Resumo Operacional'!$A$1:$P$1103,17,MATCH('Detalhe Por UC'!$R703,'Resumo Operacional'!$A$1:$P$1,0)),
""))</f>
        <v/>
      </c>
      <c r="U703" s="113">
        <f>IF($H703="GIROSSOL III",AP703/INDEX('Resumo Operacional'!$A$1:$P$1103,53,MATCH('Detalhe Por UC'!$R703,'Resumo Operacional'!$A$1:$P$1,0)),
IF($H703="GIROSSOL II e III",AP703/INDEX('Resumo Operacional'!$A$1:$P$1103,53,MATCH('Detalhe Por UC'!$R703,'Resumo Operacional'!$A$1:$P$1,0)),
""))</f>
        <v>0</v>
      </c>
      <c r="V703" s="45"/>
      <c r="Z703" s="18"/>
      <c r="AB703" s="18"/>
      <c r="AD703" s="143"/>
      <c r="AE703" s="35"/>
      <c r="AF703" s="18"/>
      <c r="AH703" s="48"/>
      <c r="AN703" s="71" t="str">
        <f t="shared" si="383"/>
        <v/>
      </c>
      <c r="AO703" s="71" t="str">
        <f t="shared" si="384"/>
        <v/>
      </c>
      <c r="AP703" s="71">
        <f t="shared" si="385"/>
        <v>0</v>
      </c>
      <c r="AQ703" s="72">
        <f>IF(OR($H703="GIROSSOL II",$H703="GIROSSOL II e III"),INDEX('Resumo Operacional'!$A$1:$P$1103,MATCH("Energia Injetada prevista total Fatura da Usina (TUSD)",'Resumo Operacional'!$B$1:$B$1103,0),MATCH('Detalhe Por UC'!$R703,'Resumo Operacional'!$A$1:$P$1,0))*$S703,INDEX('Resumo Operacional'!$A$1:$P$1103,53,MATCH('Detalhe Por UC'!$R703,'Resumo Operacional'!$A$1:$P$1,0))*$S703)</f>
        <v>75.317000000000007</v>
      </c>
      <c r="AR703" s="71" t="str">
        <f t="shared" si="386"/>
        <v/>
      </c>
      <c r="AS703" s="73">
        <f t="shared" si="387"/>
        <v>0</v>
      </c>
      <c r="AT703" s="74">
        <f t="shared" si="388"/>
        <v>0</v>
      </c>
      <c r="AU703" s="74" t="str">
        <f t="shared" si="389"/>
        <v/>
      </c>
      <c r="AV703" s="74">
        <f t="shared" si="390"/>
        <v>0</v>
      </c>
      <c r="AW703" s="74">
        <f t="shared" si="391"/>
        <v>0</v>
      </c>
      <c r="AX703" s="74">
        <f t="shared" si="392"/>
        <v>0</v>
      </c>
      <c r="AY703" s="74" t="str">
        <f t="shared" si="393"/>
        <v/>
      </c>
      <c r="AZ703" s="43" t="s">
        <v>354</v>
      </c>
      <c r="BA703" s="43">
        <v>0</v>
      </c>
      <c r="BC703" s="73" t="str">
        <f t="shared" si="394"/>
        <v/>
      </c>
      <c r="BD703" s="73">
        <f t="shared" si="395"/>
        <v>0</v>
      </c>
      <c r="BE703" s="73">
        <f t="shared" si="396"/>
        <v>0</v>
      </c>
      <c r="BF703" s="77">
        <f t="shared" si="397"/>
        <v>0</v>
      </c>
      <c r="BG703" s="77">
        <f t="shared" si="398"/>
        <v>0</v>
      </c>
      <c r="BH703" s="77">
        <f t="shared" si="399"/>
        <v>0</v>
      </c>
      <c r="BI703" s="78" t="str">
        <f t="shared" si="400"/>
        <v/>
      </c>
      <c r="BJ703" s="79" t="str">
        <f t="shared" si="401"/>
        <v/>
      </c>
      <c r="BK703" s="80" t="str">
        <f t="shared" si="402"/>
        <v/>
      </c>
      <c r="BL703" s="80" t="str">
        <f t="shared" si="403"/>
        <v/>
      </c>
      <c r="BM703" s="79" t="str">
        <f t="shared" si="404"/>
        <v/>
      </c>
      <c r="BN703" s="81" t="str">
        <f t="shared" si="405"/>
        <v/>
      </c>
      <c r="BO703" s="82" t="str">
        <f t="shared" si="406"/>
        <v/>
      </c>
      <c r="BP703" s="81" t="str">
        <f t="shared" si="407"/>
        <v/>
      </c>
      <c r="BQ703" s="81" t="str">
        <f t="shared" si="408"/>
        <v/>
      </c>
      <c r="BR703" s="81" t="str">
        <f t="shared" si="409"/>
        <v/>
      </c>
      <c r="BS703" s="82">
        <f t="shared" si="410"/>
        <v>0</v>
      </c>
      <c r="BT703" s="82" t="str">
        <f t="shared" si="411"/>
        <v/>
      </c>
      <c r="BU703" s="82">
        <f t="shared" si="412"/>
        <v>0</v>
      </c>
      <c r="BW703" s="82">
        <f>IFERROR(INDEX('Infos Clientes'!$T:$T,MATCH('Detalhe Por UC'!$C703,'Infos Clientes'!B:B,0)),"")</f>
        <v>167.54545454545453</v>
      </c>
      <c r="BX703" s="83">
        <f t="shared" si="413"/>
        <v>0</v>
      </c>
      <c r="BY703" s="84" t="str">
        <f t="shared" si="414"/>
        <v/>
      </c>
      <c r="BZ703" s="85">
        <f>IF(_xlfn.MINIFS('Detalhe Por UC'!R:R,'Detalhe Por UC'!C:C,C703,'Detalhe Por UC'!AD:AD,"&gt;"&amp;0)=0,"",_xlfn.MINIFS('Detalhe Por UC'!R:R,'Detalhe Por UC'!C:C,C703,'Detalhe Por UC'!AD:AD,"&gt;"&amp;0))</f>
        <v>45658</v>
      </c>
      <c r="CA703" s="114">
        <f ca="1">IF(OR(S703&gt;0,AD703&gt;0),IFERROR(
SUMIFS(INDIRECT("'Infos Clientes'!$W"&amp;INDEX('Infos Clientes'!$C:$C,MATCH(C703,'Infos Clientes'!$H:$H,0))&amp;":$CZ"&amp;INDEX('Infos Clientes'!$C:$C,MATCH(C703,'Infos Clientes'!$H:$H,0))),'Infos Clientes'!$W$2:$CZ$2,"&gt;"&amp;$R703-365,'Infos Clientes'!$W$2:$CZ$2,"&lt;="&amp;$R703)/
COUNTIFS(INDIRECT("'Infos Clientes'!$W"&amp;INDEX('Infos Clientes'!$C:$C,MATCH(C703,'Infos Clientes'!$H:$H,0))&amp;":$CZ"&amp;INDEX('Infos Clientes'!$C:$C,MATCH(C703,'Infos Clientes'!$H:$H,0))),"&gt;="&amp;0,'Infos Clientes'!$W$2:$CZ$2,"&gt;"&amp;$R703-365,'Infos Clientes'!$W$2:$CZ$2,"&lt;="&amp;$R703),""),"")</f>
        <v>381.33333333333331</v>
      </c>
      <c r="CB703" s="87">
        <f>VLOOKUP(C703,'Infos Clientes'!B:L,11,0)</f>
        <v>0</v>
      </c>
      <c r="CC703" s="88" t="str">
        <f t="shared" si="415"/>
        <v>A Unidade Consumidora 10/31292-6 economizou R$0 na fatura referente à jul/2025  consumindo  kWh em créditos de energia renovável conforme fatura de energia. A economia foi de 22,94% em relação ao que seria pago para a Energisa considerando os créditos consumidos. Atenção: Mantenha as contas da Energisa em dia para evitar cortes.</v>
      </c>
      <c r="CD703" s="40" t="s">
        <v>191</v>
      </c>
      <c r="CE703" s="43" t="e">
        <v>#N/A</v>
      </c>
      <c r="CF703" s="115" t="e">
        <f t="shared" si="416"/>
        <v>#N/A</v>
      </c>
    </row>
    <row r="704" spans="1:84" ht="16.2" hidden="1" customHeight="1" x14ac:dyDescent="0.3">
      <c r="A704" s="105" t="str">
        <f>INDEX('Infos Clientes'!$D:$D,MATCH('Detalhe Por UC'!C704,'Infos Clientes'!B:B,0))</f>
        <v>IGREJA DO EVANGELHO QUADRANGULAR</v>
      </c>
      <c r="B704" s="106" t="str">
        <f>INDEX('Infos Clientes'!$F:$F,MATCH('Detalhe Por UC'!C704,'Infos Clientes'!B:B,0))</f>
        <v>62.955.505/8979-30</v>
      </c>
      <c r="C704" s="31" t="s">
        <v>238</v>
      </c>
      <c r="D704" t="s">
        <v>351</v>
      </c>
      <c r="E704" s="1" t="s">
        <v>352</v>
      </c>
      <c r="F704" s="56" t="str">
        <f>INDEX('Infos Clientes'!$I:$I,MATCH('Detalhe Por UC'!C704,'Infos Clientes'!B:B,0))</f>
        <v>BT</v>
      </c>
      <c r="G704" s="56" t="str">
        <f>INDEX('Infos Clientes'!$J:$J,MATCH('Detalhe Por UC'!C704,'Infos Clientes'!B:B,0))</f>
        <v>bifasico</v>
      </c>
      <c r="H704" s="108" t="s">
        <v>138</v>
      </c>
      <c r="I704" s="58">
        <f>IFERROR(VLOOKUP(C704,'Infos Clientes'!B:E,4,),"")</f>
        <v>360</v>
      </c>
      <c r="J704" s="109">
        <v>0.22939999999999999</v>
      </c>
      <c r="K704" s="79">
        <f>INDEX('Resumo Operacional'!$A$1:$P$151,MATCH("Desconto percentual Ucs",'Resumo Operacional'!$B$1:$B$151,0),MATCH('Detalhe Por UC'!$R704,'Resumo Operacional'!$A$1:$P$1,0))</f>
        <v>0.25212408425707711</v>
      </c>
      <c r="L704" s="125">
        <v>0</v>
      </c>
      <c r="M704" s="56">
        <f>INDEX('Infos Clientes'!$N:$N,MATCH('Detalhe Por UC'!C704,'Infos Clientes'!B:B,0))</f>
        <v>0</v>
      </c>
      <c r="N704" s="56">
        <f t="shared" si="381"/>
        <v>0</v>
      </c>
      <c r="O704" s="56">
        <f t="shared" si="382"/>
        <v>10</v>
      </c>
      <c r="P704" s="56">
        <f t="shared" si="417"/>
        <v>0</v>
      </c>
      <c r="Q704" s="61">
        <f>IFERROR(IFERROR(INDEX('Infos Clientes'!$A$2:$V$9884,MATCH($C704,'Infos Clientes'!$B$2:$B$9884,0),MATCH(Q$8,'Infos Clientes'!$A$2:$V$2,0)),"")
+IF(OR(INDEX('Infos Clientes'!$A$2:$V$9884,MATCH($C704,'Infos Clientes'!$B$2:$B$9884,0),MATCH("Tempo de Fidelidade (meses)",'Infos Clientes'!$A$2:$V$2,0))=0,R704&gt;=MAX(R:R)),0,
ROUND((MAX(R:R)-R704)/(365/12),0)),"")</f>
        <v>0</v>
      </c>
      <c r="R704" s="111">
        <v>45839</v>
      </c>
      <c r="S704" s="63">
        <v>6.4999999999999997E-3</v>
      </c>
      <c r="T704" s="113" t="str">
        <f>IF($H704="GIROSSOL II",AP704/INDEX('Resumo Operacional'!$A$1:$P$1103,17,MATCH('Detalhe Por UC'!$R704,'Resumo Operacional'!$A$1:$P$1,0)),
IF($H704="GIROSSOL II e III",AP704/INDEX('Resumo Operacional'!$A$1:$P$1103,17,MATCH('Detalhe Por UC'!$R704,'Resumo Operacional'!$A$1:$P$1,0)),
""))</f>
        <v/>
      </c>
      <c r="U704" s="113">
        <f>IF($H704="GIROSSOL III",AP704/INDEX('Resumo Operacional'!$A$1:$P$1103,53,MATCH('Detalhe Por UC'!$R704,'Resumo Operacional'!$A$1:$P$1,0)),
IF($H704="GIROSSOL II e III",AP704/INDEX('Resumo Operacional'!$A$1:$P$1103,53,MATCH('Detalhe Por UC'!$R704,'Resumo Operacional'!$A$1:$P$1,0)),
""))</f>
        <v>1.2193794229722374E-2</v>
      </c>
      <c r="V704" s="45"/>
      <c r="X704">
        <v>1.1630226244343891</v>
      </c>
      <c r="Y704">
        <v>0</v>
      </c>
      <c r="Z704" s="18">
        <v>1.0060723039215684</v>
      </c>
      <c r="AA704">
        <v>0</v>
      </c>
      <c r="AB704" s="18">
        <v>130</v>
      </c>
      <c r="AC704">
        <v>0</v>
      </c>
      <c r="AD704" s="143">
        <v>96</v>
      </c>
      <c r="AE704" s="35"/>
      <c r="AF704" s="18">
        <v>16</v>
      </c>
      <c r="AG704">
        <v>0</v>
      </c>
      <c r="AH704" s="48">
        <v>7.39</v>
      </c>
      <c r="AI704">
        <v>0</v>
      </c>
      <c r="AJ704">
        <v>0</v>
      </c>
      <c r="AN704" s="71">
        <f t="shared" si="383"/>
        <v>16</v>
      </c>
      <c r="AO704" s="71">
        <f t="shared" si="384"/>
        <v>0</v>
      </c>
      <c r="AP704" s="71">
        <f t="shared" si="385"/>
        <v>112</v>
      </c>
      <c r="AQ704" s="72">
        <f>IF(OR($H704="GIROSSOL II",$H704="GIROSSOL II e III"),INDEX('Resumo Operacional'!$A$1:$P$1103,MATCH("Energia Injetada prevista total Fatura da Usina (TUSD)",'Resumo Operacional'!$B$1:$B$1103,0),MATCH('Detalhe Por UC'!$R704,'Resumo Operacional'!$A$1:$P$1,0))*$S704,INDEX('Resumo Operacional'!$A$1:$P$1103,53,MATCH('Detalhe Por UC'!$R704,'Resumo Operacional'!$A$1:$P$1,0))*$S704)</f>
        <v>59.702500000000001</v>
      </c>
      <c r="AR704" s="71">
        <f t="shared" si="386"/>
        <v>52.297499999999999</v>
      </c>
      <c r="AS704" s="73">
        <f t="shared" si="387"/>
        <v>62.000000000000014</v>
      </c>
      <c r="AT704" s="74">
        <f t="shared" si="388"/>
        <v>62.000000000000014</v>
      </c>
      <c r="AU704" s="74">
        <f t="shared" si="389"/>
        <v>0.84912198340874778</v>
      </c>
      <c r="AV704" s="74">
        <f t="shared" si="390"/>
        <v>74.426814470588212</v>
      </c>
      <c r="AW704" s="74">
        <f t="shared" si="391"/>
        <v>0</v>
      </c>
      <c r="AX704" s="74">
        <f t="shared" si="392"/>
        <v>96.58294117647057</v>
      </c>
      <c r="AY704" s="74">
        <f t="shared" si="393"/>
        <v>74.430000000000007</v>
      </c>
      <c r="AZ704" s="43">
        <v>74.430000000000007</v>
      </c>
      <c r="BA704" s="43">
        <v>74.430000000000007</v>
      </c>
      <c r="BB704" s="49">
        <v>74.430000000000007</v>
      </c>
      <c r="BC704" s="73" t="str">
        <f t="shared" si="394"/>
        <v/>
      </c>
      <c r="BD704" s="73">
        <f t="shared" si="395"/>
        <v>158.58294117647057</v>
      </c>
      <c r="BE704" s="73">
        <f t="shared" si="396"/>
        <v>136.42681447058823</v>
      </c>
      <c r="BF704" s="77">
        <f t="shared" si="397"/>
        <v>22.16</v>
      </c>
      <c r="BG704" s="77">
        <f t="shared" si="398"/>
        <v>6.6479999999999997</v>
      </c>
      <c r="BH704" s="77">
        <f t="shared" si="399"/>
        <v>96.58294117647057</v>
      </c>
      <c r="BI704" s="78">
        <f t="shared" si="400"/>
        <v>0.23</v>
      </c>
      <c r="BJ704" s="79">
        <f t="shared" si="401"/>
        <v>0.13973760251640449</v>
      </c>
      <c r="BK704" s="80">
        <f t="shared" si="402"/>
        <v>136.43</v>
      </c>
      <c r="BL704" s="80">
        <f t="shared" si="403"/>
        <v>22.152941176470563</v>
      </c>
      <c r="BM704" s="79">
        <f t="shared" si="404"/>
        <v>0.13969309064471722</v>
      </c>
      <c r="BN704" s="81">
        <f t="shared" si="405"/>
        <v>0.77531250000000007</v>
      </c>
      <c r="BO704" s="82">
        <f t="shared" si="406"/>
        <v>74.430000000000007</v>
      </c>
      <c r="BP704" s="81">
        <f t="shared" si="407"/>
        <v>0.77531250000000007</v>
      </c>
      <c r="BQ704" s="81">
        <f t="shared" si="408"/>
        <v>0.93226282051282072</v>
      </c>
      <c r="BR704" s="81">
        <f t="shared" si="409"/>
        <v>1.1630226244343891</v>
      </c>
      <c r="BS704" s="82">
        <f t="shared" si="410"/>
        <v>96</v>
      </c>
      <c r="BT704" s="82">
        <f t="shared" si="411"/>
        <v>111.65017194570135</v>
      </c>
      <c r="BU704" s="82">
        <f t="shared" si="412"/>
        <v>96.58294117647057</v>
      </c>
      <c r="BW704" s="82">
        <f>IFERROR(INDEX('Infos Clientes'!$T:$T,MATCH('Detalhe Por UC'!$C704,'Infos Clientes'!B:B,0)),"")</f>
        <v>162.36363636363637</v>
      </c>
      <c r="BX704" s="83">
        <f t="shared" si="413"/>
        <v>0</v>
      </c>
      <c r="BY704" s="84">
        <f t="shared" si="414"/>
        <v>0.19841385633731193</v>
      </c>
      <c r="BZ704" s="85">
        <f>IF(_xlfn.MINIFS('Detalhe Por UC'!R:R,'Detalhe Por UC'!C:C,C704,'Detalhe Por UC'!AD:AD,"&gt;"&amp;0)=0,"",_xlfn.MINIFS('Detalhe Por UC'!R:R,'Detalhe Por UC'!C:C,C704,'Detalhe Por UC'!AD:AD,"&gt;"&amp;0))</f>
        <v>45658</v>
      </c>
      <c r="CA704" s="114">
        <f ca="1">IF(OR(S704&gt;0,AD704&gt;0),IFERROR(
SUMIFS(INDIRECT("'Infos Clientes'!$W"&amp;INDEX('Infos Clientes'!$C:$C,MATCH(C704,'Infos Clientes'!$H:$H,0))&amp;":$CZ"&amp;INDEX('Infos Clientes'!$C:$C,MATCH(C704,'Infos Clientes'!$H:$H,0))),'Infos Clientes'!$W$2:$CZ$2,"&gt;"&amp;$R704-365,'Infos Clientes'!$W$2:$CZ$2,"&lt;="&amp;$R704)/
COUNTIFS(INDIRECT("'Infos Clientes'!$W"&amp;INDEX('Infos Clientes'!$C:$C,MATCH(C704,'Infos Clientes'!$H:$H,0))&amp;":$CZ"&amp;INDEX('Infos Clientes'!$C:$C,MATCH(C704,'Infos Clientes'!$H:$H,0))),"&gt;="&amp;0,'Infos Clientes'!$W$2:$CZ$2,"&gt;"&amp;$R704-365,'Infos Clientes'!$W$2:$CZ$2,"&lt;="&amp;$R704),""),"")</f>
        <v>141.08333333333334</v>
      </c>
      <c r="CB704" s="87">
        <f>VLOOKUP(C704,'Infos Clientes'!B:L,11,0)</f>
        <v>0</v>
      </c>
      <c r="CC704" s="88" t="str">
        <f t="shared" si="415"/>
        <v>A Unidade Consumidora 10/952579-1 economizou R$22,16 na fatura referente à jul/2025  consumindo 96 kWh em créditos de energia renovável conforme fatura de energia. A economia foi de 22,94% em relação ao que seria pago para a Energisa considerando os créditos consumidos. Atenção: Mantenha as contas da Energisa em dia para evitar cortes.</v>
      </c>
      <c r="CD704" s="40" t="s">
        <v>149</v>
      </c>
      <c r="CE704" s="43">
        <v>62</v>
      </c>
      <c r="CF704" s="115">
        <f t="shared" si="416"/>
        <v>0</v>
      </c>
    </row>
    <row r="705" spans="1:84" ht="16.2" hidden="1" customHeight="1" x14ac:dyDescent="0.3">
      <c r="A705" s="105" t="str">
        <f>INDEX('Infos Clientes'!$D:$D,MATCH('Detalhe Por UC'!C705,'Infos Clientes'!B:B,0))</f>
        <v>IGREJA DO EVANGELHO QUADRANGULAR</v>
      </c>
      <c r="B705" s="106" t="str">
        <f>INDEX('Infos Clientes'!$F:$F,MATCH('Detalhe Por UC'!C705,'Infos Clientes'!B:B,0))</f>
        <v>62.955.505/3671-17</v>
      </c>
      <c r="C705" s="31" t="s">
        <v>217</v>
      </c>
      <c r="D705" t="s">
        <v>351</v>
      </c>
      <c r="E705" s="1" t="s">
        <v>352</v>
      </c>
      <c r="F705" s="56" t="str">
        <f>INDEX('Infos Clientes'!$I:$I,MATCH('Detalhe Por UC'!C705,'Infos Clientes'!B:B,0))</f>
        <v>BT</v>
      </c>
      <c r="G705" s="56" t="str">
        <f>INDEX('Infos Clientes'!$J:$J,MATCH('Detalhe Por UC'!C705,'Infos Clientes'!B:B,0))</f>
        <v>bifasico</v>
      </c>
      <c r="H705" s="108" t="s">
        <v>138</v>
      </c>
      <c r="I705" s="58">
        <f>IFERROR(VLOOKUP(C705,'Infos Clientes'!B:E,4,),"")</f>
        <v>362</v>
      </c>
      <c r="J705" s="109">
        <v>0.22939999999999999</v>
      </c>
      <c r="K705" s="79">
        <f>INDEX('Resumo Operacional'!$A$1:$P$151,MATCH("Desconto percentual Ucs",'Resumo Operacional'!$B$1:$B$151,0),MATCH('Detalhe Por UC'!$R705,'Resumo Operacional'!$A$1:$P$1,0))</f>
        <v>0.25212408425707711</v>
      </c>
      <c r="L705" s="125">
        <v>0</v>
      </c>
      <c r="M705" s="56">
        <f>INDEX('Infos Clientes'!$N:$N,MATCH('Detalhe Por UC'!C705,'Infos Clientes'!B:B,0))</f>
        <v>0</v>
      </c>
      <c r="N705" s="56">
        <f t="shared" si="381"/>
        <v>0</v>
      </c>
      <c r="O705" s="56">
        <f t="shared" si="382"/>
        <v>8</v>
      </c>
      <c r="P705" s="56">
        <f t="shared" si="417"/>
        <v>0</v>
      </c>
      <c r="Q705" s="61">
        <f>IFERROR(IFERROR(INDEX('Infos Clientes'!$A$2:$V$9884,MATCH($C705,'Infos Clientes'!$B$2:$B$9884,0),MATCH(Q$8,'Infos Clientes'!$A$2:$V$2,0)),"")
+IF(OR(INDEX('Infos Clientes'!$A$2:$V$9884,MATCH($C705,'Infos Clientes'!$B$2:$B$9884,0),MATCH("Tempo de Fidelidade (meses)",'Infos Clientes'!$A$2:$V$2,0))=0,R705&gt;=MAX(R:R)),0,
ROUND((MAX(R:R)-R705)/(365/12),0)),"")</f>
        <v>0</v>
      </c>
      <c r="R705" s="111">
        <v>45839</v>
      </c>
      <c r="S705" s="63">
        <v>6.4999999999999997E-3</v>
      </c>
      <c r="T705" s="113" t="str">
        <f>IF($H705="GIROSSOL II",AP705/INDEX('Resumo Operacional'!$A$1:$P$1103,17,MATCH('Detalhe Por UC'!$R705,'Resumo Operacional'!$A$1:$P$1,0)),
IF($H705="GIROSSOL II e III",AP705/INDEX('Resumo Operacional'!$A$1:$P$1103,17,MATCH('Detalhe Por UC'!$R705,'Resumo Operacional'!$A$1:$P$1,0)),
""))</f>
        <v/>
      </c>
      <c r="U705" s="113">
        <f>IF($H705="GIROSSOL III",AP705/INDEX('Resumo Operacional'!$A$1:$P$1103,53,MATCH('Detalhe Por UC'!$R705,'Resumo Operacional'!$A$1:$P$1,0)),
IF($H705="GIROSSOL II e III",AP705/INDEX('Resumo Operacional'!$A$1:$P$1103,53,MATCH('Detalhe Por UC'!$R705,'Resumo Operacional'!$A$1:$P$1,0)),
""))</f>
        <v>1.2193794229722374E-2</v>
      </c>
      <c r="V705" s="45"/>
      <c r="X705">
        <v>1.163</v>
      </c>
      <c r="Y705">
        <v>0</v>
      </c>
      <c r="Z705" s="18">
        <v>0</v>
      </c>
      <c r="AA705">
        <v>0</v>
      </c>
      <c r="AB705" s="18">
        <v>0</v>
      </c>
      <c r="AC705">
        <v>0</v>
      </c>
      <c r="AD705" s="143">
        <v>0</v>
      </c>
      <c r="AE705" s="35"/>
      <c r="AF705" s="18">
        <v>172</v>
      </c>
      <c r="AG705">
        <v>0</v>
      </c>
      <c r="AH705" s="48">
        <v>17.14</v>
      </c>
      <c r="AI705">
        <v>0</v>
      </c>
      <c r="AJ705">
        <v>0</v>
      </c>
      <c r="AN705" s="71">
        <f t="shared" si="383"/>
        <v>112</v>
      </c>
      <c r="AO705" s="71">
        <f t="shared" si="384"/>
        <v>0</v>
      </c>
      <c r="AP705" s="71">
        <f t="shared" si="385"/>
        <v>112</v>
      </c>
      <c r="AQ705" s="72">
        <f>IF(OR($H705="GIROSSOL II",$H705="GIROSSOL II e III"),INDEX('Resumo Operacional'!$A$1:$P$1103,MATCH("Energia Injetada prevista total Fatura da Usina (TUSD)",'Resumo Operacional'!$B$1:$B$1103,0),MATCH('Detalhe Por UC'!$R705,'Resumo Operacional'!$A$1:$P$1,0))*$S705,INDEX('Resumo Operacional'!$A$1:$P$1103,53,MATCH('Detalhe Por UC'!$R705,'Resumo Operacional'!$A$1:$P$1,0))*$S705)</f>
        <v>59.702500000000001</v>
      </c>
      <c r="AR705" s="71">
        <f t="shared" si="386"/>
        <v>52.297499999999999</v>
      </c>
      <c r="AS705" s="73">
        <f t="shared" si="387"/>
        <v>75.289999999999992</v>
      </c>
      <c r="AT705" s="74">
        <f t="shared" si="388"/>
        <v>75.289999999999992</v>
      </c>
      <c r="AU705" s="74" t="str">
        <f t="shared" si="389"/>
        <v/>
      </c>
      <c r="AV705" s="74">
        <f t="shared" si="390"/>
        <v>0</v>
      </c>
      <c r="AW705" s="74">
        <f t="shared" si="391"/>
        <v>0.82999999999999829</v>
      </c>
      <c r="AX705" s="74">
        <f t="shared" si="392"/>
        <v>0.82999999999999829</v>
      </c>
      <c r="AY705" s="74">
        <f t="shared" si="393"/>
        <v>0.82999999999999829</v>
      </c>
      <c r="AZ705" s="43">
        <v>0.82999999999999829</v>
      </c>
      <c r="BA705" s="43"/>
      <c r="BC705" s="73" t="str">
        <f t="shared" si="394"/>
        <v/>
      </c>
      <c r="BD705" s="73">
        <f t="shared" si="395"/>
        <v>75.289999999999992</v>
      </c>
      <c r="BE705" s="73">
        <f t="shared" si="396"/>
        <v>75.289999999999992</v>
      </c>
      <c r="BF705" s="77">
        <f t="shared" si="397"/>
        <v>0</v>
      </c>
      <c r="BG705" s="77">
        <f t="shared" si="398"/>
        <v>0</v>
      </c>
      <c r="BH705" s="77">
        <f t="shared" si="399"/>
        <v>0</v>
      </c>
      <c r="BI705" s="78" t="str">
        <f t="shared" si="400"/>
        <v/>
      </c>
      <c r="BJ705" s="79">
        <f t="shared" si="401"/>
        <v>0</v>
      </c>
      <c r="BK705" s="80">
        <f t="shared" si="402"/>
        <v>76.11999999999999</v>
      </c>
      <c r="BL705" s="80">
        <f t="shared" si="403"/>
        <v>-0.82999999999999829</v>
      </c>
      <c r="BM705" s="79">
        <f t="shared" si="404"/>
        <v>-1.1024040377208107E-2</v>
      </c>
      <c r="BN705" s="81" t="str">
        <f t="shared" si="405"/>
        <v/>
      </c>
      <c r="BO705" s="82" t="str">
        <f t="shared" si="406"/>
        <v/>
      </c>
      <c r="BP705" s="81" t="str">
        <f t="shared" si="407"/>
        <v/>
      </c>
      <c r="BQ705" s="81" t="str">
        <f t="shared" si="408"/>
        <v/>
      </c>
      <c r="BR705" s="81" t="str">
        <f t="shared" si="409"/>
        <v/>
      </c>
      <c r="BS705" s="82">
        <f t="shared" si="410"/>
        <v>0</v>
      </c>
      <c r="BT705" s="82" t="str">
        <f t="shared" si="411"/>
        <v/>
      </c>
      <c r="BU705" s="82">
        <f t="shared" si="412"/>
        <v>0</v>
      </c>
      <c r="BW705" s="82">
        <f>IFERROR(INDEX('Infos Clientes'!$T:$T,MATCH('Detalhe Por UC'!$C705,'Infos Clientes'!B:B,0)),"")</f>
        <v>122.45454545454545</v>
      </c>
      <c r="BX705" s="83">
        <f t="shared" si="413"/>
        <v>0</v>
      </c>
      <c r="BY705" s="84" t="str">
        <f t="shared" si="414"/>
        <v/>
      </c>
      <c r="BZ705" s="85">
        <f>IF(_xlfn.MINIFS('Detalhe Por UC'!R:R,'Detalhe Por UC'!C:C,C705,'Detalhe Por UC'!AD:AD,"&gt;"&amp;0)=0,"",_xlfn.MINIFS('Detalhe Por UC'!R:R,'Detalhe Por UC'!C:C,C705,'Detalhe Por UC'!AD:AD,"&gt;"&amp;0))</f>
        <v>45658</v>
      </c>
      <c r="CA705" s="114">
        <f ca="1">IF(OR(S705&gt;0,AD705&gt;0),IFERROR(
SUMIFS(INDIRECT("'Infos Clientes'!$W"&amp;INDEX('Infos Clientes'!$C:$C,MATCH(C705,'Infos Clientes'!$H:$H,0))&amp;":$CZ"&amp;INDEX('Infos Clientes'!$C:$C,MATCH(C705,'Infos Clientes'!$H:$H,0))),'Infos Clientes'!$W$2:$CZ$2,"&gt;"&amp;$R705-365,'Infos Clientes'!$W$2:$CZ$2,"&lt;="&amp;$R705)/
COUNTIFS(INDIRECT("'Infos Clientes'!$W"&amp;INDEX('Infos Clientes'!$C:$C,MATCH(C705,'Infos Clientes'!$H:$H,0))&amp;":$CZ"&amp;INDEX('Infos Clientes'!$C:$C,MATCH(C705,'Infos Clientes'!$H:$H,0))),"&gt;="&amp;0,'Infos Clientes'!$W$2:$CZ$2,"&gt;"&amp;$R705-365,'Infos Clientes'!$W$2:$CZ$2,"&lt;="&amp;$R705),""),"")</f>
        <v>146.81818181818181</v>
      </c>
      <c r="CB705" s="87">
        <f>VLOOKUP(C705,'Infos Clientes'!B:L,11,0)</f>
        <v>0</v>
      </c>
      <c r="CC705" s="88" t="str">
        <f t="shared" si="415"/>
        <v>A Unidade Consumidora 10/530195-7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705" s="40" t="s">
        <v>83</v>
      </c>
      <c r="CE705" s="43">
        <v>75.290000000000006</v>
      </c>
      <c r="CF705" s="115">
        <f t="shared" si="416"/>
        <v>0</v>
      </c>
    </row>
    <row r="706" spans="1:84" ht="16.2" hidden="1" customHeight="1" x14ac:dyDescent="0.3">
      <c r="A706" s="105" t="str">
        <f>INDEX('Infos Clientes'!$D:$D,MATCH('Detalhe Por UC'!C706,'Infos Clientes'!B:B,0))</f>
        <v>IGREJA DO EVANGELHO QUADRANGULAR</v>
      </c>
      <c r="B706" s="106" t="str">
        <f>INDEX('Infos Clientes'!$F:$F,MATCH('Detalhe Por UC'!C706,'Infos Clientes'!B:B,0))</f>
        <v>62.955.505/3586-30</v>
      </c>
      <c r="C706" s="31" t="s">
        <v>242</v>
      </c>
      <c r="D706" t="s">
        <v>351</v>
      </c>
      <c r="E706" s="1" t="s">
        <v>352</v>
      </c>
      <c r="F706" s="56" t="str">
        <f>INDEX('Infos Clientes'!$I:$I,MATCH('Detalhe Por UC'!C706,'Infos Clientes'!B:B,0))</f>
        <v>BT</v>
      </c>
      <c r="G706" s="56" t="str">
        <f>INDEX('Infos Clientes'!$J:$J,MATCH('Detalhe Por UC'!C706,'Infos Clientes'!B:B,0))</f>
        <v>trifasico</v>
      </c>
      <c r="H706" s="108" t="s">
        <v>138</v>
      </c>
      <c r="I706" s="58">
        <f>IFERROR(VLOOKUP(C706,'Infos Clientes'!B:E,4,),"")</f>
        <v>371</v>
      </c>
      <c r="J706" s="109">
        <v>0.22939999999999999</v>
      </c>
      <c r="K706" s="79">
        <f>INDEX('Resumo Operacional'!$A$1:$P$151,MATCH("Desconto percentual Ucs",'Resumo Operacional'!$B$1:$B$151,0),MATCH('Detalhe Por UC'!$R706,'Resumo Operacional'!$A$1:$P$1,0))</f>
        <v>0.25212408425707711</v>
      </c>
      <c r="L706" s="125">
        <v>0</v>
      </c>
      <c r="M706" s="56">
        <f>INDEX('Infos Clientes'!$N:$N,MATCH('Detalhe Por UC'!C706,'Infos Clientes'!B:B,0))</f>
        <v>0</v>
      </c>
      <c r="N706" s="56">
        <f t="shared" si="381"/>
        <v>0</v>
      </c>
      <c r="O706" s="56">
        <f t="shared" si="382"/>
        <v>7</v>
      </c>
      <c r="P706" s="56">
        <f t="shared" si="417"/>
        <v>0</v>
      </c>
      <c r="Q706" s="61">
        <f>IFERROR(IFERROR(INDEX('Infos Clientes'!$A$2:$V$9884,MATCH($C706,'Infos Clientes'!$B$2:$B$9884,0),MATCH(Q$8,'Infos Clientes'!$A$2:$V$2,0)),"")
+IF(OR(INDEX('Infos Clientes'!$A$2:$V$9884,MATCH($C706,'Infos Clientes'!$B$2:$B$9884,0),MATCH("Tempo de Fidelidade (meses)",'Infos Clientes'!$A$2:$V$2,0))=0,R706&gt;=MAX(R:R)),0,
ROUND((MAX(R:R)-R706)/(365/12),0)),"")</f>
        <v>0</v>
      </c>
      <c r="R706" s="111">
        <v>45839</v>
      </c>
      <c r="S706" s="63">
        <v>4.1000000000000003E-3</v>
      </c>
      <c r="T706" s="113" t="str">
        <f>IF($H706="GIROSSOL II",AP706/INDEX('Resumo Operacional'!$A$1:$P$1103,17,MATCH('Detalhe Por UC'!$R706,'Resumo Operacional'!$A$1:$P$1,0)),
IF($H706="GIROSSOL II e III",AP706/INDEX('Resumo Operacional'!$A$1:$P$1103,17,MATCH('Detalhe Por UC'!$R706,'Resumo Operacional'!$A$1:$P$1,0)),
""))</f>
        <v/>
      </c>
      <c r="U706" s="113">
        <f>IF($H706="GIROSSOL III",AP706/INDEX('Resumo Operacional'!$A$1:$P$1103,53,MATCH('Detalhe Por UC'!$R706,'Resumo Operacional'!$A$1:$P$1,0)),
IF($H706="GIROSSOL II e III",AP706/INDEX('Resumo Operacional'!$A$1:$P$1103,53,MATCH('Detalhe Por UC'!$R706,'Resumo Operacional'!$A$1:$P$1,0)),
""))</f>
        <v>-2.7980402830702231E-2</v>
      </c>
      <c r="V706" s="45"/>
      <c r="X706">
        <v>1.163</v>
      </c>
      <c r="Y706">
        <v>0</v>
      </c>
      <c r="Z706" s="18">
        <v>0</v>
      </c>
      <c r="AA706">
        <v>0</v>
      </c>
      <c r="AB706" s="18">
        <v>0</v>
      </c>
      <c r="AC706">
        <v>0</v>
      </c>
      <c r="AD706" s="143">
        <v>0</v>
      </c>
      <c r="AE706" s="35"/>
      <c r="AF706" s="18"/>
      <c r="AH706" s="48">
        <v>20.97</v>
      </c>
      <c r="AI706">
        <v>0</v>
      </c>
      <c r="AJ706">
        <v>0</v>
      </c>
      <c r="AN706" s="71">
        <f t="shared" si="383"/>
        <v>-257</v>
      </c>
      <c r="AO706" s="71">
        <f t="shared" si="384"/>
        <v>0</v>
      </c>
      <c r="AP706" s="71">
        <f t="shared" si="385"/>
        <v>-257</v>
      </c>
      <c r="AQ706" s="72">
        <f>IF(OR($H706="GIROSSOL II",$H706="GIROSSOL II e III"),INDEX('Resumo Operacional'!$A$1:$P$1103,MATCH("Energia Injetada prevista total Fatura da Usina (TUSD)",'Resumo Operacional'!$B$1:$B$1103,0),MATCH('Detalhe Por UC'!$R706,'Resumo Operacional'!$A$1:$P$1,0))*$S706,INDEX('Resumo Operacional'!$A$1:$P$1103,53,MATCH('Detalhe Por UC'!$R706,'Resumo Operacional'!$A$1:$P$1,0))*$S706)</f>
        <v>37.658500000000004</v>
      </c>
      <c r="AR706" s="71">
        <f t="shared" si="386"/>
        <v>-294.6585</v>
      </c>
      <c r="AS706" s="73">
        <f t="shared" si="387"/>
        <v>137.26999999999998</v>
      </c>
      <c r="AT706" s="74">
        <f t="shared" si="388"/>
        <v>137.26999999999998</v>
      </c>
      <c r="AU706" s="74" t="str">
        <f t="shared" si="389"/>
        <v/>
      </c>
      <c r="AV706" s="74">
        <f t="shared" si="390"/>
        <v>0</v>
      </c>
      <c r="AW706" s="74">
        <f t="shared" si="391"/>
        <v>0</v>
      </c>
      <c r="AX706" s="74">
        <f t="shared" si="392"/>
        <v>0</v>
      </c>
      <c r="AY706" s="74" t="str">
        <f t="shared" si="393"/>
        <v/>
      </c>
      <c r="AZ706" s="43" t="s">
        <v>354</v>
      </c>
      <c r="BA706" s="43">
        <v>0</v>
      </c>
      <c r="BC706" s="73" t="str">
        <f t="shared" si="394"/>
        <v/>
      </c>
      <c r="BD706" s="73">
        <f t="shared" si="395"/>
        <v>137.26999999999998</v>
      </c>
      <c r="BE706" s="73">
        <f t="shared" si="396"/>
        <v>137.26999999999998</v>
      </c>
      <c r="BF706" s="77">
        <f t="shared" si="397"/>
        <v>0</v>
      </c>
      <c r="BG706" s="77">
        <f t="shared" si="398"/>
        <v>0</v>
      </c>
      <c r="BH706" s="77">
        <f t="shared" si="399"/>
        <v>0</v>
      </c>
      <c r="BI706" s="78" t="str">
        <f t="shared" si="400"/>
        <v/>
      </c>
      <c r="BJ706" s="79">
        <f t="shared" si="401"/>
        <v>0</v>
      </c>
      <c r="BK706" s="80" t="str">
        <f t="shared" si="402"/>
        <v/>
      </c>
      <c r="BL706" s="80" t="str">
        <f t="shared" si="403"/>
        <v/>
      </c>
      <c r="BM706" s="79" t="str">
        <f t="shared" si="404"/>
        <v/>
      </c>
      <c r="BN706" s="81" t="str">
        <f t="shared" si="405"/>
        <v/>
      </c>
      <c r="BO706" s="82" t="str">
        <f t="shared" si="406"/>
        <v/>
      </c>
      <c r="BP706" s="81" t="str">
        <f t="shared" si="407"/>
        <v/>
      </c>
      <c r="BQ706" s="81" t="str">
        <f t="shared" si="408"/>
        <v/>
      </c>
      <c r="BR706" s="81" t="str">
        <f t="shared" si="409"/>
        <v/>
      </c>
      <c r="BS706" s="82">
        <f t="shared" si="410"/>
        <v>0</v>
      </c>
      <c r="BT706" s="82" t="str">
        <f t="shared" si="411"/>
        <v/>
      </c>
      <c r="BU706" s="82">
        <f t="shared" si="412"/>
        <v>0</v>
      </c>
      <c r="BW706" s="82">
        <f>IFERROR(INDEX('Infos Clientes'!$T:$T,MATCH('Detalhe Por UC'!$C706,'Infos Clientes'!B:B,0)),"")</f>
        <v>175.90909090909091</v>
      </c>
      <c r="BX706" s="83">
        <f t="shared" si="413"/>
        <v>0</v>
      </c>
      <c r="BY706" s="84" t="str">
        <f t="shared" si="414"/>
        <v/>
      </c>
      <c r="BZ706" s="85">
        <f>IF(_xlfn.MINIFS('Detalhe Por UC'!R:R,'Detalhe Por UC'!C:C,C706,'Detalhe Por UC'!AD:AD,"&gt;"&amp;0)=0,"",_xlfn.MINIFS('Detalhe Por UC'!R:R,'Detalhe Por UC'!C:C,C706,'Detalhe Por UC'!AD:AD,"&gt;"&amp;0))</f>
        <v>45658</v>
      </c>
      <c r="CA706" s="114">
        <f ca="1">IF(OR(S706&gt;0,AD706&gt;0),IFERROR(
SUMIFS(INDIRECT("'Infos Clientes'!$W"&amp;INDEX('Infos Clientes'!$C:$C,MATCH(C706,'Infos Clientes'!$H:$H,0))&amp;":$CZ"&amp;INDEX('Infos Clientes'!$C:$C,MATCH(C706,'Infos Clientes'!$H:$H,0))),'Infos Clientes'!$W$2:$CZ$2,"&gt;"&amp;$R706-365,'Infos Clientes'!$W$2:$CZ$2,"&lt;="&amp;$R706)/
COUNTIFS(INDIRECT("'Infos Clientes'!$W"&amp;INDEX('Infos Clientes'!$C:$C,MATCH(C706,'Infos Clientes'!$H:$H,0))&amp;":$CZ"&amp;INDEX('Infos Clientes'!$C:$C,MATCH(C706,'Infos Clientes'!$H:$H,0))),"&gt;="&amp;0,'Infos Clientes'!$W$2:$CZ$2,"&gt;"&amp;$R706-365,'Infos Clientes'!$W$2:$CZ$2,"&lt;="&amp;$R706),""),"")</f>
        <v>165.8</v>
      </c>
      <c r="CB706" s="87">
        <f>VLOOKUP(C706,'Infos Clientes'!B:L,11,0)</f>
        <v>0</v>
      </c>
      <c r="CC706" s="88" t="str">
        <f t="shared" si="415"/>
        <v>A Unidade Consumidora 10/908866-7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706" s="40" t="s">
        <v>244</v>
      </c>
      <c r="CE706" s="43">
        <v>137.27000000000001</v>
      </c>
      <c r="CF706" s="115">
        <f t="shared" si="416"/>
        <v>0</v>
      </c>
    </row>
    <row r="707" spans="1:84" ht="16.2" hidden="1" customHeight="1" x14ac:dyDescent="0.3">
      <c r="A707" s="105" t="str">
        <f>INDEX('Infos Clientes'!$D:$D,MATCH('Detalhe Por UC'!C707,'Infos Clientes'!B:B,0))</f>
        <v>IGREJA DO EVANGELHO QUADRANGULAR</v>
      </c>
      <c r="B707" s="106" t="str">
        <f>INDEX('Infos Clientes'!$F:$F,MATCH('Detalhe Por UC'!C707,'Infos Clientes'!B:B,0))</f>
        <v>62.955.505/8873-82</v>
      </c>
      <c r="C707" s="31" t="s">
        <v>212</v>
      </c>
      <c r="D707" t="s">
        <v>351</v>
      </c>
      <c r="E707" s="1" t="s">
        <v>352</v>
      </c>
      <c r="F707" s="56" t="str">
        <f>INDEX('Infos Clientes'!$I:$I,MATCH('Detalhe Por UC'!C707,'Infos Clientes'!B:B,0))</f>
        <v>BT</v>
      </c>
      <c r="G707" s="56" t="str">
        <f>INDEX('Infos Clientes'!$J:$J,MATCH('Detalhe Por UC'!C707,'Infos Clientes'!B:B,0))</f>
        <v>trifasico</v>
      </c>
      <c r="H707" s="108" t="s">
        <v>138</v>
      </c>
      <c r="I707" s="58">
        <f>IFERROR(VLOOKUP(C707,'Infos Clientes'!B:E,4,),"")</f>
        <v>351</v>
      </c>
      <c r="J707" s="109">
        <v>0.22939999999999999</v>
      </c>
      <c r="K707" s="79">
        <f>INDEX('Resumo Operacional'!$A$1:$P$151,MATCH("Desconto percentual Ucs",'Resumo Operacional'!$B$1:$B$151,0),MATCH('Detalhe Por UC'!$R707,'Resumo Operacional'!$A$1:$P$1,0))</f>
        <v>0.25212408425707711</v>
      </c>
      <c r="L707" s="125">
        <v>0</v>
      </c>
      <c r="M707" s="56">
        <f>INDEX('Infos Clientes'!$N:$N,MATCH('Detalhe Por UC'!C707,'Infos Clientes'!B:B,0))</f>
        <v>0</v>
      </c>
      <c r="N707" s="56">
        <f t="shared" si="381"/>
        <v>0</v>
      </c>
      <c r="O707" s="56">
        <f t="shared" si="382"/>
        <v>3</v>
      </c>
      <c r="P707" s="56">
        <f t="shared" si="417"/>
        <v>0</v>
      </c>
      <c r="Q707" s="61">
        <f>IFERROR(IFERROR(INDEX('Infos Clientes'!$A$2:$V$9884,MATCH($C707,'Infos Clientes'!$B$2:$B$9884,0),MATCH(Q$8,'Infos Clientes'!$A$2:$V$2,0)),"")
+IF(OR(INDEX('Infos Clientes'!$A$2:$V$9884,MATCH($C707,'Infos Clientes'!$B$2:$B$9884,0),MATCH("Tempo de Fidelidade (meses)",'Infos Clientes'!$A$2:$V$2,0))=0,R707&gt;=MAX(R:R)),0,
ROUND((MAX(R:R)-R707)/(365/12),0)),"")</f>
        <v>0</v>
      </c>
      <c r="R707" s="111">
        <v>45839</v>
      </c>
      <c r="S707" s="63">
        <v>3.7000000000000002E-3</v>
      </c>
      <c r="T707" s="113" t="str">
        <f>IF($H707="GIROSSOL II",AP707/INDEX('Resumo Operacional'!$A$1:$P$1103,17,MATCH('Detalhe Por UC'!$R707,'Resumo Operacional'!$A$1:$P$1,0)),
IF($H707="GIROSSOL II e III",AP707/INDEX('Resumo Operacional'!$A$1:$P$1103,17,MATCH('Detalhe Por UC'!$R707,'Resumo Operacional'!$A$1:$P$1,0)),
""))</f>
        <v/>
      </c>
      <c r="U707" s="113">
        <f>IF($H707="GIROSSOL III",AP707/INDEX('Resumo Operacional'!$A$1:$P$1103,53,MATCH('Detalhe Por UC'!$R707,'Resumo Operacional'!$A$1:$P$1,0)),
IF($H707="GIROSSOL II e III",AP707/INDEX('Resumo Operacional'!$A$1:$P$1103,53,MATCH('Detalhe Por UC'!$R707,'Resumo Operacional'!$A$1:$P$1,0)),
""))</f>
        <v>-4.7033206314643437E-2</v>
      </c>
      <c r="V707" s="45"/>
      <c r="X707">
        <v>1.163</v>
      </c>
      <c r="Y707">
        <v>0</v>
      </c>
      <c r="Z707" s="18">
        <v>0</v>
      </c>
      <c r="AA707">
        <v>0</v>
      </c>
      <c r="AB707" s="18">
        <v>0</v>
      </c>
      <c r="AC707">
        <v>0</v>
      </c>
      <c r="AD707" s="143">
        <v>0</v>
      </c>
      <c r="AE707" s="35"/>
      <c r="AF707" s="18"/>
      <c r="AH707" s="48">
        <v>0</v>
      </c>
      <c r="AI707">
        <v>0</v>
      </c>
      <c r="AJ707">
        <v>0</v>
      </c>
      <c r="AN707" s="71">
        <f t="shared" si="383"/>
        <v>-432</v>
      </c>
      <c r="AO707" s="71">
        <f t="shared" si="384"/>
        <v>0</v>
      </c>
      <c r="AP707" s="71">
        <f t="shared" si="385"/>
        <v>-432</v>
      </c>
      <c r="AQ707" s="72">
        <f>IF(OR($H707="GIROSSOL II",$H707="GIROSSOL II e III"),INDEX('Resumo Operacional'!$A$1:$P$1103,MATCH("Energia Injetada prevista total Fatura da Usina (TUSD)",'Resumo Operacional'!$B$1:$B$1103,0),MATCH('Detalhe Por UC'!$R707,'Resumo Operacional'!$A$1:$P$1,0))*$S707,INDEX('Resumo Operacional'!$A$1:$P$1103,53,MATCH('Detalhe Por UC'!$R707,'Resumo Operacional'!$A$1:$P$1,0))*$S707)</f>
        <v>33.984500000000004</v>
      </c>
      <c r="AR707" s="71">
        <f t="shared" si="386"/>
        <v>-465.98450000000003</v>
      </c>
      <c r="AS707" s="73">
        <f t="shared" si="387"/>
        <v>116.3</v>
      </c>
      <c r="AT707" s="74">
        <f t="shared" si="388"/>
        <v>116.3</v>
      </c>
      <c r="AU707" s="74" t="str">
        <f t="shared" si="389"/>
        <v/>
      </c>
      <c r="AV707" s="74">
        <f t="shared" si="390"/>
        <v>0</v>
      </c>
      <c r="AW707" s="74">
        <f t="shared" si="391"/>
        <v>0</v>
      </c>
      <c r="AX707" s="74">
        <f t="shared" si="392"/>
        <v>0</v>
      </c>
      <c r="AY707" s="74" t="str">
        <f t="shared" si="393"/>
        <v/>
      </c>
      <c r="AZ707" s="43" t="s">
        <v>354</v>
      </c>
      <c r="BA707" s="43">
        <v>0</v>
      </c>
      <c r="BC707" s="73" t="str">
        <f t="shared" si="394"/>
        <v/>
      </c>
      <c r="BD707" s="73">
        <f t="shared" si="395"/>
        <v>116.3</v>
      </c>
      <c r="BE707" s="73">
        <f t="shared" si="396"/>
        <v>116.3</v>
      </c>
      <c r="BF707" s="77">
        <f t="shared" si="397"/>
        <v>0</v>
      </c>
      <c r="BG707" s="77">
        <f t="shared" si="398"/>
        <v>0</v>
      </c>
      <c r="BH707" s="77">
        <f t="shared" si="399"/>
        <v>0</v>
      </c>
      <c r="BI707" s="78" t="str">
        <f t="shared" si="400"/>
        <v/>
      </c>
      <c r="BJ707" s="79">
        <f t="shared" si="401"/>
        <v>0</v>
      </c>
      <c r="BK707" s="80" t="str">
        <f t="shared" si="402"/>
        <v/>
      </c>
      <c r="BL707" s="80" t="str">
        <f t="shared" si="403"/>
        <v/>
      </c>
      <c r="BM707" s="79" t="str">
        <f t="shared" si="404"/>
        <v/>
      </c>
      <c r="BN707" s="81" t="str">
        <f t="shared" si="405"/>
        <v/>
      </c>
      <c r="BO707" s="82" t="str">
        <f t="shared" si="406"/>
        <v/>
      </c>
      <c r="BP707" s="81" t="str">
        <f t="shared" si="407"/>
        <v/>
      </c>
      <c r="BQ707" s="81" t="str">
        <f t="shared" si="408"/>
        <v/>
      </c>
      <c r="BR707" s="81" t="str">
        <f t="shared" si="409"/>
        <v/>
      </c>
      <c r="BS707" s="82">
        <f t="shared" si="410"/>
        <v>0</v>
      </c>
      <c r="BT707" s="82" t="str">
        <f t="shared" si="411"/>
        <v/>
      </c>
      <c r="BU707" s="82">
        <f t="shared" si="412"/>
        <v>0</v>
      </c>
      <c r="BW707" s="82">
        <f>IFERROR(INDEX('Infos Clientes'!$T:$T,MATCH('Detalhe Por UC'!$C707,'Infos Clientes'!B:B,0)),"")</f>
        <v>93.7</v>
      </c>
      <c r="BX707" s="83">
        <f t="shared" si="413"/>
        <v>0</v>
      </c>
      <c r="BY707" s="84" t="str">
        <f t="shared" si="414"/>
        <v/>
      </c>
      <c r="BZ707" s="85">
        <f>IF(_xlfn.MINIFS('Detalhe Por UC'!R:R,'Detalhe Por UC'!C:C,C707,'Detalhe Por UC'!AD:AD,"&gt;"&amp;0)=0,"",_xlfn.MINIFS('Detalhe Por UC'!R:R,'Detalhe Por UC'!C:C,C707,'Detalhe Por UC'!AD:AD,"&gt;"&amp;0))</f>
        <v>45689</v>
      </c>
      <c r="CA707" s="114">
        <f ca="1">IF(OR(S707&gt;0,AD707&gt;0),IFERROR(
SUMIFS(INDIRECT("'Infos Clientes'!$W"&amp;INDEX('Infos Clientes'!$C:$C,MATCH(C707,'Infos Clientes'!$H:$H,0))&amp;":$CZ"&amp;INDEX('Infos Clientes'!$C:$C,MATCH(C707,'Infos Clientes'!$H:$H,0))),'Infos Clientes'!$W$2:$CZ$2,"&gt;"&amp;$R707-365,'Infos Clientes'!$W$2:$CZ$2,"&lt;="&amp;$R707)/
COUNTIFS(INDIRECT("'Infos Clientes'!$W"&amp;INDEX('Infos Clientes'!$C:$C,MATCH(C707,'Infos Clientes'!$H:$H,0))&amp;":$CZ"&amp;INDEX('Infos Clientes'!$C:$C,MATCH(C707,'Infos Clientes'!$H:$H,0))),"&gt;="&amp;0,'Infos Clientes'!$W$2:$CZ$2,"&gt;"&amp;$R707-365,'Infos Clientes'!$W$2:$CZ$2,"&lt;="&amp;$R707),""),"")</f>
        <v>487.75</v>
      </c>
      <c r="CB707" s="87">
        <f>VLOOKUP(C707,'Infos Clientes'!B:L,11,0)</f>
        <v>0</v>
      </c>
      <c r="CC707" s="88" t="str">
        <f t="shared" si="415"/>
        <v>A Unidade Consumidora 10/505854-0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D707" s="40">
        <v>0</v>
      </c>
      <c r="CE707" s="43">
        <v>116.3</v>
      </c>
      <c r="CF707" s="115">
        <f t="shared" si="416"/>
        <v>0</v>
      </c>
    </row>
    <row r="708" spans="1:84" ht="16.2" hidden="1" customHeight="1" x14ac:dyDescent="0.3">
      <c r="A708" s="105" t="str">
        <f>INDEX('Infos Clientes'!$D:$D,MATCH('Detalhe Por UC'!C708,'Infos Clientes'!B:B,0))</f>
        <v>IGREJA DO EVANGELHO QUADRANGULAR</v>
      </c>
      <c r="B708" s="106" t="str">
        <f>INDEX('Infos Clientes'!$F:$F,MATCH('Detalhe Por UC'!C708,'Infos Clientes'!B:B,0))</f>
        <v>62.955.505/2876-01</v>
      </c>
      <c r="C708" s="31" t="s">
        <v>180</v>
      </c>
      <c r="D708" t="s">
        <v>351</v>
      </c>
      <c r="E708" s="1" t="s">
        <v>352</v>
      </c>
      <c r="F708" s="56" t="str">
        <f>INDEX('Infos Clientes'!$I:$I,MATCH('Detalhe Por UC'!C708,'Infos Clientes'!B:B,0))</f>
        <v>BT</v>
      </c>
      <c r="G708" s="56" t="str">
        <f>INDEX('Infos Clientes'!$J:$J,MATCH('Detalhe Por UC'!C708,'Infos Clientes'!B:B,0))</f>
        <v>trifasico</v>
      </c>
      <c r="H708" s="108" t="s">
        <v>138</v>
      </c>
      <c r="I708" s="58">
        <f>IFERROR(VLOOKUP(C708,'Infos Clientes'!B:E,4,),"")</f>
        <v>994</v>
      </c>
      <c r="J708" s="109">
        <v>0.22939999999999999</v>
      </c>
      <c r="K708" s="79">
        <f>INDEX('Resumo Operacional'!$A$1:$P$151,MATCH("Desconto percentual Ucs",'Resumo Operacional'!$B$1:$B$151,0),MATCH('Detalhe Por UC'!$R708,'Resumo Operacional'!$A$1:$P$1,0))</f>
        <v>0.25212408425707711</v>
      </c>
      <c r="L708" s="125">
        <v>0</v>
      </c>
      <c r="M708" s="56">
        <f>INDEX('Infos Clientes'!$N:$N,MATCH('Detalhe Por UC'!C708,'Infos Clientes'!B:B,0))</f>
        <v>0</v>
      </c>
      <c r="N708" s="56">
        <f t="shared" si="381"/>
        <v>0</v>
      </c>
      <c r="O708" s="56">
        <f t="shared" si="382"/>
        <v>11</v>
      </c>
      <c r="P708" s="56">
        <f t="shared" si="417"/>
        <v>0</v>
      </c>
      <c r="Q708" s="61">
        <f>IFERROR(IFERROR(INDEX('Infos Clientes'!$A$2:$V$9884,MATCH($C708,'Infos Clientes'!$B$2:$B$9884,0),MATCH(Q$8,'Infos Clientes'!$A$2:$V$2,0)),"")
+IF(OR(INDEX('Infos Clientes'!$A$2:$V$9884,MATCH($C708,'Infos Clientes'!$B$2:$B$9884,0),MATCH("Tempo de Fidelidade (meses)",'Infos Clientes'!$A$2:$V$2,0))=0,R708&gt;=MAX(R:R)),0,
ROUND((MAX(R:R)-R708)/(365/12),0)),"")</f>
        <v>0</v>
      </c>
      <c r="R708" s="111">
        <v>45839</v>
      </c>
      <c r="S708" s="63">
        <v>2.0999999999999999E-3</v>
      </c>
      <c r="T708" s="113" t="str">
        <f>IF($H708="GIROSSOL II",AP708/INDEX('Resumo Operacional'!$A$1:$P$1103,17,MATCH('Detalhe Por UC'!$R708,'Resumo Operacional'!$A$1:$P$1,0)),
IF($H708="GIROSSOL II e III",AP708/INDEX('Resumo Operacional'!$A$1:$P$1103,17,MATCH('Detalhe Por UC'!$R708,'Resumo Operacional'!$A$1:$P$1,0)),
""))</f>
        <v/>
      </c>
      <c r="U708" s="113">
        <f>IF($H708="GIROSSOL III",AP708/INDEX('Resumo Operacional'!$A$1:$P$1103,53,MATCH('Detalhe Por UC'!$R708,'Resumo Operacional'!$A$1:$P$1,0)),
IF($H708="GIROSSOL II e III",AP708/INDEX('Resumo Operacional'!$A$1:$P$1103,53,MATCH('Detalhe Por UC'!$R708,'Resumo Operacional'!$A$1:$P$1,0)),
""))</f>
        <v>-1.9706042460533479E-2</v>
      </c>
      <c r="V708" s="45"/>
      <c r="X708">
        <v>1.1629647058823529</v>
      </c>
      <c r="Y708">
        <v>0</v>
      </c>
      <c r="Z708" s="18">
        <v>1.0062</v>
      </c>
      <c r="AA708">
        <v>0</v>
      </c>
      <c r="AB708" s="18">
        <v>102</v>
      </c>
      <c r="AC708">
        <v>0</v>
      </c>
      <c r="AD708" s="143">
        <v>2</v>
      </c>
      <c r="AE708" s="35"/>
      <c r="AF708" s="18"/>
      <c r="AH708" s="48">
        <v>23.99</v>
      </c>
      <c r="AI708">
        <v>0</v>
      </c>
      <c r="AJ708">
        <v>0</v>
      </c>
      <c r="AN708" s="71">
        <f t="shared" si="383"/>
        <v>-183</v>
      </c>
      <c r="AO708" s="71">
        <f t="shared" si="384"/>
        <v>0</v>
      </c>
      <c r="AP708" s="71">
        <f t="shared" si="385"/>
        <v>-181</v>
      </c>
      <c r="AQ708" s="72">
        <f>IF(OR($H708="GIROSSOL II",$H708="GIROSSOL II e III"),INDEX('Resumo Operacional'!$A$1:$P$1103,MATCH("Energia Injetada prevista total Fatura da Usina (TUSD)",'Resumo Operacional'!$B$1:$B$1103,0),MATCH('Detalhe Por UC'!$R708,'Resumo Operacional'!$A$1:$P$1,0))*$S708,INDEX('Resumo Operacional'!$A$1:$P$1103,53,MATCH('Detalhe Por UC'!$R708,'Resumo Operacional'!$A$1:$P$1,0))*$S708)</f>
        <v>19.288499999999999</v>
      </c>
      <c r="AR708" s="71">
        <f t="shared" si="386"/>
        <v>-200.2885</v>
      </c>
      <c r="AS708" s="73">
        <f t="shared" si="387"/>
        <v>140.6</v>
      </c>
      <c r="AT708" s="74">
        <f t="shared" si="388"/>
        <v>140.6</v>
      </c>
      <c r="AU708" s="74">
        <f t="shared" si="389"/>
        <v>0.84943529411764707</v>
      </c>
      <c r="AV708" s="74">
        <f t="shared" si="390"/>
        <v>1.5507554399999999</v>
      </c>
      <c r="AW708" s="74">
        <f t="shared" si="391"/>
        <v>0.2900000000000027</v>
      </c>
      <c r="AX708" s="74">
        <f t="shared" si="392"/>
        <v>2.3024000000000027</v>
      </c>
      <c r="AY708" s="74">
        <f t="shared" si="393"/>
        <v>1.84</v>
      </c>
      <c r="AZ708" s="43">
        <v>1.84</v>
      </c>
      <c r="BA708" s="43"/>
      <c r="BC708" s="73" t="str">
        <f t="shared" si="394"/>
        <v/>
      </c>
      <c r="BD708" s="73">
        <f t="shared" si="395"/>
        <v>142.61240000000001</v>
      </c>
      <c r="BE708" s="73">
        <f t="shared" si="396"/>
        <v>142.15075543999998</v>
      </c>
      <c r="BF708" s="77">
        <f t="shared" si="397"/>
        <v>0.46</v>
      </c>
      <c r="BG708" s="77">
        <f t="shared" si="398"/>
        <v>0.13800000000000001</v>
      </c>
      <c r="BH708" s="77">
        <f t="shared" si="399"/>
        <v>2.0124</v>
      </c>
      <c r="BI708" s="78">
        <f t="shared" si="400"/>
        <v>0.2</v>
      </c>
      <c r="BJ708" s="79">
        <f t="shared" si="401"/>
        <v>3.2255259710936776E-3</v>
      </c>
      <c r="BK708" s="80">
        <f t="shared" si="402"/>
        <v>142.44</v>
      </c>
      <c r="BL708" s="80">
        <f t="shared" si="403"/>
        <v>0.17240000000001032</v>
      </c>
      <c r="BM708" s="79">
        <f t="shared" si="404"/>
        <v>1.2088710378621375E-3</v>
      </c>
      <c r="BN708" s="81">
        <f t="shared" si="405"/>
        <v>0.92</v>
      </c>
      <c r="BO708" s="82">
        <f t="shared" si="406"/>
        <v>1.84</v>
      </c>
      <c r="BP708" s="81">
        <f t="shared" si="407"/>
        <v>0.92</v>
      </c>
      <c r="BQ708" s="81">
        <f t="shared" si="408"/>
        <v>1.0767647058823528</v>
      </c>
      <c r="BR708" s="81">
        <f t="shared" si="409"/>
        <v>1.1629647058823529</v>
      </c>
      <c r="BS708" s="82">
        <f t="shared" si="410"/>
        <v>2</v>
      </c>
      <c r="BT708" s="82">
        <f t="shared" si="411"/>
        <v>2.3259294117647058</v>
      </c>
      <c r="BU708" s="82">
        <f t="shared" si="412"/>
        <v>2.0124</v>
      </c>
      <c r="BW708" s="82">
        <f>IFERROR(INDEX('Infos Clientes'!$T:$T,MATCH('Detalhe Por UC'!$C708,'Infos Clientes'!B:B,0)),"")</f>
        <v>143.63636363636363</v>
      </c>
      <c r="BX708" s="83">
        <f t="shared" si="413"/>
        <v>0</v>
      </c>
      <c r="BY708" s="84">
        <f t="shared" si="414"/>
        <v>7.4120908024116916E-2</v>
      </c>
      <c r="BZ708" s="85">
        <f>IF(_xlfn.MINIFS('Detalhe Por UC'!R:R,'Detalhe Por UC'!C:C,C708,'Detalhe Por UC'!AD:AD,"&gt;"&amp;0)=0,"",_xlfn.MINIFS('Detalhe Por UC'!R:R,'Detalhe Por UC'!C:C,C708,'Detalhe Por UC'!AD:AD,"&gt;"&amp;0))</f>
        <v>45658</v>
      </c>
      <c r="CA708" s="114">
        <f ca="1">IF(OR(S708&gt;0,AD708&gt;0),IFERROR(
SUMIFS(INDIRECT("'Infos Clientes'!$W"&amp;INDEX('Infos Clientes'!$C:$C,MATCH(C708,'Infos Clientes'!$H:$H,0))&amp;":$CZ"&amp;INDEX('Infos Clientes'!$C:$C,MATCH(C708,'Infos Clientes'!$H:$H,0))),'Infos Clientes'!$W$2:$CZ$2,"&gt;"&amp;$R708-365,'Infos Clientes'!$W$2:$CZ$2,"&lt;="&amp;$R708)/
COUNTIFS(INDIRECT("'Infos Clientes'!$W"&amp;INDEX('Infos Clientes'!$C:$C,MATCH(C708,'Infos Clientes'!$H:$H,0))&amp;":$CZ"&amp;INDEX('Infos Clientes'!$C:$C,MATCH(C708,'Infos Clientes'!$H:$H,0))),"&gt;="&amp;0,'Infos Clientes'!$W$2:$CZ$2,"&gt;"&amp;$R708-365,'Infos Clientes'!$W$2:$CZ$2,"&lt;="&amp;$R708),""),"")</f>
        <v>138.83333333333334</v>
      </c>
      <c r="CB708" s="87">
        <f>VLOOKUP(C708,'Infos Clientes'!B:L,11,0)</f>
        <v>0</v>
      </c>
      <c r="CC708" s="88" t="str">
        <f t="shared" si="415"/>
        <v>A Unidade Consumidora 10/283183-2 economizou R$0,46 na fatura referente à jul/2025  consumindo 2 kWh em créditos de energia renovável conforme fatura de energia. A economia foi de 22,94% em relação ao que seria pago para a Energisa considerando os créditos consumidos. Atenção: Mantenha as contas da Energisa em dia para evitar cortes.</v>
      </c>
      <c r="CD708" s="40" t="s">
        <v>182</v>
      </c>
      <c r="CE708" s="43">
        <v>140.6</v>
      </c>
      <c r="CF708" s="115">
        <f t="shared" si="416"/>
        <v>0</v>
      </c>
    </row>
    <row r="709" spans="1:84" ht="16.2" hidden="1" customHeight="1" x14ac:dyDescent="0.3">
      <c r="A709" s="105" t="str">
        <f>INDEX('Infos Clientes'!$D:$D,MATCH('Detalhe Por UC'!C709,'Infos Clientes'!B:B,0))</f>
        <v>IGREJA DO EVANGELHO QUADRANGULAR</v>
      </c>
      <c r="B709" s="106" t="str">
        <f>INDEX('Infos Clientes'!$F:$F,MATCH('Detalhe Por UC'!C709,'Infos Clientes'!B:B,0))</f>
        <v>62.955.505/0172-13</v>
      </c>
      <c r="C709" s="44" t="s">
        <v>54</v>
      </c>
      <c r="D709" t="s">
        <v>351</v>
      </c>
      <c r="E709" s="1" t="s">
        <v>352</v>
      </c>
      <c r="F709" s="56" t="str">
        <f>INDEX('Infos Clientes'!$I:$I,MATCH('Detalhe Por UC'!C709,'Infos Clientes'!B:B,0))</f>
        <v>BT</v>
      </c>
      <c r="G709" s="56" t="str">
        <f>INDEX('Infos Clientes'!$J:$J,MATCH('Detalhe Por UC'!C709,'Infos Clientes'!B:B,0))</f>
        <v>trifasico</v>
      </c>
      <c r="H709" s="108" t="s">
        <v>24</v>
      </c>
      <c r="I709" s="58">
        <f>IFERROR(VLOOKUP(C709,'Infos Clientes'!B:E,4,),"")</f>
        <v>371</v>
      </c>
      <c r="J709" s="109">
        <v>0.22939999999999999</v>
      </c>
      <c r="K709" s="79">
        <f>INDEX('Resumo Operacional'!$A$1:$P$151,MATCH("Desconto percentual Ucs",'Resumo Operacional'!$B$1:$B$151,0),MATCH('Detalhe Por UC'!$R709,'Resumo Operacional'!$A$1:$P$1,0))</f>
        <v>0.25212408425707711</v>
      </c>
      <c r="L709" s="125">
        <v>0</v>
      </c>
      <c r="M709" s="56">
        <f>INDEX('Infos Clientes'!$N:$N,MATCH('Detalhe Por UC'!C709,'Infos Clientes'!B:B,0))</f>
        <v>0</v>
      </c>
      <c r="N709" s="56">
        <f t="shared" si="381"/>
        <v>0</v>
      </c>
      <c r="O709" s="56">
        <f t="shared" si="382"/>
        <v>12</v>
      </c>
      <c r="P709" s="56">
        <f t="shared" si="417"/>
        <v>0</v>
      </c>
      <c r="Q709" s="61">
        <f>IFERROR(IFERROR(INDEX('Infos Clientes'!$A$2:$V$9884,MATCH($C709,'Infos Clientes'!$B$2:$B$9884,0),MATCH(Q$8,'Infos Clientes'!$A$2:$V$2,0)),"")
+IF(OR(INDEX('Infos Clientes'!$A$2:$V$9884,MATCH($C709,'Infos Clientes'!$B$2:$B$9884,0),MATCH("Tempo de Fidelidade (meses)",'Infos Clientes'!$A$2:$V$2,0))=0,R709&gt;=MAX(R:R)),0,
ROUND((MAX(R:R)-R709)/(365/12),0)),"")</f>
        <v>0</v>
      </c>
      <c r="R709" s="111">
        <v>45839</v>
      </c>
      <c r="S709" s="63">
        <v>0</v>
      </c>
      <c r="T709" s="113">
        <f>IF($H709="GIROSSOL II",AP709/INDEX('Resumo Operacional'!$A$1:$P$1103,17,MATCH('Detalhe Por UC'!$R709,'Resumo Operacional'!$A$1:$P$1,0)),
IF($H709="GIROSSOL II e III",AP709/INDEX('Resumo Operacional'!$A$1:$P$1103,17,MATCH('Detalhe Por UC'!$R709,'Resumo Operacional'!$A$1:$P$1,0)),
""))</f>
        <v>7.7575757575757574E-3</v>
      </c>
      <c r="U709" s="113" t="str">
        <f>IF($H709="GIROSSOL III",AP709/INDEX('Resumo Operacional'!$A$1:$P$1103,53,MATCH('Detalhe Por UC'!$R709,'Resumo Operacional'!$A$1:$P$1,0)),
IF($H709="GIROSSOL II e III",AP709/INDEX('Resumo Operacional'!$A$1:$P$1103,53,MATCH('Detalhe Por UC'!$R709,'Resumo Operacional'!$A$1:$P$1,0)),
""))</f>
        <v/>
      </c>
      <c r="V709" s="45"/>
      <c r="X709">
        <v>1.163029268292683</v>
      </c>
      <c r="Y709">
        <v>0</v>
      </c>
      <c r="Z709" s="18">
        <v>1.16291875</v>
      </c>
      <c r="AA709">
        <v>0</v>
      </c>
      <c r="AB709" s="18">
        <v>164</v>
      </c>
      <c r="AC709">
        <v>0</v>
      </c>
      <c r="AD709" s="143">
        <v>64</v>
      </c>
      <c r="AE709" s="35"/>
      <c r="AF709" s="18"/>
      <c r="AH709" s="48">
        <v>17.88</v>
      </c>
      <c r="AI709">
        <v>0</v>
      </c>
      <c r="AJ709">
        <v>0</v>
      </c>
      <c r="AN709" s="71">
        <f t="shared" si="383"/>
        <v>0</v>
      </c>
      <c r="AO709" s="71">
        <f t="shared" si="384"/>
        <v>0</v>
      </c>
      <c r="AP709" s="71">
        <f t="shared" si="385"/>
        <v>64</v>
      </c>
      <c r="AQ709" s="72">
        <f>IF(OR($H709="GIROSSOL II",$H709="GIROSSOL II e III"),INDEX('Resumo Operacional'!$A$1:$P$1103,MATCH("Energia Injetada prevista total Fatura da Usina (TUSD)",'Resumo Operacional'!$B$1:$B$1103,0),MATCH('Detalhe Por UC'!$R709,'Resumo Operacional'!$A$1:$P$1,0))*$S709,INDEX('Resumo Operacional'!$A$1:$P$1103,53,MATCH('Detalhe Por UC'!$R709,'Resumo Operacional'!$A$1:$P$1,0))*$S709)</f>
        <v>0</v>
      </c>
      <c r="AR709" s="71">
        <f t="shared" si="386"/>
        <v>64</v>
      </c>
      <c r="AS709" s="73">
        <f t="shared" si="387"/>
        <v>134.19000000000003</v>
      </c>
      <c r="AT709" s="74">
        <f t="shared" si="388"/>
        <v>134.19000000000003</v>
      </c>
      <c r="AU709" s="74">
        <f t="shared" si="389"/>
        <v>1.162808231707317</v>
      </c>
      <c r="AV709" s="74">
        <f t="shared" si="390"/>
        <v>57.353292079999996</v>
      </c>
      <c r="AW709" s="74">
        <f t="shared" si="391"/>
        <v>2.710000000000008</v>
      </c>
      <c r="AX709" s="74">
        <f t="shared" si="392"/>
        <v>77.136800000000008</v>
      </c>
      <c r="AY709" s="74">
        <f t="shared" si="393"/>
        <v>60.06</v>
      </c>
      <c r="AZ709" s="43">
        <v>60.06</v>
      </c>
      <c r="BA709" s="43">
        <v>60.06</v>
      </c>
      <c r="BB709" s="49">
        <v>60.06</v>
      </c>
      <c r="BC709" s="73" t="str">
        <f t="shared" si="394"/>
        <v/>
      </c>
      <c r="BD709" s="73">
        <f t="shared" si="395"/>
        <v>208.61680000000001</v>
      </c>
      <c r="BE709" s="73">
        <f t="shared" si="396"/>
        <v>191.54329208000001</v>
      </c>
      <c r="BF709" s="77">
        <f t="shared" si="397"/>
        <v>17.07</v>
      </c>
      <c r="BG709" s="77">
        <f t="shared" si="398"/>
        <v>5.1209999999999996</v>
      </c>
      <c r="BH709" s="77">
        <f t="shared" si="399"/>
        <v>74.4268</v>
      </c>
      <c r="BI709" s="78">
        <f t="shared" si="400"/>
        <v>0.22</v>
      </c>
      <c r="BJ709" s="79">
        <f t="shared" si="401"/>
        <v>8.182466608633629E-2</v>
      </c>
      <c r="BK709" s="80">
        <f t="shared" si="402"/>
        <v>194.25000000000003</v>
      </c>
      <c r="BL709" s="80">
        <f t="shared" si="403"/>
        <v>14.366799999999984</v>
      </c>
      <c r="BM709" s="79">
        <f t="shared" si="404"/>
        <v>6.8866936890988564E-2</v>
      </c>
      <c r="BN709" s="81">
        <f t="shared" si="405"/>
        <v>0.93843750000000004</v>
      </c>
      <c r="BO709" s="82">
        <f t="shared" si="406"/>
        <v>60.06</v>
      </c>
      <c r="BP709" s="81">
        <f t="shared" si="407"/>
        <v>0.93843750000000004</v>
      </c>
      <c r="BQ709" s="81">
        <f t="shared" si="408"/>
        <v>0.93854801829268308</v>
      </c>
      <c r="BR709" s="81">
        <f t="shared" si="409"/>
        <v>1.163029268292683</v>
      </c>
      <c r="BS709" s="82">
        <f t="shared" si="410"/>
        <v>64</v>
      </c>
      <c r="BT709" s="82">
        <f t="shared" si="411"/>
        <v>74.433873170731715</v>
      </c>
      <c r="BU709" s="82">
        <f t="shared" si="412"/>
        <v>74.4268</v>
      </c>
      <c r="BW709" s="82">
        <f>IFERROR(INDEX('Infos Clientes'!$T:$T,MATCH('Detalhe Por UC'!$C709,'Infos Clientes'!B:B,0)),"")</f>
        <v>418.16666666666669</v>
      </c>
      <c r="BX709" s="83">
        <f t="shared" si="413"/>
        <v>0</v>
      </c>
      <c r="BY709" s="84">
        <f t="shared" si="414"/>
        <v>0.19301427412014877</v>
      </c>
      <c r="BZ709" s="85">
        <f>IF(_xlfn.MINIFS('Detalhe Por UC'!R:R,'Detalhe Por UC'!C:C,C709,'Detalhe Por UC'!AD:AD,"&gt;"&amp;0)=0,"",_xlfn.MINIFS('Detalhe Por UC'!R:R,'Detalhe Por UC'!C:C,C709,'Detalhe Por UC'!AD:AD,"&gt;"&amp;0))</f>
        <v>45627</v>
      </c>
      <c r="CA709" s="114">
        <f ca="1">IF(OR(S709&gt;0,AD709&gt;0),IFERROR(
SUMIFS(INDIRECT("'Infos Clientes'!$W"&amp;INDEX('Infos Clientes'!$C:$C,MATCH(C709,'Infos Clientes'!$H:$H,0))&amp;":$CZ"&amp;INDEX('Infos Clientes'!$C:$C,MATCH(C709,'Infos Clientes'!$H:$H,0))),'Infos Clientes'!$W$2:$CZ$2,"&gt;"&amp;$R709-365,'Infos Clientes'!$W$2:$CZ$2,"&lt;="&amp;$R709)/
COUNTIFS(INDIRECT("'Infos Clientes'!$W"&amp;INDEX('Infos Clientes'!$C:$C,MATCH(C709,'Infos Clientes'!$H:$H,0))&amp;":$CZ"&amp;INDEX('Infos Clientes'!$C:$C,MATCH(C709,'Infos Clientes'!$H:$H,0))),"&gt;="&amp;0,'Infos Clientes'!$W$2:$CZ$2,"&gt;"&amp;$R709-365,'Infos Clientes'!$W$2:$CZ$2,"&lt;="&amp;$R709),""),"")</f>
        <v>364.58333333333331</v>
      </c>
      <c r="CB709" s="87">
        <f>VLOOKUP(C709,'Infos Clientes'!B:L,11,0)</f>
        <v>0</v>
      </c>
      <c r="CC709" s="88" t="str">
        <f t="shared" si="415"/>
        <v>A Unidade Consumidora 10/1672452-8 economizou R$17,07 na fatura referente à jul/2025  consumindo 64 kWh em créditos de energia renovável conforme fatura de energia. A economia foi de 22,94% em relação ao que seria pago para a Energisa considerando os créditos consumidos. Atenção: Mantenha as contas da Energisa em dia para evitar cortes.</v>
      </c>
      <c r="CE709" s="43">
        <v>134.19</v>
      </c>
      <c r="CF709" s="115">
        <f t="shared" si="416"/>
        <v>0</v>
      </c>
    </row>
    <row r="710" spans="1:84" ht="16.2" hidden="1" customHeight="1" x14ac:dyDescent="0.3">
      <c r="A710" s="105" t="str">
        <f>INDEX('Infos Clientes'!$D:$D,MATCH('Detalhe Por UC'!C710,'Infos Clientes'!B:B,0))</f>
        <v>IGREJA DO EVANGELHO QUADRANGULAR</v>
      </c>
      <c r="B710" s="106" t="str">
        <f>INDEX('Infos Clientes'!$F:$F,MATCH('Detalhe Por UC'!C710,'Infos Clientes'!B:B,0))</f>
        <v>62.955.505/3593-60</v>
      </c>
      <c r="C710" s="44" t="s">
        <v>123</v>
      </c>
      <c r="D710" t="s">
        <v>351</v>
      </c>
      <c r="E710" s="1" t="s">
        <v>352</v>
      </c>
      <c r="F710" s="56" t="str">
        <f>INDEX('Infos Clientes'!$I:$I,MATCH('Detalhe Por UC'!C710,'Infos Clientes'!B:B,0))</f>
        <v>BT</v>
      </c>
      <c r="G710" s="56" t="str">
        <f>INDEX('Infos Clientes'!$J:$J,MATCH('Detalhe Por UC'!C710,'Infos Clientes'!B:B,0))</f>
        <v>trifasico</v>
      </c>
      <c r="H710" s="108" t="s">
        <v>24</v>
      </c>
      <c r="I710" s="58">
        <f>IFERROR(VLOOKUP(C710,'Infos Clientes'!B:E,4,),"")</f>
        <v>351</v>
      </c>
      <c r="J710" s="109">
        <v>0.22939999999999999</v>
      </c>
      <c r="K710" s="79">
        <f>INDEX('Resumo Operacional'!$A$1:$P$151,MATCH("Desconto percentual Ucs",'Resumo Operacional'!$B$1:$B$151,0),MATCH('Detalhe Por UC'!$R710,'Resumo Operacional'!$A$1:$P$1,0))</f>
        <v>0.25212408425707711</v>
      </c>
      <c r="L710" s="125">
        <v>0</v>
      </c>
      <c r="M710" s="56">
        <f>INDEX('Infos Clientes'!$N:$N,MATCH('Detalhe Por UC'!C710,'Infos Clientes'!B:B,0))</f>
        <v>0</v>
      </c>
      <c r="N710" s="56">
        <f t="shared" si="381"/>
        <v>0</v>
      </c>
      <c r="O710" s="56">
        <f t="shared" si="382"/>
        <v>12</v>
      </c>
      <c r="P710" s="56">
        <f t="shared" si="417"/>
        <v>0</v>
      </c>
      <c r="Q710" s="61">
        <f>IFERROR(IFERROR(INDEX('Infos Clientes'!$A$2:$V$9884,MATCH($C710,'Infos Clientes'!$B$2:$B$9884,0),MATCH(Q$8,'Infos Clientes'!$A$2:$V$2,0)),"")
+IF(OR(INDEX('Infos Clientes'!$A$2:$V$9884,MATCH($C710,'Infos Clientes'!$B$2:$B$9884,0),MATCH("Tempo de Fidelidade (meses)",'Infos Clientes'!$A$2:$V$2,0))=0,R710&gt;=MAX(R:R)),0,
ROUND((MAX(R:R)-R710)/(365/12),0)),"")</f>
        <v>0</v>
      </c>
      <c r="R710" s="111">
        <v>45839</v>
      </c>
      <c r="S710" s="63">
        <v>0</v>
      </c>
      <c r="T710" s="113">
        <f>IF($H710="GIROSSOL II",AP710/INDEX('Resumo Operacional'!$A$1:$P$1103,17,MATCH('Detalhe Por UC'!$R710,'Resumo Operacional'!$A$1:$P$1,0)),
IF($H710="GIROSSOL II e III",AP710/INDEX('Resumo Operacional'!$A$1:$P$1103,17,MATCH('Detalhe Por UC'!$R710,'Resumo Operacional'!$A$1:$P$1,0)),
""))</f>
        <v>2.5333333333333333E-2</v>
      </c>
      <c r="U710" s="113" t="str">
        <f>IF($H710="GIROSSOL III",AP710/INDEX('Resumo Operacional'!$A$1:$P$1103,53,MATCH('Detalhe Por UC'!$R710,'Resumo Operacional'!$A$1:$P$1,0)),
IF($H710="GIROSSOL II e III",AP710/INDEX('Resumo Operacional'!$A$1:$P$1103,53,MATCH('Detalhe Por UC'!$R710,'Resumo Operacional'!$A$1:$P$1,0)),
""))</f>
        <v/>
      </c>
      <c r="V710" s="45"/>
      <c r="X710">
        <v>1.1632309859154928</v>
      </c>
      <c r="Y710">
        <v>0</v>
      </c>
      <c r="Z710" s="18">
        <v>1.0528593301435407</v>
      </c>
      <c r="AA710">
        <v>0</v>
      </c>
      <c r="AB710" s="18">
        <v>284</v>
      </c>
      <c r="AC710">
        <v>0</v>
      </c>
      <c r="AD710" s="143">
        <v>209</v>
      </c>
      <c r="AE710" s="35"/>
      <c r="AF710" s="18"/>
      <c r="AH710" s="48">
        <v>62.45</v>
      </c>
      <c r="AI710">
        <v>0</v>
      </c>
      <c r="AJ710">
        <v>0</v>
      </c>
      <c r="AN710" s="71">
        <f t="shared" si="383"/>
        <v>0</v>
      </c>
      <c r="AO710" s="71">
        <f t="shared" si="384"/>
        <v>0</v>
      </c>
      <c r="AP710" s="71">
        <f t="shared" si="385"/>
        <v>209</v>
      </c>
      <c r="AQ710" s="72">
        <f>IF(OR($H710="GIROSSOL II",$H710="GIROSSOL II e III"),INDEX('Resumo Operacional'!$A$1:$P$1103,MATCH("Energia Injetada prevista total Fatura da Usina (TUSD)",'Resumo Operacional'!$B$1:$B$1103,0),MATCH('Detalhe Por UC'!$R710,'Resumo Operacional'!$A$1:$P$1,0))*$S710,INDEX('Resumo Operacional'!$A$1:$P$1103,53,MATCH('Detalhe Por UC'!$R710,'Resumo Operacional'!$A$1:$P$1,0))*$S710)</f>
        <v>0</v>
      </c>
      <c r="AR710" s="71">
        <f t="shared" si="386"/>
        <v>209</v>
      </c>
      <c r="AS710" s="73">
        <f t="shared" si="387"/>
        <v>172.75999999999993</v>
      </c>
      <c r="AT710" s="74">
        <f t="shared" si="388"/>
        <v>172.75999999999993</v>
      </c>
      <c r="AU710" s="74">
        <f t="shared" si="389"/>
        <v>0.94248767437158865</v>
      </c>
      <c r="AV710" s="74">
        <f t="shared" si="390"/>
        <v>169.56868055999999</v>
      </c>
      <c r="AW710" s="74">
        <f t="shared" si="391"/>
        <v>3.0099999999999909</v>
      </c>
      <c r="AX710" s="74">
        <f t="shared" si="392"/>
        <v>223.05760000000001</v>
      </c>
      <c r="AY710" s="74">
        <f t="shared" si="393"/>
        <v>172.58</v>
      </c>
      <c r="AZ710" s="43">
        <v>172.58</v>
      </c>
      <c r="BA710" s="43">
        <v>172.58</v>
      </c>
      <c r="BC710" s="73" t="str">
        <f t="shared" si="394"/>
        <v/>
      </c>
      <c r="BD710" s="73">
        <f t="shared" si="395"/>
        <v>392.80759999999992</v>
      </c>
      <c r="BE710" s="73">
        <f t="shared" si="396"/>
        <v>342.32868055999995</v>
      </c>
      <c r="BF710" s="77">
        <f t="shared" si="397"/>
        <v>50.48</v>
      </c>
      <c r="BG710" s="77">
        <f t="shared" si="398"/>
        <v>15.143999999999998</v>
      </c>
      <c r="BH710" s="77">
        <f t="shared" si="399"/>
        <v>220.04760000000002</v>
      </c>
      <c r="BI710" s="78">
        <f t="shared" si="400"/>
        <v>0.23</v>
      </c>
      <c r="BJ710" s="79">
        <f t="shared" si="401"/>
        <v>0.12851075182863061</v>
      </c>
      <c r="BK710" s="80">
        <f t="shared" si="402"/>
        <v>345.33999999999992</v>
      </c>
      <c r="BL710" s="80">
        <f t="shared" si="403"/>
        <v>47.467600000000004</v>
      </c>
      <c r="BM710" s="79">
        <f t="shared" si="404"/>
        <v>0.12084185743860357</v>
      </c>
      <c r="BN710" s="81">
        <f t="shared" si="405"/>
        <v>0.82574162679425844</v>
      </c>
      <c r="BO710" s="82">
        <f t="shared" si="406"/>
        <v>172.58</v>
      </c>
      <c r="BP710" s="81">
        <f t="shared" si="407"/>
        <v>0.82574162679425844</v>
      </c>
      <c r="BQ710" s="81">
        <f t="shared" si="408"/>
        <v>0.93611328256621051</v>
      </c>
      <c r="BR710" s="81">
        <f t="shared" si="409"/>
        <v>1.1632309859154928</v>
      </c>
      <c r="BS710" s="82">
        <f t="shared" si="410"/>
        <v>209</v>
      </c>
      <c r="BT710" s="82">
        <f t="shared" si="411"/>
        <v>243.11527605633799</v>
      </c>
      <c r="BU710" s="82">
        <f t="shared" si="412"/>
        <v>220.04760000000002</v>
      </c>
      <c r="BW710" s="82">
        <f>IFERROR(INDEX('Infos Clientes'!$T:$T,MATCH('Detalhe Por UC'!$C710,'Infos Clientes'!B:B,0)),"")</f>
        <v>409.33333333333331</v>
      </c>
      <c r="BX710" s="83">
        <f t="shared" si="413"/>
        <v>0</v>
      </c>
      <c r="BY710" s="84">
        <f t="shared" si="414"/>
        <v>0.19524729490466142</v>
      </c>
      <c r="BZ710" s="85">
        <f>IF(_xlfn.MINIFS('Detalhe Por UC'!R:R,'Detalhe Por UC'!C:C,C710,'Detalhe Por UC'!AD:AD,"&gt;"&amp;0)=0,"",_xlfn.MINIFS('Detalhe Por UC'!R:R,'Detalhe Por UC'!C:C,C710,'Detalhe Por UC'!AD:AD,"&gt;"&amp;0))</f>
        <v>45627</v>
      </c>
      <c r="CA710" s="114">
        <f ca="1">IF(OR(S710&gt;0,AD710&gt;0),IFERROR(
SUMIFS(INDIRECT("'Infos Clientes'!$W"&amp;INDEX('Infos Clientes'!$C:$C,MATCH(C710,'Infos Clientes'!$H:$H,0))&amp;":$CZ"&amp;INDEX('Infos Clientes'!$C:$C,MATCH(C710,'Infos Clientes'!$H:$H,0))),'Infos Clientes'!$W$2:$CZ$2,"&gt;"&amp;$R710-365,'Infos Clientes'!$W$2:$CZ$2,"&lt;="&amp;$R710)/
COUNTIFS(INDIRECT("'Infos Clientes'!$W"&amp;INDEX('Infos Clientes'!$C:$C,MATCH(C710,'Infos Clientes'!$H:$H,0))&amp;":$CZ"&amp;INDEX('Infos Clientes'!$C:$C,MATCH(C710,'Infos Clientes'!$H:$H,0))),"&gt;="&amp;0,'Infos Clientes'!$W$2:$CZ$2,"&gt;"&amp;$R710-365,'Infos Clientes'!$W$2:$CZ$2,"&lt;="&amp;$R710),""),"")</f>
        <v>399.66666666666669</v>
      </c>
      <c r="CB710" s="87">
        <f>VLOOKUP(C710,'Infos Clientes'!B:L,11,0)</f>
        <v>0</v>
      </c>
      <c r="CC710" s="88" t="str">
        <f t="shared" si="415"/>
        <v>A Unidade Consumidora 10/532723-4 economizou R$50,48 na fatura referente à jul/2025  consumindo 209 kWh em créditos de energia renovável conforme fatura de energia. A economia foi de 22,94% em relação ao que seria pago para a Energisa considerando os créditos consumidos. Atenção: Mantenha as contas da Energisa em dia para evitar cortes.</v>
      </c>
      <c r="CE710" s="43">
        <v>172.76</v>
      </c>
      <c r="CF710" s="115">
        <f t="shared" si="416"/>
        <v>0</v>
      </c>
    </row>
    <row r="711" spans="1:84" ht="16.2" hidden="1" customHeight="1" x14ac:dyDescent="0.3">
      <c r="A711" s="105" t="str">
        <f>INDEX('Infos Clientes'!$D:$D,MATCH('Detalhe Por UC'!C711,'Infos Clientes'!B:B,0))</f>
        <v>IGREJA DO EVANGELHO QUADRANGULAR</v>
      </c>
      <c r="B711" s="106" t="str">
        <f>INDEX('Infos Clientes'!$F:$F,MATCH('Detalhe Por UC'!C711,'Infos Clientes'!B:B,0))</f>
        <v>62.955.505/1822-57</v>
      </c>
      <c r="C711" s="44" t="s">
        <v>25</v>
      </c>
      <c r="D711" t="s">
        <v>351</v>
      </c>
      <c r="E711" s="1" t="s">
        <v>352</v>
      </c>
      <c r="F711" s="56" t="str">
        <f>INDEX('Infos Clientes'!$I:$I,MATCH('Detalhe Por UC'!C711,'Infos Clientes'!B:B,0))</f>
        <v>BT</v>
      </c>
      <c r="G711" s="56" t="str">
        <f>INDEX('Infos Clientes'!$J:$J,MATCH('Detalhe Por UC'!C711,'Infos Clientes'!B:B,0))</f>
        <v>trifasico</v>
      </c>
      <c r="H711" s="108" t="s">
        <v>24</v>
      </c>
      <c r="I711" s="58">
        <f>IFERROR(VLOOKUP(C711,'Infos Clientes'!B:E,4,),"")</f>
        <v>319</v>
      </c>
      <c r="J711" s="109">
        <v>0.22939999999999999</v>
      </c>
      <c r="K711" s="79">
        <f>INDEX('Resumo Operacional'!$A$1:$P$151,MATCH("Desconto percentual Ucs",'Resumo Operacional'!$B$1:$B$151,0),MATCH('Detalhe Por UC'!$R711,'Resumo Operacional'!$A$1:$P$1,0))</f>
        <v>0.25212408425707711</v>
      </c>
      <c r="L711" s="125">
        <v>0</v>
      </c>
      <c r="M711" s="56">
        <f>INDEX('Infos Clientes'!$N:$N,MATCH('Detalhe Por UC'!C711,'Infos Clientes'!B:B,0))</f>
        <v>0</v>
      </c>
      <c r="N711" s="56">
        <f t="shared" si="381"/>
        <v>0</v>
      </c>
      <c r="O711" s="56">
        <f t="shared" si="382"/>
        <v>12</v>
      </c>
      <c r="P711" s="56">
        <f t="shared" si="417"/>
        <v>0</v>
      </c>
      <c r="Q711" s="61">
        <f>IFERROR(IFERROR(INDEX('Infos Clientes'!$A$2:$V$9884,MATCH($C711,'Infos Clientes'!$B$2:$B$9884,0),MATCH(Q$8,'Infos Clientes'!$A$2:$V$2,0)),"")
+IF(OR(INDEX('Infos Clientes'!$A$2:$V$9884,MATCH($C711,'Infos Clientes'!$B$2:$B$9884,0),MATCH("Tempo de Fidelidade (meses)",'Infos Clientes'!$A$2:$V$2,0))=0,R711&gt;=MAX(R:R)),0,
ROUND((MAX(R:R)-R711)/(365/12),0)),"")</f>
        <v>0</v>
      </c>
      <c r="R711" s="111">
        <v>45839</v>
      </c>
      <c r="S711" s="63">
        <v>0</v>
      </c>
      <c r="T711" s="113">
        <f>IF($H711="GIROSSOL II",AP711/INDEX('Resumo Operacional'!$A$1:$P$1103,17,MATCH('Detalhe Por UC'!$R711,'Resumo Operacional'!$A$1:$P$1,0)),
IF($H711="GIROSSOL II e III",AP711/INDEX('Resumo Operacional'!$A$1:$P$1103,17,MATCH('Detalhe Por UC'!$R711,'Resumo Operacional'!$A$1:$P$1,0)),
""))</f>
        <v>1.006060606060606E-2</v>
      </c>
      <c r="U711" s="113" t="str">
        <f>IF($H711="GIROSSOL III",AP711/INDEX('Resumo Operacional'!$A$1:$P$1103,53,MATCH('Detalhe Por UC'!$R711,'Resumo Operacional'!$A$1:$P$1,0)),
IF($H711="GIROSSOL II e III",AP711/INDEX('Resumo Operacional'!$A$1:$P$1103,53,MATCH('Detalhe Por UC'!$R711,'Resumo Operacional'!$A$1:$P$1,0)),
""))</f>
        <v/>
      </c>
      <c r="V711" s="45"/>
      <c r="X711">
        <v>1.1630944604128561</v>
      </c>
      <c r="Y711">
        <v>0</v>
      </c>
      <c r="Z711" s="18">
        <v>1.0402680384459186</v>
      </c>
      <c r="AA711">
        <v>0</v>
      </c>
      <c r="AB711" s="18">
        <v>172</v>
      </c>
      <c r="AC711">
        <v>0</v>
      </c>
      <c r="AD711" s="143">
        <v>83</v>
      </c>
      <c r="AE711" s="35"/>
      <c r="AF711" s="18"/>
      <c r="AH711" s="48">
        <v>92.820000000000007</v>
      </c>
      <c r="AI711">
        <v>0</v>
      </c>
      <c r="AJ711">
        <v>0</v>
      </c>
      <c r="AN711" s="71">
        <f t="shared" si="383"/>
        <v>0</v>
      </c>
      <c r="AO711" s="71">
        <f t="shared" si="384"/>
        <v>0</v>
      </c>
      <c r="AP711" s="71">
        <f t="shared" si="385"/>
        <v>83</v>
      </c>
      <c r="AQ711" s="72">
        <f>IF(OR($H711="GIROSSOL II",$H711="GIROSSOL II e III"),INDEX('Resumo Operacional'!$A$1:$P$1103,MATCH("Energia Injetada prevista total Fatura da Usina (TUSD)",'Resumo Operacional'!$B$1:$B$1103,0),MATCH('Detalhe Por UC'!$R711,'Resumo Operacional'!$A$1:$P$1,0))*$S711,INDEX('Resumo Operacional'!$A$1:$P$1103,53,MATCH('Detalhe Por UC'!$R711,'Resumo Operacional'!$A$1:$P$1,0))*$S711)</f>
        <v>0</v>
      </c>
      <c r="AR711" s="71">
        <f t="shared" si="386"/>
        <v>83</v>
      </c>
      <c r="AS711" s="73">
        <f t="shared" si="387"/>
        <v>206.53</v>
      </c>
      <c r="AT711" s="74">
        <f t="shared" si="388"/>
        <v>206.53</v>
      </c>
      <c r="AU711" s="74">
        <f t="shared" si="389"/>
        <v>0.91744161647898115</v>
      </c>
      <c r="AV711" s="74">
        <f t="shared" si="390"/>
        <v>66.535335685393264</v>
      </c>
      <c r="AW711" s="74">
        <f t="shared" si="391"/>
        <v>2.6500000000000057</v>
      </c>
      <c r="AX711" s="74">
        <f t="shared" si="392"/>
        <v>88.992247191011259</v>
      </c>
      <c r="AY711" s="74">
        <f t="shared" si="393"/>
        <v>69.19</v>
      </c>
      <c r="AZ711" s="43">
        <v>69.19</v>
      </c>
      <c r="BA711" s="43">
        <v>69.19</v>
      </c>
      <c r="BB711" s="49">
        <v>69.19</v>
      </c>
      <c r="BC711" s="73" t="str">
        <f t="shared" si="394"/>
        <v/>
      </c>
      <c r="BD711" s="73">
        <f t="shared" si="395"/>
        <v>292.87224719101124</v>
      </c>
      <c r="BE711" s="73">
        <f t="shared" si="396"/>
        <v>273.06533568539328</v>
      </c>
      <c r="BF711" s="77">
        <f t="shared" si="397"/>
        <v>19.809999999999999</v>
      </c>
      <c r="BG711" s="77">
        <f t="shared" si="398"/>
        <v>5.9429999999999996</v>
      </c>
      <c r="BH711" s="77">
        <f t="shared" si="399"/>
        <v>86.342247191011239</v>
      </c>
      <c r="BI711" s="78">
        <f t="shared" si="400"/>
        <v>0.22</v>
      </c>
      <c r="BJ711" s="79">
        <f t="shared" si="401"/>
        <v>6.7640413832314811E-2</v>
      </c>
      <c r="BK711" s="80">
        <f t="shared" si="402"/>
        <v>275.72000000000003</v>
      </c>
      <c r="BL711" s="80">
        <f t="shared" si="403"/>
        <v>17.152247191011213</v>
      </c>
      <c r="BM711" s="79">
        <f t="shared" si="404"/>
        <v>5.8565628377292164E-2</v>
      </c>
      <c r="BN711" s="81">
        <f t="shared" si="405"/>
        <v>0.83361445783132526</v>
      </c>
      <c r="BO711" s="82">
        <f t="shared" si="406"/>
        <v>69.19</v>
      </c>
      <c r="BP711" s="81">
        <f t="shared" si="407"/>
        <v>0.83361445783132526</v>
      </c>
      <c r="BQ711" s="81">
        <f t="shared" si="408"/>
        <v>0.95644087979826276</v>
      </c>
      <c r="BR711" s="81">
        <f t="shared" si="409"/>
        <v>1.1630944604128561</v>
      </c>
      <c r="BS711" s="82">
        <f t="shared" si="410"/>
        <v>83</v>
      </c>
      <c r="BT711" s="82">
        <f t="shared" si="411"/>
        <v>96.536840214267059</v>
      </c>
      <c r="BU711" s="82">
        <f t="shared" si="412"/>
        <v>86.342247191011253</v>
      </c>
      <c r="BW711" s="82">
        <f>IFERROR(INDEX('Infos Clientes'!$T:$T,MATCH('Detalhe Por UC'!$C711,'Infos Clientes'!B:B,0)),"")</f>
        <v>453.58333333333331</v>
      </c>
      <c r="BX711" s="83">
        <f t="shared" si="413"/>
        <v>0</v>
      </c>
      <c r="BY711" s="84">
        <f t="shared" si="414"/>
        <v>0.17767566405676019</v>
      </c>
      <c r="BZ711" s="85">
        <f>IF(_xlfn.MINIFS('Detalhe Por UC'!R:R,'Detalhe Por UC'!C:C,C711,'Detalhe Por UC'!AD:AD,"&gt;"&amp;0)=0,"",_xlfn.MINIFS('Detalhe Por UC'!R:R,'Detalhe Por UC'!C:C,C711,'Detalhe Por UC'!AD:AD,"&gt;"&amp;0))</f>
        <v>45627</v>
      </c>
      <c r="CA711" s="114">
        <f ca="1">IF(OR(S711&gt;0,AD711&gt;0),IFERROR(
SUMIFS(INDIRECT("'Infos Clientes'!$W"&amp;INDEX('Infos Clientes'!$C:$C,MATCH(C711,'Infos Clientes'!$H:$H,0))&amp;":$CZ"&amp;INDEX('Infos Clientes'!$C:$C,MATCH(C711,'Infos Clientes'!$H:$H,0))),'Infos Clientes'!$W$2:$CZ$2,"&gt;"&amp;$R711-365,'Infos Clientes'!$W$2:$CZ$2,"&lt;="&amp;$R711)/
COUNTIFS(INDIRECT("'Infos Clientes'!$W"&amp;INDEX('Infos Clientes'!$C:$C,MATCH(C711,'Infos Clientes'!$H:$H,0))&amp;":$CZ"&amp;INDEX('Infos Clientes'!$C:$C,MATCH(C711,'Infos Clientes'!$H:$H,0))),"&gt;="&amp;0,'Infos Clientes'!$W$2:$CZ$2,"&gt;"&amp;$R711-365,'Infos Clientes'!$W$2:$CZ$2,"&lt;="&amp;$R711),""),"")</f>
        <v>397.75</v>
      </c>
      <c r="CB711" s="87">
        <f>VLOOKUP(C711,'Infos Clientes'!B:L,11,0)</f>
        <v>0</v>
      </c>
      <c r="CC711" s="88" t="str">
        <f t="shared" si="415"/>
        <v>A Unidade Consumidora 10/1035655-8 economizou R$19,81 na fatura referente à jul/2025  consumindo 83 kWh em créditos de energia renovável conforme fatura de energia. A economia foi de 22,94% em relação ao que seria pago para a Energisa considerando os créditos consumidos. Atenção: Mantenha as contas da Energisa em dia para evitar cortes.</v>
      </c>
      <c r="CE711" s="43">
        <v>206.53</v>
      </c>
      <c r="CF711" s="115">
        <f t="shared" si="416"/>
        <v>0</v>
      </c>
    </row>
    <row r="712" spans="1:84" ht="16.2" hidden="1" customHeight="1" x14ac:dyDescent="0.3">
      <c r="A712" s="105" t="str">
        <f>INDEX('Infos Clientes'!$D:$D,MATCH('Detalhe Por UC'!C712,'Infos Clientes'!B:B,0))</f>
        <v>IGREJA DO EVANGELHO QUADRANGULAR</v>
      </c>
      <c r="B712" s="106" t="str">
        <f>INDEX('Infos Clientes'!$F:$F,MATCH('Detalhe Por UC'!C712,'Infos Clientes'!B:B,0))</f>
        <v>62.955.505/4027-10</v>
      </c>
      <c r="C712" s="44" t="s">
        <v>126</v>
      </c>
      <c r="D712" t="s">
        <v>351</v>
      </c>
      <c r="E712" s="1" t="s">
        <v>352</v>
      </c>
      <c r="F712" s="56" t="str">
        <f>INDEX('Infos Clientes'!$I:$I,MATCH('Detalhe Por UC'!C712,'Infos Clientes'!B:B,0))</f>
        <v>BT</v>
      </c>
      <c r="G712" s="56" t="str">
        <f>INDEX('Infos Clientes'!$J:$J,MATCH('Detalhe Por UC'!C712,'Infos Clientes'!B:B,0))</f>
        <v>trifasico</v>
      </c>
      <c r="H712" s="47" t="str">
        <f>HYPERLINK("https://geraebcsp.sharepoint.com/sites/gestao.gdc/Shared Documents/EGS/2- Faturas/"&amp; TEXT($R712,"AAA") &amp;"/"&amp; TEXT($R712,"MM") &amp;"."&amp; TEXT($R712,"AAA") &amp;"/"&amp;"_10-"&amp; RIGHT($C712,LEN($C712)-3) &amp;"_" &amp; TEXT($R712,"AAAA") &amp;"-"&amp; TEXT($R712,"MM") &amp;".pdf","GIROSSOL II")</f>
        <v>GIROSSOL II</v>
      </c>
      <c r="I712" s="58">
        <f>IFERROR(VLOOKUP(C712,'Infos Clientes'!B:E,4,),"")</f>
        <v>994</v>
      </c>
      <c r="J712" s="109">
        <v>0.22939999999999999</v>
      </c>
      <c r="K712" s="79">
        <f>INDEX('Resumo Operacional'!$A$1:$P$151,MATCH("Desconto percentual Ucs",'Resumo Operacional'!$B$1:$B$151,0),MATCH('Detalhe Por UC'!$R712,'Resumo Operacional'!$A$1:$P$1,0))</f>
        <v>0.25212408425707711</v>
      </c>
      <c r="L712" s="125">
        <v>0</v>
      </c>
      <c r="M712" s="56">
        <f>INDEX('Infos Clientes'!$N:$N,MATCH('Detalhe Por UC'!C712,'Infos Clientes'!B:B,0))</f>
        <v>0</v>
      </c>
      <c r="N712" s="56">
        <f t="shared" si="381"/>
        <v>0</v>
      </c>
      <c r="O712" s="56">
        <f t="shared" si="382"/>
        <v>12</v>
      </c>
      <c r="P712" s="56">
        <f t="shared" si="417"/>
        <v>0</v>
      </c>
      <c r="Q712" s="61">
        <f>IFERROR(IFERROR(INDEX('Infos Clientes'!$A$2:$V$9884,MATCH($C712,'Infos Clientes'!$B$2:$B$9884,0),MATCH(Q$8,'Infos Clientes'!$A$2:$V$2,0)),"")
+IF(OR(INDEX('Infos Clientes'!$A$2:$V$9884,MATCH($C712,'Infos Clientes'!$B$2:$B$9884,0),MATCH("Tempo de Fidelidade (meses)",'Infos Clientes'!$A$2:$V$2,0))=0,R712&gt;=MAX(R:R)),0,
ROUND((MAX(R:R)-R712)/(365/12),0)),"")</f>
        <v>0</v>
      </c>
      <c r="R712" s="111">
        <v>45839</v>
      </c>
      <c r="S712" s="63">
        <v>0</v>
      </c>
      <c r="T712" s="113">
        <f>IF($H712="GIROSSOL II",AP712/INDEX('Resumo Operacional'!$A$1:$P$1103,17,MATCH('Detalhe Por UC'!$R712,'Resumo Operacional'!$A$1:$P$1,0)),
IF($H712="GIROSSOL II e III",AP712/INDEX('Resumo Operacional'!$A$1:$P$1103,17,MATCH('Detalhe Por UC'!$R712,'Resumo Operacional'!$A$1:$P$1,0)),
""))</f>
        <v>6.193939393939394E-2</v>
      </c>
      <c r="U712" s="113" t="str">
        <f>IF($H712="GIROSSOL III",AP712/INDEX('Resumo Operacional'!$A$1:$P$1103,53,MATCH('Detalhe Por UC'!$R712,'Resumo Operacional'!$A$1:$P$1,0)),
IF($H712="GIROSSOL II e III",AP712/INDEX('Resumo Operacional'!$A$1:$P$1103,53,MATCH('Detalhe Por UC'!$R712,'Resumo Operacional'!$A$1:$P$1,0)),
""))</f>
        <v/>
      </c>
      <c r="V712" s="45"/>
      <c r="X712">
        <v>1.1631689814814814</v>
      </c>
      <c r="Y712">
        <v>0</v>
      </c>
      <c r="Z712" s="18">
        <v>1.1379058908045976</v>
      </c>
      <c r="AA712">
        <v>0</v>
      </c>
      <c r="AB712" s="18">
        <v>270</v>
      </c>
      <c r="AC712">
        <v>0</v>
      </c>
      <c r="AD712" s="143">
        <v>174</v>
      </c>
      <c r="AE712" s="35"/>
      <c r="AF712" s="18">
        <v>337</v>
      </c>
      <c r="AG712">
        <v>0</v>
      </c>
      <c r="AH712" s="48">
        <v>59.88</v>
      </c>
      <c r="AI712">
        <v>0</v>
      </c>
      <c r="AJ712">
        <v>0</v>
      </c>
      <c r="AN712" s="71">
        <f t="shared" si="383"/>
        <v>337</v>
      </c>
      <c r="AO712" s="71">
        <f t="shared" si="384"/>
        <v>0</v>
      </c>
      <c r="AP712" s="71">
        <f t="shared" si="385"/>
        <v>511</v>
      </c>
      <c r="AQ712" s="72">
        <f>IF(OR($H712="GIROSSOL II",$H712="GIROSSOL II e III"),INDEX('Resumo Operacional'!$A$1:$P$1103,MATCH("Energia Injetada prevista total Fatura da Usina (TUSD)",'Resumo Operacional'!$B$1:$B$1103,0),MATCH('Detalhe Por UC'!$R712,'Resumo Operacional'!$A$1:$P$1,0))*$S712,INDEX('Resumo Operacional'!$A$1:$P$1103,53,MATCH('Detalhe Por UC'!$R712,'Resumo Operacional'!$A$1:$P$1,0))*$S712)</f>
        <v>0</v>
      </c>
      <c r="AR712" s="71">
        <f t="shared" si="386"/>
        <v>511</v>
      </c>
      <c r="AS712" s="73">
        <f t="shared" si="387"/>
        <v>175.93999999999997</v>
      </c>
      <c r="AT712" s="74">
        <f t="shared" si="388"/>
        <v>175.93999999999997</v>
      </c>
      <c r="AU712" s="74">
        <f t="shared" si="389"/>
        <v>1.1126428001277138</v>
      </c>
      <c r="AV712" s="74">
        <f t="shared" si="390"/>
        <v>152.57542862499997</v>
      </c>
      <c r="AW712" s="74">
        <f t="shared" si="391"/>
        <v>3.7800000000000011</v>
      </c>
      <c r="AX712" s="74">
        <f t="shared" si="392"/>
        <v>201.77562499999999</v>
      </c>
      <c r="AY712" s="74">
        <f t="shared" si="393"/>
        <v>156.36000000000001</v>
      </c>
      <c r="AZ712" s="43">
        <v>156.36000000000001</v>
      </c>
      <c r="BA712" s="43">
        <v>156.36000000000001</v>
      </c>
      <c r="BB712" s="49">
        <v>156.36000000000001</v>
      </c>
      <c r="BC712" s="73" t="str">
        <f t="shared" si="394"/>
        <v/>
      </c>
      <c r="BD712" s="73">
        <f t="shared" si="395"/>
        <v>373.93562499999996</v>
      </c>
      <c r="BE712" s="73">
        <f t="shared" si="396"/>
        <v>328.51542862499991</v>
      </c>
      <c r="BF712" s="77">
        <f t="shared" si="397"/>
        <v>45.42</v>
      </c>
      <c r="BG712" s="77">
        <f t="shared" si="398"/>
        <v>13.625999999999999</v>
      </c>
      <c r="BH712" s="77">
        <f t="shared" si="399"/>
        <v>197.99562499999996</v>
      </c>
      <c r="BI712" s="78">
        <f t="shared" si="400"/>
        <v>0.23</v>
      </c>
      <c r="BJ712" s="79">
        <f t="shared" si="401"/>
        <v>0.12146475746995224</v>
      </c>
      <c r="BK712" s="80">
        <f t="shared" si="402"/>
        <v>332.29999999999995</v>
      </c>
      <c r="BL712" s="80">
        <f t="shared" si="403"/>
        <v>41.635625000000005</v>
      </c>
      <c r="BM712" s="79">
        <f t="shared" si="404"/>
        <v>0.11134436575814355</v>
      </c>
      <c r="BN712" s="81">
        <f t="shared" si="405"/>
        <v>0.8986206896551725</v>
      </c>
      <c r="BO712" s="82">
        <f t="shared" si="406"/>
        <v>156.36000000000001</v>
      </c>
      <c r="BP712" s="81">
        <f t="shared" si="407"/>
        <v>0.8986206896551725</v>
      </c>
      <c r="BQ712" s="81">
        <f t="shared" si="408"/>
        <v>0.92388378033205631</v>
      </c>
      <c r="BR712" s="81">
        <f t="shared" si="409"/>
        <v>1.1631689814814814</v>
      </c>
      <c r="BS712" s="82">
        <f t="shared" si="410"/>
        <v>174</v>
      </c>
      <c r="BT712" s="82">
        <f t="shared" si="411"/>
        <v>202.39140277777776</v>
      </c>
      <c r="BU712" s="82">
        <f t="shared" si="412"/>
        <v>197.99562499999999</v>
      </c>
      <c r="BW712" s="82">
        <f>IFERROR(INDEX('Infos Clientes'!$T:$T,MATCH('Detalhe Por UC'!$C712,'Infos Clientes'!B:B,0)),"")</f>
        <v>274.25</v>
      </c>
      <c r="BX712" s="83">
        <f t="shared" si="413"/>
        <v>0</v>
      </c>
      <c r="BY712" s="84">
        <f t="shared" si="414"/>
        <v>0.20571834785746881</v>
      </c>
      <c r="BZ712" s="85">
        <f>IF(_xlfn.MINIFS('Detalhe Por UC'!R:R,'Detalhe Por UC'!C:C,C712,'Detalhe Por UC'!AD:AD,"&gt;"&amp;0)=0,"",_xlfn.MINIFS('Detalhe Por UC'!R:R,'Detalhe Por UC'!C:C,C712,'Detalhe Por UC'!AD:AD,"&gt;"&amp;0))</f>
        <v>45627</v>
      </c>
      <c r="CA712" s="114">
        <f ca="1">IF(OR(S712&gt;0,AD712&gt;0),IFERROR(
SUMIFS(INDIRECT("'Infos Clientes'!$W"&amp;INDEX('Infos Clientes'!$C:$C,MATCH(C712,'Infos Clientes'!$H:$H,0))&amp;":$CZ"&amp;INDEX('Infos Clientes'!$C:$C,MATCH(C712,'Infos Clientes'!$H:$H,0))),'Infos Clientes'!$W$2:$CZ$2,"&gt;"&amp;$R712-365,'Infos Clientes'!$W$2:$CZ$2,"&lt;="&amp;$R712)/
COUNTIFS(INDIRECT("'Infos Clientes'!$W"&amp;INDEX('Infos Clientes'!$C:$C,MATCH(C712,'Infos Clientes'!$H:$H,0))&amp;":$CZ"&amp;INDEX('Infos Clientes'!$C:$C,MATCH(C712,'Infos Clientes'!$H:$H,0))),"&gt;="&amp;0,'Infos Clientes'!$W$2:$CZ$2,"&gt;"&amp;$R712-365,'Infos Clientes'!$W$2:$CZ$2,"&lt;="&amp;$R712),""),"")</f>
        <v>310.58333333333331</v>
      </c>
      <c r="CB712" s="87">
        <f>VLOOKUP(C712,'Infos Clientes'!B:L,11,0)</f>
        <v>0</v>
      </c>
      <c r="CC712" s="88" t="str">
        <f t="shared" si="415"/>
        <v>A Unidade Consumidora 10/931327-1 economizou R$45,42 na fatura referente à jul/2025  consumindo 174 kWh em créditos de energia renovável conforme fatura de energia. A economia foi de 22,94% em relação ao que seria pago para a Energisa considerando os créditos consumidos. Atenção: Mantenha as contas da Energisa em dia para evitar cortes.</v>
      </c>
      <c r="CE712" s="43">
        <v>175.94</v>
      </c>
      <c r="CF712" s="115">
        <f t="shared" si="416"/>
        <v>0</v>
      </c>
    </row>
    <row r="713" spans="1:84" ht="16.2" hidden="1" customHeight="1" x14ac:dyDescent="0.3">
      <c r="A713" s="105" t="str">
        <f>INDEX('Infos Clientes'!$D:$D,MATCH('Detalhe Por UC'!C713,'Infos Clientes'!B:B,0))</f>
        <v>IGREJA DO EVANGELHO QUADRANGULAR</v>
      </c>
      <c r="B713" s="106" t="str">
        <f>INDEX('Infos Clientes'!$F:$F,MATCH('Detalhe Por UC'!C713,'Infos Clientes'!B:B,0))</f>
        <v>62.955.505/0914-56</v>
      </c>
      <c r="C713" s="44" t="s">
        <v>134</v>
      </c>
      <c r="D713" t="s">
        <v>351</v>
      </c>
      <c r="E713" s="1" t="s">
        <v>352</v>
      </c>
      <c r="F713" s="56" t="str">
        <f>INDEX('Infos Clientes'!$I:$I,MATCH('Detalhe Por UC'!C713,'Infos Clientes'!B:B,0))</f>
        <v>BT</v>
      </c>
      <c r="G713" s="56" t="str">
        <f>INDEX('Infos Clientes'!$J:$J,MATCH('Detalhe Por UC'!C713,'Infos Clientes'!B:B,0))</f>
        <v>monofasico</v>
      </c>
      <c r="H713" s="108" t="s">
        <v>24</v>
      </c>
      <c r="I713" s="58">
        <f>IFERROR(VLOOKUP(C713,'Infos Clientes'!B:E,4,),"")</f>
        <v>0</v>
      </c>
      <c r="J713" s="109">
        <v>0.22939999999999999</v>
      </c>
      <c r="K713" s="79">
        <f>INDEX('Resumo Operacional'!$A$1:$P$151,MATCH("Desconto percentual Ucs",'Resumo Operacional'!$B$1:$B$151,0),MATCH('Detalhe Por UC'!$R713,'Resumo Operacional'!$A$1:$P$1,0))</f>
        <v>0.25212408425707711</v>
      </c>
      <c r="L713" s="125">
        <v>0</v>
      </c>
      <c r="M713" s="56">
        <f>INDEX('Infos Clientes'!$N:$N,MATCH('Detalhe Por UC'!C713,'Infos Clientes'!B:B,0))</f>
        <v>0</v>
      </c>
      <c r="N713" s="56">
        <f t="shared" ref="N713:N756" si="418">COUNTIFS(C:C,C713,J:J,L713)</f>
        <v>0</v>
      </c>
      <c r="O713" s="56">
        <f t="shared" ref="O713:O756" si="419">COUNTIFS(C:C,C713,AD:AD,"&gt;0")</f>
        <v>10</v>
      </c>
      <c r="P713" s="56">
        <f t="shared" si="417"/>
        <v>0</v>
      </c>
      <c r="Q713" s="61">
        <f>IFERROR(IFERROR(INDEX('Infos Clientes'!$A$2:$V$9884,MATCH($C713,'Infos Clientes'!$B$2:$B$9884,0),MATCH(Q$8,'Infos Clientes'!$A$2:$V$2,0)),"")
+IF(OR(INDEX('Infos Clientes'!$A$2:$V$9884,MATCH($C713,'Infos Clientes'!$B$2:$B$9884,0),MATCH("Tempo de Fidelidade (meses)",'Infos Clientes'!$A$2:$V$2,0))=0,R713&gt;=MAX(R:R)),0,
ROUND((MAX(R:R)-R713)/(365/12),0)),"")</f>
        <v>0</v>
      </c>
      <c r="R713" s="111">
        <v>45839</v>
      </c>
      <c r="S713" s="63">
        <v>0</v>
      </c>
      <c r="T713" s="113">
        <f>IF($H713="GIROSSOL II",AP713/INDEX('Resumo Operacional'!$A$1:$P$1103,17,MATCH('Detalhe Por UC'!$R713,'Resumo Operacional'!$A$1:$P$1,0)),
IF($H713="GIROSSOL II e III",AP713/INDEX('Resumo Operacional'!$A$1:$P$1103,17,MATCH('Detalhe Por UC'!$R713,'Resumo Operacional'!$A$1:$P$1,0)),
""))</f>
        <v>9.2121212121212114E-3</v>
      </c>
      <c r="U713" s="113" t="str">
        <f>IF($H713="GIROSSOL III",AP713/INDEX('Resumo Operacional'!$A$1:$P$1103,53,MATCH('Detalhe Por UC'!$R713,'Resumo Operacional'!$A$1:$P$1,0)),
IF($H713="GIROSSOL II e III",AP713/INDEX('Resumo Operacional'!$A$1:$P$1103,53,MATCH('Detalhe Por UC'!$R713,'Resumo Operacional'!$A$1:$P$1,0)),
""))</f>
        <v/>
      </c>
      <c r="V713" s="45"/>
      <c r="X713">
        <v>1.1634707903780068</v>
      </c>
      <c r="Y713">
        <v>0</v>
      </c>
      <c r="Z713" s="18">
        <v>1.0519298245614035</v>
      </c>
      <c r="AA713">
        <v>0</v>
      </c>
      <c r="AB713" s="18">
        <v>97</v>
      </c>
      <c r="AC713">
        <v>0</v>
      </c>
      <c r="AD713" s="143">
        <v>76</v>
      </c>
      <c r="AE713" s="35"/>
      <c r="AF713" s="18"/>
      <c r="AH713" s="48">
        <v>47.989999999999995</v>
      </c>
      <c r="AI713">
        <v>0</v>
      </c>
      <c r="AJ713">
        <v>0</v>
      </c>
      <c r="AN713" s="71">
        <f t="shared" ref="AN713:AN776" si="420">IF(X713="","",AF713-SUMIFS(AF:AF,$C:$C,$C713,$R:$R,EDATE($R713,-1)))</f>
        <v>0</v>
      </c>
      <c r="AO713" s="71">
        <f t="shared" ref="AO713:AO776" si="421">IF(X713="","",AG713-SUMIFS(AG:AG,$H:$H,$H713,$C:$C,$C713,$R:$R,EDATE($R713,-1)))</f>
        <v>0</v>
      </c>
      <c r="AP713" s="71">
        <f t="shared" ref="AP713:AP776" si="422">IFERROR(IF(D713="CRÉD. CONSUMIDO",SUM(AD713,AE713,AN713,AO713),IF(D713="GERADO",AQ713)),"")</f>
        <v>76</v>
      </c>
      <c r="AQ713" s="72">
        <f>IF(OR($H713="GIROSSOL II",$H713="GIROSSOL II e III"),INDEX('Resumo Operacional'!$A$1:$P$1103,MATCH("Energia Injetada prevista total Fatura da Usina (TUSD)",'Resumo Operacional'!$B$1:$B$1103,0),MATCH('Detalhe Por UC'!$R713,'Resumo Operacional'!$A$1:$P$1,0))*$S713,INDEX('Resumo Operacional'!$A$1:$P$1103,53,MATCH('Detalhe Por UC'!$R713,'Resumo Operacional'!$A$1:$P$1,0))*$S713)</f>
        <v>0</v>
      </c>
      <c r="AR713" s="71">
        <f t="shared" ref="AR713:AR776" si="423">IF(X713="","",AP713-AQ713)</f>
        <v>76</v>
      </c>
      <c r="AS713" s="73">
        <f t="shared" ref="AS713:AS776" si="424">IFERROR((X713*AB713-Z713*AD713+Y713*AC713-AA713*AE713)+AH713+
IF(F713&lt;&gt;"BT",0,
IF(AND(G713="trifasico",AD713=0,AB713&lt;100),X713*(100-(AB713-AD713)),
IF(AND(G713="bifasico",AD713=0,AB713&lt;50),X713*(50-(AB713-AD713)),
IF(AND(G713="monofasico",AD713=0,AB713&lt;30),X713*(30-(AB713-AD713)),0)))),"")</f>
        <v>80.899999999999991</v>
      </c>
      <c r="AT713" s="74">
        <f t="shared" ref="AT713:AT776" si="425">IFERROR(AS713+AI713+AJ713,"")</f>
        <v>80.899999999999991</v>
      </c>
      <c r="AU713" s="74">
        <f t="shared" ref="AU713:AU776" si="426">IFERROR((Z713*AD713+AA713*AE713)/(AD713+AE713)-((X713-Z713)*AD713+(Y713-AA713)*AE713)/(AD713+AE713),"")</f>
        <v>0.94038885874480016</v>
      </c>
      <c r="AV713" s="74">
        <f t="shared" ref="AV713:AV776" si="427">IFERROR(IF(AND(E713="FINAL-Ñ.COMP",D713="CRÉD. CONSUMIDO"),(X713*(1-J713)-(X713-Z713))*AD713+(Y713*(1-J713)-(Y713-AA713))*AE713,
IF(AND(E713="T.COMP",D713="CRÉD. CONSUMIDO"),Z713*(1-J713)*AD713+AA713*(1-J713)*AE713,
IF(AND(E713="T.S.IMP",D713="CRÉD. CONSUMIDO"),V713*(1-J713)*AD713+W713*(1-J713)*AE713,
IF(AND(E713="T.S.IMP",D713="GERADO"),V713*(1-J713)*AQ713+W713*(1-J713)*AQ713,
IF(AND(E713="T.COMP",D713="GERADO"),AU713*(1-J713)*AQ713,
IF(AND(E713="FINAL-Ñ.COMP",D713="GERADO"),(AU713*(1-J713)-(X713-Z713))*AQ713,"ERRO")))))),"")</f>
        <v>61.606901333333326</v>
      </c>
      <c r="AW713" s="74">
        <f t="shared" ref="AW713:AW776" si="428">IF(45658=R713,0,IF(
SUMIFS($BA:$BA,$C:$C,$C713,$R:$R,EDATE($R713,-1))
&gt;=0,
SUMIFS(AY:AY,$C:$C,$C713,$R:$R,EDATE($R713,-1))-SUMIFS(BA:BA,$C:$C,$C713,$R:$R,EDATE($R713,-1)),0))</f>
        <v>1.4099999999999966</v>
      </c>
      <c r="AX713" s="74">
        <f t="shared" ref="AX713:AX776" si="429">IFERROR(IF(AND(E713="FINAL-Ñ.COMP",D713="CRÉD. CONSUMIDO"),(X713-(X713-Z713))*AD713+(Y713-(Y713-AA713))*AE713,
IF(AND(E713="T.COMP",D713="CRÉD. CONSUMIDO"),Z713*AD713+AA713*AE713,
IF(AND(E713="T.S.IMP",D713="CRÉD. CONSUMIDO"),V713*AD713+W713*AE713,
IF(AND(E713="T.S.IMP",D713="GERADO"),V713*AQ713+W713*AQ713,
IF(AND(E713="T.COMP",D713="GERADO"),AU713*AQ713,
IF(AND(E713="FINAL-Ñ.COMP",D713="GERADO"),(AU713-(X713-Z713))*AQ713,"ERRO"))))))+AW713,"")</f>
        <v>81.356666666666655</v>
      </c>
      <c r="AY713" s="74">
        <f t="shared" ref="AY713:AY776" si="430">IF(AV713=0,IF(AW713=0,"",AW713),IFERROR(ROUND(IF(SUMIFS($BA:$BA,$C:$C,$C713,$R:$R,EDATE($R713,-1))&gt;0,AV713+AW713,AV713),2),""))</f>
        <v>63.02</v>
      </c>
      <c r="AZ713" s="43">
        <v>63.02</v>
      </c>
      <c r="BA713" s="43">
        <v>63.02</v>
      </c>
      <c r="BC713" s="73" t="str">
        <f t="shared" ref="BC713:BC776" si="431">IF(BB713&gt;BA713,BB713-BA713,"")</f>
        <v/>
      </c>
      <c r="BD713" s="73">
        <f t="shared" ref="BD713:BD776" si="432">IF(AB713&gt;0,X713*AB713+Y713*AC713+AH713,AH713+
IF(AND(G713="trifasico",AB713-AD713=0),X713*(100-(AB713-AD713)),
IF(AND(G713="bifasico",AB713-AD713=0),X713*(50-(AB713-AD713)),
IF(AND(G713="monofasico",AB713-AD713=0),X713*(30-(AB713-AD713)),0))))</f>
        <v>160.84666666666664</v>
      </c>
      <c r="BE713" s="73">
        <f t="shared" ref="BE713:BE776" si="433">IFERROR(AS713+AV713,"")</f>
        <v>142.5069013333333</v>
      </c>
      <c r="BF713" s="77">
        <f t="shared" ref="BF713:BF776" si="434">ROUND(BD713-BE713,2)</f>
        <v>18.34</v>
      </c>
      <c r="BG713" s="77">
        <f t="shared" ref="BG713:BG776" si="435">BF713*0.3</f>
        <v>5.5019999999999998</v>
      </c>
      <c r="BH713" s="77">
        <f t="shared" ref="BH713:BH776" si="436">(X713*AD713)-((X713-Z713)*AD713)</f>
        <v>79.946666666666658</v>
      </c>
      <c r="BI713" s="78">
        <f t="shared" ref="BI713:BI776" si="437">IFERROR(ROUND(IFERROR(IF(BF713=0,"",BF713/(AY713+Z713*J713*AD713+AA713*J713*AE713)),0),2),"")</f>
        <v>0.23</v>
      </c>
      <c r="BJ713" s="79">
        <f t="shared" ref="BJ713:BJ776" si="438">IFERROR(BF713/BD713,"")</f>
        <v>0.11402163551208191</v>
      </c>
      <c r="BK713" s="80">
        <f t="shared" ref="BK713:BK776" si="439">IFERROR(AS713+AY713,"")</f>
        <v>143.91999999999999</v>
      </c>
      <c r="BL713" s="80">
        <f t="shared" ref="BL713:BL776" si="440">IFERROR(BD713-BK713,"")</f>
        <v>16.926666666666648</v>
      </c>
      <c r="BM713" s="79">
        <f t="shared" ref="BM713:BM776" si="441">IFERROR(IF(BL713=0,"",BL713/BD713),"")</f>
        <v>0.10523479918763202</v>
      </c>
      <c r="BN713" s="81">
        <f t="shared" ref="BN713:BN776" si="442">IFERROR(IF(AD713="","",AY713/(AD713+AE713)),"")</f>
        <v>0.82921052631578951</v>
      </c>
      <c r="BO713" s="82">
        <f t="shared" ref="BO713:BO776" si="443">IF(OR(BN713="",BN713=0),"",BN713*(AD713+AE713))</f>
        <v>63.02</v>
      </c>
      <c r="BP713" s="81">
        <f t="shared" ref="BP713:BP776" si="444">IFERROR(IF(AD713="","",AY713/AD713),"")</f>
        <v>0.82921052631578951</v>
      </c>
      <c r="BQ713" s="81">
        <f t="shared" ref="BQ713:BQ776" si="445">IFERROR(BP713+(X713-Z713),"")</f>
        <v>0.94075149213239284</v>
      </c>
      <c r="BR713" s="81">
        <f t="shared" ref="BR713:BR776" si="446">IFERROR(IF(AD713="","",(X713*AD713+Y713*AE713)/(AD713+AE713)),"")</f>
        <v>1.1634707903780068</v>
      </c>
      <c r="BS713" s="82">
        <f t="shared" ref="BS713:BS776" si="447">IFERROR(IF(D713="gerado",AQ713,AD713),"")</f>
        <v>76</v>
      </c>
      <c r="BT713" s="82">
        <f t="shared" ref="BT713:BT776" si="448">IF(OR(BR713="",BR713=0),"",BR713*(AD713+AE713))</f>
        <v>88.423780068728519</v>
      </c>
      <c r="BU713" s="82">
        <f t="shared" ref="BU713:BU776" si="449">IFERROR(BS713*Z713,"")</f>
        <v>79.946666666666658</v>
      </c>
      <c r="BW713" s="82">
        <f>IFERROR(INDEX('Infos Clientes'!$T:$T,MATCH('Detalhe Por UC'!$C713,'Infos Clientes'!B:B,0)),"")</f>
        <v>0</v>
      </c>
      <c r="BX713" s="83">
        <f t="shared" ref="BX713:BX776" si="450">IFERROR(BW713*Q713,"")</f>
        <v>0</v>
      </c>
      <c r="BY713" s="84">
        <f t="shared" ref="BY713:BY776" si="451">IFERROR((X713-BQ713)/X713,"")</f>
        <v>0.19142663493361395</v>
      </c>
      <c r="BZ713" s="85">
        <f>IF(_xlfn.MINIFS('Detalhe Por UC'!R:R,'Detalhe Por UC'!C:C,C713,'Detalhe Por UC'!AD:AD,"&gt;"&amp;0)=0,"",_xlfn.MINIFS('Detalhe Por UC'!R:R,'Detalhe Por UC'!C:C,C713,'Detalhe Por UC'!AD:AD,"&gt;"&amp;0))</f>
        <v>45658</v>
      </c>
      <c r="CA713" s="114">
        <f ca="1">IF(OR(S713&gt;0,AD713&gt;0),IFERROR(
SUMIFS(INDIRECT("'Infos Clientes'!$W"&amp;INDEX('Infos Clientes'!$C:$C,MATCH(C713,'Infos Clientes'!$H:$H,0))&amp;":$CZ"&amp;INDEX('Infos Clientes'!$C:$C,MATCH(C713,'Infos Clientes'!$H:$H,0))),'Infos Clientes'!$W$2:$CZ$2,"&gt;"&amp;$R713-365,'Infos Clientes'!$W$2:$CZ$2,"&lt;="&amp;$R713)/
COUNTIFS(INDIRECT("'Infos Clientes'!$W"&amp;INDEX('Infos Clientes'!$C:$C,MATCH(C713,'Infos Clientes'!$H:$H,0))&amp;":$CZ"&amp;INDEX('Infos Clientes'!$C:$C,MATCH(C713,'Infos Clientes'!$H:$H,0))),"&gt;="&amp;0,'Infos Clientes'!$W$2:$CZ$2,"&gt;"&amp;$R713-365,'Infos Clientes'!$W$2:$CZ$2,"&lt;="&amp;$R713),""),"")</f>
        <v>148.57142857142858</v>
      </c>
      <c r="CB713" s="87">
        <f>VLOOKUP(C713,'Infos Clientes'!B:L,11,0)</f>
        <v>0</v>
      </c>
      <c r="CC713" s="88" t="str">
        <f t="shared" ref="CC713:CC776" si="452">"A Unidade Consumidora "&amp;C713&amp;" economizou R$"&amp;BF713&amp;" na fatura referente à "&amp;TEXT(R713,"mmm/aaaa")&amp;"  consumindo "&amp;AD713&amp;" kWh em créditos de energia renovável conforme fatura de energia. A economia foi de "&amp;$J713*100&amp;"% em relação ao que seria pago para a Energisa considerando os créditos consumidos. Atenção: Mantenha as contas da Energisa em dia para evitar cortes."</f>
        <v>A Unidade Consumidora 10/150263-2 economizou R$18,34 na fatura referente à jul/2025  consumindo 76 kWh em créditos de energia renovável conforme fatura de energia. A economia foi de 22,94% em relação ao que seria pago para a Energisa considerando os créditos consumidos. Atenção: Mantenha as contas da Energisa em dia para evitar cortes.</v>
      </c>
      <c r="CE713" s="43">
        <v>80.900000000000006</v>
      </c>
      <c r="CF713" s="115">
        <f t="shared" ref="CF713:CF776" si="453">CE713-AT713</f>
        <v>0</v>
      </c>
    </row>
    <row r="714" spans="1:84" ht="16.2" hidden="1" customHeight="1" x14ac:dyDescent="0.3">
      <c r="A714" s="105" t="str">
        <f>INDEX('Infos Clientes'!$D:$D,MATCH('Detalhe Por UC'!C714,'Infos Clientes'!B:B,0))</f>
        <v>IGREJA DO EVANGELHO QUADRANGULAR</v>
      </c>
      <c r="B714" s="106" t="str">
        <f>INDEX('Infos Clientes'!$F:$F,MATCH('Detalhe Por UC'!C714,'Infos Clientes'!B:B,0))</f>
        <v>62.955.505/0172-13</v>
      </c>
      <c r="C714" s="44" t="s">
        <v>79</v>
      </c>
      <c r="D714" t="s">
        <v>351</v>
      </c>
      <c r="E714" s="1" t="s">
        <v>352</v>
      </c>
      <c r="F714" s="56" t="str">
        <f>INDEX('Infos Clientes'!$I:$I,MATCH('Detalhe Por UC'!C714,'Infos Clientes'!B:B,0))</f>
        <v>BT</v>
      </c>
      <c r="G714" s="56" t="str">
        <f>INDEX('Infos Clientes'!$J:$J,MATCH('Detalhe Por UC'!C714,'Infos Clientes'!B:B,0))</f>
        <v>trifasico</v>
      </c>
      <c r="H714" s="47" t="str">
        <f>HYPERLINK("https://geraebcsp.sharepoint.com/sites/gestao.gdc/Shared Documents/EGS/2- Faturas/"&amp; TEXT($R714,"AAA") &amp;"/"&amp; TEXT($R714,"MM") &amp;"."&amp; TEXT($R714,"AAA") &amp;"/"&amp;"_10-"&amp; RIGHT($C714,LEN($C714)-3) &amp;"_" &amp; TEXT($R714,"AAAA") &amp;"-"&amp; TEXT($R714,"MM") &amp;".pdf","GIROSSOL II")</f>
        <v>GIROSSOL II</v>
      </c>
      <c r="I714" s="58">
        <f>IFERROR(VLOOKUP(C714,'Infos Clientes'!B:E,4,),"")</f>
        <v>371</v>
      </c>
      <c r="J714" s="109">
        <v>0.22939999999999999</v>
      </c>
      <c r="K714" s="79">
        <f>INDEX('Resumo Operacional'!$A$1:$P$151,MATCH("Desconto percentual Ucs",'Resumo Operacional'!$B$1:$B$151,0),MATCH('Detalhe Por UC'!$R714,'Resumo Operacional'!$A$1:$P$1,0))</f>
        <v>0.25212408425707711</v>
      </c>
      <c r="L714" s="125">
        <v>0</v>
      </c>
      <c r="M714" s="56">
        <f>INDEX('Infos Clientes'!$N:$N,MATCH('Detalhe Por UC'!C714,'Infos Clientes'!B:B,0))</f>
        <v>0</v>
      </c>
      <c r="N714" s="56">
        <f t="shared" si="418"/>
        <v>0</v>
      </c>
      <c r="O714" s="56">
        <f t="shared" si="419"/>
        <v>8</v>
      </c>
      <c r="P714" s="56">
        <f t="shared" ref="P714:P756" si="454">M714-N714</f>
        <v>0</v>
      </c>
      <c r="Q714" s="61">
        <f>IFERROR(IFERROR(INDEX('Infos Clientes'!$A$2:$V$9884,MATCH($C714,'Infos Clientes'!$B$2:$B$9884,0),MATCH(Q$8,'Infos Clientes'!$A$2:$V$2,0)),"")
+IF(OR(INDEX('Infos Clientes'!$A$2:$V$9884,MATCH($C714,'Infos Clientes'!$B$2:$B$9884,0),MATCH("Tempo de Fidelidade (meses)",'Infos Clientes'!$A$2:$V$2,0))=0,R714&gt;=MAX(R:R)),0,
ROUND((MAX(R:R)-R714)/(365/12),0)),"")</f>
        <v>0</v>
      </c>
      <c r="R714" s="111">
        <v>45839</v>
      </c>
      <c r="S714" s="63">
        <v>0</v>
      </c>
      <c r="T714" s="113">
        <f>IF($H714="GIROSSOL II",AP714/INDEX('Resumo Operacional'!$A$1:$P$1103,17,MATCH('Detalhe Por UC'!$R714,'Resumo Operacional'!$A$1:$P$1,0)),
IF($H714="GIROSSOL II e III",AP714/INDEX('Resumo Operacional'!$A$1:$P$1103,17,MATCH('Detalhe Por UC'!$R714,'Resumo Operacional'!$A$1:$P$1,0)),
""))</f>
        <v>0</v>
      </c>
      <c r="U714" s="113" t="str">
        <f>IF($H714="GIROSSOL III",AP714/INDEX('Resumo Operacional'!$A$1:$P$1103,53,MATCH('Detalhe Por UC'!$R714,'Resumo Operacional'!$A$1:$P$1,0)),
IF($H714="GIROSSOL II e III",AP714/INDEX('Resumo Operacional'!$A$1:$P$1103,53,MATCH('Detalhe Por UC'!$R714,'Resumo Operacional'!$A$1:$P$1,0)),
""))</f>
        <v/>
      </c>
      <c r="V714" s="45"/>
      <c r="X714" s="18">
        <v>1.1629999999999998</v>
      </c>
      <c r="Y714">
        <v>0</v>
      </c>
      <c r="Z714" s="18">
        <v>0</v>
      </c>
      <c r="AA714">
        <v>0</v>
      </c>
      <c r="AB714" s="18">
        <v>0</v>
      </c>
      <c r="AC714">
        <v>0</v>
      </c>
      <c r="AD714" s="143">
        <v>0</v>
      </c>
      <c r="AE714" s="35"/>
      <c r="AF714" s="18"/>
      <c r="AH714" s="48">
        <v>6.16</v>
      </c>
      <c r="AI714">
        <v>0</v>
      </c>
      <c r="AJ714">
        <v>0</v>
      </c>
      <c r="AN714" s="71">
        <f t="shared" si="420"/>
        <v>0</v>
      </c>
      <c r="AO714" s="71">
        <f t="shared" si="421"/>
        <v>0</v>
      </c>
      <c r="AP714" s="71">
        <f t="shared" si="422"/>
        <v>0</v>
      </c>
      <c r="AQ714" s="72">
        <f>IF(OR($H714="GIROSSOL II",$H714="GIROSSOL II e III"),INDEX('Resumo Operacional'!$A$1:$P$1103,MATCH("Energia Injetada prevista total Fatura da Usina (TUSD)",'Resumo Operacional'!$B$1:$B$1103,0),MATCH('Detalhe Por UC'!$R714,'Resumo Operacional'!$A$1:$P$1,0))*$S714,INDEX('Resumo Operacional'!$A$1:$P$1103,53,MATCH('Detalhe Por UC'!$R714,'Resumo Operacional'!$A$1:$P$1,0))*$S714)</f>
        <v>0</v>
      </c>
      <c r="AR714" s="71">
        <f t="shared" si="423"/>
        <v>0</v>
      </c>
      <c r="AS714" s="73">
        <f t="shared" si="424"/>
        <v>122.45999999999998</v>
      </c>
      <c r="AT714" s="74">
        <f t="shared" si="425"/>
        <v>122.45999999999998</v>
      </c>
      <c r="AU714" s="74" t="str">
        <f t="shared" si="426"/>
        <v/>
      </c>
      <c r="AV714" s="74">
        <f t="shared" si="427"/>
        <v>0</v>
      </c>
      <c r="AW714" s="74">
        <f t="shared" si="428"/>
        <v>0</v>
      </c>
      <c r="AX714" s="74">
        <f t="shared" si="429"/>
        <v>0</v>
      </c>
      <c r="AY714" s="74" t="str">
        <f t="shared" si="430"/>
        <v/>
      </c>
      <c r="AZ714" s="43" t="s">
        <v>354</v>
      </c>
      <c r="BA714" s="43">
        <v>0</v>
      </c>
      <c r="BC714" s="73" t="str">
        <f t="shared" si="431"/>
        <v/>
      </c>
      <c r="BD714" s="73">
        <f t="shared" si="432"/>
        <v>122.45999999999998</v>
      </c>
      <c r="BE714" s="73">
        <f t="shared" si="433"/>
        <v>122.45999999999998</v>
      </c>
      <c r="BF714" s="77">
        <f t="shared" si="434"/>
        <v>0</v>
      </c>
      <c r="BG714" s="77">
        <f t="shared" si="435"/>
        <v>0</v>
      </c>
      <c r="BH714" s="77">
        <f t="shared" si="436"/>
        <v>0</v>
      </c>
      <c r="BI714" s="78" t="str">
        <f t="shared" si="437"/>
        <v/>
      </c>
      <c r="BJ714" s="79">
        <f t="shared" si="438"/>
        <v>0</v>
      </c>
      <c r="BK714" s="80" t="str">
        <f t="shared" si="439"/>
        <v/>
      </c>
      <c r="BL714" s="80" t="str">
        <f t="shared" si="440"/>
        <v/>
      </c>
      <c r="BM714" s="79" t="str">
        <f t="shared" si="441"/>
        <v/>
      </c>
      <c r="BN714" s="81" t="str">
        <f t="shared" si="442"/>
        <v/>
      </c>
      <c r="BO714" s="82" t="str">
        <f t="shared" si="443"/>
        <v/>
      </c>
      <c r="BP714" s="81" t="str">
        <f t="shared" si="444"/>
        <v/>
      </c>
      <c r="BQ714" s="81" t="str">
        <f t="shared" si="445"/>
        <v/>
      </c>
      <c r="BR714" s="81" t="str">
        <f t="shared" si="446"/>
        <v/>
      </c>
      <c r="BS714" s="82">
        <f t="shared" si="447"/>
        <v>0</v>
      </c>
      <c r="BT714" s="82" t="str">
        <f t="shared" si="448"/>
        <v/>
      </c>
      <c r="BU714" s="82">
        <f t="shared" si="449"/>
        <v>0</v>
      </c>
      <c r="BW714" s="82">
        <f>IFERROR(INDEX('Infos Clientes'!$T:$T,MATCH('Detalhe Por UC'!$C714,'Infos Clientes'!B:B,0)),"")</f>
        <v>166.66666666666666</v>
      </c>
      <c r="BX714" s="83">
        <f t="shared" si="450"/>
        <v>0</v>
      </c>
      <c r="BY714" s="84" t="str">
        <f t="shared" si="451"/>
        <v/>
      </c>
      <c r="BZ714" s="85">
        <f>IF(_xlfn.MINIFS('Detalhe Por UC'!R:R,'Detalhe Por UC'!C:C,C714,'Detalhe Por UC'!AD:AD,"&gt;"&amp;0)=0,"",_xlfn.MINIFS('Detalhe Por UC'!R:R,'Detalhe Por UC'!C:C,C714,'Detalhe Por UC'!AD:AD,"&gt;"&amp;0))</f>
        <v>45627</v>
      </c>
      <c r="CA714" s="114" t="str">
        <f ca="1">IF(OR(S714&gt;0,AD714&gt;0),IFERROR(
SUMIFS(INDIRECT("'Infos Clientes'!$W"&amp;INDEX('Infos Clientes'!$C:$C,MATCH(C714,'Infos Clientes'!$H:$H,0))&amp;":$CZ"&amp;INDEX('Infos Clientes'!$C:$C,MATCH(C714,'Infos Clientes'!$H:$H,0))),'Infos Clientes'!$W$2:$CZ$2,"&gt;"&amp;$R714-365,'Infos Clientes'!$W$2:$CZ$2,"&lt;="&amp;$R714)/
COUNTIFS(INDIRECT("'Infos Clientes'!$W"&amp;INDEX('Infos Clientes'!$C:$C,MATCH(C714,'Infos Clientes'!$H:$H,0))&amp;":$CZ"&amp;INDEX('Infos Clientes'!$C:$C,MATCH(C714,'Infos Clientes'!$H:$H,0))),"&gt;="&amp;0,'Infos Clientes'!$W$2:$CZ$2,"&gt;"&amp;$R714-365,'Infos Clientes'!$W$2:$CZ$2,"&lt;="&amp;$R714),""),"")</f>
        <v/>
      </c>
      <c r="CB714" s="87">
        <f>VLOOKUP(C714,'Infos Clientes'!B:L,11,0)</f>
        <v>0</v>
      </c>
      <c r="CC714" s="88" t="str">
        <f t="shared" si="452"/>
        <v>A Unidade Consumidora 10/237441-1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E714" s="43">
        <v>122.46</v>
      </c>
      <c r="CF714" s="115">
        <f t="shared" si="453"/>
        <v>0</v>
      </c>
    </row>
    <row r="715" spans="1:84" ht="16.2" hidden="1" customHeight="1" x14ac:dyDescent="0.3">
      <c r="A715" s="105" t="str">
        <f>INDEX('Infos Clientes'!$D:$D,MATCH('Detalhe Por UC'!C715,'Infos Clientes'!B:B,0))</f>
        <v>IGREJA DO EVANGELHO QUADRANGULAR</v>
      </c>
      <c r="B715" s="106" t="str">
        <f>INDEX('Infos Clientes'!$F:$F,MATCH('Detalhe Por UC'!C715,'Infos Clientes'!B:B,0))</f>
        <v>62.955.505/8921-14</v>
      </c>
      <c r="C715" s="44" t="s">
        <v>29</v>
      </c>
      <c r="D715" t="s">
        <v>351</v>
      </c>
      <c r="E715" s="1" t="s">
        <v>352</v>
      </c>
      <c r="F715" s="56" t="str">
        <f>INDEX('Infos Clientes'!$I:$I,MATCH('Detalhe Por UC'!C715,'Infos Clientes'!B:B,0))</f>
        <v>BT</v>
      </c>
      <c r="G715" s="56" t="str">
        <f>INDEX('Infos Clientes'!$J:$J,MATCH('Detalhe Por UC'!C715,'Infos Clientes'!B:B,0))</f>
        <v>trifasico</v>
      </c>
      <c r="H715" s="108" t="s">
        <v>24</v>
      </c>
      <c r="I715" s="58">
        <f>IFERROR(VLOOKUP(C715,'Infos Clientes'!B:E,4,),"")</f>
        <v>362</v>
      </c>
      <c r="J715" s="109">
        <v>0.22939999999999999</v>
      </c>
      <c r="K715" s="79">
        <f>INDEX('Resumo Operacional'!$A$1:$P$151,MATCH("Desconto percentual Ucs",'Resumo Operacional'!$B$1:$B$151,0),MATCH('Detalhe Por UC'!$R715,'Resumo Operacional'!$A$1:$P$1,0))</f>
        <v>0.25212408425707711</v>
      </c>
      <c r="L715" s="125">
        <v>0</v>
      </c>
      <c r="M715" s="56">
        <f>INDEX('Infos Clientes'!$N:$N,MATCH('Detalhe Por UC'!C715,'Infos Clientes'!B:B,0))</f>
        <v>0</v>
      </c>
      <c r="N715" s="56">
        <f t="shared" si="418"/>
        <v>0</v>
      </c>
      <c r="O715" s="56">
        <f t="shared" si="419"/>
        <v>12</v>
      </c>
      <c r="P715" s="56">
        <f t="shared" si="454"/>
        <v>0</v>
      </c>
      <c r="Q715" s="61">
        <f>IFERROR(IFERROR(INDEX('Infos Clientes'!$A$2:$V$9884,MATCH($C715,'Infos Clientes'!$B$2:$B$9884,0),MATCH(Q$8,'Infos Clientes'!$A$2:$V$2,0)),"")
+IF(OR(INDEX('Infos Clientes'!$A$2:$V$9884,MATCH($C715,'Infos Clientes'!$B$2:$B$9884,0),MATCH("Tempo de Fidelidade (meses)",'Infos Clientes'!$A$2:$V$2,0))=0,R715&gt;=MAX(R:R)),0,
ROUND((MAX(R:R)-R715)/(365/12),0)),"")</f>
        <v>0</v>
      </c>
      <c r="R715" s="111">
        <v>45839</v>
      </c>
      <c r="S715" s="63">
        <v>0</v>
      </c>
      <c r="T715" s="113">
        <f>IF($H715="GIROSSOL II",AP715/INDEX('Resumo Operacional'!$A$1:$P$1103,17,MATCH('Detalhe Por UC'!$R715,'Resumo Operacional'!$A$1:$P$1,0)),
IF($H715="GIROSSOL II e III",AP715/INDEX('Resumo Operacional'!$A$1:$P$1103,17,MATCH('Detalhe Por UC'!$R715,'Resumo Operacional'!$A$1:$P$1,0)),
""))</f>
        <v>1.8181818181818182E-3</v>
      </c>
      <c r="U715" s="113" t="str">
        <f>IF($H715="GIROSSOL III",AP715/INDEX('Resumo Operacional'!$A$1:$P$1103,53,MATCH('Detalhe Por UC'!$R715,'Resumo Operacional'!$A$1:$P$1,0)),
IF($H715="GIROSSOL II e III",AP715/INDEX('Resumo Operacional'!$A$1:$P$1103,53,MATCH('Detalhe Por UC'!$R715,'Resumo Operacional'!$A$1:$P$1,0)),
""))</f>
        <v/>
      </c>
      <c r="V715" s="45"/>
      <c r="X715">
        <v>1.1629826086956523</v>
      </c>
      <c r="Y715">
        <v>0</v>
      </c>
      <c r="Z715" s="18">
        <v>1.1628666666666667</v>
      </c>
      <c r="AA715">
        <v>0</v>
      </c>
      <c r="AB715" s="18">
        <v>115</v>
      </c>
      <c r="AC715">
        <v>0</v>
      </c>
      <c r="AD715" s="143">
        <v>15</v>
      </c>
      <c r="AE715" s="35"/>
      <c r="AF715" s="18"/>
      <c r="AH715" s="48">
        <v>22.71</v>
      </c>
      <c r="AI715">
        <v>0</v>
      </c>
      <c r="AJ715">
        <v>0</v>
      </c>
      <c r="AN715" s="71">
        <f t="shared" si="420"/>
        <v>0</v>
      </c>
      <c r="AO715" s="71">
        <f t="shared" si="421"/>
        <v>0</v>
      </c>
      <c r="AP715" s="71">
        <f t="shared" si="422"/>
        <v>15</v>
      </c>
      <c r="AQ715" s="72">
        <f>IF(OR($H715="GIROSSOL II",$H715="GIROSSOL II e III"),INDEX('Resumo Operacional'!$A$1:$P$1103,MATCH("Energia Injetada prevista total Fatura da Usina (TUSD)",'Resumo Operacional'!$B$1:$B$1103,0),MATCH('Detalhe Por UC'!$R715,'Resumo Operacional'!$A$1:$P$1,0))*$S715,INDEX('Resumo Operacional'!$A$1:$P$1103,53,MATCH('Detalhe Por UC'!$R715,'Resumo Operacional'!$A$1:$P$1,0))*$S715)</f>
        <v>0</v>
      </c>
      <c r="AR715" s="71">
        <f t="shared" si="423"/>
        <v>15</v>
      </c>
      <c r="AS715" s="73">
        <f t="shared" si="424"/>
        <v>139.01000000000002</v>
      </c>
      <c r="AT715" s="74">
        <f t="shared" si="425"/>
        <v>139.01000000000002</v>
      </c>
      <c r="AU715" s="74">
        <f t="shared" si="426"/>
        <v>1.1627507246376811</v>
      </c>
      <c r="AV715" s="74">
        <f t="shared" si="427"/>
        <v>13.441575800000001</v>
      </c>
      <c r="AW715" s="74">
        <f t="shared" si="428"/>
        <v>0.27000000000000135</v>
      </c>
      <c r="AX715" s="74">
        <f t="shared" si="429"/>
        <v>17.713000000000001</v>
      </c>
      <c r="AY715" s="74">
        <f t="shared" si="430"/>
        <v>13.71</v>
      </c>
      <c r="AZ715" s="43">
        <v>13.71</v>
      </c>
      <c r="BA715" s="43">
        <v>13.71</v>
      </c>
      <c r="BB715" s="49">
        <v>13.71</v>
      </c>
      <c r="BC715" s="73" t="str">
        <f t="shared" si="431"/>
        <v/>
      </c>
      <c r="BD715" s="73">
        <f t="shared" si="432"/>
        <v>156.45300000000003</v>
      </c>
      <c r="BE715" s="73">
        <f t="shared" si="433"/>
        <v>152.45157580000003</v>
      </c>
      <c r="BF715" s="77">
        <f t="shared" si="434"/>
        <v>4</v>
      </c>
      <c r="BG715" s="77">
        <f t="shared" si="435"/>
        <v>1.2</v>
      </c>
      <c r="BH715" s="77">
        <f t="shared" si="436"/>
        <v>17.442999999999998</v>
      </c>
      <c r="BI715" s="78">
        <f t="shared" si="437"/>
        <v>0.23</v>
      </c>
      <c r="BJ715" s="79">
        <f t="shared" si="438"/>
        <v>2.556678363470179E-2</v>
      </c>
      <c r="BK715" s="80">
        <f t="shared" si="439"/>
        <v>152.72000000000003</v>
      </c>
      <c r="BL715" s="80">
        <f t="shared" si="440"/>
        <v>3.7330000000000041</v>
      </c>
      <c r="BM715" s="79">
        <f t="shared" si="441"/>
        <v>2.3860200827085471E-2</v>
      </c>
      <c r="BN715" s="81">
        <f t="shared" si="442"/>
        <v>0.91400000000000003</v>
      </c>
      <c r="BO715" s="82">
        <f t="shared" si="443"/>
        <v>13.71</v>
      </c>
      <c r="BP715" s="81">
        <f t="shared" si="444"/>
        <v>0.91400000000000003</v>
      </c>
      <c r="BQ715" s="81">
        <f t="shared" si="445"/>
        <v>0.91411594202898561</v>
      </c>
      <c r="BR715" s="81">
        <f t="shared" si="446"/>
        <v>1.1629826086956523</v>
      </c>
      <c r="BS715" s="82">
        <f t="shared" si="447"/>
        <v>15</v>
      </c>
      <c r="BT715" s="82">
        <f t="shared" si="448"/>
        <v>17.444739130434783</v>
      </c>
      <c r="BU715" s="82">
        <f t="shared" si="449"/>
        <v>17.443000000000001</v>
      </c>
      <c r="BW715" s="82">
        <f>IFERROR(INDEX('Infos Clientes'!$T:$T,MATCH('Detalhe Por UC'!$C715,'Infos Clientes'!B:B,0)),"")</f>
        <v>178.41666666666666</v>
      </c>
      <c r="BX715" s="83">
        <f t="shared" si="450"/>
        <v>0</v>
      </c>
      <c r="BY715" s="84">
        <f t="shared" si="451"/>
        <v>0.21399001567683293</v>
      </c>
      <c r="BZ715" s="85">
        <f>IF(_xlfn.MINIFS('Detalhe Por UC'!R:R,'Detalhe Por UC'!C:C,C715,'Detalhe Por UC'!AD:AD,"&gt;"&amp;0)=0,"",_xlfn.MINIFS('Detalhe Por UC'!R:R,'Detalhe Por UC'!C:C,C715,'Detalhe Por UC'!AD:AD,"&gt;"&amp;0))</f>
        <v>45627</v>
      </c>
      <c r="CA715" s="114">
        <f ca="1">IF(OR(S715&gt;0,AD715&gt;0),IFERROR(
SUMIFS(INDIRECT("'Infos Clientes'!$W"&amp;INDEX('Infos Clientes'!$C:$C,MATCH(C715,'Infos Clientes'!$H:$H,0))&amp;":$CZ"&amp;INDEX('Infos Clientes'!$C:$C,MATCH(C715,'Infos Clientes'!$H:$H,0))),'Infos Clientes'!$W$2:$CZ$2,"&gt;"&amp;$R715-365,'Infos Clientes'!$W$2:$CZ$2,"&lt;="&amp;$R715)/
COUNTIFS(INDIRECT("'Infos Clientes'!$W"&amp;INDEX('Infos Clientes'!$C:$C,MATCH(C715,'Infos Clientes'!$H:$H,0))&amp;":$CZ"&amp;INDEX('Infos Clientes'!$C:$C,MATCH(C715,'Infos Clientes'!$H:$H,0))),"&gt;="&amp;0,'Infos Clientes'!$W$2:$CZ$2,"&gt;"&amp;$R715-365,'Infos Clientes'!$W$2:$CZ$2,"&lt;="&amp;$R715),""),"")</f>
        <v>168.91666666666666</v>
      </c>
      <c r="CB715" s="87">
        <f>VLOOKUP(C715,'Infos Clientes'!B:L,11,0)</f>
        <v>0</v>
      </c>
      <c r="CC715" s="88" t="str">
        <f t="shared" si="452"/>
        <v>A Unidade Consumidora 10/1117293-9 economizou R$4 na fatura referente à jul/2025  consumindo 15 kWh em créditos de energia renovável conforme fatura de energia. A economia foi de 22,94% em relação ao que seria pago para a Energisa considerando os créditos consumidos. Atenção: Mantenha as contas da Energisa em dia para evitar cortes.</v>
      </c>
      <c r="CE715" s="43">
        <v>139.01</v>
      </c>
      <c r="CF715" s="115">
        <f t="shared" si="453"/>
        <v>0</v>
      </c>
    </row>
    <row r="716" spans="1:84" ht="16.2" hidden="1" customHeight="1" x14ac:dyDescent="0.3">
      <c r="A716" s="105" t="str">
        <f>INDEX('Infos Clientes'!$D:$D,MATCH('Detalhe Por UC'!C716,'Infos Clientes'!B:B,0))</f>
        <v>IGREJA DO EVANGELHO QUADRANGULAR</v>
      </c>
      <c r="B716" s="106" t="str">
        <f>INDEX('Infos Clientes'!$F:$F,MATCH('Detalhe Por UC'!C716,'Infos Clientes'!B:B,0))</f>
        <v>62.955.505/2730-58</v>
      </c>
      <c r="C716" s="44" t="s">
        <v>108</v>
      </c>
      <c r="D716" t="s">
        <v>351</v>
      </c>
      <c r="E716" s="1" t="s">
        <v>352</v>
      </c>
      <c r="F716" s="56" t="str">
        <f>INDEX('Infos Clientes'!$I:$I,MATCH('Detalhe Por UC'!C716,'Infos Clientes'!B:B,0))</f>
        <v>BT</v>
      </c>
      <c r="G716" s="56" t="str">
        <f>INDEX('Infos Clientes'!$J:$J,MATCH('Detalhe Por UC'!C716,'Infos Clientes'!B:B,0))</f>
        <v>trifasico</v>
      </c>
      <c r="H716" s="108" t="s">
        <v>24</v>
      </c>
      <c r="I716" s="58">
        <f>IFERROR(VLOOKUP(C716,'Infos Clientes'!B:E,4,),"")</f>
        <v>306</v>
      </c>
      <c r="J716" s="109">
        <v>0.22939999999999999</v>
      </c>
      <c r="K716" s="79">
        <f>INDEX('Resumo Operacional'!$A$1:$P$151,MATCH("Desconto percentual Ucs",'Resumo Operacional'!$B$1:$B$151,0),MATCH('Detalhe Por UC'!$R716,'Resumo Operacional'!$A$1:$P$1,0))</f>
        <v>0.25212408425707711</v>
      </c>
      <c r="L716" s="125">
        <v>0</v>
      </c>
      <c r="M716" s="56">
        <f>INDEX('Infos Clientes'!$N:$N,MATCH('Detalhe Por UC'!C716,'Infos Clientes'!B:B,0))</f>
        <v>0</v>
      </c>
      <c r="N716" s="56">
        <f t="shared" si="418"/>
        <v>0</v>
      </c>
      <c r="O716" s="56">
        <f t="shared" si="419"/>
        <v>12</v>
      </c>
      <c r="P716" s="56">
        <f t="shared" si="454"/>
        <v>0</v>
      </c>
      <c r="Q716" s="61">
        <f>IFERROR(IFERROR(INDEX('Infos Clientes'!$A$2:$V$9884,MATCH($C716,'Infos Clientes'!$B$2:$B$9884,0),MATCH(Q$8,'Infos Clientes'!$A$2:$V$2,0)),"")
+IF(OR(INDEX('Infos Clientes'!$A$2:$V$9884,MATCH($C716,'Infos Clientes'!$B$2:$B$9884,0),MATCH("Tempo de Fidelidade (meses)",'Infos Clientes'!$A$2:$V$2,0))=0,R716&gt;=MAX(R:R)),0,
ROUND((MAX(R:R)-R716)/(365/12),0)),"")</f>
        <v>0</v>
      </c>
      <c r="R716" s="111">
        <v>45839</v>
      </c>
      <c r="S716" s="63">
        <v>0</v>
      </c>
      <c r="T716" s="113">
        <f>IF($H716="GIROSSOL II",AP716/INDEX('Resumo Operacional'!$A$1:$P$1103,17,MATCH('Detalhe Por UC'!$R716,'Resumo Operacional'!$A$1:$P$1,0)),
IF($H716="GIROSSOL II e III",AP716/INDEX('Resumo Operacional'!$A$1:$P$1103,17,MATCH('Detalhe Por UC'!$R716,'Resumo Operacional'!$A$1:$P$1,0)),
""))</f>
        <v>1.0303030303030303E-2</v>
      </c>
      <c r="U716" s="113" t="str">
        <f>IF($H716="GIROSSOL III",AP716/INDEX('Resumo Operacional'!$A$1:$P$1103,53,MATCH('Detalhe Por UC'!$R716,'Resumo Operacional'!$A$1:$P$1,0)),
IF($H716="GIROSSOL II e III",AP716/INDEX('Resumo Operacional'!$A$1:$P$1103,53,MATCH('Detalhe Por UC'!$R716,'Resumo Operacional'!$A$1:$P$1,0)),
""))</f>
        <v/>
      </c>
      <c r="V716" s="45"/>
      <c r="X716">
        <v>1.1631491228070177</v>
      </c>
      <c r="Y716">
        <v>0</v>
      </c>
      <c r="Z716" s="18">
        <v>1.0984334365325079</v>
      </c>
      <c r="AA716">
        <v>0</v>
      </c>
      <c r="AB716" s="18">
        <v>180</v>
      </c>
      <c r="AC716">
        <v>0</v>
      </c>
      <c r="AD716" s="143">
        <v>85</v>
      </c>
      <c r="AE716" s="35"/>
      <c r="AF716" s="18"/>
      <c r="AH716" s="48">
        <v>2.36</v>
      </c>
      <c r="AI716">
        <v>0</v>
      </c>
      <c r="AJ716">
        <v>0</v>
      </c>
      <c r="AN716" s="71">
        <f t="shared" si="420"/>
        <v>0</v>
      </c>
      <c r="AO716" s="71">
        <f t="shared" si="421"/>
        <v>0</v>
      </c>
      <c r="AP716" s="71">
        <f t="shared" si="422"/>
        <v>85</v>
      </c>
      <c r="AQ716" s="72">
        <f>IF(OR($H716="GIROSSOL II",$H716="GIROSSOL II e III"),INDEX('Resumo Operacional'!$A$1:$P$1103,MATCH("Energia Injetada prevista total Fatura da Usina (TUSD)",'Resumo Operacional'!$B$1:$B$1103,0),MATCH('Detalhe Por UC'!$R716,'Resumo Operacional'!$A$1:$P$1,0))*$S716,INDEX('Resumo Operacional'!$A$1:$P$1103,53,MATCH('Detalhe Por UC'!$R716,'Resumo Operacional'!$A$1:$P$1,0))*$S716)</f>
        <v>0</v>
      </c>
      <c r="AR716" s="71">
        <f t="shared" si="423"/>
        <v>85</v>
      </c>
      <c r="AS716" s="73">
        <f t="shared" si="424"/>
        <v>118.36</v>
      </c>
      <c r="AT716" s="74">
        <f t="shared" si="425"/>
        <v>118.36</v>
      </c>
      <c r="AU716" s="74">
        <f t="shared" si="426"/>
        <v>1.0337177502579982</v>
      </c>
      <c r="AV716" s="74">
        <f t="shared" si="427"/>
        <v>71.948488526315799</v>
      </c>
      <c r="AW716" s="74">
        <f t="shared" si="428"/>
        <v>0.74000000000000199</v>
      </c>
      <c r="AX716" s="74">
        <f t="shared" si="429"/>
        <v>94.106842105263183</v>
      </c>
      <c r="AY716" s="74">
        <f t="shared" si="430"/>
        <v>72.69</v>
      </c>
      <c r="AZ716" s="43">
        <v>72.69</v>
      </c>
      <c r="BA716" s="43">
        <v>72.69</v>
      </c>
      <c r="BB716" s="49">
        <v>72.69</v>
      </c>
      <c r="BC716" s="73" t="str">
        <f t="shared" si="431"/>
        <v/>
      </c>
      <c r="BD716" s="73">
        <f t="shared" si="432"/>
        <v>211.72684210526319</v>
      </c>
      <c r="BE716" s="73">
        <f t="shared" si="433"/>
        <v>190.30848852631578</v>
      </c>
      <c r="BF716" s="77">
        <f t="shared" si="434"/>
        <v>21.42</v>
      </c>
      <c r="BG716" s="77">
        <f t="shared" si="435"/>
        <v>6.4260000000000002</v>
      </c>
      <c r="BH716" s="77">
        <f t="shared" si="436"/>
        <v>93.366842105263174</v>
      </c>
      <c r="BI716" s="78">
        <f t="shared" si="437"/>
        <v>0.23</v>
      </c>
      <c r="BJ716" s="79">
        <f t="shared" si="438"/>
        <v>0.10116808897263355</v>
      </c>
      <c r="BK716" s="80">
        <f t="shared" si="439"/>
        <v>191.05</v>
      </c>
      <c r="BL716" s="80">
        <f t="shared" si="440"/>
        <v>20.676842105263177</v>
      </c>
      <c r="BM716" s="79">
        <f t="shared" si="441"/>
        <v>9.7658104658186765E-2</v>
      </c>
      <c r="BN716" s="81">
        <f t="shared" si="442"/>
        <v>0.85517647058823532</v>
      </c>
      <c r="BO716" s="82">
        <f t="shared" si="443"/>
        <v>72.69</v>
      </c>
      <c r="BP716" s="81">
        <f t="shared" si="444"/>
        <v>0.85517647058823532</v>
      </c>
      <c r="BQ716" s="81">
        <f t="shared" si="445"/>
        <v>0.91989215686274506</v>
      </c>
      <c r="BR716" s="81">
        <f t="shared" si="446"/>
        <v>1.1631491228070177</v>
      </c>
      <c r="BS716" s="82">
        <f t="shared" si="447"/>
        <v>85</v>
      </c>
      <c r="BT716" s="82">
        <f t="shared" si="448"/>
        <v>98.867675438596507</v>
      </c>
      <c r="BU716" s="82">
        <f t="shared" si="449"/>
        <v>93.366842105263174</v>
      </c>
      <c r="BW716" s="82">
        <f>IFERROR(INDEX('Infos Clientes'!$T:$T,MATCH('Detalhe Por UC'!$C716,'Infos Clientes'!B:B,0)),"")</f>
        <v>187.5</v>
      </c>
      <c r="BX716" s="83">
        <f t="shared" si="450"/>
        <v>0</v>
      </c>
      <c r="BY716" s="84">
        <f t="shared" si="451"/>
        <v>0.20913652529541757</v>
      </c>
      <c r="BZ716" s="85">
        <f>IF(_xlfn.MINIFS('Detalhe Por UC'!R:R,'Detalhe Por UC'!C:C,C716,'Detalhe Por UC'!AD:AD,"&gt;"&amp;0)=0,"",_xlfn.MINIFS('Detalhe Por UC'!R:R,'Detalhe Por UC'!C:C,C716,'Detalhe Por UC'!AD:AD,"&gt;"&amp;0))</f>
        <v>45627</v>
      </c>
      <c r="CA716" s="114">
        <f ca="1">IF(OR(S716&gt;0,AD716&gt;0),IFERROR(
SUMIFS(INDIRECT("'Infos Clientes'!$W"&amp;INDEX('Infos Clientes'!$C:$C,MATCH(C716,'Infos Clientes'!$H:$H,0))&amp;":$CZ"&amp;INDEX('Infos Clientes'!$C:$C,MATCH(C716,'Infos Clientes'!$H:$H,0))),'Infos Clientes'!$W$2:$CZ$2,"&gt;"&amp;$R716-365,'Infos Clientes'!$W$2:$CZ$2,"&lt;="&amp;$R716)/
COUNTIFS(INDIRECT("'Infos Clientes'!$W"&amp;INDEX('Infos Clientes'!$C:$C,MATCH(C716,'Infos Clientes'!$H:$H,0))&amp;":$CZ"&amp;INDEX('Infos Clientes'!$C:$C,MATCH(C716,'Infos Clientes'!$H:$H,0))),"&gt;="&amp;0,'Infos Clientes'!$W$2:$CZ$2,"&gt;"&amp;$R716-365,'Infos Clientes'!$W$2:$CZ$2,"&lt;="&amp;$R716),""),"")</f>
        <v>190</v>
      </c>
      <c r="CB716" s="87">
        <f>VLOOKUP(C716,'Infos Clientes'!B:L,11,0)</f>
        <v>0</v>
      </c>
      <c r="CC716" s="88" t="str">
        <f t="shared" si="452"/>
        <v>A Unidade Consumidora 10/501586-2 economizou R$21,42 na fatura referente à jul/2025  consumindo 85 kWh em créditos de energia renovável conforme fatura de energia. A economia foi de 22,94% em relação ao que seria pago para a Energisa considerando os créditos consumidos. Atenção: Mantenha as contas da Energisa em dia para evitar cortes.</v>
      </c>
      <c r="CE716" s="43">
        <v>118.36</v>
      </c>
      <c r="CF716" s="115">
        <f t="shared" si="453"/>
        <v>0</v>
      </c>
    </row>
    <row r="717" spans="1:84" ht="16.2" hidden="1" customHeight="1" x14ac:dyDescent="0.3">
      <c r="A717" s="105" t="str">
        <f>INDEX('Infos Clientes'!$D:$D,MATCH('Detalhe Por UC'!C717,'Infos Clientes'!B:B,0))</f>
        <v>IGREJA DO EVANGELHO QUADRANGULAR</v>
      </c>
      <c r="B717" s="106" t="str">
        <f>INDEX('Infos Clientes'!$F:$F,MATCH('Detalhe Por UC'!C717,'Infos Clientes'!B:B,0))</f>
        <v>62.955.505/0408-94</v>
      </c>
      <c r="C717" s="44" t="s">
        <v>76</v>
      </c>
      <c r="D717" t="s">
        <v>351</v>
      </c>
      <c r="E717" s="1" t="s">
        <v>352</v>
      </c>
      <c r="F717" s="56" t="str">
        <f>INDEX('Infos Clientes'!$I:$I,MATCH('Detalhe Por UC'!C717,'Infos Clientes'!B:B,0))</f>
        <v>BT</v>
      </c>
      <c r="G717" s="56" t="str">
        <f>INDEX('Infos Clientes'!$J:$J,MATCH('Detalhe Por UC'!C717,'Infos Clientes'!B:B,0))</f>
        <v>bifasico</v>
      </c>
      <c r="H717" s="47" t="str">
        <f>HYPERLINK("https://geraebcsp.sharepoint.com/sites/gestao.gdc/Shared Documents/EGS/2- Faturas/"&amp; TEXT($R717,"AAA") &amp;"/"&amp; TEXT($R717,"MM") &amp;"."&amp; TEXT($R717,"AAA") &amp;"/"&amp;"_10-"&amp; RIGHT($C717,LEN($C717)-3) &amp;"_" &amp; TEXT($R717,"AAAA") &amp;"-"&amp; TEXT($R717,"MM") &amp;".pdf","GIROSSOL II")</f>
        <v>GIROSSOL II</v>
      </c>
      <c r="I717" s="58">
        <f>IFERROR(VLOOKUP(C717,'Infos Clientes'!B:E,4,),"")</f>
        <v>371</v>
      </c>
      <c r="J717" s="109">
        <v>0.22939999999999999</v>
      </c>
      <c r="K717" s="79">
        <f>INDEX('Resumo Operacional'!$A$1:$P$151,MATCH("Desconto percentual Ucs",'Resumo Operacional'!$B$1:$B$151,0),MATCH('Detalhe Por UC'!$R717,'Resumo Operacional'!$A$1:$P$1,0))</f>
        <v>0.25212408425707711</v>
      </c>
      <c r="L717" s="125">
        <v>0</v>
      </c>
      <c r="M717" s="56">
        <f>INDEX('Infos Clientes'!$N:$N,MATCH('Detalhe Por UC'!C717,'Infos Clientes'!B:B,0))</f>
        <v>0</v>
      </c>
      <c r="N717" s="56">
        <f t="shared" si="418"/>
        <v>0</v>
      </c>
      <c r="O717" s="56">
        <f t="shared" si="419"/>
        <v>11</v>
      </c>
      <c r="P717" s="56">
        <f t="shared" si="454"/>
        <v>0</v>
      </c>
      <c r="Q717" s="61">
        <f>IFERROR(IFERROR(INDEX('Infos Clientes'!$A$2:$V$9884,MATCH($C717,'Infos Clientes'!$B$2:$B$9884,0),MATCH(Q$8,'Infos Clientes'!$A$2:$V$2,0)),"")
+IF(OR(INDEX('Infos Clientes'!$A$2:$V$9884,MATCH($C717,'Infos Clientes'!$B$2:$B$9884,0),MATCH("Tempo de Fidelidade (meses)",'Infos Clientes'!$A$2:$V$2,0))=0,R717&gt;=MAX(R:R)),0,
ROUND((MAX(R:R)-R717)/(365/12),0)),"")</f>
        <v>0</v>
      </c>
      <c r="R717" s="111">
        <v>45839</v>
      </c>
      <c r="S717" s="63">
        <v>0</v>
      </c>
      <c r="T717" s="113">
        <f>IF($H717="GIROSSOL II",AP717/INDEX('Resumo Operacional'!$A$1:$P$1103,17,MATCH('Detalhe Por UC'!$R717,'Resumo Operacional'!$A$1:$P$1,0)),
IF($H717="GIROSSOL II e III",AP717/INDEX('Resumo Operacional'!$A$1:$P$1103,17,MATCH('Detalhe Por UC'!$R717,'Resumo Operacional'!$A$1:$P$1,0)),
""))</f>
        <v>0</v>
      </c>
      <c r="U717" s="113" t="str">
        <f>IF($H717="GIROSSOL III",AP717/INDEX('Resumo Operacional'!$A$1:$P$1103,53,MATCH('Detalhe Por UC'!$R717,'Resumo Operacional'!$A$1:$P$1,0)),
IF($H717="GIROSSOL II e III",AP717/INDEX('Resumo Operacional'!$A$1:$P$1103,53,MATCH('Detalhe Por UC'!$R717,'Resumo Operacional'!$A$1:$P$1,0)),
""))</f>
        <v/>
      </c>
      <c r="V717" s="45"/>
      <c r="X717" s="18">
        <v>1.1629999999999998</v>
      </c>
      <c r="Y717">
        <v>0</v>
      </c>
      <c r="Z717" s="18">
        <v>0</v>
      </c>
      <c r="AA717">
        <v>0</v>
      </c>
      <c r="AB717" s="18">
        <v>0</v>
      </c>
      <c r="AC717">
        <v>0</v>
      </c>
      <c r="AD717" s="143">
        <v>0</v>
      </c>
      <c r="AE717" s="35"/>
      <c r="AF717" s="18"/>
      <c r="AH717" s="48">
        <v>0</v>
      </c>
      <c r="AI717">
        <v>0</v>
      </c>
      <c r="AJ717">
        <v>0</v>
      </c>
      <c r="AN717" s="71">
        <f t="shared" si="420"/>
        <v>0</v>
      </c>
      <c r="AO717" s="71">
        <f t="shared" si="421"/>
        <v>0</v>
      </c>
      <c r="AP717" s="71">
        <f t="shared" si="422"/>
        <v>0</v>
      </c>
      <c r="AQ717" s="72">
        <f>IF(OR($H717="GIROSSOL II",$H717="GIROSSOL II e III"),INDEX('Resumo Operacional'!$A$1:$P$1103,MATCH("Energia Injetada prevista total Fatura da Usina (TUSD)",'Resumo Operacional'!$B$1:$B$1103,0),MATCH('Detalhe Por UC'!$R717,'Resumo Operacional'!$A$1:$P$1,0))*$S717,INDEX('Resumo Operacional'!$A$1:$P$1103,53,MATCH('Detalhe Por UC'!$R717,'Resumo Operacional'!$A$1:$P$1,0))*$S717)</f>
        <v>0</v>
      </c>
      <c r="AR717" s="71">
        <f t="shared" si="423"/>
        <v>0</v>
      </c>
      <c r="AS717" s="73">
        <f t="shared" si="424"/>
        <v>58.149999999999991</v>
      </c>
      <c r="AT717" s="74">
        <f t="shared" si="425"/>
        <v>58.149999999999991</v>
      </c>
      <c r="AU717" s="74" t="str">
        <f t="shared" si="426"/>
        <v/>
      </c>
      <c r="AV717" s="74">
        <f t="shared" si="427"/>
        <v>0</v>
      </c>
      <c r="AW717" s="74">
        <f t="shared" si="428"/>
        <v>0.1899999999999995</v>
      </c>
      <c r="AX717" s="74">
        <f t="shared" si="429"/>
        <v>0.1899999999999995</v>
      </c>
      <c r="AY717" s="74">
        <f t="shared" si="430"/>
        <v>0.1899999999999995</v>
      </c>
      <c r="AZ717" s="43">
        <v>0.1899999999999995</v>
      </c>
      <c r="BA717" s="43"/>
      <c r="BC717" s="73" t="str">
        <f t="shared" si="431"/>
        <v/>
      </c>
      <c r="BD717" s="73">
        <f t="shared" si="432"/>
        <v>58.149999999999991</v>
      </c>
      <c r="BE717" s="73">
        <f t="shared" si="433"/>
        <v>58.149999999999991</v>
      </c>
      <c r="BF717" s="77">
        <f t="shared" si="434"/>
        <v>0</v>
      </c>
      <c r="BG717" s="77">
        <f t="shared" si="435"/>
        <v>0</v>
      </c>
      <c r="BH717" s="77">
        <f t="shared" si="436"/>
        <v>0</v>
      </c>
      <c r="BI717" s="78" t="str">
        <f t="shared" si="437"/>
        <v/>
      </c>
      <c r="BJ717" s="79">
        <f t="shared" si="438"/>
        <v>0</v>
      </c>
      <c r="BK717" s="80">
        <f t="shared" si="439"/>
        <v>58.339999999999989</v>
      </c>
      <c r="BL717" s="80">
        <f t="shared" si="440"/>
        <v>-0.18999999999999773</v>
      </c>
      <c r="BM717" s="79">
        <f t="shared" si="441"/>
        <v>-3.2674118658641057E-3</v>
      </c>
      <c r="BN717" s="81" t="str">
        <f t="shared" si="442"/>
        <v/>
      </c>
      <c r="BO717" s="82" t="str">
        <f t="shared" si="443"/>
        <v/>
      </c>
      <c r="BP717" s="81" t="str">
        <f t="shared" si="444"/>
        <v/>
      </c>
      <c r="BQ717" s="81" t="str">
        <f t="shared" si="445"/>
        <v/>
      </c>
      <c r="BR717" s="81" t="str">
        <f t="shared" si="446"/>
        <v/>
      </c>
      <c r="BS717" s="82">
        <f t="shared" si="447"/>
        <v>0</v>
      </c>
      <c r="BT717" s="82" t="str">
        <f t="shared" si="448"/>
        <v/>
      </c>
      <c r="BU717" s="82">
        <f t="shared" si="449"/>
        <v>0</v>
      </c>
      <c r="BW717" s="82">
        <f>IFERROR(INDEX('Infos Clientes'!$T:$T,MATCH('Detalhe Por UC'!$C717,'Infos Clientes'!B:B,0)),"")</f>
        <v>157.66666666666666</v>
      </c>
      <c r="BX717" s="83">
        <f t="shared" si="450"/>
        <v>0</v>
      </c>
      <c r="BY717" s="84" t="str">
        <f t="shared" si="451"/>
        <v/>
      </c>
      <c r="BZ717" s="85">
        <f>IF(_xlfn.MINIFS('Detalhe Por UC'!R:R,'Detalhe Por UC'!C:C,C717,'Detalhe Por UC'!AD:AD,"&gt;"&amp;0)=0,"",_xlfn.MINIFS('Detalhe Por UC'!R:R,'Detalhe Por UC'!C:C,C717,'Detalhe Por UC'!AD:AD,"&gt;"&amp;0))</f>
        <v>45627</v>
      </c>
      <c r="CA717" s="114" t="str">
        <f ca="1">IF(OR(S717&gt;0,AD717&gt;0),IFERROR(
SUMIFS(INDIRECT("'Infos Clientes'!$W"&amp;INDEX('Infos Clientes'!$C:$C,MATCH(C717,'Infos Clientes'!$H:$H,0))&amp;":$CZ"&amp;INDEX('Infos Clientes'!$C:$C,MATCH(C717,'Infos Clientes'!$H:$H,0))),'Infos Clientes'!$W$2:$CZ$2,"&gt;"&amp;$R717-365,'Infos Clientes'!$W$2:$CZ$2,"&lt;="&amp;$R717)/
COUNTIFS(INDIRECT("'Infos Clientes'!$W"&amp;INDEX('Infos Clientes'!$C:$C,MATCH(C717,'Infos Clientes'!$H:$H,0))&amp;":$CZ"&amp;INDEX('Infos Clientes'!$C:$C,MATCH(C717,'Infos Clientes'!$H:$H,0))),"&gt;="&amp;0,'Infos Clientes'!$W$2:$CZ$2,"&gt;"&amp;$R717-365,'Infos Clientes'!$W$2:$CZ$2,"&lt;="&amp;$R717),""),"")</f>
        <v/>
      </c>
      <c r="CB717" s="87">
        <f>VLOOKUP(C717,'Infos Clientes'!B:L,11,0)</f>
        <v>0</v>
      </c>
      <c r="CC717" s="88" t="str">
        <f t="shared" si="452"/>
        <v>A Unidade Consumidora 10/226667-4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E717" s="43">
        <v>58.15</v>
      </c>
      <c r="CF717" s="115">
        <f t="shared" si="453"/>
        <v>0</v>
      </c>
    </row>
    <row r="718" spans="1:84" ht="16.2" hidden="1" customHeight="1" x14ac:dyDescent="0.3">
      <c r="A718" s="105" t="str">
        <f>INDEX('Infos Clientes'!$D:$D,MATCH('Detalhe Por UC'!C718,'Infos Clientes'!B:B,0))</f>
        <v>IGREJA DO EVANGELHO QUADRANGULAR</v>
      </c>
      <c r="B718" s="106" t="str">
        <f>INDEX('Infos Clientes'!$F:$F,MATCH('Detalhe Por UC'!C718,'Infos Clientes'!B:B,0))</f>
        <v>62.955.505/0800-98</v>
      </c>
      <c r="C718" s="44" t="s">
        <v>38</v>
      </c>
      <c r="D718" t="s">
        <v>351</v>
      </c>
      <c r="E718" s="1" t="s">
        <v>352</v>
      </c>
      <c r="F718" s="56" t="str">
        <f>INDEX('Infos Clientes'!$I:$I,MATCH('Detalhe Por UC'!C718,'Infos Clientes'!B:B,0))</f>
        <v>BT</v>
      </c>
      <c r="G718" s="56" t="str">
        <f>INDEX('Infos Clientes'!$J:$J,MATCH('Detalhe Por UC'!C718,'Infos Clientes'!B:B,0))</f>
        <v>trifasico</v>
      </c>
      <c r="H718" s="47" t="str">
        <f>HYPERLINK("https://geraebcsp.sharepoint.com/sites/gestao.gdc/Shared Documents/EGS/2- Faturas/"&amp; TEXT($R718,"AAA") &amp;"/"&amp; TEXT($R718,"MM") &amp;"."&amp; TEXT($R718,"AAA") &amp;"/"&amp;"_10-"&amp; RIGHT($C718,LEN($C718)-3) &amp;"_" &amp; TEXT($R718,"AAAA") &amp;"-"&amp; TEXT($R718,"MM") &amp;".pdf","GIROSSOL II")</f>
        <v>GIROSSOL II</v>
      </c>
      <c r="I718" s="58">
        <f>IFERROR(VLOOKUP(C718,'Infos Clientes'!B:E,4,),"")</f>
        <v>351</v>
      </c>
      <c r="J718" s="109">
        <v>0.22939999999999999</v>
      </c>
      <c r="K718" s="79">
        <f>INDEX('Resumo Operacional'!$A$1:$P$151,MATCH("Desconto percentual Ucs",'Resumo Operacional'!$B$1:$B$151,0),MATCH('Detalhe Por UC'!$R718,'Resumo Operacional'!$A$1:$P$1,0))</f>
        <v>0.25212408425707711</v>
      </c>
      <c r="L718" s="125">
        <v>0</v>
      </c>
      <c r="M718" s="56">
        <f>INDEX('Infos Clientes'!$N:$N,MATCH('Detalhe Por UC'!C718,'Infos Clientes'!B:B,0))</f>
        <v>0</v>
      </c>
      <c r="N718" s="56">
        <f t="shared" si="418"/>
        <v>0</v>
      </c>
      <c r="O718" s="56">
        <f t="shared" si="419"/>
        <v>7</v>
      </c>
      <c r="P718" s="56">
        <f t="shared" si="454"/>
        <v>0</v>
      </c>
      <c r="Q718" s="61">
        <f>IFERROR(IFERROR(INDEX('Infos Clientes'!$A$2:$V$9884,MATCH($C718,'Infos Clientes'!$B$2:$B$9884,0),MATCH(Q$8,'Infos Clientes'!$A$2:$V$2,0)),"")
+IF(OR(INDEX('Infos Clientes'!$A$2:$V$9884,MATCH($C718,'Infos Clientes'!$B$2:$B$9884,0),MATCH("Tempo de Fidelidade (meses)",'Infos Clientes'!$A$2:$V$2,0))=0,R718&gt;=MAX(R:R)),0,
ROUND((MAX(R:R)-R718)/(365/12),0)),"")</f>
        <v>0</v>
      </c>
      <c r="R718" s="111">
        <v>45839</v>
      </c>
      <c r="S718" s="63">
        <v>0</v>
      </c>
      <c r="T718" s="113">
        <f>IF($H718="GIROSSOL II",AP718/INDEX('Resumo Operacional'!$A$1:$P$1103,17,MATCH('Detalhe Por UC'!$R718,'Resumo Operacional'!$A$1:$P$1,0)),
IF($H718="GIROSSOL II e III",AP718/INDEX('Resumo Operacional'!$A$1:$P$1103,17,MATCH('Detalhe Por UC'!$R718,'Resumo Operacional'!$A$1:$P$1,0)),
""))</f>
        <v>0</v>
      </c>
      <c r="U718" s="113" t="str">
        <f>IF($H718="GIROSSOL III",AP718/INDEX('Resumo Operacional'!$A$1:$P$1103,53,MATCH('Detalhe Por UC'!$R718,'Resumo Operacional'!$A$1:$P$1,0)),
IF($H718="GIROSSOL II e III",AP718/INDEX('Resumo Operacional'!$A$1:$P$1103,53,MATCH('Detalhe Por UC'!$R718,'Resumo Operacional'!$A$1:$P$1,0)),
""))</f>
        <v/>
      </c>
      <c r="V718" s="45"/>
      <c r="X718" s="18">
        <v>1.1629999999999998</v>
      </c>
      <c r="Y718">
        <v>0</v>
      </c>
      <c r="Z718" s="18">
        <v>0</v>
      </c>
      <c r="AA718">
        <v>0</v>
      </c>
      <c r="AB718" s="18">
        <v>0</v>
      </c>
      <c r="AC718">
        <v>0</v>
      </c>
      <c r="AD718" s="143">
        <v>0</v>
      </c>
      <c r="AE718" s="35"/>
      <c r="AF718" s="18"/>
      <c r="AH718" s="48">
        <v>0</v>
      </c>
      <c r="AI718">
        <v>0</v>
      </c>
      <c r="AJ718">
        <v>0</v>
      </c>
      <c r="AN718" s="71">
        <f t="shared" si="420"/>
        <v>0</v>
      </c>
      <c r="AO718" s="71">
        <f t="shared" si="421"/>
        <v>0</v>
      </c>
      <c r="AP718" s="71">
        <f t="shared" si="422"/>
        <v>0</v>
      </c>
      <c r="AQ718" s="72">
        <f>IF(OR($H718="GIROSSOL II",$H718="GIROSSOL II e III"),INDEX('Resumo Operacional'!$A$1:$P$1103,MATCH("Energia Injetada prevista total Fatura da Usina (TUSD)",'Resumo Operacional'!$B$1:$B$1103,0),MATCH('Detalhe Por UC'!$R718,'Resumo Operacional'!$A$1:$P$1,0))*$S718,INDEX('Resumo Operacional'!$A$1:$P$1103,53,MATCH('Detalhe Por UC'!$R718,'Resumo Operacional'!$A$1:$P$1,0))*$S718)</f>
        <v>0</v>
      </c>
      <c r="AR718" s="71">
        <f t="shared" si="423"/>
        <v>0</v>
      </c>
      <c r="AS718" s="73">
        <f t="shared" si="424"/>
        <v>116.29999999999998</v>
      </c>
      <c r="AT718" s="74">
        <f t="shared" si="425"/>
        <v>116.29999999999998</v>
      </c>
      <c r="AU718" s="74" t="str">
        <f t="shared" si="426"/>
        <v/>
      </c>
      <c r="AV718" s="74">
        <f t="shared" si="427"/>
        <v>0</v>
      </c>
      <c r="AW718" s="74">
        <f t="shared" si="428"/>
        <v>0</v>
      </c>
      <c r="AX718" s="74">
        <f t="shared" si="429"/>
        <v>0</v>
      </c>
      <c r="AY718" s="74" t="str">
        <f t="shared" si="430"/>
        <v/>
      </c>
      <c r="AZ718" s="43" t="s">
        <v>354</v>
      </c>
      <c r="BA718" s="43">
        <v>0</v>
      </c>
      <c r="BC718" s="73" t="str">
        <f t="shared" si="431"/>
        <v/>
      </c>
      <c r="BD718" s="73">
        <f t="shared" si="432"/>
        <v>116.29999999999998</v>
      </c>
      <c r="BE718" s="73">
        <f t="shared" si="433"/>
        <v>116.29999999999998</v>
      </c>
      <c r="BF718" s="77">
        <f t="shared" si="434"/>
        <v>0</v>
      </c>
      <c r="BG718" s="77">
        <f t="shared" si="435"/>
        <v>0</v>
      </c>
      <c r="BH718" s="77">
        <f t="shared" si="436"/>
        <v>0</v>
      </c>
      <c r="BI718" s="78" t="str">
        <f t="shared" si="437"/>
        <v/>
      </c>
      <c r="BJ718" s="79">
        <f t="shared" si="438"/>
        <v>0</v>
      </c>
      <c r="BK718" s="80" t="str">
        <f t="shared" si="439"/>
        <v/>
      </c>
      <c r="BL718" s="80" t="str">
        <f t="shared" si="440"/>
        <v/>
      </c>
      <c r="BM718" s="79" t="str">
        <f t="shared" si="441"/>
        <v/>
      </c>
      <c r="BN718" s="81" t="str">
        <f t="shared" si="442"/>
        <v/>
      </c>
      <c r="BO718" s="82" t="str">
        <f t="shared" si="443"/>
        <v/>
      </c>
      <c r="BP718" s="81" t="str">
        <f t="shared" si="444"/>
        <v/>
      </c>
      <c r="BQ718" s="81" t="str">
        <f t="shared" si="445"/>
        <v/>
      </c>
      <c r="BR718" s="81" t="str">
        <f t="shared" si="446"/>
        <v/>
      </c>
      <c r="BS718" s="82">
        <f t="shared" si="447"/>
        <v>0</v>
      </c>
      <c r="BT718" s="82" t="str">
        <f t="shared" si="448"/>
        <v/>
      </c>
      <c r="BU718" s="82">
        <f t="shared" si="449"/>
        <v>0</v>
      </c>
      <c r="BW718" s="82">
        <f>IFERROR(INDEX('Infos Clientes'!$T:$T,MATCH('Detalhe Por UC'!$C718,'Infos Clientes'!B:B,0)),"")</f>
        <v>134.36363636363637</v>
      </c>
      <c r="BX718" s="83">
        <f t="shared" si="450"/>
        <v>0</v>
      </c>
      <c r="BY718" s="84" t="str">
        <f t="shared" si="451"/>
        <v/>
      </c>
      <c r="BZ718" s="85">
        <f>IF(_xlfn.MINIFS('Detalhe Por UC'!R:R,'Detalhe Por UC'!C:C,C718,'Detalhe Por UC'!AD:AD,"&gt;"&amp;0)=0,"",_xlfn.MINIFS('Detalhe Por UC'!R:R,'Detalhe Por UC'!C:C,C718,'Detalhe Por UC'!AD:AD,"&gt;"&amp;0))</f>
        <v>45627</v>
      </c>
      <c r="CA718" s="114" t="str">
        <f ca="1">IF(OR(S718&gt;0,AD718&gt;0),IFERROR(
SUMIFS(INDIRECT("'Infos Clientes'!$W"&amp;INDEX('Infos Clientes'!$C:$C,MATCH(C718,'Infos Clientes'!$H:$H,0))&amp;":$CZ"&amp;INDEX('Infos Clientes'!$C:$C,MATCH(C718,'Infos Clientes'!$H:$H,0))),'Infos Clientes'!$W$2:$CZ$2,"&gt;"&amp;$R718-365,'Infos Clientes'!$W$2:$CZ$2,"&lt;="&amp;$R718)/
COUNTIFS(INDIRECT("'Infos Clientes'!$W"&amp;INDEX('Infos Clientes'!$C:$C,MATCH(C718,'Infos Clientes'!$H:$H,0))&amp;":$CZ"&amp;INDEX('Infos Clientes'!$C:$C,MATCH(C718,'Infos Clientes'!$H:$H,0))),"&gt;="&amp;0,'Infos Clientes'!$W$2:$CZ$2,"&gt;"&amp;$R718-365,'Infos Clientes'!$W$2:$CZ$2,"&lt;="&amp;$R718),""),"")</f>
        <v/>
      </c>
      <c r="CB718" s="87">
        <f>VLOOKUP(C718,'Infos Clientes'!B:L,11,0)</f>
        <v>0</v>
      </c>
      <c r="CC718" s="88" t="str">
        <f t="shared" si="452"/>
        <v>A Unidade Consumidora 10/135237-6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E718" s="43">
        <v>116.3</v>
      </c>
      <c r="CF718" s="115">
        <f t="shared" si="453"/>
        <v>0</v>
      </c>
    </row>
    <row r="719" spans="1:84" ht="16.2" hidden="1" customHeight="1" x14ac:dyDescent="0.3">
      <c r="A719" s="105" t="str">
        <f>INDEX('Infos Clientes'!$D:$D,MATCH('Detalhe Por UC'!C719,'Infos Clientes'!B:B,0))</f>
        <v>IGREJA DO EVANGELHO QUADRANGULAR</v>
      </c>
      <c r="B719" s="106" t="str">
        <f>INDEX('Infos Clientes'!$F:$F,MATCH('Detalhe Por UC'!C719,'Infos Clientes'!B:B,0))</f>
        <v>62.955.505/0170-51</v>
      </c>
      <c r="C719" s="44" t="s">
        <v>73</v>
      </c>
      <c r="D719" t="s">
        <v>351</v>
      </c>
      <c r="E719" s="1" t="s">
        <v>352</v>
      </c>
      <c r="F719" s="56" t="str">
        <f>INDEX('Infos Clientes'!$I:$I,MATCH('Detalhe Por UC'!C719,'Infos Clientes'!B:B,0))</f>
        <v>BT</v>
      </c>
      <c r="G719" s="56" t="str">
        <f>INDEX('Infos Clientes'!$J:$J,MATCH('Detalhe Por UC'!C719,'Infos Clientes'!B:B,0))</f>
        <v>bifasico</v>
      </c>
      <c r="H719" s="47" t="str">
        <f>HYPERLINK("https://geraebcsp.sharepoint.com/sites/gestao.gdc/Shared Documents/EGS/2- Faturas/"&amp; TEXT($R719,"AAA") &amp;"/"&amp; TEXT($R719,"MM") &amp;"."&amp; TEXT($R719,"AAA") &amp;"/"&amp;"_10-"&amp; RIGHT($C719,LEN($C719)-3) &amp;"_" &amp; TEXT($R719,"AAAA") &amp;"-"&amp; TEXT($R719,"MM") &amp;".pdf","GIROSSOL II")</f>
        <v>GIROSSOL II</v>
      </c>
      <c r="I719" s="58">
        <f>IFERROR(VLOOKUP(C719,'Infos Clientes'!B:E,4,),"")</f>
        <v>306</v>
      </c>
      <c r="J719" s="109">
        <v>0.22939999999999999</v>
      </c>
      <c r="K719" s="79">
        <f>INDEX('Resumo Operacional'!$A$1:$P$151,MATCH("Desconto percentual Ucs",'Resumo Operacional'!$B$1:$B$151,0),MATCH('Detalhe Por UC'!$R719,'Resumo Operacional'!$A$1:$P$1,0))</f>
        <v>0.25212408425707711</v>
      </c>
      <c r="L719" s="125">
        <v>0</v>
      </c>
      <c r="M719" s="56">
        <f>INDEX('Infos Clientes'!$N:$N,MATCH('Detalhe Por UC'!C719,'Infos Clientes'!B:B,0))</f>
        <v>0</v>
      </c>
      <c r="N719" s="56">
        <f t="shared" si="418"/>
        <v>0</v>
      </c>
      <c r="O719" s="56">
        <f t="shared" si="419"/>
        <v>12</v>
      </c>
      <c r="P719" s="56">
        <f t="shared" si="454"/>
        <v>0</v>
      </c>
      <c r="Q719" s="61">
        <f>IFERROR(IFERROR(INDEX('Infos Clientes'!$A$2:$V$9884,MATCH($C719,'Infos Clientes'!$B$2:$B$9884,0),MATCH(Q$8,'Infos Clientes'!$A$2:$V$2,0)),"")
+IF(OR(INDEX('Infos Clientes'!$A$2:$V$9884,MATCH($C719,'Infos Clientes'!$B$2:$B$9884,0),MATCH("Tempo de Fidelidade (meses)",'Infos Clientes'!$A$2:$V$2,0))=0,R719&gt;=MAX(R:R)),0,
ROUND((MAX(R:R)-R719)/(365/12),0)),"")</f>
        <v>0</v>
      </c>
      <c r="R719" s="111">
        <v>45839</v>
      </c>
      <c r="S719" s="63">
        <v>0</v>
      </c>
      <c r="T719" s="113">
        <f>IF($H719="GIROSSOL II",AP719/INDEX('Resumo Operacional'!$A$1:$P$1103,17,MATCH('Detalhe Por UC'!$R719,'Resumo Operacional'!$A$1:$P$1,0)),
IF($H719="GIROSSOL II e III",AP719/INDEX('Resumo Operacional'!$A$1:$P$1103,17,MATCH('Detalhe Por UC'!$R719,'Resumo Operacional'!$A$1:$P$1,0)),
""))</f>
        <v>3.6363636363636364E-3</v>
      </c>
      <c r="U719" s="113" t="str">
        <f>IF($H719="GIROSSOL III",AP719/INDEX('Resumo Operacional'!$A$1:$P$1103,53,MATCH('Detalhe Por UC'!$R719,'Resumo Operacional'!$A$1:$P$1,0)),
IF($H719="GIROSSOL II e III",AP719/INDEX('Resumo Operacional'!$A$1:$P$1103,53,MATCH('Detalhe Por UC'!$R719,'Resumo Operacional'!$A$1:$P$1,0)),
""))</f>
        <v/>
      </c>
      <c r="V719" s="45"/>
      <c r="X719">
        <v>1.1630448717948716</v>
      </c>
      <c r="Y719">
        <v>0</v>
      </c>
      <c r="Z719" s="18">
        <v>1.0789166666666665</v>
      </c>
      <c r="AA719">
        <v>0</v>
      </c>
      <c r="AB719" s="18">
        <v>78</v>
      </c>
      <c r="AC719">
        <v>0</v>
      </c>
      <c r="AD719" s="143">
        <v>30</v>
      </c>
      <c r="AE719" s="35"/>
      <c r="AF719" s="18"/>
      <c r="AH719" s="48">
        <v>0</v>
      </c>
      <c r="AI719">
        <v>0</v>
      </c>
      <c r="AJ719">
        <v>0</v>
      </c>
      <c r="AN719" s="71">
        <f t="shared" si="420"/>
        <v>0</v>
      </c>
      <c r="AO719" s="71">
        <f t="shared" si="421"/>
        <v>0</v>
      </c>
      <c r="AP719" s="71">
        <f t="shared" si="422"/>
        <v>30</v>
      </c>
      <c r="AQ719" s="72">
        <f>IF(OR($H719="GIROSSOL II",$H719="GIROSSOL II e III"),INDEX('Resumo Operacional'!$A$1:$P$1103,MATCH("Energia Injetada prevista total Fatura da Usina (TUSD)",'Resumo Operacional'!$B$1:$B$1103,0),MATCH('Detalhe Por UC'!$R719,'Resumo Operacional'!$A$1:$P$1,0))*$S719,INDEX('Resumo Operacional'!$A$1:$P$1103,53,MATCH('Detalhe Por UC'!$R719,'Resumo Operacional'!$A$1:$P$1,0))*$S719)</f>
        <v>0</v>
      </c>
      <c r="AR719" s="71">
        <f t="shared" si="423"/>
        <v>30</v>
      </c>
      <c r="AS719" s="73">
        <f t="shared" si="424"/>
        <v>58.349999999999994</v>
      </c>
      <c r="AT719" s="74">
        <f t="shared" si="425"/>
        <v>58.349999999999994</v>
      </c>
      <c r="AU719" s="74">
        <f t="shared" si="426"/>
        <v>0.99478846153846145</v>
      </c>
      <c r="AV719" s="74">
        <f t="shared" si="427"/>
        <v>24.942395499999993</v>
      </c>
      <c r="AW719" s="74">
        <f t="shared" si="428"/>
        <v>0.60000000000000142</v>
      </c>
      <c r="AX719" s="74">
        <f t="shared" si="429"/>
        <v>32.967499999999994</v>
      </c>
      <c r="AY719" s="74">
        <f t="shared" si="430"/>
        <v>25.54</v>
      </c>
      <c r="AZ719" s="43">
        <v>25.54</v>
      </c>
      <c r="BA719" s="43">
        <v>25.54</v>
      </c>
      <c r="BB719" s="49">
        <v>25.54</v>
      </c>
      <c r="BC719" s="73" t="str">
        <f t="shared" si="431"/>
        <v/>
      </c>
      <c r="BD719" s="73">
        <f t="shared" si="432"/>
        <v>90.717499999999987</v>
      </c>
      <c r="BE719" s="73">
        <f t="shared" si="433"/>
        <v>83.292395499999984</v>
      </c>
      <c r="BF719" s="77">
        <f t="shared" si="434"/>
        <v>7.43</v>
      </c>
      <c r="BG719" s="77">
        <f t="shared" si="435"/>
        <v>2.2289999999999996</v>
      </c>
      <c r="BH719" s="77">
        <f t="shared" si="436"/>
        <v>32.3675</v>
      </c>
      <c r="BI719" s="78">
        <f t="shared" si="437"/>
        <v>0.23</v>
      </c>
      <c r="BJ719" s="79">
        <f t="shared" si="438"/>
        <v>8.1902609750048233E-2</v>
      </c>
      <c r="BK719" s="80">
        <f t="shared" si="439"/>
        <v>83.889999999999986</v>
      </c>
      <c r="BL719" s="80">
        <f t="shared" si="440"/>
        <v>6.8275000000000006</v>
      </c>
      <c r="BM719" s="79">
        <f t="shared" si="441"/>
        <v>7.526111279521594E-2</v>
      </c>
      <c r="BN719" s="81">
        <f t="shared" si="442"/>
        <v>0.85133333333333328</v>
      </c>
      <c r="BO719" s="82">
        <f t="shared" si="443"/>
        <v>25.54</v>
      </c>
      <c r="BP719" s="81">
        <f t="shared" si="444"/>
        <v>0.85133333333333328</v>
      </c>
      <c r="BQ719" s="81">
        <f t="shared" si="445"/>
        <v>0.93546153846153834</v>
      </c>
      <c r="BR719" s="81">
        <f t="shared" si="446"/>
        <v>1.1630448717948716</v>
      </c>
      <c r="BS719" s="82">
        <f t="shared" si="447"/>
        <v>30</v>
      </c>
      <c r="BT719" s="82">
        <f t="shared" si="448"/>
        <v>34.89134615384615</v>
      </c>
      <c r="BU719" s="82">
        <f t="shared" si="449"/>
        <v>32.367499999999993</v>
      </c>
      <c r="BW719" s="82">
        <f>IFERROR(INDEX('Infos Clientes'!$T:$T,MATCH('Detalhe Por UC'!$C719,'Infos Clientes'!B:B,0)),"")</f>
        <v>153.91666666666666</v>
      </c>
      <c r="BX719" s="83">
        <f t="shared" si="450"/>
        <v>0</v>
      </c>
      <c r="BY719" s="84">
        <f t="shared" si="451"/>
        <v>0.19567889326756135</v>
      </c>
      <c r="BZ719" s="85">
        <f>IF(_xlfn.MINIFS('Detalhe Por UC'!R:R,'Detalhe Por UC'!C:C,C719,'Detalhe Por UC'!AD:AD,"&gt;"&amp;0)=0,"",_xlfn.MINIFS('Detalhe Por UC'!R:R,'Detalhe Por UC'!C:C,C719,'Detalhe Por UC'!AD:AD,"&gt;"&amp;0))</f>
        <v>45627</v>
      </c>
      <c r="CA719" s="114">
        <f ca="1">IF(OR(S719&gt;0,AD719&gt;0),IFERROR(
SUMIFS(INDIRECT("'Infos Clientes'!$W"&amp;INDEX('Infos Clientes'!$C:$C,MATCH(C719,'Infos Clientes'!$H:$H,0))&amp;":$CZ"&amp;INDEX('Infos Clientes'!$C:$C,MATCH(C719,'Infos Clientes'!$H:$H,0))),'Infos Clientes'!$W$2:$CZ$2,"&gt;"&amp;$R719-365,'Infos Clientes'!$W$2:$CZ$2,"&lt;="&amp;$R719)/
COUNTIFS(INDIRECT("'Infos Clientes'!$W"&amp;INDEX('Infos Clientes'!$C:$C,MATCH(C719,'Infos Clientes'!$H:$H,0))&amp;":$CZ"&amp;INDEX('Infos Clientes'!$C:$C,MATCH(C719,'Infos Clientes'!$H:$H,0))),"&gt;="&amp;0,'Infos Clientes'!$W$2:$CZ$2,"&gt;"&amp;$R719-365,'Infos Clientes'!$W$2:$CZ$2,"&lt;="&amp;$R719),""),"")</f>
        <v>143.16666666666666</v>
      </c>
      <c r="CB719" s="87">
        <f>VLOOKUP(C719,'Infos Clientes'!B:L,11,0)</f>
        <v>0</v>
      </c>
      <c r="CC719" s="88" t="str">
        <f t="shared" si="452"/>
        <v>A Unidade Consumidora 10/218777-1 economizou R$7,43 na fatura referente à jul/2025  consumindo 30 kWh em créditos de energia renovável conforme fatura de energia. A economia foi de 22,94% em relação ao que seria pago para a Energisa considerando os créditos consumidos. Atenção: Mantenha as contas da Energisa em dia para evitar cortes.</v>
      </c>
      <c r="CE719" s="43">
        <v>58.35</v>
      </c>
      <c r="CF719" s="115">
        <f t="shared" si="453"/>
        <v>0</v>
      </c>
    </row>
    <row r="720" spans="1:84" ht="16.2" hidden="1" customHeight="1" x14ac:dyDescent="0.3">
      <c r="A720" s="105" t="str">
        <f>INDEX('Infos Clientes'!$D:$D,MATCH('Detalhe Por UC'!C720,'Infos Clientes'!B:B,0))</f>
        <v>IGREJA DO EVANGELHO QUADRANGULAR</v>
      </c>
      <c r="B720" s="106" t="str">
        <f>INDEX('Infos Clientes'!$F:$F,MATCH('Detalhe Por UC'!C720,'Infos Clientes'!B:B,0))</f>
        <v>62.955.505/0155-12</v>
      </c>
      <c r="C720" s="44" t="s">
        <v>129</v>
      </c>
      <c r="D720" t="s">
        <v>351</v>
      </c>
      <c r="E720" s="1" t="s">
        <v>352</v>
      </c>
      <c r="F720" s="56" t="str">
        <f>INDEX('Infos Clientes'!$I:$I,MATCH('Detalhe Por UC'!C720,'Infos Clientes'!B:B,0))</f>
        <v>BT</v>
      </c>
      <c r="G720" s="56" t="str">
        <f>INDEX('Infos Clientes'!$J:$J,MATCH('Detalhe Por UC'!C720,'Infos Clientes'!B:B,0))</f>
        <v>trifasico</v>
      </c>
      <c r="H720" s="108" t="s">
        <v>24</v>
      </c>
      <c r="I720" s="58">
        <f>IFERROR(VLOOKUP(C720,'Infos Clientes'!B:E,4,),"")</f>
        <v>358</v>
      </c>
      <c r="J720" s="109">
        <v>0.22939999999999999</v>
      </c>
      <c r="K720" s="79">
        <f>INDEX('Resumo Operacional'!$A$1:$P$151,MATCH("Desconto percentual Ucs",'Resumo Operacional'!$B$1:$B$151,0),MATCH('Detalhe Por UC'!$R720,'Resumo Operacional'!$A$1:$P$1,0))</f>
        <v>0.25212408425707711</v>
      </c>
      <c r="L720" s="125">
        <v>0</v>
      </c>
      <c r="M720" s="56">
        <f>INDEX('Infos Clientes'!$N:$N,MATCH('Detalhe Por UC'!C720,'Infos Clientes'!B:B,0))</f>
        <v>0</v>
      </c>
      <c r="N720" s="56">
        <f t="shared" si="418"/>
        <v>0</v>
      </c>
      <c r="O720" s="56">
        <f t="shared" si="419"/>
        <v>11</v>
      </c>
      <c r="P720" s="56">
        <f t="shared" si="454"/>
        <v>0</v>
      </c>
      <c r="Q720" s="61">
        <f>IFERROR(IFERROR(INDEX('Infos Clientes'!$A$2:$V$9884,MATCH($C720,'Infos Clientes'!$B$2:$B$9884,0),MATCH(Q$8,'Infos Clientes'!$A$2:$V$2,0)),"")
+IF(OR(INDEX('Infos Clientes'!$A$2:$V$9884,MATCH($C720,'Infos Clientes'!$B$2:$B$9884,0),MATCH("Tempo de Fidelidade (meses)",'Infos Clientes'!$A$2:$V$2,0))=0,R720&gt;=MAX(R:R)),0,
ROUND((MAX(R:R)-R720)/(365/12),0)),"")</f>
        <v>0</v>
      </c>
      <c r="R720" s="111">
        <v>45839</v>
      </c>
      <c r="S720" s="63">
        <v>0</v>
      </c>
      <c r="T720" s="113">
        <f>IF($H720="GIROSSOL II",AP720/INDEX('Resumo Operacional'!$A$1:$P$1103,17,MATCH('Detalhe Por UC'!$R720,'Resumo Operacional'!$A$1:$P$1,0)),
IF($H720="GIROSSOL II e III",AP720/INDEX('Resumo Operacional'!$A$1:$P$1103,17,MATCH('Detalhe Por UC'!$R720,'Resumo Operacional'!$A$1:$P$1,0)),
""))</f>
        <v>9.8181818181818179E-3</v>
      </c>
      <c r="U720" s="113" t="str">
        <f>IF($H720="GIROSSOL III",AP720/INDEX('Resumo Operacional'!$A$1:$P$1103,53,MATCH('Detalhe Por UC'!$R720,'Resumo Operacional'!$A$1:$P$1,0)),
IF($H720="GIROSSOL II e III",AP720/INDEX('Resumo Operacional'!$A$1:$P$1103,53,MATCH('Detalhe Por UC'!$R720,'Resumo Operacional'!$A$1:$P$1,0)),
""))</f>
        <v/>
      </c>
      <c r="V720" s="45"/>
      <c r="X720">
        <v>1.1630955801104974</v>
      </c>
      <c r="Y720">
        <v>0</v>
      </c>
      <c r="Z720" s="18">
        <v>1.1629666666666667</v>
      </c>
      <c r="AA720">
        <v>0</v>
      </c>
      <c r="AB720" s="18">
        <v>181</v>
      </c>
      <c r="AC720">
        <v>0</v>
      </c>
      <c r="AD720" s="143">
        <v>81</v>
      </c>
      <c r="AE720" s="35"/>
      <c r="AF720" s="18"/>
      <c r="AH720" s="48">
        <v>55.269999999999996</v>
      </c>
      <c r="AI720">
        <v>0</v>
      </c>
      <c r="AJ720">
        <v>0</v>
      </c>
      <c r="AN720" s="71">
        <f t="shared" si="420"/>
        <v>0</v>
      </c>
      <c r="AO720" s="71">
        <f t="shared" si="421"/>
        <v>0</v>
      </c>
      <c r="AP720" s="71">
        <f t="shared" si="422"/>
        <v>81</v>
      </c>
      <c r="AQ720" s="72">
        <f>IF(OR($H720="GIROSSOL II",$H720="GIROSSOL II e III"),INDEX('Resumo Operacional'!$A$1:$P$1103,MATCH("Energia Injetada prevista total Fatura da Usina (TUSD)",'Resumo Operacional'!$B$1:$B$1103,0),MATCH('Detalhe Por UC'!$R720,'Resumo Operacional'!$A$1:$P$1,0))*$S720,INDEX('Resumo Operacional'!$A$1:$P$1103,53,MATCH('Detalhe Por UC'!$R720,'Resumo Operacional'!$A$1:$P$1,0))*$S720)</f>
        <v>0</v>
      </c>
      <c r="AR720" s="71">
        <f t="shared" si="423"/>
        <v>81</v>
      </c>
      <c r="AS720" s="73">
        <f t="shared" si="424"/>
        <v>171.59000000000003</v>
      </c>
      <c r="AT720" s="74">
        <f t="shared" si="425"/>
        <v>171.59000000000003</v>
      </c>
      <c r="AU720" s="74">
        <f t="shared" si="426"/>
        <v>1.162837753222836</v>
      </c>
      <c r="AV720" s="74">
        <f t="shared" si="427"/>
        <v>72.590751179999998</v>
      </c>
      <c r="AW720" s="74">
        <f t="shared" si="428"/>
        <v>0</v>
      </c>
      <c r="AX720" s="74">
        <f t="shared" si="429"/>
        <v>94.200299999999999</v>
      </c>
      <c r="AY720" s="74">
        <f t="shared" si="430"/>
        <v>72.59</v>
      </c>
      <c r="AZ720" s="43">
        <v>72.59</v>
      </c>
      <c r="BA720" s="43">
        <v>72.59</v>
      </c>
      <c r="BB720" s="49">
        <v>72.59</v>
      </c>
      <c r="BC720" s="73" t="str">
        <f t="shared" si="431"/>
        <v/>
      </c>
      <c r="BD720" s="73">
        <f t="shared" si="432"/>
        <v>265.7903</v>
      </c>
      <c r="BE720" s="73">
        <f t="shared" si="433"/>
        <v>244.18075118000002</v>
      </c>
      <c r="BF720" s="77">
        <f t="shared" si="434"/>
        <v>21.61</v>
      </c>
      <c r="BG720" s="77">
        <f t="shared" si="435"/>
        <v>6.4829999999999997</v>
      </c>
      <c r="BH720" s="77">
        <f t="shared" si="436"/>
        <v>94.200299999999999</v>
      </c>
      <c r="BI720" s="78">
        <f t="shared" si="437"/>
        <v>0.23</v>
      </c>
      <c r="BJ720" s="79">
        <f t="shared" si="438"/>
        <v>8.130469772598925E-2</v>
      </c>
      <c r="BK720" s="80">
        <f t="shared" si="439"/>
        <v>244.18000000000004</v>
      </c>
      <c r="BL720" s="80">
        <f t="shared" si="440"/>
        <v>21.610299999999967</v>
      </c>
      <c r="BM720" s="79">
        <f t="shared" si="441"/>
        <v>8.130582643535135E-2</v>
      </c>
      <c r="BN720" s="81">
        <f t="shared" si="442"/>
        <v>0.89617283950617288</v>
      </c>
      <c r="BO720" s="82">
        <f t="shared" si="443"/>
        <v>72.59</v>
      </c>
      <c r="BP720" s="81">
        <f t="shared" si="444"/>
        <v>0.89617283950617288</v>
      </c>
      <c r="BQ720" s="81">
        <f t="shared" si="445"/>
        <v>0.89630175295000358</v>
      </c>
      <c r="BR720" s="81">
        <f t="shared" si="446"/>
        <v>1.1630955801104974</v>
      </c>
      <c r="BS720" s="82">
        <f t="shared" si="447"/>
        <v>81</v>
      </c>
      <c r="BT720" s="82">
        <f t="shared" si="448"/>
        <v>94.210741988950289</v>
      </c>
      <c r="BU720" s="82">
        <f t="shared" si="449"/>
        <v>94.200299999999999</v>
      </c>
      <c r="BW720" s="82">
        <f>IFERROR(INDEX('Infos Clientes'!$T:$T,MATCH('Detalhe Por UC'!$C720,'Infos Clientes'!B:B,0)),"")</f>
        <v>123.5</v>
      </c>
      <c r="BX720" s="83">
        <f t="shared" si="450"/>
        <v>0</v>
      </c>
      <c r="BY720" s="84">
        <f t="shared" si="451"/>
        <v>0.22938254750752957</v>
      </c>
      <c r="BZ720" s="85">
        <f>IF(_xlfn.MINIFS('Detalhe Por UC'!R:R,'Detalhe Por UC'!C:C,C720,'Detalhe Por UC'!AD:AD,"&gt;"&amp;0)=0,"",_xlfn.MINIFS('Detalhe Por UC'!R:R,'Detalhe Por UC'!C:C,C720,'Detalhe Por UC'!AD:AD,"&gt;"&amp;0))</f>
        <v>45627</v>
      </c>
      <c r="CA720" s="114">
        <f ca="1">IF(OR(S720&gt;0,AD720&gt;0),IFERROR(
SUMIFS(INDIRECT("'Infos Clientes'!$W"&amp;INDEX('Infos Clientes'!$C:$C,MATCH(C720,'Infos Clientes'!$H:$H,0))&amp;":$CZ"&amp;INDEX('Infos Clientes'!$C:$C,MATCH(C720,'Infos Clientes'!$H:$H,0))),'Infos Clientes'!$W$2:$CZ$2,"&gt;"&amp;$R720-365,'Infos Clientes'!$W$2:$CZ$2,"&lt;="&amp;$R720)/
COUNTIFS(INDIRECT("'Infos Clientes'!$W"&amp;INDEX('Infos Clientes'!$C:$C,MATCH(C720,'Infos Clientes'!$H:$H,0))&amp;":$CZ"&amp;INDEX('Infos Clientes'!$C:$C,MATCH(C720,'Infos Clientes'!$H:$H,0))),"&gt;="&amp;0,'Infos Clientes'!$W$2:$CZ$2,"&gt;"&amp;$R720-365,'Infos Clientes'!$W$2:$CZ$2,"&lt;="&amp;$R720),""),"")</f>
        <v>119.72727272727273</v>
      </c>
      <c r="CB720" s="87">
        <f>VLOOKUP(C720,'Infos Clientes'!B:L,11,0)</f>
        <v>0</v>
      </c>
      <c r="CC720" s="88" t="str">
        <f t="shared" si="452"/>
        <v>A Unidade Consumidora 10/987178-1 economizou R$21,61 na fatura referente à jul/2025  consumindo 81 kWh em créditos de energia renovável conforme fatura de energia. A economia foi de 22,94% em relação ao que seria pago para a Energisa considerando os créditos consumidos. Atenção: Mantenha as contas da Energisa em dia para evitar cortes.</v>
      </c>
      <c r="CE720" s="43">
        <v>171.59</v>
      </c>
      <c r="CF720" s="115">
        <f t="shared" si="453"/>
        <v>0</v>
      </c>
    </row>
    <row r="721" spans="1:84" ht="16.2" hidden="1" customHeight="1" x14ac:dyDescent="0.3">
      <c r="A721" s="105" t="str">
        <f>INDEX('Infos Clientes'!$D:$D,MATCH('Detalhe Por UC'!C721,'Infos Clientes'!B:B,0))</f>
        <v>IGREJA DO EVANGELHO QUADRANGULAR</v>
      </c>
      <c r="B721" s="106" t="str">
        <f>INDEX('Infos Clientes'!$F:$F,MATCH('Detalhe Por UC'!C721,'Infos Clientes'!B:B,0))</f>
        <v>62.955.505/3932-07</v>
      </c>
      <c r="C721" s="44" t="s">
        <v>18</v>
      </c>
      <c r="D721" t="s">
        <v>351</v>
      </c>
      <c r="E721" s="1" t="s">
        <v>352</v>
      </c>
      <c r="F721" s="56" t="str">
        <f>INDEX('Infos Clientes'!$I:$I,MATCH('Detalhe Por UC'!C721,'Infos Clientes'!B:B,0))</f>
        <v>BT</v>
      </c>
      <c r="G721" s="56" t="str">
        <f>INDEX('Infos Clientes'!$J:$J,MATCH('Detalhe Por UC'!C721,'Infos Clientes'!B:B,0))</f>
        <v>bifasico</v>
      </c>
      <c r="H721" s="108" t="s">
        <v>24</v>
      </c>
      <c r="I721" s="58">
        <f>IFERROR(VLOOKUP(C721,'Infos Clientes'!B:E,4,),"")</f>
        <v>302</v>
      </c>
      <c r="J721" s="109">
        <v>0.22939999999999999</v>
      </c>
      <c r="K721" s="79">
        <f>INDEX('Resumo Operacional'!$A$1:$P$151,MATCH("Desconto percentual Ucs",'Resumo Operacional'!$B$1:$B$151,0),MATCH('Detalhe Por UC'!$R721,'Resumo Operacional'!$A$1:$P$1,0))</f>
        <v>0.25212408425707711</v>
      </c>
      <c r="L721" s="125">
        <v>0</v>
      </c>
      <c r="M721" s="56">
        <f>INDEX('Infos Clientes'!$N:$N,MATCH('Detalhe Por UC'!C721,'Infos Clientes'!B:B,0))</f>
        <v>0</v>
      </c>
      <c r="N721" s="56">
        <f t="shared" si="418"/>
        <v>0</v>
      </c>
      <c r="O721" s="56">
        <f t="shared" si="419"/>
        <v>12</v>
      </c>
      <c r="P721" s="56">
        <f t="shared" si="454"/>
        <v>0</v>
      </c>
      <c r="Q721" s="61">
        <f>IFERROR(IFERROR(INDEX('Infos Clientes'!$A$2:$V$9884,MATCH($C721,'Infos Clientes'!$B$2:$B$9884,0),MATCH(Q$8,'Infos Clientes'!$A$2:$V$2,0)),"")
+IF(OR(INDEX('Infos Clientes'!$A$2:$V$9884,MATCH($C721,'Infos Clientes'!$B$2:$B$9884,0),MATCH("Tempo de Fidelidade (meses)",'Infos Clientes'!$A$2:$V$2,0))=0,R721&gt;=MAX(R:R)),0,
ROUND((MAX(R:R)-R721)/(365/12),0)),"")</f>
        <v>0</v>
      </c>
      <c r="R721" s="111">
        <v>45839</v>
      </c>
      <c r="S721" s="63">
        <v>0</v>
      </c>
      <c r="T721" s="113">
        <f>IF($H721="GIROSSOL II",AP721/INDEX('Resumo Operacional'!$A$1:$P$1103,17,MATCH('Detalhe Por UC'!$R721,'Resumo Operacional'!$A$1:$P$1,0)),
IF($H721="GIROSSOL II e III",AP721/INDEX('Resumo Operacional'!$A$1:$P$1103,17,MATCH('Detalhe Por UC'!$R721,'Resumo Operacional'!$A$1:$P$1,0)),
""))</f>
        <v>2.0606060606060605E-3</v>
      </c>
      <c r="U721" s="113" t="str">
        <f>IF($H721="GIROSSOL III",AP721/INDEX('Resumo Operacional'!$A$1:$P$1103,53,MATCH('Detalhe Por UC'!$R721,'Resumo Operacional'!$A$1:$P$1,0)),
IF($H721="GIROSSOL II e III",AP721/INDEX('Resumo Operacional'!$A$1:$P$1103,53,MATCH('Detalhe Por UC'!$R721,'Resumo Operacional'!$A$1:$P$1,0)),
""))</f>
        <v/>
      </c>
      <c r="V721" s="45"/>
      <c r="X721">
        <v>1.1629164179104479</v>
      </c>
      <c r="Y721">
        <v>0</v>
      </c>
      <c r="Z721" s="18">
        <v>1.1626705882352941</v>
      </c>
      <c r="AA721">
        <v>0</v>
      </c>
      <c r="AB721" s="18">
        <v>67</v>
      </c>
      <c r="AC721">
        <v>0</v>
      </c>
      <c r="AD721" s="143">
        <v>17</v>
      </c>
      <c r="AE721" s="35"/>
      <c r="AF721" s="18"/>
      <c r="AH721" s="48">
        <v>0</v>
      </c>
      <c r="AI721">
        <v>0</v>
      </c>
      <c r="AJ721">
        <v>0</v>
      </c>
      <c r="AN721" s="71">
        <f t="shared" si="420"/>
        <v>0</v>
      </c>
      <c r="AO721" s="71">
        <f t="shared" si="421"/>
        <v>0</v>
      </c>
      <c r="AP721" s="71">
        <f t="shared" si="422"/>
        <v>17</v>
      </c>
      <c r="AQ721" s="72">
        <f>IF(OR($H721="GIROSSOL II",$H721="GIROSSOL II e III"),INDEX('Resumo Operacional'!$A$1:$P$1103,MATCH("Energia Injetada prevista total Fatura da Usina (TUSD)",'Resumo Operacional'!$B$1:$B$1103,0),MATCH('Detalhe Por UC'!$R721,'Resumo Operacional'!$A$1:$P$1,0))*$S721,INDEX('Resumo Operacional'!$A$1:$P$1103,53,MATCH('Detalhe Por UC'!$R721,'Resumo Operacional'!$A$1:$P$1,0))*$S721)</f>
        <v>0</v>
      </c>
      <c r="AR721" s="71">
        <f t="shared" si="423"/>
        <v>17</v>
      </c>
      <c r="AS721" s="73">
        <f t="shared" si="424"/>
        <v>58.150000000000006</v>
      </c>
      <c r="AT721" s="74">
        <f t="shared" si="425"/>
        <v>58.150000000000006</v>
      </c>
      <c r="AU721" s="74">
        <f t="shared" si="426"/>
        <v>1.1624247585601404</v>
      </c>
      <c r="AV721" s="74">
        <f t="shared" si="427"/>
        <v>15.231217239999999</v>
      </c>
      <c r="AW721" s="74">
        <f t="shared" si="428"/>
        <v>0.42000000000000171</v>
      </c>
      <c r="AX721" s="74">
        <f t="shared" si="429"/>
        <v>20.185400000000001</v>
      </c>
      <c r="AY721" s="74">
        <f t="shared" si="430"/>
        <v>15.65</v>
      </c>
      <c r="AZ721" s="43">
        <v>15.65</v>
      </c>
      <c r="BA721" s="43">
        <v>15.65</v>
      </c>
      <c r="BB721" s="49">
        <v>15.65</v>
      </c>
      <c r="BC721" s="73" t="str">
        <f t="shared" si="431"/>
        <v/>
      </c>
      <c r="BD721" s="73">
        <f t="shared" si="432"/>
        <v>77.915400000000005</v>
      </c>
      <c r="BE721" s="73">
        <f t="shared" si="433"/>
        <v>73.381217240000012</v>
      </c>
      <c r="BF721" s="77">
        <f t="shared" si="434"/>
        <v>4.53</v>
      </c>
      <c r="BG721" s="77">
        <f t="shared" si="435"/>
        <v>1.359</v>
      </c>
      <c r="BH721" s="77">
        <f t="shared" si="436"/>
        <v>19.7654</v>
      </c>
      <c r="BI721" s="78">
        <f t="shared" si="437"/>
        <v>0.22</v>
      </c>
      <c r="BJ721" s="79">
        <f t="shared" si="438"/>
        <v>5.8139982596508523E-2</v>
      </c>
      <c r="BK721" s="80">
        <f t="shared" si="439"/>
        <v>73.800000000000011</v>
      </c>
      <c r="BL721" s="80">
        <f t="shared" si="440"/>
        <v>4.115399999999994</v>
      </c>
      <c r="BM721" s="79">
        <f t="shared" si="441"/>
        <v>5.2818826573437262E-2</v>
      </c>
      <c r="BN721" s="81">
        <f t="shared" si="442"/>
        <v>0.92058823529411771</v>
      </c>
      <c r="BO721" s="82">
        <f t="shared" si="443"/>
        <v>15.65</v>
      </c>
      <c r="BP721" s="81">
        <f t="shared" si="444"/>
        <v>0.92058823529411771</v>
      </c>
      <c r="BQ721" s="81">
        <f t="shared" si="445"/>
        <v>0.92083406496927145</v>
      </c>
      <c r="BR721" s="81">
        <f t="shared" si="446"/>
        <v>1.1629164179104479</v>
      </c>
      <c r="BS721" s="82">
        <f t="shared" si="447"/>
        <v>17</v>
      </c>
      <c r="BT721" s="82">
        <f t="shared" si="448"/>
        <v>19.769579104477614</v>
      </c>
      <c r="BU721" s="82">
        <f t="shared" si="449"/>
        <v>19.7654</v>
      </c>
      <c r="BW721" s="82">
        <f>IFERROR(INDEX('Infos Clientes'!$T:$T,MATCH('Detalhe Por UC'!$C721,'Infos Clientes'!B:B,0)),"")</f>
        <v>99.833333333333329</v>
      </c>
      <c r="BX721" s="83">
        <f t="shared" si="450"/>
        <v>0</v>
      </c>
      <c r="BY721" s="84">
        <f t="shared" si="451"/>
        <v>0.20816831649531181</v>
      </c>
      <c r="BZ721" s="85">
        <f>IF(_xlfn.MINIFS('Detalhe Por UC'!R:R,'Detalhe Por UC'!C:C,C721,'Detalhe Por UC'!AD:AD,"&gt;"&amp;0)=0,"",_xlfn.MINIFS('Detalhe Por UC'!R:R,'Detalhe Por UC'!C:C,C721,'Detalhe Por UC'!AD:AD,"&gt;"&amp;0))</f>
        <v>45627</v>
      </c>
      <c r="CA721" s="114">
        <f ca="1">IF(OR(S721&gt;0,AD721&gt;0),IFERROR(
SUMIFS(INDIRECT("'Infos Clientes'!$W"&amp;INDEX('Infos Clientes'!$C:$C,MATCH(C721,'Infos Clientes'!$H:$H,0))&amp;":$CZ"&amp;INDEX('Infos Clientes'!$C:$C,MATCH(C721,'Infos Clientes'!$H:$H,0))),'Infos Clientes'!$W$2:$CZ$2,"&gt;"&amp;$R721-365,'Infos Clientes'!$W$2:$CZ$2,"&lt;="&amp;$R721)/
COUNTIFS(INDIRECT("'Infos Clientes'!$W"&amp;INDEX('Infos Clientes'!$C:$C,MATCH(C721,'Infos Clientes'!$H:$H,0))&amp;":$CZ"&amp;INDEX('Infos Clientes'!$C:$C,MATCH(C721,'Infos Clientes'!$H:$H,0))),"&gt;="&amp;0,'Infos Clientes'!$W$2:$CZ$2,"&gt;"&amp;$R721-365,'Infos Clientes'!$W$2:$CZ$2,"&lt;="&amp;$R721),""),"")</f>
        <v>124.66666666666667</v>
      </c>
      <c r="CB721" s="87">
        <f>VLOOKUP(C721,'Infos Clientes'!B:L,11,0)</f>
        <v>0</v>
      </c>
      <c r="CC721" s="88" t="str">
        <f t="shared" si="452"/>
        <v>A Unidade Consumidora 10/10232-7 economizou R$4,53 na fatura referente à jul/2025  consumindo 17 kWh em créditos de energia renovável conforme fatura de energia. A economia foi de 22,94% em relação ao que seria pago para a Energisa considerando os créditos consumidos. Atenção: Mantenha as contas da Energisa em dia para evitar cortes.</v>
      </c>
      <c r="CE721" s="43">
        <v>58.15</v>
      </c>
      <c r="CF721" s="115">
        <f t="shared" si="453"/>
        <v>0</v>
      </c>
    </row>
    <row r="722" spans="1:84" ht="16.2" hidden="1" customHeight="1" x14ac:dyDescent="0.3">
      <c r="A722" s="105" t="str">
        <f>INDEX('Infos Clientes'!$D:$D,MATCH('Detalhe Por UC'!C722,'Infos Clientes'!B:B,0))</f>
        <v>IGREJA DO EVANGELHO QUADRANGULAR</v>
      </c>
      <c r="B722" s="106" t="str">
        <f>INDEX('Infos Clientes'!$F:$F,MATCH('Detalhe Por UC'!C722,'Infos Clientes'!B:B,0))</f>
        <v>62.955.505/0001-67</v>
      </c>
      <c r="C722" s="44" t="s">
        <v>103</v>
      </c>
      <c r="D722" t="s">
        <v>351</v>
      </c>
      <c r="E722" s="1" t="s">
        <v>352</v>
      </c>
      <c r="F722" s="56" t="str">
        <f>INDEX('Infos Clientes'!$I:$I,MATCH('Detalhe Por UC'!C722,'Infos Clientes'!B:B,0))</f>
        <v>BT</v>
      </c>
      <c r="G722" s="56" t="str">
        <f>INDEX('Infos Clientes'!$J:$J,MATCH('Detalhe Por UC'!C722,'Infos Clientes'!B:B,0))</f>
        <v>monofasico</v>
      </c>
      <c r="H722" s="108" t="s">
        <v>24</v>
      </c>
      <c r="I722" s="58">
        <f>IFERROR(VLOOKUP(C722,'Infos Clientes'!B:E,4,),"")</f>
        <v>306</v>
      </c>
      <c r="J722" s="109">
        <v>0.22939999999999999</v>
      </c>
      <c r="K722" s="79">
        <f>INDEX('Resumo Operacional'!$A$1:$P$151,MATCH("Desconto percentual Ucs",'Resumo Operacional'!$B$1:$B$151,0),MATCH('Detalhe Por UC'!$R722,'Resumo Operacional'!$A$1:$P$1,0))</f>
        <v>0.25212408425707711</v>
      </c>
      <c r="L722" s="125">
        <v>0</v>
      </c>
      <c r="M722" s="56">
        <f>INDEX('Infos Clientes'!$N:$N,MATCH('Detalhe Por UC'!C722,'Infos Clientes'!B:B,0))</f>
        <v>0</v>
      </c>
      <c r="N722" s="56">
        <f t="shared" si="418"/>
        <v>0</v>
      </c>
      <c r="O722" s="56">
        <f t="shared" si="419"/>
        <v>12</v>
      </c>
      <c r="P722" s="56">
        <f t="shared" si="454"/>
        <v>0</v>
      </c>
      <c r="Q722" s="61">
        <f>IFERROR(IFERROR(INDEX('Infos Clientes'!$A$2:$V$9884,MATCH($C722,'Infos Clientes'!$B$2:$B$9884,0),MATCH(Q$8,'Infos Clientes'!$A$2:$V$2,0)),"")
+IF(OR(INDEX('Infos Clientes'!$A$2:$V$9884,MATCH($C722,'Infos Clientes'!$B$2:$B$9884,0),MATCH("Tempo de Fidelidade (meses)",'Infos Clientes'!$A$2:$V$2,0))=0,R722&gt;=MAX(R:R)),0,
ROUND((MAX(R:R)-R722)/(365/12),0)),"")</f>
        <v>0</v>
      </c>
      <c r="R722" s="111">
        <v>45839</v>
      </c>
      <c r="S722" s="63">
        <v>0</v>
      </c>
      <c r="T722" s="113">
        <f>IF($H722="GIROSSOL II",AP722/INDEX('Resumo Operacional'!$A$1:$P$1103,17,MATCH('Detalhe Por UC'!$R722,'Resumo Operacional'!$A$1:$P$1,0)),
IF($H722="GIROSSOL II e III",AP722/INDEX('Resumo Operacional'!$A$1:$P$1103,17,MATCH('Detalhe Por UC'!$R722,'Resumo Operacional'!$A$1:$P$1,0)),
""))</f>
        <v>1.2363636363636363E-2</v>
      </c>
      <c r="U722" s="113" t="str">
        <f>IF($H722="GIROSSOL III",AP722/INDEX('Resumo Operacional'!$A$1:$P$1103,53,MATCH('Detalhe Por UC'!$R722,'Resumo Operacional'!$A$1:$P$1,0)),
IF($H722="GIROSSOL II e III",AP722/INDEX('Resumo Operacional'!$A$1:$P$1103,53,MATCH('Detalhe Por UC'!$R722,'Resumo Operacional'!$A$1:$P$1,0)),
""))</f>
        <v/>
      </c>
      <c r="V722" s="45"/>
      <c r="X722">
        <v>1.1633217391304347</v>
      </c>
      <c r="Y722">
        <v>0</v>
      </c>
      <c r="Z722" s="18">
        <v>1.0926001705029837</v>
      </c>
      <c r="AA722">
        <v>0</v>
      </c>
      <c r="AB722" s="18">
        <v>125</v>
      </c>
      <c r="AC722">
        <v>0</v>
      </c>
      <c r="AD722" s="143">
        <v>102</v>
      </c>
      <c r="AE722" s="35"/>
      <c r="AF722" s="18"/>
      <c r="AH722" s="48">
        <v>0</v>
      </c>
      <c r="AI722">
        <v>0</v>
      </c>
      <c r="AJ722">
        <v>0</v>
      </c>
      <c r="AN722" s="71">
        <f t="shared" si="420"/>
        <v>0</v>
      </c>
      <c r="AO722" s="71">
        <f t="shared" si="421"/>
        <v>0</v>
      </c>
      <c r="AP722" s="71">
        <f t="shared" si="422"/>
        <v>102</v>
      </c>
      <c r="AQ722" s="72">
        <f>IF(OR($H722="GIROSSOL II",$H722="GIROSSOL II e III"),INDEX('Resumo Operacional'!$A$1:$P$1103,MATCH("Energia Injetada prevista total Fatura da Usina (TUSD)",'Resumo Operacional'!$B$1:$B$1103,0),MATCH('Detalhe Por UC'!$R722,'Resumo Operacional'!$A$1:$P$1,0))*$S722,INDEX('Resumo Operacional'!$A$1:$P$1103,53,MATCH('Detalhe Por UC'!$R722,'Resumo Operacional'!$A$1:$P$1,0))*$S722)</f>
        <v>0</v>
      </c>
      <c r="AR722" s="71">
        <f t="shared" si="423"/>
        <v>102</v>
      </c>
      <c r="AS722" s="73">
        <f t="shared" si="424"/>
        <v>33.97</v>
      </c>
      <c r="AT722" s="74">
        <f t="shared" si="425"/>
        <v>33.97</v>
      </c>
      <c r="AU722" s="74">
        <f t="shared" si="426"/>
        <v>1.0218786018755328</v>
      </c>
      <c r="AV722" s="74">
        <f t="shared" si="427"/>
        <v>85.879684521739122</v>
      </c>
      <c r="AW722" s="74">
        <f t="shared" si="428"/>
        <v>1.8799999999999955</v>
      </c>
      <c r="AX722" s="74">
        <f t="shared" si="429"/>
        <v>113.32521739130434</v>
      </c>
      <c r="AY722" s="74">
        <f t="shared" si="430"/>
        <v>87.76</v>
      </c>
      <c r="AZ722" s="43">
        <v>87.76</v>
      </c>
      <c r="BA722" s="43">
        <v>87.76</v>
      </c>
      <c r="BB722" s="49">
        <v>87.76</v>
      </c>
      <c r="BC722" s="73" t="str">
        <f t="shared" si="431"/>
        <v/>
      </c>
      <c r="BD722" s="73">
        <f t="shared" si="432"/>
        <v>145.41521739130434</v>
      </c>
      <c r="BE722" s="73">
        <f t="shared" si="433"/>
        <v>119.84968452173912</v>
      </c>
      <c r="BF722" s="77">
        <f t="shared" si="434"/>
        <v>25.57</v>
      </c>
      <c r="BG722" s="77">
        <f t="shared" si="435"/>
        <v>7.6709999999999994</v>
      </c>
      <c r="BH722" s="77">
        <f t="shared" si="436"/>
        <v>111.44521739130434</v>
      </c>
      <c r="BI722" s="78">
        <f t="shared" si="437"/>
        <v>0.23</v>
      </c>
      <c r="BJ722" s="79">
        <f t="shared" si="438"/>
        <v>0.17584129404553678</v>
      </c>
      <c r="BK722" s="80">
        <f t="shared" si="439"/>
        <v>121.73</v>
      </c>
      <c r="BL722" s="80">
        <f t="shared" si="440"/>
        <v>23.685217391304334</v>
      </c>
      <c r="BM722" s="79">
        <f t="shared" si="441"/>
        <v>0.1628799091058587</v>
      </c>
      <c r="BN722" s="81">
        <f t="shared" si="442"/>
        <v>0.86039215686274517</v>
      </c>
      <c r="BO722" s="82">
        <f t="shared" si="443"/>
        <v>87.76</v>
      </c>
      <c r="BP722" s="81">
        <f t="shared" si="444"/>
        <v>0.86039215686274517</v>
      </c>
      <c r="BQ722" s="81">
        <f t="shared" si="445"/>
        <v>0.93111372549019611</v>
      </c>
      <c r="BR722" s="81">
        <f t="shared" si="446"/>
        <v>1.1633217391304347</v>
      </c>
      <c r="BS722" s="82">
        <f t="shared" si="447"/>
        <v>102</v>
      </c>
      <c r="BT722" s="82">
        <f t="shared" si="448"/>
        <v>118.65881739130434</v>
      </c>
      <c r="BU722" s="82">
        <f t="shared" si="449"/>
        <v>111.44521739130434</v>
      </c>
      <c r="BW722" s="82">
        <f>IFERROR(INDEX('Infos Clientes'!$T:$T,MATCH('Detalhe Por UC'!$C722,'Infos Clientes'!B:B,0)),"")</f>
        <v>144</v>
      </c>
      <c r="BX722" s="83">
        <f t="shared" si="450"/>
        <v>0</v>
      </c>
      <c r="BY722" s="84">
        <f t="shared" si="451"/>
        <v>0.19960773174737587</v>
      </c>
      <c r="BZ722" s="85">
        <f>IF(_xlfn.MINIFS('Detalhe Por UC'!R:R,'Detalhe Por UC'!C:C,C722,'Detalhe Por UC'!AD:AD,"&gt;"&amp;0)=0,"",_xlfn.MINIFS('Detalhe Por UC'!R:R,'Detalhe Por UC'!C:C,C722,'Detalhe Por UC'!AD:AD,"&gt;"&amp;0))</f>
        <v>45627</v>
      </c>
      <c r="CA722" s="114">
        <f ca="1">IF(OR(S722&gt;0,AD722&gt;0),IFERROR(
SUMIFS(INDIRECT("'Infos Clientes'!$W"&amp;INDEX('Infos Clientes'!$C:$C,MATCH(C722,'Infos Clientes'!$H:$H,0))&amp;":$CZ"&amp;INDEX('Infos Clientes'!$C:$C,MATCH(C722,'Infos Clientes'!$H:$H,0))),'Infos Clientes'!$W$2:$CZ$2,"&gt;"&amp;$R722-365,'Infos Clientes'!$W$2:$CZ$2,"&lt;="&amp;$R722)/
COUNTIFS(INDIRECT("'Infos Clientes'!$W"&amp;INDEX('Infos Clientes'!$C:$C,MATCH(C722,'Infos Clientes'!$H:$H,0))&amp;":$CZ"&amp;INDEX('Infos Clientes'!$C:$C,MATCH(C722,'Infos Clientes'!$H:$H,0))),"&gt;="&amp;0,'Infos Clientes'!$W$2:$CZ$2,"&gt;"&amp;$R722-365,'Infos Clientes'!$W$2:$CZ$2,"&lt;="&amp;$R722),""),"")</f>
        <v>120.83333333333333</v>
      </c>
      <c r="CB722" s="87">
        <f>VLOOKUP(C722,'Infos Clientes'!B:L,11,0)</f>
        <v>0</v>
      </c>
      <c r="CC722" s="88" t="str">
        <f t="shared" si="452"/>
        <v>A Unidade Consumidora 10/384823-1 economizou R$25,57 na fatura referente à jul/2025  consumindo 102 kWh em créditos de energia renovável conforme fatura de energia. A economia foi de 22,94% em relação ao que seria pago para a Energisa considerando os créditos consumidos. Atenção: Mantenha as contas da Energisa em dia para evitar cortes.</v>
      </c>
      <c r="CE722" s="43">
        <v>33.97</v>
      </c>
      <c r="CF722" s="115">
        <f t="shared" si="453"/>
        <v>0</v>
      </c>
    </row>
    <row r="723" spans="1:84" ht="16.2" hidden="1" customHeight="1" x14ac:dyDescent="0.3">
      <c r="A723" s="105" t="str">
        <f>INDEX('Infos Clientes'!$D:$D,MATCH('Detalhe Por UC'!C723,'Infos Clientes'!B:B,0))</f>
        <v>IGREJA DO EVANGELHO QUADRANGULAR</v>
      </c>
      <c r="B723" s="106" t="str">
        <f>INDEX('Infos Clientes'!$F:$F,MATCH('Detalhe Por UC'!C723,'Infos Clientes'!B:B,0))</f>
        <v>62.955.505/0577-89</v>
      </c>
      <c r="C723" s="44" t="s">
        <v>94</v>
      </c>
      <c r="D723" t="s">
        <v>351</v>
      </c>
      <c r="E723" s="1" t="s">
        <v>352</v>
      </c>
      <c r="F723" s="56" t="str">
        <f>INDEX('Infos Clientes'!$I:$I,MATCH('Detalhe Por UC'!C723,'Infos Clientes'!B:B,0))</f>
        <v>BT</v>
      </c>
      <c r="G723" s="56" t="str">
        <f>INDEX('Infos Clientes'!$J:$J,MATCH('Detalhe Por UC'!C723,'Infos Clientes'!B:B,0))</f>
        <v>bifasico</v>
      </c>
      <c r="H723" s="108" t="str">
        <f>HYPERLINK("https://geraebcsp.sharepoint.com/sites/gestao.gdc/Shared Documents/EGS/2- Faturas/"&amp; TEXT($R723,"AAA") &amp;"/"&amp; TEXT($R723,"MM") &amp;"."&amp; TEXT($R723,"AAA") &amp;"/"&amp;"_10-"&amp; RIGHT($C723,LEN($C723)-3) &amp;"_" &amp; TEXT($R723,"AAAA") &amp;"-"&amp; TEXT($R723,"MM") &amp;".pdf","GIROSSOL II")</f>
        <v>GIROSSOL II</v>
      </c>
      <c r="I723" s="58">
        <f>IFERROR(VLOOKUP(C723,'Infos Clientes'!B:E,4,),"")</f>
        <v>319</v>
      </c>
      <c r="J723" s="109">
        <v>0.22939999999999999</v>
      </c>
      <c r="K723" s="79">
        <f>INDEX('Resumo Operacional'!$A$1:$P$151,MATCH("Desconto percentual Ucs",'Resumo Operacional'!$B$1:$B$151,0),MATCH('Detalhe Por UC'!$R723,'Resumo Operacional'!$A$1:$P$1,0))</f>
        <v>0.25212408425707711</v>
      </c>
      <c r="L723" s="125">
        <v>0</v>
      </c>
      <c r="M723" s="56">
        <f>INDEX('Infos Clientes'!$N:$N,MATCH('Detalhe Por UC'!C723,'Infos Clientes'!B:B,0))</f>
        <v>0</v>
      </c>
      <c r="N723" s="56">
        <f t="shared" si="418"/>
        <v>0</v>
      </c>
      <c r="O723" s="56">
        <f t="shared" si="419"/>
        <v>10</v>
      </c>
      <c r="P723" s="56">
        <f t="shared" si="454"/>
        <v>0</v>
      </c>
      <c r="Q723" s="61">
        <f>IFERROR(IFERROR(INDEX('Infos Clientes'!$A$2:$V$9884,MATCH($C723,'Infos Clientes'!$B$2:$B$9884,0),MATCH(Q$8,'Infos Clientes'!$A$2:$V$2,0)),"")
+IF(OR(INDEX('Infos Clientes'!$A$2:$V$9884,MATCH($C723,'Infos Clientes'!$B$2:$B$9884,0),MATCH("Tempo de Fidelidade (meses)",'Infos Clientes'!$A$2:$V$2,0))=0,R723&gt;=MAX(R:R)),0,
ROUND((MAX(R:R)-R723)/(365/12),0)),"")</f>
        <v>0</v>
      </c>
      <c r="R723" s="111">
        <v>45839</v>
      </c>
      <c r="S723" s="63">
        <v>0</v>
      </c>
      <c r="T723" s="113">
        <f>IF($H723="GIROSSOL II",AP723/INDEX('Resumo Operacional'!$A$1:$P$1103,17,MATCH('Detalhe Por UC'!$R723,'Resumo Operacional'!$A$1:$P$1,0)),
IF($H723="GIROSSOL II e III",AP723/INDEX('Resumo Operacional'!$A$1:$P$1103,17,MATCH('Detalhe Por UC'!$R723,'Resumo Operacional'!$A$1:$P$1,0)),
""))</f>
        <v>0.12896969696969696</v>
      </c>
      <c r="U723" s="113" t="str">
        <f>IF($H723="GIROSSOL III",AP723/INDEX('Resumo Operacional'!$A$1:$P$1103,53,MATCH('Detalhe Por UC'!$R723,'Resumo Operacional'!$A$1:$P$1,0)),
IF($H723="GIROSSOL II e III",AP723/INDEX('Resumo Operacional'!$A$1:$P$1103,53,MATCH('Detalhe Por UC'!$R723,'Resumo Operacional'!$A$1:$P$1,0)),
""))</f>
        <v/>
      </c>
      <c r="V723" s="45"/>
      <c r="X723">
        <v>1.1618421052631578</v>
      </c>
      <c r="Y723">
        <v>0</v>
      </c>
      <c r="Z723" s="18">
        <v>1.0049293286219083</v>
      </c>
      <c r="AA723">
        <v>0</v>
      </c>
      <c r="AB723" s="18">
        <v>285</v>
      </c>
      <c r="AC723">
        <v>0</v>
      </c>
      <c r="AD723" s="143">
        <v>283</v>
      </c>
      <c r="AE723" s="35"/>
      <c r="AF723" s="18">
        <v>1138</v>
      </c>
      <c r="AG723">
        <v>0</v>
      </c>
      <c r="AH723" s="48">
        <v>46.25</v>
      </c>
      <c r="AI723">
        <v>0</v>
      </c>
      <c r="AJ723">
        <v>0</v>
      </c>
      <c r="AN723" s="71">
        <f t="shared" si="420"/>
        <v>781</v>
      </c>
      <c r="AO723" s="71">
        <f t="shared" si="421"/>
        <v>0</v>
      </c>
      <c r="AP723" s="71">
        <f t="shared" si="422"/>
        <v>1064</v>
      </c>
      <c r="AQ723" s="72">
        <f>IF(OR($H723="GIROSSOL II",$H723="GIROSSOL II e III"),INDEX('Resumo Operacional'!$A$1:$P$1103,MATCH("Energia Injetada prevista total Fatura da Usina (TUSD)",'Resumo Operacional'!$B$1:$B$1103,0),MATCH('Detalhe Por UC'!$R723,'Resumo Operacional'!$A$1:$P$1,0))*$S723,INDEX('Resumo Operacional'!$A$1:$P$1103,53,MATCH('Detalhe Por UC'!$R723,'Resumo Operacional'!$A$1:$P$1,0))*$S723)</f>
        <v>0</v>
      </c>
      <c r="AR723" s="71">
        <f t="shared" si="423"/>
        <v>1064</v>
      </c>
      <c r="AS723" s="73">
        <f t="shared" si="424"/>
        <v>92.979999999999905</v>
      </c>
      <c r="AT723" s="74">
        <f t="shared" si="425"/>
        <v>92.979999999999905</v>
      </c>
      <c r="AU723" s="74">
        <f t="shared" si="426"/>
        <v>0.84801655198065884</v>
      </c>
      <c r="AV723" s="74">
        <f t="shared" si="427"/>
        <v>219.15478700000003</v>
      </c>
      <c r="AW723" s="74">
        <f t="shared" si="428"/>
        <v>3.6899999999999977</v>
      </c>
      <c r="AX723" s="74">
        <f t="shared" si="429"/>
        <v>288.08500000000004</v>
      </c>
      <c r="AY723" s="74">
        <f t="shared" si="430"/>
        <v>222.84</v>
      </c>
      <c r="AZ723" s="43">
        <v>222.84</v>
      </c>
      <c r="BA723" s="149">
        <v>9.9999999999999995E-7</v>
      </c>
      <c r="BC723" s="73" t="str">
        <f t="shared" si="431"/>
        <v/>
      </c>
      <c r="BD723" s="73">
        <f t="shared" si="432"/>
        <v>377.37499999999994</v>
      </c>
      <c r="BE723" s="73">
        <f t="shared" si="433"/>
        <v>312.13478699999996</v>
      </c>
      <c r="BF723" s="77">
        <f t="shared" si="434"/>
        <v>65.239999999999995</v>
      </c>
      <c r="BG723" s="77">
        <f t="shared" si="435"/>
        <v>19.571999999999999</v>
      </c>
      <c r="BH723" s="77">
        <f t="shared" si="436"/>
        <v>284.3950000000001</v>
      </c>
      <c r="BI723" s="78">
        <f t="shared" si="437"/>
        <v>0.23</v>
      </c>
      <c r="BJ723" s="79">
        <f t="shared" si="438"/>
        <v>0.17287843656840016</v>
      </c>
      <c r="BK723" s="80">
        <f t="shared" si="439"/>
        <v>315.81999999999994</v>
      </c>
      <c r="BL723" s="80">
        <f t="shared" si="440"/>
        <v>61.555000000000007</v>
      </c>
      <c r="BM723" s="79">
        <f t="shared" si="441"/>
        <v>0.1631136137793972</v>
      </c>
      <c r="BN723" s="81">
        <f t="shared" si="442"/>
        <v>0.7874204946996467</v>
      </c>
      <c r="BO723" s="82">
        <f t="shared" si="443"/>
        <v>222.84</v>
      </c>
      <c r="BP723" s="81">
        <f t="shared" si="444"/>
        <v>0.7874204946996467</v>
      </c>
      <c r="BQ723" s="81">
        <f t="shared" si="445"/>
        <v>0.94433327134089617</v>
      </c>
      <c r="BR723" s="81">
        <f t="shared" si="446"/>
        <v>1.1618421052631578</v>
      </c>
      <c r="BS723" s="82">
        <f t="shared" si="447"/>
        <v>283</v>
      </c>
      <c r="BT723" s="82">
        <f t="shared" si="448"/>
        <v>328.80131578947368</v>
      </c>
      <c r="BU723" s="82">
        <f t="shared" si="449"/>
        <v>284.39500000000004</v>
      </c>
      <c r="BW723" s="82">
        <f>IFERROR(INDEX('Infos Clientes'!$T:$T,MATCH('Detalhe Por UC'!$C723,'Infos Clientes'!B:B,0)),"")</f>
        <v>55.25</v>
      </c>
      <c r="BX723" s="83">
        <f t="shared" si="450"/>
        <v>0</v>
      </c>
      <c r="BY723" s="84">
        <f t="shared" si="451"/>
        <v>0.18721032138269406</v>
      </c>
      <c r="BZ723" s="85">
        <f>IF(_xlfn.MINIFS('Detalhe Por UC'!R:R,'Detalhe Por UC'!C:C,C723,'Detalhe Por UC'!AD:AD,"&gt;"&amp;0)=0,"",_xlfn.MINIFS('Detalhe Por UC'!R:R,'Detalhe Por UC'!C:C,C723,'Detalhe Por UC'!AD:AD,"&gt;"&amp;0))</f>
        <v>45689</v>
      </c>
      <c r="CA723" s="114">
        <f ca="1">IF(OR(S723&gt;0,AD723&gt;0),IFERROR(
SUMIFS(INDIRECT("'Infos Clientes'!$W"&amp;INDEX('Infos Clientes'!$C:$C,MATCH(C723,'Infos Clientes'!$H:$H,0))&amp;":$CZ"&amp;INDEX('Infos Clientes'!$C:$C,MATCH(C723,'Infos Clientes'!$H:$H,0))),'Infos Clientes'!$W$2:$CZ$2,"&gt;"&amp;$R723-365,'Infos Clientes'!$W$2:$CZ$2,"&lt;="&amp;$R723)/
COUNTIFS(INDIRECT("'Infos Clientes'!$W"&amp;INDEX('Infos Clientes'!$C:$C,MATCH(C723,'Infos Clientes'!$H:$H,0))&amp;":$CZ"&amp;INDEX('Infos Clientes'!$C:$C,MATCH(C723,'Infos Clientes'!$H:$H,0))),"&gt;="&amp;0,'Infos Clientes'!$W$2:$CZ$2,"&gt;"&amp;$R723-365,'Infos Clientes'!$W$2:$CZ$2,"&lt;="&amp;$R723),""),"")</f>
        <v>213.16666666666666</v>
      </c>
      <c r="CB723" s="87">
        <f>VLOOKUP(C723,'Infos Clientes'!B:L,11,0)</f>
        <v>0</v>
      </c>
      <c r="CC723" s="88" t="str">
        <f t="shared" si="452"/>
        <v>A Unidade Consumidora 10/3005226-0 economizou R$65,24 na fatura referente à jul/2025  consumindo 283 kWh em créditos de energia renovável conforme fatura de energia. A economia foi de 22,94% em relação ao que seria pago para a Energisa considerando os créditos consumidos. Atenção: Mantenha as contas da Energisa em dia para evitar cortes.</v>
      </c>
      <c r="CE723" s="43">
        <v>92.98</v>
      </c>
      <c r="CF723" s="115">
        <f t="shared" si="453"/>
        <v>0</v>
      </c>
    </row>
    <row r="724" spans="1:84" ht="16.2" hidden="1" customHeight="1" x14ac:dyDescent="0.3">
      <c r="A724" s="105" t="str">
        <f>INDEX('Infos Clientes'!$D:$D,MATCH('Detalhe Por UC'!C724,'Infos Clientes'!B:B,0))</f>
        <v>IGREJA DO EVANGELHO QUADRANGULAR</v>
      </c>
      <c r="B724" s="106" t="str">
        <f>INDEX('Infos Clientes'!$F:$F,MATCH('Detalhe Por UC'!C724,'Infos Clientes'!B:B,0))</f>
        <v>62.955.505/1822-57</v>
      </c>
      <c r="C724" s="44" t="s">
        <v>222</v>
      </c>
      <c r="D724" t="s">
        <v>351</v>
      </c>
      <c r="E724" s="1" t="s">
        <v>352</v>
      </c>
      <c r="F724" s="56" t="str">
        <f>INDEX('Infos Clientes'!$I:$I,MATCH('Detalhe Por UC'!C724,'Infos Clientes'!B:B,0))</f>
        <v>BT</v>
      </c>
      <c r="G724" s="56" t="str">
        <f>INDEX('Infos Clientes'!$J:$J,MATCH('Detalhe Por UC'!C724,'Infos Clientes'!B:B,0))</f>
        <v>trifasico</v>
      </c>
      <c r="H724" s="108" t="s">
        <v>138</v>
      </c>
      <c r="I724" s="58">
        <f>IFERROR(VLOOKUP(C724,'Infos Clientes'!B:E,4,),"")</f>
        <v>319</v>
      </c>
      <c r="J724" s="109">
        <v>0.22939999999999999</v>
      </c>
      <c r="K724" s="79">
        <f>INDEX('Resumo Operacional'!$A$1:$P$151,MATCH("Desconto percentual Ucs",'Resumo Operacional'!$B$1:$B$151,0),MATCH('Detalhe Por UC'!$R724,'Resumo Operacional'!$A$1:$P$1,0))</f>
        <v>0.25212408425707711</v>
      </c>
      <c r="L724" s="125">
        <v>0</v>
      </c>
      <c r="M724" s="56">
        <f>INDEX('Infos Clientes'!$N:$N,MATCH('Detalhe Por UC'!C724,'Infos Clientes'!B:B,0))</f>
        <v>0</v>
      </c>
      <c r="N724" s="56">
        <f t="shared" si="418"/>
        <v>0</v>
      </c>
      <c r="O724" s="56">
        <f t="shared" si="419"/>
        <v>8</v>
      </c>
      <c r="P724" s="56">
        <f t="shared" si="454"/>
        <v>0</v>
      </c>
      <c r="Q724" s="61">
        <f>IFERROR(IFERROR(INDEX('Infos Clientes'!$A$2:$V$9884,MATCH($C724,'Infos Clientes'!$B$2:$B$9884,0),MATCH(Q$8,'Infos Clientes'!$A$2:$V$2,0)),"")
+IF(OR(INDEX('Infos Clientes'!$A$2:$V$9884,MATCH($C724,'Infos Clientes'!$B$2:$B$9884,0),MATCH("Tempo de Fidelidade (meses)",'Infos Clientes'!$A$2:$V$2,0))=0,R724&gt;=MAX(R:R)),0,
ROUND((MAX(R:R)-R724)/(365/12),0)),"")</f>
        <v>0</v>
      </c>
      <c r="R724" s="111">
        <v>45839</v>
      </c>
      <c r="S724" s="63">
        <v>0</v>
      </c>
      <c r="T724" s="113" t="str">
        <f>IF($H724="GIROSSOL II",AP724/INDEX('Resumo Operacional'!$A$1:$P$1103,17,MATCH('Detalhe Por UC'!$R724,'Resumo Operacional'!$A$1:$P$1,0)),
IF($H724="GIROSSOL II e III",AP724/INDEX('Resumo Operacional'!$A$1:$P$1103,17,MATCH('Detalhe Por UC'!$R724,'Resumo Operacional'!$A$1:$P$1,0)),
""))</f>
        <v/>
      </c>
      <c r="U724" s="113">
        <f>IF($H724="GIROSSOL III",AP724/INDEX('Resumo Operacional'!$A$1:$P$1103,53,MATCH('Detalhe Por UC'!$R724,'Resumo Operacional'!$A$1:$P$1,0)),
IF($H724="GIROSSOL II e III",AP724/INDEX('Resumo Operacional'!$A$1:$P$1103,53,MATCH('Detalhe Por UC'!$R724,'Resumo Operacional'!$A$1:$P$1,0)),
""))</f>
        <v>8.1654872074033748E-3</v>
      </c>
      <c r="V724" s="45"/>
      <c r="X724">
        <v>1.1631823213156232</v>
      </c>
      <c r="Y724">
        <v>0</v>
      </c>
      <c r="Z724" s="18">
        <v>1.0063440860215054</v>
      </c>
      <c r="AA724">
        <v>0</v>
      </c>
      <c r="AB724" s="18">
        <v>136</v>
      </c>
      <c r="AC724">
        <v>0</v>
      </c>
      <c r="AD724" s="143">
        <v>43</v>
      </c>
      <c r="AE724" s="35"/>
      <c r="AF724" s="18">
        <v>32</v>
      </c>
      <c r="AG724">
        <v>0</v>
      </c>
      <c r="AH724" s="48">
        <v>29.900000000000002</v>
      </c>
      <c r="AI724">
        <v>0</v>
      </c>
      <c r="AJ724">
        <v>0</v>
      </c>
      <c r="AN724" s="71">
        <f t="shared" si="420"/>
        <v>32</v>
      </c>
      <c r="AO724" s="71">
        <f t="shared" si="421"/>
        <v>0</v>
      </c>
      <c r="AP724" s="71">
        <f t="shared" si="422"/>
        <v>75</v>
      </c>
      <c r="AQ724" s="72">
        <f>IF(OR($H724="GIROSSOL II",$H724="GIROSSOL II e III"),INDEX('Resumo Operacional'!$A$1:$P$1103,MATCH("Energia Injetada prevista total Fatura da Usina (TUSD)",'Resumo Operacional'!$B$1:$B$1103,0),MATCH('Detalhe Por UC'!$R724,'Resumo Operacional'!$A$1:$P$1,0))*$S724,INDEX('Resumo Operacional'!$A$1:$P$1103,53,MATCH('Detalhe Por UC'!$R724,'Resumo Operacional'!$A$1:$P$1,0))*$S724)</f>
        <v>0</v>
      </c>
      <c r="AR724" s="71">
        <f t="shared" si="423"/>
        <v>75</v>
      </c>
      <c r="AS724" s="73">
        <f t="shared" si="424"/>
        <v>144.82000000000002</v>
      </c>
      <c r="AT724" s="74">
        <f t="shared" si="425"/>
        <v>144.82000000000002</v>
      </c>
      <c r="AU724" s="74">
        <f t="shared" si="426"/>
        <v>0.8495058507273876</v>
      </c>
      <c r="AV724" s="74">
        <f t="shared" si="427"/>
        <v>33.346016365591396</v>
      </c>
      <c r="AW724" s="74">
        <f t="shared" si="428"/>
        <v>1.5799999999999983</v>
      </c>
      <c r="AX724" s="74">
        <f t="shared" si="429"/>
        <v>44.85279569892473</v>
      </c>
      <c r="AY724" s="74">
        <f t="shared" si="430"/>
        <v>34.93</v>
      </c>
      <c r="AZ724" s="43">
        <v>34.93</v>
      </c>
      <c r="BA724" s="43">
        <v>34.93</v>
      </c>
      <c r="BB724" s="49">
        <v>44.85</v>
      </c>
      <c r="BC724" s="73">
        <f t="shared" si="431"/>
        <v>9.9200000000000017</v>
      </c>
      <c r="BD724" s="73">
        <f t="shared" si="432"/>
        <v>188.09279569892476</v>
      </c>
      <c r="BE724" s="73">
        <f t="shared" si="433"/>
        <v>178.16601636559142</v>
      </c>
      <c r="BF724" s="77">
        <f t="shared" si="434"/>
        <v>9.93</v>
      </c>
      <c r="BG724" s="77">
        <f t="shared" si="435"/>
        <v>2.9789999999999996</v>
      </c>
      <c r="BH724" s="77">
        <f t="shared" si="436"/>
        <v>43.272795698924732</v>
      </c>
      <c r="BI724" s="78">
        <f t="shared" si="437"/>
        <v>0.22</v>
      </c>
      <c r="BJ724" s="79">
        <f t="shared" si="438"/>
        <v>5.2793090575859652E-2</v>
      </c>
      <c r="BK724" s="80">
        <f t="shared" si="439"/>
        <v>179.75000000000003</v>
      </c>
      <c r="BL724" s="80">
        <f t="shared" si="440"/>
        <v>8.3427956989247321</v>
      </c>
      <c r="BM724" s="79">
        <f t="shared" si="441"/>
        <v>4.4354679656518202E-2</v>
      </c>
      <c r="BN724" s="81">
        <f t="shared" si="442"/>
        <v>0.81232558139534883</v>
      </c>
      <c r="BO724" s="82">
        <f t="shared" si="443"/>
        <v>34.93</v>
      </c>
      <c r="BP724" s="81">
        <f t="shared" si="444"/>
        <v>0.81232558139534883</v>
      </c>
      <c r="BQ724" s="81">
        <f t="shared" si="445"/>
        <v>0.96916381668946661</v>
      </c>
      <c r="BR724" s="81">
        <f t="shared" si="446"/>
        <v>1.1631823213156232</v>
      </c>
      <c r="BS724" s="82">
        <f t="shared" si="447"/>
        <v>43</v>
      </c>
      <c r="BT724" s="82">
        <f t="shared" si="448"/>
        <v>50.016839816571796</v>
      </c>
      <c r="BU724" s="82">
        <f t="shared" si="449"/>
        <v>43.272795698924732</v>
      </c>
      <c r="BW724" s="82">
        <f>IFERROR(INDEX('Infos Clientes'!$T:$T,MATCH('Detalhe Por UC'!$C724,'Infos Clientes'!B:B,0)),"")</f>
        <v>392</v>
      </c>
      <c r="BX724" s="83">
        <f t="shared" si="450"/>
        <v>0</v>
      </c>
      <c r="BY724" s="84">
        <f t="shared" si="451"/>
        <v>0.16679973643917745</v>
      </c>
      <c r="BZ724" s="85">
        <f>IF(_xlfn.MINIFS('Detalhe Por UC'!R:R,'Detalhe Por UC'!C:C,C724,'Detalhe Por UC'!AD:AD,"&gt;"&amp;0)=0,"",_xlfn.MINIFS('Detalhe Por UC'!R:R,'Detalhe Por UC'!C:C,C724,'Detalhe Por UC'!AD:AD,"&gt;"&amp;0))</f>
        <v>45748</v>
      </c>
      <c r="CA724" s="114">
        <f ca="1">IF(OR(S724&gt;0,AD724&gt;0),IFERROR(
SUMIFS(INDIRECT("'Infos Clientes'!$W"&amp;INDEX('Infos Clientes'!$C:$C,MATCH(C724,'Infos Clientes'!$H:$H,0))&amp;":$CZ"&amp;INDEX('Infos Clientes'!$C:$C,MATCH(C724,'Infos Clientes'!$H:$H,0))),'Infos Clientes'!$W$2:$CZ$2,"&gt;"&amp;$R724-365,'Infos Clientes'!$W$2:$CZ$2,"&lt;="&amp;$R724)/
COUNTIFS(INDIRECT("'Infos Clientes'!$W"&amp;INDEX('Infos Clientes'!$C:$C,MATCH(C724,'Infos Clientes'!$H:$H,0))&amp;":$CZ"&amp;INDEX('Infos Clientes'!$C:$C,MATCH(C724,'Infos Clientes'!$H:$H,0))),"&gt;="&amp;0,'Infos Clientes'!$W$2:$CZ$2,"&gt;"&amp;$R724-365,'Infos Clientes'!$W$2:$CZ$2,"&lt;="&amp;$R724),""),"")</f>
        <v>178.16666666666666</v>
      </c>
      <c r="CB724" s="87">
        <f>VLOOKUP(C724,'Infos Clientes'!B:L,11,0)</f>
        <v>0</v>
      </c>
      <c r="CC724" s="88" t="str">
        <f t="shared" si="452"/>
        <v>A Unidade Consumidora 10/69319-2 economizou R$9,93 na fatura referente à jul/2025  consumindo 43 kWh em créditos de energia renovável conforme fatura de energia. A economia foi de 22,94% em relação ao que seria pago para a Energisa considerando os créditos consumidos. Atenção: Mantenha as contas da Energisa em dia para evitar cortes.</v>
      </c>
      <c r="CE724" s="43">
        <v>144.82</v>
      </c>
      <c r="CF724" s="115">
        <f t="shared" si="453"/>
        <v>0</v>
      </c>
    </row>
    <row r="725" spans="1:84" ht="16.2" hidden="1" customHeight="1" x14ac:dyDescent="0.3">
      <c r="A725" s="105" t="str">
        <f>INDEX('Infos Clientes'!$D:$D,MATCH('Detalhe Por UC'!C725,'Infos Clientes'!B:B,0))</f>
        <v>IGREJA DO EVANGELHO QUADRANGULAR</v>
      </c>
      <c r="B725" s="106" t="str">
        <f>INDEX('Infos Clientes'!$F:$F,MATCH('Detalhe Por UC'!C725,'Infos Clientes'!B:B,0))</f>
        <v>62.955.505/1344-49</v>
      </c>
      <c r="C725" s="44" t="s">
        <v>166</v>
      </c>
      <c r="D725" t="s">
        <v>351</v>
      </c>
      <c r="E725" s="1" t="s">
        <v>352</v>
      </c>
      <c r="F725" s="56" t="str">
        <f>INDEX('Infos Clientes'!$I:$I,MATCH('Detalhe Por UC'!C725,'Infos Clientes'!B:B,0))</f>
        <v>BT</v>
      </c>
      <c r="G725" s="56" t="str">
        <f>INDEX('Infos Clientes'!$J:$J,MATCH('Detalhe Por UC'!C725,'Infos Clientes'!B:B,0))</f>
        <v>bifasico</v>
      </c>
      <c r="H725" s="108" t="s">
        <v>138</v>
      </c>
      <c r="I725" s="58">
        <f>IFERROR(VLOOKUP(C725,'Infos Clientes'!B:E,4,),"")</f>
        <v>362</v>
      </c>
      <c r="J725" s="109">
        <v>0.22939999999999999</v>
      </c>
      <c r="K725" s="79">
        <f>INDEX('Resumo Operacional'!$A$1:$P$151,MATCH("Desconto percentual Ucs",'Resumo Operacional'!$B$1:$B$151,0),MATCH('Detalhe Por UC'!$R725,'Resumo Operacional'!$A$1:$P$1,0))</f>
        <v>0.25212408425707711</v>
      </c>
      <c r="L725" s="125">
        <v>0</v>
      </c>
      <c r="M725" s="56">
        <f>INDEX('Infos Clientes'!$N:$N,MATCH('Detalhe Por UC'!C725,'Infos Clientes'!B:B,0))</f>
        <v>0</v>
      </c>
      <c r="N725" s="56">
        <f t="shared" si="418"/>
        <v>0</v>
      </c>
      <c r="O725" s="56">
        <f t="shared" si="419"/>
        <v>11</v>
      </c>
      <c r="P725" s="56">
        <f t="shared" si="454"/>
        <v>0</v>
      </c>
      <c r="Q725" s="61">
        <f>IFERROR(IFERROR(INDEX('Infos Clientes'!$A$2:$V$9884,MATCH($C725,'Infos Clientes'!$B$2:$B$9884,0),MATCH(Q$8,'Infos Clientes'!$A$2:$V$2,0)),"")
+IF(OR(INDEX('Infos Clientes'!$A$2:$V$9884,MATCH($C725,'Infos Clientes'!$B$2:$B$9884,0),MATCH("Tempo de Fidelidade (meses)",'Infos Clientes'!$A$2:$V$2,0))=0,R725&gt;=MAX(R:R)),0,
ROUND((MAX(R:R)-R725)/(365/12),0)),"")</f>
        <v>0</v>
      </c>
      <c r="R725" s="111">
        <v>45839</v>
      </c>
      <c r="S725" s="63">
        <v>0</v>
      </c>
      <c r="T725" s="113" t="str">
        <f>IF($H725="GIROSSOL II",AP725/INDEX('Resumo Operacional'!$A$1:$P$1103,17,MATCH('Detalhe Por UC'!$R725,'Resumo Operacional'!$A$1:$P$1,0)),
IF($H725="GIROSSOL II e III",AP725/INDEX('Resumo Operacional'!$A$1:$P$1103,17,MATCH('Detalhe Por UC'!$R725,'Resumo Operacional'!$A$1:$P$1,0)),
""))</f>
        <v/>
      </c>
      <c r="U725" s="113">
        <f>IF($H725="GIROSSOL III",AP725/INDEX('Resumo Operacional'!$A$1:$P$1103,53,MATCH('Detalhe Por UC'!$R725,'Resumo Operacional'!$A$1:$P$1,0)),
IF($H725="GIROSSOL II e III",AP725/INDEX('Resumo Operacional'!$A$1:$P$1103,53,MATCH('Detalhe Por UC'!$R725,'Resumo Operacional'!$A$1:$P$1,0)),
""))</f>
        <v>3.592814371257485E-3</v>
      </c>
      <c r="V725" s="45"/>
      <c r="X725" s="18">
        <v>1.1630170940170939</v>
      </c>
      <c r="Y725">
        <v>0</v>
      </c>
      <c r="Z725" s="18">
        <v>1.0062222222222221</v>
      </c>
      <c r="AA725">
        <v>0</v>
      </c>
      <c r="AB725" s="18">
        <v>78</v>
      </c>
      <c r="AC725">
        <v>0</v>
      </c>
      <c r="AD725" s="143">
        <v>33</v>
      </c>
      <c r="AE725" s="35"/>
      <c r="AF725" s="18"/>
      <c r="AH725" s="48">
        <v>15.46</v>
      </c>
      <c r="AI725">
        <v>0</v>
      </c>
      <c r="AJ725">
        <v>0</v>
      </c>
      <c r="AN725" s="71">
        <f t="shared" si="420"/>
        <v>0</v>
      </c>
      <c r="AO725" s="71">
        <f t="shared" si="421"/>
        <v>0</v>
      </c>
      <c r="AP725" s="71">
        <f t="shared" si="422"/>
        <v>33</v>
      </c>
      <c r="AQ725" s="72">
        <f>IF(OR($H725="GIROSSOL II",$H725="GIROSSOL II e III"),INDEX('Resumo Operacional'!$A$1:$P$1103,MATCH("Energia Injetada prevista total Fatura da Usina (TUSD)",'Resumo Operacional'!$B$1:$B$1103,0),MATCH('Detalhe Por UC'!$R725,'Resumo Operacional'!$A$1:$P$1,0))*$S725,INDEX('Resumo Operacional'!$A$1:$P$1103,53,MATCH('Detalhe Por UC'!$R725,'Resumo Operacional'!$A$1:$P$1,0))*$S725)</f>
        <v>0</v>
      </c>
      <c r="AR725" s="71">
        <f t="shared" si="423"/>
        <v>33</v>
      </c>
      <c r="AS725" s="73">
        <f t="shared" si="424"/>
        <v>72.97</v>
      </c>
      <c r="AT725" s="74">
        <f t="shared" si="425"/>
        <v>72.97</v>
      </c>
      <c r="AU725" s="74">
        <f t="shared" si="426"/>
        <v>0.8494273504273504</v>
      </c>
      <c r="AV725" s="74">
        <f t="shared" si="427"/>
        <v>25.588029866666663</v>
      </c>
      <c r="AW725" s="74">
        <f t="shared" si="428"/>
        <v>-148</v>
      </c>
      <c r="AX725" s="74">
        <f t="shared" si="429"/>
        <v>-114.79466666666667</v>
      </c>
      <c r="AY725" s="74">
        <f t="shared" si="430"/>
        <v>-122.41</v>
      </c>
      <c r="AZ725" s="43">
        <v>26.82</v>
      </c>
      <c r="BA725" s="43">
        <v>26.82</v>
      </c>
      <c r="BB725" s="49">
        <v>26.82</v>
      </c>
      <c r="BC725" s="73" t="str">
        <f t="shared" si="431"/>
        <v/>
      </c>
      <c r="BD725" s="73">
        <f t="shared" si="432"/>
        <v>106.17533333333333</v>
      </c>
      <c r="BE725" s="73">
        <f t="shared" si="433"/>
        <v>98.558029866666658</v>
      </c>
      <c r="BF725" s="77">
        <f t="shared" si="434"/>
        <v>7.62</v>
      </c>
      <c r="BG725" s="77">
        <f t="shared" si="435"/>
        <v>2.286</v>
      </c>
      <c r="BH725" s="77">
        <f t="shared" si="436"/>
        <v>33.205333333333328</v>
      </c>
      <c r="BI725" s="78">
        <f t="shared" si="437"/>
        <v>-7.0000000000000007E-2</v>
      </c>
      <c r="BJ725" s="79">
        <f t="shared" si="438"/>
        <v>7.1768081726452479E-2</v>
      </c>
      <c r="BK725" s="80">
        <f t="shared" si="439"/>
        <v>-49.44</v>
      </c>
      <c r="BL725" s="80">
        <f t="shared" si="440"/>
        <v>155.61533333333333</v>
      </c>
      <c r="BM725" s="79">
        <f t="shared" si="441"/>
        <v>1.465644876713361</v>
      </c>
      <c r="BN725" s="81">
        <f t="shared" si="442"/>
        <v>-3.7093939393939395</v>
      </c>
      <c r="BO725" s="82">
        <f t="shared" si="443"/>
        <v>-122.41</v>
      </c>
      <c r="BP725" s="81">
        <f t="shared" si="444"/>
        <v>-3.7093939393939395</v>
      </c>
      <c r="BQ725" s="81">
        <f t="shared" si="445"/>
        <v>-3.5525990675990675</v>
      </c>
      <c r="BR725" s="81">
        <f t="shared" si="446"/>
        <v>1.1630170940170939</v>
      </c>
      <c r="BS725" s="82">
        <f t="shared" si="447"/>
        <v>33</v>
      </c>
      <c r="BT725" s="82">
        <f t="shared" si="448"/>
        <v>38.379564102564096</v>
      </c>
      <c r="BU725" s="82">
        <f t="shared" si="449"/>
        <v>33.205333333333328</v>
      </c>
      <c r="BW725" s="82">
        <f>IFERROR(INDEX('Infos Clientes'!$T:$T,MATCH('Detalhe Por UC'!$C725,'Infos Clientes'!B:B,0)),"")</f>
        <v>140.81818181818181</v>
      </c>
      <c r="BX725" s="83">
        <f t="shared" si="450"/>
        <v>0</v>
      </c>
      <c r="BY725" s="84">
        <f t="shared" si="451"/>
        <v>4.0546404570274115</v>
      </c>
      <c r="BZ725" s="85">
        <f>IF(_xlfn.MINIFS('Detalhe Por UC'!R:R,'Detalhe Por UC'!C:C,C725,'Detalhe Por UC'!AD:AD,"&gt;"&amp;0)=0,"",_xlfn.MINIFS('Detalhe Por UC'!R:R,'Detalhe Por UC'!C:C,C725,'Detalhe Por UC'!AD:AD,"&gt;"&amp;0))</f>
        <v>45658</v>
      </c>
      <c r="CA725" s="114">
        <f ca="1">IF(OR(S725&gt;0,AD725&gt;0),IFERROR(
SUMIFS(INDIRECT("'Infos Clientes'!$W"&amp;INDEX('Infos Clientes'!$C:$C,MATCH(C725,'Infos Clientes'!$H:$H,0))&amp;":$CZ"&amp;INDEX('Infos Clientes'!$C:$C,MATCH(C725,'Infos Clientes'!$H:$H,0))),'Infos Clientes'!$W$2:$CZ$2,"&gt;"&amp;$R725-365,'Infos Clientes'!$W$2:$CZ$2,"&lt;="&amp;$R725)/
COUNTIFS(INDIRECT("'Infos Clientes'!$W"&amp;INDEX('Infos Clientes'!$C:$C,MATCH(C725,'Infos Clientes'!$H:$H,0))&amp;":$CZ"&amp;INDEX('Infos Clientes'!$C:$C,MATCH(C725,'Infos Clientes'!$H:$H,0))),"&gt;="&amp;0,'Infos Clientes'!$W$2:$CZ$2,"&gt;"&amp;$R725-365,'Infos Clientes'!$W$2:$CZ$2,"&lt;="&amp;$R725),""),"")</f>
        <v>87.75</v>
      </c>
      <c r="CB725" s="87">
        <f>VLOOKUP(C725,'Infos Clientes'!B:L,11,0)</f>
        <v>0</v>
      </c>
      <c r="CC725" s="88" t="str">
        <f t="shared" si="452"/>
        <v>A Unidade Consumidora 10/175073-6 economizou R$7,62 na fatura referente à jul/2025  consumindo 33 kWh em créditos de energia renovável conforme fatura de energia. A economia foi de 22,94% em relação ao que seria pago para a Energisa considerando os créditos consumidos. Atenção: Mantenha as contas da Energisa em dia para evitar cortes.</v>
      </c>
      <c r="CE725" s="43">
        <v>72.97</v>
      </c>
      <c r="CF725" s="115">
        <f t="shared" si="453"/>
        <v>0</v>
      </c>
    </row>
    <row r="726" spans="1:84" ht="16.2" hidden="1" customHeight="1" x14ac:dyDescent="0.3">
      <c r="A726" s="105" t="str">
        <f>INDEX('Infos Clientes'!$D:$D,MATCH('Detalhe Por UC'!C726,'Infos Clientes'!B:B,0))</f>
        <v>IGREJA DO EVANGELHO QUADRANGULAR</v>
      </c>
      <c r="B726" s="106" t="str">
        <f>INDEX('Infos Clientes'!$F:$F,MATCH('Detalhe Por UC'!C726,'Infos Clientes'!B:B,0))</f>
        <v>62.955.505/3124-87</v>
      </c>
      <c r="C726" s="44" t="s">
        <v>185</v>
      </c>
      <c r="D726" t="s">
        <v>351</v>
      </c>
      <c r="E726" s="1" t="s">
        <v>352</v>
      </c>
      <c r="F726" s="56" t="str">
        <f>INDEX('Infos Clientes'!$I:$I,MATCH('Detalhe Por UC'!C726,'Infos Clientes'!B:B,0))</f>
        <v>BT</v>
      </c>
      <c r="G726" s="56" t="str">
        <f>INDEX('Infos Clientes'!$J:$J,MATCH('Detalhe Por UC'!C726,'Infos Clientes'!B:B,0))</f>
        <v>trifasico</v>
      </c>
      <c r="H726" s="47" t="str">
        <f>HYPERLINK("https://geraebcsp.sharepoint.com/sites/gestao.gdc/Shared Documents/EGS/2- Faturas/"&amp; TEXT($R726,"AAA") &amp;"/"&amp; TEXT($R726,"MM") &amp;"."&amp; TEXT($R726,"AAA") &amp;"/"&amp;"_10-"&amp; RIGHT($C726,LEN($C726)-3) &amp;"_" &amp; TEXT($R726,"AAAA") &amp;"-"&amp; TEXT($R726,"MM") &amp;".pdf","GIROSSOL III")</f>
        <v>GIROSSOL III</v>
      </c>
      <c r="I726" s="58">
        <f>IFERROR(VLOOKUP(C726,'Infos Clientes'!B:E,4,),"")</f>
        <v>357</v>
      </c>
      <c r="J726" s="109">
        <v>0.22939999999999999</v>
      </c>
      <c r="K726" s="79">
        <f>INDEX('Resumo Operacional'!$A$1:$P$151,MATCH("Desconto percentual Ucs",'Resumo Operacional'!$B$1:$B$151,0),MATCH('Detalhe Por UC'!$R726,'Resumo Operacional'!$A$1:$P$1,0))</f>
        <v>0.25212408425707711</v>
      </c>
      <c r="L726" s="125">
        <v>0</v>
      </c>
      <c r="M726" s="56">
        <f>INDEX('Infos Clientes'!$N:$N,MATCH('Detalhe Por UC'!C726,'Infos Clientes'!B:B,0))</f>
        <v>0</v>
      </c>
      <c r="N726" s="56">
        <f t="shared" si="418"/>
        <v>0</v>
      </c>
      <c r="O726" s="56">
        <f t="shared" si="419"/>
        <v>3</v>
      </c>
      <c r="P726" s="56">
        <f t="shared" si="454"/>
        <v>0</v>
      </c>
      <c r="Q726" s="61">
        <f>IFERROR(IFERROR(INDEX('Infos Clientes'!$A$2:$V$9884,MATCH($C726,'Infos Clientes'!$B$2:$B$9884,0),MATCH(Q$8,'Infos Clientes'!$A$2:$V$2,0)),"")
+IF(OR(INDEX('Infos Clientes'!$A$2:$V$9884,MATCH($C726,'Infos Clientes'!$B$2:$B$9884,0),MATCH("Tempo de Fidelidade (meses)",'Infos Clientes'!$A$2:$V$2,0))=0,R726&gt;=MAX(R:R)),0,
ROUND((MAX(R:R)-R726)/(365/12),0)),"")</f>
        <v>0</v>
      </c>
      <c r="R726" s="111">
        <v>45839</v>
      </c>
      <c r="S726" s="63">
        <v>0</v>
      </c>
      <c r="T726" s="113" t="str">
        <f>IF($H726="GIROSSOL II",AP726/INDEX('Resumo Operacional'!$A$1:$P$1103,17,MATCH('Detalhe Por UC'!$R726,'Resumo Operacional'!$A$1:$P$1,0)),
IF($H726="GIROSSOL II e III",AP726/INDEX('Resumo Operacional'!$A$1:$P$1103,17,MATCH('Detalhe Por UC'!$R726,'Resumo Operacional'!$A$1:$P$1,0)),
""))</f>
        <v/>
      </c>
      <c r="U726" s="113">
        <f>IF($H726="GIROSSOL III",AP726/INDEX('Resumo Operacional'!$A$1:$P$1103,53,MATCH('Detalhe Por UC'!$R726,'Resumo Operacional'!$A$1:$P$1,0)),
IF($H726="GIROSSOL II e III",AP726/INDEX('Resumo Operacional'!$A$1:$P$1103,53,MATCH('Detalhe Por UC'!$R726,'Resumo Operacional'!$A$1:$P$1,0)),
""))</f>
        <v>0</v>
      </c>
      <c r="V726" s="45"/>
      <c r="X726" s="18">
        <v>1.1629999999999998</v>
      </c>
      <c r="Y726">
        <v>0</v>
      </c>
      <c r="Z726" s="18">
        <v>0</v>
      </c>
      <c r="AA726">
        <v>0</v>
      </c>
      <c r="AB726" s="18">
        <v>0</v>
      </c>
      <c r="AC726">
        <v>0</v>
      </c>
      <c r="AD726" s="143">
        <v>0</v>
      </c>
      <c r="AE726" s="35"/>
      <c r="AF726" s="18"/>
      <c r="AH726" s="48">
        <v>27.55</v>
      </c>
      <c r="AI726">
        <v>0</v>
      </c>
      <c r="AJ726">
        <v>0</v>
      </c>
      <c r="AN726" s="71">
        <f t="shared" si="420"/>
        <v>0</v>
      </c>
      <c r="AO726" s="71">
        <f t="shared" si="421"/>
        <v>0</v>
      </c>
      <c r="AP726" s="71">
        <f t="shared" si="422"/>
        <v>0</v>
      </c>
      <c r="AQ726" s="72">
        <f>IF(OR($H726="GIROSSOL II",$H726="GIROSSOL II e III"),INDEX('Resumo Operacional'!$A$1:$P$1103,MATCH("Energia Injetada prevista total Fatura da Usina (TUSD)",'Resumo Operacional'!$B$1:$B$1103,0),MATCH('Detalhe Por UC'!$R726,'Resumo Operacional'!$A$1:$P$1,0))*$S726,INDEX('Resumo Operacional'!$A$1:$P$1103,53,MATCH('Detalhe Por UC'!$R726,'Resumo Operacional'!$A$1:$P$1,0))*$S726)</f>
        <v>0</v>
      </c>
      <c r="AR726" s="71">
        <f t="shared" si="423"/>
        <v>0</v>
      </c>
      <c r="AS726" s="73">
        <f t="shared" si="424"/>
        <v>143.85</v>
      </c>
      <c r="AT726" s="74">
        <f t="shared" si="425"/>
        <v>143.85</v>
      </c>
      <c r="AU726" s="74" t="str">
        <f t="shared" si="426"/>
        <v/>
      </c>
      <c r="AV726" s="74">
        <f t="shared" si="427"/>
        <v>0</v>
      </c>
      <c r="AW726" s="74">
        <f t="shared" si="428"/>
        <v>0</v>
      </c>
      <c r="AX726" s="74">
        <f t="shared" si="429"/>
        <v>0</v>
      </c>
      <c r="AY726" s="74" t="str">
        <f t="shared" si="430"/>
        <v/>
      </c>
      <c r="AZ726" s="43" t="s">
        <v>354</v>
      </c>
      <c r="BA726" s="43">
        <v>0</v>
      </c>
      <c r="BC726" s="73" t="str">
        <f t="shared" si="431"/>
        <v/>
      </c>
      <c r="BD726" s="73">
        <f t="shared" si="432"/>
        <v>143.85</v>
      </c>
      <c r="BE726" s="73">
        <f t="shared" si="433"/>
        <v>143.85</v>
      </c>
      <c r="BF726" s="77">
        <f t="shared" si="434"/>
        <v>0</v>
      </c>
      <c r="BG726" s="77">
        <f t="shared" si="435"/>
        <v>0</v>
      </c>
      <c r="BH726" s="77">
        <f t="shared" si="436"/>
        <v>0</v>
      </c>
      <c r="BI726" s="78" t="str">
        <f t="shared" si="437"/>
        <v/>
      </c>
      <c r="BJ726" s="79">
        <f t="shared" si="438"/>
        <v>0</v>
      </c>
      <c r="BK726" s="80" t="str">
        <f t="shared" si="439"/>
        <v/>
      </c>
      <c r="BL726" s="80" t="str">
        <f t="shared" si="440"/>
        <v/>
      </c>
      <c r="BM726" s="79" t="str">
        <f t="shared" si="441"/>
        <v/>
      </c>
      <c r="BN726" s="81" t="str">
        <f t="shared" si="442"/>
        <v/>
      </c>
      <c r="BO726" s="82" t="str">
        <f t="shared" si="443"/>
        <v/>
      </c>
      <c r="BP726" s="81" t="str">
        <f t="shared" si="444"/>
        <v/>
      </c>
      <c r="BQ726" s="81" t="str">
        <f t="shared" si="445"/>
        <v/>
      </c>
      <c r="BR726" s="81" t="str">
        <f t="shared" si="446"/>
        <v/>
      </c>
      <c r="BS726" s="82">
        <f t="shared" si="447"/>
        <v>0</v>
      </c>
      <c r="BT726" s="82" t="str">
        <f t="shared" si="448"/>
        <v/>
      </c>
      <c r="BU726" s="82">
        <f t="shared" si="449"/>
        <v>0</v>
      </c>
      <c r="BW726" s="82">
        <f>IFERROR(INDEX('Infos Clientes'!$T:$T,MATCH('Detalhe Por UC'!$C726,'Infos Clientes'!B:B,0)),"")</f>
        <v>178.4</v>
      </c>
      <c r="BX726" s="83">
        <f t="shared" si="450"/>
        <v>0</v>
      </c>
      <c r="BY726" s="84" t="str">
        <f t="shared" si="451"/>
        <v/>
      </c>
      <c r="BZ726" s="85">
        <f>IF(_xlfn.MINIFS('Detalhe Por UC'!R:R,'Detalhe Por UC'!C:C,C726,'Detalhe Por UC'!AD:AD,"&gt;"&amp;0)=0,"",_xlfn.MINIFS('Detalhe Por UC'!R:R,'Detalhe Por UC'!C:C,C726,'Detalhe Por UC'!AD:AD,"&gt;"&amp;0))</f>
        <v>45689</v>
      </c>
      <c r="CA726" s="114" t="str">
        <f ca="1">IF(OR(S726&gt;0,AD726&gt;0),IFERROR(
SUMIFS(INDIRECT("'Infos Clientes'!$W"&amp;INDEX('Infos Clientes'!$C:$C,MATCH(C726,'Infos Clientes'!$H:$H,0))&amp;":$CZ"&amp;INDEX('Infos Clientes'!$C:$C,MATCH(C726,'Infos Clientes'!$H:$H,0))),'Infos Clientes'!$W$2:$CZ$2,"&gt;"&amp;$R726-365,'Infos Clientes'!$W$2:$CZ$2,"&lt;="&amp;$R726)/
COUNTIFS(INDIRECT("'Infos Clientes'!$W"&amp;INDEX('Infos Clientes'!$C:$C,MATCH(C726,'Infos Clientes'!$H:$H,0))&amp;":$CZ"&amp;INDEX('Infos Clientes'!$C:$C,MATCH(C726,'Infos Clientes'!$H:$H,0))),"&gt;="&amp;0,'Infos Clientes'!$W$2:$CZ$2,"&gt;"&amp;$R726-365,'Infos Clientes'!$W$2:$CZ$2,"&lt;="&amp;$R726),""),"")</f>
        <v/>
      </c>
      <c r="CB726" s="87">
        <f>VLOOKUP(C726,'Infos Clientes'!B:L,11,0)</f>
        <v>0</v>
      </c>
      <c r="CC726" s="88" t="str">
        <f t="shared" si="452"/>
        <v>A Unidade Consumidora 10/3054052-0 economizou R$0 na fatura referente à jul/2025  consumindo 0 kWh em créditos de energia renovável conforme fatura de energia. A economia foi de 22,94% em relação ao que seria pago para a Energisa considerando os créditos consumidos. Atenção: Mantenha as contas da Energisa em dia para evitar cortes.</v>
      </c>
      <c r="CE726" s="43">
        <v>143.85</v>
      </c>
      <c r="CF726" s="115">
        <f t="shared" si="453"/>
        <v>0</v>
      </c>
    </row>
    <row r="727" spans="1:84" ht="16.2" hidden="1" customHeight="1" x14ac:dyDescent="0.3">
      <c r="A727" s="105" t="str">
        <f>INDEX('Infos Clientes'!$D:$D,MATCH('Detalhe Por UC'!C727,'Infos Clientes'!B:B,0))</f>
        <v>IGREJA DO EVANGELHO QUADRANGULAR</v>
      </c>
      <c r="B727" s="106" t="str">
        <f>INDEX('Infos Clientes'!$F:$F,MATCH('Detalhe Por UC'!C727,'Infos Clientes'!B:B,0))</f>
        <v>62.955.505/0151-99</v>
      </c>
      <c r="C727" s="44" t="s">
        <v>168</v>
      </c>
      <c r="D727" t="s">
        <v>351</v>
      </c>
      <c r="E727" s="1" t="s">
        <v>352</v>
      </c>
      <c r="F727" s="56" t="str">
        <f>INDEX('Infos Clientes'!$I:$I,MATCH('Detalhe Por UC'!C727,'Infos Clientes'!B:B,0))</f>
        <v>BT</v>
      </c>
      <c r="G727" s="56" t="str">
        <f>INDEX('Infos Clientes'!$J:$J,MATCH('Detalhe Por UC'!C727,'Infos Clientes'!B:B,0))</f>
        <v>trifasico</v>
      </c>
      <c r="H727" s="108" t="s">
        <v>138</v>
      </c>
      <c r="I727" s="58">
        <f>IFERROR(VLOOKUP(C727,'Infos Clientes'!B:E,4,),"")</f>
        <v>306</v>
      </c>
      <c r="J727" s="109">
        <v>0.22939999999999999</v>
      </c>
      <c r="K727" s="79">
        <f>INDEX('Resumo Operacional'!$A$1:$P$151,MATCH("Desconto percentual Ucs",'Resumo Operacional'!$B$1:$B$151,0),MATCH('Detalhe Por UC'!$R727,'Resumo Operacional'!$A$1:$P$1,0))</f>
        <v>0.25212408425707711</v>
      </c>
      <c r="L727" s="125">
        <v>0</v>
      </c>
      <c r="M727" s="56">
        <f>INDEX('Infos Clientes'!$N:$N,MATCH('Detalhe Por UC'!C727,'Infos Clientes'!B:B,0))</f>
        <v>0</v>
      </c>
      <c r="N727" s="56">
        <f t="shared" si="418"/>
        <v>0</v>
      </c>
      <c r="O727" s="56">
        <f t="shared" si="419"/>
        <v>7</v>
      </c>
      <c r="P727" s="56">
        <f t="shared" si="454"/>
        <v>0</v>
      </c>
      <c r="Q727" s="61">
        <f>IFERROR(IFERROR(INDEX('Infos Clientes'!$A$2:$V$9884,MATCH($C727,'Infos Clientes'!$B$2:$B$9884,0),MATCH(Q$8,'Infos Clientes'!$A$2:$V$2,0)),"")
+IF(OR(INDEX('Infos Clientes'!$A$2:$V$9884,MATCH($C727,'Infos Clientes'!$B$2:$B$9884,0),MATCH("Tempo de Fidelidade (meses)",'Infos Clientes'!$A$2:$V$2,0))=0,R727&gt;=MAX(R:R)),0,
ROUND((MAX(R:R)-R727)/(365/12),0)),"")</f>
        <v>0</v>
      </c>
      <c r="R727" s="111">
        <v>45839</v>
      </c>
      <c r="S727" s="63">
        <v>0</v>
      </c>
      <c r="T727" s="113" t="str">
        <f>IF($H727="GIROSSOL II",AP727/INDEX('Resumo Operacional'!$A$1:$P$1103,17,MATCH('Detalhe Por UC'!$R727,'Resumo Operacional'!$A$1:$P$1,0)),
IF($H727="GIROSSOL II e III",AP727/INDEX('Resumo Operacional'!$A$1:$P$1103,17,MATCH('Detalhe Por UC'!$R727,'Resumo Operacional'!$A$1:$P$1,0)),
""))</f>
        <v/>
      </c>
      <c r="U727" s="113">
        <f>IF($H727="GIROSSOL III",AP727/INDEX('Resumo Operacional'!$A$1:$P$1103,53,MATCH('Detalhe Por UC'!$R727,'Resumo Operacional'!$A$1:$P$1,0)),
IF($H727="GIROSSOL II e III",AP727/INDEX('Resumo Operacional'!$A$1:$P$1103,53,MATCH('Detalhe Por UC'!$R727,'Resumo Operacional'!$A$1:$P$1,0)),
""))</f>
        <v>0.18160043549265106</v>
      </c>
      <c r="V727" s="45"/>
      <c r="X727">
        <v>1.1630698287220025</v>
      </c>
      <c r="Y727">
        <v>0</v>
      </c>
      <c r="Z727" s="18">
        <v>1.0062318840579709</v>
      </c>
      <c r="AA727">
        <v>0</v>
      </c>
      <c r="AB727" s="18">
        <v>253</v>
      </c>
      <c r="AC727">
        <v>0</v>
      </c>
      <c r="AD727" s="143">
        <v>184</v>
      </c>
      <c r="AE727" s="35"/>
      <c r="AF727" s="18">
        <v>1484</v>
      </c>
      <c r="AG727">
        <v>0</v>
      </c>
      <c r="AH727" s="48">
        <v>138.77000000000001</v>
      </c>
      <c r="AI727">
        <v>0</v>
      </c>
      <c r="AJ727">
        <v>0</v>
      </c>
      <c r="AN727" s="71">
        <f t="shared" si="420"/>
        <v>1484</v>
      </c>
      <c r="AO727" s="71">
        <f t="shared" si="421"/>
        <v>0</v>
      </c>
      <c r="AP727" s="71">
        <f t="shared" si="422"/>
        <v>1668</v>
      </c>
      <c r="AQ727" s="72">
        <f>IF(OR($H727="GIROSSOL II",$H727="GIROSSOL II e III"),INDEX('Resumo Operacional'!$A$1:$P$1103,MATCH("Energia Injetada prevista total Fatura da Usina (TUSD)",'Resumo Operacional'!$B$1:$B$1103,0),MATCH('Detalhe Por UC'!$R727,'Resumo Operacional'!$A$1:$P$1,0))*$S727,INDEX('Resumo Operacional'!$A$1:$P$1103,53,MATCH('Detalhe Por UC'!$R727,'Resumo Operacional'!$A$1:$P$1,0))*$S727)</f>
        <v>0</v>
      </c>
      <c r="AR727" s="71">
        <f t="shared" si="423"/>
        <v>1668</v>
      </c>
      <c r="AS727" s="73">
        <f t="shared" si="424"/>
        <v>247.87999999999997</v>
      </c>
      <c r="AT727" s="74">
        <f t="shared" si="425"/>
        <v>247.87999999999997</v>
      </c>
      <c r="AU727" s="74">
        <f t="shared" si="426"/>
        <v>0.84939393939393937</v>
      </c>
      <c r="AV727" s="74">
        <f t="shared" si="427"/>
        <v>142.67402133333331</v>
      </c>
      <c r="AW727" s="74">
        <f t="shared" si="428"/>
        <v>-2.0000000000000002E-5</v>
      </c>
      <c r="AX727" s="74">
        <f t="shared" si="429"/>
        <v>185.14664666666664</v>
      </c>
      <c r="AY727" s="74">
        <f t="shared" si="430"/>
        <v>142.66999999999999</v>
      </c>
      <c r="AZ727" s="43"/>
      <c r="BA727" s="43">
        <v>9.9999999999999995E-7</v>
      </c>
      <c r="BC727" s="73" t="str">
        <f t="shared" si="431"/>
        <v/>
      </c>
      <c r="BD727" s="73">
        <f t="shared" si="432"/>
        <v>433.02666666666664</v>
      </c>
      <c r="BE727" s="73">
        <f t="shared" si="433"/>
        <v>390.55402133333325</v>
      </c>
      <c r="BF727" s="77">
        <f t="shared" si="434"/>
        <v>42.47</v>
      </c>
      <c r="BG727" s="77">
        <f t="shared" si="435"/>
        <v>12.741</v>
      </c>
      <c r="BH727" s="77">
        <f t="shared" si="436"/>
        <v>185.14666666666665</v>
      </c>
      <c r="BI727" s="78">
        <f t="shared" si="437"/>
        <v>0.23</v>
      </c>
      <c r="BJ727" s="79">
        <f t="shared" si="438"/>
        <v>9.8077100717430796E-2</v>
      </c>
      <c r="BK727" s="80">
        <f t="shared" si="439"/>
        <v>390.54999999999995</v>
      </c>
      <c r="BL727" s="80">
        <f t="shared" si="440"/>
        <v>42.476666666666688</v>
      </c>
      <c r="BM727" s="79">
        <f t="shared" si="441"/>
        <v>9.8092496228099943E-2</v>
      </c>
      <c r="BN727" s="81">
        <f t="shared" si="442"/>
        <v>0.77538043478260865</v>
      </c>
      <c r="BO727" s="82">
        <f t="shared" si="443"/>
        <v>142.66999999999999</v>
      </c>
      <c r="BP727" s="81">
        <f t="shared" si="444"/>
        <v>0.77538043478260865</v>
      </c>
      <c r="BQ727" s="81">
        <f t="shared" si="445"/>
        <v>0.93221837944664021</v>
      </c>
      <c r="BR727" s="81">
        <f t="shared" si="446"/>
        <v>1.1630698287220025</v>
      </c>
      <c r="BS727" s="82">
        <f t="shared" si="447"/>
        <v>184</v>
      </c>
      <c r="BT727" s="82">
        <f t="shared" si="448"/>
        <v>214.00484848484845</v>
      </c>
      <c r="BU727" s="82">
        <f t="shared" si="449"/>
        <v>185.14666666666665</v>
      </c>
      <c r="BW727" s="82">
        <f>IFERROR(INDEX('Infos Clientes'!$T:$T,MATCH('Detalhe Por UC'!$C727,'Infos Clientes'!B:B,0)),"")</f>
        <v>718.4545454545455</v>
      </c>
      <c r="BX727" s="83">
        <f t="shared" si="450"/>
        <v>0</v>
      </c>
      <c r="BY727" s="84">
        <f t="shared" si="451"/>
        <v>0.19848459961258311</v>
      </c>
      <c r="BZ727" s="85">
        <f>IF(_xlfn.MINIFS('Detalhe Por UC'!R:R,'Detalhe Por UC'!C:C,C727,'Detalhe Por UC'!AD:AD,"&gt;"&amp;0)=0,"",_xlfn.MINIFS('Detalhe Por UC'!R:R,'Detalhe Por UC'!C:C,C727,'Detalhe Por UC'!AD:AD,"&gt;"&amp;0))</f>
        <v>45658</v>
      </c>
      <c r="CA727" s="114">
        <f ca="1">IF(OR(S727&gt;0,AD727&gt;0),IFERROR(
SUMIFS(INDIRECT("'Infos Clientes'!$W"&amp;INDEX('Infos Clientes'!$C:$C,MATCH(C727,'Infos Clientes'!$H:$H,0))&amp;":$CZ"&amp;INDEX('Infos Clientes'!$C:$C,MATCH(C727,'Infos Clientes'!$H:$H,0))),'Infos Clientes'!$W$2:$CZ$2,"&gt;"&amp;$R727-365,'Infos Clientes'!$W$2:$CZ$2,"&lt;="&amp;$R727)/
COUNTIFS(INDIRECT("'Infos Clientes'!$W"&amp;INDEX('Infos Clientes'!$C:$C,MATCH(C727,'Infos Clientes'!$H:$H,0))&amp;":$CZ"&amp;INDEX('Infos Clientes'!$C:$C,MATCH(C727,'Infos Clientes'!$H:$H,0))),"&gt;="&amp;0,'Infos Clientes'!$W$2:$CZ$2,"&gt;"&amp;$R727-365,'Infos Clientes'!$W$2:$CZ$2,"&lt;="&amp;$R727),""),"")</f>
        <v>606.66666666666663</v>
      </c>
      <c r="CB727" s="87">
        <f>VLOOKUP(C727,'Infos Clientes'!B:L,11,0)</f>
        <v>0</v>
      </c>
      <c r="CC727" s="88" t="str">
        <f t="shared" si="452"/>
        <v>A Unidade Consumidora 10/2247256-7 economizou R$42,47 na fatura referente à jul/2025  consumindo 184 kWh em créditos de energia renovável conforme fatura de energia. A economia foi de 22,94% em relação ao que seria pago para a Energisa considerando os créditos consumidos. Atenção: Mantenha as contas da Energisa em dia para evitar cortes.</v>
      </c>
      <c r="CE727" s="43">
        <v>247.88</v>
      </c>
      <c r="CF727" s="115">
        <f t="shared" si="453"/>
        <v>0</v>
      </c>
    </row>
    <row r="728" spans="1:84" ht="16.2" hidden="1" customHeight="1" x14ac:dyDescent="0.3">
      <c r="A728" s="105" t="str">
        <f>INDEX('Infos Clientes'!$D:$D,MATCH('Detalhe Por UC'!C728,'Infos Clientes'!B:B,0))</f>
        <v>IGREJA DO EVANGELHO QUADRANGULAR</v>
      </c>
      <c r="B728" s="106" t="str">
        <f>INDEX('Infos Clientes'!$F:$F,MATCH('Detalhe Por UC'!C728,'Infos Clientes'!B:B,0))</f>
        <v>62.955.505/3932-07</v>
      </c>
      <c r="C728" s="44" t="s">
        <v>119</v>
      </c>
      <c r="D728" t="s">
        <v>351</v>
      </c>
      <c r="E728" s="1" t="s">
        <v>352</v>
      </c>
      <c r="F728" s="56" t="str">
        <f>INDEX('Infos Clientes'!$I:$I,MATCH('Detalhe Por UC'!C728,'Infos Clientes'!B:B,0))</f>
        <v>BT</v>
      </c>
      <c r="G728" s="56" t="str">
        <f>INDEX('Infos Clientes'!$J:$J,MATCH('Detalhe Por UC'!C728,'Infos Clientes'!B:B,0))</f>
        <v>trifasico</v>
      </c>
      <c r="H728" s="47" t="str">
        <f t="shared" ref="H728:H770" si="455">HYPERLINK("https://geraebcsp.sharepoint.com/sites/gestao.gdc/Shared Documents/EGS/2- Faturas/"&amp; TEXT($R728,"AAA") &amp;"/"&amp; TEXT($R728,"MM") &amp;"."&amp; TEXT($R728,"AAA") &amp;"/"&amp;"_10-"&amp; RIGHT($C728,LEN($C728)-3) &amp;"_" &amp; TEXT($R728,"AAAA") &amp;"-"&amp; TEXT($R728,"MM") &amp;".pdf","GIROSSOL II")</f>
        <v>GIROSSOL II</v>
      </c>
      <c r="I728" s="58">
        <f>IFERROR(VLOOKUP(C728,'Infos Clientes'!B:E,4,),"")</f>
        <v>302</v>
      </c>
      <c r="J728" s="151">
        <v>0.22596103298069697</v>
      </c>
      <c r="K728" s="79">
        <f>INDEX('Resumo Operacional'!$A$1:$P$151,MATCH("Desconto percentual Ucs",'Resumo Operacional'!$B$1:$B$151,0),MATCH('Detalhe Por UC'!$R728,'Resumo Operacional'!$A$1:$P$1,0))</f>
        <v>0.26495232343264008</v>
      </c>
      <c r="M728" s="56">
        <f>INDEX('Infos Clientes'!$N:$N,MATCH('Detalhe Por UC'!C728,'Infos Clientes'!B:B,0))</f>
        <v>0</v>
      </c>
      <c r="N728" s="56">
        <f t="shared" si="418"/>
        <v>0</v>
      </c>
      <c r="O728" s="56">
        <f t="shared" si="419"/>
        <v>12</v>
      </c>
      <c r="P728" s="56">
        <f t="shared" si="454"/>
        <v>0</v>
      </c>
      <c r="Q728" s="61">
        <f>IFERROR(IFERROR(INDEX('Infos Clientes'!$A$2:$V$9884,MATCH($C728,'Infos Clientes'!$B$2:$B$9884,0),MATCH(Q$8,'Infos Clientes'!$A$2:$V$2,0)),"")
+IF(OR(INDEX('Infos Clientes'!$A$2:$V$9884,MATCH($C728,'Infos Clientes'!$B$2:$B$9884,0),MATCH("Tempo de Fidelidade (meses)",'Infos Clientes'!$A$2:$V$2,0))=0,R728&gt;=MAX(R:R)),0,
ROUND((MAX(R:R)-R728)/(365/12),0)),"")</f>
        <v>0</v>
      </c>
      <c r="R728" s="111">
        <v>45870</v>
      </c>
      <c r="S728" s="152">
        <v>0.1404</v>
      </c>
      <c r="T728" s="113">
        <f>IF($H728="GIROSSOL II",AP728/INDEX('Resumo Operacional'!$A$1:$P$1103,17,MATCH('Detalhe Por UC'!$R728,'Resumo Operacional'!$A$1:$P$1,0)),
IF($H728="GIROSSOL II e III",AP728/INDEX('Resumo Operacional'!$A$1:$P$1103,17,MATCH('Detalhe Por UC'!$R728,'Resumo Operacional'!$A$1:$P$1,0)),
""))</f>
        <v>0.20517667587610877</v>
      </c>
      <c r="U728" s="113" t="str">
        <f>IF($H728="GIROSSOL III",AP728/INDEX('Resumo Operacional'!$A$1:$P$1103,53,MATCH('Detalhe Por UC'!$R728,'Resumo Operacional'!$A$1:$P$1,0)),
IF($H728="GIROSSOL II e III",AP728/INDEX('Resumo Operacional'!$A$1:$P$1103,53,MATCH('Detalhe Por UC'!$R728,'Resumo Operacional'!$A$1:$P$1,0)),
""))</f>
        <v/>
      </c>
      <c r="X728">
        <v>1.166684685175627</v>
      </c>
      <c r="Z728" s="18">
        <v>1.1666795155153276</v>
      </c>
      <c r="AB728" s="18">
        <v>717.47</v>
      </c>
      <c r="AD728" s="143">
        <v>617</v>
      </c>
      <c r="AF728" s="18">
        <v>2311</v>
      </c>
      <c r="AH728" s="49">
        <v>151.11000000000001</v>
      </c>
      <c r="AK728" s="153">
        <v>268.33</v>
      </c>
      <c r="AL728" s="43">
        <f>AK728-AT728</f>
        <v>0</v>
      </c>
      <c r="AN728" s="71">
        <f t="shared" si="420"/>
        <v>794</v>
      </c>
      <c r="AO728" s="71">
        <f t="shared" si="421"/>
        <v>0</v>
      </c>
      <c r="AP728" s="71">
        <f t="shared" si="422"/>
        <v>1411</v>
      </c>
      <c r="AQ728" s="72">
        <f>IF(OR($H728="GIROSSOL II",$H728="GIROSSOL II e III"),INDEX('Resumo Operacional'!$A$1:$P$1103,MATCH("Energia Injetada prevista total Fatura da Usina (TUSD)",'Resumo Operacional'!$B$1:$B$1103,0),MATCH('Detalhe Por UC'!$R728,'Resumo Operacional'!$A$1:$P$1,0))*$S728,INDEX('Resumo Operacional'!$A$1:$P$1103,53,MATCH('Detalhe Por UC'!$R728,'Resumo Operacional'!$A$1:$P$1,0))*$S728)</f>
        <v>965.5308</v>
      </c>
      <c r="AR728" s="71">
        <f t="shared" si="423"/>
        <v>445.4692</v>
      </c>
      <c r="AS728" s="73">
        <f t="shared" si="424"/>
        <v>268.33000000000004</v>
      </c>
      <c r="AT728" s="74">
        <f t="shared" si="425"/>
        <v>268.33000000000004</v>
      </c>
      <c r="AU728" s="74">
        <f t="shared" si="426"/>
        <v>1.1666743458550282</v>
      </c>
      <c r="AV728" s="74">
        <f t="shared" si="427"/>
        <v>557.18518613878416</v>
      </c>
      <c r="AW728" s="74">
        <f t="shared" si="428"/>
        <v>0</v>
      </c>
      <c r="AX728" s="74">
        <f t="shared" si="429"/>
        <v>719.84126107295708</v>
      </c>
      <c r="AY728" s="74">
        <f t="shared" si="430"/>
        <v>557.19000000000005</v>
      </c>
      <c r="AZ728" s="117">
        <v>557.19000000000005</v>
      </c>
      <c r="BA728" s="49">
        <v>557.19000000000005</v>
      </c>
      <c r="BB728" s="49">
        <v>557.19000000000005</v>
      </c>
      <c r="BC728" s="73" t="str">
        <f t="shared" si="431"/>
        <v/>
      </c>
      <c r="BD728" s="73">
        <f t="shared" si="432"/>
        <v>988.17126107295712</v>
      </c>
      <c r="BE728" s="73">
        <f t="shared" si="433"/>
        <v>825.5151861387842</v>
      </c>
      <c r="BF728" s="77">
        <f t="shared" si="434"/>
        <v>162.66</v>
      </c>
      <c r="BG728" s="77">
        <f t="shared" si="435"/>
        <v>48.797999999999995</v>
      </c>
      <c r="BH728" s="77">
        <f t="shared" si="436"/>
        <v>719.84126107295708</v>
      </c>
      <c r="BI728" s="78">
        <f t="shared" si="437"/>
        <v>0.23</v>
      </c>
      <c r="BJ728" s="79">
        <f t="shared" si="438"/>
        <v>0.16460709434454068</v>
      </c>
      <c r="BK728" s="80">
        <f t="shared" si="439"/>
        <v>825.5200000000001</v>
      </c>
      <c r="BL728" s="80">
        <f t="shared" si="440"/>
        <v>162.65126107295703</v>
      </c>
      <c r="BM728" s="79">
        <f t="shared" si="441"/>
        <v>0.16459825080963209</v>
      </c>
      <c r="BN728" s="81">
        <f t="shared" si="442"/>
        <v>0.9030632090761751</v>
      </c>
      <c r="BO728" s="82">
        <f t="shared" si="443"/>
        <v>557.19000000000005</v>
      </c>
      <c r="BP728" s="81">
        <f t="shared" si="444"/>
        <v>0.9030632090761751</v>
      </c>
      <c r="BQ728" s="81">
        <f t="shared" si="445"/>
        <v>0.9030683787364745</v>
      </c>
      <c r="BR728" s="81">
        <f t="shared" si="446"/>
        <v>1.166684685175627</v>
      </c>
      <c r="BS728" s="82">
        <f t="shared" si="447"/>
        <v>617</v>
      </c>
      <c r="BT728" s="82">
        <f t="shared" si="448"/>
        <v>719.8444507533618</v>
      </c>
      <c r="BU728" s="82">
        <f t="shared" si="449"/>
        <v>719.84126107295708</v>
      </c>
      <c r="BW728" s="82">
        <f>IFERROR(INDEX('Infos Clientes'!$T:$T,MATCH('Detalhe Por UC'!$C728,'Infos Clientes'!B:B,0)),"")</f>
        <v>1810.6008333333332</v>
      </c>
      <c r="BX728" s="83">
        <f t="shared" si="450"/>
        <v>0</v>
      </c>
      <c r="BY728" s="84">
        <f t="shared" si="451"/>
        <v>0.22595334436867914</v>
      </c>
      <c r="BZ728" s="85">
        <f>IF(_xlfn.MINIFS('Detalhe Por UC'!R:R,'Detalhe Por UC'!C:C,C728,'Detalhe Por UC'!AD:AD,"&gt;"&amp;0)=0,"",_xlfn.MINIFS('Detalhe Por UC'!R:R,'Detalhe Por UC'!C:C,C728,'Detalhe Por UC'!AD:AD,"&gt;"&amp;0))</f>
        <v>45627</v>
      </c>
      <c r="CA728" s="114">
        <f ca="1">IF(OR(S728&gt;0,AD728&gt;0),IFERROR(
SUMIFS(INDIRECT("'Infos Clientes'!$W"&amp;INDEX('Infos Clientes'!$C:$C,MATCH(C728,'Infos Clientes'!$H:$H,0))&amp;":$CZ"&amp;INDEX('Infos Clientes'!$C:$C,MATCH(C728,'Infos Clientes'!$H:$H,0))),'Infos Clientes'!$W$2:$CZ$2,"&gt;"&amp;$R728-365,'Infos Clientes'!$W$2:$CZ$2,"&lt;="&amp;$R728)/
COUNTIFS(INDIRECT("'Infos Clientes'!$W"&amp;INDEX('Infos Clientes'!$C:$C,MATCH(C728,'Infos Clientes'!$H:$H,0))&amp;":$CZ"&amp;INDEX('Infos Clientes'!$C:$C,MATCH(C728,'Infos Clientes'!$H:$H,0))),"&gt;="&amp;0,'Infos Clientes'!$W$2:$CZ$2,"&gt;"&amp;$R728-365,'Infos Clientes'!$W$2:$CZ$2,"&lt;="&amp;$R728),""),"")</f>
        <v>1729.7416666666668</v>
      </c>
      <c r="CB728" s="87">
        <f>VLOOKUP(C728,'Infos Clientes'!B:L,11,0)</f>
        <v>0</v>
      </c>
      <c r="CC728" s="88" t="str">
        <f t="shared" si="452"/>
        <v>A Unidade Consumidora 10/5202-7 economizou R$162,66 na fatura referente à ago/2025  consumindo 617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28" s="115">
        <f t="shared" si="453"/>
        <v>-268.33000000000004</v>
      </c>
    </row>
    <row r="729" spans="1:84" ht="16.2" hidden="1" customHeight="1" x14ac:dyDescent="0.3">
      <c r="A729" s="105" t="str">
        <f>INDEX('Infos Clientes'!$D:$D,MATCH('Detalhe Por UC'!C729,'Infos Clientes'!B:B,0))</f>
        <v>IGREJA DO EVANGELHO QUADRANGULAR</v>
      </c>
      <c r="B729" s="106" t="str">
        <f>INDEX('Infos Clientes'!$F:$F,MATCH('Detalhe Por UC'!C729,'Infos Clientes'!B:B,0))</f>
        <v>62.955.505/0151-99</v>
      </c>
      <c r="C729" s="44" t="s">
        <v>102</v>
      </c>
      <c r="D729" t="s">
        <v>351</v>
      </c>
      <c r="E729" s="1" t="s">
        <v>352</v>
      </c>
      <c r="F729" s="56" t="str">
        <f>INDEX('Infos Clientes'!$I:$I,MATCH('Detalhe Por UC'!C729,'Infos Clientes'!B:B,0))</f>
        <v>BT</v>
      </c>
      <c r="G729" s="56" t="str">
        <f>INDEX('Infos Clientes'!$J:$J,MATCH('Detalhe Por UC'!C729,'Infos Clientes'!B:B,0))</f>
        <v>trifasico</v>
      </c>
      <c r="H729" s="47" t="str">
        <f t="shared" si="455"/>
        <v>GIROSSOL II</v>
      </c>
      <c r="I729" s="58">
        <f>IFERROR(VLOOKUP(C729,'Infos Clientes'!B:E,4,),"")</f>
        <v>306</v>
      </c>
      <c r="J729" s="151">
        <v>0.22596103298069697</v>
      </c>
      <c r="K729" s="79">
        <f>INDEX('Resumo Operacional'!$A$1:$P$151,MATCH("Desconto percentual Ucs",'Resumo Operacional'!$B$1:$B$151,0),MATCH('Detalhe Por UC'!$R729,'Resumo Operacional'!$A$1:$P$1,0))</f>
        <v>0.26495232343264008</v>
      </c>
      <c r="M729" s="56">
        <f>INDEX('Infos Clientes'!$N:$N,MATCH('Detalhe Por UC'!C729,'Infos Clientes'!B:B,0))</f>
        <v>0</v>
      </c>
      <c r="N729" s="56">
        <f t="shared" si="418"/>
        <v>0</v>
      </c>
      <c r="O729" s="56">
        <f t="shared" si="419"/>
        <v>12</v>
      </c>
      <c r="P729" s="56">
        <f t="shared" si="454"/>
        <v>0</v>
      </c>
      <c r="Q729" s="61">
        <f>IFERROR(IFERROR(INDEX('Infos Clientes'!$A$2:$V$9884,MATCH($C729,'Infos Clientes'!$B$2:$B$9884,0),MATCH(Q$8,'Infos Clientes'!$A$2:$V$2,0)),"")
+IF(OR(INDEX('Infos Clientes'!$A$2:$V$9884,MATCH($C729,'Infos Clientes'!$B$2:$B$9884,0),MATCH("Tempo de Fidelidade (meses)",'Infos Clientes'!$A$2:$V$2,0))=0,R729&gt;=MAX(R:R)),0,
ROUND((MAX(R:R)-R729)/(365/12),0)),"")</f>
        <v>0</v>
      </c>
      <c r="R729" s="111">
        <v>45870</v>
      </c>
      <c r="S729" s="152">
        <v>9.0700000000000003E-2</v>
      </c>
      <c r="T729" s="113">
        <f>IF($H729="GIROSSOL II",AP729/INDEX('Resumo Operacional'!$A$1:$P$1103,17,MATCH('Detalhe Por UC'!$R729,'Resumo Operacional'!$A$1:$P$1,0)),
IF($H729="GIROSSOL II e III",AP729/INDEX('Resumo Operacional'!$A$1:$P$1103,17,MATCH('Detalhe Por UC'!$R729,'Resumo Operacional'!$A$1:$P$1,0)),
""))</f>
        <v>0.1087683582957685</v>
      </c>
      <c r="U729" s="113" t="str">
        <f>IF($H729="GIROSSOL III",AP729/INDEX('Resumo Operacional'!$A$1:$P$1103,53,MATCH('Detalhe Por UC'!$R729,'Resumo Operacional'!$A$1:$P$1,0)),
IF($H729="GIROSSOL II e III",AP729/INDEX('Resumo Operacional'!$A$1:$P$1103,53,MATCH('Detalhe Por UC'!$R729,'Resumo Operacional'!$A$1:$P$1,0)),
""))</f>
        <v/>
      </c>
      <c r="X729">
        <v>1.1655022514071296</v>
      </c>
      <c r="Z729" s="18">
        <v>1.1654984405458091</v>
      </c>
      <c r="AB729" s="18">
        <v>2665</v>
      </c>
      <c r="AD729" s="143">
        <v>2565</v>
      </c>
      <c r="AF729" s="18">
        <v>2065</v>
      </c>
      <c r="AG729">
        <v>0</v>
      </c>
      <c r="AH729" s="49">
        <v>2.52</v>
      </c>
      <c r="AL729" s="43"/>
      <c r="AN729" s="71">
        <f t="shared" si="420"/>
        <v>-1817</v>
      </c>
      <c r="AO729" s="71">
        <f t="shared" si="421"/>
        <v>0</v>
      </c>
      <c r="AP729" s="71">
        <f t="shared" si="422"/>
        <v>748</v>
      </c>
      <c r="AQ729" s="72">
        <f>IF(OR($H729="GIROSSOL II",$H729="GIROSSOL II e III"),INDEX('Resumo Operacional'!$A$1:$P$1103,MATCH("Energia Injetada prevista total Fatura da Usina (TUSD)",'Resumo Operacional'!$B$1:$B$1103,0),MATCH('Detalhe Por UC'!$R729,'Resumo Operacional'!$A$1:$P$1,0))*$S729,INDEX('Resumo Operacional'!$A$1:$P$1103,53,MATCH('Detalhe Por UC'!$R729,'Resumo Operacional'!$A$1:$P$1,0))*$S729)</f>
        <v>623.74390000000005</v>
      </c>
      <c r="AR729" s="71">
        <f t="shared" si="423"/>
        <v>124.25609999999995</v>
      </c>
      <c r="AS729" s="73">
        <f t="shared" si="424"/>
        <v>119.07999999999994</v>
      </c>
      <c r="AT729" s="74">
        <f t="shared" si="425"/>
        <v>119.07999999999994</v>
      </c>
      <c r="AU729" s="74">
        <f t="shared" si="426"/>
        <v>1.1654946296844886</v>
      </c>
      <c r="AV729" s="74">
        <f t="shared" si="427"/>
        <v>2313.9922010405912</v>
      </c>
      <c r="AW729" s="74">
        <f t="shared" si="428"/>
        <v>0</v>
      </c>
      <c r="AX729" s="74">
        <f t="shared" si="429"/>
        <v>2989.5035000000003</v>
      </c>
      <c r="AY729" s="74">
        <f t="shared" si="430"/>
        <v>2313.9899999999998</v>
      </c>
      <c r="AZ729" s="117">
        <v>2313.9899999999998</v>
      </c>
      <c r="BA729" s="49">
        <v>2313.9899999999998</v>
      </c>
      <c r="BB729" s="49">
        <v>2313.9899999999998</v>
      </c>
      <c r="BC729" s="73" t="str">
        <f t="shared" si="431"/>
        <v/>
      </c>
      <c r="BD729" s="73">
        <f t="shared" si="432"/>
        <v>3108.5835000000002</v>
      </c>
      <c r="BE729" s="73">
        <f t="shared" si="433"/>
        <v>2433.0722010405912</v>
      </c>
      <c r="BF729" s="77">
        <f t="shared" si="434"/>
        <v>675.51</v>
      </c>
      <c r="BG729" s="77">
        <f t="shared" si="435"/>
        <v>202.65299999999999</v>
      </c>
      <c r="BH729" s="77">
        <f t="shared" si="436"/>
        <v>2989.5035000000003</v>
      </c>
      <c r="BI729" s="78">
        <f t="shared" si="437"/>
        <v>0.23</v>
      </c>
      <c r="BJ729" s="79">
        <f t="shared" si="438"/>
        <v>0.21730476276413355</v>
      </c>
      <c r="BK729" s="80">
        <f t="shared" si="439"/>
        <v>2433.0699999999997</v>
      </c>
      <c r="BL729" s="80">
        <f t="shared" si="440"/>
        <v>675.51350000000048</v>
      </c>
      <c r="BM729" s="79">
        <f t="shared" si="441"/>
        <v>0.21730588867887912</v>
      </c>
      <c r="BN729" s="81">
        <f t="shared" si="442"/>
        <v>0.90214035087719291</v>
      </c>
      <c r="BO729" s="82">
        <f t="shared" si="443"/>
        <v>2313.9899999999998</v>
      </c>
      <c r="BP729" s="81">
        <f t="shared" si="444"/>
        <v>0.90214035087719291</v>
      </c>
      <c r="BQ729" s="81">
        <f t="shared" si="445"/>
        <v>0.90214416173851342</v>
      </c>
      <c r="BR729" s="81">
        <f t="shared" si="446"/>
        <v>1.1655022514071296</v>
      </c>
      <c r="BS729" s="82">
        <f t="shared" si="447"/>
        <v>2565</v>
      </c>
      <c r="BT729" s="82">
        <f t="shared" si="448"/>
        <v>2989.5132748592873</v>
      </c>
      <c r="BU729" s="82">
        <f t="shared" si="449"/>
        <v>2989.5035000000003</v>
      </c>
      <c r="BW729" s="82">
        <f>IFERROR(INDEX('Infos Clientes'!$T:$T,MATCH('Detalhe Por UC'!$C729,'Infos Clientes'!B:B,0)),"")</f>
        <v>2675.750833333333</v>
      </c>
      <c r="BX729" s="83">
        <f t="shared" si="450"/>
        <v>0</v>
      </c>
      <c r="BY729" s="84">
        <f t="shared" si="451"/>
        <v>0.22596103040612725</v>
      </c>
      <c r="BZ729" s="85">
        <f>IF(_xlfn.MINIFS('Detalhe Por UC'!R:R,'Detalhe Por UC'!C:C,C729,'Detalhe Por UC'!AD:AD,"&gt;"&amp;0)=0,"",_xlfn.MINIFS('Detalhe Por UC'!R:R,'Detalhe Por UC'!C:C,C729,'Detalhe Por UC'!AD:AD,"&gt;"&amp;0))</f>
        <v>45627</v>
      </c>
      <c r="CA729" s="114">
        <f ca="1">IF(OR(S729&gt;0,AD729&gt;0),IFERROR(
SUMIFS(INDIRECT("'Infos Clientes'!$W"&amp;INDEX('Infos Clientes'!$C:$C,MATCH(C729,'Infos Clientes'!$H:$H,0))&amp;":$CZ"&amp;INDEX('Infos Clientes'!$C:$C,MATCH(C729,'Infos Clientes'!$H:$H,0))),'Infos Clientes'!$W$2:$CZ$2,"&gt;"&amp;$R729-365,'Infos Clientes'!$W$2:$CZ$2,"&lt;="&amp;$R729)/
COUNTIFS(INDIRECT("'Infos Clientes'!$W"&amp;INDEX('Infos Clientes'!$C:$C,MATCH(C729,'Infos Clientes'!$H:$H,0))&amp;":$CZ"&amp;INDEX('Infos Clientes'!$C:$C,MATCH(C729,'Infos Clientes'!$H:$H,0))),"&gt;="&amp;0,'Infos Clientes'!$W$2:$CZ$2,"&gt;"&amp;$R729-365,'Infos Clientes'!$W$2:$CZ$2,"&lt;="&amp;$R729),""),"")</f>
        <v>2665.0941666666668</v>
      </c>
      <c r="CB729" s="87">
        <f>VLOOKUP(C729,'Infos Clientes'!B:L,11,0)</f>
        <v>0</v>
      </c>
      <c r="CC729" s="88" t="str">
        <f t="shared" si="452"/>
        <v>A Unidade Consumidora 10/364440-8 economizou R$675,51 na fatura referente à ago/2025  consumindo 2565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29" s="115">
        <f t="shared" si="453"/>
        <v>-119.07999999999994</v>
      </c>
    </row>
    <row r="730" spans="1:84" ht="16.2" hidden="1" customHeight="1" x14ac:dyDescent="0.3">
      <c r="A730" s="105" t="str">
        <f>INDEX('Infos Clientes'!$D:$D,MATCH('Detalhe Por UC'!C730,'Infos Clientes'!B:B,0))</f>
        <v>IGREJA DO EVANGELHO QUADRANGULAR</v>
      </c>
      <c r="B730" s="106" t="str">
        <f>INDEX('Infos Clientes'!$F:$F,MATCH('Detalhe Por UC'!C730,'Infos Clientes'!B:B,0))</f>
        <v>62.955.505/0172-13</v>
      </c>
      <c r="C730" s="44" t="s">
        <v>87</v>
      </c>
      <c r="D730" t="s">
        <v>351</v>
      </c>
      <c r="E730" s="1" t="s">
        <v>352</v>
      </c>
      <c r="F730" s="56" t="str">
        <f>INDEX('Infos Clientes'!$I:$I,MATCH('Detalhe Por UC'!C730,'Infos Clientes'!B:B,0))</f>
        <v>BT</v>
      </c>
      <c r="G730" s="56" t="str">
        <f>INDEX('Infos Clientes'!$J:$J,MATCH('Detalhe Por UC'!C730,'Infos Clientes'!B:B,0))</f>
        <v>trifasico</v>
      </c>
      <c r="H730" s="47" t="str">
        <f t="shared" si="455"/>
        <v>GIROSSOL II</v>
      </c>
      <c r="I730" s="58">
        <f>IFERROR(VLOOKUP(C730,'Infos Clientes'!B:E,4,),"")</f>
        <v>371</v>
      </c>
      <c r="J730" s="151">
        <v>0.22596103298069697</v>
      </c>
      <c r="K730" s="79">
        <f>INDEX('Resumo Operacional'!$A$1:$P$151,MATCH("Desconto percentual Ucs",'Resumo Operacional'!$B$1:$B$151,0),MATCH('Detalhe Por UC'!$R730,'Resumo Operacional'!$A$1:$P$1,0))</f>
        <v>0.26495232343264008</v>
      </c>
      <c r="M730" s="56">
        <f>INDEX('Infos Clientes'!$N:$N,MATCH('Detalhe Por UC'!C730,'Infos Clientes'!B:B,0))</f>
        <v>0</v>
      </c>
      <c r="N730" s="56">
        <f t="shared" si="418"/>
        <v>0</v>
      </c>
      <c r="O730" s="56">
        <f t="shared" si="419"/>
        <v>12</v>
      </c>
      <c r="P730" s="56">
        <f t="shared" si="454"/>
        <v>0</v>
      </c>
      <c r="Q730" s="61">
        <f>IFERROR(IFERROR(INDEX('Infos Clientes'!$A$2:$V$9884,MATCH($C730,'Infos Clientes'!$B$2:$B$9884,0),MATCH(Q$8,'Infos Clientes'!$A$2:$V$2,0)),"")
+IF(OR(INDEX('Infos Clientes'!$A$2:$V$9884,MATCH($C730,'Infos Clientes'!$B$2:$B$9884,0),MATCH("Tempo de Fidelidade (meses)",'Infos Clientes'!$A$2:$V$2,0))=0,R730&gt;=MAX(R:R)),0,
ROUND((MAX(R:R)-R730)/(365/12),0)),"")</f>
        <v>0</v>
      </c>
      <c r="R730" s="111">
        <v>45870</v>
      </c>
      <c r="S730" s="152">
        <v>8.0699999999999994E-2</v>
      </c>
      <c r="T730" s="113">
        <f>IF($H730="GIROSSOL II",AP730/INDEX('Resumo Operacional'!$A$1:$P$1103,17,MATCH('Detalhe Por UC'!$R730,'Resumo Operacional'!$A$1:$P$1,0)),
IF($H730="GIROSSOL II e III",AP730/INDEX('Resumo Operacional'!$A$1:$P$1103,17,MATCH('Detalhe Por UC'!$R730,'Resumo Operacional'!$A$1:$P$1,0)),
""))</f>
        <v>0.17725752508361203</v>
      </c>
      <c r="U730" s="113" t="str">
        <f>IF($H730="GIROSSOL III",AP730/INDEX('Resumo Operacional'!$A$1:$P$1103,53,MATCH('Detalhe Por UC'!$R730,'Resumo Operacional'!$A$1:$P$1,0)),
IF($H730="GIROSSOL II e III",AP730/INDEX('Resumo Operacional'!$A$1:$P$1103,53,MATCH('Detalhe Por UC'!$R730,'Resumo Operacional'!$A$1:$P$1,0)),
""))</f>
        <v/>
      </c>
      <c r="X730">
        <v>1.1897005917159764</v>
      </c>
      <c r="Z730" s="18">
        <v>1.1897006944444446</v>
      </c>
      <c r="AB730" s="18">
        <v>676</v>
      </c>
      <c r="AD730" s="143">
        <v>576</v>
      </c>
      <c r="AF730" s="18">
        <v>1181</v>
      </c>
      <c r="AH730" s="49">
        <v>64.14</v>
      </c>
      <c r="AK730" s="153">
        <v>183.11</v>
      </c>
      <c r="AL730" s="43">
        <f t="shared" ref="AL730:AL793" si="456">AK730-AT730</f>
        <v>0</v>
      </c>
      <c r="AN730" s="71">
        <f t="shared" si="420"/>
        <v>643</v>
      </c>
      <c r="AO730" s="71">
        <f t="shared" si="421"/>
        <v>0</v>
      </c>
      <c r="AP730" s="71">
        <f t="shared" si="422"/>
        <v>1219</v>
      </c>
      <c r="AQ730" s="72">
        <f>IF(OR($H730="GIROSSOL II",$H730="GIROSSOL II e III"),INDEX('Resumo Operacional'!$A$1:$P$1103,MATCH("Energia Injetada prevista total Fatura da Usina (TUSD)",'Resumo Operacional'!$B$1:$B$1103,0),MATCH('Detalhe Por UC'!$R730,'Resumo Operacional'!$A$1:$P$1,0))*$S730,INDEX('Resumo Operacional'!$A$1:$P$1103,53,MATCH('Detalhe Por UC'!$R730,'Resumo Operacional'!$A$1:$P$1,0))*$S730)</f>
        <v>554.97389999999996</v>
      </c>
      <c r="AR730" s="71">
        <f t="shared" si="423"/>
        <v>664.02610000000004</v>
      </c>
      <c r="AS730" s="73">
        <f t="shared" si="424"/>
        <v>183.1099999999999</v>
      </c>
      <c r="AT730" s="74">
        <f t="shared" si="425"/>
        <v>183.1099999999999</v>
      </c>
      <c r="AU730" s="74">
        <f t="shared" si="426"/>
        <v>1.1897007971729128</v>
      </c>
      <c r="AV730" s="74">
        <f t="shared" si="427"/>
        <v>530.42382523579704</v>
      </c>
      <c r="AW730" s="74">
        <f t="shared" si="428"/>
        <v>0</v>
      </c>
      <c r="AX730" s="74">
        <f t="shared" si="429"/>
        <v>685.26760000000013</v>
      </c>
      <c r="AY730" s="74">
        <f t="shared" si="430"/>
        <v>530.41999999999996</v>
      </c>
      <c r="AZ730" s="117">
        <v>530.41999999999996</v>
      </c>
      <c r="BA730" s="49">
        <v>530.41999999999996</v>
      </c>
      <c r="BB730" s="49">
        <v>530.41999999999996</v>
      </c>
      <c r="BC730" s="73" t="str">
        <f t="shared" si="431"/>
        <v/>
      </c>
      <c r="BD730" s="73">
        <f t="shared" si="432"/>
        <v>868.37760000000003</v>
      </c>
      <c r="BE730" s="73">
        <f t="shared" si="433"/>
        <v>713.53382523579694</v>
      </c>
      <c r="BF730" s="77">
        <f t="shared" si="434"/>
        <v>154.84</v>
      </c>
      <c r="BG730" s="77">
        <f t="shared" si="435"/>
        <v>46.451999999999998</v>
      </c>
      <c r="BH730" s="77">
        <f t="shared" si="436"/>
        <v>685.26760000000002</v>
      </c>
      <c r="BI730" s="78">
        <f t="shared" si="437"/>
        <v>0.23</v>
      </c>
      <c r="BJ730" s="79">
        <f t="shared" si="438"/>
        <v>0.17830952802098995</v>
      </c>
      <c r="BK730" s="80">
        <f t="shared" si="439"/>
        <v>713.52999999999986</v>
      </c>
      <c r="BL730" s="80">
        <f t="shared" si="440"/>
        <v>154.84760000000017</v>
      </c>
      <c r="BM730" s="79">
        <f t="shared" si="441"/>
        <v>0.17831827997405755</v>
      </c>
      <c r="BN730" s="81">
        <f t="shared" si="442"/>
        <v>0.92086805555555551</v>
      </c>
      <c r="BO730" s="82">
        <f t="shared" si="443"/>
        <v>530.41999999999996</v>
      </c>
      <c r="BP730" s="81">
        <f t="shared" si="444"/>
        <v>0.92086805555555551</v>
      </c>
      <c r="BQ730" s="81">
        <f t="shared" si="445"/>
        <v>0.92086795282708733</v>
      </c>
      <c r="BR730" s="81">
        <f t="shared" si="446"/>
        <v>1.1897005917159764</v>
      </c>
      <c r="BS730" s="82">
        <f t="shared" si="447"/>
        <v>576</v>
      </c>
      <c r="BT730" s="82">
        <f t="shared" si="448"/>
        <v>685.26754082840239</v>
      </c>
      <c r="BU730" s="82">
        <f t="shared" si="449"/>
        <v>685.26760000000013</v>
      </c>
      <c r="BW730" s="82">
        <f>IFERROR(INDEX('Infos Clientes'!$T:$T,MATCH('Detalhe Por UC'!$C730,'Infos Clientes'!B:B,0)),"")</f>
        <v>1056.1666666666667</v>
      </c>
      <c r="BX730" s="83">
        <f t="shared" si="450"/>
        <v>0</v>
      </c>
      <c r="BY730" s="84">
        <f t="shared" si="451"/>
        <v>0.22596663459764751</v>
      </c>
      <c r="BZ730" s="85">
        <f>IF(_xlfn.MINIFS('Detalhe Por UC'!R:R,'Detalhe Por UC'!C:C,C730,'Detalhe Por UC'!AD:AD,"&gt;"&amp;0)=0,"",_xlfn.MINIFS('Detalhe Por UC'!R:R,'Detalhe Por UC'!C:C,C730,'Detalhe Por UC'!AD:AD,"&gt;"&amp;0))</f>
        <v>45627</v>
      </c>
      <c r="CA730" s="114">
        <f ca="1">IF(OR(S730&gt;0,AD730&gt;0),IFERROR(
SUMIFS(INDIRECT("'Infos Clientes'!$W"&amp;INDEX('Infos Clientes'!$C:$C,MATCH(C730,'Infos Clientes'!$H:$H,0))&amp;":$CZ"&amp;INDEX('Infos Clientes'!$C:$C,MATCH(C730,'Infos Clientes'!$H:$H,0))),'Infos Clientes'!$W$2:$CZ$2,"&gt;"&amp;$R730-365,'Infos Clientes'!$W$2:$CZ$2,"&lt;="&amp;$R730)/
COUNTIFS(INDIRECT("'Infos Clientes'!$W"&amp;INDEX('Infos Clientes'!$C:$C,MATCH(C730,'Infos Clientes'!$H:$H,0))&amp;":$CZ"&amp;INDEX('Infos Clientes'!$C:$C,MATCH(C730,'Infos Clientes'!$H:$H,0))),"&gt;="&amp;0,'Infos Clientes'!$W$2:$CZ$2,"&gt;"&amp;$R730-365,'Infos Clientes'!$W$2:$CZ$2,"&lt;="&amp;$R730),""),"")</f>
        <v>1022.75</v>
      </c>
      <c r="CB730" s="87">
        <f>VLOOKUP(C730,'Infos Clientes'!B:L,11,0)</f>
        <v>0</v>
      </c>
      <c r="CC730" s="88" t="str">
        <f t="shared" si="452"/>
        <v>A Unidade Consumidora 10/2605731-5 economizou R$154,84 na fatura referente à ago/2025  consumindo 576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0" s="115">
        <f t="shared" si="453"/>
        <v>-183.1099999999999</v>
      </c>
    </row>
    <row r="731" spans="1:84" ht="16.2" hidden="1" customHeight="1" x14ac:dyDescent="0.3">
      <c r="A731" s="105" t="str">
        <f>INDEX('Infos Clientes'!$D:$D,MATCH('Detalhe Por UC'!C731,'Infos Clientes'!B:B,0))</f>
        <v>IGREJA DO EVANGELHO QUADRANGULAR</v>
      </c>
      <c r="B731" s="106" t="str">
        <f>INDEX('Infos Clientes'!$F:$F,MATCH('Detalhe Por UC'!C731,'Infos Clientes'!B:B,0))</f>
        <v>62.955.505/0160-80</v>
      </c>
      <c r="C731" s="44" t="s">
        <v>61</v>
      </c>
      <c r="D731" t="s">
        <v>351</v>
      </c>
      <c r="E731" s="1" t="s">
        <v>352</v>
      </c>
      <c r="F731" s="56" t="str">
        <f>INDEX('Infos Clientes'!$I:$I,MATCH('Detalhe Por UC'!C731,'Infos Clientes'!B:B,0))</f>
        <v>BT</v>
      </c>
      <c r="G731" s="56" t="str">
        <f>INDEX('Infos Clientes'!$J:$J,MATCH('Detalhe Por UC'!C731,'Infos Clientes'!B:B,0))</f>
        <v>trifasico</v>
      </c>
      <c r="H731" s="47" t="str">
        <f t="shared" si="455"/>
        <v>GIROSSOL II</v>
      </c>
      <c r="I731" s="58">
        <f>IFERROR(VLOOKUP(C731,'Infos Clientes'!B:E,4,),"")</f>
        <v>357</v>
      </c>
      <c r="J731" s="151">
        <v>0.22596103298069697</v>
      </c>
      <c r="K731" s="79">
        <f>INDEX('Resumo Operacional'!$A$1:$P$151,MATCH("Desconto percentual Ucs",'Resumo Operacional'!$B$1:$B$151,0),MATCH('Detalhe Por UC'!$R731,'Resumo Operacional'!$A$1:$P$1,0))</f>
        <v>0.26495232343264008</v>
      </c>
      <c r="M731" s="56">
        <f>INDEX('Infos Clientes'!$N:$N,MATCH('Detalhe Por UC'!C731,'Infos Clientes'!B:B,0))</f>
        <v>0</v>
      </c>
      <c r="N731" s="56">
        <f t="shared" si="418"/>
        <v>0</v>
      </c>
      <c r="O731" s="56">
        <f t="shared" si="419"/>
        <v>11</v>
      </c>
      <c r="P731" s="56">
        <f t="shared" si="454"/>
        <v>0</v>
      </c>
      <c r="Q731" s="61">
        <f>IFERROR(IFERROR(INDEX('Infos Clientes'!$A$2:$V$9884,MATCH($C731,'Infos Clientes'!$B$2:$B$9884,0),MATCH(Q$8,'Infos Clientes'!$A$2:$V$2,0)),"")
+IF(OR(INDEX('Infos Clientes'!$A$2:$V$9884,MATCH($C731,'Infos Clientes'!$B$2:$B$9884,0),MATCH("Tempo de Fidelidade (meses)",'Infos Clientes'!$A$2:$V$2,0))=0,R731&gt;=MAX(R:R)),0,
ROUND((MAX(R:R)-R731)/(365/12),0)),"")</f>
        <v>0</v>
      </c>
      <c r="R731" s="111">
        <v>45870</v>
      </c>
      <c r="S731" s="152">
        <v>7.0699999999999999E-2</v>
      </c>
      <c r="T731" s="113">
        <f>IF($H731="GIROSSOL II",AP731/INDEX('Resumo Operacional'!$A$1:$P$1103,17,MATCH('Detalhe Por UC'!$R731,'Resumo Operacional'!$A$1:$P$1,0)),
IF($H731="GIROSSOL II e III",AP731/INDEX('Resumo Operacional'!$A$1:$P$1103,17,MATCH('Detalhe Por UC'!$R731,'Resumo Operacional'!$A$1:$P$1,0)),
""))</f>
        <v>0.15544568852697396</v>
      </c>
      <c r="U731" s="113" t="str">
        <f>IF($H731="GIROSSOL III",AP731/INDEX('Resumo Operacional'!$A$1:$P$1103,53,MATCH('Detalhe Por UC'!$R731,'Resumo Operacional'!$A$1:$P$1,0)),
IF($H731="GIROSSOL II e III",AP731/INDEX('Resumo Operacional'!$A$1:$P$1103,53,MATCH('Detalhe Por UC'!$R731,'Resumo Operacional'!$A$1:$P$1,0)),
""))</f>
        <v/>
      </c>
      <c r="X731">
        <v>1.1867937090432503</v>
      </c>
      <c r="Z731" s="18">
        <v>1.186777677224736</v>
      </c>
      <c r="AB731" s="18">
        <v>763</v>
      </c>
      <c r="AD731" s="143">
        <v>663</v>
      </c>
      <c r="AF731" s="18">
        <v>722</v>
      </c>
      <c r="AH731" s="49">
        <v>0</v>
      </c>
      <c r="AK731" s="153">
        <v>118.69</v>
      </c>
      <c r="AL731" s="43">
        <f t="shared" si="456"/>
        <v>0</v>
      </c>
      <c r="AN731" s="71">
        <f t="shared" si="420"/>
        <v>406</v>
      </c>
      <c r="AO731" s="71">
        <f t="shared" si="421"/>
        <v>0</v>
      </c>
      <c r="AP731" s="71">
        <f t="shared" si="422"/>
        <v>1069</v>
      </c>
      <c r="AQ731" s="72">
        <f>IF(OR($H731="GIROSSOL II",$H731="GIROSSOL II e III"),INDEX('Resumo Operacional'!$A$1:$P$1103,MATCH("Energia Injetada prevista total Fatura da Usina (TUSD)",'Resumo Operacional'!$B$1:$B$1103,0),MATCH('Detalhe Por UC'!$R731,'Resumo Operacional'!$A$1:$P$1,0))*$S731,INDEX('Resumo Operacional'!$A$1:$P$1103,53,MATCH('Detalhe Por UC'!$R731,'Resumo Operacional'!$A$1:$P$1,0))*$S731)</f>
        <v>486.20389999999998</v>
      </c>
      <c r="AR731" s="71">
        <f t="shared" si="423"/>
        <v>582.79610000000002</v>
      </c>
      <c r="AS731" s="73">
        <f t="shared" si="424"/>
        <v>118.68999999999994</v>
      </c>
      <c r="AT731" s="74">
        <f t="shared" si="425"/>
        <v>118.68999999999994</v>
      </c>
      <c r="AU731" s="74">
        <f t="shared" si="426"/>
        <v>1.1867616454062218</v>
      </c>
      <c r="AV731" s="74">
        <f t="shared" si="427"/>
        <v>609.03986696007951</v>
      </c>
      <c r="AW731" s="74">
        <f t="shared" si="428"/>
        <v>0</v>
      </c>
      <c r="AX731" s="74">
        <f t="shared" si="429"/>
        <v>786.83360000000005</v>
      </c>
      <c r="AY731" s="74">
        <f t="shared" si="430"/>
        <v>609.04</v>
      </c>
      <c r="AZ731" s="117">
        <v>609.04</v>
      </c>
      <c r="BA731" s="49">
        <v>609.04</v>
      </c>
      <c r="BB731" s="49">
        <v>609.04</v>
      </c>
      <c r="BC731" s="73" t="str">
        <f t="shared" si="431"/>
        <v/>
      </c>
      <c r="BD731" s="73">
        <f t="shared" si="432"/>
        <v>905.52359999999999</v>
      </c>
      <c r="BE731" s="73">
        <f t="shared" si="433"/>
        <v>727.72986696007945</v>
      </c>
      <c r="BF731" s="77">
        <f t="shared" si="434"/>
        <v>177.79</v>
      </c>
      <c r="BG731" s="77">
        <f t="shared" si="435"/>
        <v>53.336999999999996</v>
      </c>
      <c r="BH731" s="77">
        <f t="shared" si="436"/>
        <v>786.83360000000005</v>
      </c>
      <c r="BI731" s="78">
        <f t="shared" si="437"/>
        <v>0.23</v>
      </c>
      <c r="BJ731" s="79">
        <f t="shared" si="438"/>
        <v>0.19633944383117127</v>
      </c>
      <c r="BK731" s="80">
        <f t="shared" si="439"/>
        <v>727.7299999999999</v>
      </c>
      <c r="BL731" s="80">
        <f t="shared" si="440"/>
        <v>177.79360000000008</v>
      </c>
      <c r="BM731" s="79">
        <f t="shared" si="441"/>
        <v>0.19634341943158642</v>
      </c>
      <c r="BN731" s="81">
        <f t="shared" si="442"/>
        <v>0.91861236802413271</v>
      </c>
      <c r="BO731" s="82">
        <f t="shared" si="443"/>
        <v>609.04</v>
      </c>
      <c r="BP731" s="81">
        <f t="shared" si="444"/>
        <v>0.91861236802413271</v>
      </c>
      <c r="BQ731" s="81">
        <f t="shared" si="445"/>
        <v>0.91862839984264699</v>
      </c>
      <c r="BR731" s="81">
        <f t="shared" si="446"/>
        <v>1.1867937090432503</v>
      </c>
      <c r="BS731" s="82">
        <f t="shared" si="447"/>
        <v>663</v>
      </c>
      <c r="BT731" s="82">
        <f t="shared" si="448"/>
        <v>786.84422909567502</v>
      </c>
      <c r="BU731" s="82">
        <f t="shared" si="449"/>
        <v>786.83360000000005</v>
      </c>
      <c r="BW731" s="82">
        <f>IFERROR(INDEX('Infos Clientes'!$T:$T,MATCH('Detalhe Por UC'!$C731,'Infos Clientes'!B:B,0)),"")</f>
        <v>958.25</v>
      </c>
      <c r="BX731" s="83">
        <f t="shared" si="450"/>
        <v>0</v>
      </c>
      <c r="BY731" s="84">
        <f t="shared" si="451"/>
        <v>0.22595781150271549</v>
      </c>
      <c r="BZ731" s="85">
        <f>IF(_xlfn.MINIFS('Detalhe Por UC'!R:R,'Detalhe Por UC'!C:C,C731,'Detalhe Por UC'!AD:AD,"&gt;"&amp;0)=0,"",_xlfn.MINIFS('Detalhe Por UC'!R:R,'Detalhe Por UC'!C:C,C731,'Detalhe Por UC'!AD:AD,"&gt;"&amp;0))</f>
        <v>45627</v>
      </c>
      <c r="CA731" s="114">
        <f ca="1">IF(OR(S731&gt;0,AD731&gt;0),IFERROR(
SUMIFS(INDIRECT("'Infos Clientes'!$W"&amp;INDEX('Infos Clientes'!$C:$C,MATCH(C731,'Infos Clientes'!$H:$H,0))&amp;":$CZ"&amp;INDEX('Infos Clientes'!$C:$C,MATCH(C731,'Infos Clientes'!$H:$H,0))),'Infos Clientes'!$W$2:$CZ$2,"&gt;"&amp;$R731-365,'Infos Clientes'!$W$2:$CZ$2,"&lt;="&amp;$R731)/
COUNTIFS(INDIRECT("'Infos Clientes'!$W"&amp;INDEX('Infos Clientes'!$C:$C,MATCH(C731,'Infos Clientes'!$H:$H,0))&amp;":$CZ"&amp;INDEX('Infos Clientes'!$C:$C,MATCH(C731,'Infos Clientes'!$H:$H,0))),"&gt;="&amp;0,'Infos Clientes'!$W$2:$CZ$2,"&gt;"&amp;$R731-365,'Infos Clientes'!$W$2:$CZ$2,"&lt;="&amp;$R731),""),"")</f>
        <v>919.41666666666663</v>
      </c>
      <c r="CB731" s="87">
        <f>VLOOKUP(C731,'Infos Clientes'!B:L,11,0)</f>
        <v>0</v>
      </c>
      <c r="CC731" s="88" t="str">
        <f t="shared" si="452"/>
        <v>A Unidade Consumidora 10/18015-8 economizou R$177,79 na fatura referente à ago/2025  consumindo 663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1" s="115">
        <f t="shared" si="453"/>
        <v>-118.68999999999994</v>
      </c>
    </row>
    <row r="732" spans="1:84" ht="16.2" hidden="1" customHeight="1" x14ac:dyDescent="0.3">
      <c r="A732" s="105" t="str">
        <f>INDEX('Infos Clientes'!$D:$D,MATCH('Detalhe Por UC'!C732,'Infos Clientes'!B:B,0))</f>
        <v>IGREJA DO EVANGELHO QUADRANGULAR</v>
      </c>
      <c r="B732" s="106" t="str">
        <f>INDEX('Infos Clientes'!$F:$F,MATCH('Detalhe Por UC'!C732,'Infos Clientes'!B:B,0))</f>
        <v>62.955.505/4612-10</v>
      </c>
      <c r="C732" s="44" t="s">
        <v>57</v>
      </c>
      <c r="D732" t="s">
        <v>351</v>
      </c>
      <c r="E732" s="1" t="s">
        <v>352</v>
      </c>
      <c r="F732" s="56" t="str">
        <f>INDEX('Infos Clientes'!$I:$I,MATCH('Detalhe Por UC'!C732,'Infos Clientes'!B:B,0))</f>
        <v>BT</v>
      </c>
      <c r="G732" s="56" t="str">
        <f>INDEX('Infos Clientes'!$J:$J,MATCH('Detalhe Por UC'!C732,'Infos Clientes'!B:B,0))</f>
        <v>trifasico</v>
      </c>
      <c r="H732" s="47" t="str">
        <f t="shared" si="455"/>
        <v>GIROSSOL II</v>
      </c>
      <c r="I732" s="58">
        <f>IFERROR(VLOOKUP(C732,'Infos Clientes'!B:E,4,),"")</f>
        <v>306</v>
      </c>
      <c r="J732" s="151">
        <v>0.22596103298069697</v>
      </c>
      <c r="K732" s="79">
        <f>INDEX('Resumo Operacional'!$A$1:$P$151,MATCH("Desconto percentual Ucs",'Resumo Operacional'!$B$1:$B$151,0),MATCH('Detalhe Por UC'!$R732,'Resumo Operacional'!$A$1:$P$1,0))</f>
        <v>0.26495232343264008</v>
      </c>
      <c r="M732" s="56">
        <f>INDEX('Infos Clientes'!$N:$N,MATCH('Detalhe Por UC'!C732,'Infos Clientes'!B:B,0))</f>
        <v>0</v>
      </c>
      <c r="N732" s="56">
        <f t="shared" si="418"/>
        <v>0</v>
      </c>
      <c r="O732" s="56">
        <f t="shared" si="419"/>
        <v>12</v>
      </c>
      <c r="P732" s="56">
        <f t="shared" si="454"/>
        <v>0</v>
      </c>
      <c r="Q732" s="61">
        <f>IFERROR(IFERROR(INDEX('Infos Clientes'!$A$2:$V$9884,MATCH($C732,'Infos Clientes'!$B$2:$B$9884,0),MATCH(Q$8,'Infos Clientes'!$A$2:$V$2,0)),"")
+IF(OR(INDEX('Infos Clientes'!$A$2:$V$9884,MATCH($C732,'Infos Clientes'!$B$2:$B$9884,0),MATCH("Tempo de Fidelidade (meses)",'Infos Clientes'!$A$2:$V$2,0))=0,R732&gt;=MAX(R:R)),0,
ROUND((MAX(R:R)-R732)/(365/12),0)),"")</f>
        <v>0</v>
      </c>
      <c r="R732" s="111">
        <v>45870</v>
      </c>
      <c r="S732" s="152">
        <v>5.0700000000000002E-2</v>
      </c>
      <c r="T732" s="113">
        <f>IF($H732="GIROSSOL II",AP732/INDEX('Resumo Operacional'!$A$1:$P$1103,17,MATCH('Detalhe Por UC'!$R732,'Resumo Operacional'!$A$1:$P$1,0)),
IF($H732="GIROSSOL II e III",AP732/INDEX('Resumo Operacional'!$A$1:$P$1103,17,MATCH('Detalhe Por UC'!$R732,'Resumo Operacional'!$A$1:$P$1,0)),
""))</f>
        <v>6.0782317871164754E-2</v>
      </c>
      <c r="U732" s="113" t="str">
        <f>IF($H732="GIROSSOL III",AP732/INDEX('Resumo Operacional'!$A$1:$P$1103,53,MATCH('Detalhe Por UC'!$R732,'Resumo Operacional'!$A$1:$P$1,0)),
IF($H732="GIROSSOL II e III",AP732/INDEX('Resumo Operacional'!$A$1:$P$1103,53,MATCH('Detalhe Por UC'!$R732,'Resumo Operacional'!$A$1:$P$1,0)),
""))</f>
        <v/>
      </c>
      <c r="X732">
        <v>1.170007744733581</v>
      </c>
      <c r="Z732" s="18">
        <v>1.1700099681020733</v>
      </c>
      <c r="AB732" s="18">
        <v>538</v>
      </c>
      <c r="AD732" s="143">
        <v>418</v>
      </c>
      <c r="AF732" s="18"/>
      <c r="AH732" s="49">
        <v>68.73</v>
      </c>
      <c r="AK732" s="153">
        <v>209.13</v>
      </c>
      <c r="AL732" s="43">
        <f t="shared" si="456"/>
        <v>0</v>
      </c>
      <c r="AN732" s="71">
        <f t="shared" si="420"/>
        <v>0</v>
      </c>
      <c r="AO732" s="71">
        <f t="shared" si="421"/>
        <v>0</v>
      </c>
      <c r="AP732" s="71">
        <f t="shared" si="422"/>
        <v>418</v>
      </c>
      <c r="AQ732" s="72">
        <f>IF(OR($H732="GIROSSOL II",$H732="GIROSSOL II e III"),INDEX('Resumo Operacional'!$A$1:$P$1103,MATCH("Energia Injetada prevista total Fatura da Usina (TUSD)",'Resumo Operacional'!$B$1:$B$1103,0),MATCH('Detalhe Por UC'!$R732,'Resumo Operacional'!$A$1:$P$1,0))*$S732,INDEX('Resumo Operacional'!$A$1:$P$1103,53,MATCH('Detalhe Por UC'!$R732,'Resumo Operacional'!$A$1:$P$1,0))*$S732)</f>
        <v>348.66390000000001</v>
      </c>
      <c r="AR732" s="71">
        <f t="shared" si="423"/>
        <v>69.336099999999988</v>
      </c>
      <c r="AS732" s="73">
        <f t="shared" si="424"/>
        <v>209.13000000000005</v>
      </c>
      <c r="AT732" s="74">
        <f t="shared" si="425"/>
        <v>209.13000000000005</v>
      </c>
      <c r="AU732" s="74">
        <f t="shared" si="426"/>
        <v>1.1700121914705655</v>
      </c>
      <c r="AV732" s="74">
        <f t="shared" si="427"/>
        <v>378.55472237282288</v>
      </c>
      <c r="AW732" s="74">
        <f t="shared" si="428"/>
        <v>0</v>
      </c>
      <c r="AX732" s="74">
        <f t="shared" si="429"/>
        <v>489.06416666666661</v>
      </c>
      <c r="AY732" s="74">
        <f t="shared" si="430"/>
        <v>378.55</v>
      </c>
      <c r="AZ732" s="117">
        <v>378.55</v>
      </c>
      <c r="BA732" s="49">
        <v>378.55</v>
      </c>
      <c r="BB732" s="49">
        <v>378.55</v>
      </c>
      <c r="BC732" s="73" t="str">
        <f t="shared" si="431"/>
        <v/>
      </c>
      <c r="BD732" s="73">
        <f t="shared" si="432"/>
        <v>698.19416666666666</v>
      </c>
      <c r="BE732" s="73">
        <f t="shared" si="433"/>
        <v>587.68472237282299</v>
      </c>
      <c r="BF732" s="77">
        <f t="shared" si="434"/>
        <v>110.51</v>
      </c>
      <c r="BG732" s="77">
        <f t="shared" si="435"/>
        <v>33.152999999999999</v>
      </c>
      <c r="BH732" s="77">
        <f t="shared" si="436"/>
        <v>489.06416666666661</v>
      </c>
      <c r="BI732" s="78">
        <f t="shared" si="437"/>
        <v>0.23</v>
      </c>
      <c r="BJ732" s="79">
        <f t="shared" si="438"/>
        <v>0.15827975264760399</v>
      </c>
      <c r="BK732" s="80">
        <f t="shared" si="439"/>
        <v>587.68000000000006</v>
      </c>
      <c r="BL732" s="80">
        <f t="shared" si="440"/>
        <v>110.5141666666666</v>
      </c>
      <c r="BM732" s="79">
        <f t="shared" si="441"/>
        <v>0.15828572042399847</v>
      </c>
      <c r="BN732" s="81">
        <f t="shared" si="442"/>
        <v>0.90562200956937799</v>
      </c>
      <c r="BO732" s="82">
        <f t="shared" si="443"/>
        <v>378.55</v>
      </c>
      <c r="BP732" s="81">
        <f t="shared" si="444"/>
        <v>0.90562200956937799</v>
      </c>
      <c r="BQ732" s="81">
        <f t="shared" si="445"/>
        <v>0.90561978620088579</v>
      </c>
      <c r="BR732" s="81">
        <f t="shared" si="446"/>
        <v>1.170007744733581</v>
      </c>
      <c r="BS732" s="82">
        <f t="shared" si="447"/>
        <v>418</v>
      </c>
      <c r="BT732" s="82">
        <f t="shared" si="448"/>
        <v>489.06323729863686</v>
      </c>
      <c r="BU732" s="82">
        <f t="shared" si="449"/>
        <v>489.06416666666661</v>
      </c>
      <c r="BW732" s="82">
        <f>IFERROR(INDEX('Infos Clientes'!$T:$T,MATCH('Detalhe Por UC'!$C732,'Infos Clientes'!B:B,0)),"")</f>
        <v>511.41666666666669</v>
      </c>
      <c r="BX732" s="83">
        <f t="shared" si="450"/>
        <v>0</v>
      </c>
      <c r="BY732" s="84">
        <f t="shared" si="451"/>
        <v>0.22597111833041605</v>
      </c>
      <c r="BZ732" s="85">
        <f>IF(_xlfn.MINIFS('Detalhe Por UC'!R:R,'Detalhe Por UC'!C:C,C732,'Detalhe Por UC'!AD:AD,"&gt;"&amp;0)=0,"",_xlfn.MINIFS('Detalhe Por UC'!R:R,'Detalhe Por UC'!C:C,C732,'Detalhe Por UC'!AD:AD,"&gt;"&amp;0))</f>
        <v>45627</v>
      </c>
      <c r="CA732" s="114">
        <f ca="1">IF(OR(S732&gt;0,AD732&gt;0),IFERROR(
SUMIFS(INDIRECT("'Infos Clientes'!$W"&amp;INDEX('Infos Clientes'!$C:$C,MATCH(C732,'Infos Clientes'!$H:$H,0))&amp;":$CZ"&amp;INDEX('Infos Clientes'!$C:$C,MATCH(C732,'Infos Clientes'!$H:$H,0))),'Infos Clientes'!$W$2:$CZ$2,"&gt;"&amp;$R732-365,'Infos Clientes'!$W$2:$CZ$2,"&lt;="&amp;$R732)/
COUNTIFS(INDIRECT("'Infos Clientes'!$W"&amp;INDEX('Infos Clientes'!$C:$C,MATCH(C732,'Infos Clientes'!$H:$H,0))&amp;":$CZ"&amp;INDEX('Infos Clientes'!$C:$C,MATCH(C732,'Infos Clientes'!$H:$H,0))),"&gt;="&amp;0,'Infos Clientes'!$W$2:$CZ$2,"&gt;"&amp;$R732-365,'Infos Clientes'!$W$2:$CZ$2,"&lt;="&amp;$R732),""),"")</f>
        <v>756.08333333333337</v>
      </c>
      <c r="CB732" s="87">
        <f>VLOOKUP(C732,'Infos Clientes'!B:L,11,0)</f>
        <v>0</v>
      </c>
      <c r="CC732" s="88" t="str">
        <f t="shared" si="452"/>
        <v>A Unidade Consumidora 10/1695011-5 economizou R$110,51 na fatura referente à ago/2025  consumindo 418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2" s="115">
        <f t="shared" si="453"/>
        <v>-209.13000000000005</v>
      </c>
    </row>
    <row r="733" spans="1:84" ht="16.2" hidden="1" customHeight="1" x14ac:dyDescent="0.3">
      <c r="A733" s="105" t="str">
        <f>INDEX('Infos Clientes'!$D:$D,MATCH('Detalhe Por UC'!C733,'Infos Clientes'!B:B,0))</f>
        <v>IGREJA DO EVANGELHO QUADRANGULAR</v>
      </c>
      <c r="B733" s="106" t="str">
        <f>INDEX('Infos Clientes'!$F:$F,MATCH('Detalhe Por UC'!C733,'Infos Clientes'!B:B,0))</f>
        <v>62.955.505/2157-91</v>
      </c>
      <c r="C733" s="44" t="s">
        <v>64</v>
      </c>
      <c r="D733" t="s">
        <v>351</v>
      </c>
      <c r="E733" s="1" t="s">
        <v>352</v>
      </c>
      <c r="F733" s="56" t="str">
        <f>INDEX('Infos Clientes'!$I:$I,MATCH('Detalhe Por UC'!C733,'Infos Clientes'!B:B,0))</f>
        <v>BT</v>
      </c>
      <c r="G733" s="56" t="str">
        <f>INDEX('Infos Clientes'!$J:$J,MATCH('Detalhe Por UC'!C733,'Infos Clientes'!B:B,0))</f>
        <v>trifasico</v>
      </c>
      <c r="H733" s="47" t="str">
        <f t="shared" si="455"/>
        <v>GIROSSOL II</v>
      </c>
      <c r="I733" s="58">
        <f>IFERROR(VLOOKUP(C733,'Infos Clientes'!B:E,4,),"")</f>
        <v>349</v>
      </c>
      <c r="J733" s="151">
        <v>0.22596103298069697</v>
      </c>
      <c r="K733" s="79">
        <f>INDEX('Resumo Operacional'!$A$1:$P$151,MATCH("Desconto percentual Ucs",'Resumo Operacional'!$B$1:$B$151,0),MATCH('Detalhe Por UC'!$R733,'Resumo Operacional'!$A$1:$P$1,0))</f>
        <v>0.26495232343264008</v>
      </c>
      <c r="M733" s="56">
        <f>INDEX('Infos Clientes'!$N:$N,MATCH('Detalhe Por UC'!C733,'Infos Clientes'!B:B,0))</f>
        <v>0</v>
      </c>
      <c r="N733" s="56">
        <f t="shared" si="418"/>
        <v>0</v>
      </c>
      <c r="O733" s="56">
        <f t="shared" si="419"/>
        <v>12</v>
      </c>
      <c r="P733" s="56">
        <f t="shared" si="454"/>
        <v>0</v>
      </c>
      <c r="Q733" s="61">
        <f>IFERROR(IFERROR(INDEX('Infos Clientes'!$A$2:$V$9884,MATCH($C733,'Infos Clientes'!$B$2:$B$9884,0),MATCH(Q$8,'Infos Clientes'!$A$2:$V$2,0)),"")
+IF(OR(INDEX('Infos Clientes'!$A$2:$V$9884,MATCH($C733,'Infos Clientes'!$B$2:$B$9884,0),MATCH("Tempo de Fidelidade (meses)",'Infos Clientes'!$A$2:$V$2,0))=0,R733&gt;=MAX(R:R)),0,
ROUND((MAX(R:R)-R733)/(365/12),0)),"")</f>
        <v>0</v>
      </c>
      <c r="R733" s="111">
        <v>45870</v>
      </c>
      <c r="S733" s="152">
        <v>5.0700000000000002E-2</v>
      </c>
      <c r="T733" s="113">
        <f>IF($H733="GIROSSOL II",AP733/INDEX('Resumo Operacional'!$A$1:$P$1103,17,MATCH('Detalhe Por UC'!$R733,'Resumo Operacional'!$A$1:$P$1,0)),
IF($H733="GIROSSOL II e III",AP733/INDEX('Resumo Operacional'!$A$1:$P$1103,17,MATCH('Detalhe Por UC'!$R733,'Resumo Operacional'!$A$1:$P$1,0)),
""))</f>
        <v>0.11138577868256508</v>
      </c>
      <c r="U733" s="113" t="str">
        <f>IF($H733="GIROSSOL III",AP733/INDEX('Resumo Operacional'!$A$1:$P$1103,53,MATCH('Detalhe Por UC'!$R733,'Resumo Operacional'!$A$1:$P$1,0)),
IF($H733="GIROSSOL II e III",AP733/INDEX('Resumo Operacional'!$A$1:$P$1103,53,MATCH('Detalhe Por UC'!$R733,'Resumo Operacional'!$A$1:$P$1,0)),
""))</f>
        <v/>
      </c>
      <c r="X733">
        <v>1.1900964125560538</v>
      </c>
      <c r="Z733" s="18">
        <v>1.1900953757225434</v>
      </c>
      <c r="AB733" s="18">
        <v>446</v>
      </c>
      <c r="AD733" s="143">
        <v>346</v>
      </c>
      <c r="AF733" s="18">
        <v>768</v>
      </c>
      <c r="AH733" s="49">
        <v>66</v>
      </c>
      <c r="AK733" s="153">
        <v>185.01</v>
      </c>
      <c r="AL733" s="43">
        <f t="shared" si="456"/>
        <v>0</v>
      </c>
      <c r="AN733" s="71">
        <f t="shared" si="420"/>
        <v>420</v>
      </c>
      <c r="AO733" s="71">
        <f t="shared" si="421"/>
        <v>0</v>
      </c>
      <c r="AP733" s="71">
        <f t="shared" si="422"/>
        <v>766</v>
      </c>
      <c r="AQ733" s="72">
        <f>IF(OR($H733="GIROSSOL II",$H733="GIROSSOL II e III"),INDEX('Resumo Operacional'!$A$1:$P$1103,MATCH("Energia Injetada prevista total Fatura da Usina (TUSD)",'Resumo Operacional'!$B$1:$B$1103,0),MATCH('Detalhe Por UC'!$R733,'Resumo Operacional'!$A$1:$P$1,0))*$S733,INDEX('Resumo Operacional'!$A$1:$P$1103,53,MATCH('Detalhe Por UC'!$R733,'Resumo Operacional'!$A$1:$P$1,0))*$S733)</f>
        <v>348.66390000000001</v>
      </c>
      <c r="AR733" s="71">
        <f t="shared" si="423"/>
        <v>417.33609999999999</v>
      </c>
      <c r="AS733" s="73">
        <f t="shared" si="424"/>
        <v>185.01</v>
      </c>
      <c r="AT733" s="74">
        <f t="shared" si="425"/>
        <v>185.01</v>
      </c>
      <c r="AU733" s="74">
        <f t="shared" si="426"/>
        <v>1.190094338889033</v>
      </c>
      <c r="AV733" s="74">
        <f t="shared" si="427"/>
        <v>318.72834756643948</v>
      </c>
      <c r="AW733" s="74">
        <f t="shared" si="428"/>
        <v>0</v>
      </c>
      <c r="AX733" s="74">
        <f t="shared" si="429"/>
        <v>411.77300000000002</v>
      </c>
      <c r="AY733" s="74">
        <f t="shared" si="430"/>
        <v>318.73</v>
      </c>
      <c r="AZ733" s="117">
        <v>318.73</v>
      </c>
      <c r="BA733" s="49">
        <v>318.73</v>
      </c>
      <c r="BB733" s="49">
        <v>318.73</v>
      </c>
      <c r="BC733" s="73" t="str">
        <f t="shared" si="431"/>
        <v/>
      </c>
      <c r="BD733" s="73">
        <f t="shared" si="432"/>
        <v>596.78300000000002</v>
      </c>
      <c r="BE733" s="73">
        <f t="shared" si="433"/>
        <v>503.73834756643947</v>
      </c>
      <c r="BF733" s="77">
        <f t="shared" si="434"/>
        <v>93.04</v>
      </c>
      <c r="BG733" s="77">
        <f t="shared" si="435"/>
        <v>27.912000000000003</v>
      </c>
      <c r="BH733" s="77">
        <f t="shared" si="436"/>
        <v>411.77300000000002</v>
      </c>
      <c r="BI733" s="78">
        <f t="shared" si="437"/>
        <v>0.23</v>
      </c>
      <c r="BJ733" s="79">
        <f t="shared" si="438"/>
        <v>0.15590256424864649</v>
      </c>
      <c r="BK733" s="80">
        <f t="shared" si="439"/>
        <v>503.74</v>
      </c>
      <c r="BL733" s="80">
        <f t="shared" si="440"/>
        <v>93.043000000000006</v>
      </c>
      <c r="BM733" s="79">
        <f t="shared" si="441"/>
        <v>0.155907591201492</v>
      </c>
      <c r="BN733" s="81">
        <f t="shared" si="442"/>
        <v>0.92118497109826591</v>
      </c>
      <c r="BO733" s="82">
        <f t="shared" si="443"/>
        <v>318.73</v>
      </c>
      <c r="BP733" s="81">
        <f t="shared" si="444"/>
        <v>0.92118497109826591</v>
      </c>
      <c r="BQ733" s="81">
        <f t="shared" si="445"/>
        <v>0.9211860079317763</v>
      </c>
      <c r="BR733" s="81">
        <f t="shared" si="446"/>
        <v>1.1900964125560538</v>
      </c>
      <c r="BS733" s="82">
        <f t="shared" si="447"/>
        <v>346</v>
      </c>
      <c r="BT733" s="82">
        <f t="shared" si="448"/>
        <v>411.77335874439461</v>
      </c>
      <c r="BU733" s="82">
        <f t="shared" si="449"/>
        <v>411.77300000000002</v>
      </c>
      <c r="BW733" s="82">
        <f>IFERROR(INDEX('Infos Clientes'!$T:$T,MATCH('Detalhe Por UC'!$C733,'Infos Clientes'!B:B,0)),"")</f>
        <v>802.5</v>
      </c>
      <c r="BX733" s="83">
        <f t="shared" si="450"/>
        <v>0</v>
      </c>
      <c r="BY733" s="84">
        <f t="shared" si="451"/>
        <v>0.2259568231507561</v>
      </c>
      <c r="BZ733" s="85">
        <f>IF(_xlfn.MINIFS('Detalhe Por UC'!R:R,'Detalhe Por UC'!C:C,C733,'Detalhe Por UC'!AD:AD,"&gt;"&amp;0)=0,"",_xlfn.MINIFS('Detalhe Por UC'!R:R,'Detalhe Por UC'!C:C,C733,'Detalhe Por UC'!AD:AD,"&gt;"&amp;0))</f>
        <v>45627</v>
      </c>
      <c r="CA733" s="114">
        <f ca="1">IF(OR(S733&gt;0,AD733&gt;0),IFERROR(
SUMIFS(INDIRECT("'Infos Clientes'!$W"&amp;INDEX('Infos Clientes'!$C:$C,MATCH(C733,'Infos Clientes'!$H:$H,0))&amp;":$CZ"&amp;INDEX('Infos Clientes'!$C:$C,MATCH(C733,'Infos Clientes'!$H:$H,0))),'Infos Clientes'!$W$2:$CZ$2,"&gt;"&amp;$R733-365,'Infos Clientes'!$W$2:$CZ$2,"&lt;="&amp;$R733)/
COUNTIFS(INDIRECT("'Infos Clientes'!$W"&amp;INDEX('Infos Clientes'!$C:$C,MATCH(C733,'Infos Clientes'!$H:$H,0))&amp;":$CZ"&amp;INDEX('Infos Clientes'!$C:$C,MATCH(C733,'Infos Clientes'!$H:$H,0))),"&gt;="&amp;0,'Infos Clientes'!$W$2:$CZ$2,"&gt;"&amp;$R733-365,'Infos Clientes'!$W$2:$CZ$2,"&lt;="&amp;$R733),""),"")</f>
        <v>730.5</v>
      </c>
      <c r="CB733" s="87">
        <f>VLOOKUP(C733,'Infos Clientes'!B:L,11,0)</f>
        <v>0</v>
      </c>
      <c r="CC733" s="88" t="str">
        <f t="shared" si="452"/>
        <v>A Unidade Consumidora 10/191945-5 economizou R$93,04 na fatura referente à ago/2025  consumindo 346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3" s="115">
        <f t="shared" si="453"/>
        <v>-185.01</v>
      </c>
    </row>
    <row r="734" spans="1:84" ht="16.2" hidden="1" customHeight="1" x14ac:dyDescent="0.3">
      <c r="A734" s="105" t="str">
        <f>INDEX('Infos Clientes'!$D:$D,MATCH('Detalhe Por UC'!C734,'Infos Clientes'!B:B,0))</f>
        <v>IGREJA DO EVANGELHO QUADRANGULAR</v>
      </c>
      <c r="B734" s="106" t="str">
        <f>INDEX('Infos Clientes'!$F:$F,MATCH('Detalhe Por UC'!C734,'Infos Clientes'!B:B,0))</f>
        <v>62.955.505/0164-03</v>
      </c>
      <c r="C734" s="44" t="s">
        <v>70</v>
      </c>
      <c r="D734" t="s">
        <v>351</v>
      </c>
      <c r="E734" s="1" t="s">
        <v>352</v>
      </c>
      <c r="F734" s="56" t="str">
        <f>INDEX('Infos Clientes'!$I:$I,MATCH('Detalhe Por UC'!C734,'Infos Clientes'!B:B,0))</f>
        <v>BT</v>
      </c>
      <c r="G734" s="56" t="str">
        <f>INDEX('Infos Clientes'!$J:$J,MATCH('Detalhe Por UC'!C734,'Infos Clientes'!B:B,0))</f>
        <v>trifasico</v>
      </c>
      <c r="H734" s="47" t="str">
        <f t="shared" si="455"/>
        <v>GIROSSOL II</v>
      </c>
      <c r="I734" s="58">
        <f>IFERROR(VLOOKUP(C734,'Infos Clientes'!B:E,4,),"")</f>
        <v>371</v>
      </c>
      <c r="J734" s="151">
        <v>0.22596103298069697</v>
      </c>
      <c r="K734" s="79">
        <f>INDEX('Resumo Operacional'!$A$1:$P$151,MATCH("Desconto percentual Ucs",'Resumo Operacional'!$B$1:$B$151,0),MATCH('Detalhe Por UC'!$R734,'Resumo Operacional'!$A$1:$P$1,0))</f>
        <v>0.26495232343264008</v>
      </c>
      <c r="M734" s="56">
        <f>INDEX('Infos Clientes'!$N:$N,MATCH('Detalhe Por UC'!C734,'Infos Clientes'!B:B,0))</f>
        <v>0</v>
      </c>
      <c r="N734" s="56">
        <f t="shared" si="418"/>
        <v>0</v>
      </c>
      <c r="O734" s="56">
        <f t="shared" si="419"/>
        <v>12</v>
      </c>
      <c r="P734" s="56">
        <f t="shared" si="454"/>
        <v>0</v>
      </c>
      <c r="Q734" s="61">
        <f>IFERROR(IFERROR(INDEX('Infos Clientes'!$A$2:$V$9884,MATCH($C734,'Infos Clientes'!$B$2:$B$9884,0),MATCH(Q$8,'Infos Clientes'!$A$2:$V$2,0)),"")
+IF(OR(INDEX('Infos Clientes'!$A$2:$V$9884,MATCH($C734,'Infos Clientes'!$B$2:$B$9884,0),MATCH("Tempo de Fidelidade (meses)",'Infos Clientes'!$A$2:$V$2,0))=0,R734&gt;=MAX(R:R)),0,
ROUND((MAX(R:R)-R734)/(365/12),0)),"")</f>
        <v>0</v>
      </c>
      <c r="R734" s="111">
        <v>45870</v>
      </c>
      <c r="S734" s="152">
        <v>5.0700000000000002E-2</v>
      </c>
      <c r="T734" s="113">
        <f>IF($H734="GIROSSOL II",AP734/INDEX('Resumo Operacional'!$A$1:$P$1103,17,MATCH('Detalhe Por UC'!$R734,'Resumo Operacional'!$A$1:$P$1,0)),
IF($H734="GIROSSOL II e III",AP734/INDEX('Resumo Operacional'!$A$1:$P$1103,17,MATCH('Detalhe Por UC'!$R734,'Resumo Operacional'!$A$1:$P$1,0)),
""))</f>
        <v>0.11138577868256508</v>
      </c>
      <c r="U734" s="113" t="str">
        <f>IF($H734="GIROSSOL III",AP734/INDEX('Resumo Operacional'!$A$1:$P$1103,53,MATCH('Detalhe Por UC'!$R734,'Resumo Operacional'!$A$1:$P$1,0)),
IF($H734="GIROSSOL II e III",AP734/INDEX('Resumo Operacional'!$A$1:$P$1103,53,MATCH('Detalhe Por UC'!$R734,'Resumo Operacional'!$A$1:$P$1,0)),
""))</f>
        <v/>
      </c>
      <c r="X734">
        <v>1.1803961538461538</v>
      </c>
      <c r="Z734" s="18">
        <v>1.1803952380952383</v>
      </c>
      <c r="AB734" s="18">
        <v>520</v>
      </c>
      <c r="AD734" s="143">
        <v>420</v>
      </c>
      <c r="AF734" s="18">
        <v>705</v>
      </c>
      <c r="AH734" s="49">
        <v>131.06</v>
      </c>
      <c r="AK734" s="153">
        <v>249.1</v>
      </c>
      <c r="AL734" s="43">
        <f t="shared" si="456"/>
        <v>0</v>
      </c>
      <c r="AN734" s="71">
        <f t="shared" si="420"/>
        <v>346</v>
      </c>
      <c r="AO734" s="71">
        <f t="shared" si="421"/>
        <v>0</v>
      </c>
      <c r="AP734" s="71">
        <f t="shared" si="422"/>
        <v>766</v>
      </c>
      <c r="AQ734" s="72">
        <f>IF(OR($H734="GIROSSOL II",$H734="GIROSSOL II e III"),INDEX('Resumo Operacional'!$A$1:$P$1103,MATCH("Energia Injetada prevista total Fatura da Usina (TUSD)",'Resumo Operacional'!$B$1:$B$1103,0),MATCH('Detalhe Por UC'!$R734,'Resumo Operacional'!$A$1:$P$1,0))*$S734,INDEX('Resumo Operacional'!$A$1:$P$1103,53,MATCH('Detalhe Por UC'!$R734,'Resumo Operacional'!$A$1:$P$1,0))*$S734)</f>
        <v>348.66390000000001</v>
      </c>
      <c r="AR734" s="71">
        <f t="shared" si="423"/>
        <v>417.33609999999999</v>
      </c>
      <c r="AS734" s="73">
        <f t="shared" si="424"/>
        <v>249.09999999999997</v>
      </c>
      <c r="AT734" s="74">
        <f t="shared" si="425"/>
        <v>249.09999999999997</v>
      </c>
      <c r="AU734" s="74">
        <f t="shared" si="426"/>
        <v>1.1803943223443227</v>
      </c>
      <c r="AV734" s="74">
        <f t="shared" si="427"/>
        <v>383.74220252329184</v>
      </c>
      <c r="AW734" s="74">
        <f t="shared" si="428"/>
        <v>0</v>
      </c>
      <c r="AX734" s="74">
        <f t="shared" si="429"/>
        <v>495.76600000000008</v>
      </c>
      <c r="AY734" s="74">
        <f t="shared" si="430"/>
        <v>383.74</v>
      </c>
      <c r="AZ734" s="117">
        <v>383.74</v>
      </c>
      <c r="BA734" s="49">
        <v>383.74</v>
      </c>
      <c r="BB734" s="49">
        <v>383.74</v>
      </c>
      <c r="BC734" s="73" t="str">
        <f t="shared" si="431"/>
        <v/>
      </c>
      <c r="BD734" s="73">
        <f t="shared" si="432"/>
        <v>744.86599999999999</v>
      </c>
      <c r="BE734" s="73">
        <f t="shared" si="433"/>
        <v>632.8422025232918</v>
      </c>
      <c r="BF734" s="77">
        <f t="shared" si="434"/>
        <v>112.02</v>
      </c>
      <c r="BG734" s="77">
        <f t="shared" si="435"/>
        <v>33.605999999999995</v>
      </c>
      <c r="BH734" s="77">
        <f t="shared" si="436"/>
        <v>495.76600000000008</v>
      </c>
      <c r="BI734" s="78">
        <f t="shared" si="437"/>
        <v>0.23</v>
      </c>
      <c r="BJ734" s="79">
        <f t="shared" si="438"/>
        <v>0.1503894660247615</v>
      </c>
      <c r="BK734" s="80">
        <f t="shared" si="439"/>
        <v>632.83999999999992</v>
      </c>
      <c r="BL734" s="80">
        <f t="shared" si="440"/>
        <v>112.02600000000007</v>
      </c>
      <c r="BM734" s="79">
        <f t="shared" si="441"/>
        <v>0.15039752116488075</v>
      </c>
      <c r="BN734" s="81">
        <f t="shared" si="442"/>
        <v>0.91366666666666674</v>
      </c>
      <c r="BO734" s="82">
        <f t="shared" si="443"/>
        <v>383.74</v>
      </c>
      <c r="BP734" s="81">
        <f t="shared" si="444"/>
        <v>0.91366666666666674</v>
      </c>
      <c r="BQ734" s="81">
        <f t="shared" si="445"/>
        <v>0.91366758241758228</v>
      </c>
      <c r="BR734" s="81">
        <f t="shared" si="446"/>
        <v>1.1803961538461538</v>
      </c>
      <c r="BS734" s="82">
        <f t="shared" si="447"/>
        <v>420</v>
      </c>
      <c r="BT734" s="82">
        <f t="shared" si="448"/>
        <v>495.7663846153846</v>
      </c>
      <c r="BU734" s="82">
        <f t="shared" si="449"/>
        <v>495.76600000000008</v>
      </c>
      <c r="BW734" s="82">
        <f>IFERROR(INDEX('Infos Clientes'!$T:$T,MATCH('Detalhe Por UC'!$C734,'Infos Clientes'!B:B,0)),"")</f>
        <v>796.66666666666663</v>
      </c>
      <c r="BX734" s="83">
        <f t="shared" si="450"/>
        <v>0</v>
      </c>
      <c r="BY734" s="84">
        <f t="shared" si="451"/>
        <v>0.22596530034385001</v>
      </c>
      <c r="BZ734" s="85">
        <f>IF(_xlfn.MINIFS('Detalhe Por UC'!R:R,'Detalhe Por UC'!C:C,C734,'Detalhe Por UC'!AD:AD,"&gt;"&amp;0)=0,"",_xlfn.MINIFS('Detalhe Por UC'!R:R,'Detalhe Por UC'!C:C,C734,'Detalhe Por UC'!AD:AD,"&gt;"&amp;0))</f>
        <v>45627</v>
      </c>
      <c r="CA734" s="114">
        <f ca="1">IF(OR(S734&gt;0,AD734&gt;0),IFERROR(
SUMIFS(INDIRECT("'Infos Clientes'!$W"&amp;INDEX('Infos Clientes'!$C:$C,MATCH(C734,'Infos Clientes'!$H:$H,0))&amp;":$CZ"&amp;INDEX('Infos Clientes'!$C:$C,MATCH(C734,'Infos Clientes'!$H:$H,0))),'Infos Clientes'!$W$2:$CZ$2,"&gt;"&amp;$R734-365,'Infos Clientes'!$W$2:$CZ$2,"&lt;="&amp;$R734)/
COUNTIFS(INDIRECT("'Infos Clientes'!$W"&amp;INDEX('Infos Clientes'!$C:$C,MATCH(C734,'Infos Clientes'!$H:$H,0))&amp;":$CZ"&amp;INDEX('Infos Clientes'!$C:$C,MATCH(C734,'Infos Clientes'!$H:$H,0))),"&gt;="&amp;0,'Infos Clientes'!$W$2:$CZ$2,"&gt;"&amp;$R734-365,'Infos Clientes'!$W$2:$CZ$2,"&lt;="&amp;$R734),""),"")</f>
        <v>760</v>
      </c>
      <c r="CB734" s="87">
        <f>VLOOKUP(C734,'Infos Clientes'!B:L,11,0)</f>
        <v>0</v>
      </c>
      <c r="CC734" s="88" t="str">
        <f t="shared" si="452"/>
        <v>A Unidade Consumidora 10/202838-9 economizou R$112,02 na fatura referente à ago/2025  consumindo 420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4" s="115">
        <f t="shared" si="453"/>
        <v>-249.09999999999997</v>
      </c>
    </row>
    <row r="735" spans="1:84" ht="16.2" hidden="1" customHeight="1" x14ac:dyDescent="0.3">
      <c r="A735" s="105" t="str">
        <f>INDEX('Infos Clientes'!$D:$D,MATCH('Detalhe Por UC'!C735,'Infos Clientes'!B:B,0))</f>
        <v>IGREJA DO EVANGELHO QUADRANGULAR</v>
      </c>
      <c r="B735" s="106" t="str">
        <f>INDEX('Infos Clientes'!$F:$F,MATCH('Detalhe Por UC'!C735,'Infos Clientes'!B:B,0))</f>
        <v>62.955.505/3793-95</v>
      </c>
      <c r="C735" s="44" t="s">
        <v>84</v>
      </c>
      <c r="D735" t="s">
        <v>351</v>
      </c>
      <c r="E735" s="1" t="s">
        <v>352</v>
      </c>
      <c r="F735" s="56" t="str">
        <f>INDEX('Infos Clientes'!$I:$I,MATCH('Detalhe Por UC'!C735,'Infos Clientes'!B:B,0))</f>
        <v>BT</v>
      </c>
      <c r="G735" s="56" t="str">
        <f>INDEX('Infos Clientes'!$J:$J,MATCH('Detalhe Por UC'!C735,'Infos Clientes'!B:B,0))</f>
        <v>trifasico</v>
      </c>
      <c r="H735" s="47" t="str">
        <f t="shared" si="455"/>
        <v>GIROSSOL II</v>
      </c>
      <c r="I735" s="58">
        <f>IFERROR(VLOOKUP(C735,'Infos Clientes'!B:E,4,),"")</f>
        <v>302</v>
      </c>
      <c r="J735" s="151">
        <v>0.22596103298069697</v>
      </c>
      <c r="K735" s="79">
        <f>INDEX('Resumo Operacional'!$A$1:$P$151,MATCH("Desconto percentual Ucs",'Resumo Operacional'!$B$1:$B$151,0),MATCH('Detalhe Por UC'!$R735,'Resumo Operacional'!$A$1:$P$1,0))</f>
        <v>0.26495232343264008</v>
      </c>
      <c r="M735" s="56">
        <f>INDEX('Infos Clientes'!$N:$N,MATCH('Detalhe Por UC'!C735,'Infos Clientes'!B:B,0))</f>
        <v>0</v>
      </c>
      <c r="N735" s="56">
        <f t="shared" si="418"/>
        <v>0</v>
      </c>
      <c r="O735" s="56">
        <f t="shared" si="419"/>
        <v>12</v>
      </c>
      <c r="P735" s="56">
        <f t="shared" si="454"/>
        <v>0</v>
      </c>
      <c r="Q735" s="61">
        <f>IFERROR(IFERROR(INDEX('Infos Clientes'!$A$2:$V$9884,MATCH($C735,'Infos Clientes'!$B$2:$B$9884,0),MATCH(Q$8,'Infos Clientes'!$A$2:$V$2,0)),"")
+IF(OR(INDEX('Infos Clientes'!$A$2:$V$9884,MATCH($C735,'Infos Clientes'!$B$2:$B$9884,0),MATCH("Tempo de Fidelidade (meses)",'Infos Clientes'!$A$2:$V$2,0))=0,R735&gt;=MAX(R:R)),0,
ROUND((MAX(R:R)-R735)/(365/12),0)),"")</f>
        <v>0</v>
      </c>
      <c r="R735" s="111">
        <v>45870</v>
      </c>
      <c r="S735" s="152">
        <v>5.0700000000000002E-2</v>
      </c>
      <c r="T735" s="113">
        <f>IF($H735="GIROSSOL II",AP735/INDEX('Resumo Operacional'!$A$1:$P$1103,17,MATCH('Detalhe Por UC'!$R735,'Resumo Operacional'!$A$1:$P$1,0)),
IF($H735="GIROSSOL II e III",AP735/INDEX('Resumo Operacional'!$A$1:$P$1103,17,MATCH('Detalhe Por UC'!$R735,'Resumo Operacional'!$A$1:$P$1,0)),
""))</f>
        <v>6.0782317871164754E-2</v>
      </c>
      <c r="U735" s="113" t="str">
        <f>IF($H735="GIROSSOL III",AP735/INDEX('Resumo Operacional'!$A$1:$P$1103,53,MATCH('Detalhe Por UC'!$R735,'Resumo Operacional'!$A$1:$P$1,0)),
IF($H735="GIROSSOL II e III",AP735/INDEX('Resumo Operacional'!$A$1:$P$1103,53,MATCH('Detalhe Por UC'!$R735,'Resumo Operacional'!$A$1:$P$1,0)),
""))</f>
        <v/>
      </c>
      <c r="X735">
        <v>1.1619798961603478</v>
      </c>
      <c r="Z735" s="18">
        <v>1.1619357089894014</v>
      </c>
      <c r="AB735" s="18">
        <v>328</v>
      </c>
      <c r="AD735" s="143">
        <v>227</v>
      </c>
      <c r="AF735" s="18">
        <v>1703</v>
      </c>
      <c r="AH735" s="49">
        <v>6.22</v>
      </c>
      <c r="AK735" s="153">
        <v>123.59</v>
      </c>
      <c r="AL735" s="43">
        <f t="shared" si="456"/>
        <v>0</v>
      </c>
      <c r="AN735" s="71">
        <f t="shared" si="420"/>
        <v>191</v>
      </c>
      <c r="AO735" s="71">
        <f t="shared" si="421"/>
        <v>0</v>
      </c>
      <c r="AP735" s="71">
        <f t="shared" si="422"/>
        <v>418</v>
      </c>
      <c r="AQ735" s="72">
        <f>IF(OR($H735="GIROSSOL II",$H735="GIROSSOL II e III"),INDEX('Resumo Operacional'!$A$1:$P$1103,MATCH("Energia Injetada prevista total Fatura da Usina (TUSD)",'Resumo Operacional'!$B$1:$B$1103,0),MATCH('Detalhe Por UC'!$R735,'Resumo Operacional'!$A$1:$P$1,0))*$S735,INDEX('Resumo Operacional'!$A$1:$P$1103,53,MATCH('Detalhe Por UC'!$R735,'Resumo Operacional'!$A$1:$P$1,0))*$S735)</f>
        <v>348.66390000000001</v>
      </c>
      <c r="AR735" s="71">
        <f t="shared" si="423"/>
        <v>69.336099999999988</v>
      </c>
      <c r="AS735" s="73">
        <f t="shared" si="424"/>
        <v>123.59</v>
      </c>
      <c r="AT735" s="74">
        <f t="shared" si="425"/>
        <v>123.59</v>
      </c>
      <c r="AU735" s="74">
        <f t="shared" si="426"/>
        <v>1.1618915218184549</v>
      </c>
      <c r="AV735" s="74">
        <f t="shared" si="427"/>
        <v>204.16005811588249</v>
      </c>
      <c r="AW735" s="74">
        <f t="shared" si="428"/>
        <v>0</v>
      </c>
      <c r="AX735" s="74">
        <f t="shared" si="429"/>
        <v>263.75940594059409</v>
      </c>
      <c r="AY735" s="74">
        <f t="shared" si="430"/>
        <v>204.16</v>
      </c>
      <c r="AZ735" s="117">
        <v>204.16</v>
      </c>
      <c r="BA735" s="49">
        <v>204.16</v>
      </c>
      <c r="BB735" s="49">
        <v>204.16</v>
      </c>
      <c r="BC735" s="73" t="str">
        <f t="shared" si="431"/>
        <v/>
      </c>
      <c r="BD735" s="73">
        <f t="shared" si="432"/>
        <v>387.34940594059412</v>
      </c>
      <c r="BE735" s="73">
        <f t="shared" si="433"/>
        <v>327.7500581158825</v>
      </c>
      <c r="BF735" s="77">
        <f t="shared" si="434"/>
        <v>59.6</v>
      </c>
      <c r="BG735" s="77">
        <f t="shared" si="435"/>
        <v>17.88</v>
      </c>
      <c r="BH735" s="77">
        <f t="shared" si="436"/>
        <v>263.75940594059409</v>
      </c>
      <c r="BI735" s="78">
        <f t="shared" si="437"/>
        <v>0.23</v>
      </c>
      <c r="BJ735" s="79">
        <f t="shared" si="438"/>
        <v>0.15386624862706144</v>
      </c>
      <c r="BK735" s="80">
        <f t="shared" si="439"/>
        <v>327.75</v>
      </c>
      <c r="BL735" s="80">
        <f t="shared" si="440"/>
        <v>59.599405940594124</v>
      </c>
      <c r="BM735" s="79">
        <f t="shared" si="441"/>
        <v>0.15386471497450699</v>
      </c>
      <c r="BN735" s="81">
        <f t="shared" si="442"/>
        <v>0.89938325991189427</v>
      </c>
      <c r="BO735" s="82">
        <f t="shared" si="443"/>
        <v>204.16</v>
      </c>
      <c r="BP735" s="81">
        <f t="shared" si="444"/>
        <v>0.89938325991189427</v>
      </c>
      <c r="BQ735" s="81">
        <f t="shared" si="445"/>
        <v>0.89942744708284073</v>
      </c>
      <c r="BR735" s="81">
        <f t="shared" si="446"/>
        <v>1.1619798961603478</v>
      </c>
      <c r="BS735" s="82">
        <f t="shared" si="447"/>
        <v>227</v>
      </c>
      <c r="BT735" s="82">
        <f t="shared" si="448"/>
        <v>263.76943642839893</v>
      </c>
      <c r="BU735" s="82">
        <f t="shared" si="449"/>
        <v>263.75940594059409</v>
      </c>
      <c r="BW735" s="82">
        <f>IFERROR(INDEX('Infos Clientes'!$T:$T,MATCH('Detalhe Por UC'!$C735,'Infos Clientes'!B:B,0)),"")</f>
        <v>818</v>
      </c>
      <c r="BX735" s="83">
        <f t="shared" si="450"/>
        <v>0</v>
      </c>
      <c r="BY735" s="84">
        <f t="shared" si="451"/>
        <v>0.22595266057965951</v>
      </c>
      <c r="BZ735" s="85">
        <f>IF(_xlfn.MINIFS('Detalhe Por UC'!R:R,'Detalhe Por UC'!C:C,C735,'Detalhe Por UC'!AD:AD,"&gt;"&amp;0)=0,"",_xlfn.MINIFS('Detalhe Por UC'!R:R,'Detalhe Por UC'!C:C,C735,'Detalhe Por UC'!AD:AD,"&gt;"&amp;0))</f>
        <v>45627</v>
      </c>
      <c r="CA735" s="114">
        <f ca="1">IF(OR(S735&gt;0,AD735&gt;0),IFERROR(
SUMIFS(INDIRECT("'Infos Clientes'!$W"&amp;INDEX('Infos Clientes'!$C:$C,MATCH(C735,'Infos Clientes'!$H:$H,0))&amp;":$CZ"&amp;INDEX('Infos Clientes'!$C:$C,MATCH(C735,'Infos Clientes'!$H:$H,0))),'Infos Clientes'!$W$2:$CZ$2,"&gt;"&amp;$R735-365,'Infos Clientes'!$W$2:$CZ$2,"&lt;="&amp;$R735)/
COUNTIFS(INDIRECT("'Infos Clientes'!$W"&amp;INDEX('Infos Clientes'!$C:$C,MATCH(C735,'Infos Clientes'!$H:$H,0))&amp;":$CZ"&amp;INDEX('Infos Clientes'!$C:$C,MATCH(C735,'Infos Clientes'!$H:$H,0))),"&gt;="&amp;0,'Infos Clientes'!$W$2:$CZ$2,"&gt;"&amp;$R735-365,'Infos Clientes'!$W$2:$CZ$2,"&lt;="&amp;$R735),""),"")</f>
        <v>809.08333333333337</v>
      </c>
      <c r="CB735" s="87">
        <f>VLOOKUP(C735,'Infos Clientes'!B:L,11,0)</f>
        <v>0</v>
      </c>
      <c r="CC735" s="88" t="str">
        <f t="shared" si="452"/>
        <v>A Unidade Consumidora 10/2599101-9 economizou R$59,6 na fatura referente à ago/2025  consumindo 227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5" s="115">
        <f t="shared" si="453"/>
        <v>-123.59</v>
      </c>
    </row>
    <row r="736" spans="1:84" ht="16.2" hidden="1" customHeight="1" x14ac:dyDescent="0.3">
      <c r="A736" s="105" t="str">
        <f>INDEX('Infos Clientes'!$D:$D,MATCH('Detalhe Por UC'!C736,'Infos Clientes'!B:B,0))</f>
        <v>IGREJA DO EVANGELHO QUADRANGULAR</v>
      </c>
      <c r="B736" s="106" t="str">
        <f>INDEX('Infos Clientes'!$F:$F,MATCH('Detalhe Por UC'!C736,'Infos Clientes'!B:B,0))</f>
        <v>62.955.505/3671-17</v>
      </c>
      <c r="C736" s="44" t="s">
        <v>111</v>
      </c>
      <c r="D736" t="s">
        <v>351</v>
      </c>
      <c r="E736" s="1" t="s">
        <v>352</v>
      </c>
      <c r="F736" s="56" t="str">
        <f>INDEX('Infos Clientes'!$I:$I,MATCH('Detalhe Por UC'!C736,'Infos Clientes'!B:B,0))</f>
        <v>BT</v>
      </c>
      <c r="G736" s="56" t="str">
        <f>INDEX('Infos Clientes'!$J:$J,MATCH('Detalhe Por UC'!C736,'Infos Clientes'!B:B,0))</f>
        <v>trifasico</v>
      </c>
      <c r="H736" s="47" t="str">
        <f t="shared" si="455"/>
        <v>GIROSSOL II</v>
      </c>
      <c r="I736" s="58">
        <f>IFERROR(VLOOKUP(C736,'Infos Clientes'!B:E,4,),"")</f>
        <v>358</v>
      </c>
      <c r="J736" s="151">
        <v>0.22596103298069697</v>
      </c>
      <c r="K736" s="79">
        <f>INDEX('Resumo Operacional'!$A$1:$P$151,MATCH("Desconto percentual Ucs",'Resumo Operacional'!$B$1:$B$151,0),MATCH('Detalhe Por UC'!$R736,'Resumo Operacional'!$A$1:$P$1,0))</f>
        <v>0.26495232343264008</v>
      </c>
      <c r="M736" s="56">
        <f>INDEX('Infos Clientes'!$N:$N,MATCH('Detalhe Por UC'!C736,'Infos Clientes'!B:B,0))</f>
        <v>0</v>
      </c>
      <c r="N736" s="56">
        <f t="shared" si="418"/>
        <v>0</v>
      </c>
      <c r="O736" s="56">
        <f t="shared" si="419"/>
        <v>12</v>
      </c>
      <c r="P736" s="56">
        <f t="shared" si="454"/>
        <v>0</v>
      </c>
      <c r="Q736" s="61">
        <f>IFERROR(IFERROR(INDEX('Infos Clientes'!$A$2:$V$9884,MATCH($C736,'Infos Clientes'!$B$2:$B$9884,0),MATCH(Q$8,'Infos Clientes'!$A$2:$V$2,0)),"")
+IF(OR(INDEX('Infos Clientes'!$A$2:$V$9884,MATCH($C736,'Infos Clientes'!$B$2:$B$9884,0),MATCH("Tempo de Fidelidade (meses)",'Infos Clientes'!$A$2:$V$2,0))=0,R736&gt;=MAX(R:R)),0,
ROUND((MAX(R:R)-R736)/(365/12),0)),"")</f>
        <v>0</v>
      </c>
      <c r="R736" s="111">
        <v>45870</v>
      </c>
      <c r="S736" s="152">
        <v>4.07E-2</v>
      </c>
      <c r="T736" s="113">
        <f>IF($H736="GIROSSOL II",AP736/INDEX('Resumo Operacional'!$A$1:$P$1103,17,MATCH('Detalhe Por UC'!$R736,'Resumo Operacional'!$A$1:$P$1,0)),
IF($H736="GIROSSOL II e III",AP736/INDEX('Resumo Operacional'!$A$1:$P$1103,17,MATCH('Detalhe Por UC'!$R736,'Resumo Operacional'!$A$1:$P$1,0)),
""))</f>
        <v>8.9283117638505161E-2</v>
      </c>
      <c r="U736" s="113" t="str">
        <f>IF($H736="GIROSSOL III",AP736/INDEX('Resumo Operacional'!$A$1:$P$1103,53,MATCH('Detalhe Por UC'!$R736,'Resumo Operacional'!$A$1:$P$1,0)),
IF($H736="GIROSSOL II e III",AP736/INDEX('Resumo Operacional'!$A$1:$P$1103,53,MATCH('Detalhe Por UC'!$R736,'Resumo Operacional'!$A$1:$P$1,0)),
""))</f>
        <v/>
      </c>
      <c r="X736">
        <v>1.1759999999999999</v>
      </c>
      <c r="Z736" s="18">
        <v>1.1760000000000002</v>
      </c>
      <c r="AB736" s="18">
        <v>275</v>
      </c>
      <c r="AD736" s="143">
        <v>175</v>
      </c>
      <c r="AF736" s="18">
        <v>820</v>
      </c>
      <c r="AH736" s="49">
        <v>57.37</v>
      </c>
      <c r="AK736" s="153">
        <v>174.97</v>
      </c>
      <c r="AL736" s="43">
        <f t="shared" si="456"/>
        <v>0</v>
      </c>
      <c r="AN736" s="71">
        <f t="shared" si="420"/>
        <v>439</v>
      </c>
      <c r="AO736" s="71">
        <f t="shared" si="421"/>
        <v>0</v>
      </c>
      <c r="AP736" s="71">
        <f t="shared" si="422"/>
        <v>614</v>
      </c>
      <c r="AQ736" s="72">
        <f>IF(OR($H736="GIROSSOL II",$H736="GIROSSOL II e III"),INDEX('Resumo Operacional'!$A$1:$P$1103,MATCH("Energia Injetada prevista total Fatura da Usina (TUSD)",'Resumo Operacional'!$B$1:$B$1103,0),MATCH('Detalhe Por UC'!$R736,'Resumo Operacional'!$A$1:$P$1,0))*$S736,INDEX('Resumo Operacional'!$A$1:$P$1103,53,MATCH('Detalhe Por UC'!$R736,'Resumo Operacional'!$A$1:$P$1,0))*$S736)</f>
        <v>279.89389999999997</v>
      </c>
      <c r="AR736" s="71">
        <f t="shared" si="423"/>
        <v>334.10610000000003</v>
      </c>
      <c r="AS736" s="73">
        <f t="shared" si="424"/>
        <v>174.96999999999994</v>
      </c>
      <c r="AT736" s="74">
        <f t="shared" si="425"/>
        <v>174.96999999999994</v>
      </c>
      <c r="AU736" s="74">
        <f t="shared" si="426"/>
        <v>1.1760000000000004</v>
      </c>
      <c r="AV736" s="74">
        <f t="shared" si="427"/>
        <v>159.29721941257259</v>
      </c>
      <c r="AW736" s="74">
        <f t="shared" si="428"/>
        <v>0</v>
      </c>
      <c r="AX736" s="74">
        <f t="shared" si="429"/>
        <v>205.80000000000004</v>
      </c>
      <c r="AY736" s="74">
        <f t="shared" si="430"/>
        <v>159.30000000000001</v>
      </c>
      <c r="AZ736" s="117">
        <v>159.30000000000001</v>
      </c>
      <c r="BA736" s="49">
        <v>159.30000000000001</v>
      </c>
      <c r="BB736" s="49">
        <v>159.30000000000001</v>
      </c>
      <c r="BC736" s="73" t="str">
        <f t="shared" si="431"/>
        <v/>
      </c>
      <c r="BD736" s="73">
        <f t="shared" si="432"/>
        <v>380.77</v>
      </c>
      <c r="BE736" s="73">
        <f t="shared" si="433"/>
        <v>334.26721941257256</v>
      </c>
      <c r="BF736" s="77">
        <f t="shared" si="434"/>
        <v>46.5</v>
      </c>
      <c r="BG736" s="77">
        <f t="shared" si="435"/>
        <v>13.95</v>
      </c>
      <c r="BH736" s="77">
        <f t="shared" si="436"/>
        <v>205.8</v>
      </c>
      <c r="BI736" s="78">
        <f t="shared" si="437"/>
        <v>0.23</v>
      </c>
      <c r="BJ736" s="79">
        <f t="shared" si="438"/>
        <v>0.1221209654121911</v>
      </c>
      <c r="BK736" s="80">
        <f t="shared" si="439"/>
        <v>334.27</v>
      </c>
      <c r="BL736" s="80">
        <f t="shared" si="440"/>
        <v>46.5</v>
      </c>
      <c r="BM736" s="79">
        <f t="shared" si="441"/>
        <v>0.1221209654121911</v>
      </c>
      <c r="BN736" s="81">
        <f t="shared" si="442"/>
        <v>0.91028571428571436</v>
      </c>
      <c r="BO736" s="82">
        <f t="shared" si="443"/>
        <v>159.30000000000001</v>
      </c>
      <c r="BP736" s="81">
        <f t="shared" si="444"/>
        <v>0.91028571428571436</v>
      </c>
      <c r="BQ736" s="81">
        <f t="shared" si="445"/>
        <v>0.91028571428571414</v>
      </c>
      <c r="BR736" s="81">
        <f t="shared" si="446"/>
        <v>1.1759999999999999</v>
      </c>
      <c r="BS736" s="82">
        <f t="shared" si="447"/>
        <v>175</v>
      </c>
      <c r="BT736" s="82">
        <f t="shared" si="448"/>
        <v>205.79999999999998</v>
      </c>
      <c r="BU736" s="82">
        <f t="shared" si="449"/>
        <v>205.80000000000004</v>
      </c>
      <c r="BW736" s="82">
        <f>IFERROR(INDEX('Infos Clientes'!$T:$T,MATCH('Detalhe Por UC'!$C736,'Infos Clientes'!B:B,0)),"")</f>
        <v>586</v>
      </c>
      <c r="BX736" s="83">
        <f t="shared" si="450"/>
        <v>0</v>
      </c>
      <c r="BY736" s="84">
        <f t="shared" si="451"/>
        <v>0.22594752186588929</v>
      </c>
      <c r="BZ736" s="85">
        <f>IF(_xlfn.MINIFS('Detalhe Por UC'!R:R,'Detalhe Por UC'!C:C,C736,'Detalhe Por UC'!AD:AD,"&gt;"&amp;0)=0,"",_xlfn.MINIFS('Detalhe Por UC'!R:R,'Detalhe Por UC'!C:C,C736,'Detalhe Por UC'!AD:AD,"&gt;"&amp;0))</f>
        <v>45627</v>
      </c>
      <c r="CA736" s="114">
        <f ca="1">IF(OR(S736&gt;0,AD736&gt;0),IFERROR(
SUMIFS(INDIRECT("'Infos Clientes'!$W"&amp;INDEX('Infos Clientes'!$C:$C,MATCH(C736,'Infos Clientes'!$H:$H,0))&amp;":$CZ"&amp;INDEX('Infos Clientes'!$C:$C,MATCH(C736,'Infos Clientes'!$H:$H,0))),'Infos Clientes'!$W$2:$CZ$2,"&gt;"&amp;$R736-365,'Infos Clientes'!$W$2:$CZ$2,"&lt;="&amp;$R736)/
COUNTIFS(INDIRECT("'Infos Clientes'!$W"&amp;INDEX('Infos Clientes'!$C:$C,MATCH(C736,'Infos Clientes'!$H:$H,0))&amp;":$CZ"&amp;INDEX('Infos Clientes'!$C:$C,MATCH(C736,'Infos Clientes'!$H:$H,0))),"&gt;="&amp;0,'Infos Clientes'!$W$2:$CZ$2,"&gt;"&amp;$R736-365,'Infos Clientes'!$W$2:$CZ$2,"&lt;="&amp;$R736),""),"")</f>
        <v>558.16666666666663</v>
      </c>
      <c r="CB736" s="87">
        <f>VLOOKUP(C736,'Infos Clientes'!B:L,11,0)</f>
        <v>0</v>
      </c>
      <c r="CC736" s="88" t="str">
        <f t="shared" si="452"/>
        <v>A Unidade Consumidora 10/510330-4 economizou R$46,5 na fatura referente à ago/2025  consumindo 175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6" s="115">
        <f t="shared" si="453"/>
        <v>-174.96999999999994</v>
      </c>
    </row>
    <row r="737" spans="1:84" ht="16.2" hidden="1" customHeight="1" x14ac:dyDescent="0.3">
      <c r="A737" s="105" t="str">
        <f>INDEX('Infos Clientes'!$D:$D,MATCH('Detalhe Por UC'!C737,'Infos Clientes'!B:B,0))</f>
        <v>IGREJA DO EVANGELHO QUADRANGULAR</v>
      </c>
      <c r="B737" s="106" t="str">
        <f>INDEX('Infos Clientes'!$F:$F,MATCH('Detalhe Por UC'!C737,'Infos Clientes'!B:B,0))</f>
        <v>62.955.505/0151-99</v>
      </c>
      <c r="C737" s="44" t="s">
        <v>48</v>
      </c>
      <c r="D737" t="s">
        <v>351</v>
      </c>
      <c r="E737" s="1" t="s">
        <v>352</v>
      </c>
      <c r="F737" s="56" t="str">
        <f>INDEX('Infos Clientes'!$I:$I,MATCH('Detalhe Por UC'!C737,'Infos Clientes'!B:B,0))</f>
        <v>BT</v>
      </c>
      <c r="G737" s="56" t="str">
        <f>INDEX('Infos Clientes'!$J:$J,MATCH('Detalhe Por UC'!C737,'Infos Clientes'!B:B,0))</f>
        <v>trifasico</v>
      </c>
      <c r="H737" s="47" t="str">
        <f t="shared" si="455"/>
        <v>GIROSSOL II</v>
      </c>
      <c r="I737" s="58">
        <f>IFERROR(VLOOKUP(C737,'Infos Clientes'!B:E,4,),"")</f>
        <v>306</v>
      </c>
      <c r="J737" s="151">
        <v>0.22596103298069697</v>
      </c>
      <c r="K737" s="79">
        <f>INDEX('Resumo Operacional'!$A$1:$P$151,MATCH("Desconto percentual Ucs",'Resumo Operacional'!$B$1:$B$151,0),MATCH('Detalhe Por UC'!$R737,'Resumo Operacional'!$A$1:$P$1,0))</f>
        <v>0.26495232343264008</v>
      </c>
      <c r="M737" s="56">
        <f>INDEX('Infos Clientes'!$N:$N,MATCH('Detalhe Por UC'!C737,'Infos Clientes'!B:B,0))</f>
        <v>0</v>
      </c>
      <c r="N737" s="56">
        <f t="shared" si="418"/>
        <v>0</v>
      </c>
      <c r="O737" s="56">
        <f t="shared" si="419"/>
        <v>9</v>
      </c>
      <c r="P737" s="56">
        <f t="shared" si="454"/>
        <v>0</v>
      </c>
      <c r="Q737" s="61">
        <f>IFERROR(IFERROR(INDEX('Infos Clientes'!$A$2:$V$9884,MATCH($C737,'Infos Clientes'!$B$2:$B$9884,0),MATCH(Q$8,'Infos Clientes'!$A$2:$V$2,0)),"")
+IF(OR(INDEX('Infos Clientes'!$A$2:$V$9884,MATCH($C737,'Infos Clientes'!$B$2:$B$9884,0),MATCH("Tempo de Fidelidade (meses)",'Infos Clientes'!$A$2:$V$2,0))=0,R737&gt;=MAX(R:R)),0,
ROUND((MAX(R:R)-R737)/(365/12),0)),"")</f>
        <v>0</v>
      </c>
      <c r="R737" s="111">
        <v>45870</v>
      </c>
      <c r="S737" s="152">
        <v>3.0700000000000002E-2</v>
      </c>
      <c r="T737" s="113">
        <f>IF($H737="GIROSSOL II",AP737/INDEX('Resumo Operacional'!$A$1:$P$1103,17,MATCH('Detalhe Por UC'!$R737,'Resumo Operacional'!$A$1:$P$1,0)),
IF($H737="GIROSSOL II e III",AP737/INDEX('Resumo Operacional'!$A$1:$P$1103,17,MATCH('Detalhe Por UC'!$R737,'Resumo Operacional'!$A$1:$P$1,0)),
""))</f>
        <v>3.8534244583393919E-2</v>
      </c>
      <c r="U737" s="113" t="str">
        <f>IF($H737="GIROSSOL III",AP737/INDEX('Resumo Operacional'!$A$1:$P$1103,53,MATCH('Detalhe Por UC'!$R737,'Resumo Operacional'!$A$1:$P$1,0)),
IF($H737="GIROSSOL II e III",AP737/INDEX('Resumo Operacional'!$A$1:$P$1103,53,MATCH('Detalhe Por UC'!$R737,'Resumo Operacional'!$A$1:$P$1,0)),
""))</f>
        <v/>
      </c>
      <c r="X737">
        <v>1.1878670043076258</v>
      </c>
      <c r="Z737" s="18">
        <v>1.1878215060945068</v>
      </c>
      <c r="AB737" s="18">
        <v>491</v>
      </c>
      <c r="AD737" s="143">
        <v>265</v>
      </c>
      <c r="AF737" s="18"/>
      <c r="AH737" s="49">
        <v>0</v>
      </c>
      <c r="AK737" s="153">
        <v>268.47000000000003</v>
      </c>
      <c r="AL737" s="43">
        <f t="shared" si="456"/>
        <v>0</v>
      </c>
      <c r="AN737" s="71">
        <f t="shared" si="420"/>
        <v>0</v>
      </c>
      <c r="AO737" s="71">
        <f t="shared" si="421"/>
        <v>0</v>
      </c>
      <c r="AP737" s="71">
        <f t="shared" si="422"/>
        <v>265</v>
      </c>
      <c r="AQ737" s="72">
        <f>IF(OR($H737="GIROSSOL II",$H737="GIROSSOL II e III"),INDEX('Resumo Operacional'!$A$1:$P$1103,MATCH("Energia Injetada prevista total Fatura da Usina (TUSD)",'Resumo Operacional'!$B$1:$B$1103,0),MATCH('Detalhe Por UC'!$R737,'Resumo Operacional'!$A$1:$P$1,0))*$S737,INDEX('Resumo Operacional'!$A$1:$P$1103,53,MATCH('Detalhe Por UC'!$R737,'Resumo Operacional'!$A$1:$P$1,0))*$S737)</f>
        <v>211.12390000000002</v>
      </c>
      <c r="AR737" s="71">
        <f t="shared" si="423"/>
        <v>53.87609999999998</v>
      </c>
      <c r="AS737" s="73">
        <f t="shared" si="424"/>
        <v>268.46999999999997</v>
      </c>
      <c r="AT737" s="74">
        <f t="shared" si="425"/>
        <v>268.46999999999997</v>
      </c>
      <c r="AU737" s="74">
        <f t="shared" si="426"/>
        <v>1.1877760078813877</v>
      </c>
      <c r="AV737" s="74">
        <f t="shared" si="427"/>
        <v>243.64633486888678</v>
      </c>
      <c r="AW737" s="74">
        <f t="shared" si="428"/>
        <v>0</v>
      </c>
      <c r="AX737" s="74">
        <f t="shared" si="429"/>
        <v>314.7726991150443</v>
      </c>
      <c r="AY737" s="74">
        <f t="shared" si="430"/>
        <v>243.65</v>
      </c>
      <c r="AZ737" s="117">
        <v>243.65</v>
      </c>
      <c r="BA737" s="49">
        <v>243.65</v>
      </c>
      <c r="BB737" s="49">
        <v>243.65</v>
      </c>
      <c r="BC737" s="73" t="str">
        <f t="shared" si="431"/>
        <v/>
      </c>
      <c r="BD737" s="73">
        <f t="shared" si="432"/>
        <v>583.24269911504427</v>
      </c>
      <c r="BE737" s="73">
        <f t="shared" si="433"/>
        <v>512.11633486888672</v>
      </c>
      <c r="BF737" s="77">
        <f t="shared" si="434"/>
        <v>71.13</v>
      </c>
      <c r="BG737" s="77">
        <f t="shared" si="435"/>
        <v>21.338999999999999</v>
      </c>
      <c r="BH737" s="77">
        <f t="shared" si="436"/>
        <v>314.7726991150443</v>
      </c>
      <c r="BI737" s="78">
        <f t="shared" si="437"/>
        <v>0.23</v>
      </c>
      <c r="BJ737" s="79">
        <f t="shared" si="438"/>
        <v>0.12195609153432309</v>
      </c>
      <c r="BK737" s="80">
        <f t="shared" si="439"/>
        <v>512.12</v>
      </c>
      <c r="BL737" s="80">
        <f t="shared" si="440"/>
        <v>71.12269911504427</v>
      </c>
      <c r="BM737" s="79">
        <f t="shared" si="441"/>
        <v>0.1219435737866225</v>
      </c>
      <c r="BN737" s="81">
        <f t="shared" si="442"/>
        <v>0.91943396226415097</v>
      </c>
      <c r="BO737" s="82">
        <f t="shared" si="443"/>
        <v>243.65</v>
      </c>
      <c r="BP737" s="81">
        <f t="shared" si="444"/>
        <v>0.91943396226415097</v>
      </c>
      <c r="BQ737" s="81">
        <f t="shared" si="445"/>
        <v>0.91947946047727003</v>
      </c>
      <c r="BR737" s="81">
        <f t="shared" si="446"/>
        <v>1.1878670043076258</v>
      </c>
      <c r="BS737" s="82">
        <f t="shared" si="447"/>
        <v>265</v>
      </c>
      <c r="BT737" s="82">
        <f t="shared" si="448"/>
        <v>314.78475614152086</v>
      </c>
      <c r="BU737" s="82">
        <f t="shared" si="449"/>
        <v>314.7726991150443</v>
      </c>
      <c r="BW737" s="82">
        <f>IFERROR(INDEX('Infos Clientes'!$T:$T,MATCH('Detalhe Por UC'!$C737,'Infos Clientes'!B:B,0)),"")</f>
        <v>286.5</v>
      </c>
      <c r="BX737" s="83">
        <f t="shared" si="450"/>
        <v>0</v>
      </c>
      <c r="BY737" s="84">
        <f t="shared" si="451"/>
        <v>0.2259407348272893</v>
      </c>
      <c r="BZ737" s="85">
        <f>IF(_xlfn.MINIFS('Detalhe Por UC'!R:R,'Detalhe Por UC'!C:C,C737,'Detalhe Por UC'!AD:AD,"&gt;"&amp;0)=0,"",_xlfn.MINIFS('Detalhe Por UC'!R:R,'Detalhe Por UC'!C:C,C737,'Detalhe Por UC'!AD:AD,"&gt;"&amp;0))</f>
        <v>45658</v>
      </c>
      <c r="CA737" s="114">
        <f ca="1">IF(OR(S737&gt;0,AD737&gt;0),IFERROR(
SUMIFS(INDIRECT("'Infos Clientes'!$W"&amp;INDEX('Infos Clientes'!$C:$C,MATCH(C737,'Infos Clientes'!$H:$H,0))&amp;":$CZ"&amp;INDEX('Infos Clientes'!$C:$C,MATCH(C737,'Infos Clientes'!$H:$H,0))),'Infos Clientes'!$W$2:$CZ$2,"&gt;"&amp;$R737-365,'Infos Clientes'!$W$2:$CZ$2,"&lt;="&amp;$R737)/
COUNTIFS(INDIRECT("'Infos Clientes'!$W"&amp;INDEX('Infos Clientes'!$C:$C,MATCH(C737,'Infos Clientes'!$H:$H,0))&amp;":$CZ"&amp;INDEX('Infos Clientes'!$C:$C,MATCH(C737,'Infos Clientes'!$H:$H,0))),"&gt;="&amp;0,'Infos Clientes'!$W$2:$CZ$2,"&gt;"&amp;$R737-365,'Infos Clientes'!$W$2:$CZ$2,"&lt;="&amp;$R737),""),"")</f>
        <v>501.08333333333331</v>
      </c>
      <c r="CB737" s="87">
        <f>VLOOKUP(C737,'Infos Clientes'!B:L,11,0)</f>
        <v>0</v>
      </c>
      <c r="CC737" s="88" t="str">
        <f t="shared" si="452"/>
        <v>A Unidade Consumidora 10/2794432-1 economizou R$71,13 na fatura referente à ago/2025  consumindo 265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7" s="115">
        <f t="shared" si="453"/>
        <v>-268.46999999999997</v>
      </c>
    </row>
    <row r="738" spans="1:84" ht="16.2" hidden="1" customHeight="1" x14ac:dyDescent="0.3">
      <c r="A738" s="105" t="str">
        <f>INDEX('Infos Clientes'!$D:$D,MATCH('Detalhe Por UC'!C738,'Infos Clientes'!B:B,0))</f>
        <v>IGREJA DO EVANGELHO QUADRANGULAR</v>
      </c>
      <c r="B738" s="106" t="str">
        <f>INDEX('Infos Clientes'!$F:$F,MATCH('Detalhe Por UC'!C738,'Infos Clientes'!B:B,0))</f>
        <v>62.955.505/0884-04</v>
      </c>
      <c r="C738" s="44" t="s">
        <v>88</v>
      </c>
      <c r="D738" t="s">
        <v>351</v>
      </c>
      <c r="E738" s="1" t="s">
        <v>352</v>
      </c>
      <c r="F738" s="56" t="str">
        <f>INDEX('Infos Clientes'!$I:$I,MATCH('Detalhe Por UC'!C738,'Infos Clientes'!B:B,0))</f>
        <v>BT</v>
      </c>
      <c r="G738" s="56" t="str">
        <f>INDEX('Infos Clientes'!$J:$J,MATCH('Detalhe Por UC'!C738,'Infos Clientes'!B:B,0))</f>
        <v>trifasico</v>
      </c>
      <c r="H738" s="47" t="str">
        <f t="shared" si="455"/>
        <v>GIROSSOL II</v>
      </c>
      <c r="I738" s="58">
        <f>IFERROR(VLOOKUP(C738,'Infos Clientes'!B:E,4,),"")</f>
        <v>994</v>
      </c>
      <c r="J738" s="151">
        <v>0.22596103298069697</v>
      </c>
      <c r="K738" s="79">
        <f>INDEX('Resumo Operacional'!$A$1:$P$151,MATCH("Desconto percentual Ucs",'Resumo Operacional'!$B$1:$B$151,0),MATCH('Detalhe Por UC'!$R738,'Resumo Operacional'!$A$1:$P$1,0))</f>
        <v>0.26495232343264008</v>
      </c>
      <c r="M738" s="56">
        <f>INDEX('Infos Clientes'!$N:$N,MATCH('Detalhe Por UC'!C738,'Infos Clientes'!B:B,0))</f>
        <v>0</v>
      </c>
      <c r="N738" s="56">
        <f t="shared" si="418"/>
        <v>0</v>
      </c>
      <c r="O738" s="56">
        <f t="shared" si="419"/>
        <v>12</v>
      </c>
      <c r="P738" s="56">
        <f t="shared" si="454"/>
        <v>0</v>
      </c>
      <c r="Q738" s="61">
        <f>IFERROR(IFERROR(INDEX('Infos Clientes'!$A$2:$V$9884,MATCH($C738,'Infos Clientes'!$B$2:$B$9884,0),MATCH(Q$8,'Infos Clientes'!$A$2:$V$2,0)),"")
+IF(OR(INDEX('Infos Clientes'!$A$2:$V$9884,MATCH($C738,'Infos Clientes'!$B$2:$B$9884,0),MATCH("Tempo de Fidelidade (meses)",'Infos Clientes'!$A$2:$V$2,0))=0,R738&gt;=MAX(R:R)),0,
ROUND((MAX(R:R)-R738)/(365/12),0)),"")</f>
        <v>0</v>
      </c>
      <c r="R738" s="111">
        <v>45870</v>
      </c>
      <c r="S738" s="152">
        <v>3.0700000000000002E-2</v>
      </c>
      <c r="T738" s="113">
        <f>IF($H738="GIROSSOL II",AP738/INDEX('Resumo Operacional'!$A$1:$P$1103,17,MATCH('Detalhe Por UC'!$R738,'Resumo Operacional'!$A$1:$P$1,0)),
IF($H738="GIROSSOL II e III",AP738/INDEX('Resumo Operacional'!$A$1:$P$1103,17,MATCH('Detalhe Por UC'!$R738,'Resumo Operacional'!$A$1:$P$1,0)),
""))</f>
        <v>0.1009160971353788</v>
      </c>
      <c r="U738" s="113" t="str">
        <f>IF($H738="GIROSSOL III",AP738/INDEX('Resumo Operacional'!$A$1:$P$1103,53,MATCH('Detalhe Por UC'!$R738,'Resumo Operacional'!$A$1:$P$1,0)),
IF($H738="GIROSSOL II e III",AP738/INDEX('Resumo Operacional'!$A$1:$P$1103,53,MATCH('Detalhe Por UC'!$R738,'Resumo Operacional'!$A$1:$P$1,0)),
""))</f>
        <v/>
      </c>
      <c r="X738">
        <v>1.1879967741935484</v>
      </c>
      <c r="Z738" s="18">
        <v>1.1879945945945947</v>
      </c>
      <c r="AB738" s="18">
        <v>248</v>
      </c>
      <c r="AD738" s="143">
        <v>148</v>
      </c>
      <c r="AF738" s="18">
        <v>546</v>
      </c>
      <c r="AH738" s="49">
        <v>43.17</v>
      </c>
      <c r="AK738" s="153">
        <v>161.97</v>
      </c>
      <c r="AL738" s="43">
        <f t="shared" si="456"/>
        <v>0</v>
      </c>
      <c r="AN738" s="71">
        <f t="shared" si="420"/>
        <v>546</v>
      </c>
      <c r="AO738" s="71">
        <f t="shared" si="421"/>
        <v>0</v>
      </c>
      <c r="AP738" s="71">
        <f t="shared" si="422"/>
        <v>694</v>
      </c>
      <c r="AQ738" s="72">
        <f>IF(OR($H738="GIROSSOL II",$H738="GIROSSOL II e III"),INDEX('Resumo Operacional'!$A$1:$P$1103,MATCH("Energia Injetada prevista total Fatura da Usina (TUSD)",'Resumo Operacional'!$B$1:$B$1103,0),MATCH('Detalhe Por UC'!$R738,'Resumo Operacional'!$A$1:$P$1,0))*$S738,INDEX('Resumo Operacional'!$A$1:$P$1103,53,MATCH('Detalhe Por UC'!$R738,'Resumo Operacional'!$A$1:$P$1,0))*$S738)</f>
        <v>211.12390000000002</v>
      </c>
      <c r="AR738" s="71">
        <f t="shared" si="423"/>
        <v>482.87609999999995</v>
      </c>
      <c r="AS738" s="73">
        <f t="shared" si="424"/>
        <v>161.96999999999997</v>
      </c>
      <c r="AT738" s="74">
        <f t="shared" si="425"/>
        <v>161.96999999999997</v>
      </c>
      <c r="AU738" s="74">
        <f t="shared" si="426"/>
        <v>1.1879924149956409</v>
      </c>
      <c r="AV738" s="74">
        <f t="shared" si="427"/>
        <v>136.09400810602835</v>
      </c>
      <c r="AW738" s="74">
        <f t="shared" si="428"/>
        <v>0</v>
      </c>
      <c r="AX738" s="74">
        <f t="shared" si="429"/>
        <v>175.82320000000001</v>
      </c>
      <c r="AY738" s="74">
        <f t="shared" si="430"/>
        <v>136.09</v>
      </c>
      <c r="AZ738" s="117">
        <v>136.09</v>
      </c>
      <c r="BA738" s="49">
        <v>136.09</v>
      </c>
      <c r="BB738" s="49">
        <v>136.09</v>
      </c>
      <c r="BC738" s="73" t="str">
        <f t="shared" si="431"/>
        <v/>
      </c>
      <c r="BD738" s="73">
        <f t="shared" si="432"/>
        <v>337.79320000000001</v>
      </c>
      <c r="BE738" s="73">
        <f t="shared" si="433"/>
        <v>298.06400810602833</v>
      </c>
      <c r="BF738" s="77">
        <f t="shared" si="434"/>
        <v>39.729999999999997</v>
      </c>
      <c r="BG738" s="77">
        <f t="shared" si="435"/>
        <v>11.918999999999999</v>
      </c>
      <c r="BH738" s="77">
        <f t="shared" si="436"/>
        <v>175.82320000000001</v>
      </c>
      <c r="BI738" s="78">
        <f t="shared" si="437"/>
        <v>0.23</v>
      </c>
      <c r="BJ738" s="79">
        <f t="shared" si="438"/>
        <v>0.11761634041182592</v>
      </c>
      <c r="BK738" s="80">
        <f t="shared" si="439"/>
        <v>298.05999999999995</v>
      </c>
      <c r="BL738" s="80">
        <f t="shared" si="440"/>
        <v>39.733200000000068</v>
      </c>
      <c r="BM738" s="79">
        <f t="shared" si="441"/>
        <v>0.11762581366350792</v>
      </c>
      <c r="BN738" s="81">
        <f t="shared" si="442"/>
        <v>0.91952702702702704</v>
      </c>
      <c r="BO738" s="82">
        <f t="shared" si="443"/>
        <v>136.09</v>
      </c>
      <c r="BP738" s="81">
        <f t="shared" si="444"/>
        <v>0.91952702702702704</v>
      </c>
      <c r="BQ738" s="81">
        <f t="shared" si="445"/>
        <v>0.91952920662598081</v>
      </c>
      <c r="BR738" s="81">
        <f t="shared" si="446"/>
        <v>1.1879967741935484</v>
      </c>
      <c r="BS738" s="82">
        <f t="shared" si="447"/>
        <v>148</v>
      </c>
      <c r="BT738" s="82">
        <f t="shared" si="448"/>
        <v>175.82352258064518</v>
      </c>
      <c r="BU738" s="82">
        <f t="shared" si="449"/>
        <v>175.82320000000001</v>
      </c>
      <c r="BW738" s="82">
        <f>IFERROR(INDEX('Infos Clientes'!$T:$T,MATCH('Detalhe Por UC'!$C738,'Infos Clientes'!B:B,0)),"")</f>
        <v>335.75</v>
      </c>
      <c r="BX738" s="83">
        <f t="shared" si="450"/>
        <v>0</v>
      </c>
      <c r="BY738" s="84">
        <f t="shared" si="451"/>
        <v>0.22598341460128316</v>
      </c>
      <c r="BZ738" s="85">
        <f>IF(_xlfn.MINIFS('Detalhe Por UC'!R:R,'Detalhe Por UC'!C:C,C738,'Detalhe Por UC'!AD:AD,"&gt;"&amp;0)=0,"",_xlfn.MINIFS('Detalhe Por UC'!R:R,'Detalhe Por UC'!C:C,C738,'Detalhe Por UC'!AD:AD,"&gt;"&amp;0))</f>
        <v>45627</v>
      </c>
      <c r="CA738" s="114">
        <f ca="1">IF(OR(S738&gt;0,AD738&gt;0),IFERROR(
SUMIFS(INDIRECT("'Infos Clientes'!$W"&amp;INDEX('Infos Clientes'!$C:$C,MATCH(C738,'Infos Clientes'!$H:$H,0))&amp;":$CZ"&amp;INDEX('Infos Clientes'!$C:$C,MATCH(C738,'Infos Clientes'!$H:$H,0))),'Infos Clientes'!$W$2:$CZ$2,"&gt;"&amp;$R738-365,'Infos Clientes'!$W$2:$CZ$2,"&lt;="&amp;$R738)/
COUNTIFS(INDIRECT("'Infos Clientes'!$W"&amp;INDEX('Infos Clientes'!$C:$C,MATCH(C738,'Infos Clientes'!$H:$H,0))&amp;":$CZ"&amp;INDEX('Infos Clientes'!$C:$C,MATCH(C738,'Infos Clientes'!$H:$H,0))),"&gt;="&amp;0,'Infos Clientes'!$W$2:$CZ$2,"&gt;"&amp;$R738-365,'Infos Clientes'!$W$2:$CZ$2,"&lt;="&amp;$R738),""),"")</f>
        <v>342.41666666666669</v>
      </c>
      <c r="CB738" s="87">
        <f>VLOOKUP(C738,'Infos Clientes'!B:L,11,0)</f>
        <v>0</v>
      </c>
      <c r="CC738" s="88" t="str">
        <f t="shared" si="452"/>
        <v>A Unidade Consumidora 10/276283-9 economizou R$39,73 na fatura referente à ago/2025  consumindo 148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8" s="115">
        <f t="shared" si="453"/>
        <v>-161.96999999999997</v>
      </c>
    </row>
    <row r="739" spans="1:84" ht="16.2" hidden="1" customHeight="1" x14ac:dyDescent="0.3">
      <c r="A739" s="105" t="str">
        <f>INDEX('Infos Clientes'!$D:$D,MATCH('Detalhe Por UC'!C739,'Infos Clientes'!B:B,0))</f>
        <v>IGREJA DO EVANGELHO QUADRANGULAR</v>
      </c>
      <c r="B739" s="106" t="str">
        <f>INDEX('Infos Clientes'!$F:$F,MATCH('Detalhe Por UC'!C739,'Infos Clientes'!B:B,0))</f>
        <v>62.955.505/0676-60</v>
      </c>
      <c r="C739" s="44" t="s">
        <v>91</v>
      </c>
      <c r="D739" t="s">
        <v>351</v>
      </c>
      <c r="E739" s="1" t="s">
        <v>352</v>
      </c>
      <c r="F739" s="56" t="str">
        <f>INDEX('Infos Clientes'!$I:$I,MATCH('Detalhe Por UC'!C739,'Infos Clientes'!B:B,0))</f>
        <v>BT</v>
      </c>
      <c r="G739" s="56" t="str">
        <f>INDEX('Infos Clientes'!$J:$J,MATCH('Detalhe Por UC'!C739,'Infos Clientes'!B:B,0))</f>
        <v>trifasico</v>
      </c>
      <c r="H739" s="47" t="str">
        <f t="shared" si="455"/>
        <v>GIROSSOL II</v>
      </c>
      <c r="I739" s="58">
        <f>IFERROR(VLOOKUP(C739,'Infos Clientes'!B:E,4,),"")</f>
        <v>357</v>
      </c>
      <c r="J739" s="151">
        <v>0.22596103298069697</v>
      </c>
      <c r="K739" s="79">
        <f>INDEX('Resumo Operacional'!$A$1:$P$151,MATCH("Desconto percentual Ucs",'Resumo Operacional'!$B$1:$B$151,0),MATCH('Detalhe Por UC'!$R739,'Resumo Operacional'!$A$1:$P$1,0))</f>
        <v>0.26495232343264008</v>
      </c>
      <c r="M739" s="56">
        <f>INDEX('Infos Clientes'!$N:$N,MATCH('Detalhe Por UC'!C739,'Infos Clientes'!B:B,0))</f>
        <v>0</v>
      </c>
      <c r="N739" s="56">
        <f t="shared" si="418"/>
        <v>0</v>
      </c>
      <c r="O739" s="56">
        <f t="shared" si="419"/>
        <v>12</v>
      </c>
      <c r="P739" s="56">
        <f t="shared" si="454"/>
        <v>0</v>
      </c>
      <c r="Q739" s="61">
        <f>IFERROR(IFERROR(INDEX('Infos Clientes'!$A$2:$V$9884,MATCH($C739,'Infos Clientes'!$B$2:$B$9884,0),MATCH(Q$8,'Infos Clientes'!$A$2:$V$2,0)),"")
+IF(OR(INDEX('Infos Clientes'!$A$2:$V$9884,MATCH($C739,'Infos Clientes'!$B$2:$B$9884,0),MATCH("Tempo de Fidelidade (meses)",'Infos Clientes'!$A$2:$V$2,0))=0,R739&gt;=MAX(R:R)),0,
ROUND((MAX(R:R)-R739)/(365/12),0)),"")</f>
        <v>0</v>
      </c>
      <c r="R739" s="111">
        <v>45870</v>
      </c>
      <c r="S739" s="152">
        <v>3.0700000000000002E-2</v>
      </c>
      <c r="T739" s="113">
        <f>IF($H739="GIROSSOL II",AP739/INDEX('Resumo Operacional'!$A$1:$P$1103,17,MATCH('Detalhe Por UC'!$R739,'Resumo Operacional'!$A$1:$P$1,0)),
IF($H739="GIROSSOL II e III",AP739/INDEX('Resumo Operacional'!$A$1:$P$1103,17,MATCH('Detalhe Por UC'!$R739,'Resumo Operacional'!$A$1:$P$1,0)),
""))</f>
        <v>6.7471281081867091E-2</v>
      </c>
      <c r="U739" s="113" t="str">
        <f>IF($H739="GIROSSOL III",AP739/INDEX('Resumo Operacional'!$A$1:$P$1103,53,MATCH('Detalhe Por UC'!$R739,'Resumo Operacional'!$A$1:$P$1,0)),
IF($H739="GIROSSOL II e III",AP739/INDEX('Resumo Operacional'!$A$1:$P$1103,53,MATCH('Detalhe Por UC'!$R739,'Resumo Operacional'!$A$1:$P$1,0)),
""))</f>
        <v/>
      </c>
      <c r="X739">
        <v>1.1714957446808509</v>
      </c>
      <c r="Z739" s="18">
        <v>1.1714675675675676</v>
      </c>
      <c r="AB739" s="18">
        <v>470</v>
      </c>
      <c r="AD739" s="143">
        <v>370</v>
      </c>
      <c r="AF739" s="18">
        <v>988</v>
      </c>
      <c r="AH739" s="49">
        <v>2.7600000000000002</v>
      </c>
      <c r="AK739" s="153">
        <v>119.92</v>
      </c>
      <c r="AL739" s="43">
        <f t="shared" si="456"/>
        <v>0</v>
      </c>
      <c r="AN739" s="71">
        <f t="shared" si="420"/>
        <v>94</v>
      </c>
      <c r="AO739" s="71">
        <f t="shared" si="421"/>
        <v>0</v>
      </c>
      <c r="AP739" s="71">
        <f t="shared" si="422"/>
        <v>464</v>
      </c>
      <c r="AQ739" s="72">
        <f>IF(OR($H739="GIROSSOL II",$H739="GIROSSOL II e III"),INDEX('Resumo Operacional'!$A$1:$P$1103,MATCH("Energia Injetada prevista total Fatura da Usina (TUSD)",'Resumo Operacional'!$B$1:$B$1103,0),MATCH('Detalhe Por UC'!$R739,'Resumo Operacional'!$A$1:$P$1,0))*$S739,INDEX('Resumo Operacional'!$A$1:$P$1103,53,MATCH('Detalhe Por UC'!$R739,'Resumo Operacional'!$A$1:$P$1,0))*$S739)</f>
        <v>211.12390000000002</v>
      </c>
      <c r="AR739" s="71">
        <f t="shared" si="423"/>
        <v>252.87609999999998</v>
      </c>
      <c r="AS739" s="73">
        <f t="shared" si="424"/>
        <v>119.91999999999992</v>
      </c>
      <c r="AT739" s="74">
        <f t="shared" si="425"/>
        <v>119.91999999999992</v>
      </c>
      <c r="AU739" s="74">
        <f t="shared" si="426"/>
        <v>1.1714393904542844</v>
      </c>
      <c r="AV739" s="74">
        <f t="shared" si="427"/>
        <v>335.50177198174782</v>
      </c>
      <c r="AW739" s="74">
        <f t="shared" si="428"/>
        <v>0</v>
      </c>
      <c r="AX739" s="74">
        <f t="shared" si="429"/>
        <v>433.44300000000004</v>
      </c>
      <c r="AY739" s="74">
        <f t="shared" si="430"/>
        <v>335.5</v>
      </c>
      <c r="AZ739" s="117">
        <v>335.5</v>
      </c>
      <c r="BA739" s="49">
        <v>335.5</v>
      </c>
      <c r="BB739" s="49">
        <v>335.5</v>
      </c>
      <c r="BC739" s="73" t="str">
        <f t="shared" si="431"/>
        <v/>
      </c>
      <c r="BD739" s="73">
        <f t="shared" si="432"/>
        <v>553.36299999999994</v>
      </c>
      <c r="BE739" s="73">
        <f t="shared" si="433"/>
        <v>455.42177198174772</v>
      </c>
      <c r="BF739" s="77">
        <f t="shared" si="434"/>
        <v>97.94</v>
      </c>
      <c r="BG739" s="77">
        <f t="shared" si="435"/>
        <v>29.381999999999998</v>
      </c>
      <c r="BH739" s="77">
        <f t="shared" si="436"/>
        <v>433.44300000000004</v>
      </c>
      <c r="BI739" s="78">
        <f t="shared" si="437"/>
        <v>0.23</v>
      </c>
      <c r="BJ739" s="79">
        <f t="shared" si="438"/>
        <v>0.17699051074972488</v>
      </c>
      <c r="BK739" s="80">
        <f t="shared" si="439"/>
        <v>455.4199999999999</v>
      </c>
      <c r="BL739" s="80">
        <f t="shared" si="440"/>
        <v>97.94300000000004</v>
      </c>
      <c r="BM739" s="79">
        <f t="shared" si="441"/>
        <v>0.17699593214580672</v>
      </c>
      <c r="BN739" s="81">
        <f t="shared" si="442"/>
        <v>0.90675675675675671</v>
      </c>
      <c r="BO739" s="82">
        <f t="shared" si="443"/>
        <v>335.5</v>
      </c>
      <c r="BP739" s="81">
        <f t="shared" si="444"/>
        <v>0.90675675675675671</v>
      </c>
      <c r="BQ739" s="81">
        <f t="shared" si="445"/>
        <v>0.90678493387004</v>
      </c>
      <c r="BR739" s="81">
        <f t="shared" si="446"/>
        <v>1.1714957446808509</v>
      </c>
      <c r="BS739" s="82">
        <f t="shared" si="447"/>
        <v>370</v>
      </c>
      <c r="BT739" s="82">
        <f t="shared" si="448"/>
        <v>433.45342553191483</v>
      </c>
      <c r="BU739" s="82">
        <f t="shared" si="449"/>
        <v>433.44300000000004</v>
      </c>
      <c r="BW739" s="82">
        <f>IFERROR(INDEX('Infos Clientes'!$T:$T,MATCH('Detalhe Por UC'!$C739,'Infos Clientes'!B:B,0)),"")</f>
        <v>708</v>
      </c>
      <c r="BX739" s="83">
        <f t="shared" si="450"/>
        <v>0</v>
      </c>
      <c r="BY739" s="84">
        <f t="shared" si="451"/>
        <v>0.22595968616422568</v>
      </c>
      <c r="BZ739" s="85">
        <f>IF(_xlfn.MINIFS('Detalhe Por UC'!R:R,'Detalhe Por UC'!C:C,C739,'Detalhe Por UC'!AD:AD,"&gt;"&amp;0)=0,"",_xlfn.MINIFS('Detalhe Por UC'!R:R,'Detalhe Por UC'!C:C,C739,'Detalhe Por UC'!AD:AD,"&gt;"&amp;0))</f>
        <v>45627</v>
      </c>
      <c r="CA739" s="114">
        <f ca="1">IF(OR(S739&gt;0,AD739&gt;0),IFERROR(
SUMIFS(INDIRECT("'Infos Clientes'!$W"&amp;INDEX('Infos Clientes'!$C:$C,MATCH(C739,'Infos Clientes'!$H:$H,0))&amp;":$CZ"&amp;INDEX('Infos Clientes'!$C:$C,MATCH(C739,'Infos Clientes'!$H:$H,0))),'Infos Clientes'!$W$2:$CZ$2,"&gt;"&amp;$R739-365,'Infos Clientes'!$W$2:$CZ$2,"&lt;="&amp;$R739)/
COUNTIFS(INDIRECT("'Infos Clientes'!$W"&amp;INDEX('Infos Clientes'!$C:$C,MATCH(C739,'Infos Clientes'!$H:$H,0))&amp;":$CZ"&amp;INDEX('Infos Clientes'!$C:$C,MATCH(C739,'Infos Clientes'!$H:$H,0))),"&gt;="&amp;0,'Infos Clientes'!$W$2:$CZ$2,"&gt;"&amp;$R739-365,'Infos Clientes'!$W$2:$CZ$2,"&lt;="&amp;$R739),""),"")</f>
        <v>632.16666666666663</v>
      </c>
      <c r="CB739" s="87">
        <f>VLOOKUP(C739,'Infos Clientes'!B:L,11,0)</f>
        <v>0</v>
      </c>
      <c r="CC739" s="88" t="str">
        <f t="shared" si="452"/>
        <v>A Unidade Consumidora 10/29964-4 economizou R$97,94 na fatura referente à ago/2025  consumindo 370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39" s="115">
        <f t="shared" si="453"/>
        <v>-119.91999999999992</v>
      </c>
    </row>
    <row r="740" spans="1:84" ht="16.2" hidden="1" customHeight="1" x14ac:dyDescent="0.3">
      <c r="A740" s="105" t="str">
        <f>INDEX('Infos Clientes'!$D:$D,MATCH('Detalhe Por UC'!C740,'Infos Clientes'!B:B,0))</f>
        <v>IGREJA DO EVANGELHO QUADRANGULAR</v>
      </c>
      <c r="B740" s="106" t="str">
        <f>INDEX('Infos Clientes'!$F:$F,MATCH('Detalhe Por UC'!C740,'Infos Clientes'!B:B,0))</f>
        <v>62.955.505/0160-80</v>
      </c>
      <c r="C740" s="44" t="s">
        <v>97</v>
      </c>
      <c r="D740" t="s">
        <v>351</v>
      </c>
      <c r="E740" s="1" t="s">
        <v>352</v>
      </c>
      <c r="F740" s="56" t="str">
        <f>INDEX('Infos Clientes'!$I:$I,MATCH('Detalhe Por UC'!C740,'Infos Clientes'!B:B,0))</f>
        <v>BT</v>
      </c>
      <c r="G740" s="56" t="str">
        <f>INDEX('Infos Clientes'!$J:$J,MATCH('Detalhe Por UC'!C740,'Infos Clientes'!B:B,0))</f>
        <v>trifasico</v>
      </c>
      <c r="H740" s="47" t="str">
        <f t="shared" si="455"/>
        <v>GIROSSOL II</v>
      </c>
      <c r="I740" s="58">
        <f>IFERROR(VLOOKUP(C740,'Infos Clientes'!B:E,4,),"")</f>
        <v>357</v>
      </c>
      <c r="J740" s="151">
        <v>0.22596103298069697</v>
      </c>
      <c r="K740" s="79">
        <f>INDEX('Resumo Operacional'!$A$1:$P$151,MATCH("Desconto percentual Ucs",'Resumo Operacional'!$B$1:$B$151,0),MATCH('Detalhe Por UC'!$R740,'Resumo Operacional'!$A$1:$P$1,0))</f>
        <v>0.26495232343264008</v>
      </c>
      <c r="M740" s="56">
        <f>INDEX('Infos Clientes'!$N:$N,MATCH('Detalhe Por UC'!C740,'Infos Clientes'!B:B,0))</f>
        <v>0</v>
      </c>
      <c r="N740" s="56">
        <f t="shared" si="418"/>
        <v>0</v>
      </c>
      <c r="O740" s="56">
        <f t="shared" si="419"/>
        <v>11</v>
      </c>
      <c r="P740" s="56">
        <f t="shared" si="454"/>
        <v>0</v>
      </c>
      <c r="Q740" s="61">
        <f>IFERROR(IFERROR(INDEX('Infos Clientes'!$A$2:$V$9884,MATCH($C740,'Infos Clientes'!$B$2:$B$9884,0),MATCH(Q$8,'Infos Clientes'!$A$2:$V$2,0)),"")
+IF(OR(INDEX('Infos Clientes'!$A$2:$V$9884,MATCH($C740,'Infos Clientes'!$B$2:$B$9884,0),MATCH("Tempo de Fidelidade (meses)",'Infos Clientes'!$A$2:$V$2,0))=0,R740&gt;=MAX(R:R)),0,
ROUND((MAX(R:R)-R740)/(365/12),0)),"")</f>
        <v>0</v>
      </c>
      <c r="R740" s="111">
        <v>45870</v>
      </c>
      <c r="S740" s="152">
        <v>3.0700000000000002E-2</v>
      </c>
      <c r="T740" s="113">
        <f>IF($H740="GIROSSOL II",AP740/INDEX('Resumo Operacional'!$A$1:$P$1103,17,MATCH('Detalhe Por UC'!$R740,'Resumo Operacional'!$A$1:$P$1,0)),
IF($H740="GIROSSOL II e III",AP740/INDEX('Resumo Operacional'!$A$1:$P$1103,17,MATCH('Detalhe Por UC'!$R740,'Resumo Operacional'!$A$1:$P$1,0)),
""))</f>
        <v>7.5032717754834957E-2</v>
      </c>
      <c r="U740" s="113" t="str">
        <f>IF($H740="GIROSSOL III",AP740/INDEX('Resumo Operacional'!$A$1:$P$1103,53,MATCH('Detalhe Por UC'!$R740,'Resumo Operacional'!$A$1:$P$1,0)),
IF($H740="GIROSSOL II e III",AP740/INDEX('Resumo Operacional'!$A$1:$P$1103,53,MATCH('Detalhe Por UC'!$R740,'Resumo Operacional'!$A$1:$P$1,0)),
""))</f>
        <v/>
      </c>
      <c r="X740" s="31">
        <v>1.1566850622406639</v>
      </c>
      <c r="Z740" s="18">
        <v>1.1566744680851062</v>
      </c>
      <c r="AB740" s="18">
        <v>241</v>
      </c>
      <c r="AD740" s="143">
        <v>141</v>
      </c>
      <c r="AF740" s="18">
        <v>375</v>
      </c>
      <c r="AH740" s="49">
        <v>61.67</v>
      </c>
      <c r="AK740" s="153">
        <v>177.34</v>
      </c>
      <c r="AL740" s="43">
        <f t="shared" si="456"/>
        <v>0</v>
      </c>
      <c r="AN740" s="71">
        <f t="shared" si="420"/>
        <v>375</v>
      </c>
      <c r="AO740" s="71">
        <f t="shared" si="421"/>
        <v>0</v>
      </c>
      <c r="AP740" s="71">
        <f t="shared" si="422"/>
        <v>516</v>
      </c>
      <c r="AQ740" s="72">
        <f>IF(OR($H740="GIROSSOL II",$H740="GIROSSOL II e III"),INDEX('Resumo Operacional'!$A$1:$P$1103,MATCH("Energia Injetada prevista total Fatura da Usina (TUSD)",'Resumo Operacional'!$B$1:$B$1103,0),MATCH('Detalhe Por UC'!$R740,'Resumo Operacional'!$A$1:$P$1,0))*$S740,INDEX('Resumo Operacional'!$A$1:$P$1103,53,MATCH('Detalhe Por UC'!$R740,'Resumo Operacional'!$A$1:$P$1,0))*$S740)</f>
        <v>211.12390000000002</v>
      </c>
      <c r="AR740" s="71">
        <f t="shared" si="423"/>
        <v>304.87609999999995</v>
      </c>
      <c r="AS740" s="73">
        <f t="shared" si="424"/>
        <v>177.34000000000003</v>
      </c>
      <c r="AT740" s="74">
        <f t="shared" si="425"/>
        <v>177.34000000000003</v>
      </c>
      <c r="AU740" s="74">
        <f t="shared" si="426"/>
        <v>1.1566638739295485</v>
      </c>
      <c r="AV740" s="74">
        <f t="shared" si="427"/>
        <v>126.23886657404184</v>
      </c>
      <c r="AW740" s="74">
        <f t="shared" si="428"/>
        <v>3.5527136788005009E-15</v>
      </c>
      <c r="AX740" s="74">
        <f t="shared" si="429"/>
        <v>163.09109999999998</v>
      </c>
      <c r="AY740" s="74">
        <f t="shared" si="430"/>
        <v>126.24</v>
      </c>
      <c r="AZ740" s="117">
        <v>126.24</v>
      </c>
      <c r="BA740" s="49">
        <v>126.24</v>
      </c>
      <c r="BB740" s="49">
        <v>126.24</v>
      </c>
      <c r="BC740" s="73" t="str">
        <f t="shared" si="431"/>
        <v/>
      </c>
      <c r="BD740" s="73">
        <f t="shared" si="432"/>
        <v>340.43110000000001</v>
      </c>
      <c r="BE740" s="73">
        <f t="shared" si="433"/>
        <v>303.57886657404185</v>
      </c>
      <c r="BF740" s="77">
        <f t="shared" si="434"/>
        <v>36.85</v>
      </c>
      <c r="BG740" s="77">
        <f t="shared" si="435"/>
        <v>11.055</v>
      </c>
      <c r="BH740" s="77">
        <f t="shared" si="436"/>
        <v>163.09109999999998</v>
      </c>
      <c r="BI740" s="78">
        <f t="shared" si="437"/>
        <v>0.23</v>
      </c>
      <c r="BJ740" s="79">
        <f t="shared" si="438"/>
        <v>0.10824510451600926</v>
      </c>
      <c r="BK740" s="80">
        <f t="shared" si="439"/>
        <v>303.58000000000004</v>
      </c>
      <c r="BL740" s="80">
        <f t="shared" si="440"/>
        <v>36.851099999999974</v>
      </c>
      <c r="BM740" s="79">
        <f t="shared" si="441"/>
        <v>0.10824833571315891</v>
      </c>
      <c r="BN740" s="81">
        <f t="shared" si="442"/>
        <v>0.89531914893617015</v>
      </c>
      <c r="BO740" s="82">
        <f t="shared" si="443"/>
        <v>126.24</v>
      </c>
      <c r="BP740" s="81">
        <f t="shared" si="444"/>
        <v>0.89531914893617015</v>
      </c>
      <c r="BQ740" s="81">
        <f t="shared" si="445"/>
        <v>0.89532974309172786</v>
      </c>
      <c r="BR740" s="81">
        <f t="shared" si="446"/>
        <v>1.1566850622406639</v>
      </c>
      <c r="BS740" s="82">
        <f t="shared" si="447"/>
        <v>141</v>
      </c>
      <c r="BT740" s="82">
        <f t="shared" si="448"/>
        <v>163.09259377593361</v>
      </c>
      <c r="BU740" s="82">
        <f t="shared" si="449"/>
        <v>163.09109999999998</v>
      </c>
      <c r="BW740" s="82">
        <f>IFERROR(INDEX('Infos Clientes'!$T:$T,MATCH('Detalhe Por UC'!$C740,'Infos Clientes'!B:B,0)),"")</f>
        <v>468.66666666666669</v>
      </c>
      <c r="BX740" s="83">
        <f t="shared" si="450"/>
        <v>0</v>
      </c>
      <c r="BY740" s="84">
        <f t="shared" si="451"/>
        <v>0.22595201380283544</v>
      </c>
      <c r="BZ740" s="85">
        <f>IF(_xlfn.MINIFS('Detalhe Por UC'!R:R,'Detalhe Por UC'!C:C,C740,'Detalhe Por UC'!AD:AD,"&gt;"&amp;0)=0,"",_xlfn.MINIFS('Detalhe Por UC'!R:R,'Detalhe Por UC'!C:C,C740,'Detalhe Por UC'!AD:AD,"&gt;"&amp;0))</f>
        <v>45627</v>
      </c>
      <c r="CA740" s="114">
        <f ca="1">IF(OR(S740&gt;0,AD740&gt;0),IFERROR(
SUMIFS(INDIRECT("'Infos Clientes'!$W"&amp;INDEX('Infos Clientes'!$C:$C,MATCH(C740,'Infos Clientes'!$H:$H,0))&amp;":$CZ"&amp;INDEX('Infos Clientes'!$C:$C,MATCH(C740,'Infos Clientes'!$H:$H,0))),'Infos Clientes'!$W$2:$CZ$2,"&gt;"&amp;$R740-365,'Infos Clientes'!$W$2:$CZ$2,"&lt;="&amp;$R740)/
COUNTIFS(INDIRECT("'Infos Clientes'!$W"&amp;INDEX('Infos Clientes'!$C:$C,MATCH(C740,'Infos Clientes'!$H:$H,0))&amp;":$CZ"&amp;INDEX('Infos Clientes'!$C:$C,MATCH(C740,'Infos Clientes'!$H:$H,0))),"&gt;="&amp;0,'Infos Clientes'!$W$2:$CZ$2,"&gt;"&amp;$R740-365,'Infos Clientes'!$W$2:$CZ$2,"&lt;="&amp;$R740),""),"")</f>
        <v>454.91666666666669</v>
      </c>
      <c r="CB740" s="87">
        <f>VLOOKUP(C740,'Infos Clientes'!B:L,11,0)</f>
        <v>0</v>
      </c>
      <c r="CC740" s="88" t="str">
        <f t="shared" si="452"/>
        <v>A Unidade Consumidora 10/3030784-7 economizou R$36,85 na fatura referente à ago/2025  consumindo 141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0" s="115">
        <f t="shared" si="453"/>
        <v>-177.34000000000003</v>
      </c>
    </row>
    <row r="741" spans="1:84" ht="16.2" hidden="1" customHeight="1" x14ac:dyDescent="0.3">
      <c r="A741" s="105" t="str">
        <f>INDEX('Infos Clientes'!$D:$D,MATCH('Detalhe Por UC'!C741,'Infos Clientes'!B:B,0))</f>
        <v>IGREJA DO EVANGELHO QUADRANGULAR</v>
      </c>
      <c r="B741" s="106" t="str">
        <f>INDEX('Infos Clientes'!$F:$F,MATCH('Detalhe Por UC'!C741,'Infos Clientes'!B:B,0))</f>
        <v>62.955.505/3216-30</v>
      </c>
      <c r="C741" s="44" t="s">
        <v>116</v>
      </c>
      <c r="D741" t="s">
        <v>351</v>
      </c>
      <c r="E741" s="1" t="s">
        <v>352</v>
      </c>
      <c r="F741" s="56" t="str">
        <f>INDEX('Infos Clientes'!$I:$I,MATCH('Detalhe Por UC'!C741,'Infos Clientes'!B:B,0))</f>
        <v>BT</v>
      </c>
      <c r="G741" s="56" t="str">
        <f>INDEX('Infos Clientes'!$J:$J,MATCH('Detalhe Por UC'!C741,'Infos Clientes'!B:B,0))</f>
        <v>trifasico</v>
      </c>
      <c r="H741" s="47" t="str">
        <f t="shared" si="455"/>
        <v>GIROSSOL II</v>
      </c>
      <c r="I741" s="58">
        <f>IFERROR(VLOOKUP(C741,'Infos Clientes'!B:E,4,),"")</f>
        <v>371</v>
      </c>
      <c r="J741" s="151">
        <v>0.22596103298069697</v>
      </c>
      <c r="K741" s="79">
        <f>INDEX('Resumo Operacional'!$A$1:$P$151,MATCH("Desconto percentual Ucs",'Resumo Operacional'!$B$1:$B$151,0),MATCH('Detalhe Por UC'!$R741,'Resumo Operacional'!$A$1:$P$1,0))</f>
        <v>0.26495232343264008</v>
      </c>
      <c r="M741" s="56">
        <f>INDEX('Infos Clientes'!$N:$N,MATCH('Detalhe Por UC'!C741,'Infos Clientes'!B:B,0))</f>
        <v>0</v>
      </c>
      <c r="N741" s="56">
        <f t="shared" si="418"/>
        <v>0</v>
      </c>
      <c r="O741" s="56">
        <f t="shared" si="419"/>
        <v>9</v>
      </c>
      <c r="P741" s="56">
        <f t="shared" si="454"/>
        <v>0</v>
      </c>
      <c r="Q741" s="61">
        <f>IFERROR(IFERROR(INDEX('Infos Clientes'!$A$2:$V$9884,MATCH($C741,'Infos Clientes'!$B$2:$B$9884,0),MATCH(Q$8,'Infos Clientes'!$A$2:$V$2,0)),"")
+IF(OR(INDEX('Infos Clientes'!$A$2:$V$9884,MATCH($C741,'Infos Clientes'!$B$2:$B$9884,0),MATCH("Tempo de Fidelidade (meses)",'Infos Clientes'!$A$2:$V$2,0))=0,R741&gt;=MAX(R:R)),0,
ROUND((MAX(R:R)-R741)/(365/12),0)),"")</f>
        <v>0</v>
      </c>
      <c r="R741" s="111">
        <v>45870</v>
      </c>
      <c r="S741" s="152">
        <v>3.0700000000000002E-2</v>
      </c>
      <c r="T741" s="113">
        <f>IF($H741="GIROSSOL II",AP741/INDEX('Resumo Operacional'!$A$1:$P$1103,17,MATCH('Detalhe Por UC'!$R741,'Resumo Operacional'!$A$1:$P$1,0)),
IF($H741="GIROSSOL II e III",AP741/INDEX('Resumo Operacional'!$A$1:$P$1103,17,MATCH('Detalhe Por UC'!$R741,'Resumo Operacional'!$A$1:$P$1,0)),
""))</f>
        <v>3.678929765886288E-2</v>
      </c>
      <c r="U741" s="113" t="str">
        <f>IF($H741="GIROSSOL III",AP741/INDEX('Resumo Operacional'!$A$1:$P$1103,53,MATCH('Detalhe Por UC'!$R741,'Resumo Operacional'!$A$1:$P$1,0)),
IF($H741="GIROSSOL II e III",AP741/INDEX('Resumo Operacional'!$A$1:$P$1103,53,MATCH('Detalhe Por UC'!$R741,'Resumo Operacional'!$A$1:$P$1,0)),
""))</f>
        <v/>
      </c>
      <c r="X741">
        <v>1.1623982142857143</v>
      </c>
      <c r="Z741" s="18">
        <v>1.1623967741935484</v>
      </c>
      <c r="AB741" s="18">
        <v>224</v>
      </c>
      <c r="AD741" s="143">
        <v>124</v>
      </c>
      <c r="AF741" s="18">
        <v>611</v>
      </c>
      <c r="AH741" s="49">
        <v>43.17</v>
      </c>
      <c r="AK741" s="153">
        <v>159.41</v>
      </c>
      <c r="AL741" s="43">
        <f t="shared" si="456"/>
        <v>0</v>
      </c>
      <c r="AN741" s="71">
        <f t="shared" si="420"/>
        <v>129</v>
      </c>
      <c r="AO741" s="71">
        <f t="shared" si="421"/>
        <v>0</v>
      </c>
      <c r="AP741" s="71">
        <f t="shared" si="422"/>
        <v>253</v>
      </c>
      <c r="AQ741" s="72">
        <f>IF(OR($H741="GIROSSOL II",$H741="GIROSSOL II e III"),INDEX('Resumo Operacional'!$A$1:$P$1103,MATCH("Energia Injetada prevista total Fatura da Usina (TUSD)",'Resumo Operacional'!$B$1:$B$1103,0),MATCH('Detalhe Por UC'!$R741,'Resumo Operacional'!$A$1:$P$1,0))*$S741,INDEX('Resumo Operacional'!$A$1:$P$1103,53,MATCH('Detalhe Por UC'!$R741,'Resumo Operacional'!$A$1:$P$1,0))*$S741)</f>
        <v>211.12390000000002</v>
      </c>
      <c r="AR741" s="71">
        <f t="shared" si="423"/>
        <v>41.87609999999998</v>
      </c>
      <c r="AS741" s="73">
        <f t="shared" si="424"/>
        <v>159.41000000000003</v>
      </c>
      <c r="AT741" s="74">
        <f t="shared" si="425"/>
        <v>159.41000000000003</v>
      </c>
      <c r="AU741" s="74">
        <f t="shared" si="426"/>
        <v>1.1623953341013824</v>
      </c>
      <c r="AV741" s="74">
        <f t="shared" si="427"/>
        <v>111.56780939705469</v>
      </c>
      <c r="AW741" s="74">
        <f t="shared" si="428"/>
        <v>0</v>
      </c>
      <c r="AX741" s="74">
        <f t="shared" si="429"/>
        <v>144.13720000000001</v>
      </c>
      <c r="AY741" s="74">
        <f t="shared" si="430"/>
        <v>111.57</v>
      </c>
      <c r="AZ741" s="117">
        <v>111.57</v>
      </c>
      <c r="BA741" s="49">
        <v>111.57</v>
      </c>
      <c r="BB741" s="49">
        <v>111.57</v>
      </c>
      <c r="BC741" s="73" t="str">
        <f t="shared" si="431"/>
        <v/>
      </c>
      <c r="BD741" s="73">
        <f t="shared" si="432"/>
        <v>303.54720000000003</v>
      </c>
      <c r="BE741" s="73">
        <f t="shared" si="433"/>
        <v>270.97780939705473</v>
      </c>
      <c r="BF741" s="77">
        <f t="shared" si="434"/>
        <v>32.57</v>
      </c>
      <c r="BG741" s="77">
        <f t="shared" si="435"/>
        <v>9.770999999999999</v>
      </c>
      <c r="BH741" s="77">
        <f t="shared" si="436"/>
        <v>144.13719999999998</v>
      </c>
      <c r="BI741" s="78">
        <f t="shared" si="437"/>
        <v>0.23</v>
      </c>
      <c r="BJ741" s="79">
        <f t="shared" si="438"/>
        <v>0.10729797540547235</v>
      </c>
      <c r="BK741" s="80">
        <f t="shared" si="439"/>
        <v>270.98</v>
      </c>
      <c r="BL741" s="80">
        <f t="shared" si="440"/>
        <v>32.567200000000014</v>
      </c>
      <c r="BM741" s="79">
        <f t="shared" si="441"/>
        <v>0.10728875113985571</v>
      </c>
      <c r="BN741" s="81">
        <f t="shared" si="442"/>
        <v>0.89975806451612894</v>
      </c>
      <c r="BO741" s="82">
        <f t="shared" si="443"/>
        <v>111.57</v>
      </c>
      <c r="BP741" s="81">
        <f t="shared" si="444"/>
        <v>0.89975806451612894</v>
      </c>
      <c r="BQ741" s="81">
        <f t="shared" si="445"/>
        <v>0.8997595046082949</v>
      </c>
      <c r="BR741" s="81">
        <f t="shared" si="446"/>
        <v>1.1623982142857143</v>
      </c>
      <c r="BS741" s="82">
        <f t="shared" si="447"/>
        <v>124</v>
      </c>
      <c r="BT741" s="82">
        <f t="shared" si="448"/>
        <v>144.13737857142857</v>
      </c>
      <c r="BU741" s="82">
        <f t="shared" si="449"/>
        <v>144.13720000000001</v>
      </c>
      <c r="BW741" s="82">
        <f>IFERROR(INDEX('Infos Clientes'!$T:$T,MATCH('Detalhe Por UC'!$C741,'Infos Clientes'!B:B,0)),"")</f>
        <v>513.41666666666663</v>
      </c>
      <c r="BX741" s="83">
        <f t="shared" si="450"/>
        <v>0</v>
      </c>
      <c r="BY741" s="84">
        <f t="shared" si="451"/>
        <v>0.22594555501688302</v>
      </c>
      <c r="BZ741" s="85">
        <f>IF(_xlfn.MINIFS('Detalhe Por UC'!R:R,'Detalhe Por UC'!C:C,C741,'Detalhe Por UC'!AD:AD,"&gt;"&amp;0)=0,"",_xlfn.MINIFS('Detalhe Por UC'!R:R,'Detalhe Por UC'!C:C,C741,'Detalhe Por UC'!AD:AD,"&gt;"&amp;0))</f>
        <v>45627</v>
      </c>
      <c r="CA741" s="114">
        <f ca="1">IF(OR(S741&gt;0,AD741&gt;0),IFERROR(
SUMIFS(INDIRECT("'Infos Clientes'!$W"&amp;INDEX('Infos Clientes'!$C:$C,MATCH(C741,'Infos Clientes'!$H:$H,0))&amp;":$CZ"&amp;INDEX('Infos Clientes'!$C:$C,MATCH(C741,'Infos Clientes'!$H:$H,0))),'Infos Clientes'!$W$2:$CZ$2,"&gt;"&amp;$R741-365,'Infos Clientes'!$W$2:$CZ$2,"&lt;="&amp;$R741)/
COUNTIFS(INDIRECT("'Infos Clientes'!$W"&amp;INDEX('Infos Clientes'!$C:$C,MATCH(C741,'Infos Clientes'!$H:$H,0))&amp;":$CZ"&amp;INDEX('Infos Clientes'!$C:$C,MATCH(C741,'Infos Clientes'!$H:$H,0))),"&gt;="&amp;0,'Infos Clientes'!$W$2:$CZ$2,"&gt;"&amp;$R741-365,'Infos Clientes'!$W$2:$CZ$2,"&lt;="&amp;$R741),""),"")</f>
        <v>454</v>
      </c>
      <c r="CB741" s="87">
        <f>VLOOKUP(C741,'Infos Clientes'!B:L,11,0)</f>
        <v>0</v>
      </c>
      <c r="CC741" s="88" t="str">
        <f t="shared" si="452"/>
        <v>A Unidade Consumidora 10/513413-5 economizou R$32,57 na fatura referente à ago/2025  consumindo 124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1" s="115">
        <f t="shared" si="453"/>
        <v>-159.41000000000003</v>
      </c>
    </row>
    <row r="742" spans="1:84" ht="16.2" hidden="1" customHeight="1" x14ac:dyDescent="0.3">
      <c r="A742" s="105" t="str">
        <f>INDEX('Infos Clientes'!$D:$D,MATCH('Detalhe Por UC'!C742,'Infos Clientes'!B:B,0))</f>
        <v>IGREJA DO EVANGELHO QUADRANGULAR</v>
      </c>
      <c r="B742" s="106" t="str">
        <f>INDEX('Infos Clientes'!$F:$F,MATCH('Detalhe Por UC'!C742,'Infos Clientes'!B:B,0))</f>
        <v>62.955.505/8789-87</v>
      </c>
      <c r="C742" s="44" t="s">
        <v>250</v>
      </c>
      <c r="D742" t="s">
        <v>351</v>
      </c>
      <c r="E742" s="1" t="s">
        <v>352</v>
      </c>
      <c r="F742" s="56">
        <f>INDEX('Infos Clientes'!$I:$I,MATCH('Detalhe Por UC'!C742,'Infos Clientes'!B:B,0))</f>
        <v>0</v>
      </c>
      <c r="G742" s="56" t="str">
        <f>INDEX('Infos Clientes'!$J:$J,MATCH('Detalhe Por UC'!C742,'Infos Clientes'!B:B,0))</f>
        <v>bifasico</v>
      </c>
      <c r="H742" s="47" t="str">
        <f t="shared" si="455"/>
        <v>GIROSSOL II</v>
      </c>
      <c r="I742" s="58">
        <f>IFERROR(VLOOKUP(C742,'Infos Clientes'!B:E,4,),"")</f>
        <v>319</v>
      </c>
      <c r="J742" s="151">
        <v>0.22596103298069697</v>
      </c>
      <c r="K742" s="79">
        <f>INDEX('Resumo Operacional'!$A$1:$P$151,MATCH("Desconto percentual Ucs",'Resumo Operacional'!$B$1:$B$151,0),MATCH('Detalhe Por UC'!$R742,'Resumo Operacional'!$A$1:$P$1,0))</f>
        <v>0.26495232343264008</v>
      </c>
      <c r="M742" s="56">
        <f>INDEX('Infos Clientes'!$N:$N,MATCH('Detalhe Por UC'!C742,'Infos Clientes'!B:B,0))</f>
        <v>0</v>
      </c>
      <c r="N742" s="56">
        <f t="shared" si="418"/>
        <v>0</v>
      </c>
      <c r="O742" s="56">
        <f t="shared" si="419"/>
        <v>5</v>
      </c>
      <c r="P742" s="56">
        <f t="shared" si="454"/>
        <v>0</v>
      </c>
      <c r="Q742" s="61">
        <f>IFERROR(IFERROR(INDEX('Infos Clientes'!$A$2:$V$9884,MATCH($C742,'Infos Clientes'!$B$2:$B$9884,0),MATCH(Q$8,'Infos Clientes'!$A$2:$V$2,0)),"")
+IF(OR(INDEX('Infos Clientes'!$A$2:$V$9884,MATCH($C742,'Infos Clientes'!$B$2:$B$9884,0),MATCH("Tempo de Fidelidade (meses)",'Infos Clientes'!$A$2:$V$2,0))=0,R742&gt;=MAX(R:R)),0,
ROUND((MAX(R:R)-R742)/(365/12),0)),"")</f>
        <v>0</v>
      </c>
      <c r="R742" s="111">
        <v>45870</v>
      </c>
      <c r="S742" s="152">
        <v>3.0700000000000002E-2</v>
      </c>
      <c r="T742" s="113">
        <f>IF($H742="GIROSSOL II",AP742/INDEX('Resumo Operacional'!$A$1:$P$1103,17,MATCH('Detalhe Por UC'!$R742,'Resumo Operacional'!$A$1:$P$1,0)),
IF($H742="GIROSSOL II e III",AP742/INDEX('Resumo Operacional'!$A$1:$P$1103,17,MATCH('Detalhe Por UC'!$R742,'Resumo Operacional'!$A$1:$P$1,0)),
""))</f>
        <v>0</v>
      </c>
      <c r="U742" s="113" t="str">
        <f>IF($H742="GIROSSOL III",AP742/INDEX('Resumo Operacional'!$A$1:$P$1103,53,MATCH('Detalhe Por UC'!$R742,'Resumo Operacional'!$A$1:$P$1,0)),
IF($H742="GIROSSOL II e III",AP742/INDEX('Resumo Operacional'!$A$1:$P$1103,53,MATCH('Detalhe Por UC'!$R742,'Resumo Operacional'!$A$1:$P$1,0)),
""))</f>
        <v/>
      </c>
      <c r="X742">
        <v>1.162551282051282</v>
      </c>
      <c r="Z742" s="18">
        <v>1.1625283018867925</v>
      </c>
      <c r="AB742" s="18">
        <v>156</v>
      </c>
      <c r="AD742" s="143">
        <v>106</v>
      </c>
      <c r="AF742" s="18">
        <v>244</v>
      </c>
      <c r="AH742" s="49">
        <v>76.330000000000013</v>
      </c>
      <c r="AK742" s="153">
        <v>134.46</v>
      </c>
      <c r="AL742" s="43">
        <f t="shared" si="456"/>
        <v>0</v>
      </c>
      <c r="AN742" s="71">
        <f t="shared" si="420"/>
        <v>-106</v>
      </c>
      <c r="AO742" s="71">
        <f t="shared" si="421"/>
        <v>0</v>
      </c>
      <c r="AP742" s="71">
        <f t="shared" si="422"/>
        <v>0</v>
      </c>
      <c r="AQ742" s="72">
        <f>IF(OR($H742="GIROSSOL II",$H742="GIROSSOL II e III"),INDEX('Resumo Operacional'!$A$1:$P$1103,MATCH("Energia Injetada prevista total Fatura da Usina (TUSD)",'Resumo Operacional'!$B$1:$B$1103,0),MATCH('Detalhe Por UC'!$R742,'Resumo Operacional'!$A$1:$P$1,0))*$S742,INDEX('Resumo Operacional'!$A$1:$P$1103,53,MATCH('Detalhe Por UC'!$R742,'Resumo Operacional'!$A$1:$P$1,0))*$S742)</f>
        <v>211.12390000000002</v>
      </c>
      <c r="AR742" s="71">
        <f t="shared" si="423"/>
        <v>-211.12390000000002</v>
      </c>
      <c r="AS742" s="73">
        <f t="shared" si="424"/>
        <v>134.46000000000004</v>
      </c>
      <c r="AT742" s="74">
        <f t="shared" si="425"/>
        <v>134.46000000000004</v>
      </c>
      <c r="AU742" s="74">
        <f t="shared" si="426"/>
        <v>1.1625053217223029</v>
      </c>
      <c r="AV742" s="74">
        <f t="shared" si="427"/>
        <v>95.38327382785468</v>
      </c>
      <c r="AW742" s="74">
        <f t="shared" si="428"/>
        <v>0</v>
      </c>
      <c r="AX742" s="74">
        <f t="shared" si="429"/>
        <v>123.22799999999999</v>
      </c>
      <c r="AY742" s="74">
        <f t="shared" si="430"/>
        <v>95.38</v>
      </c>
      <c r="AZ742" s="117">
        <v>95.38</v>
      </c>
      <c r="BA742" s="49">
        <v>95.38</v>
      </c>
      <c r="BB742" s="49">
        <v>95.38</v>
      </c>
      <c r="BC742" s="73" t="str">
        <f t="shared" si="431"/>
        <v/>
      </c>
      <c r="BD742" s="73">
        <f t="shared" si="432"/>
        <v>257.68799999999999</v>
      </c>
      <c r="BE742" s="73">
        <f t="shared" si="433"/>
        <v>229.84327382785472</v>
      </c>
      <c r="BF742" s="77">
        <f t="shared" si="434"/>
        <v>27.84</v>
      </c>
      <c r="BG742" s="77">
        <f t="shared" si="435"/>
        <v>8.3520000000000003</v>
      </c>
      <c r="BH742" s="77">
        <f t="shared" si="436"/>
        <v>123.22800000000001</v>
      </c>
      <c r="BI742" s="78">
        <f t="shared" si="437"/>
        <v>0.23</v>
      </c>
      <c r="BJ742" s="79">
        <f t="shared" si="438"/>
        <v>0.10803762689764367</v>
      </c>
      <c r="BK742" s="80">
        <f t="shared" si="439"/>
        <v>229.84000000000003</v>
      </c>
      <c r="BL742" s="80">
        <f t="shared" si="440"/>
        <v>27.847999999999956</v>
      </c>
      <c r="BM742" s="79">
        <f t="shared" si="441"/>
        <v>0.10806867219272903</v>
      </c>
      <c r="BN742" s="81">
        <f t="shared" si="442"/>
        <v>0.89981132075471693</v>
      </c>
      <c r="BO742" s="82">
        <f t="shared" si="443"/>
        <v>95.38</v>
      </c>
      <c r="BP742" s="81">
        <f t="shared" si="444"/>
        <v>0.89981132075471693</v>
      </c>
      <c r="BQ742" s="81">
        <f t="shared" si="445"/>
        <v>0.89983430091920646</v>
      </c>
      <c r="BR742" s="81">
        <f t="shared" si="446"/>
        <v>1.162551282051282</v>
      </c>
      <c r="BS742" s="82">
        <f t="shared" si="447"/>
        <v>106</v>
      </c>
      <c r="BT742" s="82">
        <f t="shared" si="448"/>
        <v>123.2304358974359</v>
      </c>
      <c r="BU742" s="82">
        <f t="shared" si="449"/>
        <v>123.22799999999999</v>
      </c>
      <c r="BW742" s="82">
        <f>IFERROR(INDEX('Infos Clientes'!$T:$T,MATCH('Detalhe Por UC'!$C742,'Infos Clientes'!B:B,0)),"")</f>
        <v>325</v>
      </c>
      <c r="BX742" s="83">
        <f t="shared" si="450"/>
        <v>0</v>
      </c>
      <c r="BY742" s="84">
        <f t="shared" si="451"/>
        <v>0.22598313312125071</v>
      </c>
      <c r="BZ742" s="85">
        <f>IF(_xlfn.MINIFS('Detalhe Por UC'!R:R,'Detalhe Por UC'!C:C,C742,'Detalhe Por UC'!AD:AD,"&gt;"&amp;0)=0,"",_xlfn.MINIFS('Detalhe Por UC'!R:R,'Detalhe Por UC'!C:C,C742,'Detalhe Por UC'!AD:AD,"&gt;"&amp;0))</f>
        <v>45839</v>
      </c>
      <c r="CA742" s="114">
        <f ca="1">IF(OR(S742&gt;0,AD742&gt;0),IFERROR(
SUMIFS(INDIRECT("'Infos Clientes'!$W"&amp;INDEX('Infos Clientes'!$C:$C,MATCH(C742,'Infos Clientes'!$H:$H,0))&amp;":$CZ"&amp;INDEX('Infos Clientes'!$C:$C,MATCH(C742,'Infos Clientes'!$H:$H,0))),'Infos Clientes'!$W$2:$CZ$2,"&gt;"&amp;$R742-365,'Infos Clientes'!$W$2:$CZ$2,"&lt;="&amp;$R742)/
COUNTIFS(INDIRECT("'Infos Clientes'!$W"&amp;INDEX('Infos Clientes'!$C:$C,MATCH(C742,'Infos Clientes'!$H:$H,0))&amp;":$CZ"&amp;INDEX('Infos Clientes'!$C:$C,MATCH(C742,'Infos Clientes'!$H:$H,0))),"&gt;="&amp;0,'Infos Clientes'!$W$2:$CZ$2,"&gt;"&amp;$R742-365,'Infos Clientes'!$W$2:$CZ$2,"&lt;="&amp;$R742),""),"")</f>
        <v>205.5</v>
      </c>
      <c r="CB742" s="87">
        <f>VLOOKUP(C742,'Infos Clientes'!B:L,11,0)</f>
        <v>0</v>
      </c>
      <c r="CC742" s="88" t="str">
        <f t="shared" si="452"/>
        <v>A Unidade Consumidora 10/1017804-4 economizou R$27,84 na fatura referente à ago/2025  consumindo 106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2" s="115">
        <f t="shared" si="453"/>
        <v>-134.46000000000004</v>
      </c>
    </row>
    <row r="743" spans="1:84" ht="16.2" hidden="1" customHeight="1" x14ac:dyDescent="0.3">
      <c r="A743" s="105" t="str">
        <f>INDEX('Infos Clientes'!$D:$D,MATCH('Detalhe Por UC'!C743,'Infos Clientes'!B:B,0))</f>
        <v>IGREJA DO EVANGELHO QUADRANGULAR</v>
      </c>
      <c r="B743" s="106" t="str">
        <f>INDEX('Infos Clientes'!$F:$F,MATCH('Detalhe Por UC'!C743,'Infos Clientes'!B:B,0))</f>
        <v>62.955.505/4194-43</v>
      </c>
      <c r="C743" s="44" t="s">
        <v>99</v>
      </c>
      <c r="D743" t="s">
        <v>351</v>
      </c>
      <c r="E743" s="1" t="s">
        <v>352</v>
      </c>
      <c r="F743" s="56" t="str">
        <f>INDEX('Infos Clientes'!$I:$I,MATCH('Detalhe Por UC'!C743,'Infos Clientes'!B:B,0))</f>
        <v>BT</v>
      </c>
      <c r="G743" s="56" t="str">
        <f>INDEX('Infos Clientes'!$J:$J,MATCH('Detalhe Por UC'!C743,'Infos Clientes'!B:B,0))</f>
        <v>trifasico</v>
      </c>
      <c r="H743" s="47" t="str">
        <f t="shared" si="455"/>
        <v>GIROSSOL II</v>
      </c>
      <c r="I743" s="58">
        <f>IFERROR(VLOOKUP(C743,'Infos Clientes'!B:E,4,),"")</f>
        <v>331</v>
      </c>
      <c r="J743" s="151">
        <v>0.22596103298069697</v>
      </c>
      <c r="K743" s="79">
        <f>INDEX('Resumo Operacional'!$A$1:$P$151,MATCH("Desconto percentual Ucs",'Resumo Operacional'!$B$1:$B$151,0),MATCH('Detalhe Por UC'!$R743,'Resumo Operacional'!$A$1:$P$1,0))</f>
        <v>0.26495232343264008</v>
      </c>
      <c r="M743" s="56">
        <f>INDEX('Infos Clientes'!$N:$N,MATCH('Detalhe Por UC'!C743,'Infos Clientes'!B:B,0))</f>
        <v>0</v>
      </c>
      <c r="N743" s="56">
        <f t="shared" si="418"/>
        <v>0</v>
      </c>
      <c r="O743" s="56">
        <f t="shared" si="419"/>
        <v>12</v>
      </c>
      <c r="P743" s="56">
        <f t="shared" si="454"/>
        <v>0</v>
      </c>
      <c r="Q743" s="61">
        <f>IFERROR(IFERROR(INDEX('Infos Clientes'!$A$2:$V$9884,MATCH($C743,'Infos Clientes'!$B$2:$B$9884,0),MATCH(Q$8,'Infos Clientes'!$A$2:$V$2,0)),"")
+IF(OR(INDEX('Infos Clientes'!$A$2:$V$9884,MATCH($C743,'Infos Clientes'!$B$2:$B$9884,0),MATCH("Tempo de Fidelidade (meses)",'Infos Clientes'!$A$2:$V$2,0))=0,R743&gt;=MAX(R:R)),0,
ROUND((MAX(R:R)-R743)/(365/12),0)),"")</f>
        <v>0</v>
      </c>
      <c r="R743" s="111">
        <v>45870</v>
      </c>
      <c r="S743" s="152">
        <v>2.07E-2</v>
      </c>
      <c r="T743" s="113">
        <f>IF($H743="GIROSSOL II",AP743/INDEX('Resumo Operacional'!$A$1:$P$1103,17,MATCH('Detalhe Por UC'!$R743,'Resumo Operacional'!$A$1:$P$1,0)),
IF($H743="GIROSSOL II e III",AP743/INDEX('Resumo Operacional'!$A$1:$P$1103,17,MATCH('Detalhe Por UC'!$R743,'Resumo Operacional'!$A$1:$P$1,0)),
""))</f>
        <v>4.5368620037807186E-2</v>
      </c>
      <c r="U743" s="113" t="str">
        <f>IF($H743="GIROSSOL III",AP743/INDEX('Resumo Operacional'!$A$1:$P$1103,53,MATCH('Detalhe Por UC'!$R743,'Resumo Operacional'!$A$1:$P$1,0)),
IF($H743="GIROSSOL II e III",AP743/INDEX('Resumo Operacional'!$A$1:$P$1103,53,MATCH('Detalhe Por UC'!$R743,'Resumo Operacional'!$A$1:$P$1,0)),
""))</f>
        <v/>
      </c>
      <c r="X743">
        <v>1.1803035242290749</v>
      </c>
      <c r="Z743" s="18">
        <v>1.1802275590551179</v>
      </c>
      <c r="AB743" s="18">
        <v>227</v>
      </c>
      <c r="AD743" s="143">
        <v>127</v>
      </c>
      <c r="AF743" s="18">
        <v>489</v>
      </c>
      <c r="AH743" s="49">
        <v>0</v>
      </c>
      <c r="AK743" s="153">
        <v>118.04</v>
      </c>
      <c r="AL743" s="43">
        <f t="shared" si="456"/>
        <v>0</v>
      </c>
      <c r="AN743" s="71">
        <f t="shared" si="420"/>
        <v>185</v>
      </c>
      <c r="AO743" s="71">
        <f t="shared" si="421"/>
        <v>0</v>
      </c>
      <c r="AP743" s="71">
        <f t="shared" si="422"/>
        <v>312</v>
      </c>
      <c r="AQ743" s="72">
        <f>IF(OR($H743="GIROSSOL II",$H743="GIROSSOL II e III"),INDEX('Resumo Operacional'!$A$1:$P$1103,MATCH("Energia Injetada prevista total Fatura da Usina (TUSD)",'Resumo Operacional'!$B$1:$B$1103,0),MATCH('Detalhe Por UC'!$R743,'Resumo Operacional'!$A$1:$P$1,0))*$S743,INDEX('Resumo Operacional'!$A$1:$P$1103,53,MATCH('Detalhe Por UC'!$R743,'Resumo Operacional'!$A$1:$P$1,0))*$S743)</f>
        <v>142.35390000000001</v>
      </c>
      <c r="AR743" s="71">
        <f t="shared" si="423"/>
        <v>169.64609999999999</v>
      </c>
      <c r="AS743" s="73">
        <f t="shared" si="424"/>
        <v>118.04000000000002</v>
      </c>
      <c r="AT743" s="74">
        <f t="shared" si="425"/>
        <v>118.04000000000002</v>
      </c>
      <c r="AU743" s="74">
        <f t="shared" si="426"/>
        <v>1.1801515938811609</v>
      </c>
      <c r="AV743" s="74">
        <f t="shared" si="427"/>
        <v>116.0198493236596</v>
      </c>
      <c r="AW743" s="74">
        <f t="shared" si="428"/>
        <v>0</v>
      </c>
      <c r="AX743" s="74">
        <f t="shared" si="429"/>
        <v>149.88889999999998</v>
      </c>
      <c r="AY743" s="74">
        <f t="shared" si="430"/>
        <v>116.02</v>
      </c>
      <c r="AZ743" s="117">
        <v>116.02</v>
      </c>
      <c r="BA743" s="49">
        <v>116.02</v>
      </c>
      <c r="BB743" s="49">
        <v>116.02</v>
      </c>
      <c r="BC743" s="73" t="str">
        <f t="shared" si="431"/>
        <v/>
      </c>
      <c r="BD743" s="73">
        <f t="shared" si="432"/>
        <v>267.9289</v>
      </c>
      <c r="BE743" s="73">
        <f t="shared" si="433"/>
        <v>234.05984932365962</v>
      </c>
      <c r="BF743" s="77">
        <f t="shared" si="434"/>
        <v>33.869999999999997</v>
      </c>
      <c r="BG743" s="77">
        <f t="shared" si="435"/>
        <v>10.161</v>
      </c>
      <c r="BH743" s="77">
        <f t="shared" si="436"/>
        <v>149.88889999999995</v>
      </c>
      <c r="BI743" s="78">
        <f t="shared" si="437"/>
        <v>0.23</v>
      </c>
      <c r="BJ743" s="79">
        <f t="shared" si="438"/>
        <v>0.12641413449612937</v>
      </c>
      <c r="BK743" s="80">
        <f t="shared" si="439"/>
        <v>234.06</v>
      </c>
      <c r="BL743" s="80">
        <f t="shared" si="440"/>
        <v>33.868899999999996</v>
      </c>
      <c r="BM743" s="79">
        <f t="shared" si="441"/>
        <v>0.12641002892931669</v>
      </c>
      <c r="BN743" s="81">
        <f t="shared" si="442"/>
        <v>0.91354330708661413</v>
      </c>
      <c r="BO743" s="82">
        <f t="shared" si="443"/>
        <v>116.02</v>
      </c>
      <c r="BP743" s="81">
        <f t="shared" si="444"/>
        <v>0.91354330708661413</v>
      </c>
      <c r="BQ743" s="81">
        <f t="shared" si="445"/>
        <v>0.91361927226057116</v>
      </c>
      <c r="BR743" s="81">
        <f t="shared" si="446"/>
        <v>1.1803035242290749</v>
      </c>
      <c r="BS743" s="82">
        <f t="shared" si="447"/>
        <v>127</v>
      </c>
      <c r="BT743" s="82">
        <f t="shared" si="448"/>
        <v>149.8985475770925</v>
      </c>
      <c r="BU743" s="82">
        <f t="shared" si="449"/>
        <v>149.88889999999998</v>
      </c>
      <c r="BW743" s="82">
        <f>IFERROR(INDEX('Infos Clientes'!$T:$T,MATCH('Detalhe Por UC'!$C743,'Infos Clientes'!B:B,0)),"")</f>
        <v>433.16666666666669</v>
      </c>
      <c r="BX743" s="83">
        <f t="shared" si="450"/>
        <v>0</v>
      </c>
      <c r="BY743" s="84">
        <f t="shared" si="451"/>
        <v>0.2259454847791722</v>
      </c>
      <c r="BZ743" s="85">
        <f>IF(_xlfn.MINIFS('Detalhe Por UC'!R:R,'Detalhe Por UC'!C:C,C743,'Detalhe Por UC'!AD:AD,"&gt;"&amp;0)=0,"",_xlfn.MINIFS('Detalhe Por UC'!R:R,'Detalhe Por UC'!C:C,C743,'Detalhe Por UC'!AD:AD,"&gt;"&amp;0))</f>
        <v>45627</v>
      </c>
      <c r="CA743" s="114">
        <f ca="1">IF(OR(S743&gt;0,AD743&gt;0),IFERROR(
SUMIFS(INDIRECT("'Infos Clientes'!$W"&amp;INDEX('Infos Clientes'!$C:$C,MATCH(C743,'Infos Clientes'!$H:$H,0))&amp;":$CZ"&amp;INDEX('Infos Clientes'!$C:$C,MATCH(C743,'Infos Clientes'!$H:$H,0))),'Infos Clientes'!$W$2:$CZ$2,"&gt;"&amp;$R743-365,'Infos Clientes'!$W$2:$CZ$2,"&lt;="&amp;$R743)/
COUNTIFS(INDIRECT("'Infos Clientes'!$W"&amp;INDEX('Infos Clientes'!$C:$C,MATCH(C743,'Infos Clientes'!$H:$H,0))&amp;":$CZ"&amp;INDEX('Infos Clientes'!$C:$C,MATCH(C743,'Infos Clientes'!$H:$H,0))),"&gt;="&amp;0,'Infos Clientes'!$W$2:$CZ$2,"&gt;"&amp;$R743-365,'Infos Clientes'!$W$2:$CZ$2,"&lt;="&amp;$R743),""),"")</f>
        <v>385.41666666666669</v>
      </c>
      <c r="CB743" s="87">
        <f>VLOOKUP(C743,'Infos Clientes'!B:L,11,0)</f>
        <v>0</v>
      </c>
      <c r="CC743" s="88" t="str">
        <f t="shared" si="452"/>
        <v>A Unidade Consumidora 10/3092868-3 economizou R$33,87 na fatura referente à ago/2025  consumindo 127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3" s="115">
        <f t="shared" si="453"/>
        <v>-118.04000000000002</v>
      </c>
    </row>
    <row r="744" spans="1:84" ht="16.2" hidden="1" customHeight="1" x14ac:dyDescent="0.3">
      <c r="A744" s="105" t="str">
        <f>INDEX('Infos Clientes'!$D:$D,MATCH('Detalhe Por UC'!C744,'Infos Clientes'!B:B,0))</f>
        <v>IGREJA DO EVANGELHO QUADRANGULAR</v>
      </c>
      <c r="B744" s="106" t="str">
        <f>INDEX('Infos Clientes'!$F:$F,MATCH('Detalhe Por UC'!C744,'Infos Clientes'!B:B,0))</f>
        <v>62.955.505/0160-80</v>
      </c>
      <c r="C744" s="44" t="s">
        <v>114</v>
      </c>
      <c r="D744" t="s">
        <v>351</v>
      </c>
      <c r="E744" s="1" t="s">
        <v>352</v>
      </c>
      <c r="F744" s="56" t="str">
        <f>INDEX('Infos Clientes'!$I:$I,MATCH('Detalhe Por UC'!C744,'Infos Clientes'!B:B,0))</f>
        <v>BT</v>
      </c>
      <c r="G744" s="56" t="str">
        <f>INDEX('Infos Clientes'!$J:$J,MATCH('Detalhe Por UC'!C744,'Infos Clientes'!B:B,0))</f>
        <v>bifasico</v>
      </c>
      <c r="H744" s="47" t="str">
        <f t="shared" si="455"/>
        <v>GIROSSOL II</v>
      </c>
      <c r="I744" s="58">
        <f>IFERROR(VLOOKUP(C744,'Infos Clientes'!B:E,4,),"")</f>
        <v>357</v>
      </c>
      <c r="J744" s="151">
        <v>0.22596103298069697</v>
      </c>
      <c r="K744" s="79">
        <f>INDEX('Resumo Operacional'!$A$1:$P$151,MATCH("Desconto percentual Ucs",'Resumo Operacional'!$B$1:$B$151,0),MATCH('Detalhe Por UC'!$R744,'Resumo Operacional'!$A$1:$P$1,0))</f>
        <v>0.26495232343264008</v>
      </c>
      <c r="M744" s="56">
        <f>INDEX('Infos Clientes'!$N:$N,MATCH('Detalhe Por UC'!C744,'Infos Clientes'!B:B,0))</f>
        <v>0</v>
      </c>
      <c r="N744" s="56">
        <f t="shared" si="418"/>
        <v>0</v>
      </c>
      <c r="O744" s="56">
        <f t="shared" si="419"/>
        <v>12</v>
      </c>
      <c r="P744" s="56">
        <f t="shared" si="454"/>
        <v>0</v>
      </c>
      <c r="Q744" s="61">
        <f>IFERROR(IFERROR(INDEX('Infos Clientes'!$A$2:$V$9884,MATCH($C744,'Infos Clientes'!$B$2:$B$9884,0),MATCH(Q$8,'Infos Clientes'!$A$2:$V$2,0)),"")
+IF(OR(INDEX('Infos Clientes'!$A$2:$V$9884,MATCH($C744,'Infos Clientes'!$B$2:$B$9884,0),MATCH("Tempo de Fidelidade (meses)",'Infos Clientes'!$A$2:$V$2,0))=0,R744&gt;=MAX(R:R)),0,
ROUND((MAX(R:R)-R744)/(365/12),0)),"")</f>
        <v>0</v>
      </c>
      <c r="R744" s="111">
        <v>45870</v>
      </c>
      <c r="S744" s="152">
        <v>2.07E-2</v>
      </c>
      <c r="T744" s="113">
        <f>IF($H744="GIROSSOL II",AP744/INDEX('Resumo Operacional'!$A$1:$P$1103,17,MATCH('Detalhe Por UC'!$R744,'Resumo Operacional'!$A$1:$P$1,0)),
IF($H744="GIROSSOL II e III",AP744/INDEX('Resumo Operacional'!$A$1:$P$1103,17,MATCH('Detalhe Por UC'!$R744,'Resumo Operacional'!$A$1:$P$1,0)),
""))</f>
        <v>2.4720081430856477E-2</v>
      </c>
      <c r="U744" s="113" t="str">
        <f>IF($H744="GIROSSOL III",AP744/INDEX('Resumo Operacional'!$A$1:$P$1103,53,MATCH('Detalhe Por UC'!$R744,'Resumo Operacional'!$A$1:$P$1,0)),
IF($H744="GIROSSOL II e III",AP744/INDEX('Resumo Operacional'!$A$1:$P$1103,53,MATCH('Detalhe Por UC'!$R744,'Resumo Operacional'!$A$1:$P$1,0)),
""))</f>
        <v/>
      </c>
      <c r="X744">
        <v>1.1623945945945946</v>
      </c>
      <c r="Z744" s="18">
        <v>1.1623918367346939</v>
      </c>
      <c r="AB744" s="18">
        <v>148</v>
      </c>
      <c r="AD744" s="143">
        <v>98</v>
      </c>
      <c r="AF744" s="18">
        <v>616</v>
      </c>
      <c r="AH744" s="49">
        <v>38.18</v>
      </c>
      <c r="AK744" s="153">
        <v>96.3</v>
      </c>
      <c r="AL744" s="43">
        <f t="shared" si="456"/>
        <v>0</v>
      </c>
      <c r="AN744" s="71">
        <f t="shared" si="420"/>
        <v>72</v>
      </c>
      <c r="AO744" s="71">
        <f t="shared" si="421"/>
        <v>0</v>
      </c>
      <c r="AP744" s="71">
        <f t="shared" si="422"/>
        <v>170</v>
      </c>
      <c r="AQ744" s="72">
        <f>IF(OR($H744="GIROSSOL II",$H744="GIROSSOL II e III"),INDEX('Resumo Operacional'!$A$1:$P$1103,MATCH("Energia Injetada prevista total Fatura da Usina (TUSD)",'Resumo Operacional'!$B$1:$B$1103,0),MATCH('Detalhe Por UC'!$R744,'Resumo Operacional'!$A$1:$P$1,0))*$S744,INDEX('Resumo Operacional'!$A$1:$P$1103,53,MATCH('Detalhe Por UC'!$R744,'Resumo Operacional'!$A$1:$P$1,0))*$S744)</f>
        <v>142.35390000000001</v>
      </c>
      <c r="AR744" s="71">
        <f t="shared" si="423"/>
        <v>27.64609999999999</v>
      </c>
      <c r="AS744" s="73">
        <f t="shared" si="424"/>
        <v>96.300000000000011</v>
      </c>
      <c r="AT744" s="74">
        <f t="shared" si="425"/>
        <v>96.300000000000011</v>
      </c>
      <c r="AU744" s="74">
        <f t="shared" si="426"/>
        <v>1.1623890788747933</v>
      </c>
      <c r="AV744" s="74">
        <f t="shared" si="427"/>
        <v>88.17418450462371</v>
      </c>
      <c r="AW744" s="74">
        <f t="shared" si="428"/>
        <v>0</v>
      </c>
      <c r="AX744" s="74">
        <f t="shared" si="429"/>
        <v>113.9144</v>
      </c>
      <c r="AY744" s="74">
        <f t="shared" si="430"/>
        <v>88.17</v>
      </c>
      <c r="AZ744" s="117">
        <v>88.17</v>
      </c>
      <c r="BA744" s="49">
        <v>88.17</v>
      </c>
      <c r="BB744" s="49">
        <v>88.17</v>
      </c>
      <c r="BC744" s="73" t="str">
        <f t="shared" si="431"/>
        <v/>
      </c>
      <c r="BD744" s="73">
        <f t="shared" si="432"/>
        <v>210.21440000000001</v>
      </c>
      <c r="BE744" s="73">
        <f t="shared" si="433"/>
        <v>184.47418450462374</v>
      </c>
      <c r="BF744" s="77">
        <f t="shared" si="434"/>
        <v>25.74</v>
      </c>
      <c r="BG744" s="77">
        <f t="shared" si="435"/>
        <v>7.7219999999999995</v>
      </c>
      <c r="BH744" s="77">
        <f t="shared" si="436"/>
        <v>113.9144</v>
      </c>
      <c r="BI744" s="78">
        <f t="shared" si="437"/>
        <v>0.23</v>
      </c>
      <c r="BJ744" s="79">
        <f t="shared" si="438"/>
        <v>0.12244641661085062</v>
      </c>
      <c r="BK744" s="80">
        <f t="shared" si="439"/>
        <v>184.47000000000003</v>
      </c>
      <c r="BL744" s="80">
        <f t="shared" si="440"/>
        <v>25.744399999999985</v>
      </c>
      <c r="BM744" s="79">
        <f t="shared" si="441"/>
        <v>0.12246734762223703</v>
      </c>
      <c r="BN744" s="81">
        <f t="shared" si="442"/>
        <v>0.89969387755102037</v>
      </c>
      <c r="BO744" s="82">
        <f t="shared" si="443"/>
        <v>88.17</v>
      </c>
      <c r="BP744" s="81">
        <f t="shared" si="444"/>
        <v>0.89969387755102037</v>
      </c>
      <c r="BQ744" s="81">
        <f t="shared" si="445"/>
        <v>0.89969663541092104</v>
      </c>
      <c r="BR744" s="81">
        <f t="shared" si="446"/>
        <v>1.1623945945945946</v>
      </c>
      <c r="BS744" s="82">
        <f t="shared" si="447"/>
        <v>98</v>
      </c>
      <c r="BT744" s="82">
        <f t="shared" si="448"/>
        <v>113.91467027027026</v>
      </c>
      <c r="BU744" s="82">
        <f t="shared" si="449"/>
        <v>113.9144</v>
      </c>
      <c r="BW744" s="82">
        <f>IFERROR(INDEX('Infos Clientes'!$T:$T,MATCH('Detalhe Por UC'!$C744,'Infos Clientes'!B:B,0)),"")</f>
        <v>215.58333333333334</v>
      </c>
      <c r="BX744" s="83">
        <f t="shared" si="450"/>
        <v>0</v>
      </c>
      <c r="BY744" s="84">
        <f t="shared" si="451"/>
        <v>0.22599723054914417</v>
      </c>
      <c r="BZ744" s="85">
        <f>IF(_xlfn.MINIFS('Detalhe Por UC'!R:R,'Detalhe Por UC'!C:C,C744,'Detalhe Por UC'!AD:AD,"&gt;"&amp;0)=0,"",_xlfn.MINIFS('Detalhe Por UC'!R:R,'Detalhe Por UC'!C:C,C744,'Detalhe Por UC'!AD:AD,"&gt;"&amp;0))</f>
        <v>45627</v>
      </c>
      <c r="CA744" s="114">
        <f ca="1">IF(OR(S744&gt;0,AD744&gt;0),IFERROR(
SUMIFS(INDIRECT("'Infos Clientes'!$W"&amp;INDEX('Infos Clientes'!$C:$C,MATCH(C744,'Infos Clientes'!$H:$H,0))&amp;":$CZ"&amp;INDEX('Infos Clientes'!$C:$C,MATCH(C744,'Infos Clientes'!$H:$H,0))),'Infos Clientes'!$W$2:$CZ$2,"&gt;"&amp;$R744-365,'Infos Clientes'!$W$2:$CZ$2,"&lt;="&amp;$R744)/
COUNTIFS(INDIRECT("'Infos Clientes'!$W"&amp;INDEX('Infos Clientes'!$C:$C,MATCH(C744,'Infos Clientes'!$H:$H,0))&amp;":$CZ"&amp;INDEX('Infos Clientes'!$C:$C,MATCH(C744,'Infos Clientes'!$H:$H,0))),"&gt;="&amp;0,'Infos Clientes'!$W$2:$CZ$2,"&gt;"&amp;$R744-365,'Infos Clientes'!$W$2:$CZ$2,"&lt;="&amp;$R744),""),"")</f>
        <v>220.25</v>
      </c>
      <c r="CB744" s="87">
        <f>VLOOKUP(C744,'Infos Clientes'!B:L,11,0)</f>
        <v>0</v>
      </c>
      <c r="CC744" s="88" t="str">
        <f t="shared" si="452"/>
        <v>A Unidade Consumidora 10/511753-6 economizou R$25,74 na fatura referente à ago/2025  consumindo 98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4" s="115">
        <f t="shared" si="453"/>
        <v>-96.300000000000011</v>
      </c>
    </row>
    <row r="745" spans="1:84" ht="16.2" hidden="1" customHeight="1" x14ac:dyDescent="0.3">
      <c r="A745" s="105" t="str">
        <f>INDEX('Infos Clientes'!$D:$D,MATCH('Detalhe Por UC'!C745,'Infos Clientes'!B:B,0))</f>
        <v>IGREJA DO EVANGELHO QUADRANGULAR</v>
      </c>
      <c r="B745" s="106" t="str">
        <f>INDEX('Infos Clientes'!$F:$F,MATCH('Detalhe Por UC'!C745,'Infos Clientes'!B:B,0))</f>
        <v>62.955.505/1935-34</v>
      </c>
      <c r="C745" s="44" t="s">
        <v>120</v>
      </c>
      <c r="D745" t="s">
        <v>351</v>
      </c>
      <c r="E745" s="1" t="s">
        <v>352</v>
      </c>
      <c r="F745" s="56" t="str">
        <f>INDEX('Infos Clientes'!$I:$I,MATCH('Detalhe Por UC'!C745,'Infos Clientes'!B:B,0))</f>
        <v>BT</v>
      </c>
      <c r="G745" s="56" t="str">
        <f>INDEX('Infos Clientes'!$J:$J,MATCH('Detalhe Por UC'!C745,'Infos Clientes'!B:B,0))</f>
        <v>trifasico</v>
      </c>
      <c r="H745" s="47" t="str">
        <f t="shared" si="455"/>
        <v>GIROSSOL II</v>
      </c>
      <c r="I745" s="58">
        <f>IFERROR(VLOOKUP(C745,'Infos Clientes'!B:E,4,),"")</f>
        <v>994</v>
      </c>
      <c r="J745" s="151">
        <v>0.22596103298069697</v>
      </c>
      <c r="K745" s="79">
        <f>INDEX('Resumo Operacional'!$A$1:$P$151,MATCH("Desconto percentual Ucs",'Resumo Operacional'!$B$1:$B$151,0),MATCH('Detalhe Por UC'!$R745,'Resumo Operacional'!$A$1:$P$1,0))</f>
        <v>0.26495232343264008</v>
      </c>
      <c r="M745" s="56">
        <f>INDEX('Infos Clientes'!$N:$N,MATCH('Detalhe Por UC'!C745,'Infos Clientes'!B:B,0))</f>
        <v>0</v>
      </c>
      <c r="N745" s="56">
        <f t="shared" si="418"/>
        <v>0</v>
      </c>
      <c r="O745" s="56">
        <f t="shared" si="419"/>
        <v>12</v>
      </c>
      <c r="P745" s="56">
        <f t="shared" si="454"/>
        <v>0</v>
      </c>
      <c r="Q745" s="61">
        <f>IFERROR(IFERROR(INDEX('Infos Clientes'!$A$2:$V$9884,MATCH($C745,'Infos Clientes'!$B$2:$B$9884,0),MATCH(Q$8,'Infos Clientes'!$A$2:$V$2,0)),"")
+IF(OR(INDEX('Infos Clientes'!$A$2:$V$9884,MATCH($C745,'Infos Clientes'!$B$2:$B$9884,0),MATCH("Tempo de Fidelidade (meses)",'Infos Clientes'!$A$2:$V$2,0))=0,R745&gt;=MAX(R:R)),0,
ROUND((MAX(R:R)-R745)/(365/12),0)),"")</f>
        <v>0</v>
      </c>
      <c r="R745" s="111">
        <v>45870</v>
      </c>
      <c r="S745" s="152">
        <v>2.07E-2</v>
      </c>
      <c r="T745" s="113">
        <f>IF($H745="GIROSSOL II",AP745/INDEX('Resumo Operacional'!$A$1:$P$1103,17,MATCH('Detalhe Por UC'!$R745,'Resumo Operacional'!$A$1:$P$1,0)),
IF($H745="GIROSSOL II e III",AP745/INDEX('Resumo Operacional'!$A$1:$P$1103,17,MATCH('Detalhe Por UC'!$R745,'Resumo Operacional'!$A$1:$P$1,0)),
""))</f>
        <v>2.4720081430856477E-2</v>
      </c>
      <c r="U745" s="113" t="str">
        <f>IF($H745="GIROSSOL III",AP745/INDEX('Resumo Operacional'!$A$1:$P$1103,53,MATCH('Detalhe Por UC'!$R745,'Resumo Operacional'!$A$1:$P$1,0)),
IF($H745="GIROSSOL II e III",AP745/INDEX('Resumo Operacional'!$A$1:$P$1103,53,MATCH('Detalhe Por UC'!$R745,'Resumo Operacional'!$A$1:$P$1,0)),
""))</f>
        <v/>
      </c>
      <c r="X745">
        <v>1.166815958066395</v>
      </c>
      <c r="Z745" s="18">
        <v>1.1667929401635817</v>
      </c>
      <c r="AB745" s="18">
        <v>170</v>
      </c>
      <c r="AD745" s="143">
        <v>69</v>
      </c>
      <c r="AF745" s="18">
        <v>348</v>
      </c>
      <c r="AH745" s="49">
        <v>36.01</v>
      </c>
      <c r="AK745" s="153">
        <v>153.86000000000001</v>
      </c>
      <c r="AL745" s="43">
        <f t="shared" si="456"/>
        <v>0</v>
      </c>
      <c r="AN745" s="71">
        <f t="shared" si="420"/>
        <v>101</v>
      </c>
      <c r="AO745" s="71">
        <f t="shared" si="421"/>
        <v>0</v>
      </c>
      <c r="AP745" s="71">
        <f t="shared" si="422"/>
        <v>170</v>
      </c>
      <c r="AQ745" s="72">
        <f>IF(OR($H745="GIROSSOL II",$H745="GIROSSOL II e III"),INDEX('Resumo Operacional'!$A$1:$P$1103,MATCH("Energia Injetada prevista total Fatura da Usina (TUSD)",'Resumo Operacional'!$B$1:$B$1103,0),MATCH('Detalhe Por UC'!$R745,'Resumo Operacional'!$A$1:$P$1,0))*$S745,INDEX('Resumo Operacional'!$A$1:$P$1103,53,MATCH('Detalhe Por UC'!$R745,'Resumo Operacional'!$A$1:$P$1,0))*$S745)</f>
        <v>142.35390000000001</v>
      </c>
      <c r="AR745" s="71">
        <f t="shared" si="423"/>
        <v>27.64609999999999</v>
      </c>
      <c r="AS745" s="73">
        <f t="shared" si="424"/>
        <v>153.86000000000001</v>
      </c>
      <c r="AT745" s="74">
        <f t="shared" si="425"/>
        <v>153.86000000000001</v>
      </c>
      <c r="AU745" s="74">
        <f t="shared" si="426"/>
        <v>1.1667699222607684</v>
      </c>
      <c r="AV745" s="74">
        <f t="shared" si="427"/>
        <v>62.316880946944764</v>
      </c>
      <c r="AW745" s="74">
        <f t="shared" si="428"/>
        <v>0</v>
      </c>
      <c r="AX745" s="74">
        <f t="shared" si="429"/>
        <v>80.508712871287145</v>
      </c>
      <c r="AY745" s="74">
        <f t="shared" si="430"/>
        <v>62.32</v>
      </c>
      <c r="AZ745" s="117">
        <v>62.32</v>
      </c>
      <c r="BA745" s="49">
        <v>62.32</v>
      </c>
      <c r="BB745" s="49">
        <v>62.32</v>
      </c>
      <c r="BC745" s="73" t="str">
        <f t="shared" si="431"/>
        <v/>
      </c>
      <c r="BD745" s="73">
        <f t="shared" si="432"/>
        <v>234.36871287128716</v>
      </c>
      <c r="BE745" s="73">
        <f t="shared" si="433"/>
        <v>216.17688094694478</v>
      </c>
      <c r="BF745" s="77">
        <f t="shared" si="434"/>
        <v>18.190000000000001</v>
      </c>
      <c r="BG745" s="77">
        <f t="shared" si="435"/>
        <v>5.4569999999999999</v>
      </c>
      <c r="BH745" s="77">
        <f t="shared" si="436"/>
        <v>80.50871287128713</v>
      </c>
      <c r="BI745" s="78">
        <f t="shared" si="437"/>
        <v>0.23</v>
      </c>
      <c r="BJ745" s="79">
        <f t="shared" si="438"/>
        <v>7.7612748635052492E-2</v>
      </c>
      <c r="BK745" s="80">
        <f t="shared" si="439"/>
        <v>216.18</v>
      </c>
      <c r="BL745" s="80">
        <f t="shared" si="440"/>
        <v>18.188712871287152</v>
      </c>
      <c r="BM745" s="79">
        <f t="shared" si="441"/>
        <v>7.760725673855709E-2</v>
      </c>
      <c r="BN745" s="81">
        <f t="shared" si="442"/>
        <v>0.90318840579710147</v>
      </c>
      <c r="BO745" s="82">
        <f t="shared" si="443"/>
        <v>62.32</v>
      </c>
      <c r="BP745" s="81">
        <f t="shared" si="444"/>
        <v>0.90318840579710147</v>
      </c>
      <c r="BQ745" s="81">
        <f t="shared" si="445"/>
        <v>0.90321142369991481</v>
      </c>
      <c r="BR745" s="81">
        <f t="shared" si="446"/>
        <v>1.166815958066395</v>
      </c>
      <c r="BS745" s="82">
        <f t="shared" si="447"/>
        <v>69</v>
      </c>
      <c r="BT745" s="82">
        <f t="shared" si="448"/>
        <v>80.510301106581252</v>
      </c>
      <c r="BU745" s="82">
        <f t="shared" si="449"/>
        <v>80.508712871287145</v>
      </c>
      <c r="BW745" s="82">
        <f>IFERROR(INDEX('Infos Clientes'!$T:$T,MATCH('Detalhe Por UC'!$C745,'Infos Clientes'!B:B,0)),"")</f>
        <v>350.91666666666669</v>
      </c>
      <c r="BX745" s="83">
        <f t="shared" si="450"/>
        <v>0</v>
      </c>
      <c r="BY745" s="84">
        <f t="shared" si="451"/>
        <v>0.22591783438008173</v>
      </c>
      <c r="BZ745" s="85">
        <f>IF(_xlfn.MINIFS('Detalhe Por UC'!R:R,'Detalhe Por UC'!C:C,C745,'Detalhe Por UC'!AD:AD,"&gt;"&amp;0)=0,"",_xlfn.MINIFS('Detalhe Por UC'!R:R,'Detalhe Por UC'!C:C,C745,'Detalhe Por UC'!AD:AD,"&gt;"&amp;0))</f>
        <v>45627</v>
      </c>
      <c r="CA745" s="114">
        <f ca="1">IF(OR(S745&gt;0,AD745&gt;0),IFERROR(
SUMIFS(INDIRECT("'Infos Clientes'!$W"&amp;INDEX('Infos Clientes'!$C:$C,MATCH(C745,'Infos Clientes'!$H:$H,0))&amp;":$CZ"&amp;INDEX('Infos Clientes'!$C:$C,MATCH(C745,'Infos Clientes'!$H:$H,0))),'Infos Clientes'!$W$2:$CZ$2,"&gt;"&amp;$R745-365,'Infos Clientes'!$W$2:$CZ$2,"&lt;="&amp;$R745)/
COUNTIFS(INDIRECT("'Infos Clientes'!$W"&amp;INDEX('Infos Clientes'!$C:$C,MATCH(C745,'Infos Clientes'!$H:$H,0))&amp;":$CZ"&amp;INDEX('Infos Clientes'!$C:$C,MATCH(C745,'Infos Clientes'!$H:$H,0))),"&gt;="&amp;0,'Infos Clientes'!$W$2:$CZ$2,"&gt;"&amp;$R745-365,'Infos Clientes'!$W$2:$CZ$2,"&lt;="&amp;$R745),""),"")</f>
        <v>324.66666666666669</v>
      </c>
      <c r="CB745" s="87">
        <f>VLOOKUP(C745,'Infos Clientes'!B:L,11,0)</f>
        <v>0</v>
      </c>
      <c r="CC745" s="88" t="str">
        <f t="shared" si="452"/>
        <v>A Unidade Consumidora 10/532081-7 economizou R$18,19 na fatura referente à ago/2025  consumindo 69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5" s="115">
        <f t="shared" si="453"/>
        <v>-153.86000000000001</v>
      </c>
    </row>
    <row r="746" spans="1:84" ht="16.2" hidden="1" customHeight="1" x14ac:dyDescent="0.3">
      <c r="A746" s="105" t="str">
        <f>INDEX('Infos Clientes'!$D:$D,MATCH('Detalhe Por UC'!C746,'Infos Clientes'!B:B,0))</f>
        <v>IGREJA DO EVANGELHO QUADRANGULAR</v>
      </c>
      <c r="B746" s="106" t="str">
        <f>INDEX('Infos Clientes'!$F:$F,MATCH('Detalhe Por UC'!C746,'Infos Clientes'!B:B,0))</f>
        <v>62.955.505/4027-10</v>
      </c>
      <c r="C746" s="44" t="s">
        <v>126</v>
      </c>
      <c r="D746" t="s">
        <v>351</v>
      </c>
      <c r="E746" s="1" t="s">
        <v>352</v>
      </c>
      <c r="F746" s="56" t="str">
        <f>INDEX('Infos Clientes'!$I:$I,MATCH('Detalhe Por UC'!C746,'Infos Clientes'!B:B,0))</f>
        <v>BT</v>
      </c>
      <c r="G746" s="56" t="str">
        <f>INDEX('Infos Clientes'!$J:$J,MATCH('Detalhe Por UC'!C746,'Infos Clientes'!B:B,0))</f>
        <v>trifasico</v>
      </c>
      <c r="H746" s="47" t="str">
        <f t="shared" si="455"/>
        <v>GIROSSOL II</v>
      </c>
      <c r="I746" s="58">
        <f>IFERROR(VLOOKUP(C746,'Infos Clientes'!B:E,4,),"")</f>
        <v>994</v>
      </c>
      <c r="J746" s="151">
        <v>0.22596103298069697</v>
      </c>
      <c r="K746" s="79">
        <f>INDEX('Resumo Operacional'!$A$1:$P$151,MATCH("Desconto percentual Ucs",'Resumo Operacional'!$B$1:$B$151,0),MATCH('Detalhe Por UC'!$R746,'Resumo Operacional'!$A$1:$P$1,0))</f>
        <v>0.26495232343264008</v>
      </c>
      <c r="M746" s="56">
        <f>INDEX('Infos Clientes'!$N:$N,MATCH('Detalhe Por UC'!C746,'Infos Clientes'!B:B,0))</f>
        <v>0</v>
      </c>
      <c r="N746" s="56">
        <f t="shared" si="418"/>
        <v>0</v>
      </c>
      <c r="O746" s="56">
        <f t="shared" si="419"/>
        <v>12</v>
      </c>
      <c r="P746" s="56">
        <f t="shared" si="454"/>
        <v>0</v>
      </c>
      <c r="Q746" s="61">
        <f>IFERROR(IFERROR(INDEX('Infos Clientes'!$A$2:$V$9884,MATCH($C746,'Infos Clientes'!$B$2:$B$9884,0),MATCH(Q$8,'Infos Clientes'!$A$2:$V$2,0)),"")
+IF(OR(INDEX('Infos Clientes'!$A$2:$V$9884,MATCH($C746,'Infos Clientes'!$B$2:$B$9884,0),MATCH("Tempo de Fidelidade (meses)",'Infos Clientes'!$A$2:$V$2,0))=0,R746&gt;=MAX(R:R)),0,
ROUND((MAX(R:R)-R746)/(365/12),0)),"")</f>
        <v>0</v>
      </c>
      <c r="R746" s="111">
        <v>45870</v>
      </c>
      <c r="S746" s="152">
        <v>2.07E-2</v>
      </c>
      <c r="T746" s="113">
        <f>IF($H746="GIROSSOL II",AP746/INDEX('Resumo Operacional'!$A$1:$P$1103,17,MATCH('Detalhe Por UC'!$R746,'Resumo Operacional'!$A$1:$P$1,0)),
IF($H746="GIROSSOL II e III",AP746/INDEX('Resumo Operacional'!$A$1:$P$1103,17,MATCH('Detalhe Por UC'!$R746,'Resumo Operacional'!$A$1:$P$1,0)),
""))</f>
        <v>4.5368620037807186E-2</v>
      </c>
      <c r="U746" s="113" t="str">
        <f>IF($H746="GIROSSOL III",AP746/INDEX('Resumo Operacional'!$A$1:$P$1103,53,MATCH('Detalhe Por UC'!$R746,'Resumo Operacional'!$A$1:$P$1,0)),
IF($H746="GIROSSOL II e III",AP746/INDEX('Resumo Operacional'!$A$1:$P$1103,53,MATCH('Detalhe Por UC'!$R746,'Resumo Operacional'!$A$1:$P$1,0)),
""))</f>
        <v/>
      </c>
      <c r="X746">
        <v>1.1803833333333333</v>
      </c>
      <c r="Z746" s="18">
        <v>1.1803744680851063</v>
      </c>
      <c r="AB746" s="18">
        <v>288</v>
      </c>
      <c r="AD746" s="143">
        <v>188</v>
      </c>
      <c r="AF746" s="18">
        <v>461</v>
      </c>
      <c r="AH746" s="49">
        <v>59.88</v>
      </c>
      <c r="AK746" s="153">
        <v>177.92</v>
      </c>
      <c r="AL746" s="43">
        <f t="shared" si="456"/>
        <v>0</v>
      </c>
      <c r="AN746" s="71">
        <f t="shared" si="420"/>
        <v>124</v>
      </c>
      <c r="AO746" s="71">
        <f t="shared" si="421"/>
        <v>0</v>
      </c>
      <c r="AP746" s="71">
        <f t="shared" si="422"/>
        <v>312</v>
      </c>
      <c r="AQ746" s="72">
        <f>IF(OR($H746="GIROSSOL II",$H746="GIROSSOL II e III"),INDEX('Resumo Operacional'!$A$1:$P$1103,MATCH("Energia Injetada prevista total Fatura da Usina (TUSD)",'Resumo Operacional'!$B$1:$B$1103,0),MATCH('Detalhe Por UC'!$R746,'Resumo Operacional'!$A$1:$P$1,0))*$S746,INDEX('Resumo Operacional'!$A$1:$P$1103,53,MATCH('Detalhe Por UC'!$R746,'Resumo Operacional'!$A$1:$P$1,0))*$S746)</f>
        <v>142.35390000000001</v>
      </c>
      <c r="AR746" s="71">
        <f t="shared" si="423"/>
        <v>169.64609999999999</v>
      </c>
      <c r="AS746" s="73">
        <f t="shared" si="424"/>
        <v>177.92000000000002</v>
      </c>
      <c r="AT746" s="74">
        <f t="shared" si="425"/>
        <v>177.92000000000002</v>
      </c>
      <c r="AU746" s="74">
        <f t="shared" si="426"/>
        <v>1.1803656028368792</v>
      </c>
      <c r="AV746" s="74">
        <f t="shared" si="427"/>
        <v>171.76729678684035</v>
      </c>
      <c r="AW746" s="74">
        <f t="shared" si="428"/>
        <v>0</v>
      </c>
      <c r="AX746" s="74">
        <f t="shared" si="429"/>
        <v>221.91039999999998</v>
      </c>
      <c r="AY746" s="74">
        <f t="shared" si="430"/>
        <v>171.77</v>
      </c>
      <c r="AZ746" s="117">
        <v>171.77</v>
      </c>
      <c r="BA746" s="49">
        <v>171.77</v>
      </c>
      <c r="BB746" s="49">
        <v>171.77</v>
      </c>
      <c r="BC746" s="73" t="str">
        <f t="shared" si="431"/>
        <v/>
      </c>
      <c r="BD746" s="73">
        <f t="shared" si="432"/>
        <v>399.8304</v>
      </c>
      <c r="BE746" s="73">
        <f t="shared" si="433"/>
        <v>349.68729678684036</v>
      </c>
      <c r="BF746" s="77">
        <f t="shared" si="434"/>
        <v>50.14</v>
      </c>
      <c r="BG746" s="77">
        <f t="shared" si="435"/>
        <v>15.042</v>
      </c>
      <c r="BH746" s="77">
        <f t="shared" si="436"/>
        <v>221.91039999999998</v>
      </c>
      <c r="BI746" s="78">
        <f t="shared" si="437"/>
        <v>0.23</v>
      </c>
      <c r="BJ746" s="79">
        <f t="shared" si="438"/>
        <v>0.12540317094448047</v>
      </c>
      <c r="BK746" s="80">
        <f t="shared" si="439"/>
        <v>349.69000000000005</v>
      </c>
      <c r="BL746" s="80">
        <f t="shared" si="440"/>
        <v>50.140399999999943</v>
      </c>
      <c r="BM746" s="79">
        <f t="shared" si="441"/>
        <v>0.12540417136866017</v>
      </c>
      <c r="BN746" s="81">
        <f t="shared" si="442"/>
        <v>0.9136702127659575</v>
      </c>
      <c r="BO746" s="82">
        <f t="shared" si="443"/>
        <v>171.77</v>
      </c>
      <c r="BP746" s="81">
        <f t="shared" si="444"/>
        <v>0.9136702127659575</v>
      </c>
      <c r="BQ746" s="81">
        <f t="shared" si="445"/>
        <v>0.91367907801418458</v>
      </c>
      <c r="BR746" s="81">
        <f t="shared" si="446"/>
        <v>1.1803833333333333</v>
      </c>
      <c r="BS746" s="82">
        <f t="shared" si="447"/>
        <v>188</v>
      </c>
      <c r="BT746" s="82">
        <f t="shared" si="448"/>
        <v>221.91206666666668</v>
      </c>
      <c r="BU746" s="82">
        <f t="shared" si="449"/>
        <v>221.91039999999998</v>
      </c>
      <c r="BW746" s="82">
        <f>IFERROR(INDEX('Infos Clientes'!$T:$T,MATCH('Detalhe Por UC'!$C746,'Infos Clientes'!B:B,0)),"")</f>
        <v>274.25</v>
      </c>
      <c r="BX746" s="83">
        <f t="shared" si="450"/>
        <v>0</v>
      </c>
      <c r="BY746" s="84">
        <f t="shared" si="451"/>
        <v>0.22594715444345659</v>
      </c>
      <c r="BZ746" s="85">
        <f>IF(_xlfn.MINIFS('Detalhe Por UC'!R:R,'Detalhe Por UC'!C:C,C746,'Detalhe Por UC'!AD:AD,"&gt;"&amp;0)=0,"",_xlfn.MINIFS('Detalhe Por UC'!R:R,'Detalhe Por UC'!C:C,C746,'Detalhe Por UC'!AD:AD,"&gt;"&amp;0))</f>
        <v>45627</v>
      </c>
      <c r="CA746" s="114">
        <f ca="1">IF(OR(S746&gt;0,AD746&gt;0),IFERROR(
SUMIFS(INDIRECT("'Infos Clientes'!$W"&amp;INDEX('Infos Clientes'!$C:$C,MATCH(C746,'Infos Clientes'!$H:$H,0))&amp;":$CZ"&amp;INDEX('Infos Clientes'!$C:$C,MATCH(C746,'Infos Clientes'!$H:$H,0))),'Infos Clientes'!$W$2:$CZ$2,"&gt;"&amp;$R746-365,'Infos Clientes'!$W$2:$CZ$2,"&lt;="&amp;$R746)/
COUNTIFS(INDIRECT("'Infos Clientes'!$W"&amp;INDEX('Infos Clientes'!$C:$C,MATCH(C746,'Infos Clientes'!$H:$H,0))&amp;":$CZ"&amp;INDEX('Infos Clientes'!$C:$C,MATCH(C746,'Infos Clientes'!$H:$H,0))),"&gt;="&amp;0,'Infos Clientes'!$W$2:$CZ$2,"&gt;"&amp;$R746-365,'Infos Clientes'!$W$2:$CZ$2,"&lt;="&amp;$R746),""),"")</f>
        <v>317.75</v>
      </c>
      <c r="CB746" s="87">
        <f>VLOOKUP(C746,'Infos Clientes'!B:L,11,0)</f>
        <v>0</v>
      </c>
      <c r="CC746" s="88" t="str">
        <f t="shared" si="452"/>
        <v>A Unidade Consumidora 10/931327-1 economizou R$50,14 na fatura referente à ago/2025  consumindo 188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6" s="115">
        <f t="shared" si="453"/>
        <v>-177.92000000000002</v>
      </c>
    </row>
    <row r="747" spans="1:84" ht="16.2" hidden="1" customHeight="1" x14ac:dyDescent="0.3">
      <c r="A747" s="105" t="str">
        <f>INDEX('Infos Clientes'!$D:$D,MATCH('Detalhe Por UC'!C747,'Infos Clientes'!B:B,0))</f>
        <v>IGREJA DO EVANGELHO QUADRANGULAR</v>
      </c>
      <c r="B747" s="106" t="str">
        <f>INDEX('Infos Clientes'!$F:$F,MATCH('Detalhe Por UC'!C747,'Infos Clientes'!B:B,0))</f>
        <v>62.955.505/0156-01</v>
      </c>
      <c r="C747" s="44" t="s">
        <v>32</v>
      </c>
      <c r="D747" t="s">
        <v>351</v>
      </c>
      <c r="E747" s="1" t="s">
        <v>352</v>
      </c>
      <c r="F747" s="56" t="str">
        <f>INDEX('Infos Clientes'!$I:$I,MATCH('Detalhe Por UC'!C747,'Infos Clientes'!B:B,0))</f>
        <v>BT</v>
      </c>
      <c r="G747" s="56" t="str">
        <f>INDEX('Infos Clientes'!$J:$J,MATCH('Detalhe Por UC'!C747,'Infos Clientes'!B:B,0))</f>
        <v>trifasico</v>
      </c>
      <c r="H747" s="47" t="str">
        <f t="shared" si="455"/>
        <v>GIROSSOL II</v>
      </c>
      <c r="I747" s="58">
        <f>IFERROR(VLOOKUP(C747,'Infos Clientes'!B:E,4,),"")</f>
        <v>319</v>
      </c>
      <c r="J747" s="151">
        <v>0.22596103298069697</v>
      </c>
      <c r="K747" s="79">
        <f>INDEX('Resumo Operacional'!$A$1:$P$151,MATCH("Desconto percentual Ucs",'Resumo Operacional'!$B$1:$B$151,0),MATCH('Detalhe Por UC'!$R747,'Resumo Operacional'!$A$1:$P$1,0))</f>
        <v>0.26495232343264008</v>
      </c>
      <c r="M747" s="56">
        <f>INDEX('Infos Clientes'!$N:$N,MATCH('Detalhe Por UC'!C747,'Infos Clientes'!B:B,0))</f>
        <v>0</v>
      </c>
      <c r="N747" s="56">
        <f t="shared" si="418"/>
        <v>0</v>
      </c>
      <c r="O747" s="56">
        <f t="shared" si="419"/>
        <v>9</v>
      </c>
      <c r="P747" s="56">
        <f t="shared" si="454"/>
        <v>0</v>
      </c>
      <c r="Q747" s="61">
        <f>IFERROR(IFERROR(INDEX('Infos Clientes'!$A$2:$V$9884,MATCH($C747,'Infos Clientes'!$B$2:$B$9884,0),MATCH(Q$8,'Infos Clientes'!$A$2:$V$2,0)),"")
+IF(OR(INDEX('Infos Clientes'!$A$2:$V$9884,MATCH($C747,'Infos Clientes'!$B$2:$B$9884,0),MATCH("Tempo de Fidelidade (meses)",'Infos Clientes'!$A$2:$V$2,0))=0,R747&gt;=MAX(R:R)),0,
ROUND((MAX(R:R)-R747)/(365/12),0)),"")</f>
        <v>0</v>
      </c>
      <c r="R747" s="111">
        <v>45870</v>
      </c>
      <c r="S747" s="152">
        <v>1.0699999999999999E-2</v>
      </c>
      <c r="T747" s="113">
        <f>IF($H747="GIROSSOL II",AP747/INDEX('Resumo Operacional'!$A$1:$P$1103,17,MATCH('Detalhe Por UC'!$R747,'Resumo Operacional'!$A$1:$P$1,0)),
IF($H747="GIROSSOL II e III",AP747/INDEX('Resumo Operacional'!$A$1:$P$1103,17,MATCH('Detalhe Por UC'!$R747,'Resumo Operacional'!$A$1:$P$1,0)),
""))</f>
        <v>1.2796277446561E-2</v>
      </c>
      <c r="U747" s="113" t="str">
        <f>IF($H747="GIROSSOL III",AP747/INDEX('Resumo Operacional'!$A$1:$P$1103,53,MATCH('Detalhe Por UC'!$R747,'Resumo Operacional'!$A$1:$P$1,0)),
IF($H747="GIROSSOL II e III",AP747/INDEX('Resumo Operacional'!$A$1:$P$1103,53,MATCH('Detalhe Por UC'!$R747,'Resumo Operacional'!$A$1:$P$1,0)),
""))</f>
        <v/>
      </c>
      <c r="X747">
        <v>1.1653652173913045</v>
      </c>
      <c r="Z747" s="18">
        <v>1.1653238095238097</v>
      </c>
      <c r="AB747" s="18">
        <v>184</v>
      </c>
      <c r="AD747" s="143">
        <v>84</v>
      </c>
      <c r="AF747" s="18">
        <v>142</v>
      </c>
      <c r="AH747" s="49">
        <v>19.8</v>
      </c>
      <c r="AK747" s="153">
        <v>136.34</v>
      </c>
      <c r="AL747" s="43">
        <f t="shared" si="456"/>
        <v>0</v>
      </c>
      <c r="AN747" s="71">
        <f t="shared" si="420"/>
        <v>4</v>
      </c>
      <c r="AO747" s="71">
        <f t="shared" si="421"/>
        <v>0</v>
      </c>
      <c r="AP747" s="71">
        <f t="shared" si="422"/>
        <v>88</v>
      </c>
      <c r="AQ747" s="72">
        <f>IF(OR($H747="GIROSSOL II",$H747="GIROSSOL II e III"),INDEX('Resumo Operacional'!$A$1:$P$1103,MATCH("Energia Injetada prevista total Fatura da Usina (TUSD)",'Resumo Operacional'!$B$1:$B$1103,0),MATCH('Detalhe Por UC'!$R747,'Resumo Operacional'!$A$1:$P$1,0))*$S747,INDEX('Resumo Operacional'!$A$1:$P$1103,53,MATCH('Detalhe Por UC'!$R747,'Resumo Operacional'!$A$1:$P$1,0))*$S747)</f>
        <v>73.5839</v>
      </c>
      <c r="AR747" s="71">
        <f t="shared" si="423"/>
        <v>14.4161</v>
      </c>
      <c r="AS747" s="73">
        <f t="shared" si="424"/>
        <v>136.34000000000003</v>
      </c>
      <c r="AT747" s="74">
        <f t="shared" si="425"/>
        <v>136.34000000000003</v>
      </c>
      <c r="AU747" s="74">
        <f t="shared" si="426"/>
        <v>1.1652824016563148</v>
      </c>
      <c r="AV747" s="74">
        <f t="shared" si="427"/>
        <v>75.76850717241193</v>
      </c>
      <c r="AW747" s="74">
        <f t="shared" si="428"/>
        <v>0</v>
      </c>
      <c r="AX747" s="74">
        <f t="shared" si="429"/>
        <v>97.887200000000007</v>
      </c>
      <c r="AY747" s="74">
        <f t="shared" si="430"/>
        <v>75.77</v>
      </c>
      <c r="AZ747" s="117">
        <v>75.77</v>
      </c>
      <c r="BA747" s="49">
        <v>75.77</v>
      </c>
      <c r="BB747" s="49">
        <v>75.77</v>
      </c>
      <c r="BC747" s="73" t="str">
        <f t="shared" si="431"/>
        <v/>
      </c>
      <c r="BD747" s="73">
        <f t="shared" si="432"/>
        <v>234.22720000000004</v>
      </c>
      <c r="BE747" s="73">
        <f t="shared" si="433"/>
        <v>212.10850717241198</v>
      </c>
      <c r="BF747" s="77">
        <f t="shared" si="434"/>
        <v>22.12</v>
      </c>
      <c r="BG747" s="77">
        <f t="shared" si="435"/>
        <v>6.6360000000000001</v>
      </c>
      <c r="BH747" s="77">
        <f t="shared" si="436"/>
        <v>97.887200000000007</v>
      </c>
      <c r="BI747" s="78">
        <f t="shared" si="437"/>
        <v>0.23</v>
      </c>
      <c r="BJ747" s="79">
        <f t="shared" si="438"/>
        <v>9.4438220667796044E-2</v>
      </c>
      <c r="BK747" s="80">
        <f t="shared" si="439"/>
        <v>212.11</v>
      </c>
      <c r="BL747" s="80">
        <f t="shared" si="440"/>
        <v>22.117200000000025</v>
      </c>
      <c r="BM747" s="79">
        <f t="shared" si="441"/>
        <v>9.4426266462648331E-2</v>
      </c>
      <c r="BN747" s="81">
        <f t="shared" si="442"/>
        <v>0.90202380952380945</v>
      </c>
      <c r="BO747" s="82">
        <f t="shared" si="443"/>
        <v>75.77</v>
      </c>
      <c r="BP747" s="81">
        <f t="shared" si="444"/>
        <v>0.90202380952380945</v>
      </c>
      <c r="BQ747" s="81">
        <f t="shared" si="445"/>
        <v>0.9020652173913043</v>
      </c>
      <c r="BR747" s="81">
        <f t="shared" si="446"/>
        <v>1.1653652173913045</v>
      </c>
      <c r="BS747" s="82">
        <f t="shared" si="447"/>
        <v>84</v>
      </c>
      <c r="BT747" s="82">
        <f t="shared" si="448"/>
        <v>97.890678260869578</v>
      </c>
      <c r="BU747" s="82">
        <f t="shared" si="449"/>
        <v>97.887200000000007</v>
      </c>
      <c r="BW747" s="82">
        <f>IFERROR(INDEX('Infos Clientes'!$T:$T,MATCH('Detalhe Por UC'!$C747,'Infos Clientes'!B:B,0)),"")</f>
        <v>236.08333333333334</v>
      </c>
      <c r="BX747" s="83">
        <f t="shared" si="450"/>
        <v>0</v>
      </c>
      <c r="BY747" s="84">
        <f t="shared" si="451"/>
        <v>0.22593775416551645</v>
      </c>
      <c r="BZ747" s="85">
        <f>IF(_xlfn.MINIFS('Detalhe Por UC'!R:R,'Detalhe Por UC'!C:C,C747,'Detalhe Por UC'!AD:AD,"&gt;"&amp;0)=0,"",_xlfn.MINIFS('Detalhe Por UC'!R:R,'Detalhe Por UC'!C:C,C747,'Detalhe Por UC'!AD:AD,"&gt;"&amp;0))</f>
        <v>45627</v>
      </c>
      <c r="CA747" s="114">
        <f ca="1">IF(OR(S747&gt;0,AD747&gt;0),IFERROR(
SUMIFS(INDIRECT("'Infos Clientes'!$W"&amp;INDEX('Infos Clientes'!$C:$C,MATCH(C747,'Infos Clientes'!$H:$H,0))&amp;":$CZ"&amp;INDEX('Infos Clientes'!$C:$C,MATCH(C747,'Infos Clientes'!$H:$H,0))),'Infos Clientes'!$W$2:$CZ$2,"&gt;"&amp;$R747-365,'Infos Clientes'!$W$2:$CZ$2,"&lt;="&amp;$R747)/
COUNTIFS(INDIRECT("'Infos Clientes'!$W"&amp;INDEX('Infos Clientes'!$C:$C,MATCH(C747,'Infos Clientes'!$H:$H,0))&amp;":$CZ"&amp;INDEX('Infos Clientes'!$C:$C,MATCH(C747,'Infos Clientes'!$H:$H,0))),"&gt;="&amp;0,'Infos Clientes'!$W$2:$CZ$2,"&gt;"&amp;$R747-365,'Infos Clientes'!$W$2:$CZ$2,"&lt;="&amp;$R747),""),"")</f>
        <v>248.91666666666666</v>
      </c>
      <c r="CB747" s="87">
        <f>VLOOKUP(C747,'Infos Clientes'!B:L,11,0)</f>
        <v>0</v>
      </c>
      <c r="CC747" s="88" t="str">
        <f t="shared" si="452"/>
        <v>A Unidade Consumidora 10/113971-6 economizou R$22,12 na fatura referente à ago/2025  consumindo 84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7" s="115">
        <f t="shared" si="453"/>
        <v>-136.34000000000003</v>
      </c>
    </row>
    <row r="748" spans="1:84" ht="16.2" hidden="1" customHeight="1" x14ac:dyDescent="0.3">
      <c r="A748" s="105" t="str">
        <f>INDEX('Infos Clientes'!$D:$D,MATCH('Detalhe Por UC'!C748,'Infos Clientes'!B:B,0))</f>
        <v>IGREJA DO EVANGELHO QUADRANGULAR</v>
      </c>
      <c r="B748" s="106" t="str">
        <f>INDEX('Infos Clientes'!$F:$F,MATCH('Detalhe Por UC'!C748,'Infos Clientes'!B:B,0))</f>
        <v>62.955.505/1490-47</v>
      </c>
      <c r="C748" s="44" t="s">
        <v>35</v>
      </c>
      <c r="D748" t="s">
        <v>351</v>
      </c>
      <c r="E748" s="1" t="s">
        <v>352</v>
      </c>
      <c r="F748" s="56" t="str">
        <f>INDEX('Infos Clientes'!$I:$I,MATCH('Detalhe Por UC'!C748,'Infos Clientes'!B:B,0))</f>
        <v>BT</v>
      </c>
      <c r="G748" s="56" t="str">
        <f>INDEX('Infos Clientes'!$J:$J,MATCH('Detalhe Por UC'!C748,'Infos Clientes'!B:B,0))</f>
        <v>trifasico</v>
      </c>
      <c r="H748" s="47" t="str">
        <f t="shared" si="455"/>
        <v>GIROSSOL II</v>
      </c>
      <c r="I748" s="58">
        <f>IFERROR(VLOOKUP(C748,'Infos Clientes'!B:E,4,),"")</f>
        <v>319</v>
      </c>
      <c r="J748" s="151">
        <v>0.22596103298069697</v>
      </c>
      <c r="K748" s="79">
        <f>INDEX('Resumo Operacional'!$A$1:$P$151,MATCH("Desconto percentual Ucs",'Resumo Operacional'!$B$1:$B$151,0),MATCH('Detalhe Por UC'!$R748,'Resumo Operacional'!$A$1:$P$1,0))</f>
        <v>0.26495232343264008</v>
      </c>
      <c r="M748" s="56">
        <f>INDEX('Infos Clientes'!$N:$N,MATCH('Detalhe Por UC'!C748,'Infos Clientes'!B:B,0))</f>
        <v>0</v>
      </c>
      <c r="N748" s="56">
        <f t="shared" si="418"/>
        <v>0</v>
      </c>
      <c r="O748" s="56">
        <f t="shared" si="419"/>
        <v>12</v>
      </c>
      <c r="P748" s="56">
        <f t="shared" si="454"/>
        <v>0</v>
      </c>
      <c r="Q748" s="61">
        <f>IFERROR(IFERROR(INDEX('Infos Clientes'!$A$2:$V$9884,MATCH($C748,'Infos Clientes'!$B$2:$B$9884,0),MATCH(Q$8,'Infos Clientes'!$A$2:$V$2,0)),"")
+IF(OR(INDEX('Infos Clientes'!$A$2:$V$9884,MATCH($C748,'Infos Clientes'!$B$2:$B$9884,0),MATCH("Tempo de Fidelidade (meses)",'Infos Clientes'!$A$2:$V$2,0))=0,R748&gt;=MAX(R:R)),0,
ROUND((MAX(R:R)-R748)/(365/12),0)),"")</f>
        <v>0</v>
      </c>
      <c r="R748" s="111">
        <v>45870</v>
      </c>
      <c r="S748" s="152">
        <v>1.0699999999999999E-2</v>
      </c>
      <c r="T748" s="113">
        <f>IF($H748="GIROSSOL II",AP748/INDEX('Resumo Operacional'!$A$1:$P$1103,17,MATCH('Detalhe Por UC'!$R748,'Resumo Operacional'!$A$1:$P$1,0)),
IF($H748="GIROSSOL II e III",AP748/INDEX('Resumo Operacional'!$A$1:$P$1103,17,MATCH('Detalhe Por UC'!$R748,'Resumo Operacional'!$A$1:$P$1,0)),
""))</f>
        <v>1.2796277446561E-2</v>
      </c>
      <c r="U748" s="113" t="str">
        <f>IF($H748="GIROSSOL III",AP748/INDEX('Resumo Operacional'!$A$1:$P$1103,53,MATCH('Detalhe Por UC'!$R748,'Resumo Operacional'!$A$1:$P$1,0)),
IF($H748="GIROSSOL II e III",AP748/INDEX('Resumo Operacional'!$A$1:$P$1103,53,MATCH('Detalhe Por UC'!$R748,'Resumo Operacional'!$A$1:$P$1,0)),
""))</f>
        <v/>
      </c>
      <c r="X748">
        <v>1.1668830297219559</v>
      </c>
      <c r="Z748" s="18">
        <v>1.1668311688311688</v>
      </c>
      <c r="AB748" s="18">
        <v>298</v>
      </c>
      <c r="AD748" s="143">
        <v>88</v>
      </c>
      <c r="AF748" s="18"/>
      <c r="AH748" s="49">
        <v>59.51</v>
      </c>
      <c r="AK748" s="153">
        <v>304.56</v>
      </c>
      <c r="AL748" s="43">
        <f t="shared" si="456"/>
        <v>0</v>
      </c>
      <c r="AN748" s="71">
        <f t="shared" si="420"/>
        <v>0</v>
      </c>
      <c r="AO748" s="71">
        <f t="shared" si="421"/>
        <v>0</v>
      </c>
      <c r="AP748" s="71">
        <f t="shared" si="422"/>
        <v>88</v>
      </c>
      <c r="AQ748" s="72">
        <f>IF(OR($H748="GIROSSOL II",$H748="GIROSSOL II e III"),INDEX('Resumo Operacional'!$A$1:$P$1103,MATCH("Energia Injetada prevista total Fatura da Usina (TUSD)",'Resumo Operacional'!$B$1:$B$1103,0),MATCH('Detalhe Por UC'!$R748,'Resumo Operacional'!$A$1:$P$1,0))*$S748,INDEX('Resumo Operacional'!$A$1:$P$1103,53,MATCH('Detalhe Por UC'!$R748,'Resumo Operacional'!$A$1:$P$1,0))*$S748)</f>
        <v>73.5839</v>
      </c>
      <c r="AR748" s="71">
        <f t="shared" si="423"/>
        <v>14.4161</v>
      </c>
      <c r="AS748" s="73">
        <f t="shared" si="424"/>
        <v>304.56</v>
      </c>
      <c r="AT748" s="74">
        <f t="shared" si="425"/>
        <v>304.56</v>
      </c>
      <c r="AU748" s="74">
        <f t="shared" si="426"/>
        <v>1.1667793079403816</v>
      </c>
      <c r="AV748" s="74">
        <f t="shared" si="427"/>
        <v>79.479205749504345</v>
      </c>
      <c r="AW748" s="74">
        <f t="shared" si="428"/>
        <v>-146.71999999999997</v>
      </c>
      <c r="AX748" s="74">
        <f t="shared" si="429"/>
        <v>-44.038857142857125</v>
      </c>
      <c r="AY748" s="74">
        <f t="shared" si="430"/>
        <v>-67.239999999999995</v>
      </c>
      <c r="AZ748" s="117">
        <v>79.48</v>
      </c>
      <c r="BA748" s="49">
        <v>79.48</v>
      </c>
      <c r="BB748" s="49">
        <v>79.48</v>
      </c>
      <c r="BC748" s="73" t="str">
        <f t="shared" si="431"/>
        <v/>
      </c>
      <c r="BD748" s="73">
        <f t="shared" si="432"/>
        <v>407.24114285714285</v>
      </c>
      <c r="BE748" s="73">
        <f t="shared" si="433"/>
        <v>384.03920574950433</v>
      </c>
      <c r="BF748" s="77">
        <f t="shared" si="434"/>
        <v>23.2</v>
      </c>
      <c r="BG748" s="77">
        <f t="shared" si="435"/>
        <v>6.96</v>
      </c>
      <c r="BH748" s="77">
        <f t="shared" si="436"/>
        <v>102.68114285714286</v>
      </c>
      <c r="BI748" s="78">
        <f t="shared" si="437"/>
        <v>-0.53</v>
      </c>
      <c r="BJ748" s="79">
        <f t="shared" si="438"/>
        <v>5.6968703695388624E-2</v>
      </c>
      <c r="BK748" s="80">
        <f t="shared" si="439"/>
        <v>237.32</v>
      </c>
      <c r="BL748" s="80">
        <f t="shared" si="440"/>
        <v>169.92114285714285</v>
      </c>
      <c r="BM748" s="79">
        <f t="shared" si="441"/>
        <v>0.41724944995734364</v>
      </c>
      <c r="BN748" s="81">
        <f t="shared" si="442"/>
        <v>-0.76409090909090904</v>
      </c>
      <c r="BO748" s="82">
        <f t="shared" si="443"/>
        <v>-67.239999999999995</v>
      </c>
      <c r="BP748" s="81">
        <f t="shared" si="444"/>
        <v>-0.76409090909090904</v>
      </c>
      <c r="BQ748" s="81">
        <f t="shared" si="445"/>
        <v>-0.76403904820012192</v>
      </c>
      <c r="BR748" s="81">
        <f t="shared" si="446"/>
        <v>1.1668830297219559</v>
      </c>
      <c r="BS748" s="82">
        <f t="shared" si="447"/>
        <v>88</v>
      </c>
      <c r="BT748" s="82">
        <f t="shared" si="448"/>
        <v>102.68570661553213</v>
      </c>
      <c r="BU748" s="82">
        <f t="shared" si="449"/>
        <v>102.68114285714285</v>
      </c>
      <c r="BW748" s="82">
        <f>IFERROR(INDEX('Infos Clientes'!$T:$T,MATCH('Detalhe Por UC'!$C748,'Infos Clientes'!B:B,0)),"")</f>
        <v>182.25</v>
      </c>
      <c r="BX748" s="83">
        <f t="shared" si="450"/>
        <v>0</v>
      </c>
      <c r="BY748" s="84">
        <f t="shared" si="451"/>
        <v>1.6547691831478402</v>
      </c>
      <c r="BZ748" s="85">
        <f>IF(_xlfn.MINIFS('Detalhe Por UC'!R:R,'Detalhe Por UC'!C:C,C748,'Detalhe Por UC'!AD:AD,"&gt;"&amp;0)=0,"",_xlfn.MINIFS('Detalhe Por UC'!R:R,'Detalhe Por UC'!C:C,C748,'Detalhe Por UC'!AD:AD,"&gt;"&amp;0))</f>
        <v>45627</v>
      </c>
      <c r="CA748" s="114">
        <f ca="1">IF(OR(S748&gt;0,AD748&gt;0),IFERROR(
SUMIFS(INDIRECT("'Infos Clientes'!$W"&amp;INDEX('Infos Clientes'!$C:$C,MATCH(C748,'Infos Clientes'!$H:$H,0))&amp;":$CZ"&amp;INDEX('Infos Clientes'!$C:$C,MATCH(C748,'Infos Clientes'!$H:$H,0))),'Infos Clientes'!$W$2:$CZ$2,"&gt;"&amp;$R748-365,'Infos Clientes'!$W$2:$CZ$2,"&lt;="&amp;$R748)/
COUNTIFS(INDIRECT("'Infos Clientes'!$W"&amp;INDEX('Infos Clientes'!$C:$C,MATCH(C748,'Infos Clientes'!$H:$H,0))&amp;":$CZ"&amp;INDEX('Infos Clientes'!$C:$C,MATCH(C748,'Infos Clientes'!$H:$H,0))),"&gt;="&amp;0,'Infos Clientes'!$W$2:$CZ$2,"&gt;"&amp;$R748-365,'Infos Clientes'!$W$2:$CZ$2,"&lt;="&amp;$R748),""),"")</f>
        <v>254.66666666666666</v>
      </c>
      <c r="CB748" s="87">
        <f>VLOOKUP(C748,'Infos Clientes'!B:L,11,0)</f>
        <v>0</v>
      </c>
      <c r="CC748" s="88" t="str">
        <f t="shared" si="452"/>
        <v>A Unidade Consumidora 10/1184751-4 economizou R$23,2 na fatura referente à ago/2025  consumindo 88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8" s="115">
        <f t="shared" si="453"/>
        <v>-304.56</v>
      </c>
    </row>
    <row r="749" spans="1:84" ht="16.2" hidden="1" customHeight="1" x14ac:dyDescent="0.3">
      <c r="A749" s="105" t="str">
        <f>INDEX('Infos Clientes'!$D:$D,MATCH('Detalhe Por UC'!C749,'Infos Clientes'!B:B,0))</f>
        <v>IGREJA DO EVANGELHO QUADRANGULAR</v>
      </c>
      <c r="B749" s="106" t="str">
        <f>INDEX('Infos Clientes'!$F:$F,MATCH('Detalhe Por UC'!C749,'Infos Clientes'!B:B,0))</f>
        <v>62.955.505/0847-51</v>
      </c>
      <c r="C749" s="44" t="s">
        <v>41</v>
      </c>
      <c r="D749" t="s">
        <v>351</v>
      </c>
      <c r="E749" s="1" t="s">
        <v>352</v>
      </c>
      <c r="F749" s="56" t="str">
        <f>INDEX('Infos Clientes'!$I:$I,MATCH('Detalhe Por UC'!C749,'Infos Clientes'!B:B,0))</f>
        <v>BT</v>
      </c>
      <c r="G749" s="56" t="str">
        <f>INDEX('Infos Clientes'!$J:$J,MATCH('Detalhe Por UC'!C749,'Infos Clientes'!B:B,0))</f>
        <v>monofasico</v>
      </c>
      <c r="H749" s="47" t="str">
        <f t="shared" si="455"/>
        <v>GIROSSOL II</v>
      </c>
      <c r="I749" s="58">
        <f>IFERROR(VLOOKUP(C749,'Infos Clientes'!B:E,4,),"")</f>
        <v>349</v>
      </c>
      <c r="J749" s="151">
        <v>0.22596103298069697</v>
      </c>
      <c r="K749" s="79">
        <f>INDEX('Resumo Operacional'!$A$1:$P$151,MATCH("Desconto percentual Ucs",'Resumo Operacional'!$B$1:$B$151,0),MATCH('Detalhe Por UC'!$R749,'Resumo Operacional'!$A$1:$P$1,0))</f>
        <v>0.26495232343264008</v>
      </c>
      <c r="M749" s="56">
        <f>INDEX('Infos Clientes'!$N:$N,MATCH('Detalhe Por UC'!C749,'Infos Clientes'!B:B,0))</f>
        <v>0</v>
      </c>
      <c r="N749" s="56">
        <f t="shared" si="418"/>
        <v>0</v>
      </c>
      <c r="O749" s="56">
        <f t="shared" si="419"/>
        <v>12</v>
      </c>
      <c r="P749" s="56">
        <f t="shared" si="454"/>
        <v>0</v>
      </c>
      <c r="Q749" s="61">
        <f>IFERROR(IFERROR(INDEX('Infos Clientes'!$A$2:$V$9884,MATCH($C749,'Infos Clientes'!$B$2:$B$9884,0),MATCH(Q$8,'Infos Clientes'!$A$2:$V$2,0)),"")
+IF(OR(INDEX('Infos Clientes'!$A$2:$V$9884,MATCH($C749,'Infos Clientes'!$B$2:$B$9884,0),MATCH("Tempo de Fidelidade (meses)",'Infos Clientes'!$A$2:$V$2,0))=0,R749&gt;=MAX(R:R)),0,
ROUND((MAX(R:R)-R749)/(365/12),0)),"")</f>
        <v>0</v>
      </c>
      <c r="R749" s="111">
        <v>45870</v>
      </c>
      <c r="S749" s="152">
        <v>1.0699999999999999E-2</v>
      </c>
      <c r="T749" s="113">
        <f>IF($H749="GIROSSOL II",AP749/INDEX('Resumo Operacional'!$A$1:$P$1103,17,MATCH('Detalhe Por UC'!$R749,'Resumo Operacional'!$A$1:$P$1,0)),
IF($H749="GIROSSOL II e III",AP749/INDEX('Resumo Operacional'!$A$1:$P$1103,17,MATCH('Detalhe Por UC'!$R749,'Resumo Operacional'!$A$1:$P$1,0)),
""))</f>
        <v>2.3993020212301874E-2</v>
      </c>
      <c r="U749" s="113" t="str">
        <f>IF($H749="GIROSSOL III",AP749/INDEX('Resumo Operacional'!$A$1:$P$1103,53,MATCH('Detalhe Por UC'!$R749,'Resumo Operacional'!$A$1:$P$1,0)),
IF($H749="GIROSSOL II e III",AP749/INDEX('Resumo Operacional'!$A$1:$P$1103,53,MATCH('Detalhe Por UC'!$R749,'Resumo Operacional'!$A$1:$P$1,0)),
""))</f>
        <v/>
      </c>
      <c r="X749">
        <v>1.1852585034013605</v>
      </c>
      <c r="Z749" s="18">
        <v>1.1852254901960784</v>
      </c>
      <c r="AB749" s="18">
        <v>98</v>
      </c>
      <c r="AD749" s="143">
        <v>68</v>
      </c>
      <c r="AF749" s="18">
        <v>203</v>
      </c>
      <c r="AH749" s="49">
        <v>30.83</v>
      </c>
      <c r="AK749" s="153">
        <v>66.39</v>
      </c>
      <c r="AL749" s="43">
        <f t="shared" si="456"/>
        <v>0</v>
      </c>
      <c r="AN749" s="71">
        <f t="shared" si="420"/>
        <v>97</v>
      </c>
      <c r="AO749" s="71">
        <f t="shared" si="421"/>
        <v>0</v>
      </c>
      <c r="AP749" s="71">
        <f t="shared" si="422"/>
        <v>165</v>
      </c>
      <c r="AQ749" s="72">
        <f>IF(OR($H749="GIROSSOL II",$H749="GIROSSOL II e III"),INDEX('Resumo Operacional'!$A$1:$P$1103,MATCH("Energia Injetada prevista total Fatura da Usina (TUSD)",'Resumo Operacional'!$B$1:$B$1103,0),MATCH('Detalhe Por UC'!$R749,'Resumo Operacional'!$A$1:$P$1,0))*$S749,INDEX('Resumo Operacional'!$A$1:$P$1103,53,MATCH('Detalhe Por UC'!$R749,'Resumo Operacional'!$A$1:$P$1,0))*$S749)</f>
        <v>73.5839</v>
      </c>
      <c r="AR749" s="71">
        <f t="shared" si="423"/>
        <v>91.4161</v>
      </c>
      <c r="AS749" s="73">
        <f t="shared" si="424"/>
        <v>66.39</v>
      </c>
      <c r="AT749" s="74">
        <f t="shared" si="425"/>
        <v>66.39</v>
      </c>
      <c r="AU749" s="74">
        <f t="shared" si="426"/>
        <v>1.1851924769907962</v>
      </c>
      <c r="AV749" s="74">
        <f t="shared" si="427"/>
        <v>62.383928559909734</v>
      </c>
      <c r="AW749" s="74">
        <f t="shared" si="428"/>
        <v>0</v>
      </c>
      <c r="AX749" s="74">
        <f t="shared" si="429"/>
        <v>80.595333333333329</v>
      </c>
      <c r="AY749" s="74">
        <f t="shared" si="430"/>
        <v>62.38</v>
      </c>
      <c r="AZ749" s="117">
        <v>62.38</v>
      </c>
      <c r="BA749" s="49">
        <v>62.38</v>
      </c>
      <c r="BB749" s="49">
        <v>62.38</v>
      </c>
      <c r="BC749" s="73" t="str">
        <f t="shared" si="431"/>
        <v/>
      </c>
      <c r="BD749" s="73">
        <f t="shared" si="432"/>
        <v>146.98533333333333</v>
      </c>
      <c r="BE749" s="73">
        <f t="shared" si="433"/>
        <v>128.77392855990973</v>
      </c>
      <c r="BF749" s="77">
        <f t="shared" si="434"/>
        <v>18.21</v>
      </c>
      <c r="BG749" s="77">
        <f t="shared" si="435"/>
        <v>5.4630000000000001</v>
      </c>
      <c r="BH749" s="77">
        <f t="shared" si="436"/>
        <v>80.595333333333329</v>
      </c>
      <c r="BI749" s="78">
        <f t="shared" si="437"/>
        <v>0.23</v>
      </c>
      <c r="BJ749" s="79">
        <f t="shared" si="438"/>
        <v>0.1238899119186495</v>
      </c>
      <c r="BK749" s="80">
        <f t="shared" si="439"/>
        <v>128.77000000000001</v>
      </c>
      <c r="BL749" s="80">
        <f t="shared" si="440"/>
        <v>18.215333333333319</v>
      </c>
      <c r="BM749" s="79">
        <f t="shared" si="441"/>
        <v>0.1239261967180398</v>
      </c>
      <c r="BN749" s="81">
        <f t="shared" si="442"/>
        <v>0.91735294117647059</v>
      </c>
      <c r="BO749" s="82">
        <f t="shared" si="443"/>
        <v>62.38</v>
      </c>
      <c r="BP749" s="81">
        <f t="shared" si="444"/>
        <v>0.91735294117647059</v>
      </c>
      <c r="BQ749" s="81">
        <f t="shared" si="445"/>
        <v>0.91738595438175274</v>
      </c>
      <c r="BR749" s="81">
        <f t="shared" si="446"/>
        <v>1.1852585034013605</v>
      </c>
      <c r="BS749" s="82">
        <f t="shared" si="447"/>
        <v>68</v>
      </c>
      <c r="BT749" s="82">
        <f t="shared" si="448"/>
        <v>80.597578231292516</v>
      </c>
      <c r="BU749" s="82">
        <f t="shared" si="449"/>
        <v>80.595333333333329</v>
      </c>
      <c r="BW749" s="82">
        <f>IFERROR(INDEX('Infos Clientes'!$T:$T,MATCH('Detalhe Por UC'!$C749,'Infos Clientes'!B:B,0)),"")</f>
        <v>156.25</v>
      </c>
      <c r="BX749" s="83">
        <f t="shared" si="450"/>
        <v>0</v>
      </c>
      <c r="BY749" s="84">
        <f t="shared" si="451"/>
        <v>0.22600348215253335</v>
      </c>
      <c r="BZ749" s="85">
        <f>IF(_xlfn.MINIFS('Detalhe Por UC'!R:R,'Detalhe Por UC'!C:C,C749,'Detalhe Por UC'!AD:AD,"&gt;"&amp;0)=0,"",_xlfn.MINIFS('Detalhe Por UC'!R:R,'Detalhe Por UC'!C:C,C749,'Detalhe Por UC'!AD:AD,"&gt;"&amp;0))</f>
        <v>45627</v>
      </c>
      <c r="CA749" s="114">
        <f ca="1">IF(OR(S749&gt;0,AD749&gt;0),IFERROR(
SUMIFS(INDIRECT("'Infos Clientes'!$W"&amp;INDEX('Infos Clientes'!$C:$C,MATCH(C749,'Infos Clientes'!$H:$H,0))&amp;":$CZ"&amp;INDEX('Infos Clientes'!$C:$C,MATCH(C749,'Infos Clientes'!$H:$H,0))),'Infos Clientes'!$W$2:$CZ$2,"&gt;"&amp;$R749-365,'Infos Clientes'!$W$2:$CZ$2,"&lt;="&amp;$R749)/
COUNTIFS(INDIRECT("'Infos Clientes'!$W"&amp;INDEX('Infos Clientes'!$C:$C,MATCH(C749,'Infos Clientes'!$H:$H,0))&amp;":$CZ"&amp;INDEX('Infos Clientes'!$C:$C,MATCH(C749,'Infos Clientes'!$H:$H,0))),"&gt;="&amp;0,'Infos Clientes'!$W$2:$CZ$2,"&gt;"&amp;$R749-365,'Infos Clientes'!$W$2:$CZ$2,"&lt;="&amp;$R749),""),"")</f>
        <v>146.08333333333334</v>
      </c>
      <c r="CB749" s="87">
        <f>VLOOKUP(C749,'Infos Clientes'!B:L,11,0)</f>
        <v>0</v>
      </c>
      <c r="CC749" s="88" t="str">
        <f t="shared" si="452"/>
        <v>A Unidade Consumidora 10/1548741-6 economizou R$18,21 na fatura referente à ago/2025  consumindo 68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49" s="115">
        <f t="shared" si="453"/>
        <v>-66.39</v>
      </c>
    </row>
    <row r="750" spans="1:84" ht="16.2" hidden="1" customHeight="1" x14ac:dyDescent="0.3">
      <c r="A750" s="105" t="str">
        <f>INDEX('Infos Clientes'!$D:$D,MATCH('Detalhe Por UC'!C750,'Infos Clientes'!B:B,0))</f>
        <v>IGREJA DO EVANGELHO QUADRANGULAR</v>
      </c>
      <c r="B750" s="106" t="str">
        <f>INDEX('Infos Clientes'!$F:$F,MATCH('Detalhe Por UC'!C750,'Infos Clientes'!B:B,0))</f>
        <v>62.955.505/0153-50</v>
      </c>
      <c r="C750" s="44" t="s">
        <v>45</v>
      </c>
      <c r="D750" t="s">
        <v>351</v>
      </c>
      <c r="E750" s="1" t="s">
        <v>352</v>
      </c>
      <c r="F750" s="56" t="str">
        <f>INDEX('Infos Clientes'!$I:$I,MATCH('Detalhe Por UC'!C750,'Infos Clientes'!B:B,0))</f>
        <v>BT</v>
      </c>
      <c r="G750" s="56" t="str">
        <f>INDEX('Infos Clientes'!$J:$J,MATCH('Detalhe Por UC'!C750,'Infos Clientes'!B:B,0))</f>
        <v>trifasico</v>
      </c>
      <c r="H750" s="47" t="str">
        <f t="shared" si="455"/>
        <v>GIROSSOL II</v>
      </c>
      <c r="I750" s="58">
        <f>IFERROR(VLOOKUP(C750,'Infos Clientes'!B:E,4,),"")</f>
        <v>994</v>
      </c>
      <c r="J750" s="151">
        <v>0.22596103298069697</v>
      </c>
      <c r="K750" s="79">
        <f>INDEX('Resumo Operacional'!$A$1:$P$151,MATCH("Desconto percentual Ucs",'Resumo Operacional'!$B$1:$B$151,0),MATCH('Detalhe Por UC'!$R750,'Resumo Operacional'!$A$1:$P$1,0))</f>
        <v>0.26495232343264008</v>
      </c>
      <c r="M750" s="56">
        <f>INDEX('Infos Clientes'!$N:$N,MATCH('Detalhe Por UC'!C750,'Infos Clientes'!B:B,0))</f>
        <v>0</v>
      </c>
      <c r="N750" s="56">
        <f t="shared" si="418"/>
        <v>0</v>
      </c>
      <c r="O750" s="56">
        <f t="shared" si="419"/>
        <v>12</v>
      </c>
      <c r="P750" s="56">
        <f t="shared" si="454"/>
        <v>0</v>
      </c>
      <c r="Q750" s="61">
        <f>IFERROR(IFERROR(INDEX('Infos Clientes'!$A$2:$V$9884,MATCH($C750,'Infos Clientes'!$B$2:$B$9884,0),MATCH(Q$8,'Infos Clientes'!$A$2:$V$2,0)),"")
+IF(OR(INDEX('Infos Clientes'!$A$2:$V$9884,MATCH($C750,'Infos Clientes'!$B$2:$B$9884,0),MATCH("Tempo de Fidelidade (meses)",'Infos Clientes'!$A$2:$V$2,0))=0,R750&gt;=MAX(R:R)),0,
ROUND((MAX(R:R)-R750)/(365/12),0)),"")</f>
        <v>0</v>
      </c>
      <c r="R750" s="111">
        <v>45870</v>
      </c>
      <c r="S750" s="152">
        <v>1.0699999999999999E-2</v>
      </c>
      <c r="T750" s="113">
        <f>IF($H750="GIROSSOL II",AP750/INDEX('Resumo Operacional'!$A$1:$P$1103,17,MATCH('Detalhe Por UC'!$R750,'Resumo Operacional'!$A$1:$P$1,0)),
IF($H750="GIROSSOL II e III",AP750/INDEX('Resumo Operacional'!$A$1:$P$1103,17,MATCH('Detalhe Por UC'!$R750,'Resumo Operacional'!$A$1:$P$1,0)),
""))</f>
        <v>1.2796277446561E-2</v>
      </c>
      <c r="U750" s="113" t="str">
        <f>IF($H750="GIROSSOL III",AP750/INDEX('Resumo Operacional'!$A$1:$P$1103,53,MATCH('Detalhe Por UC'!$R750,'Resumo Operacional'!$A$1:$P$1,0)),
IF($H750="GIROSSOL II e III",AP750/INDEX('Resumo Operacional'!$A$1:$P$1103,53,MATCH('Detalhe Por UC'!$R750,'Resumo Operacional'!$A$1:$P$1,0)),
""))</f>
        <v/>
      </c>
      <c r="X750">
        <v>1.1700999999999999</v>
      </c>
      <c r="Z750" s="18">
        <v>1.17</v>
      </c>
      <c r="AB750" s="18">
        <v>200</v>
      </c>
      <c r="AD750" s="143">
        <v>100</v>
      </c>
      <c r="AF750" s="18">
        <v>658</v>
      </c>
      <c r="AH750" s="49">
        <v>38.769999999999996</v>
      </c>
      <c r="AK750" s="153">
        <v>155.79</v>
      </c>
      <c r="AL750" s="43">
        <f t="shared" si="456"/>
        <v>0</v>
      </c>
      <c r="AN750" s="71">
        <f t="shared" si="420"/>
        <v>-12</v>
      </c>
      <c r="AO750" s="71">
        <f t="shared" si="421"/>
        <v>0</v>
      </c>
      <c r="AP750" s="71">
        <f t="shared" si="422"/>
        <v>88</v>
      </c>
      <c r="AQ750" s="72">
        <f>IF(OR($H750="GIROSSOL II",$H750="GIROSSOL II e III"),INDEX('Resumo Operacional'!$A$1:$P$1103,MATCH("Energia Injetada prevista total Fatura da Usina (TUSD)",'Resumo Operacional'!$B$1:$B$1103,0),MATCH('Detalhe Por UC'!$R750,'Resumo Operacional'!$A$1:$P$1,0))*$S750,INDEX('Resumo Operacional'!$A$1:$P$1103,53,MATCH('Detalhe Por UC'!$R750,'Resumo Operacional'!$A$1:$P$1,0))*$S750)</f>
        <v>73.5839</v>
      </c>
      <c r="AR750" s="71">
        <f t="shared" si="423"/>
        <v>14.4161</v>
      </c>
      <c r="AS750" s="73">
        <f t="shared" si="424"/>
        <v>155.78999999999996</v>
      </c>
      <c r="AT750" s="74">
        <f t="shared" si="425"/>
        <v>155.78999999999996</v>
      </c>
      <c r="AU750" s="74">
        <f t="shared" si="426"/>
        <v>1.1698999999999999</v>
      </c>
      <c r="AV750" s="74">
        <f t="shared" si="427"/>
        <v>90.562559141258461</v>
      </c>
      <c r="AW750" s="74">
        <f t="shared" si="428"/>
        <v>0</v>
      </c>
      <c r="AX750" s="74">
        <f t="shared" si="429"/>
        <v>117</v>
      </c>
      <c r="AY750" s="74">
        <f t="shared" si="430"/>
        <v>90.56</v>
      </c>
      <c r="AZ750" s="117">
        <v>90.56</v>
      </c>
      <c r="BA750" s="49">
        <v>90.56</v>
      </c>
      <c r="BB750" s="49">
        <v>90.56</v>
      </c>
      <c r="BC750" s="73" t="str">
        <f t="shared" si="431"/>
        <v/>
      </c>
      <c r="BD750" s="73">
        <f t="shared" si="432"/>
        <v>272.78999999999996</v>
      </c>
      <c r="BE750" s="73">
        <f t="shared" si="433"/>
        <v>246.35255914125844</v>
      </c>
      <c r="BF750" s="77">
        <f t="shared" si="434"/>
        <v>26.44</v>
      </c>
      <c r="BG750" s="77">
        <f t="shared" si="435"/>
        <v>7.9320000000000004</v>
      </c>
      <c r="BH750" s="77">
        <f t="shared" si="436"/>
        <v>116.99999999999999</v>
      </c>
      <c r="BI750" s="78">
        <f t="shared" si="437"/>
        <v>0.23</v>
      </c>
      <c r="BJ750" s="79">
        <f t="shared" si="438"/>
        <v>9.6924374060632743E-2</v>
      </c>
      <c r="BK750" s="80">
        <f t="shared" si="439"/>
        <v>246.34999999999997</v>
      </c>
      <c r="BL750" s="80">
        <f t="shared" si="440"/>
        <v>26.439999999999998</v>
      </c>
      <c r="BM750" s="79">
        <f t="shared" si="441"/>
        <v>9.6924374060632729E-2</v>
      </c>
      <c r="BN750" s="81">
        <f t="shared" si="442"/>
        <v>0.90560000000000007</v>
      </c>
      <c r="BO750" s="82">
        <f t="shared" si="443"/>
        <v>90.56</v>
      </c>
      <c r="BP750" s="81">
        <f t="shared" si="444"/>
        <v>0.90560000000000007</v>
      </c>
      <c r="BQ750" s="81">
        <f t="shared" si="445"/>
        <v>0.90570000000000006</v>
      </c>
      <c r="BR750" s="81">
        <f t="shared" si="446"/>
        <v>1.1700999999999999</v>
      </c>
      <c r="BS750" s="82">
        <f t="shared" si="447"/>
        <v>100</v>
      </c>
      <c r="BT750" s="82">
        <f t="shared" si="448"/>
        <v>117.00999999999999</v>
      </c>
      <c r="BU750" s="82">
        <f t="shared" si="449"/>
        <v>117</v>
      </c>
      <c r="BW750" s="82">
        <f>IFERROR(INDEX('Infos Clientes'!$T:$T,MATCH('Detalhe Por UC'!$C750,'Infos Clientes'!B:B,0)),"")</f>
        <v>362.41666666666669</v>
      </c>
      <c r="BX750" s="83">
        <f t="shared" si="450"/>
        <v>0</v>
      </c>
      <c r="BY750" s="84">
        <f t="shared" si="451"/>
        <v>0.2259635928553114</v>
      </c>
      <c r="BZ750" s="85">
        <f>IF(_xlfn.MINIFS('Detalhe Por UC'!R:R,'Detalhe Por UC'!C:C,C750,'Detalhe Por UC'!AD:AD,"&gt;"&amp;0)=0,"",_xlfn.MINIFS('Detalhe Por UC'!R:R,'Detalhe Por UC'!C:C,C750,'Detalhe Por UC'!AD:AD,"&gt;"&amp;0))</f>
        <v>45627</v>
      </c>
      <c r="CA750" s="114">
        <f ca="1">IF(OR(S750&gt;0,AD750&gt;0),IFERROR(
SUMIFS(INDIRECT("'Infos Clientes'!$W"&amp;INDEX('Infos Clientes'!$C:$C,MATCH(C750,'Infos Clientes'!$H:$H,0))&amp;":$CZ"&amp;INDEX('Infos Clientes'!$C:$C,MATCH(C750,'Infos Clientes'!$H:$H,0))),'Infos Clientes'!$W$2:$CZ$2,"&gt;"&amp;$R750-365,'Infos Clientes'!$W$2:$CZ$2,"&lt;="&amp;$R750)/
COUNTIFS(INDIRECT("'Infos Clientes'!$W"&amp;INDEX('Infos Clientes'!$C:$C,MATCH(C750,'Infos Clientes'!$H:$H,0))&amp;":$CZ"&amp;INDEX('Infos Clientes'!$C:$C,MATCH(C750,'Infos Clientes'!$H:$H,0))),"&gt;="&amp;0,'Infos Clientes'!$W$2:$CZ$2,"&gt;"&amp;$R750-365,'Infos Clientes'!$W$2:$CZ$2,"&lt;="&amp;$R750),""),"")</f>
        <v>334.75</v>
      </c>
      <c r="CB750" s="87">
        <f>VLOOKUP(C750,'Infos Clientes'!B:L,11,0)</f>
        <v>0</v>
      </c>
      <c r="CC750" s="88" t="str">
        <f t="shared" si="452"/>
        <v>A Unidade Consumidora 10/156956-5 economizou R$26,44 na fatura referente à ago/2025  consumindo 100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0" s="115">
        <f t="shared" si="453"/>
        <v>-155.78999999999996</v>
      </c>
    </row>
    <row r="751" spans="1:84" ht="16.2" hidden="1" customHeight="1" x14ac:dyDescent="0.3">
      <c r="A751" s="105" t="str">
        <f>INDEX('Infos Clientes'!$D:$D,MATCH('Detalhe Por UC'!C751,'Infos Clientes'!B:B,0))</f>
        <v>IGREJA DO EVANGELHO QUADRANGULAR</v>
      </c>
      <c r="B751" s="106" t="str">
        <f>INDEX('Infos Clientes'!$F:$F,MATCH('Detalhe Por UC'!C751,'Infos Clientes'!B:B,0))</f>
        <v>62.955.505/1973-60</v>
      </c>
      <c r="C751" s="44" t="s">
        <v>51</v>
      </c>
      <c r="D751" t="s">
        <v>351</v>
      </c>
      <c r="E751" s="1" t="s">
        <v>352</v>
      </c>
      <c r="F751" s="56" t="str">
        <f>INDEX('Infos Clientes'!$I:$I,MATCH('Detalhe Por UC'!C751,'Infos Clientes'!B:B,0))</f>
        <v>BT</v>
      </c>
      <c r="G751" s="56" t="str">
        <f>INDEX('Infos Clientes'!$J:$J,MATCH('Detalhe Por UC'!C751,'Infos Clientes'!B:B,0))</f>
        <v>trifasico</v>
      </c>
      <c r="H751" s="47" t="str">
        <f t="shared" si="455"/>
        <v>GIROSSOL II</v>
      </c>
      <c r="I751" s="58">
        <f>IFERROR(VLOOKUP(C751,'Infos Clientes'!B:E,4,),"")</f>
        <v>360</v>
      </c>
      <c r="J751" s="151">
        <v>0.22596103298069697</v>
      </c>
      <c r="K751" s="79">
        <f>INDEX('Resumo Operacional'!$A$1:$P$151,MATCH("Desconto percentual Ucs",'Resumo Operacional'!$B$1:$B$151,0),MATCH('Detalhe Por UC'!$R751,'Resumo Operacional'!$A$1:$P$1,0))</f>
        <v>0.26495232343264008</v>
      </c>
      <c r="M751" s="56">
        <f>INDEX('Infos Clientes'!$N:$N,MATCH('Detalhe Por UC'!C751,'Infos Clientes'!B:B,0))</f>
        <v>0</v>
      </c>
      <c r="N751" s="56">
        <f t="shared" si="418"/>
        <v>0</v>
      </c>
      <c r="O751" s="56">
        <f t="shared" si="419"/>
        <v>9</v>
      </c>
      <c r="P751" s="56">
        <f t="shared" si="454"/>
        <v>0</v>
      </c>
      <c r="Q751" s="61">
        <f>IFERROR(IFERROR(INDEX('Infos Clientes'!$A$2:$V$9884,MATCH($C751,'Infos Clientes'!$B$2:$B$9884,0),MATCH(Q$8,'Infos Clientes'!$A$2:$V$2,0)),"")
+IF(OR(INDEX('Infos Clientes'!$A$2:$V$9884,MATCH($C751,'Infos Clientes'!$B$2:$B$9884,0),MATCH("Tempo de Fidelidade (meses)",'Infos Clientes'!$A$2:$V$2,0))=0,R751&gt;=MAX(R:R)),0,
ROUND((MAX(R:R)-R751)/(365/12),0)),"")</f>
        <v>0</v>
      </c>
      <c r="R751" s="111">
        <v>45870</v>
      </c>
      <c r="S751" s="152">
        <v>1.0699999999999999E-2</v>
      </c>
      <c r="T751" s="113">
        <f>IF($H751="GIROSSOL II",AP751/INDEX('Resumo Operacional'!$A$1:$P$1103,17,MATCH('Detalhe Por UC'!$R751,'Resumo Operacional'!$A$1:$P$1,0)),
IF($H751="GIROSSOL II e III",AP751/INDEX('Resumo Operacional'!$A$1:$P$1103,17,MATCH('Detalhe Por UC'!$R751,'Resumo Operacional'!$A$1:$P$1,0)),
""))</f>
        <v>2.3411371237458192E-2</v>
      </c>
      <c r="U751" s="113" t="str">
        <f>IF($H751="GIROSSOL III",AP751/INDEX('Resumo Operacional'!$A$1:$P$1103,53,MATCH('Detalhe Por UC'!$R751,'Resumo Operacional'!$A$1:$P$1,0)),
IF($H751="GIROSSOL II e III",AP751/INDEX('Resumo Operacional'!$A$1:$P$1103,53,MATCH('Detalhe Por UC'!$R751,'Resumo Operacional'!$A$1:$P$1,0)),
""))</f>
        <v/>
      </c>
      <c r="X751">
        <v>1.1776</v>
      </c>
      <c r="Z751" s="18">
        <v>0</v>
      </c>
      <c r="AB751" s="18">
        <v>0</v>
      </c>
      <c r="AD751" s="143">
        <v>0</v>
      </c>
      <c r="AF751" s="18">
        <v>325</v>
      </c>
      <c r="AH751" s="49">
        <v>19.329999999999998</v>
      </c>
      <c r="AK751" s="153">
        <v>137.09</v>
      </c>
      <c r="AL751" s="43">
        <f t="shared" si="456"/>
        <v>0</v>
      </c>
      <c r="AN751" s="71">
        <f t="shared" si="420"/>
        <v>161</v>
      </c>
      <c r="AO751" s="71">
        <f t="shared" si="421"/>
        <v>0</v>
      </c>
      <c r="AP751" s="71">
        <f t="shared" si="422"/>
        <v>161</v>
      </c>
      <c r="AQ751" s="72">
        <f>IF(OR($H751="GIROSSOL II",$H751="GIROSSOL II e III"),INDEX('Resumo Operacional'!$A$1:$P$1103,MATCH("Energia Injetada prevista total Fatura da Usina (TUSD)",'Resumo Operacional'!$B$1:$B$1103,0),MATCH('Detalhe Por UC'!$R751,'Resumo Operacional'!$A$1:$P$1,0))*$S751,INDEX('Resumo Operacional'!$A$1:$P$1103,53,MATCH('Detalhe Por UC'!$R751,'Resumo Operacional'!$A$1:$P$1,0))*$S751)</f>
        <v>73.5839</v>
      </c>
      <c r="AR751" s="71">
        <f t="shared" si="423"/>
        <v>87.4161</v>
      </c>
      <c r="AS751" s="73">
        <f t="shared" si="424"/>
        <v>137.08999999999997</v>
      </c>
      <c r="AT751" s="74">
        <f t="shared" si="425"/>
        <v>137.08999999999997</v>
      </c>
      <c r="AU751" s="74" t="str">
        <f t="shared" si="426"/>
        <v/>
      </c>
      <c r="AV751" s="74">
        <f t="shared" si="427"/>
        <v>0</v>
      </c>
      <c r="AW751" s="74">
        <f t="shared" si="428"/>
        <v>0</v>
      </c>
      <c r="AX751" s="74">
        <f t="shared" si="429"/>
        <v>0</v>
      </c>
      <c r="AY751" s="74" t="str">
        <f t="shared" si="430"/>
        <v/>
      </c>
      <c r="AZ751" s="117">
        <v>0</v>
      </c>
      <c r="BC751" s="73" t="str">
        <f t="shared" si="431"/>
        <v/>
      </c>
      <c r="BD751" s="73">
        <f t="shared" si="432"/>
        <v>137.08999999999997</v>
      </c>
      <c r="BE751" s="73">
        <f t="shared" si="433"/>
        <v>137.08999999999997</v>
      </c>
      <c r="BF751" s="77">
        <f t="shared" si="434"/>
        <v>0</v>
      </c>
      <c r="BG751" s="77">
        <f t="shared" si="435"/>
        <v>0</v>
      </c>
      <c r="BH751" s="77">
        <f t="shared" si="436"/>
        <v>0</v>
      </c>
      <c r="BI751" s="78" t="str">
        <f t="shared" si="437"/>
        <v/>
      </c>
      <c r="BJ751" s="79">
        <f t="shared" si="438"/>
        <v>0</v>
      </c>
      <c r="BK751" s="80" t="str">
        <f t="shared" si="439"/>
        <v/>
      </c>
      <c r="BL751" s="80" t="str">
        <f t="shared" si="440"/>
        <v/>
      </c>
      <c r="BM751" s="79" t="str">
        <f t="shared" si="441"/>
        <v/>
      </c>
      <c r="BN751" s="81" t="str">
        <f t="shared" si="442"/>
        <v/>
      </c>
      <c r="BO751" s="82" t="str">
        <f t="shared" si="443"/>
        <v/>
      </c>
      <c r="BP751" s="81" t="str">
        <f t="shared" si="444"/>
        <v/>
      </c>
      <c r="BQ751" s="81" t="str">
        <f t="shared" si="445"/>
        <v/>
      </c>
      <c r="BR751" s="81" t="str">
        <f t="shared" si="446"/>
        <v/>
      </c>
      <c r="BS751" s="82">
        <f t="shared" si="447"/>
        <v>0</v>
      </c>
      <c r="BT751" s="82" t="str">
        <f t="shared" si="448"/>
        <v/>
      </c>
      <c r="BU751" s="82">
        <f t="shared" si="449"/>
        <v>0</v>
      </c>
      <c r="BW751" s="82">
        <f>IFERROR(INDEX('Infos Clientes'!$T:$T,MATCH('Detalhe Por UC'!$C751,'Infos Clientes'!B:B,0)),"")</f>
        <v>185.66666666666666</v>
      </c>
      <c r="BX751" s="83">
        <f t="shared" si="450"/>
        <v>0</v>
      </c>
      <c r="BY751" s="84" t="str">
        <f t="shared" si="451"/>
        <v/>
      </c>
      <c r="BZ751" s="85">
        <f>IF(_xlfn.MINIFS('Detalhe Por UC'!R:R,'Detalhe Por UC'!C:C,C751,'Detalhe Por UC'!AD:AD,"&gt;"&amp;0)=0,"",_xlfn.MINIFS('Detalhe Por UC'!R:R,'Detalhe Por UC'!C:C,C751,'Detalhe Por UC'!AD:AD,"&gt;"&amp;0))</f>
        <v>45627</v>
      </c>
      <c r="CA751" s="114">
        <f ca="1">IF(OR(S751&gt;0,AD751&gt;0),IFERROR(
SUMIFS(INDIRECT("'Infos Clientes'!$W"&amp;INDEX('Infos Clientes'!$C:$C,MATCH(C751,'Infos Clientes'!$H:$H,0))&amp;":$CZ"&amp;INDEX('Infos Clientes'!$C:$C,MATCH(C751,'Infos Clientes'!$H:$H,0))),'Infos Clientes'!$W$2:$CZ$2,"&gt;"&amp;$R751-365,'Infos Clientes'!$W$2:$CZ$2,"&lt;="&amp;$R751)/
COUNTIFS(INDIRECT("'Infos Clientes'!$W"&amp;INDEX('Infos Clientes'!$C:$C,MATCH(C751,'Infos Clientes'!$H:$H,0))&amp;":$CZ"&amp;INDEX('Infos Clientes'!$C:$C,MATCH(C751,'Infos Clientes'!$H:$H,0))),"&gt;="&amp;0,'Infos Clientes'!$W$2:$CZ$2,"&gt;"&amp;$R751-365,'Infos Clientes'!$W$2:$CZ$2,"&lt;="&amp;$R751),""),"")</f>
        <v>289.89999999999998</v>
      </c>
      <c r="CB751" s="87">
        <f>VLOOKUP(C751,'Infos Clientes'!B:L,11,0)</f>
        <v>0</v>
      </c>
      <c r="CC751" s="88" t="str">
        <f t="shared" si="452"/>
        <v>A Unidade Consumidora 10/162736-3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1" s="115">
        <f t="shared" si="453"/>
        <v>-137.08999999999997</v>
      </c>
    </row>
    <row r="752" spans="1:84" ht="16.2" hidden="1" customHeight="1" x14ac:dyDescent="0.3">
      <c r="A752" s="105" t="str">
        <f>INDEX('Infos Clientes'!$D:$D,MATCH('Detalhe Por UC'!C752,'Infos Clientes'!B:B,0))</f>
        <v>IGREJA DO EVANGELHO QUADRANGULAR</v>
      </c>
      <c r="B752" s="106" t="str">
        <f>INDEX('Infos Clientes'!$F:$F,MATCH('Detalhe Por UC'!C752,'Infos Clientes'!B:B,0))</f>
        <v>62.955.505/4612-10</v>
      </c>
      <c r="C752" s="44" t="s">
        <v>60</v>
      </c>
      <c r="D752" t="s">
        <v>351</v>
      </c>
      <c r="E752" s="1" t="s">
        <v>352</v>
      </c>
      <c r="F752" s="56" t="str">
        <f>INDEX('Infos Clientes'!$I:$I,MATCH('Detalhe Por UC'!C752,'Infos Clientes'!B:B,0))</f>
        <v>BT</v>
      </c>
      <c r="G752" s="56" t="str">
        <f>INDEX('Infos Clientes'!$J:$J,MATCH('Detalhe Por UC'!C752,'Infos Clientes'!B:B,0))</f>
        <v>trifasico</v>
      </c>
      <c r="H752" s="47" t="str">
        <f t="shared" si="455"/>
        <v>GIROSSOL II</v>
      </c>
      <c r="I752" s="58">
        <f>IFERROR(VLOOKUP(C752,'Infos Clientes'!B:E,4,),"")</f>
        <v>306</v>
      </c>
      <c r="J752" s="151">
        <v>0.22596103298069697</v>
      </c>
      <c r="K752" s="79">
        <f>INDEX('Resumo Operacional'!$A$1:$P$151,MATCH("Desconto percentual Ucs",'Resumo Operacional'!$B$1:$B$151,0),MATCH('Detalhe Por UC'!$R752,'Resumo Operacional'!$A$1:$P$1,0))</f>
        <v>0.26495232343264008</v>
      </c>
      <c r="M752" s="56">
        <f>INDEX('Infos Clientes'!$N:$N,MATCH('Detalhe Por UC'!C752,'Infos Clientes'!B:B,0))</f>
        <v>0</v>
      </c>
      <c r="N752" s="56">
        <f t="shared" si="418"/>
        <v>0</v>
      </c>
      <c r="O752" s="56">
        <f t="shared" si="419"/>
        <v>12</v>
      </c>
      <c r="P752" s="56">
        <f t="shared" si="454"/>
        <v>0</v>
      </c>
      <c r="Q752" s="61">
        <f>IFERROR(IFERROR(INDEX('Infos Clientes'!$A$2:$V$9884,MATCH($C752,'Infos Clientes'!$B$2:$B$9884,0),MATCH(Q$8,'Infos Clientes'!$A$2:$V$2,0)),"")
+IF(OR(INDEX('Infos Clientes'!$A$2:$V$9884,MATCH($C752,'Infos Clientes'!$B$2:$B$9884,0),MATCH("Tempo de Fidelidade (meses)",'Infos Clientes'!$A$2:$V$2,0))=0,R752&gt;=MAX(R:R)),0,
ROUND((MAX(R:R)-R752)/(365/12),0)),"")</f>
        <v>0</v>
      </c>
      <c r="R752" s="111">
        <v>45870</v>
      </c>
      <c r="S752" s="152">
        <v>1.0699999999999999E-2</v>
      </c>
      <c r="T752" s="113">
        <f>IF($H752="GIROSSOL II",AP752/INDEX('Resumo Operacional'!$A$1:$P$1103,17,MATCH('Detalhe Por UC'!$R752,'Resumo Operacional'!$A$1:$P$1,0)),
IF($H752="GIROSSOL II e III",AP752/INDEX('Resumo Operacional'!$A$1:$P$1103,17,MATCH('Detalhe Por UC'!$R752,'Resumo Operacional'!$A$1:$P$1,0)),
""))</f>
        <v>1.2796277446561E-2</v>
      </c>
      <c r="U752" s="113" t="str">
        <f>IF($H752="GIROSSOL III",AP752/INDEX('Resumo Operacional'!$A$1:$P$1103,53,MATCH('Detalhe Por UC'!$R752,'Resumo Operacional'!$A$1:$P$1,0)),
IF($H752="GIROSSOL II e III",AP752/INDEX('Resumo Operacional'!$A$1:$P$1103,53,MATCH('Detalhe Por UC'!$R752,'Resumo Operacional'!$A$1:$P$1,0)),
""))</f>
        <v/>
      </c>
      <c r="X752">
        <v>1.1699480225988701</v>
      </c>
      <c r="Z752" s="18">
        <v>1.1698805194805195</v>
      </c>
      <c r="AB752" s="18">
        <v>177</v>
      </c>
      <c r="AD752" s="143">
        <v>77</v>
      </c>
      <c r="AF752" s="18">
        <v>175</v>
      </c>
      <c r="AH752" s="49">
        <v>61.67</v>
      </c>
      <c r="AK752" s="153">
        <v>178.67</v>
      </c>
      <c r="AL752" s="43">
        <f t="shared" si="456"/>
        <v>0</v>
      </c>
      <c r="AN752" s="71">
        <f t="shared" si="420"/>
        <v>11</v>
      </c>
      <c r="AO752" s="71">
        <f t="shared" si="421"/>
        <v>0</v>
      </c>
      <c r="AP752" s="71">
        <f t="shared" si="422"/>
        <v>88</v>
      </c>
      <c r="AQ752" s="72">
        <f>IF(OR($H752="GIROSSOL II",$H752="GIROSSOL II e III"),INDEX('Resumo Operacional'!$A$1:$P$1103,MATCH("Energia Injetada prevista total Fatura da Usina (TUSD)",'Resumo Operacional'!$B$1:$B$1103,0),MATCH('Detalhe Por UC'!$R752,'Resumo Operacional'!$A$1:$P$1,0))*$S752,INDEX('Resumo Operacional'!$A$1:$P$1103,53,MATCH('Detalhe Por UC'!$R752,'Resumo Operacional'!$A$1:$P$1,0))*$S752)</f>
        <v>73.5839</v>
      </c>
      <c r="AR752" s="71">
        <f t="shared" si="423"/>
        <v>14.4161</v>
      </c>
      <c r="AS752" s="73">
        <f t="shared" si="424"/>
        <v>178.67000000000002</v>
      </c>
      <c r="AT752" s="74">
        <f t="shared" si="425"/>
        <v>178.67000000000002</v>
      </c>
      <c r="AU752" s="74">
        <f t="shared" si="426"/>
        <v>1.1698130163621689</v>
      </c>
      <c r="AV752" s="74">
        <f t="shared" si="427"/>
        <v>69.726049380272443</v>
      </c>
      <c r="AW752" s="74">
        <f t="shared" si="428"/>
        <v>0</v>
      </c>
      <c r="AX752" s="74">
        <f t="shared" si="429"/>
        <v>90.080799999999996</v>
      </c>
      <c r="AY752" s="74">
        <f t="shared" si="430"/>
        <v>69.73</v>
      </c>
      <c r="AZ752" s="117">
        <v>69.73</v>
      </c>
      <c r="BA752" s="49">
        <v>69.73</v>
      </c>
      <c r="BB752" s="49">
        <v>69.73</v>
      </c>
      <c r="BC752" s="73" t="str">
        <f t="shared" si="431"/>
        <v/>
      </c>
      <c r="BD752" s="73">
        <f t="shared" si="432"/>
        <v>268.75080000000003</v>
      </c>
      <c r="BE752" s="73">
        <f t="shared" si="433"/>
        <v>248.39604938027247</v>
      </c>
      <c r="BF752" s="77">
        <f t="shared" si="434"/>
        <v>20.350000000000001</v>
      </c>
      <c r="BG752" s="77">
        <f t="shared" si="435"/>
        <v>6.1050000000000004</v>
      </c>
      <c r="BH752" s="77">
        <f t="shared" si="436"/>
        <v>90.080800000000011</v>
      </c>
      <c r="BI752" s="78">
        <f t="shared" si="437"/>
        <v>0.23</v>
      </c>
      <c r="BJ752" s="79">
        <f t="shared" si="438"/>
        <v>7.5720704831390262E-2</v>
      </c>
      <c r="BK752" s="80">
        <f t="shared" si="439"/>
        <v>248.40000000000003</v>
      </c>
      <c r="BL752" s="80">
        <f t="shared" si="440"/>
        <v>20.350799999999992</v>
      </c>
      <c r="BM752" s="79">
        <f t="shared" si="441"/>
        <v>7.5723681566715301E-2</v>
      </c>
      <c r="BN752" s="81">
        <f t="shared" si="442"/>
        <v>0.9055844155844156</v>
      </c>
      <c r="BO752" s="82">
        <f t="shared" si="443"/>
        <v>69.73</v>
      </c>
      <c r="BP752" s="81">
        <f t="shared" si="444"/>
        <v>0.9055844155844156</v>
      </c>
      <c r="BQ752" s="81">
        <f t="shared" si="445"/>
        <v>0.90565191870276618</v>
      </c>
      <c r="BR752" s="81">
        <f t="shared" si="446"/>
        <v>1.1699480225988701</v>
      </c>
      <c r="BS752" s="82">
        <f t="shared" si="447"/>
        <v>77</v>
      </c>
      <c r="BT752" s="82">
        <f t="shared" si="448"/>
        <v>90.085997740113001</v>
      </c>
      <c r="BU752" s="82">
        <f t="shared" si="449"/>
        <v>90.080799999999996</v>
      </c>
      <c r="BW752" s="82">
        <f>IFERROR(INDEX('Infos Clientes'!$T:$T,MATCH('Detalhe Por UC'!$C752,'Infos Clientes'!B:B,0)),"")</f>
        <v>279.08333333333331</v>
      </c>
      <c r="BX752" s="83">
        <f t="shared" si="450"/>
        <v>0</v>
      </c>
      <c r="BY752" s="84">
        <f t="shared" si="451"/>
        <v>0.22590414171478182</v>
      </c>
      <c r="BZ752" s="85">
        <f>IF(_xlfn.MINIFS('Detalhe Por UC'!R:R,'Detalhe Por UC'!C:C,C752,'Detalhe Por UC'!AD:AD,"&gt;"&amp;0)=0,"",_xlfn.MINIFS('Detalhe Por UC'!R:R,'Detalhe Por UC'!C:C,C752,'Detalhe Por UC'!AD:AD,"&gt;"&amp;0))</f>
        <v>45627</v>
      </c>
      <c r="CA752" s="114">
        <f ca="1">IF(OR(S752&gt;0,AD752&gt;0),IFERROR(
SUMIFS(INDIRECT("'Infos Clientes'!$W"&amp;INDEX('Infos Clientes'!$C:$C,MATCH(C752,'Infos Clientes'!$H:$H,0))&amp;":$CZ"&amp;INDEX('Infos Clientes'!$C:$C,MATCH(C752,'Infos Clientes'!$H:$H,0))),'Infos Clientes'!$W$2:$CZ$2,"&gt;"&amp;$R752-365,'Infos Clientes'!$W$2:$CZ$2,"&lt;="&amp;$R752)/
COUNTIFS(INDIRECT("'Infos Clientes'!$W"&amp;INDEX('Infos Clientes'!$C:$C,MATCH(C752,'Infos Clientes'!$H:$H,0))&amp;":$CZ"&amp;INDEX('Infos Clientes'!$C:$C,MATCH(C752,'Infos Clientes'!$H:$H,0))),"&gt;="&amp;0,'Infos Clientes'!$W$2:$CZ$2,"&gt;"&amp;$R752-365,'Infos Clientes'!$W$2:$CZ$2,"&lt;="&amp;$R752),""),"")</f>
        <v>275.08333333333331</v>
      </c>
      <c r="CB752" s="87">
        <f>VLOOKUP(C752,'Infos Clientes'!B:L,11,0)</f>
        <v>0</v>
      </c>
      <c r="CC752" s="88" t="str">
        <f t="shared" si="452"/>
        <v>A Unidade Consumidora 10/1698130-0 economizou R$20,35 na fatura referente à ago/2025  consumindo 77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2" s="115">
        <f t="shared" si="453"/>
        <v>-178.67000000000002</v>
      </c>
    </row>
    <row r="753" spans="1:84" ht="16.2" hidden="1" customHeight="1" x14ac:dyDescent="0.3">
      <c r="A753" s="105" t="str">
        <f>INDEX('Infos Clientes'!$D:$D,MATCH('Detalhe Por UC'!C753,'Infos Clientes'!B:B,0))</f>
        <v>IGREJA DO EVANGELHO QUADRANGULAR</v>
      </c>
      <c r="B753" s="106" t="str">
        <f>INDEX('Infos Clientes'!$F:$F,MATCH('Detalhe Por UC'!C753,'Infos Clientes'!B:B,0))</f>
        <v>62.955.505/4194-43</v>
      </c>
      <c r="C753" s="44" t="s">
        <v>67</v>
      </c>
      <c r="D753" t="s">
        <v>351</v>
      </c>
      <c r="E753" s="1" t="s">
        <v>352</v>
      </c>
      <c r="F753" s="56" t="str">
        <f>INDEX('Infos Clientes'!$I:$I,MATCH('Detalhe Por UC'!C753,'Infos Clientes'!B:B,0))</f>
        <v>BT</v>
      </c>
      <c r="G753" s="56" t="str">
        <f>INDEX('Infos Clientes'!$J:$J,MATCH('Detalhe Por UC'!C753,'Infos Clientes'!B:B,0))</f>
        <v>bifasico</v>
      </c>
      <c r="H753" s="47" t="str">
        <f t="shared" si="455"/>
        <v>GIROSSOL II</v>
      </c>
      <c r="I753" s="58">
        <f>IFERROR(VLOOKUP(C753,'Infos Clientes'!B:E,4,),"")</f>
        <v>331</v>
      </c>
      <c r="J753" s="151">
        <v>0.22596103298069697</v>
      </c>
      <c r="K753" s="79">
        <f>INDEX('Resumo Operacional'!$A$1:$P$151,MATCH("Desconto percentual Ucs",'Resumo Operacional'!$B$1:$B$151,0),MATCH('Detalhe Por UC'!$R753,'Resumo Operacional'!$A$1:$P$1,0))</f>
        <v>0.26495232343264008</v>
      </c>
      <c r="M753" s="56">
        <f>INDEX('Infos Clientes'!$N:$N,MATCH('Detalhe Por UC'!C753,'Infos Clientes'!B:B,0))</f>
        <v>0</v>
      </c>
      <c r="N753" s="56">
        <f t="shared" si="418"/>
        <v>0</v>
      </c>
      <c r="O753" s="56">
        <f t="shared" si="419"/>
        <v>12</v>
      </c>
      <c r="P753" s="56">
        <f t="shared" si="454"/>
        <v>0</v>
      </c>
      <c r="Q753" s="61">
        <f>IFERROR(IFERROR(INDEX('Infos Clientes'!$A$2:$V$9884,MATCH($C753,'Infos Clientes'!$B$2:$B$9884,0),MATCH(Q$8,'Infos Clientes'!$A$2:$V$2,0)),"")
+IF(OR(INDEX('Infos Clientes'!$A$2:$V$9884,MATCH($C753,'Infos Clientes'!$B$2:$B$9884,0),MATCH("Tempo de Fidelidade (meses)",'Infos Clientes'!$A$2:$V$2,0))=0,R753&gt;=MAX(R:R)),0,
ROUND((MAX(R:R)-R753)/(365/12),0)),"")</f>
        <v>0</v>
      </c>
      <c r="R753" s="111">
        <v>45870</v>
      </c>
      <c r="S753" s="152">
        <v>1.0699999999999999E-2</v>
      </c>
      <c r="T753" s="113">
        <f>IF($H753="GIROSSOL II",AP753/INDEX('Resumo Operacional'!$A$1:$P$1103,17,MATCH('Detalhe Por UC'!$R753,'Resumo Operacional'!$A$1:$P$1,0)),
IF($H753="GIROSSOL II e III",AP753/INDEX('Resumo Operacional'!$A$1:$P$1103,17,MATCH('Detalhe Por UC'!$R753,'Resumo Operacional'!$A$1:$P$1,0)),
""))</f>
        <v>2.3411371237458192E-2</v>
      </c>
      <c r="U753" s="113" t="str">
        <f>IF($H753="GIROSSOL III",AP753/INDEX('Resumo Operacional'!$A$1:$P$1103,53,MATCH('Detalhe Por UC'!$R753,'Resumo Operacional'!$A$1:$P$1,0)),
IF($H753="GIROSSOL II e III",AP753/INDEX('Resumo Operacional'!$A$1:$P$1103,53,MATCH('Detalhe Por UC'!$R753,'Resumo Operacional'!$A$1:$P$1,0)),
""))</f>
        <v/>
      </c>
      <c r="X753">
        <v>1.1774</v>
      </c>
      <c r="Z753" s="18">
        <v>1.1773428571428572</v>
      </c>
      <c r="AB753" s="18">
        <v>225</v>
      </c>
      <c r="AD753" s="143">
        <v>175</v>
      </c>
      <c r="AF753" s="18">
        <v>550</v>
      </c>
      <c r="AH753" s="49">
        <v>2.1000000000000014</v>
      </c>
      <c r="AK753" s="153">
        <v>60.98</v>
      </c>
      <c r="AL753" s="43">
        <f t="shared" si="456"/>
        <v>0</v>
      </c>
      <c r="AN753" s="71">
        <f t="shared" si="420"/>
        <v>-14</v>
      </c>
      <c r="AO753" s="71">
        <f t="shared" si="421"/>
        <v>0</v>
      </c>
      <c r="AP753" s="71">
        <f t="shared" si="422"/>
        <v>161</v>
      </c>
      <c r="AQ753" s="72">
        <f>IF(OR($H753="GIROSSOL II",$H753="GIROSSOL II e III"),INDEX('Resumo Operacional'!$A$1:$P$1103,MATCH("Energia Injetada prevista total Fatura da Usina (TUSD)",'Resumo Operacional'!$B$1:$B$1103,0),MATCH('Detalhe Por UC'!$R753,'Resumo Operacional'!$A$1:$P$1,0))*$S753,INDEX('Resumo Operacional'!$A$1:$P$1103,53,MATCH('Detalhe Por UC'!$R753,'Resumo Operacional'!$A$1:$P$1,0))*$S753)</f>
        <v>73.5839</v>
      </c>
      <c r="AR753" s="71">
        <f t="shared" si="423"/>
        <v>87.4161</v>
      </c>
      <c r="AS753" s="73">
        <f t="shared" si="424"/>
        <v>60.98</v>
      </c>
      <c r="AT753" s="74">
        <f t="shared" si="425"/>
        <v>60.98</v>
      </c>
      <c r="AU753" s="74">
        <f t="shared" si="426"/>
        <v>1.1772857142857145</v>
      </c>
      <c r="AV753" s="74">
        <f t="shared" si="427"/>
        <v>159.47911856982211</v>
      </c>
      <c r="AW753" s="74">
        <f t="shared" si="428"/>
        <v>0</v>
      </c>
      <c r="AX753" s="74">
        <f t="shared" si="429"/>
        <v>206.03500000000003</v>
      </c>
      <c r="AY753" s="74">
        <f t="shared" si="430"/>
        <v>159.47999999999999</v>
      </c>
      <c r="AZ753" s="117">
        <v>159.47999999999999</v>
      </c>
      <c r="BA753" s="49">
        <v>159.47999999999999</v>
      </c>
      <c r="BB753" s="49">
        <v>159.47999999999999</v>
      </c>
      <c r="BC753" s="73" t="str">
        <f t="shared" si="431"/>
        <v/>
      </c>
      <c r="BD753" s="73">
        <f t="shared" si="432"/>
        <v>267.01500000000004</v>
      </c>
      <c r="BE753" s="73">
        <f t="shared" si="433"/>
        <v>220.4591185698221</v>
      </c>
      <c r="BF753" s="77">
        <f t="shared" si="434"/>
        <v>46.56</v>
      </c>
      <c r="BG753" s="77">
        <f t="shared" si="435"/>
        <v>13.968</v>
      </c>
      <c r="BH753" s="77">
        <f t="shared" si="436"/>
        <v>206.035</v>
      </c>
      <c r="BI753" s="78">
        <f t="shared" si="437"/>
        <v>0.23</v>
      </c>
      <c r="BJ753" s="79">
        <f t="shared" si="438"/>
        <v>0.17437222627942248</v>
      </c>
      <c r="BK753" s="80">
        <f t="shared" si="439"/>
        <v>220.45999999999998</v>
      </c>
      <c r="BL753" s="80">
        <f t="shared" si="440"/>
        <v>46.555000000000064</v>
      </c>
      <c r="BM753" s="79">
        <f t="shared" si="441"/>
        <v>0.17435350073965902</v>
      </c>
      <c r="BN753" s="81">
        <f t="shared" si="442"/>
        <v>0.91131428571428563</v>
      </c>
      <c r="BO753" s="82">
        <f t="shared" si="443"/>
        <v>159.47999999999999</v>
      </c>
      <c r="BP753" s="81">
        <f t="shared" si="444"/>
        <v>0.91131428571428563</v>
      </c>
      <c r="BQ753" s="81">
        <f t="shared" si="445"/>
        <v>0.91137142857142839</v>
      </c>
      <c r="BR753" s="81">
        <f t="shared" si="446"/>
        <v>1.1774</v>
      </c>
      <c r="BS753" s="82">
        <f t="shared" si="447"/>
        <v>175</v>
      </c>
      <c r="BT753" s="82">
        <f t="shared" si="448"/>
        <v>206.04499999999999</v>
      </c>
      <c r="BU753" s="82">
        <f t="shared" si="449"/>
        <v>206.03500000000003</v>
      </c>
      <c r="BW753" s="82">
        <f>IFERROR(INDEX('Infos Clientes'!$T:$T,MATCH('Detalhe Por UC'!$C753,'Infos Clientes'!B:B,0)),"")</f>
        <v>372.25</v>
      </c>
      <c r="BX753" s="83">
        <f t="shared" si="450"/>
        <v>0</v>
      </c>
      <c r="BY753" s="84">
        <f t="shared" si="451"/>
        <v>0.22594578854133821</v>
      </c>
      <c r="BZ753" s="85">
        <f>IF(_xlfn.MINIFS('Detalhe Por UC'!R:R,'Detalhe Por UC'!C:C,C753,'Detalhe Por UC'!AD:AD,"&gt;"&amp;0)=0,"",_xlfn.MINIFS('Detalhe Por UC'!R:R,'Detalhe Por UC'!C:C,C753,'Detalhe Por UC'!AD:AD,"&gt;"&amp;0))</f>
        <v>45627</v>
      </c>
      <c r="CA753" s="114">
        <f ca="1">IF(OR(S753&gt;0,AD753&gt;0),IFERROR(
SUMIFS(INDIRECT("'Infos Clientes'!$W"&amp;INDEX('Infos Clientes'!$C:$C,MATCH(C753,'Infos Clientes'!$H:$H,0))&amp;":$CZ"&amp;INDEX('Infos Clientes'!$C:$C,MATCH(C753,'Infos Clientes'!$H:$H,0))),'Infos Clientes'!$W$2:$CZ$2,"&gt;"&amp;$R753-365,'Infos Clientes'!$W$2:$CZ$2,"&lt;="&amp;$R753)/
COUNTIFS(INDIRECT("'Infos Clientes'!$W"&amp;INDEX('Infos Clientes'!$C:$C,MATCH(C753,'Infos Clientes'!$H:$H,0))&amp;":$CZ"&amp;INDEX('Infos Clientes'!$C:$C,MATCH(C753,'Infos Clientes'!$H:$H,0))),"&gt;="&amp;0,'Infos Clientes'!$W$2:$CZ$2,"&gt;"&amp;$R753-365,'Infos Clientes'!$W$2:$CZ$2,"&lt;="&amp;$R753),""),"")</f>
        <v>341.16666666666669</v>
      </c>
      <c r="CB753" s="87">
        <f>VLOOKUP(C753,'Infos Clientes'!B:L,11,0)</f>
        <v>0</v>
      </c>
      <c r="CC753" s="88" t="str">
        <f t="shared" si="452"/>
        <v>A Unidade Consumidora 10/1939035-0 economizou R$46,56 na fatura referente à ago/2025  consumindo 175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3" s="115">
        <f t="shared" si="453"/>
        <v>-60.98</v>
      </c>
    </row>
    <row r="754" spans="1:84" ht="16.2" hidden="1" customHeight="1" x14ac:dyDescent="0.3">
      <c r="A754" s="105" t="str">
        <f>INDEX('Infos Clientes'!$D:$D,MATCH('Detalhe Por UC'!C754,'Infos Clientes'!B:B,0))</f>
        <v>IGREJA DO EVANGELHO QUADRANGULAR</v>
      </c>
      <c r="B754" s="106" t="str">
        <f>INDEX('Infos Clientes'!$F:$F,MATCH('Detalhe Por UC'!C754,'Infos Clientes'!B:B,0))</f>
        <v>62.955.505/1821-76</v>
      </c>
      <c r="C754" s="44" t="s">
        <v>81</v>
      </c>
      <c r="D754" t="s">
        <v>351</v>
      </c>
      <c r="E754" s="1" t="s">
        <v>352</v>
      </c>
      <c r="F754" s="56" t="str">
        <f>INDEX('Infos Clientes'!$I:$I,MATCH('Detalhe Por UC'!C754,'Infos Clientes'!B:B,0))</f>
        <v>BT</v>
      </c>
      <c r="G754" s="56" t="str">
        <f>INDEX('Infos Clientes'!$J:$J,MATCH('Detalhe Por UC'!C754,'Infos Clientes'!B:B,0))</f>
        <v>bifasico</v>
      </c>
      <c r="H754" s="47" t="str">
        <f t="shared" si="455"/>
        <v>GIROSSOL II</v>
      </c>
      <c r="I754" s="58">
        <f>IFERROR(VLOOKUP(C754,'Infos Clientes'!B:E,4,),"")</f>
        <v>362</v>
      </c>
      <c r="J754" s="151">
        <v>0.22596103298069697</v>
      </c>
      <c r="K754" s="79">
        <f>INDEX('Resumo Operacional'!$A$1:$P$151,MATCH("Desconto percentual Ucs",'Resumo Operacional'!$B$1:$B$151,0),MATCH('Detalhe Por UC'!$R754,'Resumo Operacional'!$A$1:$P$1,0))</f>
        <v>0.26495232343264008</v>
      </c>
      <c r="M754" s="56">
        <f>INDEX('Infos Clientes'!$N:$N,MATCH('Detalhe Por UC'!C754,'Infos Clientes'!B:B,0))</f>
        <v>0</v>
      </c>
      <c r="N754" s="56">
        <f t="shared" si="418"/>
        <v>0</v>
      </c>
      <c r="O754" s="56">
        <f t="shared" si="419"/>
        <v>12</v>
      </c>
      <c r="P754" s="56">
        <f t="shared" si="454"/>
        <v>0</v>
      </c>
      <c r="Q754" s="61">
        <f>IFERROR(IFERROR(INDEX('Infos Clientes'!$A$2:$V$9884,MATCH($C754,'Infos Clientes'!$B$2:$B$9884,0),MATCH(Q$8,'Infos Clientes'!$A$2:$V$2,0)),"")
+IF(OR(INDEX('Infos Clientes'!$A$2:$V$9884,MATCH($C754,'Infos Clientes'!$B$2:$B$9884,0),MATCH("Tempo de Fidelidade (meses)",'Infos Clientes'!$A$2:$V$2,0))=0,R754&gt;=MAX(R:R)),0,
ROUND((MAX(R:R)-R754)/(365/12),0)),"")</f>
        <v>0</v>
      </c>
      <c r="R754" s="111">
        <v>45870</v>
      </c>
      <c r="S754" s="152">
        <v>1.0699999999999999E-2</v>
      </c>
      <c r="T754" s="113">
        <f>IF($H754="GIROSSOL II",AP754/INDEX('Resumo Operacional'!$A$1:$P$1103,17,MATCH('Detalhe Por UC'!$R754,'Resumo Operacional'!$A$1:$P$1,0)),
IF($H754="GIROSSOL II e III",AP754/INDEX('Resumo Operacional'!$A$1:$P$1103,17,MATCH('Detalhe Por UC'!$R754,'Resumo Operacional'!$A$1:$P$1,0)),
""))</f>
        <v>1.2796277446561E-2</v>
      </c>
      <c r="U754" s="113" t="str">
        <f>IF($H754="GIROSSOL III",AP754/INDEX('Resumo Operacional'!$A$1:$P$1103,53,MATCH('Detalhe Por UC'!$R754,'Resumo Operacional'!$A$1:$P$1,0)),
IF($H754="GIROSSOL II e III",AP754/INDEX('Resumo Operacional'!$A$1:$P$1103,53,MATCH('Detalhe Por UC'!$R754,'Resumo Operacional'!$A$1:$P$1,0)),
""))</f>
        <v/>
      </c>
      <c r="X754">
        <v>1.1708444444444444</v>
      </c>
      <c r="Z754" s="18">
        <v>1.1688999999999998</v>
      </c>
      <c r="AB754" s="18">
        <v>54</v>
      </c>
      <c r="AD754" s="143">
        <v>4</v>
      </c>
      <c r="AF754" s="18">
        <v>242</v>
      </c>
      <c r="AH754" s="49">
        <v>12.75</v>
      </c>
      <c r="AK754" s="153">
        <v>71.3</v>
      </c>
      <c r="AL754" s="43">
        <f t="shared" si="456"/>
        <v>0</v>
      </c>
      <c r="AN754" s="71">
        <f t="shared" si="420"/>
        <v>84</v>
      </c>
      <c r="AO754" s="71">
        <f t="shared" si="421"/>
        <v>0</v>
      </c>
      <c r="AP754" s="71">
        <f t="shared" si="422"/>
        <v>88</v>
      </c>
      <c r="AQ754" s="72">
        <f>IF(OR($H754="GIROSSOL II",$H754="GIROSSOL II e III"),INDEX('Resumo Operacional'!$A$1:$P$1103,MATCH("Energia Injetada prevista total Fatura da Usina (TUSD)",'Resumo Operacional'!$B$1:$B$1103,0),MATCH('Detalhe Por UC'!$R754,'Resumo Operacional'!$A$1:$P$1,0))*$S754,INDEX('Resumo Operacional'!$A$1:$P$1103,53,MATCH('Detalhe Por UC'!$R754,'Resumo Operacional'!$A$1:$P$1,0))*$S754)</f>
        <v>73.5839</v>
      </c>
      <c r="AR754" s="71">
        <f t="shared" si="423"/>
        <v>14.4161</v>
      </c>
      <c r="AS754" s="73">
        <f t="shared" si="424"/>
        <v>71.3</v>
      </c>
      <c r="AT754" s="74">
        <f t="shared" si="425"/>
        <v>71.3</v>
      </c>
      <c r="AU754" s="74">
        <f t="shared" si="426"/>
        <v>1.1669555555555553</v>
      </c>
      <c r="AV754" s="74">
        <f t="shared" si="427"/>
        <v>3.6190965941954532</v>
      </c>
      <c r="AW754" s="74">
        <f t="shared" si="428"/>
        <v>0</v>
      </c>
      <c r="AX754" s="74">
        <f t="shared" si="429"/>
        <v>4.6755999999999993</v>
      </c>
      <c r="AY754" s="74">
        <f t="shared" si="430"/>
        <v>3.62</v>
      </c>
      <c r="AZ754" s="117">
        <v>3.62</v>
      </c>
      <c r="BA754" s="49">
        <v>3.62</v>
      </c>
      <c r="BC754" s="73" t="str">
        <f t="shared" si="431"/>
        <v/>
      </c>
      <c r="BD754" s="73">
        <f t="shared" si="432"/>
        <v>75.975599999999986</v>
      </c>
      <c r="BE754" s="73">
        <f t="shared" si="433"/>
        <v>74.919096594195452</v>
      </c>
      <c r="BF754" s="77">
        <f t="shared" si="434"/>
        <v>1.06</v>
      </c>
      <c r="BG754" s="77">
        <f t="shared" si="435"/>
        <v>0.318</v>
      </c>
      <c r="BH754" s="77">
        <f t="shared" si="436"/>
        <v>4.6755999999999993</v>
      </c>
      <c r="BI754" s="78">
        <f t="shared" si="437"/>
        <v>0.23</v>
      </c>
      <c r="BJ754" s="79">
        <f t="shared" si="438"/>
        <v>1.3951847698471617E-2</v>
      </c>
      <c r="BK754" s="80">
        <f t="shared" si="439"/>
        <v>74.92</v>
      </c>
      <c r="BL754" s="80">
        <f t="shared" si="440"/>
        <v>1.0555999999999841</v>
      </c>
      <c r="BM754" s="79">
        <f t="shared" si="441"/>
        <v>1.3893934368402281E-2</v>
      </c>
      <c r="BN754" s="81">
        <f t="shared" si="442"/>
        <v>0.90500000000000003</v>
      </c>
      <c r="BO754" s="82">
        <f t="shared" si="443"/>
        <v>3.62</v>
      </c>
      <c r="BP754" s="81">
        <f t="shared" si="444"/>
        <v>0.90500000000000003</v>
      </c>
      <c r="BQ754" s="81">
        <f t="shared" si="445"/>
        <v>0.90694444444444455</v>
      </c>
      <c r="BR754" s="81">
        <f t="shared" si="446"/>
        <v>1.1708444444444444</v>
      </c>
      <c r="BS754" s="82">
        <f t="shared" si="447"/>
        <v>4</v>
      </c>
      <c r="BT754" s="82">
        <f t="shared" si="448"/>
        <v>4.6833777777777774</v>
      </c>
      <c r="BU754" s="82">
        <f t="shared" si="449"/>
        <v>4.6755999999999993</v>
      </c>
      <c r="BW754" s="82">
        <f>IFERROR(INDEX('Infos Clientes'!$T:$T,MATCH('Detalhe Por UC'!$C754,'Infos Clientes'!B:B,0)),"")</f>
        <v>153.91666666666666</v>
      </c>
      <c r="BX754" s="83">
        <f t="shared" si="450"/>
        <v>0</v>
      </c>
      <c r="BY754" s="84">
        <f t="shared" si="451"/>
        <v>0.22539287883388992</v>
      </c>
      <c r="BZ754" s="85">
        <f>IF(_xlfn.MINIFS('Detalhe Por UC'!R:R,'Detalhe Por UC'!C:C,C754,'Detalhe Por UC'!AD:AD,"&gt;"&amp;0)=0,"",_xlfn.MINIFS('Detalhe Por UC'!R:R,'Detalhe Por UC'!C:C,C754,'Detalhe Por UC'!AD:AD,"&gt;"&amp;0))</f>
        <v>45627</v>
      </c>
      <c r="CA754" s="114">
        <f ca="1">IF(OR(S754&gt;0,AD754&gt;0),IFERROR(
SUMIFS(INDIRECT("'Infos Clientes'!$W"&amp;INDEX('Infos Clientes'!$C:$C,MATCH(C754,'Infos Clientes'!$H:$H,0))&amp;":$CZ"&amp;INDEX('Infos Clientes'!$C:$C,MATCH(C754,'Infos Clientes'!$H:$H,0))),'Infos Clientes'!$W$2:$CZ$2,"&gt;"&amp;$R754-365,'Infos Clientes'!$W$2:$CZ$2,"&lt;="&amp;$R754)/
COUNTIFS(INDIRECT("'Infos Clientes'!$W"&amp;INDEX('Infos Clientes'!$C:$C,MATCH(C754,'Infos Clientes'!$H:$H,0))&amp;":$CZ"&amp;INDEX('Infos Clientes'!$C:$C,MATCH(C754,'Infos Clientes'!$H:$H,0))),"&gt;="&amp;0,'Infos Clientes'!$W$2:$CZ$2,"&gt;"&amp;$R754-365,'Infos Clientes'!$W$2:$CZ$2,"&lt;="&amp;$R754),""),"")</f>
        <v>174.58333333333334</v>
      </c>
      <c r="CB754" s="87">
        <f>VLOOKUP(C754,'Infos Clientes'!B:L,11,0)</f>
        <v>0</v>
      </c>
      <c r="CC754" s="88" t="str">
        <f t="shared" si="452"/>
        <v>A Unidade Consumidora 10/257864-9 economizou R$1,06 na fatura referente à ago/2025  consumindo 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4" s="115">
        <f t="shared" si="453"/>
        <v>-71.3</v>
      </c>
    </row>
    <row r="755" spans="1:84" ht="16.2" hidden="1" customHeight="1" x14ac:dyDescent="0.3">
      <c r="A755" s="105" t="str">
        <f>INDEX('Infos Clientes'!$D:$D,MATCH('Detalhe Por UC'!C755,'Infos Clientes'!B:B,0))</f>
        <v>IGREJA DO EVANGELHO QUADRANGULAR</v>
      </c>
      <c r="B755" s="106" t="str">
        <f>INDEX('Infos Clientes'!$F:$F,MATCH('Detalhe Por UC'!C755,'Infos Clientes'!B:B,0))</f>
        <v>62.955.505/0001-67</v>
      </c>
      <c r="C755" s="44" t="s">
        <v>106</v>
      </c>
      <c r="D755" t="s">
        <v>351</v>
      </c>
      <c r="E755" s="1" t="s">
        <v>352</v>
      </c>
      <c r="F755" s="56" t="str">
        <f>INDEX('Infos Clientes'!$I:$I,MATCH('Detalhe Por UC'!C755,'Infos Clientes'!B:B,0))</f>
        <v>BT</v>
      </c>
      <c r="G755" s="56" t="str">
        <f>INDEX('Infos Clientes'!$J:$J,MATCH('Detalhe Por UC'!C755,'Infos Clientes'!B:B,0))</f>
        <v>bifasico</v>
      </c>
      <c r="H755" s="47" t="str">
        <f t="shared" si="455"/>
        <v>GIROSSOL II</v>
      </c>
      <c r="I755" s="58">
        <f>IFERROR(VLOOKUP(C755,'Infos Clientes'!B:E,4,),"")</f>
        <v>302</v>
      </c>
      <c r="J755" s="151">
        <v>0.22596103298069697</v>
      </c>
      <c r="K755" s="79">
        <f>INDEX('Resumo Operacional'!$A$1:$P$151,MATCH("Desconto percentual Ucs",'Resumo Operacional'!$B$1:$B$151,0),MATCH('Detalhe Por UC'!$R755,'Resumo Operacional'!$A$1:$P$1,0))</f>
        <v>0.26495232343264008</v>
      </c>
      <c r="L755" s="125">
        <v>0</v>
      </c>
      <c r="M755" s="56">
        <f>INDEX('Infos Clientes'!$N:$N,MATCH('Detalhe Por UC'!C755,'Infos Clientes'!B:B,0))</f>
        <v>0</v>
      </c>
      <c r="N755" s="56">
        <f t="shared" si="418"/>
        <v>0</v>
      </c>
      <c r="O755" s="56">
        <f t="shared" si="419"/>
        <v>11</v>
      </c>
      <c r="P755" s="56">
        <f t="shared" si="454"/>
        <v>0</v>
      </c>
      <c r="Q755" s="61">
        <f>IFERROR(IFERROR(INDEX('Infos Clientes'!$A$2:$V$9884,MATCH($C755,'Infos Clientes'!$B$2:$B$9884,0),MATCH(Q$8,'Infos Clientes'!$A$2:$V$2,0)),"")
+IF(OR(INDEX('Infos Clientes'!$A$2:$V$9884,MATCH($C755,'Infos Clientes'!$B$2:$B$9884,0),MATCH("Tempo de Fidelidade (meses)",'Infos Clientes'!$A$2:$V$2,0))=0,R755&gt;=MAX(R:R)),0,
ROUND((MAX(R:R)-R755)/(365/12),0)),"")</f>
        <v>0</v>
      </c>
      <c r="R755" s="111">
        <v>45870</v>
      </c>
      <c r="S755" s="152">
        <v>1.0699999999999999E-2</v>
      </c>
      <c r="T755" s="113">
        <f>IF($H755="GIROSSOL II",AP755/INDEX('Resumo Operacional'!$A$1:$P$1103,17,MATCH('Detalhe Por UC'!$R755,'Resumo Operacional'!$A$1:$P$1,0)),
IF($H755="GIROSSOL II e III",AP755/INDEX('Resumo Operacional'!$A$1:$P$1103,17,MATCH('Detalhe Por UC'!$R755,'Resumo Operacional'!$A$1:$P$1,0)),
""))</f>
        <v>1.1923803984295477E-2</v>
      </c>
      <c r="U755" s="113" t="str">
        <f>IF($H755="GIROSSOL III",AP755/INDEX('Resumo Operacional'!$A$1:$P$1103,53,MATCH('Detalhe Por UC'!$R755,'Resumo Operacional'!$A$1:$P$1,0)),
IF($H755="GIROSSOL II e III",AP755/INDEX('Resumo Operacional'!$A$1:$P$1103,53,MATCH('Detalhe Por UC'!$R755,'Resumo Operacional'!$A$1:$P$1,0)),
""))</f>
        <v/>
      </c>
      <c r="X755">
        <v>1.1895348837209303</v>
      </c>
      <c r="Z755" s="18">
        <v>1.1894444444444445</v>
      </c>
      <c r="AB755" s="18">
        <v>86</v>
      </c>
      <c r="AD755" s="143">
        <v>36</v>
      </c>
      <c r="AF755" s="18">
        <v>46</v>
      </c>
      <c r="AG755">
        <v>0</v>
      </c>
      <c r="AH755" s="49">
        <v>0</v>
      </c>
      <c r="AL755" s="43"/>
      <c r="AN755" s="71">
        <f t="shared" si="420"/>
        <v>46</v>
      </c>
      <c r="AO755" s="71">
        <f t="shared" si="421"/>
        <v>0</v>
      </c>
      <c r="AP755" s="71">
        <f t="shared" si="422"/>
        <v>82</v>
      </c>
      <c r="AQ755" s="72">
        <f>IF(OR($H755="GIROSSOL II",$H755="GIROSSOL II e III"),INDEX('Resumo Operacional'!$A$1:$P$1103,MATCH("Energia Injetada prevista total Fatura da Usina (TUSD)",'Resumo Operacional'!$B$1:$B$1103,0),MATCH('Detalhe Por UC'!$R755,'Resumo Operacional'!$A$1:$P$1,0))*$S755,INDEX('Resumo Operacional'!$A$1:$P$1103,53,MATCH('Detalhe Por UC'!$R755,'Resumo Operacional'!$A$1:$P$1,0))*$S755)</f>
        <v>73.5839</v>
      </c>
      <c r="AR755" s="71">
        <f t="shared" si="423"/>
        <v>8.4161000000000001</v>
      </c>
      <c r="AS755" s="73">
        <f t="shared" si="424"/>
        <v>59.480000000000011</v>
      </c>
      <c r="AT755" s="74">
        <f t="shared" si="425"/>
        <v>59.480000000000011</v>
      </c>
      <c r="AU755" s="74">
        <f t="shared" si="426"/>
        <v>1.1893540051679587</v>
      </c>
      <c r="AV755" s="74">
        <f t="shared" si="427"/>
        <v>33.144348567766563</v>
      </c>
      <c r="AW755" s="74">
        <f t="shared" si="428"/>
        <v>-98.639999999999986</v>
      </c>
      <c r="AX755" s="74">
        <f t="shared" si="429"/>
        <v>-55.819999999999986</v>
      </c>
      <c r="AY755" s="74">
        <f t="shared" si="430"/>
        <v>-65.5</v>
      </c>
      <c r="AZ755" s="117">
        <v>33.14</v>
      </c>
      <c r="BA755" s="49">
        <v>33.14</v>
      </c>
      <c r="BB755" s="49">
        <v>33.14</v>
      </c>
      <c r="BC755" s="73" t="str">
        <f t="shared" si="431"/>
        <v/>
      </c>
      <c r="BD755" s="73">
        <f t="shared" si="432"/>
        <v>102.30000000000001</v>
      </c>
      <c r="BE755" s="73">
        <f t="shared" si="433"/>
        <v>92.624348567766575</v>
      </c>
      <c r="BF755" s="77">
        <f t="shared" si="434"/>
        <v>9.68</v>
      </c>
      <c r="BG755" s="77">
        <f t="shared" si="435"/>
        <v>2.9039999999999999</v>
      </c>
      <c r="BH755" s="77">
        <f t="shared" si="436"/>
        <v>42.820000000000007</v>
      </c>
      <c r="BI755" s="78">
        <f t="shared" si="437"/>
        <v>-0.17</v>
      </c>
      <c r="BJ755" s="79">
        <f t="shared" si="438"/>
        <v>9.4623655913978477E-2</v>
      </c>
      <c r="BK755" s="80">
        <f t="shared" si="439"/>
        <v>-6.0199999999999889</v>
      </c>
      <c r="BL755" s="80">
        <f t="shared" si="440"/>
        <v>108.32</v>
      </c>
      <c r="BM755" s="79">
        <f t="shared" si="441"/>
        <v>1.0588465298142715</v>
      </c>
      <c r="BN755" s="81">
        <f t="shared" si="442"/>
        <v>-1.8194444444444444</v>
      </c>
      <c r="BO755" s="82">
        <f t="shared" si="443"/>
        <v>-65.5</v>
      </c>
      <c r="BP755" s="81">
        <f t="shared" si="444"/>
        <v>-1.8194444444444444</v>
      </c>
      <c r="BQ755" s="81">
        <f t="shared" si="445"/>
        <v>-1.8193540051679586</v>
      </c>
      <c r="BR755" s="81">
        <f t="shared" si="446"/>
        <v>1.1895348837209303</v>
      </c>
      <c r="BS755" s="82">
        <f t="shared" si="447"/>
        <v>36</v>
      </c>
      <c r="BT755" s="82">
        <f t="shared" si="448"/>
        <v>42.823255813953494</v>
      </c>
      <c r="BU755" s="82">
        <f t="shared" si="449"/>
        <v>42.82</v>
      </c>
      <c r="BW755" s="82">
        <f>IFERROR(INDEX('Infos Clientes'!$T:$T,MATCH('Detalhe Por UC'!$C755,'Infos Clientes'!B:B,0)),"")</f>
        <v>147.33333333333334</v>
      </c>
      <c r="BX755" s="83">
        <f t="shared" si="450"/>
        <v>0</v>
      </c>
      <c r="BY755" s="84">
        <f t="shared" si="451"/>
        <v>2.5294667101118713</v>
      </c>
      <c r="BZ755" s="85">
        <f>IF(_xlfn.MINIFS('Detalhe Por UC'!R:R,'Detalhe Por UC'!C:C,C755,'Detalhe Por UC'!AD:AD,"&gt;"&amp;0)=0,"",_xlfn.MINIFS('Detalhe Por UC'!R:R,'Detalhe Por UC'!C:C,C755,'Detalhe Por UC'!AD:AD,"&gt;"&amp;0))</f>
        <v>45627</v>
      </c>
      <c r="CA755" s="114">
        <f ca="1">IF(OR(S755&gt;0,AD755&gt;0),IFERROR(
SUMIFS(INDIRECT("'Infos Clientes'!$W"&amp;INDEX('Infos Clientes'!$C:$C,MATCH(C755,'Infos Clientes'!$H:$H,0))&amp;":$CZ"&amp;INDEX('Infos Clientes'!$C:$C,MATCH(C755,'Infos Clientes'!$H:$H,0))),'Infos Clientes'!$W$2:$CZ$2,"&gt;"&amp;$R755-365,'Infos Clientes'!$W$2:$CZ$2,"&lt;="&amp;$R755)/
COUNTIFS(INDIRECT("'Infos Clientes'!$W"&amp;INDEX('Infos Clientes'!$C:$C,MATCH(C755,'Infos Clientes'!$H:$H,0))&amp;":$CZ"&amp;INDEX('Infos Clientes'!$C:$C,MATCH(C755,'Infos Clientes'!$H:$H,0))),"&gt;="&amp;0,'Infos Clientes'!$W$2:$CZ$2,"&gt;"&amp;$R755-365,'Infos Clientes'!$W$2:$CZ$2,"&lt;="&amp;$R755),""),"")</f>
        <v>195.08333333333334</v>
      </c>
      <c r="CB755" s="87">
        <f>VLOOKUP(C755,'Infos Clientes'!B:L,11,0)</f>
        <v>0</v>
      </c>
      <c r="CC755" s="88" t="str">
        <f t="shared" si="452"/>
        <v>A Unidade Consumidora 10/452884-0 economizou R$9,68 na fatura referente à ago/2025  consumindo 36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5" s="115">
        <f t="shared" si="453"/>
        <v>-59.480000000000011</v>
      </c>
    </row>
    <row r="756" spans="1:84" ht="16.2" hidden="1" customHeight="1" x14ac:dyDescent="0.3">
      <c r="A756" s="105" t="str">
        <f>INDEX('Infos Clientes'!$D:$D,MATCH('Detalhe Por UC'!C756,'Infos Clientes'!B:B,0))</f>
        <v>IGREJA DO EVANGELHO QUADRANGULAR</v>
      </c>
      <c r="B756" s="106" t="str">
        <f>INDEX('Infos Clientes'!$F:$F,MATCH('Detalhe Por UC'!C756,'Infos Clientes'!B:B,0))</f>
        <v>62.955.505/4194-43</v>
      </c>
      <c r="C756" s="44" t="s">
        <v>135</v>
      </c>
      <c r="D756" t="s">
        <v>351</v>
      </c>
      <c r="E756" s="1" t="s">
        <v>352</v>
      </c>
      <c r="F756" s="56" t="str">
        <f>INDEX('Infos Clientes'!$I:$I,MATCH('Detalhe Por UC'!C756,'Infos Clientes'!B:B,0))</f>
        <v>BT</v>
      </c>
      <c r="G756" s="56" t="str">
        <f>INDEX('Infos Clientes'!$J:$J,MATCH('Detalhe Por UC'!C756,'Infos Clientes'!B:B,0))</f>
        <v>trifasico</v>
      </c>
      <c r="H756" s="47" t="str">
        <f t="shared" si="455"/>
        <v>GIROSSOL II</v>
      </c>
      <c r="I756" s="58">
        <f>IFERROR(VLOOKUP(C756,'Infos Clientes'!B:E,4,),"")</f>
        <v>0</v>
      </c>
      <c r="J756" s="151">
        <v>0.22596103298069697</v>
      </c>
      <c r="K756" s="79">
        <f>INDEX('Resumo Operacional'!$A$1:$P$151,MATCH("Desconto percentual Ucs",'Resumo Operacional'!$B$1:$B$151,0),MATCH('Detalhe Por UC'!$R756,'Resumo Operacional'!$A$1:$P$1,0))</f>
        <v>0.26495232343264008</v>
      </c>
      <c r="M756" s="56">
        <f>INDEX('Infos Clientes'!$N:$N,MATCH('Detalhe Por UC'!C756,'Infos Clientes'!B:B,0))</f>
        <v>0</v>
      </c>
      <c r="N756" s="56">
        <f t="shared" si="418"/>
        <v>0</v>
      </c>
      <c r="O756" s="56">
        <f t="shared" si="419"/>
        <v>7</v>
      </c>
      <c r="P756" s="56">
        <f t="shared" si="454"/>
        <v>0</v>
      </c>
      <c r="Q756" s="61">
        <f>IFERROR(IFERROR(INDEX('Infos Clientes'!$A$2:$V$9884,MATCH($C756,'Infos Clientes'!$B$2:$B$9884,0),MATCH(Q$8,'Infos Clientes'!$A$2:$V$2,0)),"")
+IF(OR(INDEX('Infos Clientes'!$A$2:$V$9884,MATCH($C756,'Infos Clientes'!$B$2:$B$9884,0),MATCH("Tempo de Fidelidade (meses)",'Infos Clientes'!$A$2:$V$2,0))=0,R756&gt;=MAX(R:R)),0,
ROUND((MAX(R:R)-R756)/(365/12),0)),"")</f>
        <v>0</v>
      </c>
      <c r="R756" s="111">
        <v>45870</v>
      </c>
      <c r="S756" s="152">
        <v>1.0699999999999999E-2</v>
      </c>
      <c r="T756" s="113">
        <f>IF($H756="GIROSSOL II",AP756/INDEX('Resumo Operacional'!$A$1:$P$1103,17,MATCH('Detalhe Por UC'!$R756,'Resumo Operacional'!$A$1:$P$1,0)),
IF($H756="GIROSSOL II e III",AP756/INDEX('Resumo Operacional'!$A$1:$P$1103,17,MATCH('Detalhe Por UC'!$R756,'Resumo Operacional'!$A$1:$P$1,0)),
""))</f>
        <v>2.3411371237458192E-2</v>
      </c>
      <c r="U756" s="113" t="str">
        <f>IF($H756="GIROSSOL III",AP756/INDEX('Resumo Operacional'!$A$1:$P$1103,53,MATCH('Detalhe Por UC'!$R756,'Resumo Operacional'!$A$1:$P$1,0)),
IF($H756="GIROSSOL II e III",AP756/INDEX('Resumo Operacional'!$A$1:$P$1103,53,MATCH('Detalhe Por UC'!$R756,'Resumo Operacional'!$A$1:$P$1,0)),
""))</f>
        <v/>
      </c>
      <c r="X756">
        <v>1.1777283018867926</v>
      </c>
      <c r="Z756" s="18">
        <v>1.1765333333333334</v>
      </c>
      <c r="AB756" s="18">
        <v>106</v>
      </c>
      <c r="AD756" s="143">
        <v>6</v>
      </c>
      <c r="AF756" s="18">
        <v>439</v>
      </c>
      <c r="AH756" s="49">
        <v>12.33</v>
      </c>
      <c r="AK756" s="153">
        <v>130.11000000000001</v>
      </c>
      <c r="AL756" s="43">
        <f t="shared" si="456"/>
        <v>0</v>
      </c>
      <c r="AN756" s="71">
        <f t="shared" si="420"/>
        <v>155</v>
      </c>
      <c r="AO756" s="71">
        <f t="shared" si="421"/>
        <v>0</v>
      </c>
      <c r="AP756" s="71">
        <f t="shared" si="422"/>
        <v>161</v>
      </c>
      <c r="AQ756" s="72">
        <f>IF(OR($H756="GIROSSOL II",$H756="GIROSSOL II e III"),INDEX('Resumo Operacional'!$A$1:$P$1103,MATCH("Energia Injetada prevista total Fatura da Usina (TUSD)",'Resumo Operacional'!$B$1:$B$1103,0),MATCH('Detalhe Por UC'!$R756,'Resumo Operacional'!$A$1:$P$1,0))*$S756,INDEX('Resumo Operacional'!$A$1:$P$1103,53,MATCH('Detalhe Por UC'!$R756,'Resumo Operacional'!$A$1:$P$1,0))*$S756)</f>
        <v>73.5839</v>
      </c>
      <c r="AR756" s="71">
        <f t="shared" si="423"/>
        <v>87.4161</v>
      </c>
      <c r="AS756" s="73">
        <f t="shared" si="424"/>
        <v>130.11000000000001</v>
      </c>
      <c r="AT756" s="74">
        <f t="shared" si="425"/>
        <v>130.11000000000001</v>
      </c>
      <c r="AU756" s="74">
        <f t="shared" si="426"/>
        <v>1.1753383647798743</v>
      </c>
      <c r="AV756" s="74">
        <f t="shared" si="427"/>
        <v>5.4640958759826646</v>
      </c>
      <c r="AW756" s="74">
        <f t="shared" si="428"/>
        <v>0</v>
      </c>
      <c r="AX756" s="74">
        <f t="shared" si="429"/>
        <v>7.0592000000000006</v>
      </c>
      <c r="AY756" s="74">
        <f t="shared" si="430"/>
        <v>5.46</v>
      </c>
      <c r="AZ756" s="117">
        <v>5.46</v>
      </c>
      <c r="BA756" s="49">
        <v>5.46</v>
      </c>
      <c r="BB756" s="49">
        <v>5.46</v>
      </c>
      <c r="BC756" s="73" t="str">
        <f t="shared" si="431"/>
        <v/>
      </c>
      <c r="BD756" s="73">
        <f t="shared" si="432"/>
        <v>137.16920000000002</v>
      </c>
      <c r="BE756" s="73">
        <f t="shared" si="433"/>
        <v>135.57409587598266</v>
      </c>
      <c r="BF756" s="77">
        <f t="shared" si="434"/>
        <v>1.6</v>
      </c>
      <c r="BG756" s="77">
        <f t="shared" si="435"/>
        <v>0.48</v>
      </c>
      <c r="BH756" s="77">
        <f t="shared" si="436"/>
        <v>7.0592000000000006</v>
      </c>
      <c r="BI756" s="78">
        <f t="shared" si="437"/>
        <v>0.23</v>
      </c>
      <c r="BJ756" s="79">
        <f t="shared" si="438"/>
        <v>1.1664426124815191E-2</v>
      </c>
      <c r="BK756" s="80">
        <f t="shared" si="439"/>
        <v>135.57000000000002</v>
      </c>
      <c r="BL756" s="80">
        <f t="shared" si="440"/>
        <v>1.5991999999999962</v>
      </c>
      <c r="BM756" s="79">
        <f t="shared" si="441"/>
        <v>1.1658593911752755E-2</v>
      </c>
      <c r="BN756" s="81">
        <f t="shared" si="442"/>
        <v>0.91</v>
      </c>
      <c r="BO756" s="82">
        <f t="shared" si="443"/>
        <v>5.46</v>
      </c>
      <c r="BP756" s="81">
        <f t="shared" si="444"/>
        <v>0.91</v>
      </c>
      <c r="BQ756" s="81">
        <f t="shared" si="445"/>
        <v>0.91119496855345916</v>
      </c>
      <c r="BR756" s="81">
        <f t="shared" si="446"/>
        <v>1.1777283018867926</v>
      </c>
      <c r="BS756" s="82">
        <f t="shared" si="447"/>
        <v>6</v>
      </c>
      <c r="BT756" s="82">
        <f t="shared" si="448"/>
        <v>7.0663698113207554</v>
      </c>
      <c r="BU756" s="82">
        <f t="shared" si="449"/>
        <v>7.0592000000000006</v>
      </c>
      <c r="BW756" s="82">
        <f>IFERROR(INDEX('Infos Clientes'!$T:$T,MATCH('Detalhe Por UC'!$C756,'Infos Clientes'!B:B,0)),"")</f>
        <v>0</v>
      </c>
      <c r="BX756" s="83">
        <f t="shared" si="450"/>
        <v>0</v>
      </c>
      <c r="BY756" s="84">
        <f t="shared" si="451"/>
        <v>0.22631139364344963</v>
      </c>
      <c r="BZ756" s="85">
        <f>IF(_xlfn.MINIFS('Detalhe Por UC'!R:R,'Detalhe Por UC'!C:C,C756,'Detalhe Por UC'!AD:AD,"&gt;"&amp;0)=0,"",_xlfn.MINIFS('Detalhe Por UC'!R:R,'Detalhe Por UC'!C:C,C756,'Detalhe Por UC'!AD:AD,"&gt;"&amp;0))</f>
        <v>45689</v>
      </c>
      <c r="CA756" s="114">
        <f ca="1">IF(OR(S756&gt;0,AD756&gt;0),IFERROR(
SUMIFS(INDIRECT("'Infos Clientes'!$W"&amp;INDEX('Infos Clientes'!$C:$C,MATCH(C756,'Infos Clientes'!$H:$H,0))&amp;":$CZ"&amp;INDEX('Infos Clientes'!$C:$C,MATCH(C756,'Infos Clientes'!$H:$H,0))),'Infos Clientes'!$W$2:$CZ$2,"&gt;"&amp;$R756-365,'Infos Clientes'!$W$2:$CZ$2,"&lt;="&amp;$R756)/
COUNTIFS(INDIRECT("'Infos Clientes'!$W"&amp;INDEX('Infos Clientes'!$C:$C,MATCH(C756,'Infos Clientes'!$H:$H,0))&amp;":$CZ"&amp;INDEX('Infos Clientes'!$C:$C,MATCH(C756,'Infos Clientes'!$H:$H,0))),"&gt;="&amp;0,'Infos Clientes'!$W$2:$CZ$2,"&gt;"&amp;$R756-365,'Infos Clientes'!$W$2:$CZ$2,"&lt;="&amp;$R756),""),"")</f>
        <v>293.41666666666669</v>
      </c>
      <c r="CB756" s="87">
        <f>VLOOKUP(C756,'Infos Clientes'!B:L,11,0)</f>
        <v>0</v>
      </c>
      <c r="CC756" s="88" t="str">
        <f t="shared" si="452"/>
        <v>A Unidade Consumidora 10/1433087-2 economizou R$1,6 na fatura referente à ago/2025  consumindo 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6" s="115">
        <f t="shared" si="453"/>
        <v>-130.11000000000001</v>
      </c>
    </row>
    <row r="757" spans="1:84" ht="16.2" hidden="1" customHeight="1" x14ac:dyDescent="0.3">
      <c r="A757" s="105" t="str">
        <f>INDEX('Infos Clientes'!$D:$D,MATCH('Detalhe Por UC'!C757,'Infos Clientes'!B:B,0))</f>
        <v>IGREJA DO EVANGELHO QUADRANGULAR</v>
      </c>
      <c r="B757" s="106" t="str">
        <f>INDEX('Infos Clientes'!$F:$F,MATCH('Detalhe Por UC'!C757,'Infos Clientes'!B:B,0))</f>
        <v>62.955.505/3932-07</v>
      </c>
      <c r="C757" s="44" t="s">
        <v>18</v>
      </c>
      <c r="D757" t="s">
        <v>351</v>
      </c>
      <c r="E757" s="1" t="s">
        <v>352</v>
      </c>
      <c r="F757" s="56" t="str">
        <f>INDEX('Infos Clientes'!$I:$I,MATCH('Detalhe Por UC'!C757,'Infos Clientes'!B:B,0))</f>
        <v>BT</v>
      </c>
      <c r="G757" s="56" t="str">
        <f>INDEX('Infos Clientes'!$J:$J,MATCH('Detalhe Por UC'!C757,'Infos Clientes'!B:B,0))</f>
        <v>bifasico</v>
      </c>
      <c r="H757" s="47" t="str">
        <f t="shared" si="455"/>
        <v>GIROSSOL II</v>
      </c>
      <c r="I757" s="58">
        <f>IFERROR(VLOOKUP(C757,'Infos Clientes'!B:E,4,),"")</f>
        <v>302</v>
      </c>
      <c r="J757" s="151">
        <v>0.22596103298069697</v>
      </c>
      <c r="K757" s="79">
        <f>INDEX('Resumo Operacional'!$A$1:$P$151,MATCH("Desconto percentual Ucs",'Resumo Operacional'!$B$1:$B$151,0),MATCH('Detalhe Por UC'!$R757,'Resumo Operacional'!$A$1:$P$1,0))</f>
        <v>0.26495232343264008</v>
      </c>
      <c r="M757" s="56"/>
      <c r="N757" s="56"/>
      <c r="O757" s="56"/>
      <c r="P757" s="56"/>
      <c r="Q757" s="61"/>
      <c r="R757" s="111">
        <v>45870</v>
      </c>
      <c r="S757" s="152">
        <v>0</v>
      </c>
      <c r="T757" s="113">
        <f>IF($H757="GIROSSOL II",AP757/INDEX('Resumo Operacional'!$A$1:$P$1103,17,MATCH('Detalhe Por UC'!$R757,'Resumo Operacional'!$A$1:$P$1,0)),
IF($H757="GIROSSOL II e III",AP757/INDEX('Resumo Operacional'!$A$1:$P$1103,17,MATCH('Detalhe Por UC'!$R757,'Resumo Operacional'!$A$1:$P$1,0)),
""))</f>
        <v>6.8489166787843531E-2</v>
      </c>
      <c r="U757" s="113" t="str">
        <f>IF($H757="GIROSSOL III",AP757/INDEX('Resumo Operacional'!$A$1:$P$1103,53,MATCH('Detalhe Por UC'!$R757,'Resumo Operacional'!$A$1:$P$1,0)),
IF($H757="GIROSSOL II e III",AP757/INDEX('Resumo Operacional'!$A$1:$P$1103,53,MATCH('Detalhe Por UC'!$R757,'Resumo Operacional'!$A$1:$P$1,0)),
""))</f>
        <v/>
      </c>
      <c r="X757">
        <v>1.1879061728395062</v>
      </c>
      <c r="Z757" s="18">
        <v>1.1877548387096775</v>
      </c>
      <c r="AB757" s="18">
        <v>81</v>
      </c>
      <c r="AD757" s="143">
        <v>31</v>
      </c>
      <c r="AF757" s="18">
        <v>440</v>
      </c>
      <c r="AH757" s="49">
        <v>17.260000000000002</v>
      </c>
      <c r="AK757" s="153">
        <v>76.66</v>
      </c>
      <c r="AL757" s="43">
        <f t="shared" si="456"/>
        <v>0</v>
      </c>
      <c r="AN757" s="71">
        <f t="shared" si="420"/>
        <v>440</v>
      </c>
      <c r="AO757" s="71">
        <f t="shared" si="421"/>
        <v>0</v>
      </c>
      <c r="AP757" s="71">
        <f t="shared" si="422"/>
        <v>471</v>
      </c>
      <c r="AQ757" s="72">
        <f>IF(OR($H757="GIROSSOL II",$H757="GIROSSOL II e III"),INDEX('Resumo Operacional'!$A$1:$P$1103,MATCH("Energia Injetada prevista total Fatura da Usina (TUSD)",'Resumo Operacional'!$B$1:$B$1103,0),MATCH('Detalhe Por UC'!$R757,'Resumo Operacional'!$A$1:$P$1,0))*$S757,INDEX('Resumo Operacional'!$A$1:$P$1103,53,MATCH('Detalhe Por UC'!$R757,'Resumo Operacional'!$A$1:$P$1,0))*$S757)</f>
        <v>0</v>
      </c>
      <c r="AR757" s="71">
        <f t="shared" si="423"/>
        <v>471</v>
      </c>
      <c r="AS757" s="73">
        <f t="shared" si="424"/>
        <v>76.66</v>
      </c>
      <c r="AT757" s="74">
        <f t="shared" si="425"/>
        <v>76.66</v>
      </c>
      <c r="AU757" s="74">
        <f t="shared" si="426"/>
        <v>1.1876035045798488</v>
      </c>
      <c r="AV757" s="74">
        <f t="shared" si="427"/>
        <v>28.500424381237547</v>
      </c>
      <c r="AW757" s="74">
        <f t="shared" si="428"/>
        <v>0</v>
      </c>
      <c r="AX757" s="74">
        <f t="shared" si="429"/>
        <v>36.820399999999999</v>
      </c>
      <c r="AY757" s="74">
        <f t="shared" si="430"/>
        <v>28.5</v>
      </c>
      <c r="AZ757" s="117">
        <v>28.5</v>
      </c>
      <c r="BA757" s="49">
        <v>28.5</v>
      </c>
      <c r="BB757" s="49">
        <v>28.5</v>
      </c>
      <c r="BC757" s="73" t="str">
        <f t="shared" si="431"/>
        <v/>
      </c>
      <c r="BD757" s="73">
        <f t="shared" si="432"/>
        <v>113.4804</v>
      </c>
      <c r="BE757" s="73">
        <f t="shared" si="433"/>
        <v>105.16042438123755</v>
      </c>
      <c r="BF757" s="77">
        <f t="shared" si="434"/>
        <v>8.32</v>
      </c>
      <c r="BG757" s="77">
        <f t="shared" si="435"/>
        <v>2.496</v>
      </c>
      <c r="BH757" s="77">
        <f t="shared" si="436"/>
        <v>36.820400000000006</v>
      </c>
      <c r="BI757" s="78">
        <f t="shared" si="437"/>
        <v>0.23</v>
      </c>
      <c r="BJ757" s="79">
        <f t="shared" si="438"/>
        <v>7.3316625602306659E-2</v>
      </c>
      <c r="BK757" s="80">
        <f t="shared" si="439"/>
        <v>105.16</v>
      </c>
      <c r="BL757" s="80">
        <f t="shared" si="440"/>
        <v>8.3204000000000065</v>
      </c>
      <c r="BM757" s="79">
        <f t="shared" si="441"/>
        <v>7.3320150440076046E-2</v>
      </c>
      <c r="BN757" s="81">
        <f t="shared" si="442"/>
        <v>0.91935483870967738</v>
      </c>
      <c r="BO757" s="82">
        <f t="shared" si="443"/>
        <v>28.5</v>
      </c>
      <c r="BP757" s="81">
        <f t="shared" si="444"/>
        <v>0.91935483870967738</v>
      </c>
      <c r="BQ757" s="81">
        <f t="shared" si="445"/>
        <v>0.91950617283950609</v>
      </c>
      <c r="BR757" s="81">
        <f t="shared" si="446"/>
        <v>1.1879061728395062</v>
      </c>
      <c r="BS757" s="82">
        <f t="shared" si="447"/>
        <v>31</v>
      </c>
      <c r="BT757" s="82">
        <f t="shared" si="448"/>
        <v>36.825091358024693</v>
      </c>
      <c r="BU757" s="82">
        <f t="shared" si="449"/>
        <v>36.820399999999999</v>
      </c>
      <c r="BW757" s="82">
        <f>IFERROR(INDEX('Infos Clientes'!$T:$T,MATCH('Detalhe Por UC'!$C757,'Infos Clientes'!B:B,0)),"")</f>
        <v>99.833333333333329</v>
      </c>
      <c r="BX757" s="83">
        <f t="shared" si="450"/>
        <v>0</v>
      </c>
      <c r="BY757" s="84">
        <f t="shared" si="451"/>
        <v>0.2259437707596311</v>
      </c>
      <c r="BZ757" s="85">
        <f>IF(_xlfn.MINIFS('Detalhe Por UC'!R:R,'Detalhe Por UC'!C:C,C757,'Detalhe Por UC'!AD:AD,"&gt;"&amp;0)=0,"",_xlfn.MINIFS('Detalhe Por UC'!R:R,'Detalhe Por UC'!C:C,C757,'Detalhe Por UC'!AD:AD,"&gt;"&amp;0))</f>
        <v>45627</v>
      </c>
      <c r="CA757" s="114">
        <f ca="1">IF(OR(S757&gt;0,AD757&gt;0),IFERROR(
SUMIFS(INDIRECT("'Infos Clientes'!$W"&amp;INDEX('Infos Clientes'!$C:$C,MATCH(C757,'Infos Clientes'!$H:$H,0))&amp;":$CZ"&amp;INDEX('Infos Clientes'!$C:$C,MATCH(C757,'Infos Clientes'!$H:$H,0))),'Infos Clientes'!$W$2:$CZ$2,"&gt;"&amp;$R757-365,'Infos Clientes'!$W$2:$CZ$2,"&lt;="&amp;$R757)/
COUNTIFS(INDIRECT("'Infos Clientes'!$W"&amp;INDEX('Infos Clientes'!$C:$C,MATCH(C757,'Infos Clientes'!$H:$H,0))&amp;":$CZ"&amp;INDEX('Infos Clientes'!$C:$C,MATCH(C757,'Infos Clientes'!$H:$H,0))),"&gt;="&amp;0,'Infos Clientes'!$W$2:$CZ$2,"&gt;"&amp;$R757-365,'Infos Clientes'!$W$2:$CZ$2,"&lt;="&amp;$R757),""),"")</f>
        <v>125</v>
      </c>
      <c r="CB757" s="87">
        <f>VLOOKUP(C757,'Infos Clientes'!B:L,11,0)</f>
        <v>0</v>
      </c>
      <c r="CC757" s="88" t="str">
        <f t="shared" si="452"/>
        <v>A Unidade Consumidora 10/10232-7 economizou R$8,32 na fatura referente à ago/2025  consumindo 31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7" s="115">
        <f t="shared" si="453"/>
        <v>-76.66</v>
      </c>
    </row>
    <row r="758" spans="1:84" ht="16.2" hidden="1" customHeight="1" x14ac:dyDescent="0.3">
      <c r="A758" s="105" t="str">
        <f>INDEX('Infos Clientes'!$D:$D,MATCH('Detalhe Por UC'!C758,'Infos Clientes'!B:B,0))</f>
        <v>IGREJA DO EVANGELHO QUADRANGULAR</v>
      </c>
      <c r="B758" s="106" t="str">
        <f>INDEX('Infos Clientes'!$F:$F,MATCH('Detalhe Por UC'!C758,'Infos Clientes'!B:B,0))</f>
        <v>62.955.505/1822-57</v>
      </c>
      <c r="C758" s="44" t="s">
        <v>25</v>
      </c>
      <c r="D758" t="s">
        <v>351</v>
      </c>
      <c r="E758" s="1" t="s">
        <v>352</v>
      </c>
      <c r="F758" s="56" t="str">
        <f>INDEX('Infos Clientes'!$I:$I,MATCH('Detalhe Por UC'!C758,'Infos Clientes'!B:B,0))</f>
        <v>BT</v>
      </c>
      <c r="G758" s="56" t="str">
        <f>INDEX('Infos Clientes'!$J:$J,MATCH('Detalhe Por UC'!C758,'Infos Clientes'!B:B,0))</f>
        <v>trifasico</v>
      </c>
      <c r="H758" s="47" t="str">
        <f t="shared" si="455"/>
        <v>GIROSSOL II</v>
      </c>
      <c r="I758" s="58">
        <f>IFERROR(VLOOKUP(C758,'Infos Clientes'!B:E,4,),"")</f>
        <v>319</v>
      </c>
      <c r="J758" s="151">
        <v>0.22596103298069697</v>
      </c>
      <c r="K758" s="79">
        <f>INDEX('Resumo Operacional'!$A$1:$P$151,MATCH("Desconto percentual Ucs",'Resumo Operacional'!$B$1:$B$151,0),MATCH('Detalhe Por UC'!$R758,'Resumo Operacional'!$A$1:$P$1,0))</f>
        <v>0.26495232343264008</v>
      </c>
      <c r="M758" s="56"/>
      <c r="N758" s="56"/>
      <c r="O758" s="56"/>
      <c r="P758" s="56"/>
      <c r="Q758" s="61"/>
      <c r="R758" s="111">
        <v>45870</v>
      </c>
      <c r="S758" s="152">
        <v>0</v>
      </c>
      <c r="T758" s="113">
        <f>IF($H758="GIROSSOL II",AP758/INDEX('Resumo Operacional'!$A$1:$P$1103,17,MATCH('Detalhe Por UC'!$R758,'Resumo Operacional'!$A$1:$P$1,0)),
IF($H758="GIROSSOL II e III",AP758/INDEX('Resumo Operacional'!$A$1:$P$1103,17,MATCH('Detalhe Por UC'!$R758,'Resumo Operacional'!$A$1:$P$1,0)),
""))</f>
        <v>0.31874363821433765</v>
      </c>
      <c r="U758" s="113" t="str">
        <f>IF($H758="GIROSSOL III",AP758/INDEX('Resumo Operacional'!$A$1:$P$1103,53,MATCH('Detalhe Por UC'!$R758,'Resumo Operacional'!$A$1:$P$1,0)),
IF($H758="GIROSSOL II e III",AP758/INDEX('Resumo Operacional'!$A$1:$P$1103,53,MATCH('Detalhe Por UC'!$R758,'Resumo Operacional'!$A$1:$P$1,0)),
""))</f>
        <v/>
      </c>
      <c r="X758">
        <v>1.1861492109038738</v>
      </c>
      <c r="Z758" s="18">
        <v>1.0632549019607842</v>
      </c>
      <c r="AB758" s="18">
        <v>205</v>
      </c>
      <c r="AD758" s="143">
        <v>120</v>
      </c>
      <c r="AF758" s="18">
        <v>2072</v>
      </c>
      <c r="AH758" s="49">
        <v>49.34</v>
      </c>
      <c r="AK758" s="153">
        <v>164.91</v>
      </c>
      <c r="AL758" s="43">
        <f t="shared" si="456"/>
        <v>0</v>
      </c>
      <c r="AN758" s="71">
        <f t="shared" si="420"/>
        <v>2072</v>
      </c>
      <c r="AO758" s="71">
        <f t="shared" si="421"/>
        <v>0</v>
      </c>
      <c r="AP758" s="71">
        <f t="shared" si="422"/>
        <v>2192</v>
      </c>
      <c r="AQ758" s="72">
        <f>IF(OR($H758="GIROSSOL II",$H758="GIROSSOL II e III"),INDEX('Resumo Operacional'!$A$1:$P$1103,MATCH("Energia Injetada prevista total Fatura da Usina (TUSD)",'Resumo Operacional'!$B$1:$B$1103,0),MATCH('Detalhe Por UC'!$R758,'Resumo Operacional'!$A$1:$P$1,0))*$S758,INDEX('Resumo Operacional'!$A$1:$P$1103,53,MATCH('Detalhe Por UC'!$R758,'Resumo Operacional'!$A$1:$P$1,0))*$S758)</f>
        <v>0</v>
      </c>
      <c r="AR758" s="71">
        <f t="shared" si="423"/>
        <v>2192</v>
      </c>
      <c r="AS758" s="73">
        <f t="shared" si="424"/>
        <v>164.91000000000003</v>
      </c>
      <c r="AT758" s="74">
        <f t="shared" si="425"/>
        <v>164.91000000000003</v>
      </c>
      <c r="AU758" s="74">
        <f t="shared" si="426"/>
        <v>0.94036059301769459</v>
      </c>
      <c r="AV758" s="74">
        <f t="shared" si="427"/>
        <v>98.760087119032292</v>
      </c>
      <c r="AW758" s="74">
        <f t="shared" si="428"/>
        <v>0</v>
      </c>
      <c r="AX758" s="74">
        <f t="shared" si="429"/>
        <v>127.59058823529411</v>
      </c>
      <c r="AY758" s="74">
        <f t="shared" si="430"/>
        <v>98.76</v>
      </c>
      <c r="AZ758" s="117">
        <v>98.76</v>
      </c>
      <c r="BA758" s="49">
        <v>98.76</v>
      </c>
      <c r="BB758" s="49">
        <v>98.76</v>
      </c>
      <c r="BC758" s="73" t="str">
        <f t="shared" si="431"/>
        <v/>
      </c>
      <c r="BD758" s="73">
        <f t="shared" si="432"/>
        <v>292.50058823529412</v>
      </c>
      <c r="BE758" s="73">
        <f t="shared" si="433"/>
        <v>263.6700871190323</v>
      </c>
      <c r="BF758" s="77">
        <f t="shared" si="434"/>
        <v>28.83</v>
      </c>
      <c r="BG758" s="77">
        <f t="shared" si="435"/>
        <v>8.6489999999999991</v>
      </c>
      <c r="BH758" s="77">
        <f t="shared" si="436"/>
        <v>127.59058823529411</v>
      </c>
      <c r="BI758" s="78">
        <f t="shared" si="437"/>
        <v>0.23</v>
      </c>
      <c r="BJ758" s="79">
        <f t="shared" si="438"/>
        <v>9.8563904346094827E-2</v>
      </c>
      <c r="BK758" s="80">
        <f t="shared" si="439"/>
        <v>263.67</v>
      </c>
      <c r="BL758" s="80">
        <f t="shared" si="440"/>
        <v>28.830588235294101</v>
      </c>
      <c r="BM758" s="79">
        <f t="shared" si="441"/>
        <v>9.8565915402885007E-2</v>
      </c>
      <c r="BN758" s="81">
        <f t="shared" si="442"/>
        <v>0.82300000000000006</v>
      </c>
      <c r="BO758" s="82">
        <f t="shared" si="443"/>
        <v>98.76</v>
      </c>
      <c r="BP758" s="81">
        <f t="shared" si="444"/>
        <v>0.82300000000000006</v>
      </c>
      <c r="BQ758" s="81">
        <f t="shared" si="445"/>
        <v>0.94589430894308968</v>
      </c>
      <c r="BR758" s="81">
        <f t="shared" si="446"/>
        <v>1.1861492109038738</v>
      </c>
      <c r="BS758" s="82">
        <f t="shared" si="447"/>
        <v>120</v>
      </c>
      <c r="BT758" s="82">
        <f t="shared" si="448"/>
        <v>142.33790530846485</v>
      </c>
      <c r="BU758" s="82">
        <f t="shared" si="449"/>
        <v>127.59058823529411</v>
      </c>
      <c r="BW758" s="82">
        <f>IFERROR(INDEX('Infos Clientes'!$T:$T,MATCH('Detalhe Por UC'!$C758,'Infos Clientes'!B:B,0)),"")</f>
        <v>453.58333333333331</v>
      </c>
      <c r="BX758" s="83">
        <f t="shared" si="450"/>
        <v>0</v>
      </c>
      <c r="BY758" s="84">
        <f t="shared" si="451"/>
        <v>0.20255031976769955</v>
      </c>
      <c r="BZ758" s="85">
        <f>IF(_xlfn.MINIFS('Detalhe Por UC'!R:R,'Detalhe Por UC'!C:C,C758,'Detalhe Por UC'!AD:AD,"&gt;"&amp;0)=0,"",_xlfn.MINIFS('Detalhe Por UC'!R:R,'Detalhe Por UC'!C:C,C758,'Detalhe Por UC'!AD:AD,"&gt;"&amp;0))</f>
        <v>45627</v>
      </c>
      <c r="CA758" s="114">
        <f ca="1">IF(OR(S758&gt;0,AD758&gt;0),IFERROR(
SUMIFS(INDIRECT("'Infos Clientes'!$W"&amp;INDEX('Infos Clientes'!$C:$C,MATCH(C758,'Infos Clientes'!$H:$H,0))&amp;":$CZ"&amp;INDEX('Infos Clientes'!$C:$C,MATCH(C758,'Infos Clientes'!$H:$H,0))),'Infos Clientes'!$W$2:$CZ$2,"&gt;"&amp;$R758-365,'Infos Clientes'!$W$2:$CZ$2,"&lt;="&amp;$R758)/
COUNTIFS(INDIRECT("'Infos Clientes'!$W"&amp;INDEX('Infos Clientes'!$C:$C,MATCH(C758,'Infos Clientes'!$H:$H,0))&amp;":$CZ"&amp;INDEX('Infos Clientes'!$C:$C,MATCH(C758,'Infos Clientes'!$H:$H,0))),"&gt;="&amp;0,'Infos Clientes'!$W$2:$CZ$2,"&gt;"&amp;$R758-365,'Infos Clientes'!$W$2:$CZ$2,"&lt;="&amp;$R758),""),"")</f>
        <v>392.08333333333331</v>
      </c>
      <c r="CB758" s="87">
        <f>VLOOKUP(C758,'Infos Clientes'!B:L,11,0)</f>
        <v>0</v>
      </c>
      <c r="CC758" s="88" t="str">
        <f t="shared" si="452"/>
        <v>A Unidade Consumidora 10/1035655-8 economizou R$28,83 na fatura referente à ago/2025  consumindo 120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8" s="115">
        <f t="shared" si="453"/>
        <v>-164.91000000000003</v>
      </c>
    </row>
    <row r="759" spans="1:84" ht="16.2" hidden="1" customHeight="1" x14ac:dyDescent="0.3">
      <c r="A759" s="105" t="str">
        <f>INDEX('Infos Clientes'!$D:$D,MATCH('Detalhe Por UC'!C759,'Infos Clientes'!B:B,0))</f>
        <v>IGREJA DO EVANGELHO QUADRANGULAR</v>
      </c>
      <c r="B759" s="106" t="str">
        <f>INDEX('Infos Clientes'!$F:$F,MATCH('Detalhe Por UC'!C759,'Infos Clientes'!B:B,0))</f>
        <v>62.955.505/8921-14</v>
      </c>
      <c r="C759" s="44" t="s">
        <v>29</v>
      </c>
      <c r="D759" t="s">
        <v>351</v>
      </c>
      <c r="E759" s="1" t="s">
        <v>352</v>
      </c>
      <c r="F759" s="56" t="str">
        <f>INDEX('Infos Clientes'!$I:$I,MATCH('Detalhe Por UC'!C759,'Infos Clientes'!B:B,0))</f>
        <v>BT</v>
      </c>
      <c r="G759" s="56" t="str">
        <f>INDEX('Infos Clientes'!$J:$J,MATCH('Detalhe Por UC'!C759,'Infos Clientes'!B:B,0))</f>
        <v>trifasico</v>
      </c>
      <c r="H759" s="47" t="str">
        <f t="shared" si="455"/>
        <v>GIROSSOL II</v>
      </c>
      <c r="I759" s="58">
        <f>IFERROR(VLOOKUP(C759,'Infos Clientes'!B:E,4,),"")</f>
        <v>362</v>
      </c>
      <c r="J759" s="151">
        <v>0.22596103298069697</v>
      </c>
      <c r="K759" s="79">
        <f>INDEX('Resumo Operacional'!$A$1:$P$151,MATCH("Desconto percentual Ucs",'Resumo Operacional'!$B$1:$B$151,0),MATCH('Detalhe Por UC'!$R759,'Resumo Operacional'!$A$1:$P$1,0))</f>
        <v>0.26495232343264008</v>
      </c>
      <c r="M759" s="56"/>
      <c r="N759" s="56"/>
      <c r="O759" s="56"/>
      <c r="P759" s="56"/>
      <c r="Q759" s="61"/>
      <c r="R759" s="111">
        <v>45870</v>
      </c>
      <c r="S759" s="152">
        <v>0</v>
      </c>
      <c r="T759" s="113">
        <f>IF($H759="GIROSSOL II",AP759/INDEX('Resumo Operacional'!$A$1:$P$1103,17,MATCH('Detalhe Por UC'!$R759,'Resumo Operacional'!$A$1:$P$1,0)),
IF($H759="GIROSSOL II e III",AP759/INDEX('Resumo Operacional'!$A$1:$P$1103,17,MATCH('Detalhe Por UC'!$R759,'Resumo Operacional'!$A$1:$P$1,0)),
""))</f>
        <v>6.7762105569288938E-2</v>
      </c>
      <c r="U759" s="113" t="str">
        <f>IF($H759="GIROSSOL III",AP759/INDEX('Resumo Operacional'!$A$1:$P$1103,53,MATCH('Detalhe Por UC'!$R759,'Resumo Operacional'!$A$1:$P$1,0)),
IF($H759="GIROSSOL II e III",AP759/INDEX('Resumo Operacional'!$A$1:$P$1103,53,MATCH('Detalhe Por UC'!$R759,'Resumo Operacional'!$A$1:$P$1,0)),
""))</f>
        <v/>
      </c>
      <c r="X759">
        <v>1.1880867768595043</v>
      </c>
      <c r="Z759" s="18">
        <v>1.1880238095238096</v>
      </c>
      <c r="AB759" s="18">
        <v>121</v>
      </c>
      <c r="AD759" s="143">
        <v>21</v>
      </c>
      <c r="AF759" s="18">
        <v>445</v>
      </c>
      <c r="AH759" s="49">
        <v>21.54</v>
      </c>
      <c r="AK759" s="153">
        <v>140.35</v>
      </c>
      <c r="AL759" s="43">
        <f t="shared" si="456"/>
        <v>0</v>
      </c>
      <c r="AN759" s="71">
        <f t="shared" si="420"/>
        <v>445</v>
      </c>
      <c r="AO759" s="71">
        <f t="shared" si="421"/>
        <v>0</v>
      </c>
      <c r="AP759" s="71">
        <f t="shared" si="422"/>
        <v>466</v>
      </c>
      <c r="AQ759" s="72">
        <f>IF(OR($H759="GIROSSOL II",$H759="GIROSSOL II e III"),INDEX('Resumo Operacional'!$A$1:$P$1103,MATCH("Energia Injetada prevista total Fatura da Usina (TUSD)",'Resumo Operacional'!$B$1:$B$1103,0),MATCH('Detalhe Por UC'!$R759,'Resumo Operacional'!$A$1:$P$1,0))*$S759,INDEX('Resumo Operacional'!$A$1:$P$1103,53,MATCH('Detalhe Por UC'!$R759,'Resumo Operacional'!$A$1:$P$1,0))*$S759)</f>
        <v>0</v>
      </c>
      <c r="AR759" s="71">
        <f t="shared" si="423"/>
        <v>466</v>
      </c>
      <c r="AS759" s="73">
        <f t="shared" si="424"/>
        <v>140.35000000000002</v>
      </c>
      <c r="AT759" s="74">
        <f t="shared" si="425"/>
        <v>140.35000000000002</v>
      </c>
      <c r="AU759" s="74">
        <f t="shared" si="426"/>
        <v>1.1879608421881149</v>
      </c>
      <c r="AV759" s="74">
        <f t="shared" si="427"/>
        <v>19.311111168681084</v>
      </c>
      <c r="AW759" s="74">
        <f t="shared" si="428"/>
        <v>0</v>
      </c>
      <c r="AX759" s="74">
        <f t="shared" si="429"/>
        <v>24.948500000000003</v>
      </c>
      <c r="AY759" s="74">
        <f t="shared" si="430"/>
        <v>19.309999999999999</v>
      </c>
      <c r="AZ759" s="117">
        <v>19.309999999999999</v>
      </c>
      <c r="BA759" s="49">
        <v>19.309999999999999</v>
      </c>
      <c r="BB759" s="49">
        <v>19.309999999999999</v>
      </c>
      <c r="BC759" s="73" t="str">
        <f t="shared" si="431"/>
        <v/>
      </c>
      <c r="BD759" s="73">
        <f t="shared" si="432"/>
        <v>165.29850000000002</v>
      </c>
      <c r="BE759" s="73">
        <f t="shared" si="433"/>
        <v>159.66111116868112</v>
      </c>
      <c r="BF759" s="77">
        <f t="shared" si="434"/>
        <v>5.64</v>
      </c>
      <c r="BG759" s="77">
        <f t="shared" si="435"/>
        <v>1.6919999999999999</v>
      </c>
      <c r="BH759" s="77">
        <f t="shared" si="436"/>
        <v>24.948500000000003</v>
      </c>
      <c r="BI759" s="78">
        <f t="shared" si="437"/>
        <v>0.23</v>
      </c>
      <c r="BJ759" s="79">
        <f t="shared" si="438"/>
        <v>3.4120091833864184E-2</v>
      </c>
      <c r="BK759" s="80">
        <f t="shared" si="439"/>
        <v>159.66000000000003</v>
      </c>
      <c r="BL759" s="80">
        <f t="shared" si="440"/>
        <v>5.6384999999999934</v>
      </c>
      <c r="BM759" s="79">
        <f t="shared" si="441"/>
        <v>3.4111017341355139E-2</v>
      </c>
      <c r="BN759" s="81">
        <f t="shared" si="442"/>
        <v>0.91952380952380941</v>
      </c>
      <c r="BO759" s="82">
        <f t="shared" si="443"/>
        <v>19.309999999999999</v>
      </c>
      <c r="BP759" s="81">
        <f t="shared" si="444"/>
        <v>0.91952380952380941</v>
      </c>
      <c r="BQ759" s="81">
        <f t="shared" si="445"/>
        <v>0.91958677685950407</v>
      </c>
      <c r="BR759" s="81">
        <f t="shared" si="446"/>
        <v>1.1880867768595043</v>
      </c>
      <c r="BS759" s="82">
        <f t="shared" si="447"/>
        <v>21</v>
      </c>
      <c r="BT759" s="82">
        <f t="shared" si="448"/>
        <v>24.949822314049591</v>
      </c>
      <c r="BU759" s="82">
        <f t="shared" si="449"/>
        <v>24.948500000000003</v>
      </c>
      <c r="BW759" s="82">
        <f>IFERROR(INDEX('Infos Clientes'!$T:$T,MATCH('Detalhe Por UC'!$C759,'Infos Clientes'!B:B,0)),"")</f>
        <v>178.41666666666666</v>
      </c>
      <c r="BX759" s="83">
        <f t="shared" si="450"/>
        <v>0</v>
      </c>
      <c r="BY759" s="84">
        <f t="shared" si="451"/>
        <v>0.2259935934223021</v>
      </c>
      <c r="BZ759" s="85">
        <f>IF(_xlfn.MINIFS('Detalhe Por UC'!R:R,'Detalhe Por UC'!C:C,C759,'Detalhe Por UC'!AD:AD,"&gt;"&amp;0)=0,"",_xlfn.MINIFS('Detalhe Por UC'!R:R,'Detalhe Por UC'!C:C,C759,'Detalhe Por UC'!AD:AD,"&gt;"&amp;0))</f>
        <v>45627</v>
      </c>
      <c r="CA759" s="114">
        <f ca="1">IF(OR(S759&gt;0,AD759&gt;0),IFERROR(
SUMIFS(INDIRECT("'Infos Clientes'!$W"&amp;INDEX('Infos Clientes'!$C:$C,MATCH(C759,'Infos Clientes'!$H:$H,0))&amp;":$CZ"&amp;INDEX('Infos Clientes'!$C:$C,MATCH(C759,'Infos Clientes'!$H:$H,0))),'Infos Clientes'!$W$2:$CZ$2,"&gt;"&amp;$R759-365,'Infos Clientes'!$W$2:$CZ$2,"&lt;="&amp;$R759)/
COUNTIFS(INDIRECT("'Infos Clientes'!$W"&amp;INDEX('Infos Clientes'!$C:$C,MATCH(C759,'Infos Clientes'!$H:$H,0))&amp;":$CZ"&amp;INDEX('Infos Clientes'!$C:$C,MATCH(C759,'Infos Clientes'!$H:$H,0))),"&gt;="&amp;0,'Infos Clientes'!$W$2:$CZ$2,"&gt;"&amp;$R759-365,'Infos Clientes'!$W$2:$CZ$2,"&lt;="&amp;$R759),""),"")</f>
        <v>165.66666666666666</v>
      </c>
      <c r="CB759" s="87">
        <f>VLOOKUP(C759,'Infos Clientes'!B:L,11,0)</f>
        <v>0</v>
      </c>
      <c r="CC759" s="88" t="str">
        <f t="shared" si="452"/>
        <v>A Unidade Consumidora 10/1117293-9 economizou R$5,64 na fatura referente à ago/2025  consumindo 21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59" s="115">
        <f t="shared" si="453"/>
        <v>-140.35000000000002</v>
      </c>
    </row>
    <row r="760" spans="1:84" ht="16.2" hidden="1" customHeight="1" x14ac:dyDescent="0.3">
      <c r="A760" s="105" t="str">
        <f>INDEX('Infos Clientes'!$D:$D,MATCH('Detalhe Por UC'!C760,'Infos Clientes'!B:B,0))</f>
        <v>IGREJA DO EVANGELHO QUADRANGULAR</v>
      </c>
      <c r="B760" s="106" t="str">
        <f>INDEX('Infos Clientes'!$F:$F,MATCH('Detalhe Por UC'!C760,'Infos Clientes'!B:B,0))</f>
        <v>62.955.505/0800-98</v>
      </c>
      <c r="C760" s="44" t="s">
        <v>38</v>
      </c>
      <c r="D760" t="s">
        <v>351</v>
      </c>
      <c r="E760" s="1" t="s">
        <v>352</v>
      </c>
      <c r="F760" s="56" t="str">
        <f>INDEX('Infos Clientes'!$I:$I,MATCH('Detalhe Por UC'!C760,'Infos Clientes'!B:B,0))</f>
        <v>BT</v>
      </c>
      <c r="G760" s="56" t="str">
        <f>INDEX('Infos Clientes'!$J:$J,MATCH('Detalhe Por UC'!C760,'Infos Clientes'!B:B,0))</f>
        <v>trifasico</v>
      </c>
      <c r="H760" s="47" t="str">
        <f t="shared" si="455"/>
        <v>GIROSSOL II</v>
      </c>
      <c r="I760" s="58">
        <f>IFERROR(VLOOKUP(C760,'Infos Clientes'!B:E,4,),"")</f>
        <v>351</v>
      </c>
      <c r="J760" s="151">
        <v>0.22596103298069697</v>
      </c>
      <c r="K760" s="79">
        <f>INDEX('Resumo Operacional'!$A$1:$P$151,MATCH("Desconto percentual Ucs",'Resumo Operacional'!$B$1:$B$151,0),MATCH('Detalhe Por UC'!$R760,'Resumo Operacional'!$A$1:$P$1,0))</f>
        <v>0.26495232343264008</v>
      </c>
      <c r="M760" s="56"/>
      <c r="N760" s="56"/>
      <c r="O760" s="56"/>
      <c r="P760" s="56"/>
      <c r="Q760" s="61"/>
      <c r="R760" s="111">
        <v>45870</v>
      </c>
      <c r="S760" s="152">
        <v>0</v>
      </c>
      <c r="T760" s="113">
        <f>IF($H760="GIROSSOL II",AP760/INDEX('Resumo Operacional'!$A$1:$P$1103,17,MATCH('Detalhe Por UC'!$R760,'Resumo Operacional'!$A$1:$P$1,0)),
IF($H760="GIROSSOL II e III",AP760/INDEX('Resumo Operacional'!$A$1:$P$1103,17,MATCH('Detalhe Por UC'!$R760,'Resumo Operacional'!$A$1:$P$1,0)),
""))</f>
        <v>0</v>
      </c>
      <c r="U760" s="113" t="str">
        <f>IF($H760="GIROSSOL III",AP760/INDEX('Resumo Operacional'!$A$1:$P$1103,53,MATCH('Detalhe Por UC'!$R760,'Resumo Operacional'!$A$1:$P$1,0)),
IF($H760="GIROSSOL II e III",AP760/INDEX('Resumo Operacional'!$A$1:$P$1103,53,MATCH('Detalhe Por UC'!$R760,'Resumo Operacional'!$A$1:$P$1,0)),
""))</f>
        <v/>
      </c>
      <c r="X760">
        <v>1.1776</v>
      </c>
      <c r="Z760" s="18">
        <v>0</v>
      </c>
      <c r="AB760" s="18">
        <v>100</v>
      </c>
      <c r="AD760" s="143">
        <v>0</v>
      </c>
      <c r="AF760" s="18"/>
      <c r="AH760" s="49">
        <v>0</v>
      </c>
      <c r="AK760" s="153">
        <v>117.76</v>
      </c>
      <c r="AL760" s="43">
        <f t="shared" si="456"/>
        <v>0</v>
      </c>
      <c r="AN760" s="71">
        <f t="shared" si="420"/>
        <v>0</v>
      </c>
      <c r="AO760" s="71">
        <f t="shared" si="421"/>
        <v>0</v>
      </c>
      <c r="AP760" s="71">
        <f t="shared" si="422"/>
        <v>0</v>
      </c>
      <c r="AQ760" s="72">
        <f>IF(OR($H760="GIROSSOL II",$H760="GIROSSOL II e III"),INDEX('Resumo Operacional'!$A$1:$P$1103,MATCH("Energia Injetada prevista total Fatura da Usina (TUSD)",'Resumo Operacional'!$B$1:$B$1103,0),MATCH('Detalhe Por UC'!$R760,'Resumo Operacional'!$A$1:$P$1,0))*$S760,INDEX('Resumo Operacional'!$A$1:$P$1103,53,MATCH('Detalhe Por UC'!$R760,'Resumo Operacional'!$A$1:$P$1,0))*$S760)</f>
        <v>0</v>
      </c>
      <c r="AR760" s="71">
        <f t="shared" si="423"/>
        <v>0</v>
      </c>
      <c r="AS760" s="73">
        <f t="shared" si="424"/>
        <v>117.75999999999999</v>
      </c>
      <c r="AT760" s="74">
        <f t="shared" si="425"/>
        <v>117.75999999999999</v>
      </c>
      <c r="AU760" s="74" t="str">
        <f t="shared" si="426"/>
        <v/>
      </c>
      <c r="AV760" s="74">
        <f t="shared" si="427"/>
        <v>0</v>
      </c>
      <c r="AW760" s="74">
        <f t="shared" si="428"/>
        <v>0</v>
      </c>
      <c r="AX760" s="74">
        <f t="shared" si="429"/>
        <v>0</v>
      </c>
      <c r="AY760" s="74" t="str">
        <f t="shared" si="430"/>
        <v/>
      </c>
      <c r="AZ760" s="117">
        <v>0</v>
      </c>
      <c r="BC760" s="73" t="str">
        <f t="shared" si="431"/>
        <v/>
      </c>
      <c r="BD760" s="73">
        <f t="shared" si="432"/>
        <v>117.75999999999999</v>
      </c>
      <c r="BE760" s="73">
        <f t="shared" si="433"/>
        <v>117.75999999999999</v>
      </c>
      <c r="BF760" s="77">
        <f t="shared" si="434"/>
        <v>0</v>
      </c>
      <c r="BG760" s="77">
        <f t="shared" si="435"/>
        <v>0</v>
      </c>
      <c r="BH760" s="77">
        <f t="shared" si="436"/>
        <v>0</v>
      </c>
      <c r="BI760" s="78" t="str">
        <f t="shared" si="437"/>
        <v/>
      </c>
      <c r="BJ760" s="79">
        <f t="shared" si="438"/>
        <v>0</v>
      </c>
      <c r="BK760" s="80" t="str">
        <f t="shared" si="439"/>
        <v/>
      </c>
      <c r="BL760" s="80" t="str">
        <f t="shared" si="440"/>
        <v/>
      </c>
      <c r="BM760" s="79" t="str">
        <f t="shared" si="441"/>
        <v/>
      </c>
      <c r="BN760" s="81" t="str">
        <f t="shared" si="442"/>
        <v/>
      </c>
      <c r="BO760" s="82" t="str">
        <f t="shared" si="443"/>
        <v/>
      </c>
      <c r="BP760" s="81" t="str">
        <f t="shared" si="444"/>
        <v/>
      </c>
      <c r="BQ760" s="81" t="str">
        <f t="shared" si="445"/>
        <v/>
      </c>
      <c r="BR760" s="81" t="str">
        <f t="shared" si="446"/>
        <v/>
      </c>
      <c r="BS760" s="82">
        <f t="shared" si="447"/>
        <v>0</v>
      </c>
      <c r="BT760" s="82" t="str">
        <f t="shared" si="448"/>
        <v/>
      </c>
      <c r="BU760" s="82">
        <f t="shared" si="449"/>
        <v>0</v>
      </c>
      <c r="BW760" s="82">
        <f>IFERROR(INDEX('Infos Clientes'!$T:$T,MATCH('Detalhe Por UC'!$C760,'Infos Clientes'!B:B,0)),"")</f>
        <v>134.36363636363637</v>
      </c>
      <c r="BX760" s="83">
        <f t="shared" si="450"/>
        <v>0</v>
      </c>
      <c r="BY760" s="84" t="str">
        <f t="shared" si="451"/>
        <v/>
      </c>
      <c r="BZ760" s="85">
        <f>IF(_xlfn.MINIFS('Detalhe Por UC'!R:R,'Detalhe Por UC'!C:C,C760,'Detalhe Por UC'!AD:AD,"&gt;"&amp;0)=0,"",_xlfn.MINIFS('Detalhe Por UC'!R:R,'Detalhe Por UC'!C:C,C760,'Detalhe Por UC'!AD:AD,"&gt;"&amp;0))</f>
        <v>45627</v>
      </c>
      <c r="CA760" s="114" t="str">
        <f ca="1">IF(OR(S760&gt;0,AD760&gt;0),IFERROR(
SUMIFS(INDIRECT("'Infos Clientes'!$W"&amp;INDEX('Infos Clientes'!$C:$C,MATCH(C760,'Infos Clientes'!$H:$H,0))&amp;":$CZ"&amp;INDEX('Infos Clientes'!$C:$C,MATCH(C760,'Infos Clientes'!$H:$H,0))),'Infos Clientes'!$W$2:$CZ$2,"&gt;"&amp;$R760-365,'Infos Clientes'!$W$2:$CZ$2,"&lt;="&amp;$R760)/
COUNTIFS(INDIRECT("'Infos Clientes'!$W"&amp;INDEX('Infos Clientes'!$C:$C,MATCH(C760,'Infos Clientes'!$H:$H,0))&amp;":$CZ"&amp;INDEX('Infos Clientes'!$C:$C,MATCH(C760,'Infos Clientes'!$H:$H,0))),"&gt;="&amp;0,'Infos Clientes'!$W$2:$CZ$2,"&gt;"&amp;$R760-365,'Infos Clientes'!$W$2:$CZ$2,"&lt;="&amp;$R760),""),"")</f>
        <v/>
      </c>
      <c r="CB760" s="87">
        <f>VLOOKUP(C760,'Infos Clientes'!B:L,11,0)</f>
        <v>0</v>
      </c>
      <c r="CC760" s="88" t="str">
        <f t="shared" si="452"/>
        <v>A Unidade Consumidora 10/135237-6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0" s="115">
        <f t="shared" si="453"/>
        <v>-117.75999999999999</v>
      </c>
    </row>
    <row r="761" spans="1:84" ht="16.2" hidden="1" customHeight="1" x14ac:dyDescent="0.3">
      <c r="A761" s="105" t="str">
        <f>INDEX('Infos Clientes'!$D:$D,MATCH('Detalhe Por UC'!C761,'Infos Clientes'!B:B,0))</f>
        <v>IGREJA DO EVANGELHO QUADRANGULAR</v>
      </c>
      <c r="B761" s="106" t="str">
        <f>INDEX('Infos Clientes'!$F:$F,MATCH('Detalhe Por UC'!C761,'Infos Clientes'!B:B,0))</f>
        <v>62.955.505/0172-13</v>
      </c>
      <c r="C761" s="44" t="s">
        <v>54</v>
      </c>
      <c r="D761" t="s">
        <v>351</v>
      </c>
      <c r="E761" s="1" t="s">
        <v>352</v>
      </c>
      <c r="F761" s="56" t="str">
        <f>INDEX('Infos Clientes'!$I:$I,MATCH('Detalhe Por UC'!C761,'Infos Clientes'!B:B,0))</f>
        <v>BT</v>
      </c>
      <c r="G761" s="56" t="str">
        <f>INDEX('Infos Clientes'!$J:$J,MATCH('Detalhe Por UC'!C761,'Infos Clientes'!B:B,0))</f>
        <v>trifasico</v>
      </c>
      <c r="H761" s="47" t="str">
        <f t="shared" si="455"/>
        <v>GIROSSOL II</v>
      </c>
      <c r="I761" s="58">
        <f>IFERROR(VLOOKUP(C761,'Infos Clientes'!B:E,4,),"")</f>
        <v>371</v>
      </c>
      <c r="J761" s="151">
        <v>0.22596103298069697</v>
      </c>
      <c r="K761" s="79">
        <f>INDEX('Resumo Operacional'!$A$1:$P$151,MATCH("Desconto percentual Ucs",'Resumo Operacional'!$B$1:$B$151,0),MATCH('Detalhe Por UC'!$R761,'Resumo Operacional'!$A$1:$P$1,0))</f>
        <v>0.26495232343264008</v>
      </c>
      <c r="M761" s="56"/>
      <c r="N761" s="56"/>
      <c r="O761" s="56"/>
      <c r="P761" s="56"/>
      <c r="Q761" s="61"/>
      <c r="R761" s="111">
        <v>45870</v>
      </c>
      <c r="S761" s="152">
        <v>0</v>
      </c>
      <c r="T761" s="113">
        <f>IF($H761="GIROSSOL II",AP761/INDEX('Resumo Operacional'!$A$1:$P$1103,17,MATCH('Detalhe Por UC'!$R761,'Resumo Operacional'!$A$1:$P$1,0)),
IF($H761="GIROSSOL II e III",AP761/INDEX('Resumo Operacional'!$A$1:$P$1103,17,MATCH('Detalhe Por UC'!$R761,'Resumo Operacional'!$A$1:$P$1,0)),
""))</f>
        <v>1.4104987639959285E-2</v>
      </c>
      <c r="U761" s="113" t="str">
        <f>IF($H761="GIROSSOL III",AP761/INDEX('Resumo Operacional'!$A$1:$P$1103,53,MATCH('Detalhe Por UC'!$R761,'Resumo Operacional'!$A$1:$P$1,0)),
IF($H761="GIROSSOL II e III",AP761/INDEX('Resumo Operacional'!$A$1:$P$1103,53,MATCH('Detalhe Por UC'!$R761,'Resumo Operacional'!$A$1:$P$1,0)),
""))</f>
        <v/>
      </c>
      <c r="X761">
        <v>1.1716939086294418</v>
      </c>
      <c r="Z761" s="18">
        <v>1.1716876288659794</v>
      </c>
      <c r="AB761" s="18">
        <v>197</v>
      </c>
      <c r="AD761" s="143">
        <v>97</v>
      </c>
      <c r="AF761" s="18"/>
      <c r="AH761" s="49">
        <v>15.41</v>
      </c>
      <c r="AK761" s="153">
        <v>132.58000000000001</v>
      </c>
      <c r="AL761" s="43">
        <f t="shared" si="456"/>
        <v>0</v>
      </c>
      <c r="AN761" s="71">
        <f t="shared" si="420"/>
        <v>0</v>
      </c>
      <c r="AO761" s="71">
        <f t="shared" si="421"/>
        <v>0</v>
      </c>
      <c r="AP761" s="71">
        <f t="shared" si="422"/>
        <v>97</v>
      </c>
      <c r="AQ761" s="72">
        <f>IF(OR($H761="GIROSSOL II",$H761="GIROSSOL II e III"),INDEX('Resumo Operacional'!$A$1:$P$1103,MATCH("Energia Injetada prevista total Fatura da Usina (TUSD)",'Resumo Operacional'!$B$1:$B$1103,0),MATCH('Detalhe Por UC'!$R761,'Resumo Operacional'!$A$1:$P$1,0))*$S761,INDEX('Resumo Operacional'!$A$1:$P$1103,53,MATCH('Detalhe Por UC'!$R761,'Resumo Operacional'!$A$1:$P$1,0))*$S761)</f>
        <v>0</v>
      </c>
      <c r="AR761" s="71">
        <f t="shared" si="423"/>
        <v>97</v>
      </c>
      <c r="AS761" s="73">
        <f t="shared" si="424"/>
        <v>132.58000000000004</v>
      </c>
      <c r="AT761" s="74">
        <f t="shared" si="425"/>
        <v>132.58000000000004</v>
      </c>
      <c r="AU761" s="74">
        <f t="shared" si="426"/>
        <v>1.1716813491025171</v>
      </c>
      <c r="AV761" s="74">
        <f t="shared" si="427"/>
        <v>87.972392545921764</v>
      </c>
      <c r="AW761" s="74">
        <f t="shared" si="428"/>
        <v>0</v>
      </c>
      <c r="AX761" s="74">
        <f t="shared" si="429"/>
        <v>113.6537</v>
      </c>
      <c r="AY761" s="74">
        <f t="shared" si="430"/>
        <v>87.97</v>
      </c>
      <c r="AZ761" s="117">
        <v>87.97</v>
      </c>
      <c r="BA761" s="49">
        <v>87.97</v>
      </c>
      <c r="BB761" s="49">
        <v>87.97</v>
      </c>
      <c r="BC761" s="73" t="str">
        <f t="shared" si="431"/>
        <v/>
      </c>
      <c r="BD761" s="73">
        <f t="shared" si="432"/>
        <v>246.23370000000003</v>
      </c>
      <c r="BE761" s="73">
        <f t="shared" si="433"/>
        <v>220.5523925459218</v>
      </c>
      <c r="BF761" s="77">
        <f t="shared" si="434"/>
        <v>25.68</v>
      </c>
      <c r="BG761" s="77">
        <f t="shared" si="435"/>
        <v>7.7039999999999997</v>
      </c>
      <c r="BH761" s="77">
        <f t="shared" si="436"/>
        <v>113.6537</v>
      </c>
      <c r="BI761" s="78">
        <f t="shared" si="437"/>
        <v>0.23</v>
      </c>
      <c r="BJ761" s="79">
        <f t="shared" si="438"/>
        <v>0.10429116729351018</v>
      </c>
      <c r="BK761" s="80">
        <f t="shared" si="439"/>
        <v>220.55000000000004</v>
      </c>
      <c r="BL761" s="80">
        <f t="shared" si="440"/>
        <v>25.683699999999988</v>
      </c>
      <c r="BM761" s="79">
        <f t="shared" si="441"/>
        <v>0.10430619366886006</v>
      </c>
      <c r="BN761" s="81">
        <f t="shared" si="442"/>
        <v>0.9069072164948454</v>
      </c>
      <c r="BO761" s="82">
        <f t="shared" si="443"/>
        <v>87.97</v>
      </c>
      <c r="BP761" s="81">
        <f t="shared" si="444"/>
        <v>0.9069072164948454</v>
      </c>
      <c r="BQ761" s="81">
        <f t="shared" si="445"/>
        <v>0.90691349625830775</v>
      </c>
      <c r="BR761" s="81">
        <f t="shared" si="446"/>
        <v>1.1716939086294418</v>
      </c>
      <c r="BS761" s="82">
        <f t="shared" si="447"/>
        <v>97</v>
      </c>
      <c r="BT761" s="82">
        <f t="shared" si="448"/>
        <v>113.65430913705585</v>
      </c>
      <c r="BU761" s="82">
        <f t="shared" si="449"/>
        <v>113.6537</v>
      </c>
      <c r="BW761" s="82">
        <f>IFERROR(INDEX('Infos Clientes'!$T:$T,MATCH('Detalhe Por UC'!$C761,'Infos Clientes'!B:B,0)),"")</f>
        <v>418.16666666666669</v>
      </c>
      <c r="BX761" s="83">
        <f t="shared" si="450"/>
        <v>0</v>
      </c>
      <c r="BY761" s="84">
        <f t="shared" si="451"/>
        <v>0.22598087300876554</v>
      </c>
      <c r="BZ761" s="85">
        <f>IF(_xlfn.MINIFS('Detalhe Por UC'!R:R,'Detalhe Por UC'!C:C,C761,'Detalhe Por UC'!AD:AD,"&gt;"&amp;0)=0,"",_xlfn.MINIFS('Detalhe Por UC'!R:R,'Detalhe Por UC'!C:C,C761,'Detalhe Por UC'!AD:AD,"&gt;"&amp;0))</f>
        <v>45627</v>
      </c>
      <c r="CA761" s="114">
        <f ca="1">IF(OR(S761&gt;0,AD761&gt;0),IFERROR(
SUMIFS(INDIRECT("'Infos Clientes'!$W"&amp;INDEX('Infos Clientes'!$C:$C,MATCH(C761,'Infos Clientes'!$H:$H,0))&amp;":$CZ"&amp;INDEX('Infos Clientes'!$C:$C,MATCH(C761,'Infos Clientes'!$H:$H,0))),'Infos Clientes'!$W$2:$CZ$2,"&gt;"&amp;$R761-365,'Infos Clientes'!$W$2:$CZ$2,"&lt;="&amp;$R761)/
COUNTIFS(INDIRECT("'Infos Clientes'!$W"&amp;INDEX('Infos Clientes'!$C:$C,MATCH(C761,'Infos Clientes'!$H:$H,0))&amp;":$CZ"&amp;INDEX('Infos Clientes'!$C:$C,MATCH(C761,'Infos Clientes'!$H:$H,0))),"&gt;="&amp;0,'Infos Clientes'!$W$2:$CZ$2,"&gt;"&amp;$R761-365,'Infos Clientes'!$W$2:$CZ$2,"&lt;="&amp;$R761),""),"")</f>
        <v>356.75</v>
      </c>
      <c r="CB761" s="87">
        <f>VLOOKUP(C761,'Infos Clientes'!B:L,11,0)</f>
        <v>0</v>
      </c>
      <c r="CC761" s="88" t="str">
        <f t="shared" si="452"/>
        <v>A Unidade Consumidora 10/1672452-8 economizou R$25,68 na fatura referente à ago/2025  consumindo 97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1" s="115">
        <f t="shared" si="453"/>
        <v>-132.58000000000004</v>
      </c>
    </row>
    <row r="762" spans="1:84" ht="16.2" hidden="1" customHeight="1" x14ac:dyDescent="0.3">
      <c r="A762" s="105" t="str">
        <f>INDEX('Infos Clientes'!$D:$D,MATCH('Detalhe Por UC'!C762,'Infos Clientes'!B:B,0))</f>
        <v>IGREJA DO EVANGELHO QUADRANGULAR</v>
      </c>
      <c r="B762" s="106" t="str">
        <f>INDEX('Infos Clientes'!$F:$F,MATCH('Detalhe Por UC'!C762,'Infos Clientes'!B:B,0))</f>
        <v>62.955.505/0170-51</v>
      </c>
      <c r="C762" s="44" t="s">
        <v>73</v>
      </c>
      <c r="D762" t="s">
        <v>351</v>
      </c>
      <c r="E762" s="1" t="s">
        <v>352</v>
      </c>
      <c r="F762" s="56" t="str">
        <f>INDEX('Infos Clientes'!$I:$I,MATCH('Detalhe Por UC'!C762,'Infos Clientes'!B:B,0))</f>
        <v>BT</v>
      </c>
      <c r="G762" s="56" t="str">
        <f>INDEX('Infos Clientes'!$J:$J,MATCH('Detalhe Por UC'!C762,'Infos Clientes'!B:B,0))</f>
        <v>bifasico</v>
      </c>
      <c r="H762" s="47" t="str">
        <f t="shared" si="455"/>
        <v>GIROSSOL II</v>
      </c>
      <c r="I762" s="58">
        <f>IFERROR(VLOOKUP(C762,'Infos Clientes'!B:E,4,),"")</f>
        <v>306</v>
      </c>
      <c r="J762" s="151">
        <v>0.22596103298069697</v>
      </c>
      <c r="K762" s="79">
        <f>INDEX('Resumo Operacional'!$A$1:$P$151,MATCH("Desconto percentual Ucs",'Resumo Operacional'!$B$1:$B$151,0),MATCH('Detalhe Por UC'!$R762,'Resumo Operacional'!$A$1:$P$1,0))</f>
        <v>0.26495232343264008</v>
      </c>
      <c r="M762" s="56"/>
      <c r="N762" s="56"/>
      <c r="O762" s="56"/>
      <c r="P762" s="56"/>
      <c r="Q762" s="61"/>
      <c r="R762" s="111">
        <v>45870</v>
      </c>
      <c r="S762" s="152">
        <v>0</v>
      </c>
      <c r="T762" s="113">
        <f>IF($H762="GIROSSOL II",AP762/INDEX('Resumo Operacional'!$A$1:$P$1103,17,MATCH('Detalhe Por UC'!$R762,'Resumo Operacional'!$A$1:$P$1,0)),
IF($H762="GIROSSOL II e III",AP762/INDEX('Resumo Operacional'!$A$1:$P$1103,17,MATCH('Detalhe Por UC'!$R762,'Resumo Operacional'!$A$1:$P$1,0)),
""))</f>
        <v>6.5435509669914205E-3</v>
      </c>
      <c r="U762" s="113" t="str">
        <f>IF($H762="GIROSSOL III",AP762/INDEX('Resumo Operacional'!$A$1:$P$1103,53,MATCH('Detalhe Por UC'!$R762,'Resumo Operacional'!$A$1:$P$1,0)),
IF($H762="GIROSSOL II e III",AP762/INDEX('Resumo Operacional'!$A$1:$P$1103,53,MATCH('Detalhe Por UC'!$R762,'Resumo Operacional'!$A$1:$P$1,0)),
""))</f>
        <v/>
      </c>
      <c r="X762">
        <v>1.1623865265169615</v>
      </c>
      <c r="Z762" s="18">
        <v>1.0788260869565218</v>
      </c>
      <c r="AB762" s="18">
        <v>91</v>
      </c>
      <c r="AD762" s="143">
        <v>45</v>
      </c>
      <c r="AF762" s="18"/>
      <c r="AH762" s="49">
        <v>-7.87</v>
      </c>
      <c r="AK762" s="153">
        <v>49.36</v>
      </c>
      <c r="AL762" s="43">
        <f t="shared" si="456"/>
        <v>0</v>
      </c>
      <c r="AN762" s="71">
        <f t="shared" si="420"/>
        <v>0</v>
      </c>
      <c r="AO762" s="71">
        <f t="shared" si="421"/>
        <v>0</v>
      </c>
      <c r="AP762" s="71">
        <f t="shared" si="422"/>
        <v>45</v>
      </c>
      <c r="AQ762" s="72">
        <f>IF(OR($H762="GIROSSOL II",$H762="GIROSSOL II e III"),INDEX('Resumo Operacional'!$A$1:$P$1103,MATCH("Energia Injetada prevista total Fatura da Usina (TUSD)",'Resumo Operacional'!$B$1:$B$1103,0),MATCH('Detalhe Por UC'!$R762,'Resumo Operacional'!$A$1:$P$1,0))*$S762,INDEX('Resumo Operacional'!$A$1:$P$1103,53,MATCH('Detalhe Por UC'!$R762,'Resumo Operacional'!$A$1:$P$1,0))*$S762)</f>
        <v>0</v>
      </c>
      <c r="AR762" s="71">
        <f t="shared" si="423"/>
        <v>45</v>
      </c>
      <c r="AS762" s="73">
        <f t="shared" si="424"/>
        <v>49.360000000000021</v>
      </c>
      <c r="AT762" s="74">
        <f t="shared" si="425"/>
        <v>49.360000000000021</v>
      </c>
      <c r="AU762" s="74">
        <f t="shared" si="426"/>
        <v>0.99526564739608214</v>
      </c>
      <c r="AV762" s="74">
        <f t="shared" si="427"/>
        <v>37.577404347358637</v>
      </c>
      <c r="AW762" s="74">
        <f t="shared" si="428"/>
        <v>0</v>
      </c>
      <c r="AX762" s="74">
        <f t="shared" si="429"/>
        <v>48.54717391304348</v>
      </c>
      <c r="AY762" s="74">
        <f t="shared" si="430"/>
        <v>37.58</v>
      </c>
      <c r="AZ762" s="117">
        <v>37.58</v>
      </c>
      <c r="BA762" s="49">
        <v>37.58</v>
      </c>
      <c r="BB762" s="49">
        <v>37.58</v>
      </c>
      <c r="BC762" s="73" t="str">
        <f t="shared" si="431"/>
        <v/>
      </c>
      <c r="BD762" s="73">
        <f t="shared" si="432"/>
        <v>97.907173913043493</v>
      </c>
      <c r="BE762" s="73">
        <f t="shared" si="433"/>
        <v>86.937404347358665</v>
      </c>
      <c r="BF762" s="77">
        <f t="shared" si="434"/>
        <v>10.97</v>
      </c>
      <c r="BG762" s="77">
        <f t="shared" si="435"/>
        <v>3.2909999999999999</v>
      </c>
      <c r="BH762" s="77">
        <f t="shared" si="436"/>
        <v>48.54717391304348</v>
      </c>
      <c r="BI762" s="78">
        <f t="shared" si="437"/>
        <v>0.23</v>
      </c>
      <c r="BJ762" s="79">
        <f t="shared" si="438"/>
        <v>0.11204490500096585</v>
      </c>
      <c r="BK762" s="80">
        <f t="shared" si="439"/>
        <v>86.940000000000026</v>
      </c>
      <c r="BL762" s="80">
        <f t="shared" si="440"/>
        <v>10.967173913043467</v>
      </c>
      <c r="BM762" s="79">
        <f t="shared" si="441"/>
        <v>0.11201604003792399</v>
      </c>
      <c r="BN762" s="81">
        <f t="shared" si="442"/>
        <v>0.83511111111111103</v>
      </c>
      <c r="BO762" s="82">
        <f t="shared" si="443"/>
        <v>37.58</v>
      </c>
      <c r="BP762" s="81">
        <f t="shared" si="444"/>
        <v>0.83511111111111103</v>
      </c>
      <c r="BQ762" s="81">
        <f t="shared" si="445"/>
        <v>0.91867155067155071</v>
      </c>
      <c r="BR762" s="81">
        <f t="shared" si="446"/>
        <v>1.1623865265169615</v>
      </c>
      <c r="BS762" s="82">
        <f t="shared" si="447"/>
        <v>45</v>
      </c>
      <c r="BT762" s="82">
        <f t="shared" si="448"/>
        <v>52.307393693263265</v>
      </c>
      <c r="BU762" s="82">
        <f t="shared" si="449"/>
        <v>48.54717391304348</v>
      </c>
      <c r="BW762" s="82">
        <f>IFERROR(INDEX('Infos Clientes'!$T:$T,MATCH('Detalhe Por UC'!$C762,'Infos Clientes'!B:B,0)),"")</f>
        <v>153.91666666666666</v>
      </c>
      <c r="BX762" s="83">
        <f t="shared" si="450"/>
        <v>0</v>
      </c>
      <c r="BY762" s="84">
        <f t="shared" si="451"/>
        <v>0.20966775705469648</v>
      </c>
      <c r="BZ762" s="85">
        <f>IF(_xlfn.MINIFS('Detalhe Por UC'!R:R,'Detalhe Por UC'!C:C,C762,'Detalhe Por UC'!AD:AD,"&gt;"&amp;0)=0,"",_xlfn.MINIFS('Detalhe Por UC'!R:R,'Detalhe Por UC'!C:C,C762,'Detalhe Por UC'!AD:AD,"&gt;"&amp;0))</f>
        <v>45627</v>
      </c>
      <c r="CA762" s="114">
        <f ca="1">IF(OR(S762&gt;0,AD762&gt;0),IFERROR(
SUMIFS(INDIRECT("'Infos Clientes'!$W"&amp;INDEX('Infos Clientes'!$C:$C,MATCH(C762,'Infos Clientes'!$H:$H,0))&amp;":$CZ"&amp;INDEX('Infos Clientes'!$C:$C,MATCH(C762,'Infos Clientes'!$H:$H,0))),'Infos Clientes'!$W$2:$CZ$2,"&gt;"&amp;$R762-365,'Infos Clientes'!$W$2:$CZ$2,"&lt;="&amp;$R762)/
COUNTIFS(INDIRECT("'Infos Clientes'!$W"&amp;INDEX('Infos Clientes'!$C:$C,MATCH(C762,'Infos Clientes'!$H:$H,0))&amp;":$CZ"&amp;INDEX('Infos Clientes'!$C:$C,MATCH(C762,'Infos Clientes'!$H:$H,0))),"&gt;="&amp;0,'Infos Clientes'!$W$2:$CZ$2,"&gt;"&amp;$R762-365,'Infos Clientes'!$W$2:$CZ$2,"&lt;="&amp;$R762),""),"")</f>
        <v>141.83333333333334</v>
      </c>
      <c r="CB762" s="87">
        <f>VLOOKUP(C762,'Infos Clientes'!B:L,11,0)</f>
        <v>0</v>
      </c>
      <c r="CC762" s="88" t="str">
        <f t="shared" si="452"/>
        <v>A Unidade Consumidora 10/218777-1 economizou R$10,97 na fatura referente à ago/2025  consumindo 45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2" s="115">
        <f t="shared" si="453"/>
        <v>-49.360000000000021</v>
      </c>
    </row>
    <row r="763" spans="1:84" ht="16.2" hidden="1" customHeight="1" x14ac:dyDescent="0.3">
      <c r="A763" s="105" t="str">
        <f>INDEX('Infos Clientes'!$D:$D,MATCH('Detalhe Por UC'!C763,'Infos Clientes'!B:B,0))</f>
        <v>IGREJA DO EVANGELHO QUADRANGULAR</v>
      </c>
      <c r="B763" s="106" t="str">
        <f>INDEX('Infos Clientes'!$F:$F,MATCH('Detalhe Por UC'!C763,'Infos Clientes'!B:B,0))</f>
        <v>62.955.505/0408-94</v>
      </c>
      <c r="C763" s="44" t="s">
        <v>76</v>
      </c>
      <c r="D763" t="s">
        <v>351</v>
      </c>
      <c r="E763" s="1" t="s">
        <v>352</v>
      </c>
      <c r="F763" s="56" t="str">
        <f>INDEX('Infos Clientes'!$I:$I,MATCH('Detalhe Por UC'!C763,'Infos Clientes'!B:B,0))</f>
        <v>BT</v>
      </c>
      <c r="G763" s="56" t="str">
        <f>INDEX('Infos Clientes'!$J:$J,MATCH('Detalhe Por UC'!C763,'Infos Clientes'!B:B,0))</f>
        <v>bifasico</v>
      </c>
      <c r="H763" s="47" t="str">
        <f t="shared" si="455"/>
        <v>GIROSSOL II</v>
      </c>
      <c r="I763" s="58">
        <f>IFERROR(VLOOKUP(C763,'Infos Clientes'!B:E,4,),"")</f>
        <v>371</v>
      </c>
      <c r="J763" s="151">
        <v>0.22596103298069697</v>
      </c>
      <c r="K763" s="79">
        <f>INDEX('Resumo Operacional'!$A$1:$P$151,MATCH("Desconto percentual Ucs",'Resumo Operacional'!$B$1:$B$151,0),MATCH('Detalhe Por UC'!$R763,'Resumo Operacional'!$A$1:$P$1,0))</f>
        <v>0.26495232343264008</v>
      </c>
      <c r="M763" s="56"/>
      <c r="N763" s="56"/>
      <c r="O763" s="56"/>
      <c r="P763" s="56"/>
      <c r="Q763" s="61"/>
      <c r="R763" s="111">
        <v>45870</v>
      </c>
      <c r="S763" s="152">
        <v>0</v>
      </c>
      <c r="T763" s="113">
        <f>IF($H763="GIROSSOL II",AP763/INDEX('Resumo Operacional'!$A$1:$P$1103,17,MATCH('Detalhe Por UC'!$R763,'Resumo Operacional'!$A$1:$P$1,0)),
IF($H763="GIROSSOL II e III",AP763/INDEX('Resumo Operacional'!$A$1:$P$1103,17,MATCH('Detalhe Por UC'!$R763,'Resumo Operacional'!$A$1:$P$1,0)),
""))</f>
        <v>1.890359168241966E-3</v>
      </c>
      <c r="U763" s="113" t="str">
        <f>IF($H763="GIROSSOL III",AP763/INDEX('Resumo Operacional'!$A$1:$P$1103,53,MATCH('Detalhe Por UC'!$R763,'Resumo Operacional'!$A$1:$P$1,0)),
IF($H763="GIROSSOL II e III",AP763/INDEX('Resumo Operacional'!$A$1:$P$1103,53,MATCH('Detalhe Por UC'!$R763,'Resumo Operacional'!$A$1:$P$1,0)),
""))</f>
        <v/>
      </c>
      <c r="X763">
        <v>1.1774753127057276</v>
      </c>
      <c r="Z763" s="18">
        <v>1.0925745682888541</v>
      </c>
      <c r="AB763" s="18">
        <v>62</v>
      </c>
      <c r="AD763" s="143">
        <v>13</v>
      </c>
      <c r="AF763" s="18"/>
      <c r="AH763" s="49">
        <v>0</v>
      </c>
      <c r="AK763" s="153">
        <v>58.8</v>
      </c>
      <c r="AL763" s="43">
        <f t="shared" si="456"/>
        <v>0</v>
      </c>
      <c r="AN763" s="71">
        <f t="shared" si="420"/>
        <v>0</v>
      </c>
      <c r="AO763" s="71">
        <f t="shared" si="421"/>
        <v>0</v>
      </c>
      <c r="AP763" s="71">
        <f t="shared" si="422"/>
        <v>13</v>
      </c>
      <c r="AQ763" s="72">
        <f>IF(OR($H763="GIROSSOL II",$H763="GIROSSOL II e III"),INDEX('Resumo Operacional'!$A$1:$P$1103,MATCH("Energia Injetada prevista total Fatura da Usina (TUSD)",'Resumo Operacional'!$B$1:$B$1103,0),MATCH('Detalhe Por UC'!$R763,'Resumo Operacional'!$A$1:$P$1,0))*$S763,INDEX('Resumo Operacional'!$A$1:$P$1103,53,MATCH('Detalhe Por UC'!$R763,'Resumo Operacional'!$A$1:$P$1,0))*$S763)</f>
        <v>0</v>
      </c>
      <c r="AR763" s="71">
        <f t="shared" si="423"/>
        <v>13</v>
      </c>
      <c r="AS763" s="73">
        <f t="shared" si="424"/>
        <v>58.8</v>
      </c>
      <c r="AT763" s="74">
        <f t="shared" si="425"/>
        <v>58.8</v>
      </c>
      <c r="AU763" s="74">
        <f t="shared" si="426"/>
        <v>1.0076738238719807</v>
      </c>
      <c r="AV763" s="74">
        <f t="shared" si="427"/>
        <v>10.994038772988254</v>
      </c>
      <c r="AW763" s="74">
        <f t="shared" si="428"/>
        <v>0.1899999999999995</v>
      </c>
      <c r="AX763" s="74">
        <f t="shared" si="429"/>
        <v>14.393469387755102</v>
      </c>
      <c r="AY763" s="74">
        <f t="shared" si="430"/>
        <v>10.99</v>
      </c>
      <c r="AZ763" s="117">
        <v>10.99</v>
      </c>
      <c r="BA763" s="49">
        <v>10.99</v>
      </c>
      <c r="BB763" s="49">
        <v>10.99</v>
      </c>
      <c r="BC763" s="73" t="str">
        <f t="shared" si="431"/>
        <v/>
      </c>
      <c r="BD763" s="73">
        <f t="shared" si="432"/>
        <v>73.003469387755104</v>
      </c>
      <c r="BE763" s="73">
        <f t="shared" si="433"/>
        <v>69.794038772988245</v>
      </c>
      <c r="BF763" s="77">
        <f t="shared" si="434"/>
        <v>3.21</v>
      </c>
      <c r="BG763" s="77">
        <f t="shared" si="435"/>
        <v>0.96299999999999997</v>
      </c>
      <c r="BH763" s="77">
        <f t="shared" si="436"/>
        <v>14.203469387755105</v>
      </c>
      <c r="BI763" s="78">
        <f t="shared" si="437"/>
        <v>0.23</v>
      </c>
      <c r="BJ763" s="79">
        <f t="shared" si="438"/>
        <v>4.3970513003295901E-2</v>
      </c>
      <c r="BK763" s="80">
        <f t="shared" si="439"/>
        <v>69.789999999999992</v>
      </c>
      <c r="BL763" s="80">
        <f t="shared" si="440"/>
        <v>3.2134693877551115</v>
      </c>
      <c r="BM763" s="79">
        <f t="shared" si="441"/>
        <v>4.4018036604354965E-2</v>
      </c>
      <c r="BN763" s="81">
        <f t="shared" si="442"/>
        <v>0.8453846153846154</v>
      </c>
      <c r="BO763" s="82">
        <f t="shared" si="443"/>
        <v>10.99</v>
      </c>
      <c r="BP763" s="81">
        <f t="shared" si="444"/>
        <v>0.8453846153846154</v>
      </c>
      <c r="BQ763" s="81">
        <f t="shared" si="445"/>
        <v>0.93028535980148885</v>
      </c>
      <c r="BR763" s="81">
        <f t="shared" si="446"/>
        <v>1.1774753127057276</v>
      </c>
      <c r="BS763" s="82">
        <f t="shared" si="447"/>
        <v>13</v>
      </c>
      <c r="BT763" s="82">
        <f t="shared" si="448"/>
        <v>15.307179065174459</v>
      </c>
      <c r="BU763" s="82">
        <f t="shared" si="449"/>
        <v>14.203469387755103</v>
      </c>
      <c r="BW763" s="82">
        <f>IFERROR(INDEX('Infos Clientes'!$T:$T,MATCH('Detalhe Por UC'!$C763,'Infos Clientes'!B:B,0)),"")</f>
        <v>157.66666666666666</v>
      </c>
      <c r="BX763" s="83">
        <f t="shared" si="450"/>
        <v>0</v>
      </c>
      <c r="BY763" s="84">
        <f t="shared" si="451"/>
        <v>0.20993217457461547</v>
      </c>
      <c r="BZ763" s="85">
        <f>IF(_xlfn.MINIFS('Detalhe Por UC'!R:R,'Detalhe Por UC'!C:C,C763,'Detalhe Por UC'!AD:AD,"&gt;"&amp;0)=0,"",_xlfn.MINIFS('Detalhe Por UC'!R:R,'Detalhe Por UC'!C:C,C763,'Detalhe Por UC'!AD:AD,"&gt;"&amp;0))</f>
        <v>45627</v>
      </c>
      <c r="CA763" s="114">
        <f ca="1">IF(OR(S763&gt;0,AD763&gt;0),IFERROR(
SUMIFS(INDIRECT("'Infos Clientes'!$W"&amp;INDEX('Infos Clientes'!$C:$C,MATCH(C763,'Infos Clientes'!$H:$H,0))&amp;":$CZ"&amp;INDEX('Infos Clientes'!$C:$C,MATCH(C763,'Infos Clientes'!$H:$H,0))),'Infos Clientes'!$W$2:$CZ$2,"&gt;"&amp;$R763-365,'Infos Clientes'!$W$2:$CZ$2,"&lt;="&amp;$R763)/
COUNTIFS(INDIRECT("'Infos Clientes'!$W"&amp;INDEX('Infos Clientes'!$C:$C,MATCH(C763,'Infos Clientes'!$H:$H,0))&amp;":$CZ"&amp;INDEX('Infos Clientes'!$C:$C,MATCH(C763,'Infos Clientes'!$H:$H,0))),"&gt;="&amp;0,'Infos Clientes'!$W$2:$CZ$2,"&gt;"&amp;$R763-365,'Infos Clientes'!$W$2:$CZ$2,"&lt;="&amp;$R763),""),"")</f>
        <v>127.09090909090909</v>
      </c>
      <c r="CB763" s="87">
        <f>VLOOKUP(C763,'Infos Clientes'!B:L,11,0)</f>
        <v>0</v>
      </c>
      <c r="CC763" s="88" t="str">
        <f t="shared" si="452"/>
        <v>A Unidade Consumidora 10/226667-4 economizou R$3,21 na fatura referente à ago/2025  consumindo 13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3" s="115">
        <f t="shared" si="453"/>
        <v>-58.8</v>
      </c>
    </row>
    <row r="764" spans="1:84" ht="16.2" hidden="1" customHeight="1" x14ac:dyDescent="0.3">
      <c r="A764" s="105" t="str">
        <f>INDEX('Infos Clientes'!$D:$D,MATCH('Detalhe Por UC'!C764,'Infos Clientes'!B:B,0))</f>
        <v>IGREJA DO EVANGELHO QUADRANGULAR</v>
      </c>
      <c r="B764" s="106" t="str">
        <f>INDEX('Infos Clientes'!$F:$F,MATCH('Detalhe Por UC'!C764,'Infos Clientes'!B:B,0))</f>
        <v>62.955.505/0172-13</v>
      </c>
      <c r="C764" s="44" t="s">
        <v>79</v>
      </c>
      <c r="D764" t="s">
        <v>351</v>
      </c>
      <c r="E764" s="1" t="s">
        <v>352</v>
      </c>
      <c r="F764" s="56" t="str">
        <f>INDEX('Infos Clientes'!$I:$I,MATCH('Detalhe Por UC'!C764,'Infos Clientes'!B:B,0))</f>
        <v>BT</v>
      </c>
      <c r="G764" s="56" t="str">
        <f>INDEX('Infos Clientes'!$J:$J,MATCH('Detalhe Por UC'!C764,'Infos Clientes'!B:B,0))</f>
        <v>trifasico</v>
      </c>
      <c r="H764" s="47" t="str">
        <f t="shared" si="455"/>
        <v>GIROSSOL II</v>
      </c>
      <c r="I764" s="58">
        <f>IFERROR(VLOOKUP(C764,'Infos Clientes'!B:E,4,),"")</f>
        <v>371</v>
      </c>
      <c r="J764" s="151">
        <v>0.22596103298069697</v>
      </c>
      <c r="K764" s="79">
        <f>INDEX('Resumo Operacional'!$A$1:$P$151,MATCH("Desconto percentual Ucs",'Resumo Operacional'!$B$1:$B$151,0),MATCH('Detalhe Por UC'!$R764,'Resumo Operacional'!$A$1:$P$1,0))</f>
        <v>0.26495232343264008</v>
      </c>
      <c r="M764" s="56"/>
      <c r="N764" s="56"/>
      <c r="O764" s="56"/>
      <c r="P764" s="56"/>
      <c r="Q764" s="61"/>
      <c r="R764" s="111">
        <v>45870</v>
      </c>
      <c r="S764" s="152">
        <v>0</v>
      </c>
      <c r="T764" s="113">
        <f>IF($H764="GIROSSOL II",AP764/INDEX('Resumo Operacional'!$A$1:$P$1103,17,MATCH('Detalhe Por UC'!$R764,'Resumo Operacional'!$A$1:$P$1,0)),
IF($H764="GIROSSOL II e III",AP764/INDEX('Resumo Operacional'!$A$1:$P$1103,17,MATCH('Detalhe Por UC'!$R764,'Resumo Operacional'!$A$1:$P$1,0)),
""))</f>
        <v>0</v>
      </c>
      <c r="U764" s="113" t="str">
        <f>IF($H764="GIROSSOL III",AP764/INDEX('Resumo Operacional'!$A$1:$P$1103,53,MATCH('Detalhe Por UC'!$R764,'Resumo Operacional'!$A$1:$P$1,0)),
IF($H764="GIROSSOL II e III",AP764/INDEX('Resumo Operacional'!$A$1:$P$1103,53,MATCH('Detalhe Por UC'!$R764,'Resumo Operacional'!$A$1:$P$1,0)),
""))</f>
        <v/>
      </c>
      <c r="X764">
        <v>1.1801999999999999</v>
      </c>
      <c r="Z764" s="18">
        <v>0</v>
      </c>
      <c r="AB764" s="18">
        <v>100</v>
      </c>
      <c r="AD764" s="143">
        <v>0</v>
      </c>
      <c r="AF764" s="18"/>
      <c r="AH764" s="49">
        <v>9.77</v>
      </c>
      <c r="AK764" s="153">
        <v>127.79</v>
      </c>
      <c r="AL764" s="43">
        <f t="shared" si="456"/>
        <v>0</v>
      </c>
      <c r="AN764" s="71">
        <f t="shared" si="420"/>
        <v>0</v>
      </c>
      <c r="AO764" s="71">
        <f t="shared" si="421"/>
        <v>0</v>
      </c>
      <c r="AP764" s="71">
        <f t="shared" si="422"/>
        <v>0</v>
      </c>
      <c r="AQ764" s="72">
        <f>IF(OR($H764="GIROSSOL II",$H764="GIROSSOL II e III"),INDEX('Resumo Operacional'!$A$1:$P$1103,MATCH("Energia Injetada prevista total Fatura da Usina (TUSD)",'Resumo Operacional'!$B$1:$B$1103,0),MATCH('Detalhe Por UC'!$R764,'Resumo Operacional'!$A$1:$P$1,0))*$S764,INDEX('Resumo Operacional'!$A$1:$P$1103,53,MATCH('Detalhe Por UC'!$R764,'Resumo Operacional'!$A$1:$P$1,0))*$S764)</f>
        <v>0</v>
      </c>
      <c r="AR764" s="71">
        <f t="shared" si="423"/>
        <v>0</v>
      </c>
      <c r="AS764" s="73">
        <f t="shared" si="424"/>
        <v>127.78999999999999</v>
      </c>
      <c r="AT764" s="74">
        <f t="shared" si="425"/>
        <v>127.78999999999999</v>
      </c>
      <c r="AU764" s="74" t="str">
        <f t="shared" si="426"/>
        <v/>
      </c>
      <c r="AV764" s="74">
        <f t="shared" si="427"/>
        <v>0</v>
      </c>
      <c r="AW764" s="74">
        <f t="shared" si="428"/>
        <v>0</v>
      </c>
      <c r="AX764" s="74">
        <f t="shared" si="429"/>
        <v>0</v>
      </c>
      <c r="AY764" s="74" t="str">
        <f t="shared" si="430"/>
        <v/>
      </c>
      <c r="AZ764" s="117">
        <v>0</v>
      </c>
      <c r="BC764" s="73" t="str">
        <f t="shared" si="431"/>
        <v/>
      </c>
      <c r="BD764" s="73">
        <f t="shared" si="432"/>
        <v>127.78999999999999</v>
      </c>
      <c r="BE764" s="73">
        <f t="shared" si="433"/>
        <v>127.78999999999999</v>
      </c>
      <c r="BF764" s="77">
        <f t="shared" si="434"/>
        <v>0</v>
      </c>
      <c r="BG764" s="77">
        <f t="shared" si="435"/>
        <v>0</v>
      </c>
      <c r="BH764" s="77">
        <f t="shared" si="436"/>
        <v>0</v>
      </c>
      <c r="BI764" s="78" t="str">
        <f t="shared" si="437"/>
        <v/>
      </c>
      <c r="BJ764" s="79">
        <f t="shared" si="438"/>
        <v>0</v>
      </c>
      <c r="BK764" s="80" t="str">
        <f t="shared" si="439"/>
        <v/>
      </c>
      <c r="BL764" s="80" t="str">
        <f t="shared" si="440"/>
        <v/>
      </c>
      <c r="BM764" s="79" t="str">
        <f t="shared" si="441"/>
        <v/>
      </c>
      <c r="BN764" s="81" t="str">
        <f t="shared" si="442"/>
        <v/>
      </c>
      <c r="BO764" s="82" t="str">
        <f t="shared" si="443"/>
        <v/>
      </c>
      <c r="BP764" s="81" t="str">
        <f t="shared" si="444"/>
        <v/>
      </c>
      <c r="BQ764" s="81" t="str">
        <f t="shared" si="445"/>
        <v/>
      </c>
      <c r="BR764" s="81" t="str">
        <f t="shared" si="446"/>
        <v/>
      </c>
      <c r="BS764" s="82">
        <f t="shared" si="447"/>
        <v>0</v>
      </c>
      <c r="BT764" s="82" t="str">
        <f t="shared" si="448"/>
        <v/>
      </c>
      <c r="BU764" s="82">
        <f t="shared" si="449"/>
        <v>0</v>
      </c>
      <c r="BW764" s="82">
        <f>IFERROR(INDEX('Infos Clientes'!$T:$T,MATCH('Detalhe Por UC'!$C764,'Infos Clientes'!B:B,0)),"")</f>
        <v>166.66666666666666</v>
      </c>
      <c r="BX764" s="83">
        <f t="shared" si="450"/>
        <v>0</v>
      </c>
      <c r="BY764" s="84" t="str">
        <f t="shared" si="451"/>
        <v/>
      </c>
      <c r="BZ764" s="85">
        <f>IF(_xlfn.MINIFS('Detalhe Por UC'!R:R,'Detalhe Por UC'!C:C,C764,'Detalhe Por UC'!AD:AD,"&gt;"&amp;0)=0,"",_xlfn.MINIFS('Detalhe Por UC'!R:R,'Detalhe Por UC'!C:C,C764,'Detalhe Por UC'!AD:AD,"&gt;"&amp;0))</f>
        <v>45627</v>
      </c>
      <c r="CA764" s="114" t="str">
        <f ca="1">IF(OR(S764&gt;0,AD764&gt;0),IFERROR(
SUMIFS(INDIRECT("'Infos Clientes'!$W"&amp;INDEX('Infos Clientes'!$C:$C,MATCH(C764,'Infos Clientes'!$H:$H,0))&amp;":$CZ"&amp;INDEX('Infos Clientes'!$C:$C,MATCH(C764,'Infos Clientes'!$H:$H,0))),'Infos Clientes'!$W$2:$CZ$2,"&gt;"&amp;$R764-365,'Infos Clientes'!$W$2:$CZ$2,"&lt;="&amp;$R764)/
COUNTIFS(INDIRECT("'Infos Clientes'!$W"&amp;INDEX('Infos Clientes'!$C:$C,MATCH(C764,'Infos Clientes'!$H:$H,0))&amp;":$CZ"&amp;INDEX('Infos Clientes'!$C:$C,MATCH(C764,'Infos Clientes'!$H:$H,0))),"&gt;="&amp;0,'Infos Clientes'!$W$2:$CZ$2,"&gt;"&amp;$R764-365,'Infos Clientes'!$W$2:$CZ$2,"&lt;="&amp;$R764),""),"")</f>
        <v/>
      </c>
      <c r="CB764" s="87">
        <f>VLOOKUP(C764,'Infos Clientes'!B:L,11,0)</f>
        <v>0</v>
      </c>
      <c r="CC764" s="88" t="str">
        <f t="shared" si="452"/>
        <v>A Unidade Consumidora 10/237441-1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4" s="115">
        <f t="shared" si="453"/>
        <v>-127.78999999999999</v>
      </c>
    </row>
    <row r="765" spans="1:84" ht="16.2" hidden="1" customHeight="1" x14ac:dyDescent="0.3">
      <c r="A765" s="105" t="str">
        <f>INDEX('Infos Clientes'!$D:$D,MATCH('Detalhe Por UC'!C765,'Infos Clientes'!B:B,0))</f>
        <v>IGREJA DO EVANGELHO QUADRANGULAR</v>
      </c>
      <c r="B765" s="106" t="str">
        <f>INDEX('Infos Clientes'!$F:$F,MATCH('Detalhe Por UC'!C765,'Infos Clientes'!B:B,0))</f>
        <v>62.955.505/0577-89</v>
      </c>
      <c r="C765" s="44" t="s">
        <v>94</v>
      </c>
      <c r="D765" t="s">
        <v>351</v>
      </c>
      <c r="E765" s="1" t="s">
        <v>352</v>
      </c>
      <c r="F765" s="56" t="str">
        <f>INDEX('Infos Clientes'!$I:$I,MATCH('Detalhe Por UC'!C765,'Infos Clientes'!B:B,0))</f>
        <v>BT</v>
      </c>
      <c r="G765" s="56" t="str">
        <f>INDEX('Infos Clientes'!$J:$J,MATCH('Detalhe Por UC'!C765,'Infos Clientes'!B:B,0))</f>
        <v>bifasico</v>
      </c>
      <c r="H765" s="47" t="str">
        <f t="shared" si="455"/>
        <v>GIROSSOL II</v>
      </c>
      <c r="I765" s="58">
        <f>IFERROR(VLOOKUP(C765,'Infos Clientes'!B:E,4,),"")</f>
        <v>319</v>
      </c>
      <c r="J765" s="151">
        <v>0.22596103298069697</v>
      </c>
      <c r="K765" s="79">
        <f>INDEX('Resumo Operacional'!$A$1:$P$151,MATCH("Desconto percentual Ucs",'Resumo Operacional'!$B$1:$B$151,0),MATCH('Detalhe Por UC'!$R765,'Resumo Operacional'!$A$1:$P$1,0))</f>
        <v>0.26495232343264008</v>
      </c>
      <c r="M765" s="56"/>
      <c r="N765" s="56"/>
      <c r="O765" s="56"/>
      <c r="P765" s="56"/>
      <c r="Q765" s="61"/>
      <c r="R765" s="111">
        <v>45870</v>
      </c>
      <c r="S765" s="152">
        <v>0</v>
      </c>
      <c r="T765" s="113">
        <f>IF($H765="GIROSSOL II",AP765/INDEX('Resumo Operacional'!$A$1:$P$1103,17,MATCH('Detalhe Por UC'!$R765,'Resumo Operacional'!$A$1:$P$1,0)),
IF($H765="GIROSSOL II e III",AP765/INDEX('Resumo Operacional'!$A$1:$P$1103,17,MATCH('Detalhe Por UC'!$R765,'Resumo Operacional'!$A$1:$P$1,0)),
""))</f>
        <v>0.15384615384615385</v>
      </c>
      <c r="U765" s="113" t="str">
        <f>IF($H765="GIROSSOL III",AP765/INDEX('Resumo Operacional'!$A$1:$P$1103,53,MATCH('Detalhe Por UC'!$R765,'Resumo Operacional'!$A$1:$P$1,0)),
IF($H765="GIROSSOL II e III",AP765/INDEX('Resumo Operacional'!$A$1:$P$1103,53,MATCH('Detalhe Por UC'!$R765,'Resumo Operacional'!$A$1:$P$1,0)),
""))</f>
        <v/>
      </c>
      <c r="X765">
        <v>1.179579831932773</v>
      </c>
      <c r="Z765" s="18">
        <v>1.0227111111111109</v>
      </c>
      <c r="AB765" s="18">
        <v>238</v>
      </c>
      <c r="AD765" s="143">
        <v>225</v>
      </c>
      <c r="AF765" s="18">
        <v>1971</v>
      </c>
      <c r="AH765" s="49">
        <v>10.670000000000002</v>
      </c>
      <c r="AK765" s="153">
        <v>61.3</v>
      </c>
      <c r="AL765" s="43">
        <f t="shared" si="456"/>
        <v>-5.6843418860808015E-14</v>
      </c>
      <c r="AN765" s="71">
        <f t="shared" si="420"/>
        <v>833</v>
      </c>
      <c r="AO765" s="71">
        <f t="shared" si="421"/>
        <v>0</v>
      </c>
      <c r="AP765" s="71">
        <f t="shared" si="422"/>
        <v>1058</v>
      </c>
      <c r="AQ765" s="72">
        <f>IF(OR($H765="GIROSSOL II",$H765="GIROSSOL II e III"),INDEX('Resumo Operacional'!$A$1:$P$1103,MATCH("Energia Injetada prevista total Fatura da Usina (TUSD)",'Resumo Operacional'!$B$1:$B$1103,0),MATCH('Detalhe Por UC'!$R765,'Resumo Operacional'!$A$1:$P$1,0))*$S765,INDEX('Resumo Operacional'!$A$1:$P$1103,53,MATCH('Detalhe Por UC'!$R765,'Resumo Operacional'!$A$1:$P$1,0))*$S765)</f>
        <v>0</v>
      </c>
      <c r="AR765" s="71">
        <f t="shared" si="423"/>
        <v>1058</v>
      </c>
      <c r="AS765" s="73">
        <f t="shared" si="424"/>
        <v>61.300000000000054</v>
      </c>
      <c r="AT765" s="74">
        <f t="shared" si="425"/>
        <v>61.300000000000054</v>
      </c>
      <c r="AU765" s="74">
        <f t="shared" si="426"/>
        <v>0.86584239028944876</v>
      </c>
      <c r="AV765" s="74">
        <f t="shared" si="427"/>
        <v>178.11410670081182</v>
      </c>
      <c r="AW765" s="74">
        <f t="shared" si="428"/>
        <v>222.83999900000001</v>
      </c>
      <c r="AX765" s="74">
        <f t="shared" si="429"/>
        <v>452.94999899999993</v>
      </c>
      <c r="AY765" s="74">
        <f t="shared" si="430"/>
        <v>400.95</v>
      </c>
      <c r="AZ765" s="117">
        <v>178.11</v>
      </c>
      <c r="BA765" s="136">
        <v>9.9999999999999995E-8</v>
      </c>
      <c r="BC765" s="73" t="str">
        <f t="shared" si="431"/>
        <v/>
      </c>
      <c r="BD765" s="73">
        <f t="shared" si="432"/>
        <v>291.41000000000003</v>
      </c>
      <c r="BE765" s="73">
        <f t="shared" si="433"/>
        <v>239.41410670081189</v>
      </c>
      <c r="BF765" s="77">
        <f t="shared" si="434"/>
        <v>52</v>
      </c>
      <c r="BG765" s="77">
        <f t="shared" si="435"/>
        <v>15.6</v>
      </c>
      <c r="BH765" s="77">
        <f t="shared" si="436"/>
        <v>230.10999999999996</v>
      </c>
      <c r="BI765" s="78">
        <f t="shared" si="437"/>
        <v>0.11</v>
      </c>
      <c r="BJ765" s="79">
        <f t="shared" si="438"/>
        <v>0.17844274390034656</v>
      </c>
      <c r="BK765" s="80">
        <f t="shared" si="439"/>
        <v>462.25000000000006</v>
      </c>
      <c r="BL765" s="80">
        <f t="shared" si="440"/>
        <v>-170.84000000000003</v>
      </c>
      <c r="BM765" s="79">
        <f t="shared" si="441"/>
        <v>-0.58625304553721569</v>
      </c>
      <c r="BN765" s="81">
        <f t="shared" si="442"/>
        <v>1.782</v>
      </c>
      <c r="BO765" s="82">
        <f t="shared" si="443"/>
        <v>400.95</v>
      </c>
      <c r="BP765" s="81">
        <f t="shared" si="444"/>
        <v>1.782</v>
      </c>
      <c r="BQ765" s="81">
        <f t="shared" si="445"/>
        <v>1.9388687208216622</v>
      </c>
      <c r="BR765" s="81">
        <f t="shared" si="446"/>
        <v>1.179579831932773</v>
      </c>
      <c r="BS765" s="82">
        <f t="shared" si="447"/>
        <v>225</v>
      </c>
      <c r="BT765" s="82">
        <f t="shared" si="448"/>
        <v>265.40546218487395</v>
      </c>
      <c r="BU765" s="82">
        <f t="shared" si="449"/>
        <v>230.10999999999996</v>
      </c>
      <c r="BW765" s="82">
        <f>IFERROR(INDEX('Infos Clientes'!$T:$T,MATCH('Detalhe Por UC'!$C765,'Infos Clientes'!B:B,0)),"")</f>
        <v>55.25</v>
      </c>
      <c r="BX765" s="83">
        <f t="shared" si="450"/>
        <v>0</v>
      </c>
      <c r="BY765" s="84">
        <f t="shared" si="451"/>
        <v>-0.64369436330966601</v>
      </c>
      <c r="BZ765" s="85">
        <f>IF(_xlfn.MINIFS('Detalhe Por UC'!R:R,'Detalhe Por UC'!C:C,C765,'Detalhe Por UC'!AD:AD,"&gt;"&amp;0)=0,"",_xlfn.MINIFS('Detalhe Por UC'!R:R,'Detalhe Por UC'!C:C,C765,'Detalhe Por UC'!AD:AD,"&gt;"&amp;0))</f>
        <v>45689</v>
      </c>
      <c r="CA765" s="114">
        <f ca="1">IF(OR(S765&gt;0,AD765&gt;0),IFERROR(
SUMIFS(INDIRECT("'Infos Clientes'!$W"&amp;INDEX('Infos Clientes'!$C:$C,MATCH(C765,'Infos Clientes'!$H:$H,0))&amp;":$CZ"&amp;INDEX('Infos Clientes'!$C:$C,MATCH(C765,'Infos Clientes'!$H:$H,0))),'Infos Clientes'!$W$2:$CZ$2,"&gt;"&amp;$R765-365,'Infos Clientes'!$W$2:$CZ$2,"&lt;="&amp;$R765)/
COUNTIFS(INDIRECT("'Infos Clientes'!$W"&amp;INDEX('Infos Clientes'!$C:$C,MATCH(C765,'Infos Clientes'!$H:$H,0))&amp;":$CZ"&amp;INDEX('Infos Clientes'!$C:$C,MATCH(C765,'Infos Clientes'!$H:$H,0))),"&gt;="&amp;0,'Infos Clientes'!$W$2:$CZ$2,"&gt;"&amp;$R765-365,'Infos Clientes'!$W$2:$CZ$2,"&lt;="&amp;$R765),""),"")</f>
        <v>233</v>
      </c>
      <c r="CB765" s="87">
        <f>VLOOKUP(C765,'Infos Clientes'!B:L,11,0)</f>
        <v>0</v>
      </c>
      <c r="CC765" s="88" t="str">
        <f t="shared" si="452"/>
        <v>A Unidade Consumidora 10/3005226-0 economizou R$52 na fatura referente à ago/2025  consumindo 225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5" s="115">
        <f t="shared" si="453"/>
        <v>-61.300000000000054</v>
      </c>
    </row>
    <row r="766" spans="1:84" ht="16.2" hidden="1" customHeight="1" x14ac:dyDescent="0.3">
      <c r="A766" s="105" t="str">
        <f>INDEX('Infos Clientes'!$D:$D,MATCH('Detalhe Por UC'!C766,'Infos Clientes'!B:B,0))</f>
        <v>IGREJA DO EVANGELHO QUADRANGULAR</v>
      </c>
      <c r="B766" s="106" t="str">
        <f>INDEX('Infos Clientes'!$F:$F,MATCH('Detalhe Por UC'!C766,'Infos Clientes'!B:B,0))</f>
        <v>62.955.505/0001-67</v>
      </c>
      <c r="C766" s="44" t="s">
        <v>103</v>
      </c>
      <c r="D766" t="s">
        <v>351</v>
      </c>
      <c r="E766" s="1" t="s">
        <v>352</v>
      </c>
      <c r="F766" s="56" t="str">
        <f>INDEX('Infos Clientes'!$I:$I,MATCH('Detalhe Por UC'!C766,'Infos Clientes'!B:B,0))</f>
        <v>BT</v>
      </c>
      <c r="G766" s="56" t="str">
        <f>INDEX('Infos Clientes'!$J:$J,MATCH('Detalhe Por UC'!C766,'Infos Clientes'!B:B,0))</f>
        <v>monofasico</v>
      </c>
      <c r="H766" s="47" t="str">
        <f t="shared" si="455"/>
        <v>GIROSSOL II</v>
      </c>
      <c r="I766" s="58">
        <f>IFERROR(VLOOKUP(C766,'Infos Clientes'!B:E,4,),"")</f>
        <v>306</v>
      </c>
      <c r="J766" s="151">
        <v>0.22596103298069697</v>
      </c>
      <c r="K766" s="79">
        <f>INDEX('Resumo Operacional'!$A$1:$P$151,MATCH("Desconto percentual Ucs",'Resumo Operacional'!$B$1:$B$151,0),MATCH('Detalhe Por UC'!$R766,'Resumo Operacional'!$A$1:$P$1,0))</f>
        <v>0.26495232343264008</v>
      </c>
      <c r="M766" s="56"/>
      <c r="N766" s="56"/>
      <c r="O766" s="56"/>
      <c r="P766" s="56"/>
      <c r="Q766" s="61"/>
      <c r="R766" s="111">
        <v>45870</v>
      </c>
      <c r="S766" s="152">
        <v>0</v>
      </c>
      <c r="T766" s="113">
        <f>IF($H766="GIROSSOL II",AP766/INDEX('Resumo Operacional'!$A$1:$P$1103,17,MATCH('Detalhe Por UC'!$R766,'Resumo Operacional'!$A$1:$P$1,0)),
IF($H766="GIROSSOL II e III",AP766/INDEX('Resumo Operacional'!$A$1:$P$1103,17,MATCH('Detalhe Por UC'!$R766,'Resumo Operacional'!$A$1:$P$1,0)),
""))</f>
        <v>1.6431583539334011E-2</v>
      </c>
      <c r="U766" s="113" t="str">
        <f>IF($H766="GIROSSOL III",AP766/INDEX('Resumo Operacional'!$A$1:$P$1103,53,MATCH('Detalhe Por UC'!$R766,'Resumo Operacional'!$A$1:$P$1,0)),
IF($H766="GIROSSOL II e III",AP766/INDEX('Resumo Operacional'!$A$1:$P$1103,53,MATCH('Detalhe Por UC'!$R766,'Resumo Operacional'!$A$1:$P$1,0)),
""))</f>
        <v/>
      </c>
      <c r="X766">
        <v>1.1691240409207162</v>
      </c>
      <c r="Z766" s="18">
        <v>1.1093882262408621</v>
      </c>
      <c r="AB766" s="18">
        <v>136</v>
      </c>
      <c r="AD766" s="143">
        <v>113</v>
      </c>
      <c r="AF766" s="18"/>
      <c r="AH766" s="49">
        <v>0</v>
      </c>
      <c r="AK766" s="153">
        <v>33.64</v>
      </c>
      <c r="AL766" s="43">
        <f t="shared" si="456"/>
        <v>0</v>
      </c>
      <c r="AN766" s="71">
        <f t="shared" si="420"/>
        <v>0</v>
      </c>
      <c r="AO766" s="71">
        <f t="shared" si="421"/>
        <v>0</v>
      </c>
      <c r="AP766" s="71">
        <f t="shared" si="422"/>
        <v>113</v>
      </c>
      <c r="AQ766" s="72">
        <f>IF(OR($H766="GIROSSOL II",$H766="GIROSSOL II e III"),INDEX('Resumo Operacional'!$A$1:$P$1103,MATCH("Energia Injetada prevista total Fatura da Usina (TUSD)",'Resumo Operacional'!$B$1:$B$1103,0),MATCH('Detalhe Por UC'!$R766,'Resumo Operacional'!$A$1:$P$1,0))*$S766,INDEX('Resumo Operacional'!$A$1:$P$1103,53,MATCH('Detalhe Por UC'!$R766,'Resumo Operacional'!$A$1:$P$1,0))*$S766)</f>
        <v>0</v>
      </c>
      <c r="AR766" s="71">
        <f t="shared" si="423"/>
        <v>113</v>
      </c>
      <c r="AS766" s="73">
        <f t="shared" si="424"/>
        <v>33.64</v>
      </c>
      <c r="AT766" s="74">
        <f t="shared" si="425"/>
        <v>33.64</v>
      </c>
      <c r="AU766" s="74">
        <f t="shared" si="426"/>
        <v>1.049652411561008</v>
      </c>
      <c r="AV766" s="74">
        <f t="shared" si="427"/>
        <v>97.034197982902484</v>
      </c>
      <c r="AW766" s="74">
        <f t="shared" si="428"/>
        <v>0</v>
      </c>
      <c r="AX766" s="74">
        <f t="shared" si="429"/>
        <v>125.36086956521741</v>
      </c>
      <c r="AY766" s="74">
        <f t="shared" si="430"/>
        <v>97.03</v>
      </c>
      <c r="AZ766" s="117">
        <v>97.03</v>
      </c>
      <c r="BA766" s="49">
        <v>97.03</v>
      </c>
      <c r="BB766" s="49">
        <v>97.03</v>
      </c>
      <c r="BC766" s="73" t="str">
        <f t="shared" si="431"/>
        <v/>
      </c>
      <c r="BD766" s="73">
        <f t="shared" si="432"/>
        <v>159.00086956521741</v>
      </c>
      <c r="BE766" s="73">
        <f t="shared" si="433"/>
        <v>130.67419798290248</v>
      </c>
      <c r="BF766" s="77">
        <f t="shared" si="434"/>
        <v>28.33</v>
      </c>
      <c r="BG766" s="77">
        <f t="shared" si="435"/>
        <v>8.4989999999999988</v>
      </c>
      <c r="BH766" s="77">
        <f t="shared" si="436"/>
        <v>125.36086956521741</v>
      </c>
      <c r="BI766" s="78">
        <f t="shared" si="437"/>
        <v>0.23</v>
      </c>
      <c r="BJ766" s="79">
        <f t="shared" si="438"/>
        <v>0.1781751261956456</v>
      </c>
      <c r="BK766" s="80">
        <f t="shared" si="439"/>
        <v>130.67000000000002</v>
      </c>
      <c r="BL766" s="80">
        <f t="shared" si="440"/>
        <v>28.330869565217398</v>
      </c>
      <c r="BM766" s="79">
        <f t="shared" si="441"/>
        <v>0.17818059512936765</v>
      </c>
      <c r="BN766" s="81">
        <f t="shared" si="442"/>
        <v>0.85867256637168143</v>
      </c>
      <c r="BO766" s="82">
        <f t="shared" si="443"/>
        <v>97.03</v>
      </c>
      <c r="BP766" s="81">
        <f t="shared" si="444"/>
        <v>0.85867256637168143</v>
      </c>
      <c r="BQ766" s="81">
        <f t="shared" si="445"/>
        <v>0.91840838105153555</v>
      </c>
      <c r="BR766" s="81">
        <f t="shared" si="446"/>
        <v>1.1691240409207162</v>
      </c>
      <c r="BS766" s="82">
        <f t="shared" si="447"/>
        <v>113</v>
      </c>
      <c r="BT766" s="82">
        <f t="shared" si="448"/>
        <v>132.11101662404093</v>
      </c>
      <c r="BU766" s="82">
        <f t="shared" si="449"/>
        <v>125.36086956521741</v>
      </c>
      <c r="BW766" s="82">
        <f>IFERROR(INDEX('Infos Clientes'!$T:$T,MATCH('Detalhe Por UC'!$C766,'Infos Clientes'!B:B,0)),"")</f>
        <v>144</v>
      </c>
      <c r="BX766" s="83">
        <f t="shared" si="450"/>
        <v>0</v>
      </c>
      <c r="BY766" s="84">
        <f t="shared" si="451"/>
        <v>0.21444744192561074</v>
      </c>
      <c r="BZ766" s="85">
        <f>IF(_xlfn.MINIFS('Detalhe Por UC'!R:R,'Detalhe Por UC'!C:C,C766,'Detalhe Por UC'!AD:AD,"&gt;"&amp;0)=0,"",_xlfn.MINIFS('Detalhe Por UC'!R:R,'Detalhe Por UC'!C:C,C766,'Detalhe Por UC'!AD:AD,"&gt;"&amp;0))</f>
        <v>45627</v>
      </c>
      <c r="CA766" s="114">
        <f ca="1">IF(OR(S766&gt;0,AD766&gt;0),IFERROR(
SUMIFS(INDIRECT("'Infos Clientes'!$W"&amp;INDEX('Infos Clientes'!$C:$C,MATCH(C766,'Infos Clientes'!$H:$H,0))&amp;":$CZ"&amp;INDEX('Infos Clientes'!$C:$C,MATCH(C766,'Infos Clientes'!$H:$H,0))),'Infos Clientes'!$W$2:$CZ$2,"&gt;"&amp;$R766-365,'Infos Clientes'!$W$2:$CZ$2,"&lt;="&amp;$R766)/
COUNTIFS(INDIRECT("'Infos Clientes'!$W"&amp;INDEX('Infos Clientes'!$C:$C,MATCH(C766,'Infos Clientes'!$H:$H,0))&amp;":$CZ"&amp;INDEX('Infos Clientes'!$C:$C,MATCH(C766,'Infos Clientes'!$H:$H,0))),"&gt;="&amp;0,'Infos Clientes'!$W$2:$CZ$2,"&gt;"&amp;$R766-365,'Infos Clientes'!$W$2:$CZ$2,"&lt;="&amp;$R766),""),"")</f>
        <v>119</v>
      </c>
      <c r="CB766" s="87">
        <f>VLOOKUP(C766,'Infos Clientes'!B:L,11,0)</f>
        <v>0</v>
      </c>
      <c r="CC766" s="88" t="str">
        <f t="shared" si="452"/>
        <v>A Unidade Consumidora 10/384823-1 economizou R$28,33 na fatura referente à ago/2025  consumindo 113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6" s="115">
        <f t="shared" si="453"/>
        <v>-33.64</v>
      </c>
    </row>
    <row r="767" spans="1:84" ht="16.2" hidden="1" customHeight="1" x14ac:dyDescent="0.3">
      <c r="A767" s="105" t="str">
        <f>INDEX('Infos Clientes'!$D:$D,MATCH('Detalhe Por UC'!C767,'Infos Clientes'!B:B,0))</f>
        <v>IGREJA DO EVANGELHO QUADRANGULAR</v>
      </c>
      <c r="B767" s="106" t="str">
        <f>INDEX('Infos Clientes'!$F:$F,MATCH('Detalhe Por UC'!C767,'Infos Clientes'!B:B,0))</f>
        <v>62.955.505/2730-58</v>
      </c>
      <c r="C767" s="44" t="s">
        <v>108</v>
      </c>
      <c r="D767" t="s">
        <v>351</v>
      </c>
      <c r="E767" s="1" t="s">
        <v>352</v>
      </c>
      <c r="F767" s="56" t="str">
        <f>INDEX('Infos Clientes'!$I:$I,MATCH('Detalhe Por UC'!C767,'Infos Clientes'!B:B,0))</f>
        <v>BT</v>
      </c>
      <c r="G767" s="56" t="str">
        <f>INDEX('Infos Clientes'!$J:$J,MATCH('Detalhe Por UC'!C767,'Infos Clientes'!B:B,0))</f>
        <v>trifasico</v>
      </c>
      <c r="H767" s="47" t="str">
        <f t="shared" si="455"/>
        <v>GIROSSOL II</v>
      </c>
      <c r="I767" s="58">
        <f>IFERROR(VLOOKUP(C767,'Infos Clientes'!B:E,4,),"")</f>
        <v>306</v>
      </c>
      <c r="J767" s="151">
        <v>0.22596103298069697</v>
      </c>
      <c r="K767" s="79">
        <f>INDEX('Resumo Operacional'!$A$1:$P$151,MATCH("Desconto percentual Ucs",'Resumo Operacional'!$B$1:$B$151,0),MATCH('Detalhe Por UC'!$R767,'Resumo Operacional'!$A$1:$P$1,0))</f>
        <v>0.26495232343264008</v>
      </c>
      <c r="M767" s="56"/>
      <c r="N767" s="56"/>
      <c r="O767" s="56"/>
      <c r="P767" s="56"/>
      <c r="Q767" s="61"/>
      <c r="R767" s="111">
        <v>45870</v>
      </c>
      <c r="S767" s="152">
        <v>0</v>
      </c>
      <c r="T767" s="113">
        <f>IF($H767="GIROSSOL II",AP767/INDEX('Resumo Operacional'!$A$1:$P$1103,17,MATCH('Detalhe Por UC'!$R767,'Resumo Operacional'!$A$1:$P$1,0)),
IF($H767="GIROSSOL II e III",AP767/INDEX('Resumo Operacional'!$A$1:$P$1103,17,MATCH('Detalhe Por UC'!$R767,'Resumo Operacional'!$A$1:$P$1,0)),
""))</f>
        <v>1.2360040715428238E-2</v>
      </c>
      <c r="U767" s="113" t="str">
        <f>IF($H767="GIROSSOL III",AP767/INDEX('Resumo Operacional'!$A$1:$P$1103,53,MATCH('Detalhe Por UC'!$R767,'Resumo Operacional'!$A$1:$P$1,0)),
IF($H767="GIROSSOL II e III",AP767/INDEX('Resumo Operacional'!$A$1:$P$1103,53,MATCH('Detalhe Por UC'!$R767,'Resumo Operacional'!$A$1:$P$1,0)),
""))</f>
        <v/>
      </c>
      <c r="X767">
        <v>1.1655555555555555</v>
      </c>
      <c r="Z767" s="18">
        <v>1.1027058823529412</v>
      </c>
      <c r="AB767" s="18">
        <v>180</v>
      </c>
      <c r="AD767" s="143">
        <v>85</v>
      </c>
      <c r="AF767" s="18"/>
      <c r="AH767" s="49">
        <v>0</v>
      </c>
      <c r="AK767" s="153">
        <v>116.07</v>
      </c>
      <c r="AL767" s="43">
        <f t="shared" si="456"/>
        <v>0</v>
      </c>
      <c r="AN767" s="71">
        <f t="shared" si="420"/>
        <v>0</v>
      </c>
      <c r="AO767" s="71">
        <f t="shared" si="421"/>
        <v>0</v>
      </c>
      <c r="AP767" s="71">
        <f t="shared" si="422"/>
        <v>85</v>
      </c>
      <c r="AQ767" s="72">
        <f>IF(OR($H767="GIROSSOL II",$H767="GIROSSOL II e III"),INDEX('Resumo Operacional'!$A$1:$P$1103,MATCH("Energia Injetada prevista total Fatura da Usina (TUSD)",'Resumo Operacional'!$B$1:$B$1103,0),MATCH('Detalhe Por UC'!$R767,'Resumo Operacional'!$A$1:$P$1,0))*$S767,INDEX('Resumo Operacional'!$A$1:$P$1103,53,MATCH('Detalhe Por UC'!$R767,'Resumo Operacional'!$A$1:$P$1,0))*$S767)</f>
        <v>0</v>
      </c>
      <c r="AR767" s="71">
        <f t="shared" si="423"/>
        <v>85</v>
      </c>
      <c r="AS767" s="73">
        <f t="shared" si="424"/>
        <v>116.06999999999998</v>
      </c>
      <c r="AT767" s="74">
        <f t="shared" si="425"/>
        <v>116.06999999999998</v>
      </c>
      <c r="AU767" s="74">
        <f t="shared" si="426"/>
        <v>1.0398562091503269</v>
      </c>
      <c r="AV767" s="74">
        <f t="shared" si="427"/>
        <v>72.55067237871927</v>
      </c>
      <c r="AW767" s="74">
        <f t="shared" si="428"/>
        <v>0</v>
      </c>
      <c r="AX767" s="74">
        <f t="shared" si="429"/>
        <v>93.73</v>
      </c>
      <c r="AY767" s="74">
        <f t="shared" si="430"/>
        <v>72.55</v>
      </c>
      <c r="AZ767" s="117">
        <v>72.55</v>
      </c>
      <c r="BA767" s="49">
        <v>72.55</v>
      </c>
      <c r="BB767" s="49">
        <v>72.55</v>
      </c>
      <c r="BC767" s="73" t="str">
        <f t="shared" si="431"/>
        <v/>
      </c>
      <c r="BD767" s="73">
        <f t="shared" si="432"/>
        <v>209.79999999999998</v>
      </c>
      <c r="BE767" s="73">
        <f t="shared" si="433"/>
        <v>188.62067237871923</v>
      </c>
      <c r="BF767" s="77">
        <f t="shared" si="434"/>
        <v>21.18</v>
      </c>
      <c r="BG767" s="77">
        <f t="shared" si="435"/>
        <v>6.3540000000000001</v>
      </c>
      <c r="BH767" s="77">
        <f t="shared" si="436"/>
        <v>93.72999999999999</v>
      </c>
      <c r="BI767" s="78">
        <f t="shared" si="437"/>
        <v>0.23</v>
      </c>
      <c r="BJ767" s="79">
        <f t="shared" si="438"/>
        <v>0.10095328884652051</v>
      </c>
      <c r="BK767" s="80">
        <f t="shared" si="439"/>
        <v>188.61999999999998</v>
      </c>
      <c r="BL767" s="80">
        <f t="shared" si="440"/>
        <v>21.180000000000007</v>
      </c>
      <c r="BM767" s="79">
        <f t="shared" si="441"/>
        <v>0.10095328884652054</v>
      </c>
      <c r="BN767" s="81">
        <f t="shared" si="442"/>
        <v>0.85352941176470587</v>
      </c>
      <c r="BO767" s="82">
        <f t="shared" si="443"/>
        <v>72.55</v>
      </c>
      <c r="BP767" s="81">
        <f t="shared" si="444"/>
        <v>0.85352941176470587</v>
      </c>
      <c r="BQ767" s="81">
        <f t="shared" si="445"/>
        <v>0.91637908496732012</v>
      </c>
      <c r="BR767" s="81">
        <f t="shared" si="446"/>
        <v>1.1655555555555555</v>
      </c>
      <c r="BS767" s="82">
        <f t="shared" si="447"/>
        <v>85</v>
      </c>
      <c r="BT767" s="82">
        <f t="shared" si="448"/>
        <v>99.072222222222209</v>
      </c>
      <c r="BU767" s="82">
        <f t="shared" si="449"/>
        <v>93.73</v>
      </c>
      <c r="BW767" s="82">
        <f>IFERROR(INDEX('Infos Clientes'!$T:$T,MATCH('Detalhe Por UC'!$C767,'Infos Clientes'!B:B,0)),"")</f>
        <v>187.5</v>
      </c>
      <c r="BX767" s="83">
        <f t="shared" si="450"/>
        <v>0</v>
      </c>
      <c r="BY767" s="84">
        <f t="shared" si="451"/>
        <v>0.21378343520439638</v>
      </c>
      <c r="BZ767" s="85">
        <f>IF(_xlfn.MINIFS('Detalhe Por UC'!R:R,'Detalhe Por UC'!C:C,C767,'Detalhe Por UC'!AD:AD,"&gt;"&amp;0)=0,"",_xlfn.MINIFS('Detalhe Por UC'!R:R,'Detalhe Por UC'!C:C,C767,'Detalhe Por UC'!AD:AD,"&gt;"&amp;0))</f>
        <v>45627</v>
      </c>
      <c r="CA767" s="114">
        <f ca="1">IF(OR(S767&gt;0,AD767&gt;0),IFERROR(
SUMIFS(INDIRECT("'Infos Clientes'!$W"&amp;INDEX('Infos Clientes'!$C:$C,MATCH(C767,'Infos Clientes'!$H:$H,0))&amp;":$CZ"&amp;INDEX('Infos Clientes'!$C:$C,MATCH(C767,'Infos Clientes'!$H:$H,0))),'Infos Clientes'!$W$2:$CZ$2,"&gt;"&amp;$R767-365,'Infos Clientes'!$W$2:$CZ$2,"&lt;="&amp;$R767)/
COUNTIFS(INDIRECT("'Infos Clientes'!$W"&amp;INDEX('Infos Clientes'!$C:$C,MATCH(C767,'Infos Clientes'!$H:$H,0))&amp;":$CZ"&amp;INDEX('Infos Clientes'!$C:$C,MATCH(C767,'Infos Clientes'!$H:$H,0))),"&gt;="&amp;0,'Infos Clientes'!$W$2:$CZ$2,"&gt;"&amp;$R767-365,'Infos Clientes'!$W$2:$CZ$2,"&lt;="&amp;$R767),""),"")</f>
        <v>192.5</v>
      </c>
      <c r="CB767" s="87">
        <f>VLOOKUP(C767,'Infos Clientes'!B:L,11,0)</f>
        <v>0</v>
      </c>
      <c r="CC767" s="88" t="str">
        <f t="shared" si="452"/>
        <v>A Unidade Consumidora 10/501586-2 economizou R$21,18 na fatura referente à ago/2025  consumindo 85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7" s="115">
        <f t="shared" si="453"/>
        <v>-116.06999999999998</v>
      </c>
    </row>
    <row r="768" spans="1:84" ht="16.2" hidden="1" customHeight="1" x14ac:dyDescent="0.3">
      <c r="A768" s="105" t="str">
        <f>INDEX('Infos Clientes'!$D:$D,MATCH('Detalhe Por UC'!C768,'Infos Clientes'!B:B,0))</f>
        <v>IGREJA DO EVANGELHO QUADRANGULAR</v>
      </c>
      <c r="B768" s="106" t="str">
        <f>INDEX('Infos Clientes'!$F:$F,MATCH('Detalhe Por UC'!C768,'Infos Clientes'!B:B,0))</f>
        <v>62.955.505/3593-60</v>
      </c>
      <c r="C768" s="44" t="s">
        <v>123</v>
      </c>
      <c r="D768" t="s">
        <v>351</v>
      </c>
      <c r="E768" s="1" t="s">
        <v>352</v>
      </c>
      <c r="F768" s="56" t="str">
        <f>INDEX('Infos Clientes'!$I:$I,MATCH('Detalhe Por UC'!C768,'Infos Clientes'!B:B,0))</f>
        <v>BT</v>
      </c>
      <c r="G768" s="56" t="str">
        <f>INDEX('Infos Clientes'!$J:$J,MATCH('Detalhe Por UC'!C768,'Infos Clientes'!B:B,0))</f>
        <v>trifasico</v>
      </c>
      <c r="H768" s="47" t="str">
        <f t="shared" si="455"/>
        <v>GIROSSOL II</v>
      </c>
      <c r="I768" s="58">
        <f>IFERROR(VLOOKUP(C768,'Infos Clientes'!B:E,4,),"")</f>
        <v>351</v>
      </c>
      <c r="J768" s="151">
        <v>0.22596103298069697</v>
      </c>
      <c r="K768" s="79">
        <f>INDEX('Resumo Operacional'!$A$1:$P$151,MATCH("Desconto percentual Ucs",'Resumo Operacional'!$B$1:$B$151,0),MATCH('Detalhe Por UC'!$R768,'Resumo Operacional'!$A$1:$P$1,0))</f>
        <v>0.26495232343264008</v>
      </c>
      <c r="M768" s="56"/>
      <c r="N768" s="56"/>
      <c r="O768" s="56"/>
      <c r="P768" s="56"/>
      <c r="Q768" s="61"/>
      <c r="R768" s="111">
        <v>45870</v>
      </c>
      <c r="S768" s="152">
        <v>0</v>
      </c>
      <c r="T768" s="113">
        <f>IF($H768="GIROSSOL II",AP768/INDEX('Resumo Operacional'!$A$1:$P$1103,17,MATCH('Detalhe Por UC'!$R768,'Resumo Operacional'!$A$1:$P$1,0)),
IF($H768="GIROSSOL II e III",AP768/INDEX('Resumo Operacional'!$A$1:$P$1103,17,MATCH('Detalhe Por UC'!$R768,'Resumo Operacional'!$A$1:$P$1,0)),
""))</f>
        <v>0.13188890504580486</v>
      </c>
      <c r="U768" s="113" t="str">
        <f>IF($H768="GIROSSOL III",AP768/INDEX('Resumo Operacional'!$A$1:$P$1103,53,MATCH('Detalhe Por UC'!$R768,'Resumo Operacional'!$A$1:$P$1,0)),
IF($H768="GIROSSOL II e III",AP768/INDEX('Resumo Operacional'!$A$1:$P$1103,53,MATCH('Detalhe Por UC'!$R768,'Resumo Operacional'!$A$1:$P$1,0)),
""))</f>
        <v/>
      </c>
      <c r="X768">
        <v>1.1883464113135611</v>
      </c>
      <c r="Z768" s="18">
        <v>1.0786400046436035</v>
      </c>
      <c r="AB768" s="18">
        <v>309</v>
      </c>
      <c r="AD768" s="143">
        <v>236</v>
      </c>
      <c r="AF768" s="18">
        <v>671</v>
      </c>
      <c r="AH768" s="49">
        <v>71.350000000000009</v>
      </c>
      <c r="AK768" s="153">
        <v>183.99</v>
      </c>
      <c r="AL768" s="43">
        <f t="shared" si="456"/>
        <v>0</v>
      </c>
      <c r="AN768" s="71">
        <f t="shared" si="420"/>
        <v>671</v>
      </c>
      <c r="AO768" s="71">
        <f t="shared" si="421"/>
        <v>0</v>
      </c>
      <c r="AP768" s="71">
        <f t="shared" si="422"/>
        <v>907</v>
      </c>
      <c r="AQ768" s="72">
        <f>IF(OR($H768="GIROSSOL II",$H768="GIROSSOL II e III"),INDEX('Resumo Operacional'!$A$1:$P$1103,MATCH("Energia Injetada prevista total Fatura da Usina (TUSD)",'Resumo Operacional'!$B$1:$B$1103,0),MATCH('Detalhe Por UC'!$R768,'Resumo Operacional'!$A$1:$P$1,0))*$S768,INDEX('Resumo Operacional'!$A$1:$P$1103,53,MATCH('Detalhe Por UC'!$R768,'Resumo Operacional'!$A$1:$P$1,0))*$S768)</f>
        <v>0</v>
      </c>
      <c r="AR768" s="71">
        <f t="shared" si="423"/>
        <v>907</v>
      </c>
      <c r="AS768" s="73">
        <f t="shared" si="424"/>
        <v>183.98999999999995</v>
      </c>
      <c r="AT768" s="74">
        <f t="shared" si="425"/>
        <v>183.98999999999995</v>
      </c>
      <c r="AU768" s="74">
        <f t="shared" si="426"/>
        <v>0.96893359797364598</v>
      </c>
      <c r="AV768" s="74">
        <f t="shared" si="427"/>
        <v>197.03861721528736</v>
      </c>
      <c r="AW768" s="74">
        <f t="shared" si="428"/>
        <v>0</v>
      </c>
      <c r="AX768" s="74">
        <f t="shared" si="429"/>
        <v>254.55904109589045</v>
      </c>
      <c r="AY768" s="74">
        <f t="shared" si="430"/>
        <v>197.04</v>
      </c>
      <c r="AZ768" s="117">
        <v>197.04</v>
      </c>
      <c r="BA768" s="49">
        <v>197.04</v>
      </c>
      <c r="BB768" s="49">
        <v>197.04</v>
      </c>
      <c r="BC768" s="73" t="str">
        <f t="shared" si="431"/>
        <v/>
      </c>
      <c r="BD768" s="73">
        <f t="shared" si="432"/>
        <v>438.5490410958904</v>
      </c>
      <c r="BE768" s="73">
        <f t="shared" si="433"/>
        <v>381.02861721528734</v>
      </c>
      <c r="BF768" s="77">
        <f t="shared" si="434"/>
        <v>57.52</v>
      </c>
      <c r="BG768" s="77">
        <f t="shared" si="435"/>
        <v>17.256</v>
      </c>
      <c r="BH768" s="77">
        <f t="shared" si="436"/>
        <v>254.55904109589045</v>
      </c>
      <c r="BI768" s="78">
        <f t="shared" si="437"/>
        <v>0.23</v>
      </c>
      <c r="BJ768" s="79">
        <f t="shared" si="438"/>
        <v>0.13115978969253531</v>
      </c>
      <c r="BK768" s="80">
        <f t="shared" si="439"/>
        <v>381.03</v>
      </c>
      <c r="BL768" s="80">
        <f t="shared" si="440"/>
        <v>57.519041095890429</v>
      </c>
      <c r="BM768" s="79">
        <f t="shared" si="441"/>
        <v>0.13115760315461203</v>
      </c>
      <c r="BN768" s="81">
        <f t="shared" si="442"/>
        <v>0.83491525423728807</v>
      </c>
      <c r="BO768" s="82">
        <f t="shared" si="443"/>
        <v>197.04</v>
      </c>
      <c r="BP768" s="81">
        <f t="shared" si="444"/>
        <v>0.83491525423728807</v>
      </c>
      <c r="BQ768" s="81">
        <f t="shared" si="445"/>
        <v>0.94462166090724564</v>
      </c>
      <c r="BR768" s="81">
        <f t="shared" si="446"/>
        <v>1.1883464113135611</v>
      </c>
      <c r="BS768" s="82">
        <f t="shared" si="447"/>
        <v>236</v>
      </c>
      <c r="BT768" s="82">
        <f t="shared" si="448"/>
        <v>280.44975307000044</v>
      </c>
      <c r="BU768" s="82">
        <f t="shared" si="449"/>
        <v>254.55904109589045</v>
      </c>
      <c r="BW768" s="82">
        <f>IFERROR(INDEX('Infos Clientes'!$T:$T,MATCH('Detalhe Por UC'!$C768,'Infos Clientes'!B:B,0)),"")</f>
        <v>409.33333333333331</v>
      </c>
      <c r="BX768" s="83">
        <f t="shared" si="450"/>
        <v>0</v>
      </c>
      <c r="BY768" s="84">
        <f t="shared" si="451"/>
        <v>0.20509570953886225</v>
      </c>
      <c r="BZ768" s="85">
        <f>IF(_xlfn.MINIFS('Detalhe Por UC'!R:R,'Detalhe Por UC'!C:C,C768,'Detalhe Por UC'!AD:AD,"&gt;"&amp;0)=0,"",_xlfn.MINIFS('Detalhe Por UC'!R:R,'Detalhe Por UC'!C:C,C768,'Detalhe Por UC'!AD:AD,"&gt;"&amp;0))</f>
        <v>45627</v>
      </c>
      <c r="CA768" s="114">
        <f ca="1">IF(OR(S768&gt;0,AD768&gt;0),IFERROR(
SUMIFS(INDIRECT("'Infos Clientes'!$W"&amp;INDEX('Infos Clientes'!$C:$C,MATCH(C768,'Infos Clientes'!$H:$H,0))&amp;":$CZ"&amp;INDEX('Infos Clientes'!$C:$C,MATCH(C768,'Infos Clientes'!$H:$H,0))),'Infos Clientes'!$W$2:$CZ$2,"&gt;"&amp;$R768-365,'Infos Clientes'!$W$2:$CZ$2,"&lt;="&amp;$R768)/
COUNTIFS(INDIRECT("'Infos Clientes'!$W"&amp;INDEX('Infos Clientes'!$C:$C,MATCH(C768,'Infos Clientes'!$H:$H,0))&amp;":$CZ"&amp;INDEX('Infos Clientes'!$C:$C,MATCH(C768,'Infos Clientes'!$H:$H,0))),"&gt;="&amp;0,'Infos Clientes'!$W$2:$CZ$2,"&gt;"&amp;$R768-365,'Infos Clientes'!$W$2:$CZ$2,"&lt;="&amp;$R768),""),"")</f>
        <v>395</v>
      </c>
      <c r="CB768" s="87">
        <f>VLOOKUP(C768,'Infos Clientes'!B:L,11,0)</f>
        <v>0</v>
      </c>
      <c r="CC768" s="88" t="str">
        <f t="shared" si="452"/>
        <v>A Unidade Consumidora 10/532723-4 economizou R$57,52 na fatura referente à ago/2025  consumindo 236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8" s="115">
        <f t="shared" si="453"/>
        <v>-183.98999999999995</v>
      </c>
    </row>
    <row r="769" spans="1:84" ht="16.2" hidden="1" customHeight="1" x14ac:dyDescent="0.3">
      <c r="A769" s="105" t="str">
        <f>INDEX('Infos Clientes'!$D:$D,MATCH('Detalhe Por UC'!C769,'Infos Clientes'!B:B,0))</f>
        <v>IGREJA DO EVANGELHO QUADRANGULAR</v>
      </c>
      <c r="B769" s="106" t="str">
        <f>INDEX('Infos Clientes'!$F:$F,MATCH('Detalhe Por UC'!C769,'Infos Clientes'!B:B,0))</f>
        <v>62.955.505/0155-12</v>
      </c>
      <c r="C769" s="44" t="s">
        <v>129</v>
      </c>
      <c r="D769" t="s">
        <v>351</v>
      </c>
      <c r="E769" s="1" t="s">
        <v>352</v>
      </c>
      <c r="F769" s="56" t="str">
        <f>INDEX('Infos Clientes'!$I:$I,MATCH('Detalhe Por UC'!C769,'Infos Clientes'!B:B,0))</f>
        <v>BT</v>
      </c>
      <c r="G769" s="56" t="str">
        <f>INDEX('Infos Clientes'!$J:$J,MATCH('Detalhe Por UC'!C769,'Infos Clientes'!B:B,0))</f>
        <v>trifasico</v>
      </c>
      <c r="H769" s="47" t="str">
        <f t="shared" si="455"/>
        <v>GIROSSOL II</v>
      </c>
      <c r="I769" s="58">
        <f>IFERROR(VLOOKUP(C769,'Infos Clientes'!B:E,4,),"")</f>
        <v>358</v>
      </c>
      <c r="J769" s="151">
        <v>0.22596103298069697</v>
      </c>
      <c r="K769" s="79">
        <f>INDEX('Resumo Operacional'!$A$1:$P$151,MATCH("Desconto percentual Ucs",'Resumo Operacional'!$B$1:$B$151,0),MATCH('Detalhe Por UC'!$R769,'Resumo Operacional'!$A$1:$P$1,0))</f>
        <v>0.26495232343264008</v>
      </c>
      <c r="M769" s="56"/>
      <c r="N769" s="56"/>
      <c r="O769" s="56"/>
      <c r="P769" s="56"/>
      <c r="Q769" s="61"/>
      <c r="R769" s="111">
        <v>45870</v>
      </c>
      <c r="S769" s="152">
        <v>0</v>
      </c>
      <c r="T769" s="113">
        <f>IF($H769="GIROSSOL II",AP769/INDEX('Resumo Operacional'!$A$1:$P$1103,17,MATCH('Detalhe Por UC'!$R769,'Resumo Operacional'!$A$1:$P$1,0)),
IF($H769="GIROSSOL II e III",AP769/INDEX('Resumo Operacional'!$A$1:$P$1103,17,MATCH('Detalhe Por UC'!$R769,'Resumo Operacional'!$A$1:$P$1,0)),
""))</f>
        <v>1.6286171295623091E-2</v>
      </c>
      <c r="U769" s="113" t="str">
        <f>IF($H769="GIROSSOL III",AP769/INDEX('Resumo Operacional'!$A$1:$P$1103,53,MATCH('Detalhe Por UC'!$R769,'Resumo Operacional'!$A$1:$P$1,0)),
IF($H769="GIROSSOL II e III",AP769/INDEX('Resumo Operacional'!$A$1:$P$1103,53,MATCH('Detalhe Por UC'!$R769,'Resumo Operacional'!$A$1:$P$1,0)),
""))</f>
        <v/>
      </c>
      <c r="X769">
        <v>1.1606754716981131</v>
      </c>
      <c r="Z769" s="18">
        <v>1.1605642857142857</v>
      </c>
      <c r="AB769" s="18">
        <v>212</v>
      </c>
      <c r="AD769" s="143">
        <v>112</v>
      </c>
      <c r="AF769" s="18">
        <v>0</v>
      </c>
      <c r="AG769">
        <v>0</v>
      </c>
      <c r="AH769" s="49">
        <v>57.129999999999995</v>
      </c>
      <c r="AL769" s="43"/>
      <c r="AN769" s="71">
        <f t="shared" si="420"/>
        <v>0</v>
      </c>
      <c r="AO769" s="71">
        <f t="shared" si="421"/>
        <v>0</v>
      </c>
      <c r="AP769" s="71">
        <f t="shared" si="422"/>
        <v>112</v>
      </c>
      <c r="AQ769" s="72">
        <f>IF(OR($H769="GIROSSOL II",$H769="GIROSSOL II e III"),INDEX('Resumo Operacional'!$A$1:$P$1103,MATCH("Energia Injetada prevista total Fatura da Usina (TUSD)",'Resumo Operacional'!$B$1:$B$1103,0),MATCH('Detalhe Por UC'!$R769,'Resumo Operacional'!$A$1:$P$1,0))*$S769,INDEX('Resumo Operacional'!$A$1:$P$1103,53,MATCH('Detalhe Por UC'!$R769,'Resumo Operacional'!$A$1:$P$1,0))*$S769)</f>
        <v>0</v>
      </c>
      <c r="AR769" s="71">
        <f t="shared" si="423"/>
        <v>112</v>
      </c>
      <c r="AS769" s="73">
        <f t="shared" si="424"/>
        <v>173.20999999999998</v>
      </c>
      <c r="AT769" s="74">
        <f t="shared" si="425"/>
        <v>173.20999999999998</v>
      </c>
      <c r="AU769" s="74">
        <f t="shared" si="426"/>
        <v>1.1604530997304583</v>
      </c>
      <c r="AV769" s="74">
        <f t="shared" si="427"/>
        <v>100.61206185786347</v>
      </c>
      <c r="AW769" s="74">
        <f t="shared" si="428"/>
        <v>0</v>
      </c>
      <c r="AX769" s="74">
        <f t="shared" si="429"/>
        <v>129.98320000000001</v>
      </c>
      <c r="AY769" s="74">
        <f t="shared" si="430"/>
        <v>100.61</v>
      </c>
      <c r="AZ769" s="117">
        <v>100.61</v>
      </c>
      <c r="BA769" s="49">
        <v>100.61</v>
      </c>
      <c r="BB769" s="49">
        <v>100.61</v>
      </c>
      <c r="BC769" s="73" t="str">
        <f t="shared" si="431"/>
        <v/>
      </c>
      <c r="BD769" s="73">
        <f t="shared" si="432"/>
        <v>303.19319999999999</v>
      </c>
      <c r="BE769" s="73">
        <f t="shared" si="433"/>
        <v>273.82206185786345</v>
      </c>
      <c r="BF769" s="77">
        <f t="shared" si="434"/>
        <v>29.37</v>
      </c>
      <c r="BG769" s="77">
        <f t="shared" si="435"/>
        <v>8.8109999999999999</v>
      </c>
      <c r="BH769" s="77">
        <f t="shared" si="436"/>
        <v>129.98320000000001</v>
      </c>
      <c r="BI769" s="78">
        <f t="shared" si="437"/>
        <v>0.23</v>
      </c>
      <c r="BJ769" s="79">
        <f t="shared" si="438"/>
        <v>9.6868927139526884E-2</v>
      </c>
      <c r="BK769" s="80">
        <f t="shared" si="439"/>
        <v>273.82</v>
      </c>
      <c r="BL769" s="80">
        <f t="shared" si="440"/>
        <v>29.373199999999997</v>
      </c>
      <c r="BM769" s="79">
        <f t="shared" si="441"/>
        <v>9.6879481465943162E-2</v>
      </c>
      <c r="BN769" s="81">
        <f t="shared" si="442"/>
        <v>0.89830357142857142</v>
      </c>
      <c r="BO769" s="82">
        <f t="shared" si="443"/>
        <v>100.61</v>
      </c>
      <c r="BP769" s="81">
        <f t="shared" si="444"/>
        <v>0.89830357142857142</v>
      </c>
      <c r="BQ769" s="81">
        <f t="shared" si="445"/>
        <v>0.89841475741239885</v>
      </c>
      <c r="BR769" s="81">
        <f t="shared" si="446"/>
        <v>1.1606754716981131</v>
      </c>
      <c r="BS769" s="82">
        <f t="shared" si="447"/>
        <v>112</v>
      </c>
      <c r="BT769" s="82">
        <f t="shared" si="448"/>
        <v>129.99565283018867</v>
      </c>
      <c r="BU769" s="82">
        <f t="shared" si="449"/>
        <v>129.98320000000001</v>
      </c>
      <c r="BW769" s="82">
        <f>IFERROR(INDEX('Infos Clientes'!$T:$T,MATCH('Detalhe Por UC'!$C769,'Infos Clientes'!B:B,0)),"")</f>
        <v>123.5</v>
      </c>
      <c r="BX769" s="83">
        <f t="shared" si="450"/>
        <v>0</v>
      </c>
      <c r="BY769" s="84">
        <f t="shared" si="451"/>
        <v>0.22595524819872062</v>
      </c>
      <c r="BZ769" s="85">
        <f>IF(_xlfn.MINIFS('Detalhe Por UC'!R:R,'Detalhe Por UC'!C:C,C769,'Detalhe Por UC'!AD:AD,"&gt;"&amp;0)=0,"",_xlfn.MINIFS('Detalhe Por UC'!R:R,'Detalhe Por UC'!C:C,C769,'Detalhe Por UC'!AD:AD,"&gt;"&amp;0))</f>
        <v>45627</v>
      </c>
      <c r="CA769" s="114">
        <f ca="1">IF(OR(S769&gt;0,AD769&gt;0),IFERROR(
SUMIFS(INDIRECT("'Infos Clientes'!$W"&amp;INDEX('Infos Clientes'!$C:$C,MATCH(C769,'Infos Clientes'!$H:$H,0))&amp;":$CZ"&amp;INDEX('Infos Clientes'!$C:$C,MATCH(C769,'Infos Clientes'!$H:$H,0))),'Infos Clientes'!$W$2:$CZ$2,"&gt;"&amp;$R769-365,'Infos Clientes'!$W$2:$CZ$2,"&lt;="&amp;$R769)/
COUNTIFS(INDIRECT("'Infos Clientes'!$W"&amp;INDEX('Infos Clientes'!$C:$C,MATCH(C769,'Infos Clientes'!$H:$H,0))&amp;":$CZ"&amp;INDEX('Infos Clientes'!$C:$C,MATCH(C769,'Infos Clientes'!$H:$H,0))),"&gt;="&amp;0,'Infos Clientes'!$W$2:$CZ$2,"&gt;"&amp;$R769-365,'Infos Clientes'!$W$2:$CZ$2,"&lt;="&amp;$R769),""),"")</f>
        <v>128.45454545454547</v>
      </c>
      <c r="CB769" s="87">
        <f>VLOOKUP(C769,'Infos Clientes'!B:L,11,0)</f>
        <v>0</v>
      </c>
      <c r="CC769" s="88" t="str">
        <f t="shared" si="452"/>
        <v>A Unidade Consumidora 10/987178-1 economizou R$29,37 na fatura referente à ago/2025  consumindo 112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69" s="115">
        <f t="shared" si="453"/>
        <v>-173.20999999999998</v>
      </c>
    </row>
    <row r="770" spans="1:84" ht="16.2" hidden="1" customHeight="1" x14ac:dyDescent="0.3">
      <c r="A770" s="105" t="str">
        <f>INDEX('Infos Clientes'!$D:$D,MATCH('Detalhe Por UC'!C770,'Infos Clientes'!B:B,0))</f>
        <v>IGREJA DO EVANGELHO QUADRANGULAR</v>
      </c>
      <c r="B770" s="106" t="str">
        <f>INDEX('Infos Clientes'!$F:$F,MATCH('Detalhe Por UC'!C770,'Infos Clientes'!B:B,0))</f>
        <v>62.955.505/0914-56</v>
      </c>
      <c r="C770" s="44" t="s">
        <v>134</v>
      </c>
      <c r="D770" t="s">
        <v>351</v>
      </c>
      <c r="E770" s="1" t="s">
        <v>352</v>
      </c>
      <c r="F770" s="56" t="str">
        <f>INDEX('Infos Clientes'!$I:$I,MATCH('Detalhe Por UC'!C770,'Infos Clientes'!B:B,0))</f>
        <v>BT</v>
      </c>
      <c r="G770" s="56" t="str">
        <f>INDEX('Infos Clientes'!$J:$J,MATCH('Detalhe Por UC'!C770,'Infos Clientes'!B:B,0))</f>
        <v>monofasico</v>
      </c>
      <c r="H770" s="47" t="str">
        <f t="shared" si="455"/>
        <v>GIROSSOL II</v>
      </c>
      <c r="I770" s="58">
        <f>IFERROR(VLOOKUP(C770,'Infos Clientes'!B:E,4,),"")</f>
        <v>0</v>
      </c>
      <c r="J770" s="151">
        <v>0.22596103298069697</v>
      </c>
      <c r="K770" s="79">
        <f>INDEX('Resumo Operacional'!$A$1:$P$151,MATCH("Desconto percentual Ucs",'Resumo Operacional'!$B$1:$B$151,0),MATCH('Detalhe Por UC'!$R770,'Resumo Operacional'!$A$1:$P$1,0))</f>
        <v>0.26495232343264008</v>
      </c>
      <c r="M770" s="56"/>
      <c r="N770" s="56"/>
      <c r="O770" s="56"/>
      <c r="P770" s="56"/>
      <c r="Q770" s="61"/>
      <c r="R770" s="111">
        <v>45870</v>
      </c>
      <c r="S770" s="152">
        <v>0</v>
      </c>
      <c r="T770" s="113">
        <f>IF($H770="GIROSSOL II",AP770/INDEX('Resumo Operacional'!$A$1:$P$1103,17,MATCH('Detalhe Por UC'!$R770,'Resumo Operacional'!$A$1:$P$1,0)),
IF($H770="GIROSSOL II e III",AP770/INDEX('Resumo Operacional'!$A$1:$P$1103,17,MATCH('Detalhe Por UC'!$R770,'Resumo Operacional'!$A$1:$P$1,0)),
""))</f>
        <v>7.9104260578740732E-2</v>
      </c>
      <c r="U770" s="113" t="str">
        <f>IF($H770="GIROSSOL III",AP770/INDEX('Resumo Operacional'!$A$1:$P$1103,53,MATCH('Detalhe Por UC'!$R770,'Resumo Operacional'!$A$1:$P$1,0)),
IF($H770="GIROSSOL II e III",AP770/INDEX('Resumo Operacional'!$A$1:$P$1103,53,MATCH('Detalhe Por UC'!$R770,'Resumo Operacional'!$A$1:$P$1,0)),
""))</f>
        <v/>
      </c>
      <c r="X770">
        <v>1.1867428571428571</v>
      </c>
      <c r="Z770" s="18">
        <v>1.0754972875226039</v>
      </c>
      <c r="AB770" s="18">
        <v>100</v>
      </c>
      <c r="AD770" s="143">
        <v>79</v>
      </c>
      <c r="AF770" s="18">
        <v>465</v>
      </c>
      <c r="AH770" s="49">
        <v>47.91</v>
      </c>
      <c r="AK770" s="153">
        <v>81.62</v>
      </c>
      <c r="AL770" s="43">
        <f t="shared" si="456"/>
        <v>0</v>
      </c>
      <c r="AN770" s="71">
        <f t="shared" si="420"/>
        <v>465</v>
      </c>
      <c r="AO770" s="71">
        <f t="shared" si="421"/>
        <v>0</v>
      </c>
      <c r="AP770" s="71">
        <f t="shared" si="422"/>
        <v>544</v>
      </c>
      <c r="AQ770" s="72">
        <f>IF(OR($H770="GIROSSOL II",$H770="GIROSSOL II e III"),INDEX('Resumo Operacional'!$A$1:$P$1103,MATCH("Energia Injetada prevista total Fatura da Usina (TUSD)",'Resumo Operacional'!$B$1:$B$1103,0),MATCH('Detalhe Por UC'!$R770,'Resumo Operacional'!$A$1:$P$1,0))*$S770,INDEX('Resumo Operacional'!$A$1:$P$1103,53,MATCH('Detalhe Por UC'!$R770,'Resumo Operacional'!$A$1:$P$1,0))*$S770)</f>
        <v>0</v>
      </c>
      <c r="AR770" s="71">
        <f t="shared" si="423"/>
        <v>544</v>
      </c>
      <c r="AS770" s="73">
        <f t="shared" si="424"/>
        <v>81.62</v>
      </c>
      <c r="AT770" s="74">
        <f t="shared" si="425"/>
        <v>81.62</v>
      </c>
      <c r="AU770" s="74">
        <f t="shared" si="426"/>
        <v>0.96425171790235065</v>
      </c>
      <c r="AV770" s="74">
        <f t="shared" si="427"/>
        <v>65.765667947818642</v>
      </c>
      <c r="AW770" s="74">
        <f t="shared" si="428"/>
        <v>0</v>
      </c>
      <c r="AX770" s="74">
        <f t="shared" si="429"/>
        <v>84.964285714285708</v>
      </c>
      <c r="AY770" s="74">
        <f t="shared" si="430"/>
        <v>65.77</v>
      </c>
      <c r="AZ770" s="117">
        <v>65.77</v>
      </c>
      <c r="BC770" s="73" t="str">
        <f t="shared" si="431"/>
        <v/>
      </c>
      <c r="BD770" s="73">
        <f t="shared" si="432"/>
        <v>166.58428571428573</v>
      </c>
      <c r="BE770" s="73">
        <f t="shared" si="433"/>
        <v>147.38566794781866</v>
      </c>
      <c r="BF770" s="77">
        <f t="shared" si="434"/>
        <v>19.2</v>
      </c>
      <c r="BG770" s="77">
        <f t="shared" si="435"/>
        <v>5.76</v>
      </c>
      <c r="BH770" s="77">
        <f t="shared" si="436"/>
        <v>84.964285714285694</v>
      </c>
      <c r="BI770" s="78">
        <f t="shared" si="437"/>
        <v>0.23</v>
      </c>
      <c r="BJ770" s="79">
        <f t="shared" si="438"/>
        <v>0.11525696987368041</v>
      </c>
      <c r="BK770" s="80">
        <f t="shared" si="439"/>
        <v>147.38999999999999</v>
      </c>
      <c r="BL770" s="80">
        <f t="shared" si="440"/>
        <v>19.194285714285741</v>
      </c>
      <c r="BM770" s="79">
        <f t="shared" si="441"/>
        <v>0.11522266720407531</v>
      </c>
      <c r="BN770" s="81">
        <f t="shared" si="442"/>
        <v>0.83253164556962023</v>
      </c>
      <c r="BO770" s="82">
        <f t="shared" si="443"/>
        <v>65.77</v>
      </c>
      <c r="BP770" s="81">
        <f t="shared" si="444"/>
        <v>0.83253164556962023</v>
      </c>
      <c r="BQ770" s="81">
        <f t="shared" si="445"/>
        <v>0.94377721518987345</v>
      </c>
      <c r="BR770" s="81">
        <f t="shared" si="446"/>
        <v>1.1867428571428571</v>
      </c>
      <c r="BS770" s="82">
        <f t="shared" si="447"/>
        <v>79</v>
      </c>
      <c r="BT770" s="82">
        <f t="shared" si="448"/>
        <v>93.752685714285704</v>
      </c>
      <c r="BU770" s="82">
        <f t="shared" si="449"/>
        <v>84.964285714285708</v>
      </c>
      <c r="BW770" s="82">
        <f>IFERROR(INDEX('Infos Clientes'!$T:$T,MATCH('Detalhe Por UC'!$C770,'Infos Clientes'!B:B,0)),"")</f>
        <v>0</v>
      </c>
      <c r="BX770" s="83">
        <f t="shared" si="450"/>
        <v>0</v>
      </c>
      <c r="BY770" s="84">
        <f t="shared" si="451"/>
        <v>0.20473318250082886</v>
      </c>
      <c r="BZ770" s="85">
        <f>IF(_xlfn.MINIFS('Detalhe Por UC'!R:R,'Detalhe Por UC'!C:C,C770,'Detalhe Por UC'!AD:AD,"&gt;"&amp;0)=0,"",_xlfn.MINIFS('Detalhe Por UC'!R:R,'Detalhe Por UC'!C:C,C770,'Detalhe Por UC'!AD:AD,"&gt;"&amp;0))</f>
        <v>45658</v>
      </c>
      <c r="CA770" s="114">
        <f ca="1">IF(OR(S770&gt;0,AD770&gt;0),IFERROR(
SUMIFS(INDIRECT("'Infos Clientes'!$W"&amp;INDEX('Infos Clientes'!$C:$C,MATCH(C770,'Infos Clientes'!$H:$H,0))&amp;":$CZ"&amp;INDEX('Infos Clientes'!$C:$C,MATCH(C770,'Infos Clientes'!$H:$H,0))),'Infos Clientes'!$W$2:$CZ$2,"&gt;"&amp;$R770-365,'Infos Clientes'!$W$2:$CZ$2,"&lt;="&amp;$R770)/
COUNTIFS(INDIRECT("'Infos Clientes'!$W"&amp;INDEX('Infos Clientes'!$C:$C,MATCH(C770,'Infos Clientes'!$H:$H,0))&amp;":$CZ"&amp;INDEX('Infos Clientes'!$C:$C,MATCH(C770,'Infos Clientes'!$H:$H,0))),"&gt;="&amp;0,'Infos Clientes'!$W$2:$CZ$2,"&gt;"&amp;$R770-365,'Infos Clientes'!$W$2:$CZ$2,"&lt;="&amp;$R770),""),"")</f>
        <v>142.5</v>
      </c>
      <c r="CB770" s="87">
        <f>VLOOKUP(C770,'Infos Clientes'!B:L,11,0)</f>
        <v>0</v>
      </c>
      <c r="CC770" s="88" t="str">
        <f t="shared" si="452"/>
        <v>A Unidade Consumidora 10/150263-2 economizou R$19,2 na fatura referente à ago/2025  consumindo 79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0" s="115">
        <f t="shared" si="453"/>
        <v>-81.62</v>
      </c>
    </row>
    <row r="771" spans="1:84" ht="16.2" hidden="1" customHeight="1" x14ac:dyDescent="0.3">
      <c r="A771" s="105" t="str">
        <f>INDEX('Infos Clientes'!$D:$D,MATCH('Detalhe Por UC'!C771,'Infos Clientes'!B:B,0))</f>
        <v>IGREJA DO EVANGELHO QUADRANGULAR</v>
      </c>
      <c r="B771" s="106" t="str">
        <f>INDEX('Infos Clientes'!$F:$F,MATCH('Detalhe Por UC'!C771,'Infos Clientes'!B:B,0))</f>
        <v>62.955.505/0154-31</v>
      </c>
      <c r="C771" s="31" t="s">
        <v>218</v>
      </c>
      <c r="D771" t="s">
        <v>351</v>
      </c>
      <c r="E771" s="1" t="s">
        <v>352</v>
      </c>
      <c r="F771" s="56" t="str">
        <f>INDEX('Infos Clientes'!$I:$I,MATCH('Detalhe Por UC'!C771,'Infos Clientes'!B:B,0))</f>
        <v>BT</v>
      </c>
      <c r="G771" s="56" t="str">
        <f>INDEX('Infos Clientes'!$J:$J,MATCH('Detalhe Por UC'!C771,'Infos Clientes'!B:B,0))</f>
        <v>bifasico</v>
      </c>
      <c r="H771" s="47" t="str">
        <f t="shared" ref="H771:H819" si="457">HYPERLINK("https://geraebcsp.sharepoint.com/sites/gestao.gdc/Shared Documents/EGS/2- Faturas/"&amp; TEXT($R771,"AAA") &amp;"/"&amp; TEXT($R771,"MM") &amp;"."&amp; TEXT($R771,"AAA") &amp;"/"&amp;"_10-"&amp; RIGHT($C771,LEN($C771)-3) &amp;"_" &amp; TEXT($R771,"AAAA") &amp;"-"&amp; TEXT($R771,"MM") &amp;".pdf","GIROSSOL III")</f>
        <v>GIROSSOL III</v>
      </c>
      <c r="I771" s="58">
        <f>IFERROR(VLOOKUP(C771,'Infos Clientes'!B:E,4,),"")</f>
        <v>319</v>
      </c>
      <c r="J771" s="151">
        <v>0.22596103298069697</v>
      </c>
      <c r="K771" s="79">
        <f>INDEX('Resumo Operacional'!$A$1:$P$151,MATCH("Desconto percentual Ucs",'Resumo Operacional'!$B$1:$B$151,0),MATCH('Detalhe Por UC'!$R771,'Resumo Operacional'!$A$1:$P$1,0))</f>
        <v>0.26495232343264008</v>
      </c>
      <c r="M771" s="56"/>
      <c r="N771" s="56"/>
      <c r="O771" s="56"/>
      <c r="P771" s="56"/>
      <c r="Q771" s="61"/>
      <c r="R771" s="111">
        <v>45870</v>
      </c>
      <c r="S771" s="152">
        <v>7.1800000000000003E-2</v>
      </c>
      <c r="T771" s="113" t="str">
        <f>IF($H771="GIROSSOL II",AP771/INDEX('Resumo Operacional'!$A$1:$P$1103,17,MATCH('Detalhe Por UC'!$R771,'Resumo Operacional'!$A$1:$P$1,0)),
IF($H771="GIROSSOL II e III",AP771/INDEX('Resumo Operacional'!$A$1:$P$1103,17,MATCH('Detalhe Por UC'!$R771,'Resumo Operacional'!$A$1:$P$1,0)),
""))</f>
        <v/>
      </c>
      <c r="U771" s="113">
        <f>IF($H771="GIROSSOL III",AP771/INDEX('Resumo Operacional'!$A$1:$P$1103,53,MATCH('Detalhe Por UC'!$R771,'Resumo Operacional'!$A$1:$P$1,0)),
IF($H771="GIROSSOL II e III",AP771/INDEX('Resumo Operacional'!$A$1:$P$1103,53,MATCH('Detalhe Por UC'!$R771,'Resumo Operacional'!$A$1:$P$1,0)),
""))</f>
        <v>0.19363739652653789</v>
      </c>
      <c r="X771">
        <v>1.0995913461538462</v>
      </c>
      <c r="Z771" s="18">
        <v>0.94269230769230772</v>
      </c>
      <c r="AB771" s="18">
        <v>416</v>
      </c>
      <c r="AD771" s="143">
        <v>416</v>
      </c>
      <c r="AF771" s="18">
        <v>1896</v>
      </c>
      <c r="AG771">
        <v>0</v>
      </c>
      <c r="AH771" s="49">
        <v>84.8</v>
      </c>
      <c r="AL771" s="43"/>
      <c r="AN771" s="71">
        <f t="shared" si="420"/>
        <v>777</v>
      </c>
      <c r="AO771" s="71">
        <f t="shared" si="421"/>
        <v>0</v>
      </c>
      <c r="AP771" s="71">
        <f t="shared" si="422"/>
        <v>1193</v>
      </c>
      <c r="AQ771" s="72">
        <f>IF(OR($H771="GIROSSOL II",$H771="GIROSSOL II e III"),INDEX('Resumo Operacional'!$A$1:$P$1103,MATCH("Energia Injetada prevista total Fatura da Usina (TUSD)",'Resumo Operacional'!$B$1:$B$1103,0),MATCH('Detalhe Por UC'!$R771,'Resumo Operacional'!$A$1:$P$1,0))*$S771,INDEX('Resumo Operacional'!$A$1:$P$1103,53,MATCH('Detalhe Por UC'!$R771,'Resumo Operacional'!$A$1:$P$1,0))*$S771)</f>
        <v>442.35980000000001</v>
      </c>
      <c r="AR771" s="71">
        <f t="shared" si="423"/>
        <v>750.64020000000005</v>
      </c>
      <c r="AS771" s="73">
        <f t="shared" si="424"/>
        <v>150.07000000000005</v>
      </c>
      <c r="AT771" s="74">
        <f t="shared" si="425"/>
        <v>150.07000000000005</v>
      </c>
      <c r="AU771" s="74">
        <f t="shared" si="426"/>
        <v>0.7857932692307692</v>
      </c>
      <c r="AV771" s="74">
        <f t="shared" si="427"/>
        <v>303.54712130628991</v>
      </c>
      <c r="AW771" s="74">
        <f t="shared" si="428"/>
        <v>0</v>
      </c>
      <c r="AX771" s="74">
        <f t="shared" si="429"/>
        <v>392.16</v>
      </c>
      <c r="AY771" s="74">
        <f t="shared" si="430"/>
        <v>303.55</v>
      </c>
      <c r="AZ771" s="117">
        <v>303.55</v>
      </c>
      <c r="BA771" s="49">
        <v>303.55</v>
      </c>
      <c r="BB771" s="49">
        <v>303.55</v>
      </c>
      <c r="BC771" s="73" t="str">
        <f t="shared" si="431"/>
        <v/>
      </c>
      <c r="BD771" s="73">
        <f t="shared" si="432"/>
        <v>542.23</v>
      </c>
      <c r="BE771" s="73">
        <f t="shared" si="433"/>
        <v>453.61712130628996</v>
      </c>
      <c r="BF771" s="77">
        <f t="shared" si="434"/>
        <v>88.61</v>
      </c>
      <c r="BG771" s="77">
        <f t="shared" si="435"/>
        <v>26.582999999999998</v>
      </c>
      <c r="BH771" s="77">
        <f t="shared" si="436"/>
        <v>392.16</v>
      </c>
      <c r="BI771" s="78">
        <f t="shared" si="437"/>
        <v>0.23</v>
      </c>
      <c r="BJ771" s="79">
        <f t="shared" si="438"/>
        <v>0.16341773786031757</v>
      </c>
      <c r="BK771" s="80">
        <f t="shared" si="439"/>
        <v>453.62000000000006</v>
      </c>
      <c r="BL771" s="80">
        <f t="shared" si="440"/>
        <v>88.609999999999957</v>
      </c>
      <c r="BM771" s="79">
        <f t="shared" si="441"/>
        <v>0.16341773786031749</v>
      </c>
      <c r="BN771" s="81">
        <f t="shared" si="442"/>
        <v>0.72968750000000004</v>
      </c>
      <c r="BO771" s="82">
        <f t="shared" si="443"/>
        <v>303.55</v>
      </c>
      <c r="BP771" s="81">
        <f t="shared" si="444"/>
        <v>0.72968750000000004</v>
      </c>
      <c r="BQ771" s="81">
        <f t="shared" si="445"/>
        <v>0.88658653846153856</v>
      </c>
      <c r="BR771" s="81">
        <f t="shared" si="446"/>
        <v>1.0995913461538462</v>
      </c>
      <c r="BS771" s="82">
        <f t="shared" si="447"/>
        <v>416</v>
      </c>
      <c r="BT771" s="82">
        <f t="shared" si="448"/>
        <v>457.43000000000006</v>
      </c>
      <c r="BU771" s="82">
        <f t="shared" si="449"/>
        <v>392.16</v>
      </c>
      <c r="BW771" s="82">
        <f>IFERROR(INDEX('Infos Clientes'!$T:$T,MATCH('Detalhe Por UC'!$C771,'Infos Clientes'!B:B,0)),"")</f>
        <v>806.81818181818187</v>
      </c>
      <c r="BX771" s="83">
        <f t="shared" si="450"/>
        <v>0</v>
      </c>
      <c r="BY771" s="84">
        <f t="shared" si="451"/>
        <v>0.19371269921080819</v>
      </c>
      <c r="BZ771" s="85">
        <f>IF(_xlfn.MINIFS('Detalhe Por UC'!R:R,'Detalhe Por UC'!C:C,C771,'Detalhe Por UC'!AD:AD,"&gt;"&amp;0)=0,"",_xlfn.MINIFS('Detalhe Por UC'!R:R,'Detalhe Por UC'!C:C,C771,'Detalhe Por UC'!AD:AD,"&gt;"&amp;0))</f>
        <v>45658</v>
      </c>
      <c r="CA771" s="114">
        <f ca="1">IF(OR(S771&gt;0,AD771&gt;0),IFERROR(
SUMIFS(INDIRECT("'Infos Clientes'!$W"&amp;INDEX('Infos Clientes'!$C:$C,MATCH(C771,'Infos Clientes'!$H:$H,0))&amp;":$CZ"&amp;INDEX('Infos Clientes'!$C:$C,MATCH(C771,'Infos Clientes'!$H:$H,0))),'Infos Clientes'!$W$2:$CZ$2,"&gt;"&amp;$R771-365,'Infos Clientes'!$W$2:$CZ$2,"&lt;="&amp;$R771)/
COUNTIFS(INDIRECT("'Infos Clientes'!$W"&amp;INDEX('Infos Clientes'!$C:$C,MATCH(C771,'Infos Clientes'!$H:$H,0))&amp;":$CZ"&amp;INDEX('Infos Clientes'!$C:$C,MATCH(C771,'Infos Clientes'!$H:$H,0))),"&gt;="&amp;0,'Infos Clientes'!$W$2:$CZ$2,"&gt;"&amp;$R771-365,'Infos Clientes'!$W$2:$CZ$2,"&lt;="&amp;$R771),""),"")</f>
        <v>741.66666666666663</v>
      </c>
      <c r="CB771" s="87">
        <f>VLOOKUP(C771,'Infos Clientes'!B:L,11,0)</f>
        <v>0</v>
      </c>
      <c r="CC771" s="88" t="str">
        <f t="shared" si="452"/>
        <v>A Unidade Consumidora 10/61344-8 economizou R$88,61 na fatura referente à ago/2025  consumindo 416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1" s="115">
        <f t="shared" si="453"/>
        <v>-150.07000000000005</v>
      </c>
    </row>
    <row r="772" spans="1:84" ht="16.2" hidden="1" customHeight="1" x14ac:dyDescent="0.3">
      <c r="A772" s="105" t="str">
        <f>INDEX('Infos Clientes'!$D:$D,MATCH('Detalhe Por UC'!C772,'Infos Clientes'!B:B,0))</f>
        <v>IGREJA DO EVANGELHO QUADRANGULAR</v>
      </c>
      <c r="B772" s="106" t="str">
        <f>INDEX('Infos Clientes'!$F:$F,MATCH('Detalhe Por UC'!C772,'Infos Clientes'!B:B,0))</f>
        <v>62.955.505/0169-18</v>
      </c>
      <c r="C772" s="31" t="s">
        <v>139</v>
      </c>
      <c r="D772" t="s">
        <v>351</v>
      </c>
      <c r="E772" s="1" t="s">
        <v>352</v>
      </c>
      <c r="F772" s="56" t="str">
        <f>INDEX('Infos Clientes'!$I:$I,MATCH('Detalhe Por UC'!C772,'Infos Clientes'!B:B,0))</f>
        <v>BT</v>
      </c>
      <c r="G772" s="56" t="str">
        <f>INDEX('Infos Clientes'!$J:$J,MATCH('Detalhe Por UC'!C772,'Infos Clientes'!B:B,0))</f>
        <v>bifasico</v>
      </c>
      <c r="H772" s="47" t="str">
        <f t="shared" si="457"/>
        <v>GIROSSOL III</v>
      </c>
      <c r="I772" s="58">
        <f>IFERROR(VLOOKUP(C772,'Infos Clientes'!B:E,4,),"")</f>
        <v>351</v>
      </c>
      <c r="J772" s="151">
        <v>0.22596103298069697</v>
      </c>
      <c r="K772" s="79">
        <f>INDEX('Resumo Operacional'!$A$1:$P$151,MATCH("Desconto percentual Ucs",'Resumo Operacional'!$B$1:$B$151,0),MATCH('Detalhe Por UC'!$R772,'Resumo Operacional'!$A$1:$P$1,0))</f>
        <v>0.26495232343264008</v>
      </c>
      <c r="M772" s="56"/>
      <c r="N772" s="56"/>
      <c r="O772" s="56"/>
      <c r="P772" s="56"/>
      <c r="Q772" s="61"/>
      <c r="R772" s="111">
        <v>45870</v>
      </c>
      <c r="S772" s="152">
        <v>5.0200000000000002E-2</v>
      </c>
      <c r="T772" s="113" t="str">
        <f>IF($H772="GIROSSOL II",AP772/INDEX('Resumo Operacional'!$A$1:$P$1103,17,MATCH('Detalhe Por UC'!$R772,'Resumo Operacional'!$A$1:$P$1,0)),
IF($H772="GIROSSOL II e III",AP772/INDEX('Resumo Operacional'!$A$1:$P$1103,17,MATCH('Detalhe Por UC'!$R772,'Resumo Operacional'!$A$1:$P$1,0)),
""))</f>
        <v/>
      </c>
      <c r="U772" s="113">
        <f>IF($H772="GIROSSOL III",AP772/INDEX('Resumo Operacional'!$A$1:$P$1103,53,MATCH('Detalhe Por UC'!$R772,'Resumo Operacional'!$A$1:$P$1,0)),
IF($H772="GIROSSOL II e III",AP772/INDEX('Resumo Operacional'!$A$1:$P$1103,53,MATCH('Detalhe Por UC'!$R772,'Resumo Operacional'!$A$1:$P$1,0)),
""))</f>
        <v>9.1218957961369904E-2</v>
      </c>
      <c r="X772">
        <v>1.0995873786407766</v>
      </c>
      <c r="Z772" s="18">
        <v>0.94269417475728168</v>
      </c>
      <c r="AB772" s="18">
        <v>412</v>
      </c>
      <c r="AD772" s="143">
        <v>412</v>
      </c>
      <c r="AF772" s="18">
        <v>512</v>
      </c>
      <c r="AH772" s="49">
        <v>50.8</v>
      </c>
      <c r="AK772" s="153">
        <v>115.44</v>
      </c>
      <c r="AL772" s="43">
        <f t="shared" si="456"/>
        <v>0</v>
      </c>
      <c r="AN772" s="71">
        <f t="shared" si="420"/>
        <v>150</v>
      </c>
      <c r="AO772" s="71">
        <f t="shared" si="421"/>
        <v>0</v>
      </c>
      <c r="AP772" s="71">
        <f t="shared" si="422"/>
        <v>562</v>
      </c>
      <c r="AQ772" s="72">
        <f>IF(OR($H772="GIROSSOL II",$H772="GIROSSOL II e III"),INDEX('Resumo Operacional'!$A$1:$P$1103,MATCH("Energia Injetada prevista total Fatura da Usina (TUSD)",'Resumo Operacional'!$B$1:$B$1103,0),MATCH('Detalhe Por UC'!$R772,'Resumo Operacional'!$A$1:$P$1,0))*$S772,INDEX('Resumo Operacional'!$A$1:$P$1103,53,MATCH('Detalhe Por UC'!$R772,'Resumo Operacional'!$A$1:$P$1,0))*$S772)</f>
        <v>309.28219999999999</v>
      </c>
      <c r="AR772" s="71">
        <f t="shared" si="423"/>
        <v>252.71780000000001</v>
      </c>
      <c r="AS772" s="73">
        <f t="shared" si="424"/>
        <v>115.43999999999993</v>
      </c>
      <c r="AT772" s="74">
        <f t="shared" si="425"/>
        <v>115.43999999999993</v>
      </c>
      <c r="AU772" s="74">
        <f t="shared" si="426"/>
        <v>0.78580097087378675</v>
      </c>
      <c r="AV772" s="74">
        <f t="shared" si="427"/>
        <v>300.62899440062716</v>
      </c>
      <c r="AW772" s="74">
        <f t="shared" si="428"/>
        <v>0</v>
      </c>
      <c r="AX772" s="74">
        <f t="shared" si="429"/>
        <v>388.39000000000004</v>
      </c>
      <c r="AY772" s="74">
        <f t="shared" si="430"/>
        <v>300.63</v>
      </c>
      <c r="AZ772" s="117">
        <v>300.63</v>
      </c>
      <c r="BA772" s="49">
        <v>300.63</v>
      </c>
      <c r="BB772" s="49">
        <v>300.63</v>
      </c>
      <c r="BC772" s="73" t="str">
        <f t="shared" si="431"/>
        <v/>
      </c>
      <c r="BD772" s="73">
        <f t="shared" si="432"/>
        <v>503.83</v>
      </c>
      <c r="BE772" s="73">
        <f t="shared" si="433"/>
        <v>416.0689944006271</v>
      </c>
      <c r="BF772" s="77">
        <f t="shared" si="434"/>
        <v>87.76</v>
      </c>
      <c r="BG772" s="77">
        <f t="shared" si="435"/>
        <v>26.327999999999999</v>
      </c>
      <c r="BH772" s="77">
        <f t="shared" si="436"/>
        <v>388.39000000000004</v>
      </c>
      <c r="BI772" s="78">
        <f t="shared" si="437"/>
        <v>0.23</v>
      </c>
      <c r="BJ772" s="79">
        <f t="shared" si="438"/>
        <v>0.17418573725264475</v>
      </c>
      <c r="BK772" s="80">
        <f t="shared" si="439"/>
        <v>416.06999999999994</v>
      </c>
      <c r="BL772" s="80">
        <f t="shared" si="440"/>
        <v>87.760000000000048</v>
      </c>
      <c r="BM772" s="79">
        <f t="shared" si="441"/>
        <v>0.17418573725264483</v>
      </c>
      <c r="BN772" s="81">
        <f t="shared" si="442"/>
        <v>0.7296844660194175</v>
      </c>
      <c r="BO772" s="82">
        <f t="shared" si="443"/>
        <v>300.63</v>
      </c>
      <c r="BP772" s="81">
        <f t="shared" si="444"/>
        <v>0.7296844660194175</v>
      </c>
      <c r="BQ772" s="81">
        <f t="shared" si="445"/>
        <v>0.88657766990291242</v>
      </c>
      <c r="BR772" s="81">
        <f t="shared" si="446"/>
        <v>1.0995873786407766</v>
      </c>
      <c r="BS772" s="82">
        <f t="shared" si="447"/>
        <v>412</v>
      </c>
      <c r="BT772" s="82">
        <f t="shared" si="448"/>
        <v>453.03</v>
      </c>
      <c r="BU772" s="82">
        <f t="shared" si="449"/>
        <v>388.39000000000004</v>
      </c>
      <c r="BW772" s="82">
        <f>IFERROR(INDEX('Infos Clientes'!$T:$T,MATCH('Detalhe Por UC'!$C772,'Infos Clientes'!B:B,0)),"")</f>
        <v>547.4545454545455</v>
      </c>
      <c r="BX772" s="83">
        <f t="shared" si="450"/>
        <v>0</v>
      </c>
      <c r="BY772" s="84">
        <f t="shared" si="451"/>
        <v>0.19371785532966923</v>
      </c>
      <c r="BZ772" s="85">
        <f>IF(_xlfn.MINIFS('Detalhe Por UC'!R:R,'Detalhe Por UC'!C:C,C772,'Detalhe Por UC'!AD:AD,"&gt;"&amp;0)=0,"",_xlfn.MINIFS('Detalhe Por UC'!R:R,'Detalhe Por UC'!C:C,C772,'Detalhe Por UC'!AD:AD,"&gt;"&amp;0))</f>
        <v>45658</v>
      </c>
      <c r="CA772" s="114">
        <f ca="1">IF(OR(S772&gt;0,AD772&gt;0),IFERROR(
SUMIFS(INDIRECT("'Infos Clientes'!$W"&amp;INDEX('Infos Clientes'!$C:$C,MATCH(C772,'Infos Clientes'!$H:$H,0))&amp;":$CZ"&amp;INDEX('Infos Clientes'!$C:$C,MATCH(C772,'Infos Clientes'!$H:$H,0))),'Infos Clientes'!$W$2:$CZ$2,"&gt;"&amp;$R772-365,'Infos Clientes'!$W$2:$CZ$2,"&lt;="&amp;$R772)/
COUNTIFS(INDIRECT("'Infos Clientes'!$W"&amp;INDEX('Infos Clientes'!$C:$C,MATCH(C772,'Infos Clientes'!$H:$H,0))&amp;":$CZ"&amp;INDEX('Infos Clientes'!$C:$C,MATCH(C772,'Infos Clientes'!$H:$H,0))),"&gt;="&amp;0,'Infos Clientes'!$W$2:$CZ$2,"&gt;"&amp;$R772-365,'Infos Clientes'!$W$2:$CZ$2,"&lt;="&amp;$R772),""),"")</f>
        <v>541.58333333333337</v>
      </c>
      <c r="CB772" s="87">
        <f>VLOOKUP(C772,'Infos Clientes'!B:L,11,0)</f>
        <v>0</v>
      </c>
      <c r="CC772" s="88" t="str">
        <f t="shared" si="452"/>
        <v>A Unidade Consumidora 10/1081489-5 economizou R$87,76 na fatura referente à ago/2025  consumindo 412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2" s="115">
        <f t="shared" si="453"/>
        <v>-115.43999999999993</v>
      </c>
    </row>
    <row r="773" spans="1:84" ht="16.2" hidden="1" customHeight="1" x14ac:dyDescent="0.3">
      <c r="A773" s="105" t="str">
        <f>INDEX('Infos Clientes'!$D:$D,MATCH('Detalhe Por UC'!C773,'Infos Clientes'!B:B,0))</f>
        <v>IGREJA DO EVANGELHO QUADRANGULAR</v>
      </c>
      <c r="B773" s="106" t="str">
        <f>INDEX('Infos Clientes'!$F:$F,MATCH('Detalhe Por UC'!C773,'Infos Clientes'!B:B,0))</f>
        <v>62.955.505/3124-87</v>
      </c>
      <c r="C773" s="31" t="s">
        <v>160</v>
      </c>
      <c r="D773" t="s">
        <v>351</v>
      </c>
      <c r="E773" s="1" t="s">
        <v>352</v>
      </c>
      <c r="F773" s="56" t="str">
        <f>INDEX('Infos Clientes'!$I:$I,MATCH('Detalhe Por UC'!C773,'Infos Clientes'!B:B,0))</f>
        <v>BT</v>
      </c>
      <c r="G773" s="56" t="str">
        <f>INDEX('Infos Clientes'!$J:$J,MATCH('Detalhe Por UC'!C773,'Infos Clientes'!B:B,0))</f>
        <v>trifasico</v>
      </c>
      <c r="H773" s="47" t="str">
        <f t="shared" si="457"/>
        <v>GIROSSOL III</v>
      </c>
      <c r="I773" s="58">
        <f>IFERROR(VLOOKUP(C773,'Infos Clientes'!B:E,4,),"")</f>
        <v>357</v>
      </c>
      <c r="J773" s="151">
        <v>0.22596103298069697</v>
      </c>
      <c r="K773" s="79">
        <f>INDEX('Resumo Operacional'!$A$1:$P$151,MATCH("Desconto percentual Ucs",'Resumo Operacional'!$B$1:$B$151,0),MATCH('Detalhe Por UC'!$R773,'Resumo Operacional'!$A$1:$P$1,0))</f>
        <v>0.26495232343264008</v>
      </c>
      <c r="M773" s="56"/>
      <c r="N773" s="56"/>
      <c r="O773" s="56"/>
      <c r="P773" s="56"/>
      <c r="Q773" s="61"/>
      <c r="R773" s="111">
        <v>45870</v>
      </c>
      <c r="S773" s="152">
        <v>4.02E-2</v>
      </c>
      <c r="T773" s="113" t="str">
        <f>IF($H773="GIROSSOL II",AP773/INDEX('Resumo Operacional'!$A$1:$P$1103,17,MATCH('Detalhe Por UC'!$R773,'Resumo Operacional'!$A$1:$P$1,0)),
IF($H773="GIROSSOL II e III",AP773/INDEX('Resumo Operacional'!$A$1:$P$1103,17,MATCH('Detalhe Por UC'!$R773,'Resumo Operacional'!$A$1:$P$1,0)),
""))</f>
        <v/>
      </c>
      <c r="U773" s="113">
        <f>IF($H773="GIROSSOL III",AP773/INDEX('Resumo Operacional'!$A$1:$P$1103,53,MATCH('Detalhe Por UC'!$R773,'Resumo Operacional'!$A$1:$P$1,0)),
IF($H773="GIROSSOL II e III",AP773/INDEX('Resumo Operacional'!$A$1:$P$1103,53,MATCH('Detalhe Por UC'!$R773,'Resumo Operacional'!$A$1:$P$1,0)),
""))</f>
        <v>9.6737542606719684E-2</v>
      </c>
      <c r="X773">
        <v>1.1762033994334278</v>
      </c>
      <c r="Z773" s="18">
        <v>1.0192732673267328</v>
      </c>
      <c r="AB773" s="18">
        <v>353</v>
      </c>
      <c r="AD773" s="143">
        <v>303</v>
      </c>
      <c r="AF773" s="18">
        <v>754</v>
      </c>
      <c r="AH773" s="49">
        <v>0</v>
      </c>
      <c r="AK773" s="153">
        <v>106.36</v>
      </c>
      <c r="AL773" s="43">
        <f t="shared" si="456"/>
        <v>0</v>
      </c>
      <c r="AN773" s="71">
        <f t="shared" si="420"/>
        <v>293</v>
      </c>
      <c r="AO773" s="71">
        <f t="shared" si="421"/>
        <v>0</v>
      </c>
      <c r="AP773" s="71">
        <f t="shared" si="422"/>
        <v>596</v>
      </c>
      <c r="AQ773" s="72">
        <f>IF(OR($H773="GIROSSOL II",$H773="GIROSSOL II e III"),INDEX('Resumo Operacional'!$A$1:$P$1103,MATCH("Energia Injetada prevista total Fatura da Usina (TUSD)",'Resumo Operacional'!$B$1:$B$1103,0),MATCH('Detalhe Por UC'!$R773,'Resumo Operacional'!$A$1:$P$1,0))*$S773,INDEX('Resumo Operacional'!$A$1:$P$1103,53,MATCH('Detalhe Por UC'!$R773,'Resumo Operacional'!$A$1:$P$1,0))*$S773)</f>
        <v>247.6722</v>
      </c>
      <c r="AR773" s="71">
        <f t="shared" si="423"/>
        <v>348.32780000000002</v>
      </c>
      <c r="AS773" s="73">
        <f t="shared" si="424"/>
        <v>106.35999999999996</v>
      </c>
      <c r="AT773" s="74">
        <f t="shared" si="425"/>
        <v>106.35999999999996</v>
      </c>
      <c r="AU773" s="74">
        <f t="shared" si="426"/>
        <v>0.86234313522003792</v>
      </c>
      <c r="AV773" s="74">
        <f t="shared" si="427"/>
        <v>239.0540397664482</v>
      </c>
      <c r="AW773" s="74">
        <f t="shared" si="428"/>
        <v>0</v>
      </c>
      <c r="AX773" s="74">
        <f t="shared" si="429"/>
        <v>308.83980000000003</v>
      </c>
      <c r="AY773" s="74">
        <f t="shared" si="430"/>
        <v>239.05</v>
      </c>
      <c r="AZ773" s="117">
        <v>239.05</v>
      </c>
      <c r="BA773" s="49">
        <v>239.05</v>
      </c>
      <c r="BB773" s="49">
        <v>239.05</v>
      </c>
      <c r="BC773" s="73" t="str">
        <f t="shared" si="431"/>
        <v/>
      </c>
      <c r="BD773" s="73">
        <f t="shared" si="432"/>
        <v>415.19979999999998</v>
      </c>
      <c r="BE773" s="73">
        <f t="shared" si="433"/>
        <v>345.41403976644813</v>
      </c>
      <c r="BF773" s="77">
        <f t="shared" si="434"/>
        <v>69.790000000000006</v>
      </c>
      <c r="BG773" s="77">
        <f t="shared" si="435"/>
        <v>20.937000000000001</v>
      </c>
      <c r="BH773" s="77">
        <f t="shared" si="436"/>
        <v>308.83980000000003</v>
      </c>
      <c r="BI773" s="78">
        <f t="shared" si="437"/>
        <v>0.23</v>
      </c>
      <c r="BJ773" s="79">
        <f t="shared" si="438"/>
        <v>0.16808774956057304</v>
      </c>
      <c r="BK773" s="80">
        <f t="shared" si="439"/>
        <v>345.40999999999997</v>
      </c>
      <c r="BL773" s="80">
        <f t="shared" si="440"/>
        <v>69.789800000000014</v>
      </c>
      <c r="BM773" s="79">
        <f t="shared" si="441"/>
        <v>0.16808726786477263</v>
      </c>
      <c r="BN773" s="81">
        <f t="shared" si="442"/>
        <v>0.78894389438943902</v>
      </c>
      <c r="BO773" s="82">
        <f t="shared" si="443"/>
        <v>239.05</v>
      </c>
      <c r="BP773" s="81">
        <f t="shared" si="444"/>
        <v>0.78894389438943902</v>
      </c>
      <c r="BQ773" s="81">
        <f t="shared" si="445"/>
        <v>0.94587402649613395</v>
      </c>
      <c r="BR773" s="81">
        <f t="shared" si="446"/>
        <v>1.1762033994334278</v>
      </c>
      <c r="BS773" s="82">
        <f t="shared" si="447"/>
        <v>303</v>
      </c>
      <c r="BT773" s="82">
        <f t="shared" si="448"/>
        <v>356.38963002832861</v>
      </c>
      <c r="BU773" s="82">
        <f t="shared" si="449"/>
        <v>308.83980000000003</v>
      </c>
      <c r="BW773" s="82">
        <f>IFERROR(INDEX('Infos Clientes'!$T:$T,MATCH('Detalhe Por UC'!$C773,'Infos Clientes'!B:B,0)),"")</f>
        <v>495.18181818181819</v>
      </c>
      <c r="BX773" s="83">
        <f t="shared" si="450"/>
        <v>0</v>
      </c>
      <c r="BY773" s="84">
        <f t="shared" si="451"/>
        <v>0.19582444077975164</v>
      </c>
      <c r="BZ773" s="85">
        <f>IF(_xlfn.MINIFS('Detalhe Por UC'!R:R,'Detalhe Por UC'!C:C,C773,'Detalhe Por UC'!AD:AD,"&gt;"&amp;0)=0,"",_xlfn.MINIFS('Detalhe Por UC'!R:R,'Detalhe Por UC'!C:C,C773,'Detalhe Por UC'!AD:AD,"&gt;"&amp;0))</f>
        <v>45658</v>
      </c>
      <c r="CA773" s="114">
        <f ca="1">IF(OR(S773&gt;0,AD773&gt;0),IFERROR(
SUMIFS(INDIRECT("'Infos Clientes'!$W"&amp;INDEX('Infos Clientes'!$C:$C,MATCH(C773,'Infos Clientes'!$H:$H,0))&amp;":$CZ"&amp;INDEX('Infos Clientes'!$C:$C,MATCH(C773,'Infos Clientes'!$H:$H,0))),'Infos Clientes'!$W$2:$CZ$2,"&gt;"&amp;$R773-365,'Infos Clientes'!$W$2:$CZ$2,"&lt;="&amp;$R773)/
COUNTIFS(INDIRECT("'Infos Clientes'!$W"&amp;INDEX('Infos Clientes'!$C:$C,MATCH(C773,'Infos Clientes'!$H:$H,0))&amp;":$CZ"&amp;INDEX('Infos Clientes'!$C:$C,MATCH(C773,'Infos Clientes'!$H:$H,0))),"&gt;="&amp;0,'Infos Clientes'!$W$2:$CZ$2,"&gt;"&amp;$R773-365,'Infos Clientes'!$W$2:$CZ$2,"&lt;="&amp;$R773),""),"")</f>
        <v>500.41666666666669</v>
      </c>
      <c r="CB773" s="87">
        <f>VLOOKUP(C773,'Infos Clientes'!B:L,11,0)</f>
        <v>0</v>
      </c>
      <c r="CC773" s="88" t="str">
        <f t="shared" si="452"/>
        <v>A Unidade Consumidora 10/15297-5 economizou R$69,79 na fatura referente à ago/2025  consumindo 303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3" s="115">
        <f t="shared" si="453"/>
        <v>-106.35999999999996</v>
      </c>
    </row>
    <row r="774" spans="1:84" ht="16.2" hidden="1" customHeight="1" x14ac:dyDescent="0.3">
      <c r="A774" s="105" t="str">
        <f>INDEX('Infos Clientes'!$D:$D,MATCH('Detalhe Por UC'!C774,'Infos Clientes'!B:B,0))</f>
        <v>IGREJA DO EVANGELHO QUADRANGULAR</v>
      </c>
      <c r="B774" s="106" t="str">
        <f>INDEX('Infos Clientes'!$F:$F,MATCH('Detalhe Por UC'!C774,'Infos Clientes'!B:B,0))</f>
        <v>62.955.505/0160-80</v>
      </c>
      <c r="C774" s="31" t="s">
        <v>207</v>
      </c>
      <c r="D774" t="s">
        <v>351</v>
      </c>
      <c r="E774" s="1" t="s">
        <v>352</v>
      </c>
      <c r="F774" s="56" t="str">
        <f>INDEX('Infos Clientes'!$I:$I,MATCH('Detalhe Por UC'!C774,'Infos Clientes'!B:B,0))</f>
        <v>BT</v>
      </c>
      <c r="G774" s="56" t="str">
        <f>INDEX('Infos Clientes'!$J:$J,MATCH('Detalhe Por UC'!C774,'Infos Clientes'!B:B,0))</f>
        <v>trifasico</v>
      </c>
      <c r="H774" s="47" t="str">
        <f t="shared" si="457"/>
        <v>GIROSSOL III</v>
      </c>
      <c r="I774" s="58">
        <f>IFERROR(VLOOKUP(C774,'Infos Clientes'!B:E,4,),"")</f>
        <v>357</v>
      </c>
      <c r="J774" s="151">
        <v>0.22596103298069697</v>
      </c>
      <c r="K774" s="79">
        <f>INDEX('Resumo Operacional'!$A$1:$P$151,MATCH("Desconto percentual Ucs",'Resumo Operacional'!$B$1:$B$151,0),MATCH('Detalhe Por UC'!$R774,'Resumo Operacional'!$A$1:$P$1,0))</f>
        <v>0.26495232343264008</v>
      </c>
      <c r="M774" s="56"/>
      <c r="N774" s="56"/>
      <c r="O774" s="56"/>
      <c r="P774" s="56"/>
      <c r="Q774" s="61"/>
      <c r="R774" s="111">
        <v>45870</v>
      </c>
      <c r="S774" s="152">
        <v>4.02E-2</v>
      </c>
      <c r="T774" s="113" t="str">
        <f>IF($H774="GIROSSOL II",AP774/INDEX('Resumo Operacional'!$A$1:$P$1103,17,MATCH('Detalhe Por UC'!$R774,'Resumo Operacional'!$A$1:$P$1,0)),
IF($H774="GIROSSOL II e III",AP774/INDEX('Resumo Operacional'!$A$1:$P$1103,17,MATCH('Detalhe Por UC'!$R774,'Resumo Operacional'!$A$1:$P$1,0)),
""))</f>
        <v/>
      </c>
      <c r="U774" s="113">
        <f>IF($H774="GIROSSOL III",AP774/INDEX('Resumo Operacional'!$A$1:$P$1103,53,MATCH('Detalhe Por UC'!$R774,'Resumo Operacional'!$A$1:$P$1,0)),
IF($H774="GIROSSOL II e III",AP774/INDEX('Resumo Operacional'!$A$1:$P$1103,53,MATCH('Detalhe Por UC'!$R774,'Resumo Operacional'!$A$1:$P$1,0)),
""))</f>
        <v>5.9892874533354977E-2</v>
      </c>
      <c r="X774">
        <v>1.1629932964150393</v>
      </c>
      <c r="Z774" s="18">
        <v>1.0061086578348721</v>
      </c>
      <c r="AB774" s="18">
        <v>365</v>
      </c>
      <c r="AD774" s="143">
        <v>318</v>
      </c>
      <c r="AF774" s="18">
        <v>353</v>
      </c>
      <c r="AH774" s="49">
        <v>61.67</v>
      </c>
      <c r="AK774" s="153">
        <v>166.22</v>
      </c>
      <c r="AL774" s="43">
        <f t="shared" si="456"/>
        <v>0</v>
      </c>
      <c r="AN774" s="71">
        <f t="shared" si="420"/>
        <v>51</v>
      </c>
      <c r="AO774" s="71">
        <f t="shared" si="421"/>
        <v>0</v>
      </c>
      <c r="AP774" s="71">
        <f t="shared" si="422"/>
        <v>369</v>
      </c>
      <c r="AQ774" s="72">
        <f>IF(OR($H774="GIROSSOL II",$H774="GIROSSOL II e III"),INDEX('Resumo Operacional'!$A$1:$P$1103,MATCH("Energia Injetada prevista total Fatura da Usina (TUSD)",'Resumo Operacional'!$B$1:$B$1103,0),MATCH('Detalhe Por UC'!$R774,'Resumo Operacional'!$A$1:$P$1,0))*$S774,INDEX('Resumo Operacional'!$A$1:$P$1103,53,MATCH('Detalhe Por UC'!$R774,'Resumo Operacional'!$A$1:$P$1,0))*$S774)</f>
        <v>247.6722</v>
      </c>
      <c r="AR774" s="71">
        <f t="shared" si="423"/>
        <v>121.3278</v>
      </c>
      <c r="AS774" s="73">
        <f t="shared" si="424"/>
        <v>166.22000000000008</v>
      </c>
      <c r="AT774" s="74">
        <f t="shared" si="425"/>
        <v>166.22000000000008</v>
      </c>
      <c r="AU774" s="74">
        <f t="shared" si="426"/>
        <v>0.84922401925470492</v>
      </c>
      <c r="AV774" s="74">
        <f t="shared" si="427"/>
        <v>247.64800337785886</v>
      </c>
      <c r="AW774" s="74">
        <f t="shared" si="428"/>
        <v>0</v>
      </c>
      <c r="AX774" s="74">
        <f t="shared" si="429"/>
        <v>319.94255319148931</v>
      </c>
      <c r="AY774" s="74">
        <f t="shared" si="430"/>
        <v>247.65</v>
      </c>
      <c r="AZ774" s="117">
        <v>247.65</v>
      </c>
      <c r="BA774" s="49">
        <v>247.65</v>
      </c>
      <c r="BB774" s="49">
        <v>247.65</v>
      </c>
      <c r="BC774" s="73" t="str">
        <f t="shared" si="431"/>
        <v/>
      </c>
      <c r="BD774" s="73">
        <f t="shared" si="432"/>
        <v>486.16255319148939</v>
      </c>
      <c r="BE774" s="73">
        <f t="shared" si="433"/>
        <v>413.86800337785894</v>
      </c>
      <c r="BF774" s="77">
        <f t="shared" si="434"/>
        <v>72.290000000000006</v>
      </c>
      <c r="BG774" s="77">
        <f t="shared" si="435"/>
        <v>21.687000000000001</v>
      </c>
      <c r="BH774" s="77">
        <f t="shared" si="436"/>
        <v>319.94255319148931</v>
      </c>
      <c r="BI774" s="78">
        <f t="shared" si="437"/>
        <v>0.23</v>
      </c>
      <c r="BJ774" s="79">
        <f t="shared" si="438"/>
        <v>0.1486951216736894</v>
      </c>
      <c r="BK774" s="80">
        <f t="shared" si="439"/>
        <v>413.87000000000012</v>
      </c>
      <c r="BL774" s="80">
        <f t="shared" si="440"/>
        <v>72.292553191489276</v>
      </c>
      <c r="BM774" s="79">
        <f t="shared" si="441"/>
        <v>0.14870037339756756</v>
      </c>
      <c r="BN774" s="81">
        <f t="shared" si="442"/>
        <v>0.7787735849056604</v>
      </c>
      <c r="BO774" s="82">
        <f t="shared" si="443"/>
        <v>247.65</v>
      </c>
      <c r="BP774" s="81">
        <f t="shared" si="444"/>
        <v>0.7787735849056604</v>
      </c>
      <c r="BQ774" s="81">
        <f t="shared" si="445"/>
        <v>0.93565822348582761</v>
      </c>
      <c r="BR774" s="81">
        <f t="shared" si="446"/>
        <v>1.1629932964150393</v>
      </c>
      <c r="BS774" s="82">
        <f t="shared" si="447"/>
        <v>318</v>
      </c>
      <c r="BT774" s="82">
        <f t="shared" si="448"/>
        <v>369.83186825998251</v>
      </c>
      <c r="BU774" s="82">
        <f t="shared" si="449"/>
        <v>319.94255319148931</v>
      </c>
      <c r="BW774" s="82">
        <f>IFERROR(INDEX('Infos Clientes'!$T:$T,MATCH('Detalhe Por UC'!$C774,'Infos Clientes'!B:B,0)),"")</f>
        <v>510.45454545454544</v>
      </c>
      <c r="BX774" s="83">
        <f t="shared" si="450"/>
        <v>0</v>
      </c>
      <c r="BY774" s="84">
        <f t="shared" si="451"/>
        <v>0.19547410430479584</v>
      </c>
      <c r="BZ774" s="85">
        <f>IF(_xlfn.MINIFS('Detalhe Por UC'!R:R,'Detalhe Por UC'!C:C,C774,'Detalhe Por UC'!AD:AD,"&gt;"&amp;0)=0,"",_xlfn.MINIFS('Detalhe Por UC'!R:R,'Detalhe Por UC'!C:C,C774,'Detalhe Por UC'!AD:AD,"&gt;"&amp;0))</f>
        <v>45658</v>
      </c>
      <c r="CA774" s="114">
        <f ca="1">IF(OR(S774&gt;0,AD774&gt;0),IFERROR(
SUMIFS(INDIRECT("'Infos Clientes'!$W"&amp;INDEX('Infos Clientes'!$C:$C,MATCH(C774,'Infos Clientes'!$H:$H,0))&amp;":$CZ"&amp;INDEX('Infos Clientes'!$C:$C,MATCH(C774,'Infos Clientes'!$H:$H,0))),'Infos Clientes'!$W$2:$CZ$2,"&gt;"&amp;$R774-365,'Infos Clientes'!$W$2:$CZ$2,"&lt;="&amp;$R774)/
COUNTIFS(INDIRECT("'Infos Clientes'!$W"&amp;INDEX('Infos Clientes'!$C:$C,MATCH(C774,'Infos Clientes'!$H:$H,0))&amp;":$CZ"&amp;INDEX('Infos Clientes'!$C:$C,MATCH(C774,'Infos Clientes'!$H:$H,0))),"&gt;="&amp;0,'Infos Clientes'!$W$2:$CZ$2,"&gt;"&amp;$R774-365,'Infos Clientes'!$W$2:$CZ$2,"&lt;="&amp;$R774),""),"")</f>
        <v>469.75</v>
      </c>
      <c r="CB774" s="87">
        <f>VLOOKUP(C774,'Infos Clientes'!B:L,11,0)</f>
        <v>0</v>
      </c>
      <c r="CC774" s="88" t="str">
        <f t="shared" si="452"/>
        <v>A Unidade Consumidora 10/489076-0 economizou R$72,29 na fatura referente à ago/2025  consumindo 318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4" s="115">
        <f t="shared" si="453"/>
        <v>-166.22000000000008</v>
      </c>
    </row>
    <row r="775" spans="1:84" ht="16.2" hidden="1" customHeight="1" x14ac:dyDescent="0.3">
      <c r="A775" s="105" t="str">
        <f>INDEX('Infos Clientes'!$D:$D,MATCH('Detalhe Por UC'!C775,'Infos Clientes'!B:B,0))</f>
        <v>IGREJA DO EVANGELHO QUADRANGULAR</v>
      </c>
      <c r="B775" s="106" t="str">
        <f>INDEX('Infos Clientes'!$F:$F,MATCH('Detalhe Por UC'!C775,'Infos Clientes'!B:B,0))</f>
        <v>62.955.505/2132-33</v>
      </c>
      <c r="C775" s="31" t="s">
        <v>197</v>
      </c>
      <c r="D775" t="s">
        <v>351</v>
      </c>
      <c r="E775" s="1" t="s">
        <v>352</v>
      </c>
      <c r="F775" s="56" t="str">
        <f>INDEX('Infos Clientes'!$I:$I,MATCH('Detalhe Por UC'!C775,'Infos Clientes'!B:B,0))</f>
        <v>BT</v>
      </c>
      <c r="G775" s="56" t="str">
        <f>INDEX('Infos Clientes'!$J:$J,MATCH('Detalhe Por UC'!C775,'Infos Clientes'!B:B,0))</f>
        <v>trifasico</v>
      </c>
      <c r="H775" s="47" t="str">
        <f t="shared" si="457"/>
        <v>GIROSSOL III</v>
      </c>
      <c r="I775" s="58">
        <f>IFERROR(VLOOKUP(C775,'Infos Clientes'!B:E,4,),"")</f>
        <v>306</v>
      </c>
      <c r="J775" s="151">
        <v>0.22596103298069697</v>
      </c>
      <c r="K775" s="79">
        <f>INDEX('Resumo Operacional'!$A$1:$P$151,MATCH("Desconto percentual Ucs",'Resumo Operacional'!$B$1:$B$151,0),MATCH('Detalhe Por UC'!$R775,'Resumo Operacional'!$A$1:$P$1,0))</f>
        <v>0.26495232343264008</v>
      </c>
      <c r="M775" s="56"/>
      <c r="N775" s="56"/>
      <c r="O775" s="56"/>
      <c r="P775" s="56"/>
      <c r="Q775" s="61"/>
      <c r="R775" s="111">
        <v>45870</v>
      </c>
      <c r="S775" s="152">
        <v>4.02E-2</v>
      </c>
      <c r="T775" s="113" t="str">
        <f>IF($H775="GIROSSOL II",AP775/INDEX('Resumo Operacional'!$A$1:$P$1103,17,MATCH('Detalhe Por UC'!$R775,'Resumo Operacional'!$A$1:$P$1,0)),
IF($H775="GIROSSOL II e III",AP775/INDEX('Resumo Operacional'!$A$1:$P$1103,17,MATCH('Detalhe Por UC'!$R775,'Resumo Operacional'!$A$1:$P$1,0)),
""))</f>
        <v/>
      </c>
      <c r="U775" s="113">
        <f>IF($H775="GIROSSOL III",AP775/INDEX('Resumo Operacional'!$A$1:$P$1103,53,MATCH('Detalhe Por UC'!$R775,'Resumo Operacional'!$A$1:$P$1,0)),
IF($H775="GIROSSOL II e III",AP775/INDEX('Resumo Operacional'!$A$1:$P$1103,53,MATCH('Detalhe Por UC'!$R775,'Resumo Operacional'!$A$1:$P$1,0)),
""))</f>
        <v>0.10111994806037981</v>
      </c>
      <c r="X775">
        <v>1.1741003798779786</v>
      </c>
      <c r="Z775" s="18">
        <v>1.0172478206724784</v>
      </c>
      <c r="AB775" s="18">
        <v>238</v>
      </c>
      <c r="AD775" s="143">
        <v>165</v>
      </c>
      <c r="AF775" s="18">
        <v>1077</v>
      </c>
      <c r="AH775" s="49">
        <v>2.4300000000000002</v>
      </c>
      <c r="AK775" s="153">
        <v>114.02</v>
      </c>
      <c r="AL775" s="43">
        <f t="shared" si="456"/>
        <v>0</v>
      </c>
      <c r="AN775" s="71">
        <f t="shared" si="420"/>
        <v>458</v>
      </c>
      <c r="AO775" s="71">
        <f t="shared" si="421"/>
        <v>0</v>
      </c>
      <c r="AP775" s="71">
        <f t="shared" si="422"/>
        <v>623</v>
      </c>
      <c r="AQ775" s="72">
        <f>IF(OR($H775="GIROSSOL II",$H775="GIROSSOL II e III"),INDEX('Resumo Operacional'!$A$1:$P$1103,MATCH("Energia Injetada prevista total Fatura da Usina (TUSD)",'Resumo Operacional'!$B$1:$B$1103,0),MATCH('Detalhe Por UC'!$R775,'Resumo Operacional'!$A$1:$P$1,0))*$S775,INDEX('Resumo Operacional'!$A$1:$P$1103,53,MATCH('Detalhe Por UC'!$R775,'Resumo Operacional'!$A$1:$P$1,0))*$S775)</f>
        <v>247.6722</v>
      </c>
      <c r="AR775" s="71">
        <f t="shared" si="423"/>
        <v>375.32780000000002</v>
      </c>
      <c r="AS775" s="73">
        <f t="shared" si="424"/>
        <v>114.01999999999998</v>
      </c>
      <c r="AT775" s="74">
        <f t="shared" si="425"/>
        <v>114.01999999999998</v>
      </c>
      <c r="AU775" s="74">
        <f t="shared" si="426"/>
        <v>0.86039526146697831</v>
      </c>
      <c r="AV775" s="74">
        <f t="shared" si="427"/>
        <v>129.91925963213382</v>
      </c>
      <c r="AW775" s="74">
        <f t="shared" si="428"/>
        <v>0</v>
      </c>
      <c r="AX775" s="74">
        <f t="shared" si="429"/>
        <v>167.84589041095893</v>
      </c>
      <c r="AY775" s="74">
        <f t="shared" si="430"/>
        <v>129.91999999999999</v>
      </c>
      <c r="AZ775" s="117">
        <v>129.91999999999999</v>
      </c>
      <c r="BA775" s="49">
        <v>129.91999999999999</v>
      </c>
      <c r="BB775" s="49">
        <v>129.91999999999999</v>
      </c>
      <c r="BC775" s="73" t="str">
        <f t="shared" si="431"/>
        <v/>
      </c>
      <c r="BD775" s="73">
        <f t="shared" si="432"/>
        <v>281.86589041095891</v>
      </c>
      <c r="BE775" s="73">
        <f t="shared" si="433"/>
        <v>243.9392596321338</v>
      </c>
      <c r="BF775" s="77">
        <f t="shared" si="434"/>
        <v>37.93</v>
      </c>
      <c r="BG775" s="77">
        <f t="shared" si="435"/>
        <v>11.379</v>
      </c>
      <c r="BH775" s="77">
        <f t="shared" si="436"/>
        <v>167.84589041095893</v>
      </c>
      <c r="BI775" s="78">
        <f t="shared" si="437"/>
        <v>0.23</v>
      </c>
      <c r="BJ775" s="79">
        <f t="shared" si="438"/>
        <v>0.13456754183593578</v>
      </c>
      <c r="BK775" s="80">
        <f t="shared" si="439"/>
        <v>243.93999999999997</v>
      </c>
      <c r="BL775" s="80">
        <f t="shared" si="440"/>
        <v>37.925890410958942</v>
      </c>
      <c r="BM775" s="79">
        <f t="shared" si="441"/>
        <v>0.13455296189142718</v>
      </c>
      <c r="BN775" s="81">
        <f t="shared" si="442"/>
        <v>0.78739393939393931</v>
      </c>
      <c r="BO775" s="82">
        <f t="shared" si="443"/>
        <v>129.91999999999999</v>
      </c>
      <c r="BP775" s="81">
        <f t="shared" si="444"/>
        <v>0.78739393939393931</v>
      </c>
      <c r="BQ775" s="81">
        <f t="shared" si="445"/>
        <v>0.94424649859943943</v>
      </c>
      <c r="BR775" s="81">
        <f t="shared" si="446"/>
        <v>1.1741003798779786</v>
      </c>
      <c r="BS775" s="82">
        <f t="shared" si="447"/>
        <v>165</v>
      </c>
      <c r="BT775" s="82">
        <f t="shared" si="448"/>
        <v>193.72656267986645</v>
      </c>
      <c r="BU775" s="82">
        <f t="shared" si="449"/>
        <v>167.84589041095893</v>
      </c>
      <c r="BW775" s="82">
        <f>IFERROR(INDEX('Infos Clientes'!$T:$T,MATCH('Detalhe Por UC'!$C775,'Infos Clientes'!B:B,0)),"")</f>
        <v>659.09090909090912</v>
      </c>
      <c r="BX775" s="83">
        <f t="shared" si="450"/>
        <v>0</v>
      </c>
      <c r="BY775" s="84">
        <f t="shared" si="451"/>
        <v>0.19577021285218157</v>
      </c>
      <c r="BZ775" s="85">
        <f>IF(_xlfn.MINIFS('Detalhe Por UC'!R:R,'Detalhe Por UC'!C:C,C775,'Detalhe Por UC'!AD:AD,"&gt;"&amp;0)=0,"",_xlfn.MINIFS('Detalhe Por UC'!R:R,'Detalhe Por UC'!C:C,C775,'Detalhe Por UC'!AD:AD,"&gt;"&amp;0))</f>
        <v>45658</v>
      </c>
      <c r="CA775" s="114">
        <f ca="1">IF(OR(S775&gt;0,AD775&gt;0),IFERROR(
SUMIFS(INDIRECT("'Infos Clientes'!$W"&amp;INDEX('Infos Clientes'!$C:$C,MATCH(C775,'Infos Clientes'!$H:$H,0))&amp;":$CZ"&amp;INDEX('Infos Clientes'!$C:$C,MATCH(C775,'Infos Clientes'!$H:$H,0))),'Infos Clientes'!$W$2:$CZ$2,"&gt;"&amp;$R775-365,'Infos Clientes'!$W$2:$CZ$2,"&lt;="&amp;$R775)/
COUNTIFS(INDIRECT("'Infos Clientes'!$W"&amp;INDEX('Infos Clientes'!$C:$C,MATCH(C775,'Infos Clientes'!$H:$H,0))&amp;":$CZ"&amp;INDEX('Infos Clientes'!$C:$C,MATCH(C775,'Infos Clientes'!$H:$H,0))),"&gt;="&amp;0,'Infos Clientes'!$W$2:$CZ$2,"&gt;"&amp;$R775-365,'Infos Clientes'!$W$2:$CZ$2,"&lt;="&amp;$R775),""),"")</f>
        <v>547.16666666666663</v>
      </c>
      <c r="CB775" s="87">
        <f>VLOOKUP(C775,'Infos Clientes'!B:L,11,0)</f>
        <v>0</v>
      </c>
      <c r="CC775" s="88" t="str">
        <f t="shared" si="452"/>
        <v>A Unidade Consumidora 10/399338-3 economizou R$37,93 na fatura referente à ago/2025  consumindo 165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5" s="115">
        <f t="shared" si="453"/>
        <v>-114.01999999999998</v>
      </c>
    </row>
    <row r="776" spans="1:84" ht="16.2" hidden="1" customHeight="1" x14ac:dyDescent="0.3">
      <c r="A776" s="105" t="str">
        <f>INDEX('Infos Clientes'!$D:$D,MATCH('Detalhe Por UC'!C776,'Infos Clientes'!B:B,0))</f>
        <v>IGREJA DO EVANGELHO QUADRANGULAR</v>
      </c>
      <c r="B776" s="106" t="str">
        <f>INDEX('Infos Clientes'!$F:$F,MATCH('Detalhe Por UC'!C776,'Infos Clientes'!B:B,0))</f>
        <v>62.955.505/3311-98</v>
      </c>
      <c r="C776" s="31" t="s">
        <v>147</v>
      </c>
      <c r="D776" t="s">
        <v>351</v>
      </c>
      <c r="E776" s="1" t="s">
        <v>352</v>
      </c>
      <c r="F776" s="56" t="str">
        <f>INDEX('Infos Clientes'!$I:$I,MATCH('Detalhe Por UC'!C776,'Infos Clientes'!B:B,0))</f>
        <v>BT</v>
      </c>
      <c r="G776" s="56" t="str">
        <f>INDEX('Infos Clientes'!$J:$J,MATCH('Detalhe Por UC'!C776,'Infos Clientes'!B:B,0))</f>
        <v>trifasico</v>
      </c>
      <c r="H776" s="47" t="str">
        <f t="shared" si="457"/>
        <v>GIROSSOL III</v>
      </c>
      <c r="I776" s="58">
        <f>IFERROR(VLOOKUP(C776,'Infos Clientes'!B:E,4,),"")</f>
        <v>360</v>
      </c>
      <c r="J776" s="151">
        <v>0.22596103298069697</v>
      </c>
      <c r="K776" s="79">
        <f>INDEX('Resumo Operacional'!$A$1:$P$151,MATCH("Desconto percentual Ucs",'Resumo Operacional'!$B$1:$B$151,0),MATCH('Detalhe Por UC'!$R776,'Resumo Operacional'!$A$1:$P$1,0))</f>
        <v>0.26495232343264008</v>
      </c>
      <c r="M776" s="56"/>
      <c r="N776" s="56"/>
      <c r="O776" s="56"/>
      <c r="P776" s="56"/>
      <c r="Q776" s="61"/>
      <c r="R776" s="111">
        <v>45870</v>
      </c>
      <c r="S776" s="152">
        <v>4.02E-2</v>
      </c>
      <c r="T776" s="113" t="str">
        <f>IF($H776="GIROSSOL II",AP776/INDEX('Resumo Operacional'!$A$1:$P$1103,17,MATCH('Detalhe Por UC'!$R776,'Resumo Operacional'!$A$1:$P$1,0)),
IF($H776="GIROSSOL II e III",AP776/INDEX('Resumo Operacional'!$A$1:$P$1103,17,MATCH('Detalhe Por UC'!$R776,'Resumo Operacional'!$A$1:$P$1,0)),
""))</f>
        <v/>
      </c>
      <c r="U776" s="113">
        <f>IF($H776="GIROSSOL III",AP776/INDEX('Resumo Operacional'!$A$1:$P$1103,53,MATCH('Detalhe Por UC'!$R776,'Resumo Operacional'!$A$1:$P$1,0)),
IF($H776="GIROSSOL II e III",AP776/INDEX('Resumo Operacional'!$A$1:$P$1103,53,MATCH('Detalhe Por UC'!$R776,'Resumo Operacional'!$A$1:$P$1,0)),
""))</f>
        <v>5.9892874533354977E-2</v>
      </c>
      <c r="X776">
        <v>1.1638794642857142</v>
      </c>
      <c r="Z776" s="18">
        <v>1.0069751082251082</v>
      </c>
      <c r="AB776" s="18">
        <v>320</v>
      </c>
      <c r="AD776" s="143">
        <v>264</v>
      </c>
      <c r="AF776" s="18">
        <v>466</v>
      </c>
      <c r="AH776" s="49">
        <v>67.210000000000008</v>
      </c>
      <c r="AK776" s="153">
        <v>173.81</v>
      </c>
      <c r="AL776" s="43">
        <f t="shared" si="456"/>
        <v>0</v>
      </c>
      <c r="AN776" s="71">
        <f t="shared" si="420"/>
        <v>105</v>
      </c>
      <c r="AO776" s="71">
        <f t="shared" si="421"/>
        <v>0</v>
      </c>
      <c r="AP776" s="71">
        <f t="shared" si="422"/>
        <v>369</v>
      </c>
      <c r="AQ776" s="72">
        <f>IF(OR($H776="GIROSSOL II",$H776="GIROSSOL II e III"),INDEX('Resumo Operacional'!$A$1:$P$1103,MATCH("Energia Injetada prevista total Fatura da Usina (TUSD)",'Resumo Operacional'!$B$1:$B$1103,0),MATCH('Detalhe Por UC'!$R776,'Resumo Operacional'!$A$1:$P$1,0))*$S776,INDEX('Resumo Operacional'!$A$1:$P$1103,53,MATCH('Detalhe Por UC'!$R776,'Resumo Operacional'!$A$1:$P$1,0))*$S776)</f>
        <v>247.6722</v>
      </c>
      <c r="AR776" s="71">
        <f t="shared" si="423"/>
        <v>121.3278</v>
      </c>
      <c r="AS776" s="73">
        <f t="shared" si="424"/>
        <v>173.81000000000003</v>
      </c>
      <c r="AT776" s="74">
        <f t="shared" si="425"/>
        <v>173.81000000000003</v>
      </c>
      <c r="AU776" s="74">
        <f t="shared" si="426"/>
        <v>0.85007075216450212</v>
      </c>
      <c r="AV776" s="74">
        <f t="shared" si="427"/>
        <v>205.77162476236441</v>
      </c>
      <c r="AW776" s="74">
        <f t="shared" si="428"/>
        <v>0</v>
      </c>
      <c r="AX776" s="74">
        <f t="shared" si="429"/>
        <v>265.84142857142854</v>
      </c>
      <c r="AY776" s="74">
        <f t="shared" si="430"/>
        <v>205.77</v>
      </c>
      <c r="AZ776" s="117">
        <v>205.77</v>
      </c>
      <c r="BA776" s="49">
        <v>205.77</v>
      </c>
      <c r="BB776" s="49">
        <v>205.77</v>
      </c>
      <c r="BC776" s="73" t="str">
        <f t="shared" si="431"/>
        <v/>
      </c>
      <c r="BD776" s="73">
        <f t="shared" si="432"/>
        <v>439.6514285714286</v>
      </c>
      <c r="BE776" s="73">
        <f t="shared" si="433"/>
        <v>379.58162476236441</v>
      </c>
      <c r="BF776" s="77">
        <f t="shared" si="434"/>
        <v>60.07</v>
      </c>
      <c r="BG776" s="77">
        <f t="shared" si="435"/>
        <v>18.021000000000001</v>
      </c>
      <c r="BH776" s="77">
        <f t="shared" si="436"/>
        <v>265.84142857142854</v>
      </c>
      <c r="BI776" s="78">
        <f t="shared" si="437"/>
        <v>0.23</v>
      </c>
      <c r="BJ776" s="79">
        <f t="shared" si="438"/>
        <v>0.13663096738975031</v>
      </c>
      <c r="BK776" s="80">
        <f t="shared" si="439"/>
        <v>379.58000000000004</v>
      </c>
      <c r="BL776" s="80">
        <f t="shared" si="440"/>
        <v>60.071428571428555</v>
      </c>
      <c r="BM776" s="79">
        <f t="shared" si="441"/>
        <v>0.13663421671713952</v>
      </c>
      <c r="BN776" s="81">
        <f t="shared" si="442"/>
        <v>0.77943181818181817</v>
      </c>
      <c r="BO776" s="82">
        <f t="shared" si="443"/>
        <v>205.77</v>
      </c>
      <c r="BP776" s="81">
        <f t="shared" si="444"/>
        <v>0.77943181818181817</v>
      </c>
      <c r="BQ776" s="81">
        <f t="shared" si="445"/>
        <v>0.93633617424242421</v>
      </c>
      <c r="BR776" s="81">
        <f t="shared" si="446"/>
        <v>1.1638794642857142</v>
      </c>
      <c r="BS776" s="82">
        <f t="shared" si="447"/>
        <v>264</v>
      </c>
      <c r="BT776" s="82">
        <f t="shared" si="448"/>
        <v>307.26417857142854</v>
      </c>
      <c r="BU776" s="82">
        <f t="shared" si="449"/>
        <v>265.84142857142854</v>
      </c>
      <c r="BW776" s="82">
        <f>IFERROR(INDEX('Infos Clientes'!$T:$T,MATCH('Detalhe Por UC'!$C776,'Infos Clientes'!B:B,0)),"")</f>
        <v>471.63636363636363</v>
      </c>
      <c r="BX776" s="83">
        <f t="shared" si="450"/>
        <v>0</v>
      </c>
      <c r="BY776" s="84">
        <f t="shared" si="451"/>
        <v>0.19550417120121269</v>
      </c>
      <c r="BZ776" s="85">
        <f>IF(_xlfn.MINIFS('Detalhe Por UC'!R:R,'Detalhe Por UC'!C:C,C776,'Detalhe Por UC'!AD:AD,"&gt;"&amp;0)=0,"",_xlfn.MINIFS('Detalhe Por UC'!R:R,'Detalhe Por UC'!C:C,C776,'Detalhe Por UC'!AD:AD,"&gt;"&amp;0))</f>
        <v>45658</v>
      </c>
      <c r="CA776" s="114">
        <f ca="1">IF(OR(S776&gt;0,AD776&gt;0),IFERROR(
SUMIFS(INDIRECT("'Infos Clientes'!$W"&amp;INDEX('Infos Clientes'!$C:$C,MATCH(C776,'Infos Clientes'!$H:$H,0))&amp;":$CZ"&amp;INDEX('Infos Clientes'!$C:$C,MATCH(C776,'Infos Clientes'!$H:$H,0))),'Infos Clientes'!$W$2:$CZ$2,"&gt;"&amp;$R776-365,'Infos Clientes'!$W$2:$CZ$2,"&lt;="&amp;$R776)/
COUNTIFS(INDIRECT("'Infos Clientes'!$W"&amp;INDEX('Infos Clientes'!$C:$C,MATCH(C776,'Infos Clientes'!$H:$H,0))&amp;":$CZ"&amp;INDEX('Infos Clientes'!$C:$C,MATCH(C776,'Infos Clientes'!$H:$H,0))),"&gt;="&amp;0,'Infos Clientes'!$W$2:$CZ$2,"&gt;"&amp;$R776-365,'Infos Clientes'!$W$2:$CZ$2,"&lt;="&amp;$R776),""),"")</f>
        <v>478.33333333333331</v>
      </c>
      <c r="CB776" s="87">
        <f>VLOOKUP(C776,'Infos Clientes'!B:L,11,0)</f>
        <v>0</v>
      </c>
      <c r="CC776" s="88" t="str">
        <f t="shared" si="452"/>
        <v>A Unidade Consumidora 10/127464-6 economizou R$60,07 na fatura referente à ago/2025  consumindo 264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6" s="115">
        <f t="shared" si="453"/>
        <v>-173.81000000000003</v>
      </c>
    </row>
    <row r="777" spans="1:84" ht="16.2" hidden="1" customHeight="1" x14ac:dyDescent="0.3">
      <c r="A777" s="105" t="str">
        <f>INDEX('Infos Clientes'!$D:$D,MATCH('Detalhe Por UC'!C777,'Infos Clientes'!B:B,0))</f>
        <v>IGREJA DO EVANGELHO QUADRANGULAR</v>
      </c>
      <c r="B777" s="106" t="str">
        <f>INDEX('Infos Clientes'!$F:$F,MATCH('Detalhe Por UC'!C777,'Infos Clientes'!B:B,0))</f>
        <v>62.955.505/0585-99</v>
      </c>
      <c r="C777" s="31" t="s">
        <v>225</v>
      </c>
      <c r="D777" t="s">
        <v>351</v>
      </c>
      <c r="E777" s="1" t="s">
        <v>352</v>
      </c>
      <c r="F777" s="56" t="str">
        <f>INDEX('Infos Clientes'!$I:$I,MATCH('Detalhe Por UC'!C777,'Infos Clientes'!B:B,0))</f>
        <v>BT</v>
      </c>
      <c r="G777" s="56" t="str">
        <f>INDEX('Infos Clientes'!$J:$J,MATCH('Detalhe Por UC'!C777,'Infos Clientes'!B:B,0))</f>
        <v>trifasico</v>
      </c>
      <c r="H777" s="47" t="str">
        <f t="shared" si="457"/>
        <v>GIROSSOL III</v>
      </c>
      <c r="I777" s="58">
        <f>IFERROR(VLOOKUP(C777,'Infos Clientes'!B:E,4,),"")</f>
        <v>302</v>
      </c>
      <c r="J777" s="151">
        <v>0.22596103298069697</v>
      </c>
      <c r="K777" s="79">
        <f>INDEX('Resumo Operacional'!$A$1:$P$151,MATCH("Desconto percentual Ucs",'Resumo Operacional'!$B$1:$B$151,0),MATCH('Detalhe Por UC'!$R777,'Resumo Operacional'!$A$1:$P$1,0))</f>
        <v>0.26495232343264008</v>
      </c>
      <c r="M777" s="56"/>
      <c r="N777" s="56"/>
      <c r="O777" s="56"/>
      <c r="P777" s="56"/>
      <c r="Q777" s="61"/>
      <c r="R777" s="111">
        <v>45870</v>
      </c>
      <c r="S777" s="152">
        <v>3.0200000000000001E-2</v>
      </c>
      <c r="T777" s="113" t="str">
        <f>IF($H777="GIROSSOL II",AP777/INDEX('Resumo Operacional'!$A$1:$P$1103,17,MATCH('Detalhe Por UC'!$R777,'Resumo Operacional'!$A$1:$P$1,0)),
IF($H777="GIROSSOL II e III",AP777/INDEX('Resumo Operacional'!$A$1:$P$1103,17,MATCH('Detalhe Por UC'!$R777,'Resumo Operacional'!$A$1:$P$1,0)),
""))</f>
        <v/>
      </c>
      <c r="U777" s="113">
        <f>IF($H777="GIROSSOL III",AP777/INDEX('Resumo Operacional'!$A$1:$P$1103,53,MATCH('Detalhe Por UC'!$R777,'Resumo Operacional'!$A$1:$P$1,0)),
IF($H777="GIROSSOL II e III",AP777/INDEX('Resumo Operacional'!$A$1:$P$1103,53,MATCH('Detalhe Por UC'!$R777,'Resumo Operacional'!$A$1:$P$1,0)),
""))</f>
        <v>4.496023372829086E-2</v>
      </c>
      <c r="X777">
        <v>1.1665979899497487</v>
      </c>
      <c r="Z777" s="18">
        <v>1.0096890756302519</v>
      </c>
      <c r="AB777" s="18">
        <v>199</v>
      </c>
      <c r="AD777" s="143">
        <v>119</v>
      </c>
      <c r="AF777" s="18">
        <v>475</v>
      </c>
      <c r="AH777" s="49">
        <v>24.85</v>
      </c>
      <c r="AK777" s="153">
        <v>136.85</v>
      </c>
      <c r="AL777" s="43">
        <f t="shared" si="456"/>
        <v>0</v>
      </c>
      <c r="AN777" s="71">
        <f t="shared" ref="AN777:AN840" si="458">IF(X777="","",AF777-SUMIFS(AF:AF,$C:$C,$C777,$R:$R,EDATE($R777,-1)))</f>
        <v>158</v>
      </c>
      <c r="AO777" s="71">
        <f t="shared" ref="AO777:AO840" si="459">IF(X777="","",AG777-SUMIFS(AG:AG,$H:$H,$H777,$C:$C,$C777,$R:$R,EDATE($R777,-1)))</f>
        <v>0</v>
      </c>
      <c r="AP777" s="71">
        <f t="shared" ref="AP777:AP840" si="460">IFERROR(IF(D777="CRÉD. CONSUMIDO",SUM(AD777,AE777,AN777,AO777),IF(D777="GERADO",AQ777)),"")</f>
        <v>277</v>
      </c>
      <c r="AQ777" s="72">
        <f>IF(OR($H777="GIROSSOL II",$H777="GIROSSOL II e III"),INDEX('Resumo Operacional'!$A$1:$P$1103,MATCH("Energia Injetada prevista total Fatura da Usina (TUSD)",'Resumo Operacional'!$B$1:$B$1103,0),MATCH('Detalhe Por UC'!$R777,'Resumo Operacional'!$A$1:$P$1,0))*$S777,INDEX('Resumo Operacional'!$A$1:$P$1103,53,MATCH('Detalhe Por UC'!$R777,'Resumo Operacional'!$A$1:$P$1,0))*$S777)</f>
        <v>186.06220000000002</v>
      </c>
      <c r="AR777" s="71">
        <f t="shared" ref="AR777:AR840" si="461">IF(X777="","",AP777-AQ777)</f>
        <v>90.937799999999982</v>
      </c>
      <c r="AS777" s="73">
        <f t="shared" ref="AS777:AS840" si="462">IFERROR((X777*AB777-Z777*AD777+Y777*AC777-AA777*AE777)+AH777+
IF(F777&lt;&gt;"BT",0,
IF(AND(G777="trifasico",AD777=0,AB777&lt;100),X777*(100-(AB777-AD777)),
IF(AND(G777="bifasico",AD777=0,AB777&lt;50),X777*(50-(AB777-AD777)),
IF(AND(G777="monofasico",AD777=0,AB777&lt;30),X777*(30-(AB777-AD777)),0)))),"")</f>
        <v>136.85000000000002</v>
      </c>
      <c r="AT777" s="74">
        <f t="shared" ref="AT777:AT840" si="463">IFERROR(AS777+AI777+AJ777,"")</f>
        <v>136.85000000000002</v>
      </c>
      <c r="AU777" s="74">
        <f t="shared" ref="AU777:AU840" si="464">IFERROR((Z777*AD777+AA777*AE777)/(AD777+AE777)-((X777-Z777)*AD777+(Y777-AA777)*AE777)/(AD777+AE777),"")</f>
        <v>0.85278016131075507</v>
      </c>
      <c r="AV777" s="74">
        <f t="shared" ref="AV777:AV840" si="465">IFERROR(IF(AND(E777="FINAL-Ñ.COMP",D777="CRÉD. CONSUMIDO"),(X777*(1-J777)-(X777-Z777))*AD777+(Y777*(1-J777)-(Y777-AA777))*AE777,
IF(AND(E777="T.COMP",D777="CRÉD. CONSUMIDO"),Z777*(1-J777)*AD777+AA777*(1-J777)*AE777,
IF(AND(E777="T.S.IMP",D777="CRÉD. CONSUMIDO"),V777*(1-J777)*AD777+W777*(1-J777)*AE777,
IF(AND(E777="T.S.IMP",D777="GERADO"),V777*(1-J777)*AQ777+W777*(1-J777)*AQ777,
IF(AND(E777="T.COMP",D777="GERADO"),AU777*(1-J777)*AQ777,
IF(AND(E777="FINAL-Ñ.COMP",D777="GERADO"),(AU777*(1-J777)-(X777-Z777))*AQ777,"ERRO")))))),"")</f>
        <v>93.003104004270298</v>
      </c>
      <c r="AW777" s="74">
        <f t="shared" ref="AW777:AW840" si="466">IF(45658=R777,0,IF(
SUMIFS($BA:$BA,$C:$C,$C777,$R:$R,EDATE($R777,-1))
&gt;=0,
SUMIFS(AY:AY,$C:$C,$C777,$R:$R,EDATE($R777,-1))-SUMIFS(BA:BA,$C:$C,$C777,$R:$R,EDATE($R777,-1)),0))</f>
        <v>0</v>
      </c>
      <c r="AX777" s="74">
        <f t="shared" ref="AX777:AX840" si="467">IFERROR(IF(AND(E777="FINAL-Ñ.COMP",D777="CRÉD. CONSUMIDO"),(X777-(X777-Z777))*AD777+(Y777-(Y777-AA777))*AE777,
IF(AND(E777="T.COMP",D777="CRÉD. CONSUMIDO"),Z777*AD777+AA777*AE777,
IF(AND(E777="T.S.IMP",D777="CRÉD. CONSUMIDO"),V777*AD777+W777*AE777,
IF(AND(E777="T.S.IMP",D777="GERADO"),V777*AQ777+W777*AQ777,
IF(AND(E777="T.COMP",D777="GERADO"),AU777*AQ777,
IF(AND(E777="FINAL-Ñ.COMP",D777="GERADO"),(AU777-(X777-Z777))*AQ777,"ERRO"))))))+AW777,"")</f>
        <v>120.15299999999998</v>
      </c>
      <c r="AY777" s="74">
        <f t="shared" ref="AY777:AY840" si="468">IF(AV777=0,IF(AW777=0,"",AW777),IFERROR(ROUND(IF(SUMIFS($BA:$BA,$C:$C,$C777,$R:$R,EDATE($R777,-1))&gt;0,AV777+AW777,AV777),2),""))</f>
        <v>93</v>
      </c>
      <c r="AZ777" s="117">
        <v>93</v>
      </c>
      <c r="BA777" s="49">
        <v>93</v>
      </c>
      <c r="BB777" s="49">
        <v>93</v>
      </c>
      <c r="BC777" s="73" t="str">
        <f t="shared" ref="BC777:BC840" si="469">IF(BB777&gt;BA777,BB777-BA777,"")</f>
        <v/>
      </c>
      <c r="BD777" s="73">
        <f t="shared" ref="BD777:BD840" si="470">IF(AB777&gt;0,X777*AB777+Y777*AC777+AH777,AH777+
IF(AND(G777="trifasico",AB777-AD777=0),X777*(100-(AB777-AD777)),
IF(AND(G777="bifasico",AB777-AD777=0),X777*(50-(AB777-AD777)),
IF(AND(G777="monofasico",AB777-AD777=0),X777*(30-(AB777-AD777)),0))))</f>
        <v>257.00299999999999</v>
      </c>
      <c r="BE777" s="73">
        <f t="shared" ref="BE777:BE840" si="471">IFERROR(AS777+AV777,"")</f>
        <v>229.85310400427034</v>
      </c>
      <c r="BF777" s="77">
        <f t="shared" ref="BF777:BF840" si="472">ROUND(BD777-BE777,2)</f>
        <v>27.15</v>
      </c>
      <c r="BG777" s="77">
        <f t="shared" ref="BG777:BG840" si="473">BF777*0.3</f>
        <v>8.1449999999999996</v>
      </c>
      <c r="BH777" s="77">
        <f t="shared" ref="BH777:BH840" si="474">(X777*AD777)-((X777-Z777)*AD777)</f>
        <v>120.15299999999998</v>
      </c>
      <c r="BI777" s="78">
        <f t="shared" ref="BI777:BI840" si="475">IFERROR(ROUND(IFERROR(IF(BF777=0,"",BF777/(AY777+Z777*J777*AD777+AA777*J777*AE777)),0),2),"")</f>
        <v>0.23</v>
      </c>
      <c r="BJ777" s="79">
        <f t="shared" ref="BJ777:BJ840" si="476">IFERROR(BF777/BD777,"")</f>
        <v>0.10564079018532857</v>
      </c>
      <c r="BK777" s="80">
        <f t="shared" ref="BK777:BK840" si="477">IFERROR(AS777+AY777,"")</f>
        <v>229.85000000000002</v>
      </c>
      <c r="BL777" s="80">
        <f t="shared" ref="BL777:BL840" si="478">IFERROR(BD777-BK777,"")</f>
        <v>27.152999999999963</v>
      </c>
      <c r="BM777" s="79">
        <f t="shared" ref="BM777:BM840" si="479">IFERROR(IF(BL777=0,"",BL777/BD777),"")</f>
        <v>0.10565246320081853</v>
      </c>
      <c r="BN777" s="81">
        <f t="shared" ref="BN777:BN840" si="480">IFERROR(IF(AD777="","",AY777/(AD777+AE777)),"")</f>
        <v>0.78151260504201681</v>
      </c>
      <c r="BO777" s="82">
        <f t="shared" ref="BO777:BO840" si="481">IF(OR(BN777="",BN777=0),"",BN777*(AD777+AE777))</f>
        <v>93</v>
      </c>
      <c r="BP777" s="81">
        <f t="shared" ref="BP777:BP840" si="482">IFERROR(IF(AD777="","",AY777/AD777),"")</f>
        <v>0.78151260504201681</v>
      </c>
      <c r="BQ777" s="81">
        <f t="shared" ref="BQ777:BQ840" si="483">IFERROR(BP777+(X777-Z777),"")</f>
        <v>0.93842151936151363</v>
      </c>
      <c r="BR777" s="81">
        <f t="shared" ref="BR777:BR840" si="484">IFERROR(IF(AD777="","",(X777*AD777+Y777*AE777)/(AD777+AE777)),"")</f>
        <v>1.1665979899497487</v>
      </c>
      <c r="BS777" s="82">
        <f t="shared" ref="BS777:BS840" si="485">IFERROR(IF(D777="gerado",AQ777,AD777),"")</f>
        <v>119</v>
      </c>
      <c r="BT777" s="82">
        <f t="shared" ref="BT777:BT840" si="486">IF(OR(BR777="",BR777=0),"",BR777*(AD777+AE777))</f>
        <v>138.8251608040201</v>
      </c>
      <c r="BU777" s="82">
        <f t="shared" ref="BU777:BU840" si="487">IFERROR(BS777*Z777,"")</f>
        <v>120.15299999999998</v>
      </c>
      <c r="BW777" s="82">
        <f>IFERROR(INDEX('Infos Clientes'!$T:$T,MATCH('Detalhe Por UC'!$C777,'Infos Clientes'!B:B,0)),"")</f>
        <v>352.63636363636363</v>
      </c>
      <c r="BX777" s="83">
        <f t="shared" ref="BX777:BX840" si="488">IFERROR(BW777*Q777,"")</f>
        <v>0</v>
      </c>
      <c r="BY777" s="84">
        <f t="shared" ref="BY777:BY840" si="489">IFERROR((X777-BQ777)/X777,"")</f>
        <v>0.19559134556546237</v>
      </c>
      <c r="BZ777" s="85">
        <f>IF(_xlfn.MINIFS('Detalhe Por UC'!R:R,'Detalhe Por UC'!C:C,C777,'Detalhe Por UC'!AD:AD,"&gt;"&amp;0)=0,"",_xlfn.MINIFS('Detalhe Por UC'!R:R,'Detalhe Por UC'!C:C,C777,'Detalhe Por UC'!AD:AD,"&gt;"&amp;0))</f>
        <v>45658</v>
      </c>
      <c r="CA777" s="114">
        <f ca="1">IF(OR(S777&gt;0,AD777&gt;0),IFERROR(
SUMIFS(INDIRECT("'Infos Clientes'!$W"&amp;INDEX('Infos Clientes'!$C:$C,MATCH(C777,'Infos Clientes'!$H:$H,0))&amp;":$CZ"&amp;INDEX('Infos Clientes'!$C:$C,MATCH(C777,'Infos Clientes'!$H:$H,0))),'Infos Clientes'!$W$2:$CZ$2,"&gt;"&amp;$R777-365,'Infos Clientes'!$W$2:$CZ$2,"&lt;="&amp;$R777)/
COUNTIFS(INDIRECT("'Infos Clientes'!$W"&amp;INDEX('Infos Clientes'!$C:$C,MATCH(C777,'Infos Clientes'!$H:$H,0))&amp;":$CZ"&amp;INDEX('Infos Clientes'!$C:$C,MATCH(C777,'Infos Clientes'!$H:$H,0))),"&gt;="&amp;0,'Infos Clientes'!$W$2:$CZ$2,"&gt;"&amp;$R777-365,'Infos Clientes'!$W$2:$CZ$2,"&lt;="&amp;$R777),""),"")</f>
        <v>353.08333333333331</v>
      </c>
      <c r="CB777" s="87">
        <f>VLOOKUP(C777,'Infos Clientes'!B:L,11,0)</f>
        <v>0</v>
      </c>
      <c r="CC777" s="88" t="str">
        <f t="shared" ref="CC777:CC840" si="490">"A Unidade Consumidora "&amp;C777&amp;" economizou R$"&amp;BF777&amp;" na fatura referente à "&amp;TEXT(R777,"mmm/aaaa")&amp;"  consumindo "&amp;AD777&amp;" kWh em créditos de energia renovável conforme fatura de energia. A economia foi de "&amp;$J777*100&amp;"% em relação ao que seria pago para a Energisa considerando os créditos consumidos. Atenção: Mantenha as contas da Energisa em dia para evitar cortes."</f>
        <v>A Unidade Consumidora 10/76927-3 economizou R$27,15 na fatura referente à ago/2025  consumindo 119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7" s="115">
        <f t="shared" ref="CF777:CF840" si="491">CE777-AT777</f>
        <v>-136.85000000000002</v>
      </c>
    </row>
    <row r="778" spans="1:84" ht="16.2" hidden="1" customHeight="1" x14ac:dyDescent="0.3">
      <c r="A778" s="105" t="str">
        <f>INDEX('Infos Clientes'!$D:$D,MATCH('Detalhe Por UC'!C778,'Infos Clientes'!B:B,0))</f>
        <v>IGREJA DO EVANGELHO QUADRANGULAR</v>
      </c>
      <c r="B778" s="106" t="str">
        <f>INDEX('Infos Clientes'!$F:$F,MATCH('Detalhe Por UC'!C778,'Infos Clientes'!B:B,0))</f>
        <v>62.955.505/1138-75</v>
      </c>
      <c r="C778" s="31" t="s">
        <v>157</v>
      </c>
      <c r="D778" t="s">
        <v>351</v>
      </c>
      <c r="E778" s="1" t="s">
        <v>352</v>
      </c>
      <c r="F778" s="56" t="str">
        <f>INDEX('Infos Clientes'!$I:$I,MATCH('Detalhe Por UC'!C778,'Infos Clientes'!B:B,0))</f>
        <v>BT</v>
      </c>
      <c r="G778" s="56" t="str">
        <f>INDEX('Infos Clientes'!$J:$J,MATCH('Detalhe Por UC'!C778,'Infos Clientes'!B:B,0))</f>
        <v>bifasico</v>
      </c>
      <c r="H778" s="47" t="str">
        <f t="shared" si="457"/>
        <v>GIROSSOL III</v>
      </c>
      <c r="I778" s="58">
        <f>IFERROR(VLOOKUP(C778,'Infos Clientes'!B:E,4,),"")</f>
        <v>358</v>
      </c>
      <c r="J778" s="151">
        <v>0.22596103298069697</v>
      </c>
      <c r="K778" s="79">
        <f>INDEX('Resumo Operacional'!$A$1:$P$151,MATCH("Desconto percentual Ucs",'Resumo Operacional'!$B$1:$B$151,0),MATCH('Detalhe Por UC'!$R778,'Resumo Operacional'!$A$1:$P$1,0))</f>
        <v>0.26495232343264008</v>
      </c>
      <c r="M778" s="56"/>
      <c r="N778" s="56"/>
      <c r="O778" s="56"/>
      <c r="P778" s="56"/>
      <c r="Q778" s="61"/>
      <c r="R778" s="111">
        <v>45870</v>
      </c>
      <c r="S778" s="152">
        <v>3.0200000000000001E-2</v>
      </c>
      <c r="T778" s="113" t="str">
        <f>IF($H778="GIROSSOL II",AP778/INDEX('Resumo Operacional'!$A$1:$P$1103,17,MATCH('Detalhe Por UC'!$R778,'Resumo Operacional'!$A$1:$P$1,0)),
IF($H778="GIROSSOL II e III",AP778/INDEX('Resumo Operacional'!$A$1:$P$1103,17,MATCH('Detalhe Por UC'!$R778,'Resumo Operacional'!$A$1:$P$1,0)),
""))</f>
        <v/>
      </c>
      <c r="U778" s="113">
        <f>IF($H778="GIROSSOL III",AP778/INDEX('Resumo Operacional'!$A$1:$P$1103,53,MATCH('Detalhe Por UC'!$R778,'Resumo Operacional'!$A$1:$P$1,0)),
IF($H778="GIROSSOL II e III",AP778/INDEX('Resumo Operacional'!$A$1:$P$1103,53,MATCH('Detalhe Por UC'!$R778,'Resumo Operacional'!$A$1:$P$1,0)),
""))</f>
        <v>8.2129524427852624E-2</v>
      </c>
      <c r="X778">
        <v>1.1756014492753624</v>
      </c>
      <c r="Z778" s="18">
        <v>1.0186568265682661</v>
      </c>
      <c r="AB778" s="18">
        <v>276</v>
      </c>
      <c r="AD778" s="143">
        <v>271</v>
      </c>
      <c r="AF778" s="18">
        <v>556</v>
      </c>
      <c r="AH778" s="49">
        <v>57.37</v>
      </c>
      <c r="AK778" s="153">
        <v>105.78</v>
      </c>
      <c r="AL778" s="43">
        <f t="shared" si="456"/>
        <v>0</v>
      </c>
      <c r="AN778" s="71">
        <f t="shared" si="458"/>
        <v>235</v>
      </c>
      <c r="AO778" s="71">
        <f t="shared" si="459"/>
        <v>0</v>
      </c>
      <c r="AP778" s="71">
        <f t="shared" si="460"/>
        <v>506</v>
      </c>
      <c r="AQ778" s="72">
        <f>IF(OR($H778="GIROSSOL II",$H778="GIROSSOL II e III"),INDEX('Resumo Operacional'!$A$1:$P$1103,MATCH("Energia Injetada prevista total Fatura da Usina (TUSD)",'Resumo Operacional'!$B$1:$B$1103,0),MATCH('Detalhe Por UC'!$R778,'Resumo Operacional'!$A$1:$P$1,0))*$S778,INDEX('Resumo Operacional'!$A$1:$P$1103,53,MATCH('Detalhe Por UC'!$R778,'Resumo Operacional'!$A$1:$P$1,0))*$S778)</f>
        <v>186.06220000000002</v>
      </c>
      <c r="AR778" s="71">
        <f t="shared" si="461"/>
        <v>319.93779999999998</v>
      </c>
      <c r="AS778" s="73">
        <f t="shared" si="462"/>
        <v>105.77999999999992</v>
      </c>
      <c r="AT778" s="74">
        <f t="shared" si="463"/>
        <v>105.77999999999992</v>
      </c>
      <c r="AU778" s="74">
        <f t="shared" si="464"/>
        <v>0.86171220386116976</v>
      </c>
      <c r="AV778" s="74">
        <f t="shared" si="465"/>
        <v>213.67810107948083</v>
      </c>
      <c r="AW778" s="74">
        <f t="shared" si="466"/>
        <v>0</v>
      </c>
      <c r="AX778" s="74">
        <f t="shared" si="467"/>
        <v>276.0560000000001</v>
      </c>
      <c r="AY778" s="74">
        <f t="shared" si="468"/>
        <v>213.68</v>
      </c>
      <c r="AZ778" s="117">
        <v>213.68</v>
      </c>
      <c r="BA778" s="49">
        <v>213.68</v>
      </c>
      <c r="BB778" s="49">
        <v>276.06</v>
      </c>
      <c r="BC778" s="73">
        <f t="shared" si="469"/>
        <v>62.379999999999995</v>
      </c>
      <c r="BD778" s="73">
        <f t="shared" si="470"/>
        <v>381.83600000000001</v>
      </c>
      <c r="BE778" s="73">
        <f t="shared" si="471"/>
        <v>319.45810107948074</v>
      </c>
      <c r="BF778" s="77">
        <f t="shared" si="472"/>
        <v>62.38</v>
      </c>
      <c r="BG778" s="77">
        <f t="shared" si="473"/>
        <v>18.713999999999999</v>
      </c>
      <c r="BH778" s="77">
        <f t="shared" si="474"/>
        <v>276.0560000000001</v>
      </c>
      <c r="BI778" s="78">
        <f t="shared" si="475"/>
        <v>0.23</v>
      </c>
      <c r="BJ778" s="79">
        <f t="shared" si="476"/>
        <v>0.16336856660974869</v>
      </c>
      <c r="BK778" s="80">
        <f t="shared" si="477"/>
        <v>319.45999999999992</v>
      </c>
      <c r="BL778" s="80">
        <f t="shared" si="478"/>
        <v>62.37600000000009</v>
      </c>
      <c r="BM778" s="79">
        <f t="shared" si="479"/>
        <v>0.1633580909081388</v>
      </c>
      <c r="BN778" s="81">
        <f t="shared" si="480"/>
        <v>0.78848708487084873</v>
      </c>
      <c r="BO778" s="82">
        <f t="shared" si="481"/>
        <v>213.68</v>
      </c>
      <c r="BP778" s="81">
        <f t="shared" si="482"/>
        <v>0.78848708487084873</v>
      </c>
      <c r="BQ778" s="81">
        <f t="shared" si="483"/>
        <v>0.94543170757794504</v>
      </c>
      <c r="BR778" s="81">
        <f t="shared" si="484"/>
        <v>1.1756014492753624</v>
      </c>
      <c r="BS778" s="82">
        <f t="shared" si="485"/>
        <v>271</v>
      </c>
      <c r="BT778" s="82">
        <f t="shared" si="486"/>
        <v>318.58799275362321</v>
      </c>
      <c r="BU778" s="82">
        <f t="shared" si="487"/>
        <v>276.0560000000001</v>
      </c>
      <c r="BW778" s="82">
        <f>IFERROR(INDEX('Infos Clientes'!$T:$T,MATCH('Detalhe Por UC'!$C778,'Infos Clientes'!B:B,0)),"")</f>
        <v>449.81818181818181</v>
      </c>
      <c r="BX778" s="83">
        <f t="shared" si="488"/>
        <v>0</v>
      </c>
      <c r="BY778" s="84">
        <f t="shared" si="489"/>
        <v>0.19578892305661358</v>
      </c>
      <c r="BZ778" s="85">
        <f>IF(_xlfn.MINIFS('Detalhe Por UC'!R:R,'Detalhe Por UC'!C:C,C778,'Detalhe Por UC'!AD:AD,"&gt;"&amp;0)=0,"",_xlfn.MINIFS('Detalhe Por UC'!R:R,'Detalhe Por UC'!C:C,C778,'Detalhe Por UC'!AD:AD,"&gt;"&amp;0))</f>
        <v>45658</v>
      </c>
      <c r="CA778" s="114">
        <f ca="1">IF(OR(S778&gt;0,AD778&gt;0),IFERROR(
SUMIFS(INDIRECT("'Infos Clientes'!$W"&amp;INDEX('Infos Clientes'!$C:$C,MATCH(C778,'Infos Clientes'!$H:$H,0))&amp;":$CZ"&amp;INDEX('Infos Clientes'!$C:$C,MATCH(C778,'Infos Clientes'!$H:$H,0))),'Infos Clientes'!$W$2:$CZ$2,"&gt;"&amp;$R778-365,'Infos Clientes'!$W$2:$CZ$2,"&lt;="&amp;$R778)/
COUNTIFS(INDIRECT("'Infos Clientes'!$W"&amp;INDEX('Infos Clientes'!$C:$C,MATCH(C778,'Infos Clientes'!$H:$H,0))&amp;":$CZ"&amp;INDEX('Infos Clientes'!$C:$C,MATCH(C778,'Infos Clientes'!$H:$H,0))),"&gt;="&amp;0,'Infos Clientes'!$W$2:$CZ$2,"&gt;"&amp;$R778-365,'Infos Clientes'!$W$2:$CZ$2,"&lt;="&amp;$R778),""),"")</f>
        <v>455.25</v>
      </c>
      <c r="CB778" s="87">
        <f>VLOOKUP(C778,'Infos Clientes'!B:L,11,0)</f>
        <v>0</v>
      </c>
      <c r="CC778" s="88" t="str">
        <f t="shared" si="490"/>
        <v>A Unidade Consumidora 10/142353-2 economizou R$62,38 na fatura referente à ago/2025  consumindo 271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8" s="115">
        <f t="shared" si="491"/>
        <v>-105.77999999999992</v>
      </c>
    </row>
    <row r="779" spans="1:84" ht="16.2" hidden="1" customHeight="1" x14ac:dyDescent="0.3">
      <c r="A779" s="105" t="str">
        <f>INDEX('Infos Clientes'!$D:$D,MATCH('Detalhe Por UC'!C779,'Infos Clientes'!B:B,0))</f>
        <v>IGREJA DO EVANGELHO QUADRANGULAR</v>
      </c>
      <c r="B779" s="106" t="str">
        <f>INDEX('Infos Clientes'!$F:$F,MATCH('Detalhe Por UC'!C779,'Infos Clientes'!B:B,0))</f>
        <v>62.955.505/1224-32</v>
      </c>
      <c r="C779" s="31" t="s">
        <v>234</v>
      </c>
      <c r="D779" t="s">
        <v>351</v>
      </c>
      <c r="E779" s="1" t="s">
        <v>352</v>
      </c>
      <c r="F779" s="56" t="str">
        <f>INDEX('Infos Clientes'!$I:$I,MATCH('Detalhe Por UC'!C779,'Infos Clientes'!B:B,0))</f>
        <v>BT</v>
      </c>
      <c r="G779" s="56" t="str">
        <f>INDEX('Infos Clientes'!$J:$J,MATCH('Detalhe Por UC'!C779,'Infos Clientes'!B:B,0))</f>
        <v>trifasico</v>
      </c>
      <c r="H779" s="47" t="str">
        <f t="shared" si="457"/>
        <v>GIROSSOL III</v>
      </c>
      <c r="I779" s="58">
        <f>IFERROR(VLOOKUP(C779,'Infos Clientes'!B:E,4,),"")</f>
        <v>302</v>
      </c>
      <c r="J779" s="151">
        <v>0.22596103298069697</v>
      </c>
      <c r="K779" s="79">
        <f>INDEX('Resumo Operacional'!$A$1:$P$151,MATCH("Desconto percentual Ucs",'Resumo Operacional'!$B$1:$B$151,0),MATCH('Detalhe Por UC'!$R779,'Resumo Operacional'!$A$1:$P$1,0))</f>
        <v>0.26495232343264008</v>
      </c>
      <c r="M779" s="56"/>
      <c r="N779" s="56"/>
      <c r="O779" s="56"/>
      <c r="P779" s="56"/>
      <c r="Q779" s="61"/>
      <c r="R779" s="111">
        <v>45870</v>
      </c>
      <c r="S779" s="152">
        <v>3.0200000000000001E-2</v>
      </c>
      <c r="T779" s="113" t="str">
        <f>IF($H779="GIROSSOL II",AP779/INDEX('Resumo Operacional'!$A$1:$P$1103,17,MATCH('Detalhe Por UC'!$R779,'Resumo Operacional'!$A$1:$P$1,0)),
IF($H779="GIROSSOL II e III",AP779/INDEX('Resumo Operacional'!$A$1:$P$1103,17,MATCH('Detalhe Por UC'!$R779,'Resumo Operacional'!$A$1:$P$1,0)),
""))</f>
        <v/>
      </c>
      <c r="U779" s="113">
        <f>IF($H779="GIROSSOL III",AP779/INDEX('Resumo Operacional'!$A$1:$P$1103,53,MATCH('Detalhe Por UC'!$R779,'Resumo Operacional'!$A$1:$P$1,0)),
IF($H779="GIROSSOL II e III",AP779/INDEX('Resumo Operacional'!$A$1:$P$1103,53,MATCH('Detalhe Por UC'!$R779,'Resumo Operacional'!$A$1:$P$1,0)),
""))</f>
        <v>7.7584807661093977E-2</v>
      </c>
      <c r="X779">
        <v>1.1781698221457257</v>
      </c>
      <c r="Z779" s="18">
        <v>1.0212758310871517</v>
      </c>
      <c r="AB779" s="18">
        <v>498</v>
      </c>
      <c r="AD779" s="143">
        <v>477</v>
      </c>
      <c r="AF779" s="18">
        <v>311</v>
      </c>
      <c r="AH779" s="49">
        <v>88.63000000000001</v>
      </c>
      <c r="AK779" s="153">
        <v>188.21</v>
      </c>
      <c r="AL779" s="43">
        <f t="shared" si="456"/>
        <v>0</v>
      </c>
      <c r="AN779" s="71">
        <f t="shared" si="458"/>
        <v>1</v>
      </c>
      <c r="AO779" s="71">
        <f t="shared" si="459"/>
        <v>0</v>
      </c>
      <c r="AP779" s="71">
        <f t="shared" si="460"/>
        <v>478</v>
      </c>
      <c r="AQ779" s="72">
        <f>IF(OR($H779="GIROSSOL II",$H779="GIROSSOL II e III"),INDEX('Resumo Operacional'!$A$1:$P$1103,MATCH("Energia Injetada prevista total Fatura da Usina (TUSD)",'Resumo Operacional'!$B$1:$B$1103,0),MATCH('Detalhe Por UC'!$R779,'Resumo Operacional'!$A$1:$P$1,0))*$S779,INDEX('Resumo Operacional'!$A$1:$P$1103,53,MATCH('Detalhe Por UC'!$R779,'Resumo Operacional'!$A$1:$P$1,0))*$S779)</f>
        <v>186.06220000000002</v>
      </c>
      <c r="AR779" s="71">
        <f t="shared" si="461"/>
        <v>291.93779999999998</v>
      </c>
      <c r="AS779" s="73">
        <f t="shared" si="462"/>
        <v>188.21000000000004</v>
      </c>
      <c r="AT779" s="74">
        <f t="shared" si="463"/>
        <v>188.21000000000004</v>
      </c>
      <c r="AU779" s="74">
        <f t="shared" si="464"/>
        <v>0.86438184002857765</v>
      </c>
      <c r="AV779" s="74">
        <f t="shared" si="465"/>
        <v>377.07197701350054</v>
      </c>
      <c r="AW779" s="74">
        <f t="shared" si="466"/>
        <v>0</v>
      </c>
      <c r="AX779" s="74">
        <f t="shared" si="467"/>
        <v>487.14857142857136</v>
      </c>
      <c r="AY779" s="74">
        <f t="shared" si="468"/>
        <v>377.07</v>
      </c>
      <c r="AZ779" s="117">
        <v>377.07</v>
      </c>
      <c r="BA779" s="49">
        <v>377.07</v>
      </c>
      <c r="BB779" s="49">
        <v>377.07</v>
      </c>
      <c r="BC779" s="73" t="str">
        <f t="shared" si="469"/>
        <v/>
      </c>
      <c r="BD779" s="73">
        <f t="shared" si="470"/>
        <v>675.35857142857139</v>
      </c>
      <c r="BE779" s="73">
        <f t="shared" si="471"/>
        <v>565.28197701350064</v>
      </c>
      <c r="BF779" s="77">
        <f t="shared" si="472"/>
        <v>110.08</v>
      </c>
      <c r="BG779" s="77">
        <f t="shared" si="473"/>
        <v>33.024000000000001</v>
      </c>
      <c r="BH779" s="77">
        <f t="shared" si="474"/>
        <v>487.14857142857136</v>
      </c>
      <c r="BI779" s="78">
        <f t="shared" si="475"/>
        <v>0.23</v>
      </c>
      <c r="BJ779" s="79">
        <f t="shared" si="476"/>
        <v>0.162994895833113</v>
      </c>
      <c r="BK779" s="80">
        <f t="shared" si="477"/>
        <v>565.28</v>
      </c>
      <c r="BL779" s="80">
        <f t="shared" si="478"/>
        <v>110.07857142857142</v>
      </c>
      <c r="BM779" s="79">
        <f t="shared" si="479"/>
        <v>0.16299278055466832</v>
      </c>
      <c r="BN779" s="81">
        <f t="shared" si="480"/>
        <v>0.790503144654088</v>
      </c>
      <c r="BO779" s="82">
        <f t="shared" si="481"/>
        <v>377.07</v>
      </c>
      <c r="BP779" s="81">
        <f t="shared" si="482"/>
        <v>0.790503144654088</v>
      </c>
      <c r="BQ779" s="81">
        <f t="shared" si="483"/>
        <v>0.94739713571266204</v>
      </c>
      <c r="BR779" s="81">
        <f t="shared" si="484"/>
        <v>1.1781698221457257</v>
      </c>
      <c r="BS779" s="82">
        <f t="shared" si="485"/>
        <v>477</v>
      </c>
      <c r="BT779" s="82">
        <f t="shared" si="486"/>
        <v>561.98700516351118</v>
      </c>
      <c r="BU779" s="82">
        <f t="shared" si="487"/>
        <v>487.14857142857136</v>
      </c>
      <c r="BW779" s="82">
        <f>IFERROR(INDEX('Infos Clientes'!$T:$T,MATCH('Detalhe Por UC'!$C779,'Infos Clientes'!B:B,0)),"")</f>
        <v>426.36363636363637</v>
      </c>
      <c r="BX779" s="83">
        <f t="shared" si="488"/>
        <v>0</v>
      </c>
      <c r="BY779" s="84">
        <f t="shared" si="489"/>
        <v>0.19587387326962091</v>
      </c>
      <c r="BZ779" s="85">
        <f>IF(_xlfn.MINIFS('Detalhe Por UC'!R:R,'Detalhe Por UC'!C:C,C779,'Detalhe Por UC'!AD:AD,"&gt;"&amp;0)=0,"",_xlfn.MINIFS('Detalhe Por UC'!R:R,'Detalhe Por UC'!C:C,C779,'Detalhe Por UC'!AD:AD,"&gt;"&amp;0))</f>
        <v>45658</v>
      </c>
      <c r="CA779" s="114">
        <f ca="1">IF(OR(S779&gt;0,AD779&gt;0),IFERROR(
SUMIFS(INDIRECT("'Infos Clientes'!$W"&amp;INDEX('Infos Clientes'!$C:$C,MATCH(C779,'Infos Clientes'!$H:$H,0))&amp;":$CZ"&amp;INDEX('Infos Clientes'!$C:$C,MATCH(C779,'Infos Clientes'!$H:$H,0))),'Infos Clientes'!$W$2:$CZ$2,"&gt;"&amp;$R779-365,'Infos Clientes'!$W$2:$CZ$2,"&lt;="&amp;$R779)/
COUNTIFS(INDIRECT("'Infos Clientes'!$W"&amp;INDEX('Infos Clientes'!$C:$C,MATCH(C779,'Infos Clientes'!$H:$H,0))&amp;":$CZ"&amp;INDEX('Infos Clientes'!$C:$C,MATCH(C779,'Infos Clientes'!$H:$H,0))),"&gt;="&amp;0,'Infos Clientes'!$W$2:$CZ$2,"&gt;"&amp;$R779-365,'Infos Clientes'!$W$2:$CZ$2,"&lt;="&amp;$R779),""),"")</f>
        <v>487.33333333333331</v>
      </c>
      <c r="CB779" s="87">
        <f>VLOOKUP(C779,'Infos Clientes'!B:L,11,0)</f>
        <v>0</v>
      </c>
      <c r="CC779" s="88" t="str">
        <f t="shared" si="490"/>
        <v>A Unidade Consumidora 10/8777-5 economizou R$110,08 na fatura referente à ago/2025  consumindo 477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79" s="115">
        <f t="shared" si="491"/>
        <v>-188.21000000000004</v>
      </c>
    </row>
    <row r="780" spans="1:84" ht="16.2" hidden="1" customHeight="1" x14ac:dyDescent="0.3">
      <c r="A780" s="105" t="str">
        <f>INDEX('Infos Clientes'!$D:$D,MATCH('Detalhe Por UC'!C780,'Infos Clientes'!B:B,0))</f>
        <v>IGREJA DO EVANGELHO QUADRANGULAR</v>
      </c>
      <c r="B780" s="106" t="str">
        <f>INDEX('Infos Clientes'!$F:$F,MATCH('Detalhe Por UC'!C780,'Infos Clientes'!B:B,0))</f>
        <v>62.955.505/3544-81</v>
      </c>
      <c r="C780" s="31" t="s">
        <v>209</v>
      </c>
      <c r="D780" t="s">
        <v>351</v>
      </c>
      <c r="E780" s="1" t="s">
        <v>352</v>
      </c>
      <c r="F780" s="56" t="str">
        <f>INDEX('Infos Clientes'!$I:$I,MATCH('Detalhe Por UC'!C780,'Infos Clientes'!B:B,0))</f>
        <v>BT</v>
      </c>
      <c r="G780" s="56" t="str">
        <f>INDEX('Infos Clientes'!$J:$J,MATCH('Detalhe Por UC'!C780,'Infos Clientes'!B:B,0))</f>
        <v>trifasico</v>
      </c>
      <c r="H780" s="47" t="str">
        <f t="shared" si="457"/>
        <v>GIROSSOL III</v>
      </c>
      <c r="I780" s="58">
        <f>IFERROR(VLOOKUP(C780,'Infos Clientes'!B:E,4,),"")</f>
        <v>371</v>
      </c>
      <c r="J780" s="151">
        <v>0.22596103298069697</v>
      </c>
      <c r="K780" s="79">
        <f>INDEX('Resumo Operacional'!$A$1:$P$151,MATCH("Desconto percentual Ucs",'Resumo Operacional'!$B$1:$B$151,0),MATCH('Detalhe Por UC'!$R780,'Resumo Operacional'!$A$1:$P$1,0))</f>
        <v>0.26495232343264008</v>
      </c>
      <c r="M780" s="56"/>
      <c r="N780" s="56"/>
      <c r="O780" s="56"/>
      <c r="P780" s="56"/>
      <c r="Q780" s="61"/>
      <c r="R780" s="111">
        <v>45870</v>
      </c>
      <c r="S780" s="152">
        <v>3.0200000000000001E-2</v>
      </c>
      <c r="T780" s="113" t="str">
        <f>IF($H780="GIROSSOL II",AP780/INDEX('Resumo Operacional'!$A$1:$P$1103,17,MATCH('Detalhe Por UC'!$R780,'Resumo Operacional'!$A$1:$P$1,0)),
IF($H780="GIROSSOL II e III",AP780/INDEX('Resumo Operacional'!$A$1:$P$1103,17,MATCH('Detalhe Por UC'!$R780,'Resumo Operacional'!$A$1:$P$1,0)),
""))</f>
        <v/>
      </c>
      <c r="U780" s="113">
        <f>IF($H780="GIROSSOL III",AP780/INDEX('Resumo Operacional'!$A$1:$P$1103,53,MATCH('Detalhe Por UC'!$R780,'Resumo Operacional'!$A$1:$P$1,0)),
IF($H780="GIROSSOL II e III",AP780/INDEX('Resumo Operacional'!$A$1:$P$1103,53,MATCH('Detalhe Por UC'!$R780,'Resumo Operacional'!$A$1:$P$1,0)),
""))</f>
        <v>7.5961694530108745E-2</v>
      </c>
      <c r="X780">
        <v>1.1742636262513904</v>
      </c>
      <c r="Z780" s="18">
        <v>1.01735285795133</v>
      </c>
      <c r="AB780" s="18">
        <v>290</v>
      </c>
      <c r="AD780" s="143">
        <v>228</v>
      </c>
      <c r="AF780" s="18">
        <v>543</v>
      </c>
      <c r="AH780" s="49">
        <v>27.75</v>
      </c>
      <c r="AK780" s="153">
        <v>136.33000000000001</v>
      </c>
      <c r="AL780" s="43">
        <f t="shared" si="456"/>
        <v>0</v>
      </c>
      <c r="AN780" s="71">
        <f t="shared" si="458"/>
        <v>240</v>
      </c>
      <c r="AO780" s="71">
        <f t="shared" si="459"/>
        <v>0</v>
      </c>
      <c r="AP780" s="71">
        <f t="shared" si="460"/>
        <v>468</v>
      </c>
      <c r="AQ780" s="72">
        <f>IF(OR($H780="GIROSSOL II",$H780="GIROSSOL II e III"),INDEX('Resumo Operacional'!$A$1:$P$1103,MATCH("Energia Injetada prevista total Fatura da Usina (TUSD)",'Resumo Operacional'!$B$1:$B$1103,0),MATCH('Detalhe Por UC'!$R780,'Resumo Operacional'!$A$1:$P$1,0))*$S780,INDEX('Resumo Operacional'!$A$1:$P$1103,53,MATCH('Detalhe Por UC'!$R780,'Resumo Operacional'!$A$1:$P$1,0))*$S780)</f>
        <v>186.06220000000002</v>
      </c>
      <c r="AR780" s="71">
        <f t="shared" si="461"/>
        <v>281.93779999999998</v>
      </c>
      <c r="AS780" s="73">
        <f t="shared" si="462"/>
        <v>136.32999999999996</v>
      </c>
      <c r="AT780" s="74">
        <f t="shared" si="463"/>
        <v>136.32999999999996</v>
      </c>
      <c r="AU780" s="74">
        <f t="shared" si="464"/>
        <v>0.86044208965126967</v>
      </c>
      <c r="AV780" s="74">
        <f t="shared" si="465"/>
        <v>179.5433321999146</v>
      </c>
      <c r="AW780" s="74">
        <f t="shared" si="466"/>
        <v>0</v>
      </c>
      <c r="AX780" s="74">
        <f t="shared" si="467"/>
        <v>231.95645161290324</v>
      </c>
      <c r="AY780" s="74">
        <f t="shared" si="468"/>
        <v>179.54</v>
      </c>
      <c r="AZ780" s="117">
        <v>179.54</v>
      </c>
      <c r="BA780" s="49">
        <v>179.54</v>
      </c>
      <c r="BB780" s="49">
        <v>179.54</v>
      </c>
      <c r="BC780" s="73" t="str">
        <f t="shared" si="469"/>
        <v/>
      </c>
      <c r="BD780" s="73">
        <f t="shared" si="470"/>
        <v>368.28645161290319</v>
      </c>
      <c r="BE780" s="73">
        <f t="shared" si="471"/>
        <v>315.87333219991456</v>
      </c>
      <c r="BF780" s="77">
        <f t="shared" si="472"/>
        <v>52.41</v>
      </c>
      <c r="BG780" s="77">
        <f t="shared" si="473"/>
        <v>15.722999999999999</v>
      </c>
      <c r="BH780" s="77">
        <f t="shared" si="474"/>
        <v>231.95645161290324</v>
      </c>
      <c r="BI780" s="78">
        <f t="shared" si="475"/>
        <v>0.23</v>
      </c>
      <c r="BJ780" s="79">
        <f t="shared" si="476"/>
        <v>0.14230770578301602</v>
      </c>
      <c r="BK780" s="80">
        <f t="shared" si="477"/>
        <v>315.86999999999995</v>
      </c>
      <c r="BL780" s="80">
        <f t="shared" si="478"/>
        <v>52.416451612903245</v>
      </c>
      <c r="BM780" s="79">
        <f t="shared" si="479"/>
        <v>0.14232522370384909</v>
      </c>
      <c r="BN780" s="81">
        <f t="shared" si="480"/>
        <v>0.78745614035087719</v>
      </c>
      <c r="BO780" s="82">
        <f t="shared" si="481"/>
        <v>179.54</v>
      </c>
      <c r="BP780" s="81">
        <f t="shared" si="482"/>
        <v>0.78745614035087719</v>
      </c>
      <c r="BQ780" s="81">
        <f t="shared" si="483"/>
        <v>0.94436690865093753</v>
      </c>
      <c r="BR780" s="81">
        <f t="shared" si="484"/>
        <v>1.1742636262513904</v>
      </c>
      <c r="BS780" s="82">
        <f t="shared" si="485"/>
        <v>228</v>
      </c>
      <c r="BT780" s="82">
        <f t="shared" si="486"/>
        <v>267.732106785317</v>
      </c>
      <c r="BU780" s="82">
        <f t="shared" si="487"/>
        <v>231.95645161290324</v>
      </c>
      <c r="BW780" s="82">
        <f>IFERROR(INDEX('Infos Clientes'!$T:$T,MATCH('Detalhe Por UC'!$C780,'Infos Clientes'!B:B,0)),"")</f>
        <v>433.54545454545456</v>
      </c>
      <c r="BX780" s="83">
        <f t="shared" si="488"/>
        <v>0</v>
      </c>
      <c r="BY780" s="84">
        <f t="shared" si="489"/>
        <v>0.19577947614229835</v>
      </c>
      <c r="BZ780" s="85">
        <f>IF(_xlfn.MINIFS('Detalhe Por UC'!R:R,'Detalhe Por UC'!C:C,C780,'Detalhe Por UC'!AD:AD,"&gt;"&amp;0)=0,"",_xlfn.MINIFS('Detalhe Por UC'!R:R,'Detalhe Por UC'!C:C,C780,'Detalhe Por UC'!AD:AD,"&gt;"&amp;0))</f>
        <v>45658</v>
      </c>
      <c r="CA780" s="114">
        <f ca="1">IF(OR(S780&gt;0,AD780&gt;0),IFERROR(
SUMIFS(INDIRECT("'Infos Clientes'!$W"&amp;INDEX('Infos Clientes'!$C:$C,MATCH(C780,'Infos Clientes'!$H:$H,0))&amp;":$CZ"&amp;INDEX('Infos Clientes'!$C:$C,MATCH(C780,'Infos Clientes'!$H:$H,0))),'Infos Clientes'!$W$2:$CZ$2,"&gt;"&amp;$R780-365,'Infos Clientes'!$W$2:$CZ$2,"&lt;="&amp;$R780)/
COUNTIFS(INDIRECT("'Infos Clientes'!$W"&amp;INDEX('Infos Clientes'!$C:$C,MATCH(C780,'Infos Clientes'!$H:$H,0))&amp;":$CZ"&amp;INDEX('Infos Clientes'!$C:$C,MATCH(C780,'Infos Clientes'!$H:$H,0))),"&gt;="&amp;0,'Infos Clientes'!$W$2:$CZ$2,"&gt;"&amp;$R780-365,'Infos Clientes'!$W$2:$CZ$2,"&lt;="&amp;$R780),""),"")</f>
        <v>447.83333333333331</v>
      </c>
      <c r="CB780" s="87">
        <f>VLOOKUP(C780,'Infos Clientes'!B:L,11,0)</f>
        <v>0</v>
      </c>
      <c r="CC780" s="88" t="str">
        <f t="shared" si="490"/>
        <v>A Unidade Consumidora 10/504844-2 economizou R$52,41 na fatura referente à ago/2025  consumindo 228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0" s="115">
        <f t="shared" si="491"/>
        <v>-136.32999999999996</v>
      </c>
    </row>
    <row r="781" spans="1:84" ht="16.2" hidden="1" customHeight="1" x14ac:dyDescent="0.3">
      <c r="A781" s="105" t="str">
        <f>INDEX('Infos Clientes'!$D:$D,MATCH('Detalhe Por UC'!C781,'Infos Clientes'!B:B,0))</f>
        <v>IGREJA DO EVANGELHO QUADRANGULAR</v>
      </c>
      <c r="B781" s="106" t="str">
        <f>INDEX('Infos Clientes'!$F:$F,MATCH('Detalhe Por UC'!C781,'Infos Clientes'!B:B,0))</f>
        <v>62.955.505/1822-57</v>
      </c>
      <c r="C781" s="31" t="s">
        <v>206</v>
      </c>
      <c r="D781" t="s">
        <v>351</v>
      </c>
      <c r="E781" s="1" t="s">
        <v>352</v>
      </c>
      <c r="F781" s="56" t="str">
        <f>INDEX('Infos Clientes'!$I:$I,MATCH('Detalhe Por UC'!C781,'Infos Clientes'!B:B,0))</f>
        <v>BT</v>
      </c>
      <c r="G781" s="56" t="str">
        <f>INDEX('Infos Clientes'!$J:$J,MATCH('Detalhe Por UC'!C781,'Infos Clientes'!B:B,0))</f>
        <v>trifasico</v>
      </c>
      <c r="H781" s="47" t="str">
        <f t="shared" si="457"/>
        <v>GIROSSOL III</v>
      </c>
      <c r="I781" s="58">
        <f>IFERROR(VLOOKUP(C781,'Infos Clientes'!B:E,4,),"")</f>
        <v>319</v>
      </c>
      <c r="J781" s="151">
        <v>0.22596103298069697</v>
      </c>
      <c r="K781" s="79">
        <f>INDEX('Resumo Operacional'!$A$1:$P$151,MATCH("Desconto percentual Ucs",'Resumo Operacional'!$B$1:$B$151,0),MATCH('Detalhe Por UC'!$R781,'Resumo Operacional'!$A$1:$P$1,0))</f>
        <v>0.26495232343264008</v>
      </c>
      <c r="M781" s="56"/>
      <c r="N781" s="56"/>
      <c r="O781" s="56"/>
      <c r="P781" s="56"/>
      <c r="Q781" s="61"/>
      <c r="R781" s="111">
        <v>45870</v>
      </c>
      <c r="S781" s="152">
        <v>3.0200000000000001E-2</v>
      </c>
      <c r="T781" s="113" t="str">
        <f>IF($H781="GIROSSOL II",AP781/INDEX('Resumo Operacional'!$A$1:$P$1103,17,MATCH('Detalhe Por UC'!$R781,'Resumo Operacional'!$A$1:$P$1,0)),
IF($H781="GIROSSOL II e III",AP781/INDEX('Resumo Operacional'!$A$1:$P$1103,17,MATCH('Detalhe Por UC'!$R781,'Resumo Operacional'!$A$1:$P$1,0)),
""))</f>
        <v/>
      </c>
      <c r="U781" s="113">
        <f>IF($H781="GIROSSOL III",AP781/INDEX('Resumo Operacional'!$A$1:$P$1103,53,MATCH('Detalhe Por UC'!$R781,'Resumo Operacional'!$A$1:$P$1,0)),
IF($H781="GIROSSOL II e III",AP781/INDEX('Resumo Operacional'!$A$1:$P$1103,53,MATCH('Detalhe Por UC'!$R781,'Resumo Operacional'!$A$1:$P$1,0)),
""))</f>
        <v>4.496023372829086E-2</v>
      </c>
      <c r="X781">
        <v>1.1706561942959002</v>
      </c>
      <c r="Z781" s="18">
        <v>1.0137305089732274</v>
      </c>
      <c r="AB781" s="18">
        <v>272</v>
      </c>
      <c r="AD781" s="143">
        <v>206</v>
      </c>
      <c r="AF781" s="18">
        <v>271</v>
      </c>
      <c r="AH781" s="49">
        <v>44.41</v>
      </c>
      <c r="AK781" s="153">
        <v>154</v>
      </c>
      <c r="AL781" s="43">
        <f t="shared" si="456"/>
        <v>0</v>
      </c>
      <c r="AN781" s="71">
        <f t="shared" si="458"/>
        <v>71</v>
      </c>
      <c r="AO781" s="71">
        <f t="shared" si="459"/>
        <v>0</v>
      </c>
      <c r="AP781" s="71">
        <f t="shared" si="460"/>
        <v>277</v>
      </c>
      <c r="AQ781" s="72">
        <f>IF(OR($H781="GIROSSOL II",$H781="GIROSSOL II e III"),INDEX('Resumo Operacional'!$A$1:$P$1103,MATCH("Energia Injetada prevista total Fatura da Usina (TUSD)",'Resumo Operacional'!$B$1:$B$1103,0),MATCH('Detalhe Por UC'!$R781,'Resumo Operacional'!$A$1:$P$1,0))*$S781,INDEX('Resumo Operacional'!$A$1:$P$1103,53,MATCH('Detalhe Por UC'!$R781,'Resumo Operacional'!$A$1:$P$1,0))*$S781)</f>
        <v>186.06220000000002</v>
      </c>
      <c r="AR781" s="71">
        <f t="shared" si="461"/>
        <v>90.937799999999982</v>
      </c>
      <c r="AS781" s="73">
        <f t="shared" si="462"/>
        <v>154.00000000000003</v>
      </c>
      <c r="AT781" s="74">
        <f t="shared" si="463"/>
        <v>154.00000000000003</v>
      </c>
      <c r="AU781" s="74">
        <f t="shared" si="464"/>
        <v>0.85680482365055455</v>
      </c>
      <c r="AV781" s="74">
        <f t="shared" si="465"/>
        <v>161.64138469632738</v>
      </c>
      <c r="AW781" s="74">
        <f t="shared" si="466"/>
        <v>0</v>
      </c>
      <c r="AX781" s="74">
        <f t="shared" si="467"/>
        <v>208.82848484848483</v>
      </c>
      <c r="AY781" s="74">
        <f t="shared" si="468"/>
        <v>161.63999999999999</v>
      </c>
      <c r="AZ781" s="117">
        <v>161.63999999999999</v>
      </c>
      <c r="BA781" s="49">
        <v>161.63999999999999</v>
      </c>
      <c r="BB781" s="49">
        <v>161.63999999999999</v>
      </c>
      <c r="BC781" s="73" t="str">
        <f t="shared" si="469"/>
        <v/>
      </c>
      <c r="BD781" s="73">
        <f t="shared" si="470"/>
        <v>362.82848484848489</v>
      </c>
      <c r="BE781" s="73">
        <f t="shared" si="471"/>
        <v>315.64138469632741</v>
      </c>
      <c r="BF781" s="77">
        <f t="shared" si="472"/>
        <v>47.19</v>
      </c>
      <c r="BG781" s="77">
        <f t="shared" si="473"/>
        <v>14.156999999999998</v>
      </c>
      <c r="BH781" s="77">
        <f t="shared" si="474"/>
        <v>208.82848484848483</v>
      </c>
      <c r="BI781" s="78">
        <f t="shared" si="475"/>
        <v>0.23</v>
      </c>
      <c r="BJ781" s="79">
        <f t="shared" si="476"/>
        <v>0.13006145319518195</v>
      </c>
      <c r="BK781" s="80">
        <f t="shared" si="477"/>
        <v>315.64</v>
      </c>
      <c r="BL781" s="80">
        <f t="shared" si="478"/>
        <v>47.188484848484904</v>
      </c>
      <c r="BM781" s="79">
        <f t="shared" si="479"/>
        <v>0.13005727725095936</v>
      </c>
      <c r="BN781" s="81">
        <f t="shared" si="480"/>
        <v>0.78466019417475719</v>
      </c>
      <c r="BO781" s="82">
        <f t="shared" si="481"/>
        <v>161.63999999999999</v>
      </c>
      <c r="BP781" s="81">
        <f t="shared" si="482"/>
        <v>0.78466019417475719</v>
      </c>
      <c r="BQ781" s="81">
        <f t="shared" si="483"/>
        <v>0.94158587949743</v>
      </c>
      <c r="BR781" s="81">
        <f t="shared" si="484"/>
        <v>1.1706561942959002</v>
      </c>
      <c r="BS781" s="82">
        <f t="shared" si="485"/>
        <v>206</v>
      </c>
      <c r="BT781" s="82">
        <f t="shared" si="486"/>
        <v>241.15517602495544</v>
      </c>
      <c r="BU781" s="82">
        <f t="shared" si="487"/>
        <v>208.82848484848483</v>
      </c>
      <c r="BW781" s="82">
        <f>IFERROR(INDEX('Infos Clientes'!$T:$T,MATCH('Detalhe Por UC'!$C781,'Infos Clientes'!B:B,0)),"")</f>
        <v>361.81818181818181</v>
      </c>
      <c r="BX781" s="83">
        <f t="shared" si="488"/>
        <v>0</v>
      </c>
      <c r="BY781" s="84">
        <f t="shared" si="489"/>
        <v>0.19567684851848943</v>
      </c>
      <c r="BZ781" s="85">
        <f>IF(_xlfn.MINIFS('Detalhe Por UC'!R:R,'Detalhe Por UC'!C:C,C781,'Detalhe Por UC'!AD:AD,"&gt;"&amp;0)=0,"",_xlfn.MINIFS('Detalhe Por UC'!R:R,'Detalhe Por UC'!C:C,C781,'Detalhe Por UC'!AD:AD,"&gt;"&amp;0))</f>
        <v>45658</v>
      </c>
      <c r="CA781" s="114">
        <f ca="1">IF(OR(S781&gt;0,AD781&gt;0),IFERROR(
SUMIFS(INDIRECT("'Infos Clientes'!$W"&amp;INDEX('Infos Clientes'!$C:$C,MATCH(C781,'Infos Clientes'!$H:$H,0))&amp;":$CZ"&amp;INDEX('Infos Clientes'!$C:$C,MATCH(C781,'Infos Clientes'!$H:$H,0))),'Infos Clientes'!$W$2:$CZ$2,"&gt;"&amp;$R781-365,'Infos Clientes'!$W$2:$CZ$2,"&lt;="&amp;$R781)/
COUNTIFS(INDIRECT("'Infos Clientes'!$W"&amp;INDEX('Infos Clientes'!$C:$C,MATCH(C781,'Infos Clientes'!$H:$H,0))&amp;":$CZ"&amp;INDEX('Infos Clientes'!$C:$C,MATCH(C781,'Infos Clientes'!$H:$H,0))),"&gt;="&amp;0,'Infos Clientes'!$W$2:$CZ$2,"&gt;"&amp;$R781-365,'Infos Clientes'!$W$2:$CZ$2,"&lt;="&amp;$R781),""),"")</f>
        <v>356.58333333333331</v>
      </c>
      <c r="CB781" s="87">
        <f>VLOOKUP(C781,'Infos Clientes'!B:L,11,0)</f>
        <v>0</v>
      </c>
      <c r="CC781" s="88" t="str">
        <f t="shared" si="490"/>
        <v>A Unidade Consumidora 10/480529-7 economizou R$47,19 na fatura referente à ago/2025  consumindo 206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1" s="115">
        <f t="shared" si="491"/>
        <v>-154.00000000000003</v>
      </c>
    </row>
    <row r="782" spans="1:84" ht="16.2" hidden="1" customHeight="1" x14ac:dyDescent="0.3">
      <c r="A782" s="105" t="str">
        <f>INDEX('Infos Clientes'!$D:$D,MATCH('Detalhe Por UC'!C782,'Infos Clientes'!B:B,0))</f>
        <v>IGREJA DO EVANGELHO QUADRANGULAR</v>
      </c>
      <c r="B782" s="106" t="str">
        <f>INDEX('Infos Clientes'!$F:$F,MATCH('Detalhe Por UC'!C782,'Infos Clientes'!B:B,0))</f>
        <v>62.955.505/1822-57</v>
      </c>
      <c r="C782" s="31" t="s">
        <v>192</v>
      </c>
      <c r="D782" t="s">
        <v>351</v>
      </c>
      <c r="E782" s="1" t="s">
        <v>352</v>
      </c>
      <c r="F782" s="56" t="str">
        <f>INDEX('Infos Clientes'!$I:$I,MATCH('Detalhe Por UC'!C782,'Infos Clientes'!B:B,0))</f>
        <v>BT</v>
      </c>
      <c r="G782" s="56" t="str">
        <f>INDEX('Infos Clientes'!$J:$J,MATCH('Detalhe Por UC'!C782,'Infos Clientes'!B:B,0))</f>
        <v>trifasico</v>
      </c>
      <c r="H782" s="47" t="str">
        <f t="shared" si="457"/>
        <v>GIROSSOL III</v>
      </c>
      <c r="I782" s="58">
        <f>IFERROR(VLOOKUP(C782,'Infos Clientes'!B:E,4,),"")</f>
        <v>319</v>
      </c>
      <c r="J782" s="151">
        <v>0.22596103298069697</v>
      </c>
      <c r="K782" s="79">
        <f>INDEX('Resumo Operacional'!$A$1:$P$151,MATCH("Desconto percentual Ucs",'Resumo Operacional'!$B$1:$B$151,0),MATCH('Detalhe Por UC'!$R782,'Resumo Operacional'!$A$1:$P$1,0))</f>
        <v>0.26495232343264008</v>
      </c>
      <c r="M782" s="56"/>
      <c r="N782" s="56"/>
      <c r="O782" s="56"/>
      <c r="P782" s="56"/>
      <c r="Q782" s="61"/>
      <c r="R782" s="111">
        <v>45870</v>
      </c>
      <c r="S782" s="152">
        <v>3.0200000000000001E-2</v>
      </c>
      <c r="T782" s="113" t="str">
        <f>IF($H782="GIROSSOL II",AP782/INDEX('Resumo Operacional'!$A$1:$P$1103,17,MATCH('Detalhe Por UC'!$R782,'Resumo Operacional'!$A$1:$P$1,0)),
IF($H782="GIROSSOL II e III",AP782/INDEX('Resumo Operacional'!$A$1:$P$1103,17,MATCH('Detalhe Por UC'!$R782,'Resumo Operacional'!$A$1:$P$1,0)),
""))</f>
        <v/>
      </c>
      <c r="U782" s="113">
        <f>IF($H782="GIROSSOL III",AP782/INDEX('Resumo Operacional'!$A$1:$P$1103,53,MATCH('Detalhe Por UC'!$R782,'Resumo Operacional'!$A$1:$P$1,0)),
IF($H782="GIROSSOL II e III",AP782/INDEX('Resumo Operacional'!$A$1:$P$1103,53,MATCH('Detalhe Por UC'!$R782,'Resumo Operacional'!$A$1:$P$1,0)),
""))</f>
        <v>4.496023372829086E-2</v>
      </c>
      <c r="X782">
        <v>1.1610140636565507</v>
      </c>
      <c r="Z782" s="18">
        <v>1.0041029900332226</v>
      </c>
      <c r="AB782" s="18">
        <v>386</v>
      </c>
      <c r="AD782" s="143">
        <v>344</v>
      </c>
      <c r="AF782" s="18">
        <v>115</v>
      </c>
      <c r="AH782" s="49">
        <v>66.3</v>
      </c>
      <c r="AK782" s="153">
        <v>169.04</v>
      </c>
      <c r="AL782" s="43">
        <f t="shared" si="456"/>
        <v>0</v>
      </c>
      <c r="AN782" s="71">
        <f t="shared" si="458"/>
        <v>-67</v>
      </c>
      <c r="AO782" s="71">
        <f t="shared" si="459"/>
        <v>0</v>
      </c>
      <c r="AP782" s="71">
        <f t="shared" si="460"/>
        <v>277</v>
      </c>
      <c r="AQ782" s="72">
        <f>IF(OR($H782="GIROSSOL II",$H782="GIROSSOL II e III"),INDEX('Resumo Operacional'!$A$1:$P$1103,MATCH("Energia Injetada prevista total Fatura da Usina (TUSD)",'Resumo Operacional'!$B$1:$B$1103,0),MATCH('Detalhe Por UC'!$R782,'Resumo Operacional'!$A$1:$P$1,0))*$S782,INDEX('Resumo Operacional'!$A$1:$P$1103,53,MATCH('Detalhe Por UC'!$R782,'Resumo Operacional'!$A$1:$P$1,0))*$S782)</f>
        <v>186.06220000000002</v>
      </c>
      <c r="AR782" s="71">
        <f t="shared" si="461"/>
        <v>90.937799999999982</v>
      </c>
      <c r="AS782" s="73">
        <f t="shared" si="462"/>
        <v>169.03999999999996</v>
      </c>
      <c r="AT782" s="74">
        <f t="shared" si="463"/>
        <v>169.03999999999996</v>
      </c>
      <c r="AU782" s="74">
        <f t="shared" si="464"/>
        <v>0.84719191640989444</v>
      </c>
      <c r="AV782" s="74">
        <f t="shared" si="465"/>
        <v>267.36190536809033</v>
      </c>
      <c r="AW782" s="74">
        <f t="shared" si="466"/>
        <v>0</v>
      </c>
      <c r="AX782" s="74">
        <f t="shared" si="467"/>
        <v>345.41142857142859</v>
      </c>
      <c r="AY782" s="74">
        <f t="shared" si="468"/>
        <v>267.36</v>
      </c>
      <c r="AZ782" s="117">
        <v>267.36</v>
      </c>
      <c r="BA782" s="49">
        <v>267.36</v>
      </c>
      <c r="BB782" s="49">
        <v>345.41</v>
      </c>
      <c r="BC782" s="73">
        <f t="shared" si="469"/>
        <v>78.050000000000011</v>
      </c>
      <c r="BD782" s="73">
        <f t="shared" si="470"/>
        <v>514.45142857142855</v>
      </c>
      <c r="BE782" s="73">
        <f t="shared" si="471"/>
        <v>436.4019053680903</v>
      </c>
      <c r="BF782" s="77">
        <f t="shared" si="472"/>
        <v>78.05</v>
      </c>
      <c r="BG782" s="77">
        <f t="shared" si="473"/>
        <v>23.414999999999999</v>
      </c>
      <c r="BH782" s="77">
        <f t="shared" si="474"/>
        <v>345.41142857142853</v>
      </c>
      <c r="BI782" s="78">
        <f t="shared" si="475"/>
        <v>0.23</v>
      </c>
      <c r="BJ782" s="79">
        <f t="shared" si="476"/>
        <v>0.15171500294349599</v>
      </c>
      <c r="BK782" s="80">
        <f t="shared" si="477"/>
        <v>436.4</v>
      </c>
      <c r="BL782" s="80">
        <f t="shared" si="478"/>
        <v>78.051428571428573</v>
      </c>
      <c r="BM782" s="79">
        <f t="shared" si="479"/>
        <v>0.15171777982650037</v>
      </c>
      <c r="BN782" s="81">
        <f t="shared" si="480"/>
        <v>0.77720930232558139</v>
      </c>
      <c r="BO782" s="82">
        <f t="shared" si="481"/>
        <v>267.36</v>
      </c>
      <c r="BP782" s="81">
        <f t="shared" si="482"/>
        <v>0.77720930232558139</v>
      </c>
      <c r="BQ782" s="81">
        <f t="shared" si="483"/>
        <v>0.93412037594890951</v>
      </c>
      <c r="BR782" s="81">
        <f t="shared" si="484"/>
        <v>1.1610140636565507</v>
      </c>
      <c r="BS782" s="82">
        <f t="shared" si="485"/>
        <v>344</v>
      </c>
      <c r="BT782" s="82">
        <f t="shared" si="486"/>
        <v>399.38883789785342</v>
      </c>
      <c r="BU782" s="82">
        <f t="shared" si="487"/>
        <v>345.41142857142859</v>
      </c>
      <c r="BW782" s="82">
        <f>IFERROR(INDEX('Infos Clientes'!$T:$T,MATCH('Detalhe Por UC'!$C782,'Infos Clientes'!B:B,0)),"")</f>
        <v>502.09090909090907</v>
      </c>
      <c r="BX782" s="83">
        <f t="shared" si="488"/>
        <v>0</v>
      </c>
      <c r="BY782" s="84">
        <f t="shared" si="489"/>
        <v>0.19542716562196658</v>
      </c>
      <c r="BZ782" s="85">
        <f>IF(_xlfn.MINIFS('Detalhe Por UC'!R:R,'Detalhe Por UC'!C:C,C782,'Detalhe Por UC'!AD:AD,"&gt;"&amp;0)=0,"",_xlfn.MINIFS('Detalhe Por UC'!R:R,'Detalhe Por UC'!C:C,C782,'Detalhe Por UC'!AD:AD,"&gt;"&amp;0))</f>
        <v>45658</v>
      </c>
      <c r="CA782" s="114">
        <f ca="1">IF(OR(S782&gt;0,AD782&gt;0),IFERROR(
SUMIFS(INDIRECT("'Infos Clientes'!$W"&amp;INDEX('Infos Clientes'!$C:$C,MATCH(C782,'Infos Clientes'!$H:$H,0))&amp;":$CZ"&amp;INDEX('Infos Clientes'!$C:$C,MATCH(C782,'Infos Clientes'!$H:$H,0))),'Infos Clientes'!$W$2:$CZ$2,"&gt;"&amp;$R782-365,'Infos Clientes'!$W$2:$CZ$2,"&lt;="&amp;$R782)/
COUNTIFS(INDIRECT("'Infos Clientes'!$W"&amp;INDEX('Infos Clientes'!$C:$C,MATCH(C782,'Infos Clientes'!$H:$H,0))&amp;":$CZ"&amp;INDEX('Infos Clientes'!$C:$C,MATCH(C782,'Infos Clientes'!$H:$H,0))),"&gt;="&amp;0,'Infos Clientes'!$W$2:$CZ$2,"&gt;"&amp;$R782-365,'Infos Clientes'!$W$2:$CZ$2,"&lt;="&amp;$R782),""),"")</f>
        <v>450.08333333333331</v>
      </c>
      <c r="CB782" s="87">
        <f>VLOOKUP(C782,'Infos Clientes'!B:L,11,0)</f>
        <v>0</v>
      </c>
      <c r="CC782" s="88" t="str">
        <f t="shared" si="490"/>
        <v>A Unidade Consumidora 10/3139326-7 economizou R$78,05 na fatura referente à ago/2025  consumindo 344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2" s="115">
        <f t="shared" si="491"/>
        <v>-169.03999999999996</v>
      </c>
    </row>
    <row r="783" spans="1:84" ht="16.2" hidden="1" customHeight="1" x14ac:dyDescent="0.3">
      <c r="A783" s="105" t="str">
        <f>INDEX('Infos Clientes'!$D:$D,MATCH('Detalhe Por UC'!C783,'Infos Clientes'!B:B,0))</f>
        <v>IGREJA DO EVANGELHO QUADRANGULAR</v>
      </c>
      <c r="B783" s="106" t="str">
        <f>INDEX('Infos Clientes'!$F:$F,MATCH('Detalhe Por UC'!C783,'Infos Clientes'!B:B,0))</f>
        <v>62.955.505/0161-60</v>
      </c>
      <c r="C783" s="31" t="s">
        <v>163</v>
      </c>
      <c r="D783" t="s">
        <v>351</v>
      </c>
      <c r="E783" s="1" t="s">
        <v>352</v>
      </c>
      <c r="F783" s="56" t="str">
        <f>INDEX('Infos Clientes'!$I:$I,MATCH('Detalhe Por UC'!C783,'Infos Clientes'!B:B,0))</f>
        <v>BT</v>
      </c>
      <c r="G783" s="56" t="str">
        <f>INDEX('Infos Clientes'!$J:$J,MATCH('Detalhe Por UC'!C783,'Infos Clientes'!B:B,0))</f>
        <v>trifasico</v>
      </c>
      <c r="H783" s="47" t="str">
        <f t="shared" si="457"/>
        <v>GIROSSOL III</v>
      </c>
      <c r="I783" s="58">
        <f>IFERROR(VLOOKUP(C783,'Infos Clientes'!B:E,4,),"")</f>
        <v>302</v>
      </c>
      <c r="J783" s="151">
        <v>0.22596103298069697</v>
      </c>
      <c r="K783" s="79">
        <f>INDEX('Resumo Operacional'!$A$1:$P$151,MATCH("Desconto percentual Ucs",'Resumo Operacional'!$B$1:$B$151,0),MATCH('Detalhe Por UC'!$R783,'Resumo Operacional'!$A$1:$P$1,0))</f>
        <v>0.26495232343264008</v>
      </c>
      <c r="M783" s="56"/>
      <c r="N783" s="56"/>
      <c r="O783" s="56"/>
      <c r="P783" s="56"/>
      <c r="Q783" s="61"/>
      <c r="R783" s="111">
        <v>45870</v>
      </c>
      <c r="S783" s="152">
        <v>3.0200000000000001E-2</v>
      </c>
      <c r="T783" s="113" t="str">
        <f>IF($H783="GIROSSOL II",AP783/INDEX('Resumo Operacional'!$A$1:$P$1103,17,MATCH('Detalhe Por UC'!$R783,'Resumo Operacional'!$A$1:$P$1,0)),
IF($H783="GIROSSOL II e III",AP783/INDEX('Resumo Operacional'!$A$1:$P$1103,17,MATCH('Detalhe Por UC'!$R783,'Resumo Operacional'!$A$1:$P$1,0)),
""))</f>
        <v/>
      </c>
      <c r="U783" s="113">
        <f>IF($H783="GIROSSOL III",AP783/INDEX('Resumo Operacional'!$A$1:$P$1103,53,MATCH('Detalhe Por UC'!$R783,'Resumo Operacional'!$A$1:$P$1,0)),
IF($H783="GIROSSOL II e III",AP783/INDEX('Resumo Operacional'!$A$1:$P$1103,53,MATCH('Detalhe Por UC'!$R783,'Resumo Operacional'!$A$1:$P$1,0)),
""))</f>
        <v>4.496023372829086E-2</v>
      </c>
      <c r="X783">
        <v>1.1666341131047016</v>
      </c>
      <c r="Z783" s="18">
        <v>1.009781336618417</v>
      </c>
      <c r="AB783" s="18">
        <v>259</v>
      </c>
      <c r="AD783" s="143">
        <v>191</v>
      </c>
      <c r="AF783" s="18">
        <v>431</v>
      </c>
      <c r="AH783" s="49">
        <v>51.55</v>
      </c>
      <c r="AK783" s="153">
        <v>160.84</v>
      </c>
      <c r="AL783" s="43">
        <f t="shared" si="456"/>
        <v>0</v>
      </c>
      <c r="AN783" s="71">
        <f t="shared" si="458"/>
        <v>86</v>
      </c>
      <c r="AO783" s="71">
        <f t="shared" si="459"/>
        <v>0</v>
      </c>
      <c r="AP783" s="71">
        <f t="shared" si="460"/>
        <v>277</v>
      </c>
      <c r="AQ783" s="72">
        <f>IF(OR($H783="GIROSSOL II",$H783="GIROSSOL II e III"),INDEX('Resumo Operacional'!$A$1:$P$1103,MATCH("Energia Injetada prevista total Fatura da Usina (TUSD)",'Resumo Operacional'!$B$1:$B$1103,0),MATCH('Detalhe Por UC'!$R783,'Resumo Operacional'!$A$1:$P$1,0))*$S783,INDEX('Resumo Operacional'!$A$1:$P$1103,53,MATCH('Detalhe Por UC'!$R783,'Resumo Operacional'!$A$1:$P$1,0))*$S783)</f>
        <v>186.06220000000002</v>
      </c>
      <c r="AR783" s="71">
        <f t="shared" si="461"/>
        <v>90.937799999999982</v>
      </c>
      <c r="AS783" s="73">
        <f t="shared" si="462"/>
        <v>160.84000000000009</v>
      </c>
      <c r="AT783" s="74">
        <f t="shared" si="463"/>
        <v>160.84000000000009</v>
      </c>
      <c r="AU783" s="74">
        <f t="shared" si="464"/>
        <v>0.85292856013213236</v>
      </c>
      <c r="AV783" s="74">
        <f t="shared" si="465"/>
        <v>149.28752961789471</v>
      </c>
      <c r="AW783" s="74">
        <f t="shared" si="466"/>
        <v>0</v>
      </c>
      <c r="AX783" s="74">
        <f t="shared" si="467"/>
        <v>192.86823529411765</v>
      </c>
      <c r="AY783" s="74">
        <f t="shared" si="468"/>
        <v>149.29</v>
      </c>
      <c r="AZ783" s="117">
        <v>149.29</v>
      </c>
      <c r="BA783" s="49">
        <v>149.29</v>
      </c>
      <c r="BB783" s="49">
        <v>149.29</v>
      </c>
      <c r="BC783" s="73" t="str">
        <f t="shared" si="469"/>
        <v/>
      </c>
      <c r="BD783" s="73">
        <f t="shared" si="470"/>
        <v>353.70823529411774</v>
      </c>
      <c r="BE783" s="73">
        <f t="shared" si="471"/>
        <v>310.12752961789477</v>
      </c>
      <c r="BF783" s="77">
        <f t="shared" si="472"/>
        <v>43.58</v>
      </c>
      <c r="BG783" s="77">
        <f t="shared" si="473"/>
        <v>13.074</v>
      </c>
      <c r="BH783" s="77">
        <f t="shared" si="474"/>
        <v>192.86823529411762</v>
      </c>
      <c r="BI783" s="78">
        <f t="shared" si="475"/>
        <v>0.23</v>
      </c>
      <c r="BJ783" s="79">
        <f t="shared" si="476"/>
        <v>0.12320889267325676</v>
      </c>
      <c r="BK783" s="80">
        <f t="shared" si="477"/>
        <v>310.13000000000011</v>
      </c>
      <c r="BL783" s="80">
        <f t="shared" si="478"/>
        <v>43.578235294117633</v>
      </c>
      <c r="BM783" s="79">
        <f t="shared" si="479"/>
        <v>0.12320390351635771</v>
      </c>
      <c r="BN783" s="81">
        <f t="shared" si="480"/>
        <v>0.78162303664921462</v>
      </c>
      <c r="BO783" s="82">
        <f t="shared" si="481"/>
        <v>149.29</v>
      </c>
      <c r="BP783" s="81">
        <f t="shared" si="482"/>
        <v>0.78162303664921462</v>
      </c>
      <c r="BQ783" s="81">
        <f t="shared" si="483"/>
        <v>0.93847581313549922</v>
      </c>
      <c r="BR783" s="81">
        <f t="shared" si="484"/>
        <v>1.1666341131047016</v>
      </c>
      <c r="BS783" s="82">
        <f t="shared" si="485"/>
        <v>191</v>
      </c>
      <c r="BT783" s="82">
        <f t="shared" si="486"/>
        <v>222.82711560299799</v>
      </c>
      <c r="BU783" s="82">
        <f t="shared" si="487"/>
        <v>192.86823529411765</v>
      </c>
      <c r="BW783" s="82">
        <f>IFERROR(INDEX('Infos Clientes'!$T:$T,MATCH('Detalhe Por UC'!$C783,'Infos Clientes'!B:B,0)),"")</f>
        <v>393</v>
      </c>
      <c r="BX783" s="83">
        <f t="shared" si="488"/>
        <v>0</v>
      </c>
      <c r="BY783" s="84">
        <f t="shared" si="489"/>
        <v>0.19556971410857921</v>
      </c>
      <c r="BZ783" s="85">
        <f>IF(_xlfn.MINIFS('Detalhe Por UC'!R:R,'Detalhe Por UC'!C:C,C783,'Detalhe Por UC'!AD:AD,"&gt;"&amp;0)=0,"",_xlfn.MINIFS('Detalhe Por UC'!R:R,'Detalhe Por UC'!C:C,C783,'Detalhe Por UC'!AD:AD,"&gt;"&amp;0))</f>
        <v>45658</v>
      </c>
      <c r="CA783" s="114">
        <f ca="1">IF(OR(S783&gt;0,AD783&gt;0),IFERROR(
SUMIFS(INDIRECT("'Infos Clientes'!$W"&amp;INDEX('Infos Clientes'!$C:$C,MATCH(C783,'Infos Clientes'!$H:$H,0))&amp;":$CZ"&amp;INDEX('Infos Clientes'!$C:$C,MATCH(C783,'Infos Clientes'!$H:$H,0))),'Infos Clientes'!$W$2:$CZ$2,"&gt;"&amp;$R783-365,'Infos Clientes'!$W$2:$CZ$2,"&lt;="&amp;$R783)/
COUNTIFS(INDIRECT("'Infos Clientes'!$W"&amp;INDEX('Infos Clientes'!$C:$C,MATCH(C783,'Infos Clientes'!$H:$H,0))&amp;":$CZ"&amp;INDEX('Infos Clientes'!$C:$C,MATCH(C783,'Infos Clientes'!$H:$H,0))),"&gt;="&amp;0,'Infos Clientes'!$W$2:$CZ$2,"&gt;"&amp;$R783-365,'Infos Clientes'!$W$2:$CZ$2,"&lt;="&amp;$R783),""),"")</f>
        <v>226.75</v>
      </c>
      <c r="CB783" s="87">
        <f>VLOOKUP(C783,'Infos Clientes'!B:L,11,0)</f>
        <v>0</v>
      </c>
      <c r="CC783" s="88" t="str">
        <f t="shared" si="490"/>
        <v>A Unidade Consumidora 10/1674177-9 economizou R$43,58 na fatura referente à ago/2025  consumindo 191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3" s="115">
        <f t="shared" si="491"/>
        <v>-160.84000000000009</v>
      </c>
    </row>
    <row r="784" spans="1:84" ht="16.2" hidden="1" customHeight="1" x14ac:dyDescent="0.3">
      <c r="A784" s="105" t="str">
        <f>INDEX('Infos Clientes'!$D:$D,MATCH('Detalhe Por UC'!C784,'Infos Clientes'!B:B,0))</f>
        <v>IGREJA DO EVANGELHO QUADRANGULAR</v>
      </c>
      <c r="B784" s="106" t="str">
        <f>INDEX('Infos Clientes'!$F:$F,MATCH('Detalhe Por UC'!C784,'Infos Clientes'!B:B,0))</f>
        <v>62.955.505/3793-95</v>
      </c>
      <c r="C784" s="31" t="s">
        <v>146</v>
      </c>
      <c r="D784" t="s">
        <v>351</v>
      </c>
      <c r="E784" s="1" t="s">
        <v>352</v>
      </c>
      <c r="F784" s="56" t="str">
        <f>INDEX('Infos Clientes'!$I:$I,MATCH('Detalhe Por UC'!C784,'Infos Clientes'!B:B,0))</f>
        <v>BT</v>
      </c>
      <c r="G784" s="56" t="str">
        <f>INDEX('Infos Clientes'!$J:$J,MATCH('Detalhe Por UC'!C784,'Infos Clientes'!B:B,0))</f>
        <v>trifasico</v>
      </c>
      <c r="H784" s="47" t="str">
        <f t="shared" si="457"/>
        <v>GIROSSOL III</v>
      </c>
      <c r="I784" s="58">
        <f>IFERROR(VLOOKUP(C784,'Infos Clientes'!B:E,4,),"")</f>
        <v>306</v>
      </c>
      <c r="J784" s="151">
        <v>0.22596103298069697</v>
      </c>
      <c r="K784" s="79">
        <f>INDEX('Resumo Operacional'!$A$1:$P$151,MATCH("Desconto percentual Ucs",'Resumo Operacional'!$B$1:$B$151,0),MATCH('Detalhe Por UC'!$R784,'Resumo Operacional'!$A$1:$P$1,0))</f>
        <v>0.26495232343264008</v>
      </c>
      <c r="M784" s="56"/>
      <c r="N784" s="56"/>
      <c r="O784" s="56"/>
      <c r="P784" s="56"/>
      <c r="Q784" s="61"/>
      <c r="R784" s="111">
        <v>45870</v>
      </c>
      <c r="S784" s="152">
        <v>3.0200000000000001E-2</v>
      </c>
      <c r="T784" s="113" t="str">
        <f>IF($H784="GIROSSOL II",AP784/INDEX('Resumo Operacional'!$A$1:$P$1103,17,MATCH('Detalhe Por UC'!$R784,'Resumo Operacional'!$A$1:$P$1,0)),
IF($H784="GIROSSOL II e III",AP784/INDEX('Resumo Operacional'!$A$1:$P$1103,17,MATCH('Detalhe Por UC'!$R784,'Resumo Operacional'!$A$1:$P$1,0)),
""))</f>
        <v/>
      </c>
      <c r="U784" s="113">
        <f>IF($H784="GIROSSOL III",AP784/INDEX('Resumo Operacional'!$A$1:$P$1103,53,MATCH('Detalhe Por UC'!$R784,'Resumo Operacional'!$A$1:$P$1,0)),
IF($H784="GIROSSOL II e III",AP784/INDEX('Resumo Operacional'!$A$1:$P$1103,53,MATCH('Detalhe Por UC'!$R784,'Resumo Operacional'!$A$1:$P$1,0)),
""))</f>
        <v>7.125466645025158E-2</v>
      </c>
      <c r="X784">
        <v>1.1848801521876982</v>
      </c>
      <c r="Z784" s="18">
        <v>1.0280114851931088</v>
      </c>
      <c r="AB784" s="18">
        <v>190</v>
      </c>
      <c r="AD784" s="143">
        <v>107</v>
      </c>
      <c r="AF784" s="18">
        <v>816</v>
      </c>
      <c r="AH784" s="49">
        <v>0</v>
      </c>
      <c r="AK784" s="153">
        <v>115.13</v>
      </c>
      <c r="AL784" s="43">
        <f t="shared" si="456"/>
        <v>0</v>
      </c>
      <c r="AN784" s="71">
        <f t="shared" si="458"/>
        <v>332</v>
      </c>
      <c r="AO784" s="71">
        <f t="shared" si="459"/>
        <v>0</v>
      </c>
      <c r="AP784" s="71">
        <f t="shared" si="460"/>
        <v>439</v>
      </c>
      <c r="AQ784" s="72">
        <f>IF(OR($H784="GIROSSOL II",$H784="GIROSSOL II e III"),INDEX('Resumo Operacional'!$A$1:$P$1103,MATCH("Energia Injetada prevista total Fatura da Usina (TUSD)",'Resumo Operacional'!$B$1:$B$1103,0),MATCH('Detalhe Por UC'!$R784,'Resumo Operacional'!$A$1:$P$1,0))*$S784,INDEX('Resumo Operacional'!$A$1:$P$1103,53,MATCH('Detalhe Por UC'!$R784,'Resumo Operacional'!$A$1:$P$1,0))*$S784)</f>
        <v>186.06220000000002</v>
      </c>
      <c r="AR784" s="71">
        <f t="shared" si="461"/>
        <v>252.93779999999998</v>
      </c>
      <c r="AS784" s="73">
        <f t="shared" si="462"/>
        <v>115.13</v>
      </c>
      <c r="AT784" s="74">
        <f t="shared" si="463"/>
        <v>115.13</v>
      </c>
      <c r="AU784" s="74">
        <f t="shared" si="464"/>
        <v>0.87114281819851946</v>
      </c>
      <c r="AV784" s="74">
        <f t="shared" si="465"/>
        <v>85.142141444865331</v>
      </c>
      <c r="AW784" s="74">
        <f t="shared" si="466"/>
        <v>0</v>
      </c>
      <c r="AX784" s="74">
        <f t="shared" si="467"/>
        <v>109.99722891566265</v>
      </c>
      <c r="AY784" s="74">
        <f t="shared" si="468"/>
        <v>85.14</v>
      </c>
      <c r="AZ784" s="117">
        <v>85.14</v>
      </c>
      <c r="BA784" s="49">
        <v>85.14</v>
      </c>
      <c r="BB784" s="49">
        <v>85.14</v>
      </c>
      <c r="BC784" s="73" t="str">
        <f t="shared" si="469"/>
        <v/>
      </c>
      <c r="BD784" s="73">
        <f t="shared" si="470"/>
        <v>225.12722891566264</v>
      </c>
      <c r="BE784" s="73">
        <f t="shared" si="471"/>
        <v>200.27214144486533</v>
      </c>
      <c r="BF784" s="77">
        <f t="shared" si="472"/>
        <v>24.86</v>
      </c>
      <c r="BG784" s="77">
        <f t="shared" si="473"/>
        <v>7.4579999999999993</v>
      </c>
      <c r="BH784" s="77">
        <f t="shared" si="474"/>
        <v>109.99722891566265</v>
      </c>
      <c r="BI784" s="78">
        <f t="shared" si="475"/>
        <v>0.23</v>
      </c>
      <c r="BJ784" s="79">
        <f t="shared" si="476"/>
        <v>0.11042644694619803</v>
      </c>
      <c r="BK784" s="80">
        <f t="shared" si="477"/>
        <v>200.26999999999998</v>
      </c>
      <c r="BL784" s="80">
        <f t="shared" si="478"/>
        <v>24.85722891566266</v>
      </c>
      <c r="BM784" s="79">
        <f t="shared" si="479"/>
        <v>0.11041413797606284</v>
      </c>
      <c r="BN784" s="81">
        <f t="shared" si="480"/>
        <v>0.79570093457943925</v>
      </c>
      <c r="BO784" s="82">
        <f t="shared" si="481"/>
        <v>85.14</v>
      </c>
      <c r="BP784" s="81">
        <f t="shared" si="482"/>
        <v>0.79570093457943925</v>
      </c>
      <c r="BQ784" s="81">
        <f t="shared" si="483"/>
        <v>0.95256960157402859</v>
      </c>
      <c r="BR784" s="81">
        <f t="shared" si="484"/>
        <v>1.1848801521876982</v>
      </c>
      <c r="BS784" s="82">
        <f t="shared" si="485"/>
        <v>107</v>
      </c>
      <c r="BT784" s="82">
        <f t="shared" si="486"/>
        <v>126.7821762840837</v>
      </c>
      <c r="BU784" s="82">
        <f t="shared" si="487"/>
        <v>109.99722891566265</v>
      </c>
      <c r="BW784" s="82">
        <f>IFERROR(INDEX('Infos Clientes'!$T:$T,MATCH('Detalhe Por UC'!$C784,'Infos Clientes'!B:B,0)),"")</f>
        <v>398.18181818181819</v>
      </c>
      <c r="BX784" s="83">
        <f t="shared" si="488"/>
        <v>0</v>
      </c>
      <c r="BY784" s="84">
        <f t="shared" si="489"/>
        <v>0.1960624879948778</v>
      </c>
      <c r="BZ784" s="85">
        <f>IF(_xlfn.MINIFS('Detalhe Por UC'!R:R,'Detalhe Por UC'!C:C,C784,'Detalhe Por UC'!AD:AD,"&gt;"&amp;0)=0,"",_xlfn.MINIFS('Detalhe Por UC'!R:R,'Detalhe Por UC'!C:C,C784,'Detalhe Por UC'!AD:AD,"&gt;"&amp;0))</f>
        <v>45658</v>
      </c>
      <c r="CA784" s="114">
        <f ca="1">IF(OR(S784&gt;0,AD784&gt;0),IFERROR(
SUMIFS(INDIRECT("'Infos Clientes'!$W"&amp;INDEX('Infos Clientes'!$C:$C,MATCH(C784,'Infos Clientes'!$H:$H,0))&amp;":$CZ"&amp;INDEX('Infos Clientes'!$C:$C,MATCH(C784,'Infos Clientes'!$H:$H,0))),'Infos Clientes'!$W$2:$CZ$2,"&gt;"&amp;$R784-365,'Infos Clientes'!$W$2:$CZ$2,"&lt;="&amp;$R784)/
COUNTIFS(INDIRECT("'Infos Clientes'!$W"&amp;INDEX('Infos Clientes'!$C:$C,MATCH(C784,'Infos Clientes'!$H:$H,0))&amp;":$CZ"&amp;INDEX('Infos Clientes'!$C:$C,MATCH(C784,'Infos Clientes'!$H:$H,0))),"&gt;="&amp;0,'Infos Clientes'!$W$2:$CZ$2,"&gt;"&amp;$R784-365,'Infos Clientes'!$W$2:$CZ$2,"&lt;="&amp;$R784),""),"")</f>
        <v>376.33333333333331</v>
      </c>
      <c r="CB784" s="87">
        <f>VLOOKUP(C784,'Infos Clientes'!B:L,11,0)</f>
        <v>0</v>
      </c>
      <c r="CC784" s="88" t="str">
        <f t="shared" si="490"/>
        <v>A Unidade Consumidora 10/1266128-6 economizou R$24,86 na fatura referente à ago/2025  consumindo 107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4" s="115">
        <f t="shared" si="491"/>
        <v>-115.13</v>
      </c>
    </row>
    <row r="785" spans="1:84" ht="16.2" hidden="1" customHeight="1" x14ac:dyDescent="0.3">
      <c r="A785" s="105" t="str">
        <f>INDEX('Infos Clientes'!$D:$D,MATCH('Detalhe Por UC'!C785,'Infos Clientes'!B:B,0))</f>
        <v>IGREJA DO EVANGELHO QUADRANGULAR</v>
      </c>
      <c r="B785" s="106" t="str">
        <f>INDEX('Infos Clientes'!$F:$F,MATCH('Detalhe Por UC'!C785,'Infos Clientes'!B:B,0))</f>
        <v>62.955.505/1355-00</v>
      </c>
      <c r="C785" s="31" t="s">
        <v>219</v>
      </c>
      <c r="D785" t="s">
        <v>351</v>
      </c>
      <c r="E785" s="1" t="s">
        <v>352</v>
      </c>
      <c r="F785" s="56" t="str">
        <f>INDEX('Infos Clientes'!$I:$I,MATCH('Detalhe Por UC'!C785,'Infos Clientes'!B:B,0))</f>
        <v>BT</v>
      </c>
      <c r="G785" s="56" t="str">
        <f>INDEX('Infos Clientes'!$J:$J,MATCH('Detalhe Por UC'!C785,'Infos Clientes'!B:B,0))</f>
        <v>trifasico</v>
      </c>
      <c r="H785" s="47" t="str">
        <f t="shared" si="457"/>
        <v>GIROSSOL III</v>
      </c>
      <c r="I785" s="58">
        <f>IFERROR(VLOOKUP(C785,'Infos Clientes'!B:E,4,),"")</f>
        <v>319</v>
      </c>
      <c r="J785" s="151">
        <v>0.22596103298069697</v>
      </c>
      <c r="K785" s="79">
        <f>INDEX('Resumo Operacional'!$A$1:$P$151,MATCH("Desconto percentual Ucs",'Resumo Operacional'!$B$1:$B$151,0),MATCH('Detalhe Por UC'!$R785,'Resumo Operacional'!$A$1:$P$1,0))</f>
        <v>0.26495232343264008</v>
      </c>
      <c r="M785" s="56"/>
      <c r="N785" s="56"/>
      <c r="O785" s="56"/>
      <c r="P785" s="56"/>
      <c r="Q785" s="61"/>
      <c r="R785" s="111">
        <v>45870</v>
      </c>
      <c r="S785" s="152">
        <v>3.0200000000000001E-2</v>
      </c>
      <c r="T785" s="113" t="str">
        <f>IF($H785="GIROSSOL II",AP785/INDEX('Resumo Operacional'!$A$1:$P$1103,17,MATCH('Detalhe Por UC'!$R785,'Resumo Operacional'!$A$1:$P$1,0)),
IF($H785="GIROSSOL II e III",AP785/INDEX('Resumo Operacional'!$A$1:$P$1103,17,MATCH('Detalhe Por UC'!$R785,'Resumo Operacional'!$A$1:$P$1,0)),
""))</f>
        <v/>
      </c>
      <c r="U785" s="113">
        <f>IF($H785="GIROSSOL III",AP785/INDEX('Resumo Operacional'!$A$1:$P$1103,53,MATCH('Detalhe Por UC'!$R785,'Resumo Operacional'!$A$1:$P$1,0)),
IF($H785="GIROSSOL II e III",AP785/INDEX('Resumo Operacional'!$A$1:$P$1103,53,MATCH('Detalhe Por UC'!$R785,'Resumo Operacional'!$A$1:$P$1,0)),
""))</f>
        <v>4.496023372829086E-2</v>
      </c>
      <c r="X785">
        <v>1.170324795947087</v>
      </c>
      <c r="Z785" s="18">
        <v>1.0134511533242876</v>
      </c>
      <c r="AB785" s="18">
        <v>323</v>
      </c>
      <c r="AD785" s="143">
        <v>268</v>
      </c>
      <c r="AF785" s="18">
        <v>183</v>
      </c>
      <c r="AH785" s="49">
        <v>66.3</v>
      </c>
      <c r="AK785" s="153">
        <v>172.71</v>
      </c>
      <c r="AL785" s="43">
        <f t="shared" si="456"/>
        <v>0</v>
      </c>
      <c r="AN785" s="71">
        <f t="shared" si="458"/>
        <v>9</v>
      </c>
      <c r="AO785" s="71">
        <f t="shared" si="459"/>
        <v>0</v>
      </c>
      <c r="AP785" s="71">
        <f t="shared" si="460"/>
        <v>277</v>
      </c>
      <c r="AQ785" s="72">
        <f>IF(OR($H785="GIROSSOL II",$H785="GIROSSOL II e III"),INDEX('Resumo Operacional'!$A$1:$P$1103,MATCH("Energia Injetada prevista total Fatura da Usina (TUSD)",'Resumo Operacional'!$B$1:$B$1103,0),MATCH('Detalhe Por UC'!$R785,'Resumo Operacional'!$A$1:$P$1,0))*$S785,INDEX('Resumo Operacional'!$A$1:$P$1103,53,MATCH('Detalhe Por UC'!$R785,'Resumo Operacional'!$A$1:$P$1,0))*$S785)</f>
        <v>186.06220000000002</v>
      </c>
      <c r="AR785" s="71">
        <f t="shared" si="461"/>
        <v>90.937799999999982</v>
      </c>
      <c r="AS785" s="73">
        <f t="shared" si="462"/>
        <v>172.71000000000004</v>
      </c>
      <c r="AT785" s="74">
        <f t="shared" si="463"/>
        <v>172.71000000000004</v>
      </c>
      <c r="AU785" s="74">
        <f t="shared" si="464"/>
        <v>0.85657751070148813</v>
      </c>
      <c r="AV785" s="74">
        <f t="shared" si="465"/>
        <v>210.23278327009899</v>
      </c>
      <c r="AW785" s="74">
        <f t="shared" si="466"/>
        <v>0</v>
      </c>
      <c r="AX785" s="74">
        <f t="shared" si="467"/>
        <v>271.60490909090908</v>
      </c>
      <c r="AY785" s="74">
        <f t="shared" si="468"/>
        <v>210.23</v>
      </c>
      <c r="AZ785" s="117">
        <v>210.23</v>
      </c>
      <c r="BA785" s="49">
        <v>210.23</v>
      </c>
      <c r="BB785" s="49">
        <v>271.60000000000002</v>
      </c>
      <c r="BC785" s="73">
        <f t="shared" si="469"/>
        <v>61.370000000000033</v>
      </c>
      <c r="BD785" s="73">
        <f t="shared" si="470"/>
        <v>444.31490909090911</v>
      </c>
      <c r="BE785" s="73">
        <f t="shared" si="471"/>
        <v>382.94278327009903</v>
      </c>
      <c r="BF785" s="77">
        <f t="shared" si="472"/>
        <v>61.37</v>
      </c>
      <c r="BG785" s="77">
        <f t="shared" si="473"/>
        <v>18.410999999999998</v>
      </c>
      <c r="BH785" s="77">
        <f t="shared" si="474"/>
        <v>271.60490909090908</v>
      </c>
      <c r="BI785" s="78">
        <f t="shared" si="475"/>
        <v>0.23</v>
      </c>
      <c r="BJ785" s="79">
        <f t="shared" si="476"/>
        <v>0.13812275650521413</v>
      </c>
      <c r="BK785" s="80">
        <f t="shared" si="477"/>
        <v>382.94000000000005</v>
      </c>
      <c r="BL785" s="80">
        <f t="shared" si="478"/>
        <v>61.374909090909057</v>
      </c>
      <c r="BM785" s="79">
        <f t="shared" si="479"/>
        <v>0.138133805179946</v>
      </c>
      <c r="BN785" s="81">
        <f t="shared" si="480"/>
        <v>0.78444029850746266</v>
      </c>
      <c r="BO785" s="82">
        <f t="shared" si="481"/>
        <v>210.23</v>
      </c>
      <c r="BP785" s="81">
        <f t="shared" si="482"/>
        <v>0.78444029850746266</v>
      </c>
      <c r="BQ785" s="81">
        <f t="shared" si="483"/>
        <v>0.94131394113026212</v>
      </c>
      <c r="BR785" s="81">
        <f t="shared" si="484"/>
        <v>1.170324795947087</v>
      </c>
      <c r="BS785" s="82">
        <f t="shared" si="485"/>
        <v>268</v>
      </c>
      <c r="BT785" s="82">
        <f t="shared" si="486"/>
        <v>313.64704531381932</v>
      </c>
      <c r="BU785" s="82">
        <f t="shared" si="487"/>
        <v>271.60490909090908</v>
      </c>
      <c r="BW785" s="82">
        <f>IFERROR(INDEX('Infos Clientes'!$T:$T,MATCH('Detalhe Por UC'!$C785,'Infos Clientes'!B:B,0)),"")</f>
        <v>385.63636363636363</v>
      </c>
      <c r="BX785" s="83">
        <f t="shared" si="488"/>
        <v>0</v>
      </c>
      <c r="BY785" s="84">
        <f t="shared" si="489"/>
        <v>0.19568145151662583</v>
      </c>
      <c r="BZ785" s="85">
        <f>IF(_xlfn.MINIFS('Detalhe Por UC'!R:R,'Detalhe Por UC'!C:C,C785,'Detalhe Por UC'!AD:AD,"&gt;"&amp;0)=0,"",_xlfn.MINIFS('Detalhe Por UC'!R:R,'Detalhe Por UC'!C:C,C785,'Detalhe Por UC'!AD:AD,"&gt;"&amp;0))</f>
        <v>45658</v>
      </c>
      <c r="CA785" s="114">
        <f ca="1">IF(OR(S785&gt;0,AD785&gt;0),IFERROR(
SUMIFS(INDIRECT("'Infos Clientes'!$W"&amp;INDEX('Infos Clientes'!$C:$C,MATCH(C785,'Infos Clientes'!$H:$H,0))&amp;":$CZ"&amp;INDEX('Infos Clientes'!$C:$C,MATCH(C785,'Infos Clientes'!$H:$H,0))),'Infos Clientes'!$W$2:$CZ$2,"&gt;"&amp;$R785-365,'Infos Clientes'!$W$2:$CZ$2,"&lt;="&amp;$R785)/
COUNTIFS(INDIRECT("'Infos Clientes'!$W"&amp;INDEX('Infos Clientes'!$C:$C,MATCH(C785,'Infos Clientes'!$H:$H,0))&amp;":$CZ"&amp;INDEX('Infos Clientes'!$C:$C,MATCH(C785,'Infos Clientes'!$H:$H,0))),"&gt;="&amp;0,'Infos Clientes'!$W$2:$CZ$2,"&gt;"&amp;$R785-365,'Infos Clientes'!$W$2:$CZ$2,"&lt;="&amp;$R785),""),"")</f>
        <v>379.08333333333331</v>
      </c>
      <c r="CB785" s="87">
        <f>VLOOKUP(C785,'Infos Clientes'!B:L,11,0)</f>
        <v>0</v>
      </c>
      <c r="CC785" s="88" t="str">
        <f t="shared" si="490"/>
        <v>A Unidade Consumidora 10/63920-3 economizou R$61,37 na fatura referente à ago/2025  consumindo 268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5" s="115">
        <f t="shared" si="491"/>
        <v>-172.71000000000004</v>
      </c>
    </row>
    <row r="786" spans="1:84" ht="16.2" hidden="1" customHeight="1" x14ac:dyDescent="0.3">
      <c r="A786" s="105" t="str">
        <f>INDEX('Infos Clientes'!$D:$D,MATCH('Detalhe Por UC'!C786,'Infos Clientes'!B:B,0))</f>
        <v>IGREJA DO EVANGELHO QUADRANGULAR</v>
      </c>
      <c r="B786" s="106" t="str">
        <f>INDEX('Infos Clientes'!$F:$F,MATCH('Detalhe Por UC'!C786,'Infos Clientes'!B:B,0))</f>
        <v>62.955.505/0001-67</v>
      </c>
      <c r="C786" s="31" t="s">
        <v>240</v>
      </c>
      <c r="D786" t="s">
        <v>351</v>
      </c>
      <c r="E786" s="1" t="s">
        <v>352</v>
      </c>
      <c r="F786" s="56" t="str">
        <f>INDEX('Infos Clientes'!$I:$I,MATCH('Detalhe Por UC'!C786,'Infos Clientes'!B:B,0))</f>
        <v>BT</v>
      </c>
      <c r="G786" s="56" t="str">
        <f>INDEX('Infos Clientes'!$J:$J,MATCH('Detalhe Por UC'!C786,'Infos Clientes'!B:B,0))</f>
        <v>trifasico</v>
      </c>
      <c r="H786" s="47" t="str">
        <f t="shared" si="457"/>
        <v>GIROSSOL III</v>
      </c>
      <c r="I786" s="58">
        <f>IFERROR(VLOOKUP(C786,'Infos Clientes'!B:E,4,),"")</f>
        <v>360</v>
      </c>
      <c r="J786" s="151">
        <v>0.22596103298069697</v>
      </c>
      <c r="K786" s="79">
        <f>INDEX('Resumo Operacional'!$A$1:$P$151,MATCH("Desconto percentual Ucs",'Resumo Operacional'!$B$1:$B$151,0),MATCH('Detalhe Por UC'!$R786,'Resumo Operacional'!$A$1:$P$1,0))</f>
        <v>0.26495232343264008</v>
      </c>
      <c r="M786" s="56"/>
      <c r="N786" s="56"/>
      <c r="O786" s="56"/>
      <c r="P786" s="56"/>
      <c r="Q786" s="61"/>
      <c r="R786" s="111">
        <v>45870</v>
      </c>
      <c r="S786" s="152">
        <v>3.0200000000000001E-2</v>
      </c>
      <c r="T786" s="113" t="str">
        <f>IF($H786="GIROSSOL II",AP786/INDEX('Resumo Operacional'!$A$1:$P$1103,17,MATCH('Detalhe Por UC'!$R786,'Resumo Operacional'!$A$1:$P$1,0)),
IF($H786="GIROSSOL II e III",AP786/INDEX('Resumo Operacional'!$A$1:$P$1103,17,MATCH('Detalhe Por UC'!$R786,'Resumo Operacional'!$A$1:$P$1,0)),
""))</f>
        <v/>
      </c>
      <c r="U786" s="113">
        <f>IF($H786="GIROSSOL III",AP786/INDEX('Resumo Operacional'!$A$1:$P$1103,53,MATCH('Detalhe Por UC'!$R786,'Resumo Operacional'!$A$1:$P$1,0)),
IF($H786="GIROSSOL II e III",AP786/INDEX('Resumo Operacional'!$A$1:$P$1103,53,MATCH('Detalhe Por UC'!$R786,'Resumo Operacional'!$A$1:$P$1,0)),
""))</f>
        <v>7.2066223015744196E-2</v>
      </c>
      <c r="X786">
        <v>1.1743773020257826</v>
      </c>
      <c r="Z786" s="18">
        <v>1.0174986730360933</v>
      </c>
      <c r="AB786" s="18">
        <v>362</v>
      </c>
      <c r="AD786" s="143">
        <v>314</v>
      </c>
      <c r="AF786" s="18">
        <v>130</v>
      </c>
      <c r="AH786" s="49">
        <v>69.38</v>
      </c>
      <c r="AK786" s="153">
        <v>175.01</v>
      </c>
      <c r="AL786" s="43">
        <f t="shared" si="456"/>
        <v>0</v>
      </c>
      <c r="AN786" s="71">
        <f t="shared" si="458"/>
        <v>130</v>
      </c>
      <c r="AO786" s="71">
        <f t="shared" si="459"/>
        <v>0</v>
      </c>
      <c r="AP786" s="71">
        <f t="shared" si="460"/>
        <v>444</v>
      </c>
      <c r="AQ786" s="72">
        <f>IF(OR($H786="GIROSSOL II",$H786="GIROSSOL II e III"),INDEX('Resumo Operacional'!$A$1:$P$1103,MATCH("Energia Injetada prevista total Fatura da Usina (TUSD)",'Resumo Operacional'!$B$1:$B$1103,0),MATCH('Detalhe Por UC'!$R786,'Resumo Operacional'!$A$1:$P$1,0))*$S786,INDEX('Resumo Operacional'!$A$1:$P$1103,53,MATCH('Detalhe Por UC'!$R786,'Resumo Operacional'!$A$1:$P$1,0))*$S786)</f>
        <v>186.06220000000002</v>
      </c>
      <c r="AR786" s="71">
        <f t="shared" si="461"/>
        <v>257.93779999999998</v>
      </c>
      <c r="AS786" s="73">
        <f t="shared" si="462"/>
        <v>175.01</v>
      </c>
      <c r="AT786" s="74">
        <f t="shared" si="463"/>
        <v>175.01</v>
      </c>
      <c r="AU786" s="74">
        <f t="shared" si="464"/>
        <v>0.86062004404640402</v>
      </c>
      <c r="AV786" s="74">
        <f t="shared" si="465"/>
        <v>247.30125725159593</v>
      </c>
      <c r="AW786" s="74">
        <f t="shared" si="466"/>
        <v>0</v>
      </c>
      <c r="AX786" s="74">
        <f t="shared" si="467"/>
        <v>319.49458333333331</v>
      </c>
      <c r="AY786" s="74">
        <f t="shared" si="468"/>
        <v>247.3</v>
      </c>
      <c r="AZ786" s="117">
        <v>247.3</v>
      </c>
      <c r="BA786" s="49">
        <v>247.3</v>
      </c>
      <c r="BB786" s="49">
        <v>247.3</v>
      </c>
      <c r="BC786" s="73" t="str">
        <f t="shared" si="469"/>
        <v/>
      </c>
      <c r="BD786" s="73">
        <f t="shared" si="470"/>
        <v>494.5045833333333</v>
      </c>
      <c r="BE786" s="73">
        <f t="shared" si="471"/>
        <v>422.31125725159592</v>
      </c>
      <c r="BF786" s="77">
        <f t="shared" si="472"/>
        <v>72.19</v>
      </c>
      <c r="BG786" s="77">
        <f t="shared" si="473"/>
        <v>21.657</v>
      </c>
      <c r="BH786" s="77">
        <f t="shared" si="474"/>
        <v>319.49458333333325</v>
      </c>
      <c r="BI786" s="78">
        <f t="shared" si="475"/>
        <v>0.23</v>
      </c>
      <c r="BJ786" s="79">
        <f t="shared" si="476"/>
        <v>0.14598449121216436</v>
      </c>
      <c r="BK786" s="80">
        <f t="shared" si="477"/>
        <v>422.31</v>
      </c>
      <c r="BL786" s="80">
        <f t="shared" si="478"/>
        <v>72.194583333333298</v>
      </c>
      <c r="BM786" s="79">
        <f t="shared" si="479"/>
        <v>0.14599375974776096</v>
      </c>
      <c r="BN786" s="81">
        <f t="shared" si="480"/>
        <v>0.7875796178343949</v>
      </c>
      <c r="BO786" s="82">
        <f t="shared" si="481"/>
        <v>247.3</v>
      </c>
      <c r="BP786" s="81">
        <f t="shared" si="482"/>
        <v>0.7875796178343949</v>
      </c>
      <c r="BQ786" s="81">
        <f t="shared" si="483"/>
        <v>0.94445824682408419</v>
      </c>
      <c r="BR786" s="81">
        <f t="shared" si="484"/>
        <v>1.1743773020257826</v>
      </c>
      <c r="BS786" s="82">
        <f t="shared" si="485"/>
        <v>314</v>
      </c>
      <c r="BT786" s="82">
        <f t="shared" si="486"/>
        <v>368.75447283609572</v>
      </c>
      <c r="BU786" s="82">
        <f t="shared" si="487"/>
        <v>319.49458333333331</v>
      </c>
      <c r="BW786" s="82">
        <f>IFERROR(INDEX('Infos Clientes'!$T:$T,MATCH('Detalhe Por UC'!$C786,'Infos Clientes'!B:B,0)),"")</f>
        <v>413.36363636363637</v>
      </c>
      <c r="BX786" s="83">
        <f t="shared" si="488"/>
        <v>0</v>
      </c>
      <c r="BY786" s="84">
        <f t="shared" si="489"/>
        <v>0.19577954615189821</v>
      </c>
      <c r="BZ786" s="85">
        <f>IF(_xlfn.MINIFS('Detalhe Por UC'!R:R,'Detalhe Por UC'!C:C,C786,'Detalhe Por UC'!AD:AD,"&gt;"&amp;0)=0,"",_xlfn.MINIFS('Detalhe Por UC'!R:R,'Detalhe Por UC'!C:C,C786,'Detalhe Por UC'!AD:AD,"&gt;"&amp;0))</f>
        <v>45658</v>
      </c>
      <c r="CA786" s="114">
        <f ca="1">IF(OR(S786&gt;0,AD786&gt;0),IFERROR(
SUMIFS(INDIRECT("'Infos Clientes'!$W"&amp;INDEX('Infos Clientes'!$C:$C,MATCH(C786,'Infos Clientes'!$H:$H,0))&amp;":$CZ"&amp;INDEX('Infos Clientes'!$C:$C,MATCH(C786,'Infos Clientes'!$H:$H,0))),'Infos Clientes'!$W$2:$CZ$2,"&gt;"&amp;$R786-365,'Infos Clientes'!$W$2:$CZ$2,"&lt;="&amp;$R786)/
COUNTIFS(INDIRECT("'Infos Clientes'!$W"&amp;INDEX('Infos Clientes'!$C:$C,MATCH(C786,'Infos Clientes'!$H:$H,0))&amp;":$CZ"&amp;INDEX('Infos Clientes'!$C:$C,MATCH(C786,'Infos Clientes'!$H:$H,0))),"&gt;="&amp;0,'Infos Clientes'!$W$2:$CZ$2,"&gt;"&amp;$R786-365,'Infos Clientes'!$W$2:$CZ$2,"&lt;="&amp;$R786),""),"")</f>
        <v>434</v>
      </c>
      <c r="CB786" s="87">
        <f>VLOOKUP(C786,'Infos Clientes'!B:L,11,0)</f>
        <v>0</v>
      </c>
      <c r="CC786" s="88" t="str">
        <f t="shared" si="490"/>
        <v>A Unidade Consumidora 10/260761-2 economizou R$72,19 na fatura referente à ago/2025  consumindo 314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6" s="115">
        <f t="shared" si="491"/>
        <v>-175.01</v>
      </c>
    </row>
    <row r="787" spans="1:84" ht="16.2" hidden="1" customHeight="1" x14ac:dyDescent="0.3">
      <c r="A787" s="105" t="str">
        <f>INDEX('Infos Clientes'!$D:$D,MATCH('Detalhe Por UC'!C787,'Infos Clientes'!B:B,0))</f>
        <v>IGREJA DO EVANGELHO QUADRANGULAR</v>
      </c>
      <c r="B787" s="106" t="str">
        <f>INDEX('Infos Clientes'!$F:$F,MATCH('Detalhe Por UC'!C787,'Infos Clientes'!B:B,0))</f>
        <v>62.955.505/3574-05</v>
      </c>
      <c r="C787" s="31" t="s">
        <v>203</v>
      </c>
      <c r="D787" t="s">
        <v>351</v>
      </c>
      <c r="E787" s="1" t="s">
        <v>352</v>
      </c>
      <c r="F787" s="56" t="str">
        <f>INDEX('Infos Clientes'!$I:$I,MATCH('Detalhe Por UC'!C787,'Infos Clientes'!B:B,0))</f>
        <v>BT</v>
      </c>
      <c r="G787" s="56" t="str">
        <f>INDEX('Infos Clientes'!$J:$J,MATCH('Detalhe Por UC'!C787,'Infos Clientes'!B:B,0))</f>
        <v>trifasico</v>
      </c>
      <c r="H787" s="47" t="str">
        <f t="shared" si="457"/>
        <v>GIROSSOL III</v>
      </c>
      <c r="I787" s="58">
        <f>IFERROR(VLOOKUP(C787,'Infos Clientes'!B:E,4,),"")</f>
        <v>306</v>
      </c>
      <c r="J787" s="151">
        <v>0.22596103298069697</v>
      </c>
      <c r="K787" s="79">
        <f>INDEX('Resumo Operacional'!$A$1:$P$151,MATCH("Desconto percentual Ucs",'Resumo Operacional'!$B$1:$B$151,0),MATCH('Detalhe Por UC'!$R787,'Resumo Operacional'!$A$1:$P$1,0))</f>
        <v>0.26495232343264008</v>
      </c>
      <c r="M787" s="56"/>
      <c r="N787" s="56"/>
      <c r="O787" s="56"/>
      <c r="P787" s="56"/>
      <c r="Q787" s="61"/>
      <c r="R787" s="111">
        <v>45870</v>
      </c>
      <c r="S787" s="152">
        <v>2.0199999999999999E-2</v>
      </c>
      <c r="T787" s="113" t="str">
        <f>IF($H787="GIROSSOL II",AP787/INDEX('Resumo Operacional'!$A$1:$P$1103,17,MATCH('Detalhe Por UC'!$R787,'Resumo Operacional'!$A$1:$P$1,0)),
IF($H787="GIROSSOL II e III",AP787/INDEX('Resumo Operacional'!$A$1:$P$1103,17,MATCH('Detalhe Por UC'!$R787,'Resumo Operacional'!$A$1:$P$1,0)),
""))</f>
        <v/>
      </c>
      <c r="U787" s="113">
        <f>IF($H787="GIROSSOL III",AP787/INDEX('Resumo Operacional'!$A$1:$P$1103,53,MATCH('Detalhe Por UC'!$R787,'Resumo Operacional'!$A$1:$P$1,0)),
IF($H787="GIROSSOL II e III",AP787/INDEX('Resumo Operacional'!$A$1:$P$1103,53,MATCH('Detalhe Por UC'!$R787,'Resumo Operacional'!$A$1:$P$1,0)),
""))</f>
        <v>5.4211978574906672E-2</v>
      </c>
      <c r="X787">
        <v>1.17407009676658</v>
      </c>
      <c r="Z787" s="18">
        <v>1.0171947726459003</v>
      </c>
      <c r="AB787" s="18">
        <v>223</v>
      </c>
      <c r="AD787" s="143">
        <v>147</v>
      </c>
      <c r="AF787" s="18">
        <v>427</v>
      </c>
      <c r="AH787" s="49">
        <v>0</v>
      </c>
      <c r="AK787" s="153">
        <v>112.29</v>
      </c>
      <c r="AL787" s="43">
        <f t="shared" si="456"/>
        <v>0</v>
      </c>
      <c r="AN787" s="71">
        <f t="shared" si="458"/>
        <v>187</v>
      </c>
      <c r="AO787" s="71">
        <f t="shared" si="459"/>
        <v>0</v>
      </c>
      <c r="AP787" s="71">
        <f t="shared" si="460"/>
        <v>334</v>
      </c>
      <c r="AQ787" s="72">
        <f>IF(OR($H787="GIROSSOL II",$H787="GIROSSOL II e III"),INDEX('Resumo Operacional'!$A$1:$P$1103,MATCH("Energia Injetada prevista total Fatura da Usina (TUSD)",'Resumo Operacional'!$B$1:$B$1103,0),MATCH('Detalhe Por UC'!$R787,'Resumo Operacional'!$A$1:$P$1,0))*$S787,INDEX('Resumo Operacional'!$A$1:$P$1103,53,MATCH('Detalhe Por UC'!$R787,'Resumo Operacional'!$A$1:$P$1,0))*$S787)</f>
        <v>124.45219999999999</v>
      </c>
      <c r="AR787" s="71">
        <f t="shared" si="461"/>
        <v>209.5478</v>
      </c>
      <c r="AS787" s="73">
        <f t="shared" si="462"/>
        <v>112.28999999999999</v>
      </c>
      <c r="AT787" s="74">
        <f t="shared" si="463"/>
        <v>112.28999999999999</v>
      </c>
      <c r="AU787" s="74">
        <f t="shared" si="464"/>
        <v>0.86031944852522058</v>
      </c>
      <c r="AV787" s="74">
        <f t="shared" si="465"/>
        <v>115.74021348821132</v>
      </c>
      <c r="AW787" s="74">
        <f t="shared" si="466"/>
        <v>0</v>
      </c>
      <c r="AX787" s="74">
        <f t="shared" si="467"/>
        <v>149.52763157894734</v>
      </c>
      <c r="AY787" s="74">
        <f t="shared" si="468"/>
        <v>115.74</v>
      </c>
      <c r="AZ787" s="117">
        <v>115.74</v>
      </c>
      <c r="BA787" s="49">
        <v>115.74</v>
      </c>
      <c r="BB787" s="49">
        <v>115.74</v>
      </c>
      <c r="BC787" s="73" t="str">
        <f t="shared" si="469"/>
        <v/>
      </c>
      <c r="BD787" s="73">
        <f t="shared" si="470"/>
        <v>261.81763157894733</v>
      </c>
      <c r="BE787" s="73">
        <f t="shared" si="471"/>
        <v>228.0302134882113</v>
      </c>
      <c r="BF787" s="77">
        <f t="shared" si="472"/>
        <v>33.79</v>
      </c>
      <c r="BG787" s="77">
        <f t="shared" si="473"/>
        <v>10.136999999999999</v>
      </c>
      <c r="BH787" s="77">
        <f t="shared" si="474"/>
        <v>149.52763157894736</v>
      </c>
      <c r="BI787" s="78">
        <f t="shared" si="475"/>
        <v>0.23</v>
      </c>
      <c r="BJ787" s="79">
        <f t="shared" si="476"/>
        <v>0.12905929900985721</v>
      </c>
      <c r="BK787" s="80">
        <f t="shared" si="477"/>
        <v>228.02999999999997</v>
      </c>
      <c r="BL787" s="80">
        <f t="shared" si="478"/>
        <v>33.787631578947355</v>
      </c>
      <c r="BM787" s="79">
        <f t="shared" si="479"/>
        <v>0.12905025293821429</v>
      </c>
      <c r="BN787" s="81">
        <f t="shared" si="480"/>
        <v>0.78734693877551021</v>
      </c>
      <c r="BO787" s="82">
        <f t="shared" si="481"/>
        <v>115.74</v>
      </c>
      <c r="BP787" s="81">
        <f t="shared" si="482"/>
        <v>0.78734693877551021</v>
      </c>
      <c r="BQ787" s="81">
        <f t="shared" si="483"/>
        <v>0.94422226289618993</v>
      </c>
      <c r="BR787" s="81">
        <f t="shared" si="484"/>
        <v>1.17407009676658</v>
      </c>
      <c r="BS787" s="82">
        <f t="shared" si="485"/>
        <v>147</v>
      </c>
      <c r="BT787" s="82">
        <f t="shared" si="486"/>
        <v>172.58830422468728</v>
      </c>
      <c r="BU787" s="82">
        <f t="shared" si="487"/>
        <v>149.52763157894734</v>
      </c>
      <c r="BW787" s="82">
        <f>IFERROR(INDEX('Infos Clientes'!$T:$T,MATCH('Detalhe Por UC'!$C787,'Infos Clientes'!B:B,0)),"")</f>
        <v>378.09090909090907</v>
      </c>
      <c r="BX787" s="83">
        <f t="shared" si="488"/>
        <v>0</v>
      </c>
      <c r="BY787" s="84">
        <f t="shared" si="489"/>
        <v>0.19577011160014815</v>
      </c>
      <c r="BZ787" s="85">
        <f>IF(_xlfn.MINIFS('Detalhe Por UC'!R:R,'Detalhe Por UC'!C:C,C787,'Detalhe Por UC'!AD:AD,"&gt;"&amp;0)=0,"",_xlfn.MINIFS('Detalhe Por UC'!R:R,'Detalhe Por UC'!C:C,C787,'Detalhe Por UC'!AD:AD,"&gt;"&amp;0))</f>
        <v>45658</v>
      </c>
      <c r="CA787" s="114">
        <f ca="1">IF(OR(S787&gt;0,AD787&gt;0),IFERROR(
SUMIFS(INDIRECT("'Infos Clientes'!$W"&amp;INDEX('Infos Clientes'!$C:$C,MATCH(C787,'Infos Clientes'!$H:$H,0))&amp;":$CZ"&amp;INDEX('Infos Clientes'!$C:$C,MATCH(C787,'Infos Clientes'!$H:$H,0))),'Infos Clientes'!$W$2:$CZ$2,"&gt;"&amp;$R787-365,'Infos Clientes'!$W$2:$CZ$2,"&lt;="&amp;$R787)/
COUNTIFS(INDIRECT("'Infos Clientes'!$W"&amp;INDEX('Infos Clientes'!$C:$C,MATCH(C787,'Infos Clientes'!$H:$H,0))&amp;":$CZ"&amp;INDEX('Infos Clientes'!$C:$C,MATCH(C787,'Infos Clientes'!$H:$H,0))),"&gt;="&amp;0,'Infos Clientes'!$W$2:$CZ$2,"&gt;"&amp;$R787-365,'Infos Clientes'!$W$2:$CZ$2,"&lt;="&amp;$R787),""),"")</f>
        <v>360.41666666666669</v>
      </c>
      <c r="CB787" s="87">
        <f>VLOOKUP(C787,'Infos Clientes'!B:L,11,0)</f>
        <v>0</v>
      </c>
      <c r="CC787" s="88" t="str">
        <f t="shared" si="490"/>
        <v>A Unidade Consumidora 10/435964-2 economizou R$33,79 na fatura referente à ago/2025  consumindo 147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7" s="115">
        <f t="shared" si="491"/>
        <v>-112.28999999999999</v>
      </c>
    </row>
    <row r="788" spans="1:84" ht="16.2" hidden="1" customHeight="1" x14ac:dyDescent="0.3">
      <c r="A788" s="105" t="str">
        <f>INDEX('Infos Clientes'!$D:$D,MATCH('Detalhe Por UC'!C788,'Infos Clientes'!B:B,0))</f>
        <v>IGREJA DO EVANGELHO QUADRANGULAR</v>
      </c>
      <c r="B788" s="106" t="str">
        <f>INDEX('Infos Clientes'!$F:$F,MATCH('Detalhe Por UC'!C788,'Infos Clientes'!B:B,0))</f>
        <v>62.955.505/8432-53</v>
      </c>
      <c r="C788" s="31" t="s">
        <v>178</v>
      </c>
      <c r="D788" t="s">
        <v>351</v>
      </c>
      <c r="E788" s="1" t="s">
        <v>352</v>
      </c>
      <c r="F788" s="56" t="str">
        <f>INDEX('Infos Clientes'!$I:$I,MATCH('Detalhe Por UC'!C788,'Infos Clientes'!B:B,0))</f>
        <v>BT</v>
      </c>
      <c r="G788" s="56" t="str">
        <f>INDEX('Infos Clientes'!$J:$J,MATCH('Detalhe Por UC'!C788,'Infos Clientes'!B:B,0))</f>
        <v>trifasico</v>
      </c>
      <c r="H788" s="47" t="str">
        <f t="shared" si="457"/>
        <v>GIROSSOL III</v>
      </c>
      <c r="I788" s="58">
        <f>IFERROR(VLOOKUP(C788,'Infos Clientes'!B:E,4,),"")</f>
        <v>349</v>
      </c>
      <c r="J788" s="151">
        <v>0.22596103298069697</v>
      </c>
      <c r="K788" s="79">
        <f>INDEX('Resumo Operacional'!$A$1:$P$151,MATCH("Desconto percentual Ucs",'Resumo Operacional'!$B$1:$B$151,0),MATCH('Detalhe Por UC'!$R788,'Resumo Operacional'!$A$1:$P$1,0))</f>
        <v>0.26495232343264008</v>
      </c>
      <c r="M788" s="56"/>
      <c r="N788" s="56"/>
      <c r="O788" s="56"/>
      <c r="P788" s="56"/>
      <c r="Q788" s="61"/>
      <c r="R788" s="111">
        <v>45870</v>
      </c>
      <c r="S788" s="152">
        <v>2.0199999999999999E-2</v>
      </c>
      <c r="T788" s="113" t="str">
        <f>IF($H788="GIROSSOL II",AP788/INDEX('Resumo Operacional'!$A$1:$P$1103,17,MATCH('Detalhe Por UC'!$R788,'Resumo Operacional'!$A$1:$P$1,0)),
IF($H788="GIROSSOL II e III",AP788/INDEX('Resumo Operacional'!$A$1:$P$1103,17,MATCH('Detalhe Por UC'!$R788,'Resumo Operacional'!$A$1:$P$1,0)),
""))</f>
        <v/>
      </c>
      <c r="U788" s="113">
        <f>IF($H788="GIROSSOL III",AP788/INDEX('Resumo Operacional'!$A$1:$P$1103,53,MATCH('Detalhe Por UC'!$R788,'Resumo Operacional'!$A$1:$P$1,0)),
IF($H788="GIROSSOL II e III",AP788/INDEX('Resumo Operacional'!$A$1:$P$1103,53,MATCH('Detalhe Por UC'!$R788,'Resumo Operacional'!$A$1:$P$1,0)),
""))</f>
        <v>4.8368771303359842E-2</v>
      </c>
      <c r="X788">
        <v>1.1831976744186046</v>
      </c>
      <c r="Z788" s="18">
        <v>1.0262790697674418</v>
      </c>
      <c r="AB788" s="18">
        <v>172</v>
      </c>
      <c r="AD788" s="143">
        <v>86</v>
      </c>
      <c r="AF788" s="18">
        <v>394</v>
      </c>
      <c r="AH788" s="49">
        <v>24.67</v>
      </c>
      <c r="AK788" s="153">
        <v>139.91999999999999</v>
      </c>
      <c r="AL788" s="43">
        <f t="shared" si="456"/>
        <v>0</v>
      </c>
      <c r="AN788" s="71">
        <f t="shared" si="458"/>
        <v>212</v>
      </c>
      <c r="AO788" s="71">
        <f t="shared" si="459"/>
        <v>0</v>
      </c>
      <c r="AP788" s="71">
        <f t="shared" si="460"/>
        <v>298</v>
      </c>
      <c r="AQ788" s="72">
        <f>IF(OR($H788="GIROSSOL II",$H788="GIROSSOL II e III"),INDEX('Resumo Operacional'!$A$1:$P$1103,MATCH("Energia Injetada prevista total Fatura da Usina (TUSD)",'Resumo Operacional'!$B$1:$B$1103,0),MATCH('Detalhe Por UC'!$R788,'Resumo Operacional'!$A$1:$P$1,0))*$S788,INDEX('Resumo Operacional'!$A$1:$P$1103,53,MATCH('Detalhe Por UC'!$R788,'Resumo Operacional'!$A$1:$P$1,0))*$S788)</f>
        <v>124.45219999999999</v>
      </c>
      <c r="AR788" s="71">
        <f t="shared" si="461"/>
        <v>173.5478</v>
      </c>
      <c r="AS788" s="73">
        <f t="shared" si="462"/>
        <v>139.92000000000002</v>
      </c>
      <c r="AT788" s="74">
        <f t="shared" si="463"/>
        <v>139.92000000000002</v>
      </c>
      <c r="AU788" s="74">
        <f t="shared" si="464"/>
        <v>0.86936046511627896</v>
      </c>
      <c r="AV788" s="74">
        <f t="shared" si="465"/>
        <v>68.316679229123693</v>
      </c>
      <c r="AW788" s="74">
        <f t="shared" si="466"/>
        <v>0</v>
      </c>
      <c r="AX788" s="74">
        <f t="shared" si="467"/>
        <v>88.259999999999991</v>
      </c>
      <c r="AY788" s="74">
        <f t="shared" si="468"/>
        <v>68.319999999999993</v>
      </c>
      <c r="AZ788" s="117">
        <v>68.319999999999993</v>
      </c>
      <c r="BA788" s="49">
        <v>68.319999999999993</v>
      </c>
      <c r="BB788" s="49">
        <v>68.319999999999993</v>
      </c>
      <c r="BC788" s="73" t="str">
        <f t="shared" si="469"/>
        <v/>
      </c>
      <c r="BD788" s="73">
        <f t="shared" si="470"/>
        <v>228.18</v>
      </c>
      <c r="BE788" s="73">
        <f t="shared" si="471"/>
        <v>208.23667922912369</v>
      </c>
      <c r="BF788" s="77">
        <f t="shared" si="472"/>
        <v>19.940000000000001</v>
      </c>
      <c r="BG788" s="77">
        <f t="shared" si="473"/>
        <v>5.9820000000000002</v>
      </c>
      <c r="BH788" s="77">
        <f t="shared" si="474"/>
        <v>88.259999999999991</v>
      </c>
      <c r="BI788" s="78">
        <f t="shared" si="475"/>
        <v>0.23</v>
      </c>
      <c r="BJ788" s="79">
        <f t="shared" si="476"/>
        <v>8.7387150495223068E-2</v>
      </c>
      <c r="BK788" s="80">
        <f t="shared" si="477"/>
        <v>208.24</v>
      </c>
      <c r="BL788" s="80">
        <f t="shared" si="478"/>
        <v>19.939999999999998</v>
      </c>
      <c r="BM788" s="79">
        <f t="shared" si="479"/>
        <v>8.7387150495223054E-2</v>
      </c>
      <c r="BN788" s="81">
        <f t="shared" si="480"/>
        <v>0.79441860465116276</v>
      </c>
      <c r="BO788" s="82">
        <f t="shared" si="481"/>
        <v>68.319999999999993</v>
      </c>
      <c r="BP788" s="81">
        <f t="shared" si="482"/>
        <v>0.79441860465116276</v>
      </c>
      <c r="BQ788" s="81">
        <f t="shared" si="483"/>
        <v>0.95133720930232557</v>
      </c>
      <c r="BR788" s="81">
        <f t="shared" si="484"/>
        <v>1.1831976744186046</v>
      </c>
      <c r="BS788" s="82">
        <f t="shared" si="485"/>
        <v>86</v>
      </c>
      <c r="BT788" s="82">
        <f t="shared" si="486"/>
        <v>101.755</v>
      </c>
      <c r="BU788" s="82">
        <f t="shared" si="487"/>
        <v>88.259999999999991</v>
      </c>
      <c r="BW788" s="82">
        <f>IFERROR(INDEX('Infos Clientes'!$T:$T,MATCH('Detalhe Por UC'!$C788,'Infos Clientes'!B:B,0)),"")</f>
        <v>290.18181818181819</v>
      </c>
      <c r="BX788" s="83">
        <f t="shared" si="488"/>
        <v>0</v>
      </c>
      <c r="BY788" s="84">
        <f t="shared" si="489"/>
        <v>0.19596088644292659</v>
      </c>
      <c r="BZ788" s="85">
        <f>IF(_xlfn.MINIFS('Detalhe Por UC'!R:R,'Detalhe Por UC'!C:C,C788,'Detalhe Por UC'!AD:AD,"&gt;"&amp;0)=0,"",_xlfn.MINIFS('Detalhe Por UC'!R:R,'Detalhe Por UC'!C:C,C788,'Detalhe Por UC'!AD:AD,"&gt;"&amp;0))</f>
        <v>45658</v>
      </c>
      <c r="CA788" s="114">
        <f ca="1">IF(OR(S788&gt;0,AD788&gt;0),IFERROR(
SUMIFS(INDIRECT("'Infos Clientes'!$W"&amp;INDEX('Infos Clientes'!$C:$C,MATCH(C788,'Infos Clientes'!$H:$H,0))&amp;":$CZ"&amp;INDEX('Infos Clientes'!$C:$C,MATCH(C788,'Infos Clientes'!$H:$H,0))),'Infos Clientes'!$W$2:$CZ$2,"&gt;"&amp;$R788-365,'Infos Clientes'!$W$2:$CZ$2,"&lt;="&amp;$R788)/
COUNTIFS(INDIRECT("'Infos Clientes'!$W"&amp;INDEX('Infos Clientes'!$C:$C,MATCH(C788,'Infos Clientes'!$H:$H,0))&amp;":$CZ"&amp;INDEX('Infos Clientes'!$C:$C,MATCH(C788,'Infos Clientes'!$H:$H,0))),"&gt;="&amp;0,'Infos Clientes'!$W$2:$CZ$2,"&gt;"&amp;$R788-365,'Infos Clientes'!$W$2:$CZ$2,"&lt;="&amp;$R788),""),"")</f>
        <v>265.41666666666669</v>
      </c>
      <c r="CB788" s="87">
        <f>VLOOKUP(C788,'Infos Clientes'!B:L,11,0)</f>
        <v>0</v>
      </c>
      <c r="CC788" s="88" t="str">
        <f t="shared" si="490"/>
        <v>A Unidade Consumidora 10/280638-8 economizou R$19,94 na fatura referente à ago/2025  consumindo 86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8" s="115">
        <f t="shared" si="491"/>
        <v>-139.92000000000002</v>
      </c>
    </row>
    <row r="789" spans="1:84" ht="16.2" hidden="1" customHeight="1" x14ac:dyDescent="0.3">
      <c r="A789" s="105" t="str">
        <f>INDEX('Infos Clientes'!$D:$D,MATCH('Detalhe Por UC'!C789,'Infos Clientes'!B:B,0))</f>
        <v>IGREJA DO EVANGELHO QUADRANGULAR</v>
      </c>
      <c r="B789" s="106" t="str">
        <f>INDEX('Infos Clientes'!$F:$F,MATCH('Detalhe Por UC'!C789,'Infos Clientes'!B:B,0))</f>
        <v>62.955.505/1822-57</v>
      </c>
      <c r="C789" s="31" t="s">
        <v>222</v>
      </c>
      <c r="D789" t="s">
        <v>351</v>
      </c>
      <c r="E789" s="1" t="s">
        <v>352</v>
      </c>
      <c r="F789" s="56" t="str">
        <f>INDEX('Infos Clientes'!$I:$I,MATCH('Detalhe Por UC'!C789,'Infos Clientes'!B:B,0))</f>
        <v>BT</v>
      </c>
      <c r="G789" s="56" t="str">
        <f>INDEX('Infos Clientes'!$J:$J,MATCH('Detalhe Por UC'!C789,'Infos Clientes'!B:B,0))</f>
        <v>trifasico</v>
      </c>
      <c r="H789" s="47" t="str">
        <f t="shared" si="457"/>
        <v>GIROSSOL III</v>
      </c>
      <c r="I789" s="58">
        <f>IFERROR(VLOOKUP(C789,'Infos Clientes'!B:E,4,),"")</f>
        <v>319</v>
      </c>
      <c r="J789" s="151">
        <v>0.22596103298069697</v>
      </c>
      <c r="K789" s="79">
        <f>INDEX('Resumo Operacional'!$A$1:$P$151,MATCH("Desconto percentual Ucs",'Resumo Operacional'!$B$1:$B$151,0),MATCH('Detalhe Por UC'!$R789,'Resumo Operacional'!$A$1:$P$1,0))</f>
        <v>0.26495232343264008</v>
      </c>
      <c r="M789" s="56"/>
      <c r="N789" s="56"/>
      <c r="O789" s="56"/>
      <c r="P789" s="56"/>
      <c r="Q789" s="61"/>
      <c r="R789" s="111">
        <v>45870</v>
      </c>
      <c r="S789" s="152">
        <v>2.0199999999999999E-2</v>
      </c>
      <c r="T789" s="113" t="str">
        <f>IF($H789="GIROSSOL II",AP789/INDEX('Resumo Operacional'!$A$1:$P$1103,17,MATCH('Detalhe Por UC'!$R789,'Resumo Operacional'!$A$1:$P$1,0)),
IF($H789="GIROSSOL II e III",AP789/INDEX('Resumo Operacional'!$A$1:$P$1103,17,MATCH('Detalhe Por UC'!$R789,'Resumo Operacional'!$A$1:$P$1,0)),
""))</f>
        <v/>
      </c>
      <c r="U789" s="113">
        <f>IF($H789="GIROSSOL III",AP789/INDEX('Resumo Operacional'!$A$1:$P$1103,53,MATCH('Detalhe Por UC'!$R789,'Resumo Operacional'!$A$1:$P$1,0)),
IF($H789="GIROSSOL II e III",AP789/INDEX('Resumo Operacional'!$A$1:$P$1103,53,MATCH('Detalhe Por UC'!$R789,'Resumo Operacional'!$A$1:$P$1,0)),
""))</f>
        <v>5.1290374939133257E-2</v>
      </c>
      <c r="X789">
        <v>1.1758720930232558</v>
      </c>
      <c r="Z789" s="18">
        <v>1.018953488372093</v>
      </c>
      <c r="AB789" s="18">
        <v>172</v>
      </c>
      <c r="AD789" s="143">
        <v>86</v>
      </c>
      <c r="AF789" s="18">
        <v>262</v>
      </c>
      <c r="AH789" s="49">
        <v>42.410000000000004</v>
      </c>
      <c r="AK789" s="153">
        <v>157.03</v>
      </c>
      <c r="AL789" s="43">
        <f t="shared" si="456"/>
        <v>0</v>
      </c>
      <c r="AN789" s="71">
        <f t="shared" si="458"/>
        <v>230</v>
      </c>
      <c r="AO789" s="71">
        <f t="shared" si="459"/>
        <v>0</v>
      </c>
      <c r="AP789" s="71">
        <f t="shared" si="460"/>
        <v>316</v>
      </c>
      <c r="AQ789" s="72">
        <f>IF(OR($H789="GIROSSOL II",$H789="GIROSSOL II e III"),INDEX('Resumo Operacional'!$A$1:$P$1103,MATCH("Energia Injetada prevista total Fatura da Usina (TUSD)",'Resumo Operacional'!$B$1:$B$1103,0),MATCH('Detalhe Por UC'!$R789,'Resumo Operacional'!$A$1:$P$1,0))*$S789,INDEX('Resumo Operacional'!$A$1:$P$1103,53,MATCH('Detalhe Por UC'!$R789,'Resumo Operacional'!$A$1:$P$1,0))*$S789)</f>
        <v>124.45219999999999</v>
      </c>
      <c r="AR789" s="71">
        <f t="shared" si="461"/>
        <v>191.5478</v>
      </c>
      <c r="AS789" s="73">
        <f t="shared" si="462"/>
        <v>157.03</v>
      </c>
      <c r="AT789" s="74">
        <f t="shared" si="463"/>
        <v>157.03</v>
      </c>
      <c r="AU789" s="74">
        <f t="shared" si="464"/>
        <v>0.86203488372093018</v>
      </c>
      <c r="AV789" s="74">
        <f t="shared" si="465"/>
        <v>67.829034679901525</v>
      </c>
      <c r="AW789" s="74">
        <f t="shared" si="466"/>
        <v>0</v>
      </c>
      <c r="AX789" s="74">
        <f t="shared" si="467"/>
        <v>87.63</v>
      </c>
      <c r="AY789" s="74">
        <f t="shared" si="468"/>
        <v>67.83</v>
      </c>
      <c r="AZ789" s="117">
        <v>67.83</v>
      </c>
      <c r="BA789" s="49">
        <v>67.83</v>
      </c>
      <c r="BB789" s="49">
        <v>67.83</v>
      </c>
      <c r="BC789" s="73" t="str">
        <f t="shared" si="469"/>
        <v/>
      </c>
      <c r="BD789" s="73">
        <f t="shared" si="470"/>
        <v>244.66</v>
      </c>
      <c r="BE789" s="73">
        <f t="shared" si="471"/>
        <v>224.85903467990153</v>
      </c>
      <c r="BF789" s="77">
        <f t="shared" si="472"/>
        <v>19.8</v>
      </c>
      <c r="BG789" s="77">
        <f t="shared" si="473"/>
        <v>5.94</v>
      </c>
      <c r="BH789" s="77">
        <f t="shared" si="474"/>
        <v>87.63</v>
      </c>
      <c r="BI789" s="78">
        <f t="shared" si="475"/>
        <v>0.23</v>
      </c>
      <c r="BJ789" s="79">
        <f t="shared" si="476"/>
        <v>8.0928635657647352E-2</v>
      </c>
      <c r="BK789" s="80">
        <f t="shared" si="477"/>
        <v>224.86</v>
      </c>
      <c r="BL789" s="80">
        <f t="shared" si="478"/>
        <v>19.799999999999983</v>
      </c>
      <c r="BM789" s="79">
        <f t="shared" si="479"/>
        <v>8.0928635657647283E-2</v>
      </c>
      <c r="BN789" s="81">
        <f t="shared" si="480"/>
        <v>0.78872093023255807</v>
      </c>
      <c r="BO789" s="82">
        <f t="shared" si="481"/>
        <v>67.83</v>
      </c>
      <c r="BP789" s="81">
        <f t="shared" si="482"/>
        <v>0.78872093023255807</v>
      </c>
      <c r="BQ789" s="81">
        <f t="shared" si="483"/>
        <v>0.94563953488372088</v>
      </c>
      <c r="BR789" s="81">
        <f t="shared" si="484"/>
        <v>1.1758720930232558</v>
      </c>
      <c r="BS789" s="82">
        <f t="shared" si="485"/>
        <v>86</v>
      </c>
      <c r="BT789" s="82">
        <f t="shared" si="486"/>
        <v>101.125</v>
      </c>
      <c r="BU789" s="82">
        <f t="shared" si="487"/>
        <v>87.63</v>
      </c>
      <c r="BW789" s="82">
        <f>IFERROR(INDEX('Infos Clientes'!$T:$T,MATCH('Detalhe Por UC'!$C789,'Infos Clientes'!B:B,0)),"")</f>
        <v>392</v>
      </c>
      <c r="BX789" s="83">
        <f t="shared" si="488"/>
        <v>0</v>
      </c>
      <c r="BY789" s="84">
        <f t="shared" si="489"/>
        <v>0.19579728059332513</v>
      </c>
      <c r="BZ789" s="85">
        <f>IF(_xlfn.MINIFS('Detalhe Por UC'!R:R,'Detalhe Por UC'!C:C,C789,'Detalhe Por UC'!AD:AD,"&gt;"&amp;0)=0,"",_xlfn.MINIFS('Detalhe Por UC'!R:R,'Detalhe Por UC'!C:C,C789,'Detalhe Por UC'!AD:AD,"&gt;"&amp;0))</f>
        <v>45748</v>
      </c>
      <c r="CA789" s="114">
        <f ca="1">IF(OR(S789&gt;0,AD789&gt;0),IFERROR(
SUMIFS(INDIRECT("'Infos Clientes'!$W"&amp;INDEX('Infos Clientes'!$C:$C,MATCH(C789,'Infos Clientes'!$H:$H,0))&amp;":$CZ"&amp;INDEX('Infos Clientes'!$C:$C,MATCH(C789,'Infos Clientes'!$H:$H,0))),'Infos Clientes'!$W$2:$CZ$2,"&gt;"&amp;$R789-365,'Infos Clientes'!$W$2:$CZ$2,"&lt;="&amp;$R789)/
COUNTIFS(INDIRECT("'Infos Clientes'!$W"&amp;INDEX('Infos Clientes'!$C:$C,MATCH(C789,'Infos Clientes'!$H:$H,0))&amp;":$CZ"&amp;INDEX('Infos Clientes'!$C:$C,MATCH(C789,'Infos Clientes'!$H:$H,0))),"&gt;="&amp;0,'Infos Clientes'!$W$2:$CZ$2,"&gt;"&amp;$R789-365,'Infos Clientes'!$W$2:$CZ$2,"&lt;="&amp;$R789),""),"")</f>
        <v>192.5</v>
      </c>
      <c r="CB789" s="87">
        <f>VLOOKUP(C789,'Infos Clientes'!B:L,11,0)</f>
        <v>0</v>
      </c>
      <c r="CC789" s="88" t="str">
        <f t="shared" si="490"/>
        <v>A Unidade Consumidora 10/69319-2 economizou R$19,8 na fatura referente à ago/2025  consumindo 86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89" s="115">
        <f t="shared" si="491"/>
        <v>-157.03</v>
      </c>
    </row>
    <row r="790" spans="1:84" ht="16.2" hidden="1" customHeight="1" x14ac:dyDescent="0.3">
      <c r="A790" s="105" t="str">
        <f>INDEX('Infos Clientes'!$D:$D,MATCH('Detalhe Por UC'!C790,'Infos Clientes'!B:B,0))</f>
        <v>IGREJA DO EVANGELHO QUADRANGULAR</v>
      </c>
      <c r="B790" s="106" t="str">
        <f>INDEX('Infos Clientes'!$F:$F,MATCH('Detalhe Por UC'!C790,'Infos Clientes'!B:B,0))</f>
        <v>62.955.505/2740-20</v>
      </c>
      <c r="C790" s="31" t="s">
        <v>175</v>
      </c>
      <c r="D790" t="s">
        <v>351</v>
      </c>
      <c r="E790" s="1" t="s">
        <v>352</v>
      </c>
      <c r="F790" s="56" t="str">
        <f>INDEX('Infos Clientes'!$I:$I,MATCH('Detalhe Por UC'!C790,'Infos Clientes'!B:B,0))</f>
        <v>BT</v>
      </c>
      <c r="G790" s="56" t="str">
        <f>INDEX('Infos Clientes'!$J:$J,MATCH('Detalhe Por UC'!C790,'Infos Clientes'!B:B,0))</f>
        <v>trifasico</v>
      </c>
      <c r="H790" s="47" t="str">
        <f t="shared" si="457"/>
        <v>GIROSSOL III</v>
      </c>
      <c r="I790" s="58">
        <f>IFERROR(VLOOKUP(C790,'Infos Clientes'!B:E,4,),"")</f>
        <v>371</v>
      </c>
      <c r="J790" s="151">
        <v>0.22596103298069697</v>
      </c>
      <c r="K790" s="79">
        <f>INDEX('Resumo Operacional'!$A$1:$P$151,MATCH("Desconto percentual Ucs",'Resumo Operacional'!$B$1:$B$151,0),MATCH('Detalhe Por UC'!$R790,'Resumo Operacional'!$A$1:$P$1,0))</f>
        <v>0.26495232343264008</v>
      </c>
      <c r="M790" s="56"/>
      <c r="N790" s="56"/>
      <c r="O790" s="56"/>
      <c r="P790" s="56"/>
      <c r="Q790" s="61"/>
      <c r="R790" s="111">
        <v>45870</v>
      </c>
      <c r="S790" s="152">
        <v>2.0199999999999999E-2</v>
      </c>
      <c r="T790" s="113" t="str">
        <f>IF($H790="GIROSSOL II",AP790/INDEX('Resumo Operacional'!$A$1:$P$1103,17,MATCH('Detalhe Por UC'!$R790,'Resumo Operacional'!$A$1:$P$1,0)),
IF($H790="GIROSSOL II e III",AP790/INDEX('Resumo Operacional'!$A$1:$P$1103,17,MATCH('Detalhe Por UC'!$R790,'Resumo Operacional'!$A$1:$P$1,0)),
""))</f>
        <v/>
      </c>
      <c r="U790" s="113">
        <f>IF($H790="GIROSSOL III",AP790/INDEX('Resumo Operacional'!$A$1:$P$1103,53,MATCH('Detalhe Por UC'!$R790,'Resumo Operacional'!$A$1:$P$1,0)),
IF($H790="GIROSSOL II e III",AP790/INDEX('Resumo Operacional'!$A$1:$P$1103,53,MATCH('Detalhe Por UC'!$R790,'Resumo Operacional'!$A$1:$P$1,0)),
""))</f>
        <v>4.6907969485473135E-2</v>
      </c>
      <c r="X790">
        <v>1.1779231650365671</v>
      </c>
      <c r="Z790" s="18">
        <v>1.0213505154639173</v>
      </c>
      <c r="AB790" s="18">
        <v>117</v>
      </c>
      <c r="AD790" s="143">
        <v>20</v>
      </c>
      <c r="AF790" s="18">
        <v>606</v>
      </c>
      <c r="AH790" s="49">
        <v>-2.7499999999999982</v>
      </c>
      <c r="AK790" s="153">
        <v>114.64</v>
      </c>
      <c r="AL790" s="43">
        <f t="shared" si="456"/>
        <v>0</v>
      </c>
      <c r="AN790" s="71">
        <f t="shared" si="458"/>
        <v>269</v>
      </c>
      <c r="AO790" s="71">
        <f t="shared" si="459"/>
        <v>0</v>
      </c>
      <c r="AP790" s="71">
        <f t="shared" si="460"/>
        <v>289</v>
      </c>
      <c r="AQ790" s="72">
        <f>IF(OR($H790="GIROSSOL II",$H790="GIROSSOL II e III"),INDEX('Resumo Operacional'!$A$1:$P$1103,MATCH("Energia Injetada prevista total Fatura da Usina (TUSD)",'Resumo Operacional'!$B$1:$B$1103,0),MATCH('Detalhe Por UC'!$R790,'Resumo Operacional'!$A$1:$P$1,0))*$S790,INDEX('Resumo Operacional'!$A$1:$P$1103,53,MATCH('Detalhe Por UC'!$R790,'Resumo Operacional'!$A$1:$P$1,0))*$S790)</f>
        <v>124.45219999999999</v>
      </c>
      <c r="AR790" s="71">
        <f t="shared" si="461"/>
        <v>164.5478</v>
      </c>
      <c r="AS790" s="73">
        <f t="shared" si="462"/>
        <v>114.64</v>
      </c>
      <c r="AT790" s="74">
        <f t="shared" si="463"/>
        <v>114.64</v>
      </c>
      <c r="AU790" s="74">
        <f t="shared" si="464"/>
        <v>0.86477786589126748</v>
      </c>
      <c r="AV790" s="74">
        <f t="shared" si="465"/>
        <v>15.811301959086466</v>
      </c>
      <c r="AW790" s="74">
        <f t="shared" si="466"/>
        <v>0.66000000000000369</v>
      </c>
      <c r="AX790" s="74">
        <f t="shared" si="467"/>
        <v>21.087010309278348</v>
      </c>
      <c r="AY790" s="74">
        <f t="shared" si="468"/>
        <v>15.81</v>
      </c>
      <c r="AZ790" s="117">
        <v>15.81</v>
      </c>
      <c r="BA790" s="49">
        <v>15.81</v>
      </c>
      <c r="BB790" s="49">
        <v>15.81</v>
      </c>
      <c r="BC790" s="73" t="str">
        <f t="shared" si="469"/>
        <v/>
      </c>
      <c r="BD790" s="73">
        <f t="shared" si="470"/>
        <v>135.06701030927834</v>
      </c>
      <c r="BE790" s="73">
        <f t="shared" si="471"/>
        <v>130.45130195908646</v>
      </c>
      <c r="BF790" s="77">
        <f t="shared" si="472"/>
        <v>4.62</v>
      </c>
      <c r="BG790" s="77">
        <f t="shared" si="473"/>
        <v>1.3859999999999999</v>
      </c>
      <c r="BH790" s="77">
        <f t="shared" si="474"/>
        <v>20.427010309278348</v>
      </c>
      <c r="BI790" s="78">
        <f t="shared" si="475"/>
        <v>0.23</v>
      </c>
      <c r="BJ790" s="79">
        <f t="shared" si="476"/>
        <v>3.420524367438843E-2</v>
      </c>
      <c r="BK790" s="80">
        <f t="shared" si="477"/>
        <v>130.44999999999999</v>
      </c>
      <c r="BL790" s="80">
        <f t="shared" si="478"/>
        <v>4.6170103092783563</v>
      </c>
      <c r="BM790" s="79">
        <f t="shared" si="479"/>
        <v>3.4183108804335428E-2</v>
      </c>
      <c r="BN790" s="81">
        <f t="shared" si="480"/>
        <v>0.79049999999999998</v>
      </c>
      <c r="BO790" s="82">
        <f t="shared" si="481"/>
        <v>15.809999999999999</v>
      </c>
      <c r="BP790" s="81">
        <f t="shared" si="482"/>
        <v>0.79049999999999998</v>
      </c>
      <c r="BQ790" s="81">
        <f t="shared" si="483"/>
        <v>0.94707264957264981</v>
      </c>
      <c r="BR790" s="81">
        <f t="shared" si="484"/>
        <v>1.1779231650365671</v>
      </c>
      <c r="BS790" s="82">
        <f t="shared" si="485"/>
        <v>20</v>
      </c>
      <c r="BT790" s="82">
        <f t="shared" si="486"/>
        <v>23.558463300731344</v>
      </c>
      <c r="BU790" s="82">
        <f t="shared" si="487"/>
        <v>20.427010309278344</v>
      </c>
      <c r="BW790" s="82">
        <f>IFERROR(INDEX('Infos Clientes'!$T:$T,MATCH('Detalhe Por UC'!$C790,'Infos Clientes'!B:B,0)),"")</f>
        <v>384.90909090909093</v>
      </c>
      <c r="BX790" s="83">
        <f t="shared" si="488"/>
        <v>0</v>
      </c>
      <c r="BY790" s="84">
        <f t="shared" si="489"/>
        <v>0.19598096235483312</v>
      </c>
      <c r="BZ790" s="85">
        <f>IF(_xlfn.MINIFS('Detalhe Por UC'!R:R,'Detalhe Por UC'!C:C,C790,'Detalhe Por UC'!AD:AD,"&gt;"&amp;0)=0,"",_xlfn.MINIFS('Detalhe Por UC'!R:R,'Detalhe Por UC'!C:C,C790,'Detalhe Por UC'!AD:AD,"&gt;"&amp;0))</f>
        <v>45658</v>
      </c>
      <c r="CA790" s="114">
        <f ca="1">IF(OR(S790&gt;0,AD790&gt;0),IFERROR(
SUMIFS(INDIRECT("'Infos Clientes'!$W"&amp;INDEX('Infos Clientes'!$C:$C,MATCH(C790,'Infos Clientes'!$H:$H,0))&amp;":$CZ"&amp;INDEX('Infos Clientes'!$C:$C,MATCH(C790,'Infos Clientes'!$H:$H,0))),'Infos Clientes'!$W$2:$CZ$2,"&gt;"&amp;$R790-365,'Infos Clientes'!$W$2:$CZ$2,"&lt;="&amp;$R790)/
COUNTIFS(INDIRECT("'Infos Clientes'!$W"&amp;INDEX('Infos Clientes'!$C:$C,MATCH(C790,'Infos Clientes'!$H:$H,0))&amp;":$CZ"&amp;INDEX('Infos Clientes'!$C:$C,MATCH(C790,'Infos Clientes'!$H:$H,0))),"&gt;="&amp;0,'Infos Clientes'!$W$2:$CZ$2,"&gt;"&amp;$R790-365,'Infos Clientes'!$W$2:$CZ$2,"&lt;="&amp;$R790),""),"")</f>
        <v>275</v>
      </c>
      <c r="CB790" s="87">
        <f>VLOOKUP(C790,'Infos Clientes'!B:L,11,0)</f>
        <v>0</v>
      </c>
      <c r="CC790" s="88" t="str">
        <f t="shared" si="490"/>
        <v>A Unidade Consumidora 10/252817-2 economizou R$4,62 na fatura referente à ago/2025  consumindo 20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0" s="115">
        <f t="shared" si="491"/>
        <v>-114.64</v>
      </c>
    </row>
    <row r="791" spans="1:84" ht="16.2" hidden="1" customHeight="1" x14ac:dyDescent="0.3">
      <c r="A791" s="105" t="str">
        <f>INDEX('Infos Clientes'!$D:$D,MATCH('Detalhe Por UC'!C791,'Infos Clientes'!B:B,0))</f>
        <v>IGREJA DO EVANGELHO QUADRANGULAR</v>
      </c>
      <c r="B791" s="106" t="str">
        <f>INDEX('Infos Clientes'!$F:$F,MATCH('Detalhe Por UC'!C791,'Infos Clientes'!B:B,0))</f>
        <v>62.955.505/0159-46</v>
      </c>
      <c r="C791" s="31" t="s">
        <v>231</v>
      </c>
      <c r="D791" t="s">
        <v>351</v>
      </c>
      <c r="E791" s="1" t="s">
        <v>352</v>
      </c>
      <c r="F791" s="56" t="str">
        <f>INDEX('Infos Clientes'!$I:$I,MATCH('Detalhe Por UC'!C791,'Infos Clientes'!B:B,0))</f>
        <v>BT</v>
      </c>
      <c r="G791" s="56" t="str">
        <f>INDEX('Infos Clientes'!$J:$J,MATCH('Detalhe Por UC'!C791,'Infos Clientes'!B:B,0))</f>
        <v>trifasico</v>
      </c>
      <c r="H791" s="47" t="str">
        <f t="shared" si="457"/>
        <v>GIROSSOL III</v>
      </c>
      <c r="I791" s="58">
        <f>IFERROR(VLOOKUP(C791,'Infos Clientes'!B:E,4,),"")</f>
        <v>302</v>
      </c>
      <c r="J791" s="151">
        <v>0.22596103298069697</v>
      </c>
      <c r="K791" s="79">
        <f>INDEX('Resumo Operacional'!$A$1:$P$151,MATCH("Desconto percentual Ucs",'Resumo Operacional'!$B$1:$B$151,0),MATCH('Detalhe Por UC'!$R791,'Resumo Operacional'!$A$1:$P$1,0))</f>
        <v>0.26495232343264008</v>
      </c>
      <c r="M791" s="56"/>
      <c r="N791" s="56"/>
      <c r="O791" s="56"/>
      <c r="P791" s="56"/>
      <c r="Q791" s="61"/>
      <c r="R791" s="111">
        <v>45870</v>
      </c>
      <c r="S791" s="152">
        <v>2.0199999999999999E-2</v>
      </c>
      <c r="T791" s="113" t="str">
        <f>IF($H791="GIROSSOL II",AP791/INDEX('Resumo Operacional'!$A$1:$P$1103,17,MATCH('Detalhe Por UC'!$R791,'Resumo Operacional'!$A$1:$P$1,0)),
IF($H791="GIROSSOL II e III",AP791/INDEX('Resumo Operacional'!$A$1:$P$1103,17,MATCH('Detalhe Por UC'!$R791,'Resumo Operacional'!$A$1:$P$1,0)),
""))</f>
        <v/>
      </c>
      <c r="U791" s="113">
        <f>IF($H791="GIROSSOL III",AP791/INDEX('Resumo Operacional'!$A$1:$P$1103,53,MATCH('Detalhe Por UC'!$R791,'Resumo Operacional'!$A$1:$P$1,0)),
IF($H791="GIROSSOL II e III",AP791/INDEX('Resumo Operacional'!$A$1:$P$1103,53,MATCH('Detalhe Por UC'!$R791,'Resumo Operacional'!$A$1:$P$1,0)),
""))</f>
        <v>5.9243629280960886E-2</v>
      </c>
      <c r="X791">
        <v>1.1774758574758575</v>
      </c>
      <c r="Z791" s="18">
        <v>1.0205357927097058</v>
      </c>
      <c r="AB791" s="18">
        <v>273</v>
      </c>
      <c r="AD791" s="143">
        <v>207</v>
      </c>
      <c r="AF791" s="18">
        <v>664</v>
      </c>
      <c r="AH791" s="49">
        <v>30.83</v>
      </c>
      <c r="AK791" s="153">
        <v>141.03</v>
      </c>
      <c r="AL791" s="43">
        <f t="shared" si="456"/>
        <v>0</v>
      </c>
      <c r="AN791" s="71">
        <f t="shared" si="458"/>
        <v>158</v>
      </c>
      <c r="AO791" s="71">
        <f t="shared" si="459"/>
        <v>0</v>
      </c>
      <c r="AP791" s="71">
        <f t="shared" si="460"/>
        <v>365</v>
      </c>
      <c r="AQ791" s="72">
        <f>IF(OR($H791="GIROSSOL II",$H791="GIROSSOL II e III"),INDEX('Resumo Operacional'!$A$1:$P$1103,MATCH("Energia Injetada prevista total Fatura da Usina (TUSD)",'Resumo Operacional'!$B$1:$B$1103,0),MATCH('Detalhe Por UC'!$R791,'Resumo Operacional'!$A$1:$P$1,0))*$S791,INDEX('Resumo Operacional'!$A$1:$P$1103,53,MATCH('Detalhe Por UC'!$R791,'Resumo Operacional'!$A$1:$P$1,0))*$S791)</f>
        <v>124.45219999999999</v>
      </c>
      <c r="AR791" s="71">
        <f t="shared" si="461"/>
        <v>240.5478</v>
      </c>
      <c r="AS791" s="73">
        <f t="shared" si="462"/>
        <v>141.02999999999997</v>
      </c>
      <c r="AT791" s="74">
        <f t="shared" si="463"/>
        <v>141.02999999999997</v>
      </c>
      <c r="AU791" s="74">
        <f t="shared" si="464"/>
        <v>0.86359572794355421</v>
      </c>
      <c r="AV791" s="74">
        <f t="shared" si="465"/>
        <v>163.51643545461599</v>
      </c>
      <c r="AW791" s="74">
        <f t="shared" si="466"/>
        <v>0</v>
      </c>
      <c r="AX791" s="74">
        <f t="shared" si="467"/>
        <v>211.25090909090912</v>
      </c>
      <c r="AY791" s="74">
        <f t="shared" si="468"/>
        <v>163.52000000000001</v>
      </c>
      <c r="AZ791" s="117">
        <v>163.52000000000001</v>
      </c>
      <c r="BA791" s="49">
        <v>163.52000000000001</v>
      </c>
      <c r="BB791" s="49">
        <v>163.52000000000001</v>
      </c>
      <c r="BC791" s="73" t="str">
        <f t="shared" si="469"/>
        <v/>
      </c>
      <c r="BD791" s="73">
        <f t="shared" si="470"/>
        <v>352.28090909090906</v>
      </c>
      <c r="BE791" s="73">
        <f t="shared" si="471"/>
        <v>304.54643545461596</v>
      </c>
      <c r="BF791" s="77">
        <f t="shared" si="472"/>
        <v>47.73</v>
      </c>
      <c r="BG791" s="77">
        <f t="shared" si="473"/>
        <v>14.318999999999999</v>
      </c>
      <c r="BH791" s="77">
        <f t="shared" si="474"/>
        <v>211.25090909090912</v>
      </c>
      <c r="BI791" s="78">
        <f t="shared" si="475"/>
        <v>0.23</v>
      </c>
      <c r="BJ791" s="79">
        <f t="shared" si="476"/>
        <v>0.13548846607433634</v>
      </c>
      <c r="BK791" s="80">
        <f t="shared" si="477"/>
        <v>304.54999999999995</v>
      </c>
      <c r="BL791" s="80">
        <f t="shared" si="478"/>
        <v>47.730909090909108</v>
      </c>
      <c r="BM791" s="79">
        <f t="shared" si="479"/>
        <v>0.13549104665956152</v>
      </c>
      <c r="BN791" s="81">
        <f t="shared" si="480"/>
        <v>0.78995169082125605</v>
      </c>
      <c r="BO791" s="82">
        <f t="shared" si="481"/>
        <v>163.52000000000001</v>
      </c>
      <c r="BP791" s="81">
        <f t="shared" si="482"/>
        <v>0.78995169082125605</v>
      </c>
      <c r="BQ791" s="81">
        <f t="shared" si="483"/>
        <v>0.94689175558740768</v>
      </c>
      <c r="BR791" s="81">
        <f t="shared" si="484"/>
        <v>1.1774758574758575</v>
      </c>
      <c r="BS791" s="82">
        <f t="shared" si="485"/>
        <v>207</v>
      </c>
      <c r="BT791" s="82">
        <f t="shared" si="486"/>
        <v>243.7375024975025</v>
      </c>
      <c r="BU791" s="82">
        <f t="shared" si="487"/>
        <v>211.25090909090912</v>
      </c>
      <c r="BW791" s="82">
        <f>IFERROR(INDEX('Infos Clientes'!$T:$T,MATCH('Detalhe Por UC'!$C791,'Infos Clientes'!B:B,0)),"")</f>
        <v>461.45454545454544</v>
      </c>
      <c r="BX791" s="83">
        <f t="shared" si="488"/>
        <v>0</v>
      </c>
      <c r="BY791" s="84">
        <f t="shared" si="489"/>
        <v>0.1958291547333722</v>
      </c>
      <c r="BZ791" s="85">
        <f>IF(_xlfn.MINIFS('Detalhe Por UC'!R:R,'Detalhe Por UC'!C:C,C791,'Detalhe Por UC'!AD:AD,"&gt;"&amp;0)=0,"",_xlfn.MINIFS('Detalhe Por UC'!R:R,'Detalhe Por UC'!C:C,C791,'Detalhe Por UC'!AD:AD,"&gt;"&amp;0))</f>
        <v>45658</v>
      </c>
      <c r="CA791" s="114">
        <f ca="1">IF(OR(S791&gt;0,AD791&gt;0),IFERROR(
SUMIFS(INDIRECT("'Infos Clientes'!$W"&amp;INDEX('Infos Clientes'!$C:$C,MATCH(C791,'Infos Clientes'!$H:$H,0))&amp;":$CZ"&amp;INDEX('Infos Clientes'!$C:$C,MATCH(C791,'Infos Clientes'!$H:$H,0))),'Infos Clientes'!$W$2:$CZ$2,"&gt;"&amp;$R791-365,'Infos Clientes'!$W$2:$CZ$2,"&lt;="&amp;$R791)/
COUNTIFS(INDIRECT("'Infos Clientes'!$W"&amp;INDEX('Infos Clientes'!$C:$C,MATCH(C791,'Infos Clientes'!$H:$H,0))&amp;":$CZ"&amp;INDEX('Infos Clientes'!$C:$C,MATCH(C791,'Infos Clientes'!$H:$H,0))),"&gt;="&amp;0,'Infos Clientes'!$W$2:$CZ$2,"&gt;"&amp;$R791-365,'Infos Clientes'!$W$2:$CZ$2,"&lt;="&amp;$R791),""),"")</f>
        <v>430.33333333333331</v>
      </c>
      <c r="CB791" s="87">
        <f>VLOOKUP(C791,'Infos Clientes'!B:L,11,0)</f>
        <v>0</v>
      </c>
      <c r="CC791" s="88" t="str">
        <f t="shared" si="490"/>
        <v>A Unidade Consumidora 10/81222-2 economizou R$47,73 na fatura referente à ago/2025  consumindo 207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1" s="115">
        <f t="shared" si="491"/>
        <v>-141.02999999999997</v>
      </c>
    </row>
    <row r="792" spans="1:84" ht="16.2" hidden="1" customHeight="1" x14ac:dyDescent="0.3">
      <c r="A792" s="105" t="str">
        <f>INDEX('Infos Clientes'!$D:$D,MATCH('Detalhe Por UC'!C792,'Infos Clientes'!B:B,0))</f>
        <v>IGREJA DO EVANGELHO QUADRANGULAR</v>
      </c>
      <c r="B792" s="106" t="str">
        <f>INDEX('Infos Clientes'!$F:$F,MATCH('Detalhe Por UC'!C792,'Infos Clientes'!B:B,0))</f>
        <v>62.955.505/1975-21</v>
      </c>
      <c r="C792" s="31" t="s">
        <v>154</v>
      </c>
      <c r="D792" t="s">
        <v>351</v>
      </c>
      <c r="E792" s="1" t="s">
        <v>352</v>
      </c>
      <c r="F792" s="56" t="str">
        <f>INDEX('Infos Clientes'!$I:$I,MATCH('Detalhe Por UC'!C792,'Infos Clientes'!B:B,0))</f>
        <v>BT</v>
      </c>
      <c r="G792" s="56" t="str">
        <f>INDEX('Infos Clientes'!$J:$J,MATCH('Detalhe Por UC'!C792,'Infos Clientes'!B:B,0))</f>
        <v>bifasico</v>
      </c>
      <c r="H792" s="47" t="str">
        <f t="shared" si="457"/>
        <v>GIROSSOL III</v>
      </c>
      <c r="I792" s="58">
        <f>IFERROR(VLOOKUP(C792,'Infos Clientes'!B:E,4,),"")</f>
        <v>357</v>
      </c>
      <c r="J792" s="151">
        <v>0.22596103298069697</v>
      </c>
      <c r="K792" s="79">
        <f>INDEX('Resumo Operacional'!$A$1:$P$151,MATCH("Desconto percentual Ucs",'Resumo Operacional'!$B$1:$B$151,0),MATCH('Detalhe Por UC'!$R792,'Resumo Operacional'!$A$1:$P$1,0))</f>
        <v>0.26495232343264008</v>
      </c>
      <c r="M792" s="56"/>
      <c r="N792" s="56"/>
      <c r="O792" s="56"/>
      <c r="P792" s="56"/>
      <c r="Q792" s="61"/>
      <c r="R792" s="111">
        <v>45870</v>
      </c>
      <c r="S792" s="152">
        <v>2.0199999999999999E-2</v>
      </c>
      <c r="T792" s="113" t="str">
        <f>IF($H792="GIROSSOL II",AP792/INDEX('Resumo Operacional'!$A$1:$P$1103,17,MATCH('Detalhe Por UC'!$R792,'Resumo Operacional'!$A$1:$P$1,0)),
IF($H792="GIROSSOL II e III",AP792/INDEX('Resumo Operacional'!$A$1:$P$1103,17,MATCH('Detalhe Por UC'!$R792,'Resumo Operacional'!$A$1:$P$1,0)),
""))</f>
        <v/>
      </c>
      <c r="U792" s="113">
        <f>IF($H792="GIROSSOL III",AP792/INDEX('Resumo Operacional'!$A$1:$P$1103,53,MATCH('Detalhe Por UC'!$R792,'Resumo Operacional'!$A$1:$P$1,0)),
IF($H792="GIROSSOL II e III",AP792/INDEX('Resumo Operacional'!$A$1:$P$1103,53,MATCH('Detalhe Por UC'!$R792,'Resumo Operacional'!$A$1:$P$1,0)),
""))</f>
        <v>5.0478818373640641E-2</v>
      </c>
      <c r="X792">
        <v>1.1801310272536687</v>
      </c>
      <c r="Z792" s="18">
        <v>1.0232875143184421</v>
      </c>
      <c r="AB792" s="18">
        <v>212</v>
      </c>
      <c r="AD792" s="143">
        <v>194</v>
      </c>
      <c r="AF792" s="18">
        <v>237</v>
      </c>
      <c r="AH792" s="49">
        <v>0</v>
      </c>
      <c r="AK792" s="153">
        <v>51.67</v>
      </c>
      <c r="AL792" s="43">
        <f t="shared" si="456"/>
        <v>0</v>
      </c>
      <c r="AN792" s="71">
        <f t="shared" si="458"/>
        <v>117</v>
      </c>
      <c r="AO792" s="71">
        <f t="shared" si="459"/>
        <v>0</v>
      </c>
      <c r="AP792" s="71">
        <f t="shared" si="460"/>
        <v>311</v>
      </c>
      <c r="AQ792" s="72">
        <f>IF(OR($H792="GIROSSOL II",$H792="GIROSSOL II e III"),INDEX('Resumo Operacional'!$A$1:$P$1103,MATCH("Energia Injetada prevista total Fatura da Usina (TUSD)",'Resumo Operacional'!$B$1:$B$1103,0),MATCH('Detalhe Por UC'!$R792,'Resumo Operacional'!$A$1:$P$1,0))*$S792,INDEX('Resumo Operacional'!$A$1:$P$1103,53,MATCH('Detalhe Por UC'!$R792,'Resumo Operacional'!$A$1:$P$1,0))*$S792)</f>
        <v>124.45219999999999</v>
      </c>
      <c r="AR792" s="71">
        <f t="shared" si="461"/>
        <v>186.5478</v>
      </c>
      <c r="AS792" s="73">
        <f t="shared" si="462"/>
        <v>51.669999999999987</v>
      </c>
      <c r="AT792" s="74">
        <f t="shared" si="463"/>
        <v>51.669999999999987</v>
      </c>
      <c r="AU792" s="74">
        <f t="shared" si="464"/>
        <v>0.86644400138321553</v>
      </c>
      <c r="AV792" s="74">
        <f t="shared" si="465"/>
        <v>153.66049564607866</v>
      </c>
      <c r="AW792" s="74">
        <f t="shared" si="466"/>
        <v>0</v>
      </c>
      <c r="AX792" s="74">
        <f t="shared" si="467"/>
        <v>198.51777777777778</v>
      </c>
      <c r="AY792" s="74">
        <f t="shared" si="468"/>
        <v>153.66</v>
      </c>
      <c r="AZ792" s="117">
        <v>153.66</v>
      </c>
      <c r="BA792" s="49">
        <v>153.66</v>
      </c>
      <c r="BB792" s="49">
        <v>153.66</v>
      </c>
      <c r="BC792" s="73" t="str">
        <f t="shared" si="469"/>
        <v/>
      </c>
      <c r="BD792" s="73">
        <f t="shared" si="470"/>
        <v>250.18777777777777</v>
      </c>
      <c r="BE792" s="73">
        <f t="shared" si="471"/>
        <v>205.33049564607865</v>
      </c>
      <c r="BF792" s="77">
        <f t="shared" si="472"/>
        <v>44.86</v>
      </c>
      <c r="BG792" s="77">
        <f t="shared" si="473"/>
        <v>13.458</v>
      </c>
      <c r="BH792" s="77">
        <f t="shared" si="474"/>
        <v>198.51777777777778</v>
      </c>
      <c r="BI792" s="78">
        <f t="shared" si="475"/>
        <v>0.23</v>
      </c>
      <c r="BJ792" s="79">
        <f t="shared" si="476"/>
        <v>0.1793053217805293</v>
      </c>
      <c r="BK792" s="80">
        <f t="shared" si="477"/>
        <v>205.32999999999998</v>
      </c>
      <c r="BL792" s="80">
        <f t="shared" si="478"/>
        <v>44.857777777777784</v>
      </c>
      <c r="BM792" s="79">
        <f t="shared" si="479"/>
        <v>0.17929643956317259</v>
      </c>
      <c r="BN792" s="81">
        <f t="shared" si="480"/>
        <v>0.79206185567010312</v>
      </c>
      <c r="BO792" s="82">
        <f t="shared" si="481"/>
        <v>153.66</v>
      </c>
      <c r="BP792" s="81">
        <f t="shared" si="482"/>
        <v>0.79206185567010312</v>
      </c>
      <c r="BQ792" s="81">
        <f t="shared" si="483"/>
        <v>0.9489053686053297</v>
      </c>
      <c r="BR792" s="81">
        <f t="shared" si="484"/>
        <v>1.1801310272536687</v>
      </c>
      <c r="BS792" s="82">
        <f t="shared" si="485"/>
        <v>194</v>
      </c>
      <c r="BT792" s="82">
        <f t="shared" si="486"/>
        <v>228.94541928721173</v>
      </c>
      <c r="BU792" s="82">
        <f t="shared" si="487"/>
        <v>198.51777777777778</v>
      </c>
      <c r="BW792" s="82">
        <f>IFERROR(INDEX('Infos Clientes'!$T:$T,MATCH('Detalhe Por UC'!$C792,'Infos Clientes'!B:B,0)),"")</f>
        <v>278.36363636363637</v>
      </c>
      <c r="BX792" s="83">
        <f t="shared" si="488"/>
        <v>0</v>
      </c>
      <c r="BY792" s="84">
        <f t="shared" si="489"/>
        <v>0.19593219168759057</v>
      </c>
      <c r="BZ792" s="85">
        <f>IF(_xlfn.MINIFS('Detalhe Por UC'!R:R,'Detalhe Por UC'!C:C,C792,'Detalhe Por UC'!AD:AD,"&gt;"&amp;0)=0,"",_xlfn.MINIFS('Detalhe Por UC'!R:R,'Detalhe Por UC'!C:C,C792,'Detalhe Por UC'!AD:AD,"&gt;"&amp;0))</f>
        <v>45658</v>
      </c>
      <c r="CA792" s="114">
        <f ca="1">IF(OR(S792&gt;0,AD792&gt;0),IFERROR(
SUMIFS(INDIRECT("'Infos Clientes'!$W"&amp;INDEX('Infos Clientes'!$C:$C,MATCH(C792,'Infos Clientes'!$H:$H,0))&amp;":$CZ"&amp;INDEX('Infos Clientes'!$C:$C,MATCH(C792,'Infos Clientes'!$H:$H,0))),'Infos Clientes'!$W$2:$CZ$2,"&gt;"&amp;$R792-365,'Infos Clientes'!$W$2:$CZ$2,"&lt;="&amp;$R792)/
COUNTIFS(INDIRECT("'Infos Clientes'!$W"&amp;INDEX('Infos Clientes'!$C:$C,MATCH(C792,'Infos Clientes'!$H:$H,0))&amp;":$CZ"&amp;INDEX('Infos Clientes'!$C:$C,MATCH(C792,'Infos Clientes'!$H:$H,0))),"&gt;="&amp;0,'Infos Clientes'!$W$2:$CZ$2,"&gt;"&amp;$R792-365,'Infos Clientes'!$W$2:$CZ$2,"&lt;="&amp;$R792),""),"")</f>
        <v>278.75</v>
      </c>
      <c r="CB792" s="87">
        <f>VLOOKUP(C792,'Infos Clientes'!B:L,11,0)</f>
        <v>0</v>
      </c>
      <c r="CC792" s="88" t="str">
        <f t="shared" si="490"/>
        <v>A Unidade Consumidora 10/13786-9 economizou R$44,86 na fatura referente à ago/2025  consumindo 194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2" s="115">
        <f t="shared" si="491"/>
        <v>-51.669999999999987</v>
      </c>
    </row>
    <row r="793" spans="1:84" ht="16.2" hidden="1" customHeight="1" x14ac:dyDescent="0.3">
      <c r="A793" s="105" t="str">
        <f>INDEX('Infos Clientes'!$D:$D,MATCH('Detalhe Por UC'!C793,'Infos Clientes'!B:B,0))</f>
        <v>IGREJA DO EVANGELHO QUADRANGULAR</v>
      </c>
      <c r="B793" s="106" t="str">
        <f>INDEX('Infos Clientes'!$F:$F,MATCH('Detalhe Por UC'!C793,'Infos Clientes'!B:B,0))</f>
        <v>62.955.505/3757-21</v>
      </c>
      <c r="C793" s="31" t="s">
        <v>187</v>
      </c>
      <c r="D793" t="s">
        <v>351</v>
      </c>
      <c r="E793" s="1" t="s">
        <v>352</v>
      </c>
      <c r="F793" s="56" t="str">
        <f>INDEX('Infos Clientes'!$I:$I,MATCH('Detalhe Por UC'!C793,'Infos Clientes'!B:B,0))</f>
        <v>BT</v>
      </c>
      <c r="G793" s="56" t="str">
        <f>INDEX('Infos Clientes'!$J:$J,MATCH('Detalhe Por UC'!C793,'Infos Clientes'!B:B,0))</f>
        <v>trifasico</v>
      </c>
      <c r="H793" s="47" t="str">
        <f t="shared" si="457"/>
        <v>GIROSSOL III</v>
      </c>
      <c r="I793" s="58">
        <f>IFERROR(VLOOKUP(C793,'Infos Clientes'!B:E,4,),"")</f>
        <v>362</v>
      </c>
      <c r="J793" s="151">
        <v>0.22596103298069697</v>
      </c>
      <c r="K793" s="79">
        <f>INDEX('Resumo Operacional'!$A$1:$P$151,MATCH("Desconto percentual Ucs",'Resumo Operacional'!$B$1:$B$151,0),MATCH('Detalhe Por UC'!$R793,'Resumo Operacional'!$A$1:$P$1,0))</f>
        <v>0.26495232343264008</v>
      </c>
      <c r="M793" s="56"/>
      <c r="N793" s="56"/>
      <c r="O793" s="56"/>
      <c r="P793" s="56"/>
      <c r="Q793" s="61"/>
      <c r="R793" s="111">
        <v>45870</v>
      </c>
      <c r="S793" s="152">
        <v>2.0199999999999999E-2</v>
      </c>
      <c r="T793" s="113" t="str">
        <f>IF($H793="GIROSSOL II",AP793/INDEX('Resumo Operacional'!$A$1:$P$1103,17,MATCH('Detalhe Por UC'!$R793,'Resumo Operacional'!$A$1:$P$1,0)),
IF($H793="GIROSSOL II e III",AP793/INDEX('Resumo Operacional'!$A$1:$P$1103,17,MATCH('Detalhe Por UC'!$R793,'Resumo Operacional'!$A$1:$P$1,0)),
""))</f>
        <v/>
      </c>
      <c r="U793" s="113">
        <f>IF($H793="GIROSSOL III",AP793/INDEX('Resumo Operacional'!$A$1:$P$1103,53,MATCH('Detalhe Por UC'!$R793,'Resumo Operacional'!$A$1:$P$1,0)),
IF($H793="GIROSSOL II e III",AP793/INDEX('Resumo Operacional'!$A$1:$P$1103,53,MATCH('Detalhe Por UC'!$R793,'Resumo Operacional'!$A$1:$P$1,0)),
""))</f>
        <v>5.3887355948709623E-2</v>
      </c>
      <c r="X793">
        <v>1.188010957994355</v>
      </c>
      <c r="Z793" s="18">
        <v>1.0311133603238865</v>
      </c>
      <c r="AB793" s="18">
        <v>317</v>
      </c>
      <c r="AD793" s="143">
        <v>260</v>
      </c>
      <c r="AF793" s="18">
        <v>235</v>
      </c>
      <c r="AH793" s="49">
        <v>34.610000000000007</v>
      </c>
      <c r="AK793" s="153">
        <v>143.12</v>
      </c>
      <c r="AL793" s="43">
        <f t="shared" si="456"/>
        <v>0</v>
      </c>
      <c r="AN793" s="71">
        <f t="shared" si="458"/>
        <v>72</v>
      </c>
      <c r="AO793" s="71">
        <f t="shared" si="459"/>
        <v>0</v>
      </c>
      <c r="AP793" s="71">
        <f t="shared" si="460"/>
        <v>332</v>
      </c>
      <c r="AQ793" s="72">
        <f>IF(OR($H793="GIROSSOL II",$H793="GIROSSOL II e III"),INDEX('Resumo Operacional'!$A$1:$P$1103,MATCH("Energia Injetada prevista total Fatura da Usina (TUSD)",'Resumo Operacional'!$B$1:$B$1103,0),MATCH('Detalhe Por UC'!$R793,'Resumo Operacional'!$A$1:$P$1,0))*$S793,INDEX('Resumo Operacional'!$A$1:$P$1103,53,MATCH('Detalhe Por UC'!$R793,'Resumo Operacional'!$A$1:$P$1,0))*$S793)</f>
        <v>124.45219999999999</v>
      </c>
      <c r="AR793" s="71">
        <f t="shared" si="461"/>
        <v>207.5478</v>
      </c>
      <c r="AS793" s="73">
        <f t="shared" si="462"/>
        <v>143.12000000000006</v>
      </c>
      <c r="AT793" s="74">
        <f t="shared" si="463"/>
        <v>143.12000000000006</v>
      </c>
      <c r="AU793" s="74">
        <f t="shared" si="464"/>
        <v>0.87421576265341794</v>
      </c>
      <c r="AV793" s="74">
        <f t="shared" si="465"/>
        <v>207.51169927927489</v>
      </c>
      <c r="AW793" s="74">
        <f t="shared" si="466"/>
        <v>0</v>
      </c>
      <c r="AX793" s="74">
        <f t="shared" si="467"/>
        <v>268.08947368421047</v>
      </c>
      <c r="AY793" s="74">
        <f t="shared" si="468"/>
        <v>207.51</v>
      </c>
      <c r="AZ793" s="117">
        <v>207.51</v>
      </c>
      <c r="BA793" s="49">
        <v>207.51</v>
      </c>
      <c r="BC793" s="73" t="str">
        <f t="shared" si="469"/>
        <v/>
      </c>
      <c r="BD793" s="73">
        <f t="shared" si="470"/>
        <v>411.20947368421054</v>
      </c>
      <c r="BE793" s="73">
        <f t="shared" si="471"/>
        <v>350.63169927927493</v>
      </c>
      <c r="BF793" s="77">
        <f t="shared" si="472"/>
        <v>60.58</v>
      </c>
      <c r="BG793" s="77">
        <f t="shared" si="473"/>
        <v>18.173999999999999</v>
      </c>
      <c r="BH793" s="77">
        <f t="shared" si="474"/>
        <v>268.08947368421047</v>
      </c>
      <c r="BI793" s="78">
        <f t="shared" si="475"/>
        <v>0.23</v>
      </c>
      <c r="BJ793" s="79">
        <f t="shared" si="476"/>
        <v>0.14732150856651366</v>
      </c>
      <c r="BK793" s="80">
        <f t="shared" si="477"/>
        <v>350.63000000000005</v>
      </c>
      <c r="BL793" s="80">
        <f t="shared" si="478"/>
        <v>60.579473684210484</v>
      </c>
      <c r="BM793" s="79">
        <f t="shared" si="479"/>
        <v>0.14732022864515193</v>
      </c>
      <c r="BN793" s="81">
        <f t="shared" si="480"/>
        <v>0.79811538461538456</v>
      </c>
      <c r="BO793" s="82">
        <f t="shared" si="481"/>
        <v>207.51</v>
      </c>
      <c r="BP793" s="81">
        <f t="shared" si="482"/>
        <v>0.79811538461538456</v>
      </c>
      <c r="BQ793" s="81">
        <f t="shared" si="483"/>
        <v>0.95501298228585307</v>
      </c>
      <c r="BR793" s="81">
        <f t="shared" si="484"/>
        <v>1.188010957994355</v>
      </c>
      <c r="BS793" s="82">
        <f t="shared" si="485"/>
        <v>260</v>
      </c>
      <c r="BT793" s="82">
        <f t="shared" si="486"/>
        <v>308.88284907853227</v>
      </c>
      <c r="BU793" s="82">
        <f t="shared" si="487"/>
        <v>268.08947368421047</v>
      </c>
      <c r="BW793" s="82">
        <f>IFERROR(INDEX('Infos Clientes'!$T:$T,MATCH('Detalhe Por UC'!$C793,'Infos Clientes'!B:B,0)),"")</f>
        <v>365.90909090909093</v>
      </c>
      <c r="BX793" s="83">
        <f t="shared" si="488"/>
        <v>0</v>
      </c>
      <c r="BY793" s="84">
        <f t="shared" si="489"/>
        <v>0.19612443314652409</v>
      </c>
      <c r="BZ793" s="85">
        <f>IF(_xlfn.MINIFS('Detalhe Por UC'!R:R,'Detalhe Por UC'!C:C,C793,'Detalhe Por UC'!AD:AD,"&gt;"&amp;0)=0,"",_xlfn.MINIFS('Detalhe Por UC'!R:R,'Detalhe Por UC'!C:C,C793,'Detalhe Por UC'!AD:AD,"&gt;"&amp;0))</f>
        <v>45658</v>
      </c>
      <c r="CA793" s="114">
        <f ca="1">IF(OR(S793&gt;0,AD793&gt;0),IFERROR(
SUMIFS(INDIRECT("'Infos Clientes'!$W"&amp;INDEX('Infos Clientes'!$C:$C,MATCH(C793,'Infos Clientes'!$H:$H,0))&amp;":$CZ"&amp;INDEX('Infos Clientes'!$C:$C,MATCH(C793,'Infos Clientes'!$H:$H,0))),'Infos Clientes'!$W$2:$CZ$2,"&gt;"&amp;$R793-365,'Infos Clientes'!$W$2:$CZ$2,"&lt;="&amp;$R793)/
COUNTIFS(INDIRECT("'Infos Clientes'!$W"&amp;INDEX('Infos Clientes'!$C:$C,MATCH(C793,'Infos Clientes'!$H:$H,0))&amp;":$CZ"&amp;INDEX('Infos Clientes'!$C:$C,MATCH(C793,'Infos Clientes'!$H:$H,0))),"&gt;="&amp;0,'Infos Clientes'!$W$2:$CZ$2,"&gt;"&amp;$R793-365,'Infos Clientes'!$W$2:$CZ$2,"&lt;="&amp;$R793),""),"")</f>
        <v>350.83333333333331</v>
      </c>
      <c r="CB793" s="87">
        <f>VLOOKUP(C793,'Infos Clientes'!B:L,11,0)</f>
        <v>0</v>
      </c>
      <c r="CC793" s="88" t="str">
        <f t="shared" si="490"/>
        <v>A Unidade Consumidora 10/3123706-8 economizou R$60,58 na fatura referente à ago/2025  consumindo 260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3" s="115">
        <f t="shared" si="491"/>
        <v>-143.12000000000006</v>
      </c>
    </row>
    <row r="794" spans="1:84" ht="16.2" hidden="1" customHeight="1" x14ac:dyDescent="0.3">
      <c r="A794" s="105" t="str">
        <f>INDEX('Infos Clientes'!$D:$D,MATCH('Detalhe Por UC'!C794,'Infos Clientes'!B:B,0))</f>
        <v>IGREJA DO EVANGELHO QUADRANGULAR</v>
      </c>
      <c r="B794" s="106" t="str">
        <f>INDEX('Infos Clientes'!$F:$F,MATCH('Detalhe Por UC'!C794,'Infos Clientes'!B:B,0))</f>
        <v>62.955.505/4051-40</v>
      </c>
      <c r="C794" s="31" t="s">
        <v>152</v>
      </c>
      <c r="D794" t="s">
        <v>351</v>
      </c>
      <c r="E794" s="1" t="s">
        <v>352</v>
      </c>
      <c r="F794" s="56" t="str">
        <f>INDEX('Infos Clientes'!$I:$I,MATCH('Detalhe Por UC'!C794,'Infos Clientes'!B:B,0))</f>
        <v>BT</v>
      </c>
      <c r="G794" s="56" t="str">
        <f>INDEX('Infos Clientes'!$J:$J,MATCH('Detalhe Por UC'!C794,'Infos Clientes'!B:B,0))</f>
        <v>bifasico</v>
      </c>
      <c r="H794" s="47" t="str">
        <f t="shared" si="457"/>
        <v>GIROSSOL III</v>
      </c>
      <c r="I794" s="58">
        <f>IFERROR(VLOOKUP(C794,'Infos Clientes'!B:E,4,),"")</f>
        <v>351</v>
      </c>
      <c r="J794" s="151">
        <v>0.22596103298069697</v>
      </c>
      <c r="K794" s="79">
        <f>INDEX('Resumo Operacional'!$A$1:$P$151,MATCH("Desconto percentual Ucs",'Resumo Operacional'!$B$1:$B$151,0),MATCH('Detalhe Por UC'!$R794,'Resumo Operacional'!$A$1:$P$1,0))</f>
        <v>0.26495232343264008</v>
      </c>
      <c r="M794" s="56"/>
      <c r="N794" s="56"/>
      <c r="O794" s="56"/>
      <c r="P794" s="56"/>
      <c r="Q794" s="61"/>
      <c r="R794" s="111">
        <v>45870</v>
      </c>
      <c r="S794" s="152">
        <v>2.0199999999999999E-2</v>
      </c>
      <c r="T794" s="113" t="str">
        <f>IF($H794="GIROSSOL II",AP794/INDEX('Resumo Operacional'!$A$1:$P$1103,17,MATCH('Detalhe Por UC'!$R794,'Resumo Operacional'!$A$1:$P$1,0)),
IF($H794="GIROSSOL II e III",AP794/INDEX('Resumo Operacional'!$A$1:$P$1103,17,MATCH('Detalhe Por UC'!$R794,'Resumo Operacional'!$A$1:$P$1,0)),
""))</f>
        <v/>
      </c>
      <c r="U794" s="113">
        <f>IF($H794="GIROSSOL III",AP794/INDEX('Resumo Operacional'!$A$1:$P$1103,53,MATCH('Detalhe Por UC'!$R794,'Resumo Operacional'!$A$1:$P$1,0)),
IF($H794="GIROSSOL II e III",AP794/INDEX('Resumo Operacional'!$A$1:$P$1103,53,MATCH('Detalhe Por UC'!$R794,'Resumo Operacional'!$A$1:$P$1,0)),
""))</f>
        <v>4.9991884434345074E-2</v>
      </c>
      <c r="X794">
        <v>1.1858499999999998</v>
      </c>
      <c r="Z794" s="18">
        <v>1.0289294258373205</v>
      </c>
      <c r="AB794" s="18">
        <v>225</v>
      </c>
      <c r="AD794" s="143">
        <v>209</v>
      </c>
      <c r="AF794" s="18">
        <v>290</v>
      </c>
      <c r="AH794" s="49">
        <v>24.4</v>
      </c>
      <c r="AK794" s="153">
        <v>76.17</v>
      </c>
      <c r="AL794" s="43">
        <f t="shared" ref="AL794:AL819" si="492">AK794-AT794</f>
        <v>0</v>
      </c>
      <c r="AN794" s="71">
        <f t="shared" si="458"/>
        <v>99</v>
      </c>
      <c r="AO794" s="71">
        <f t="shared" si="459"/>
        <v>0</v>
      </c>
      <c r="AP794" s="71">
        <f t="shared" si="460"/>
        <v>308</v>
      </c>
      <c r="AQ794" s="72">
        <f>IF(OR($H794="GIROSSOL II",$H794="GIROSSOL II e III"),INDEX('Resumo Operacional'!$A$1:$P$1103,MATCH("Energia Injetada prevista total Fatura da Usina (TUSD)",'Resumo Operacional'!$B$1:$B$1103,0),MATCH('Detalhe Por UC'!$R794,'Resumo Operacional'!$A$1:$P$1,0))*$S794,INDEX('Resumo Operacional'!$A$1:$P$1103,53,MATCH('Detalhe Por UC'!$R794,'Resumo Operacional'!$A$1:$P$1,0))*$S794)</f>
        <v>124.45219999999999</v>
      </c>
      <c r="AR794" s="71">
        <f t="shared" si="461"/>
        <v>183.5478</v>
      </c>
      <c r="AS794" s="73">
        <f t="shared" si="462"/>
        <v>76.169999999999987</v>
      </c>
      <c r="AT794" s="74">
        <f t="shared" si="463"/>
        <v>76.169999999999987</v>
      </c>
      <c r="AU794" s="74">
        <f t="shared" si="464"/>
        <v>0.87200885167464115</v>
      </c>
      <c r="AV794" s="74">
        <f t="shared" si="465"/>
        <v>166.4541772113748</v>
      </c>
      <c r="AW794" s="74">
        <f t="shared" si="466"/>
        <v>0</v>
      </c>
      <c r="AX794" s="74">
        <f t="shared" si="467"/>
        <v>215.04624999999999</v>
      </c>
      <c r="AY794" s="74">
        <f t="shared" si="468"/>
        <v>166.45</v>
      </c>
      <c r="AZ794" s="117">
        <v>166.45</v>
      </c>
      <c r="BA794" s="49">
        <v>166.45</v>
      </c>
      <c r="BB794" s="49">
        <v>166.45</v>
      </c>
      <c r="BC794" s="73" t="str">
        <f t="shared" si="469"/>
        <v/>
      </c>
      <c r="BD794" s="73">
        <f t="shared" si="470"/>
        <v>291.21624999999995</v>
      </c>
      <c r="BE794" s="73">
        <f t="shared" si="471"/>
        <v>242.62417721137479</v>
      </c>
      <c r="BF794" s="77">
        <f t="shared" si="472"/>
        <v>48.59</v>
      </c>
      <c r="BG794" s="77">
        <f t="shared" si="473"/>
        <v>14.577</v>
      </c>
      <c r="BH794" s="77">
        <f t="shared" si="474"/>
        <v>215.04624999999999</v>
      </c>
      <c r="BI794" s="78">
        <f t="shared" si="475"/>
        <v>0.23</v>
      </c>
      <c r="BJ794" s="79">
        <f t="shared" si="476"/>
        <v>0.16685195280139764</v>
      </c>
      <c r="BK794" s="80">
        <f t="shared" si="477"/>
        <v>242.61999999999998</v>
      </c>
      <c r="BL794" s="80">
        <f t="shared" si="478"/>
        <v>48.596249999999969</v>
      </c>
      <c r="BM794" s="79">
        <f t="shared" si="479"/>
        <v>0.16687341451584511</v>
      </c>
      <c r="BN794" s="81">
        <f t="shared" si="480"/>
        <v>0.79641148325358846</v>
      </c>
      <c r="BO794" s="82">
        <f t="shared" si="481"/>
        <v>166.45</v>
      </c>
      <c r="BP794" s="81">
        <f t="shared" si="482"/>
        <v>0.79641148325358846</v>
      </c>
      <c r="BQ794" s="81">
        <f t="shared" si="483"/>
        <v>0.95333205741626781</v>
      </c>
      <c r="BR794" s="81">
        <f t="shared" si="484"/>
        <v>1.1858499999999998</v>
      </c>
      <c r="BS794" s="82">
        <f t="shared" si="485"/>
        <v>209</v>
      </c>
      <c r="BT794" s="82">
        <f t="shared" si="486"/>
        <v>247.84264999999996</v>
      </c>
      <c r="BU794" s="82">
        <f t="shared" si="487"/>
        <v>215.04624999999999</v>
      </c>
      <c r="BW794" s="82">
        <f>IFERROR(INDEX('Infos Clientes'!$T:$T,MATCH('Detalhe Por UC'!$C794,'Infos Clientes'!B:B,0)),"")</f>
        <v>246.72727272727272</v>
      </c>
      <c r="BX794" s="83">
        <f t="shared" si="488"/>
        <v>0</v>
      </c>
      <c r="BY794" s="84">
        <f t="shared" si="489"/>
        <v>0.19607702709763636</v>
      </c>
      <c r="BZ794" s="85">
        <f>IF(_xlfn.MINIFS('Detalhe Por UC'!R:R,'Detalhe Por UC'!C:C,C794,'Detalhe Por UC'!AD:AD,"&gt;"&amp;0)=0,"",_xlfn.MINIFS('Detalhe Por UC'!R:R,'Detalhe Por UC'!C:C,C794,'Detalhe Por UC'!AD:AD,"&gt;"&amp;0))</f>
        <v>45658</v>
      </c>
      <c r="CA794" s="114">
        <f ca="1">IF(OR(S794&gt;0,AD794&gt;0),IFERROR(
SUMIFS(INDIRECT("'Infos Clientes'!$W"&amp;INDEX('Infos Clientes'!$C:$C,MATCH(C794,'Infos Clientes'!$H:$H,0))&amp;":$CZ"&amp;INDEX('Infos Clientes'!$C:$C,MATCH(C794,'Infos Clientes'!$H:$H,0))),'Infos Clientes'!$W$2:$CZ$2,"&gt;"&amp;$R794-365,'Infos Clientes'!$W$2:$CZ$2,"&lt;="&amp;$R794)/
COUNTIFS(INDIRECT("'Infos Clientes'!$W"&amp;INDEX('Infos Clientes'!$C:$C,MATCH(C794,'Infos Clientes'!$H:$H,0))&amp;":$CZ"&amp;INDEX('Infos Clientes'!$C:$C,MATCH(C794,'Infos Clientes'!$H:$H,0))),"&gt;="&amp;0,'Infos Clientes'!$W$2:$CZ$2,"&gt;"&amp;$R794-365,'Infos Clientes'!$W$2:$CZ$2,"&lt;="&amp;$R794),""),"")</f>
        <v>278.41666666666669</v>
      </c>
      <c r="CB794" s="87">
        <f>VLOOKUP(C794,'Infos Clientes'!B:L,11,0)</f>
        <v>0</v>
      </c>
      <c r="CC794" s="88" t="str">
        <f t="shared" si="490"/>
        <v>A Unidade Consumidora 10/129490-9 economizou R$48,59 na fatura referente à ago/2025  consumindo 209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4" s="115">
        <f t="shared" si="491"/>
        <v>-76.169999999999987</v>
      </c>
    </row>
    <row r="795" spans="1:84" ht="16.2" hidden="1" customHeight="1" x14ac:dyDescent="0.3">
      <c r="A795" s="105" t="str">
        <f>INDEX('Infos Clientes'!$D:$D,MATCH('Detalhe Por UC'!C795,'Infos Clientes'!B:B,0))</f>
        <v>IGREJA DO EVANGELHO QUADRANGULAR</v>
      </c>
      <c r="B795" s="106" t="str">
        <f>INDEX('Infos Clientes'!$F:$F,MATCH('Detalhe Por UC'!C795,'Infos Clientes'!B:B,0))</f>
        <v>62.955.505/2690-26</v>
      </c>
      <c r="C795" s="31" t="s">
        <v>201</v>
      </c>
      <c r="D795" t="s">
        <v>351</v>
      </c>
      <c r="E795" s="1" t="s">
        <v>352</v>
      </c>
      <c r="F795" s="56" t="str">
        <f>INDEX('Infos Clientes'!$I:$I,MATCH('Detalhe Por UC'!C795,'Infos Clientes'!B:B,0))</f>
        <v>BT</v>
      </c>
      <c r="G795" s="56" t="str">
        <f>INDEX('Infos Clientes'!$J:$J,MATCH('Detalhe Por UC'!C795,'Infos Clientes'!B:B,0))</f>
        <v>bifasico</v>
      </c>
      <c r="H795" s="47" t="str">
        <f t="shared" si="457"/>
        <v>GIROSSOL III</v>
      </c>
      <c r="I795" s="58">
        <f>IFERROR(VLOOKUP(C795,'Infos Clientes'!B:E,4,),"")</f>
        <v>319</v>
      </c>
      <c r="J795" s="151">
        <v>0.22596103298069697</v>
      </c>
      <c r="K795" s="79">
        <f>INDEX('Resumo Operacional'!$A$1:$P$151,MATCH("Desconto percentual Ucs",'Resumo Operacional'!$B$1:$B$151,0),MATCH('Detalhe Por UC'!$R795,'Resumo Operacional'!$A$1:$P$1,0))</f>
        <v>0.26495232343264008</v>
      </c>
      <c r="M795" s="56"/>
      <c r="N795" s="56"/>
      <c r="O795" s="56"/>
      <c r="P795" s="56"/>
      <c r="Q795" s="61"/>
      <c r="R795" s="111">
        <v>45870</v>
      </c>
      <c r="S795" s="152">
        <v>2.0199999999999999E-2</v>
      </c>
      <c r="T795" s="113" t="str">
        <f>IF($H795="GIROSSOL II",AP795/INDEX('Resumo Operacional'!$A$1:$P$1103,17,MATCH('Detalhe Por UC'!$R795,'Resumo Operacional'!$A$1:$P$1,0)),
IF($H795="GIROSSOL II e III",AP795/INDEX('Resumo Operacional'!$A$1:$P$1103,17,MATCH('Detalhe Por UC'!$R795,'Resumo Operacional'!$A$1:$P$1,0)),
""))</f>
        <v/>
      </c>
      <c r="U795" s="113">
        <f>IF($H795="GIROSSOL III",AP795/INDEX('Resumo Operacional'!$A$1:$P$1103,53,MATCH('Detalhe Por UC'!$R795,'Resumo Operacional'!$A$1:$P$1,0)),
IF($H795="GIROSSOL II e III",AP795/INDEX('Resumo Operacional'!$A$1:$P$1103,53,MATCH('Detalhe Por UC'!$R795,'Resumo Operacional'!$A$1:$P$1,0)),
""))</f>
        <v>4.9991884434345074E-2</v>
      </c>
      <c r="X795">
        <v>1.1564746543778803</v>
      </c>
      <c r="Z795" s="18">
        <v>0.99945378151260511</v>
      </c>
      <c r="AB795" s="18">
        <v>93</v>
      </c>
      <c r="AD795" s="143">
        <v>51</v>
      </c>
      <c r="AF795" s="18">
        <v>257</v>
      </c>
      <c r="AH795" s="49">
        <v>2.5100000000000002</v>
      </c>
      <c r="AK795" s="153">
        <v>59.09</v>
      </c>
      <c r="AL795" s="43">
        <f t="shared" si="492"/>
        <v>0</v>
      </c>
      <c r="AN795" s="71">
        <f t="shared" si="458"/>
        <v>257</v>
      </c>
      <c r="AO795" s="71">
        <f t="shared" si="459"/>
        <v>0</v>
      </c>
      <c r="AP795" s="71">
        <f t="shared" si="460"/>
        <v>308</v>
      </c>
      <c r="AQ795" s="72">
        <f>IF(OR($H795="GIROSSOL II",$H795="GIROSSOL II e III"),INDEX('Resumo Operacional'!$A$1:$P$1103,MATCH("Energia Injetada prevista total Fatura da Usina (TUSD)",'Resumo Operacional'!$B$1:$B$1103,0),MATCH('Detalhe Por UC'!$R795,'Resumo Operacional'!$A$1:$P$1,0))*$S795,INDEX('Resumo Operacional'!$A$1:$P$1103,53,MATCH('Detalhe Por UC'!$R795,'Resumo Operacional'!$A$1:$P$1,0))*$S795)</f>
        <v>124.45219999999999</v>
      </c>
      <c r="AR795" s="71">
        <f t="shared" si="461"/>
        <v>183.5478</v>
      </c>
      <c r="AS795" s="73">
        <f t="shared" si="462"/>
        <v>59.09</v>
      </c>
      <c r="AT795" s="74">
        <f t="shared" si="463"/>
        <v>59.09</v>
      </c>
      <c r="AU795" s="74">
        <f t="shared" si="464"/>
        <v>0.84243290864732989</v>
      </c>
      <c r="AV795" s="74">
        <f t="shared" si="465"/>
        <v>39.454424803903208</v>
      </c>
      <c r="AW795" s="74">
        <f t="shared" si="466"/>
        <v>0</v>
      </c>
      <c r="AX795" s="74">
        <f t="shared" si="467"/>
        <v>50.972142857142863</v>
      </c>
      <c r="AY795" s="74">
        <f t="shared" si="468"/>
        <v>39.450000000000003</v>
      </c>
      <c r="AZ795" s="117">
        <v>39.450000000000003</v>
      </c>
      <c r="BA795" s="49">
        <v>39.450000000000003</v>
      </c>
      <c r="BB795" s="49">
        <v>50.97</v>
      </c>
      <c r="BC795" s="73">
        <f t="shared" si="469"/>
        <v>11.519999999999996</v>
      </c>
      <c r="BD795" s="73">
        <f t="shared" si="470"/>
        <v>110.06214285714287</v>
      </c>
      <c r="BE795" s="73">
        <f t="shared" si="471"/>
        <v>98.544424803903212</v>
      </c>
      <c r="BF795" s="77">
        <f t="shared" si="472"/>
        <v>11.52</v>
      </c>
      <c r="BG795" s="77">
        <f t="shared" si="473"/>
        <v>3.456</v>
      </c>
      <c r="BH795" s="77">
        <f t="shared" si="474"/>
        <v>50.972142857142856</v>
      </c>
      <c r="BI795" s="78">
        <f t="shared" si="475"/>
        <v>0.23</v>
      </c>
      <c r="BJ795" s="79">
        <f t="shared" si="476"/>
        <v>0.10466814202366194</v>
      </c>
      <c r="BK795" s="80">
        <f t="shared" si="477"/>
        <v>98.54</v>
      </c>
      <c r="BL795" s="80">
        <f t="shared" si="478"/>
        <v>11.522142857142867</v>
      </c>
      <c r="BM795" s="79">
        <f t="shared" si="479"/>
        <v>0.10468761154412774</v>
      </c>
      <c r="BN795" s="81">
        <f t="shared" si="480"/>
        <v>0.77352941176470591</v>
      </c>
      <c r="BO795" s="82">
        <f t="shared" si="481"/>
        <v>39.450000000000003</v>
      </c>
      <c r="BP795" s="81">
        <f t="shared" si="482"/>
        <v>0.77352941176470591</v>
      </c>
      <c r="BQ795" s="81">
        <f t="shared" si="483"/>
        <v>0.93055028462998113</v>
      </c>
      <c r="BR795" s="81">
        <f t="shared" si="484"/>
        <v>1.1564746543778803</v>
      </c>
      <c r="BS795" s="82">
        <f t="shared" si="485"/>
        <v>51</v>
      </c>
      <c r="BT795" s="82">
        <f t="shared" si="486"/>
        <v>58.980207373271895</v>
      </c>
      <c r="BU795" s="82">
        <f t="shared" si="487"/>
        <v>50.972142857142863</v>
      </c>
      <c r="BW795" s="82">
        <f>IFERROR(INDEX('Infos Clientes'!$T:$T,MATCH('Detalhe Por UC'!$C795,'Infos Clientes'!B:B,0)),"")</f>
        <v>293</v>
      </c>
      <c r="BX795" s="83">
        <f t="shared" si="488"/>
        <v>0</v>
      </c>
      <c r="BY795" s="84">
        <f t="shared" si="489"/>
        <v>0.19535609266718781</v>
      </c>
      <c r="BZ795" s="85">
        <f>IF(_xlfn.MINIFS('Detalhe Por UC'!R:R,'Detalhe Por UC'!C:C,C795,'Detalhe Por UC'!AD:AD,"&gt;"&amp;0)=0,"",_xlfn.MINIFS('Detalhe Por UC'!R:R,'Detalhe Por UC'!C:C,C795,'Detalhe Por UC'!AD:AD,"&gt;"&amp;0))</f>
        <v>45658</v>
      </c>
      <c r="CA795" s="114">
        <f ca="1">IF(OR(S795&gt;0,AD795&gt;0),IFERROR(
SUMIFS(INDIRECT("'Infos Clientes'!$W"&amp;INDEX('Infos Clientes'!$C:$C,MATCH(C795,'Infos Clientes'!$H:$H,0))&amp;":$CZ"&amp;INDEX('Infos Clientes'!$C:$C,MATCH(C795,'Infos Clientes'!$H:$H,0))),'Infos Clientes'!$W$2:$CZ$2,"&gt;"&amp;$R795-365,'Infos Clientes'!$W$2:$CZ$2,"&lt;="&amp;$R795)/
COUNTIFS(INDIRECT("'Infos Clientes'!$W"&amp;INDEX('Infos Clientes'!$C:$C,MATCH(C795,'Infos Clientes'!$H:$H,0))&amp;":$CZ"&amp;INDEX('Infos Clientes'!$C:$C,MATCH(C795,'Infos Clientes'!$H:$H,0))),"&gt;="&amp;0,'Infos Clientes'!$W$2:$CZ$2,"&gt;"&amp;$R795-365,'Infos Clientes'!$W$2:$CZ$2,"&lt;="&amp;$R795),""),"")</f>
        <v>274</v>
      </c>
      <c r="CB795" s="87">
        <f>VLOOKUP(C795,'Infos Clientes'!B:L,11,0)</f>
        <v>0</v>
      </c>
      <c r="CC795" s="88" t="str">
        <f t="shared" si="490"/>
        <v>A Unidade Consumidora 10/41548-9 economizou R$11,52 na fatura referente à ago/2025  consumindo 51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5" s="115">
        <f t="shared" si="491"/>
        <v>-59.09</v>
      </c>
    </row>
    <row r="796" spans="1:84" ht="16.2" hidden="1" customHeight="1" x14ac:dyDescent="0.3">
      <c r="A796" s="105" t="str">
        <f>INDEX('Infos Clientes'!$D:$D,MATCH('Detalhe Por UC'!C796,'Infos Clientes'!B:B,0))</f>
        <v>IGREJA DO EVANGELHO QUADRANGULAR</v>
      </c>
      <c r="B796" s="106" t="str">
        <f>INDEX('Infos Clientes'!$F:$F,MATCH('Detalhe Por UC'!C796,'Infos Clientes'!B:B,0))</f>
        <v>62.955.505/2391-19</v>
      </c>
      <c r="C796" s="31" t="s">
        <v>193</v>
      </c>
      <c r="D796" t="s">
        <v>351</v>
      </c>
      <c r="E796" s="1" t="s">
        <v>352</v>
      </c>
      <c r="F796" s="56" t="str">
        <f>INDEX('Infos Clientes'!$I:$I,MATCH('Detalhe Por UC'!C796,'Infos Clientes'!B:B,0))</f>
        <v>BT</v>
      </c>
      <c r="G796" s="56" t="str">
        <f>INDEX('Infos Clientes'!$J:$J,MATCH('Detalhe Por UC'!C796,'Infos Clientes'!B:B,0))</f>
        <v>bifasico</v>
      </c>
      <c r="H796" s="47" t="str">
        <f t="shared" si="457"/>
        <v>GIROSSOL III</v>
      </c>
      <c r="I796" s="58">
        <f>IFERROR(VLOOKUP(C796,'Infos Clientes'!B:E,4,),"")</f>
        <v>306</v>
      </c>
      <c r="J796" s="151">
        <v>0.22596103298069697</v>
      </c>
      <c r="K796" s="79">
        <f>INDEX('Resumo Operacional'!$A$1:$P$151,MATCH("Desconto percentual Ucs",'Resumo Operacional'!$B$1:$B$151,0),MATCH('Detalhe Por UC'!$R796,'Resumo Operacional'!$A$1:$P$1,0))</f>
        <v>0.26495232343264008</v>
      </c>
      <c r="M796" s="56"/>
      <c r="N796" s="56"/>
      <c r="O796" s="56"/>
      <c r="P796" s="56"/>
      <c r="Q796" s="61"/>
      <c r="R796" s="111">
        <v>45870</v>
      </c>
      <c r="S796" s="152">
        <v>2.0199999999999999E-2</v>
      </c>
      <c r="T796" s="113" t="str">
        <f>IF($H796="GIROSSOL II",AP796/INDEX('Resumo Operacional'!$A$1:$P$1103,17,MATCH('Detalhe Por UC'!$R796,'Resumo Operacional'!$A$1:$P$1,0)),
IF($H796="GIROSSOL II e III",AP796/INDEX('Resumo Operacional'!$A$1:$P$1103,17,MATCH('Detalhe Por UC'!$R796,'Resumo Operacional'!$A$1:$P$1,0)),
""))</f>
        <v/>
      </c>
      <c r="U796" s="113">
        <f>IF($H796="GIROSSOL III",AP796/INDEX('Resumo Operacional'!$A$1:$P$1103,53,MATCH('Detalhe Por UC'!$R796,'Resumo Operacional'!$A$1:$P$1,0)),
IF($H796="GIROSSOL II e III",AP796/INDEX('Resumo Operacional'!$A$1:$P$1103,53,MATCH('Detalhe Por UC'!$R796,'Resumo Operacional'!$A$1:$P$1,0)),
""))</f>
        <v>5.3400422009414056E-2</v>
      </c>
      <c r="X796">
        <v>1.1717136725935009</v>
      </c>
      <c r="Z796" s="18">
        <v>1.0148369210697976</v>
      </c>
      <c r="AB796" s="18">
        <v>233</v>
      </c>
      <c r="AD796" s="143">
        <v>219</v>
      </c>
      <c r="AF796" s="18">
        <v>278</v>
      </c>
      <c r="AH796" s="49">
        <v>3.94</v>
      </c>
      <c r="AK796" s="153">
        <v>54.7</v>
      </c>
      <c r="AL796" s="43">
        <f t="shared" si="492"/>
        <v>0</v>
      </c>
      <c r="AN796" s="71">
        <f t="shared" si="458"/>
        <v>110</v>
      </c>
      <c r="AO796" s="71">
        <f t="shared" si="459"/>
        <v>0</v>
      </c>
      <c r="AP796" s="71">
        <f t="shared" si="460"/>
        <v>329</v>
      </c>
      <c r="AQ796" s="72">
        <f>IF(OR($H796="GIROSSOL II",$H796="GIROSSOL II e III"),INDEX('Resumo Operacional'!$A$1:$P$1103,MATCH("Energia Injetada prevista total Fatura da Usina (TUSD)",'Resumo Operacional'!$B$1:$B$1103,0),MATCH('Detalhe Por UC'!$R796,'Resumo Operacional'!$A$1:$P$1,0))*$S796,INDEX('Resumo Operacional'!$A$1:$P$1103,53,MATCH('Detalhe Por UC'!$R796,'Resumo Operacional'!$A$1:$P$1,0))*$S796)</f>
        <v>124.45219999999999</v>
      </c>
      <c r="AR796" s="71">
        <f t="shared" si="461"/>
        <v>204.5478</v>
      </c>
      <c r="AS796" s="73">
        <f t="shared" si="462"/>
        <v>54.699999999999989</v>
      </c>
      <c r="AT796" s="74">
        <f t="shared" si="463"/>
        <v>54.699999999999989</v>
      </c>
      <c r="AU796" s="74">
        <f t="shared" si="464"/>
        <v>0.85796016954609433</v>
      </c>
      <c r="AV796" s="74">
        <f t="shared" si="465"/>
        <v>172.02960753506366</v>
      </c>
      <c r="AW796" s="74">
        <f t="shared" si="466"/>
        <v>0</v>
      </c>
      <c r="AX796" s="74">
        <f t="shared" si="467"/>
        <v>222.24928571428569</v>
      </c>
      <c r="AY796" s="74">
        <f t="shared" si="468"/>
        <v>172.03</v>
      </c>
      <c r="AZ796" s="117">
        <v>172.03</v>
      </c>
      <c r="BA796" s="49">
        <v>172.03</v>
      </c>
      <c r="BC796" s="73" t="str">
        <f t="shared" si="469"/>
        <v/>
      </c>
      <c r="BD796" s="73">
        <f t="shared" si="470"/>
        <v>276.94928571428568</v>
      </c>
      <c r="BE796" s="73">
        <f t="shared" si="471"/>
        <v>226.72960753506365</v>
      </c>
      <c r="BF796" s="77">
        <f t="shared" si="472"/>
        <v>50.22</v>
      </c>
      <c r="BG796" s="77">
        <f t="shared" si="473"/>
        <v>15.065999999999999</v>
      </c>
      <c r="BH796" s="77">
        <f t="shared" si="474"/>
        <v>222.24928571428566</v>
      </c>
      <c r="BI796" s="78">
        <f t="shared" si="475"/>
        <v>0.23</v>
      </c>
      <c r="BJ796" s="79">
        <f t="shared" si="476"/>
        <v>0.18133283814210444</v>
      </c>
      <c r="BK796" s="80">
        <f t="shared" si="477"/>
        <v>226.73</v>
      </c>
      <c r="BL796" s="80">
        <f t="shared" si="478"/>
        <v>50.219285714285689</v>
      </c>
      <c r="BM796" s="79">
        <f t="shared" si="479"/>
        <v>0.18133025902112035</v>
      </c>
      <c r="BN796" s="81">
        <f t="shared" si="480"/>
        <v>0.78552511415525117</v>
      </c>
      <c r="BO796" s="82">
        <f t="shared" si="481"/>
        <v>172.03</v>
      </c>
      <c r="BP796" s="81">
        <f t="shared" si="482"/>
        <v>0.78552511415525117</v>
      </c>
      <c r="BQ796" s="81">
        <f t="shared" si="483"/>
        <v>0.94240186567895445</v>
      </c>
      <c r="BR796" s="81">
        <f t="shared" si="484"/>
        <v>1.1717136725935009</v>
      </c>
      <c r="BS796" s="82">
        <f t="shared" si="485"/>
        <v>219</v>
      </c>
      <c r="BT796" s="82">
        <f t="shared" si="486"/>
        <v>256.60529429797668</v>
      </c>
      <c r="BU796" s="82">
        <f t="shared" si="487"/>
        <v>222.24928571428569</v>
      </c>
      <c r="BW796" s="82">
        <f>IFERROR(INDEX('Infos Clientes'!$T:$T,MATCH('Detalhe Por UC'!$C796,'Infos Clientes'!B:B,0)),"")</f>
        <v>330.27272727272725</v>
      </c>
      <c r="BX796" s="83">
        <f t="shared" si="488"/>
        <v>0</v>
      </c>
      <c r="BY796" s="84">
        <f t="shared" si="489"/>
        <v>0.19570635068803272</v>
      </c>
      <c r="BZ796" s="85">
        <f>IF(_xlfn.MINIFS('Detalhe Por UC'!R:R,'Detalhe Por UC'!C:C,C796,'Detalhe Por UC'!AD:AD,"&gt;"&amp;0)=0,"",_xlfn.MINIFS('Detalhe Por UC'!R:R,'Detalhe Por UC'!C:C,C796,'Detalhe Por UC'!AD:AD,"&gt;"&amp;0))</f>
        <v>45658</v>
      </c>
      <c r="CA796" s="114">
        <f ca="1">IF(OR(S796&gt;0,AD796&gt;0),IFERROR(
SUMIFS(INDIRECT("'Infos Clientes'!$W"&amp;INDEX('Infos Clientes'!$C:$C,MATCH(C796,'Infos Clientes'!$H:$H,0))&amp;":$CZ"&amp;INDEX('Infos Clientes'!$C:$C,MATCH(C796,'Infos Clientes'!$H:$H,0))),'Infos Clientes'!$W$2:$CZ$2,"&gt;"&amp;$R796-365,'Infos Clientes'!$W$2:$CZ$2,"&lt;="&amp;$R796)/
COUNTIFS(INDIRECT("'Infos Clientes'!$W"&amp;INDEX('Infos Clientes'!$C:$C,MATCH(C796,'Infos Clientes'!$H:$H,0))&amp;":$CZ"&amp;INDEX('Infos Clientes'!$C:$C,MATCH(C796,'Infos Clientes'!$H:$H,0))),"&gt;="&amp;0,'Infos Clientes'!$W$2:$CZ$2,"&gt;"&amp;$R796-365,'Infos Clientes'!$W$2:$CZ$2,"&lt;="&amp;$R796),""),"")</f>
        <v>290.5</v>
      </c>
      <c r="CB796" s="87">
        <f>VLOOKUP(C796,'Infos Clientes'!B:L,11,0)</f>
        <v>0</v>
      </c>
      <c r="CC796" s="88" t="str">
        <f t="shared" si="490"/>
        <v>A Unidade Consumidora 10/341308-5 economizou R$50,22 na fatura referente à ago/2025  consumindo 219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6" s="115">
        <f t="shared" si="491"/>
        <v>-54.699999999999989</v>
      </c>
    </row>
    <row r="797" spans="1:84" ht="16.2" hidden="1" customHeight="1" x14ac:dyDescent="0.3">
      <c r="A797" s="105" t="str">
        <f>INDEX('Infos Clientes'!$D:$D,MATCH('Detalhe Por UC'!C797,'Infos Clientes'!B:B,0))</f>
        <v>IGREJA DO EVANGELHO QUADRANGULAR</v>
      </c>
      <c r="B797" s="106" t="str">
        <f>INDEX('Infos Clientes'!$F:$F,MATCH('Detalhe Por UC'!C797,'Infos Clientes'!B:B,0))</f>
        <v>62.955.505/0165-94</v>
      </c>
      <c r="C797" s="31" t="s">
        <v>169</v>
      </c>
      <c r="D797" t="s">
        <v>351</v>
      </c>
      <c r="E797" s="1" t="s">
        <v>352</v>
      </c>
      <c r="F797" s="56" t="str">
        <f>INDEX('Infos Clientes'!$I:$I,MATCH('Detalhe Por UC'!C797,'Infos Clientes'!B:B,0))</f>
        <v>BT</v>
      </c>
      <c r="G797" s="56" t="str">
        <f>INDEX('Infos Clientes'!$J:$J,MATCH('Detalhe Por UC'!C797,'Infos Clientes'!B:B,0))</f>
        <v>bifasico</v>
      </c>
      <c r="H797" s="47" t="str">
        <f t="shared" si="457"/>
        <v>GIROSSOL III</v>
      </c>
      <c r="I797" s="58">
        <f>IFERROR(VLOOKUP(C797,'Infos Clientes'!B:E,4,),"")</f>
        <v>302</v>
      </c>
      <c r="J797" s="151">
        <v>0.22596103298069697</v>
      </c>
      <c r="K797" s="79">
        <f>INDEX('Resumo Operacional'!$A$1:$P$151,MATCH("Desconto percentual Ucs",'Resumo Operacional'!$B$1:$B$151,0),MATCH('Detalhe Por UC'!$R797,'Resumo Operacional'!$A$1:$P$1,0))</f>
        <v>0.26495232343264008</v>
      </c>
      <c r="M797" s="56"/>
      <c r="N797" s="56"/>
      <c r="O797" s="56"/>
      <c r="P797" s="56"/>
      <c r="Q797" s="61"/>
      <c r="R797" s="111">
        <v>45870</v>
      </c>
      <c r="S797" s="152">
        <v>2.0199999999999999E-2</v>
      </c>
      <c r="T797" s="113" t="str">
        <f>IF($H797="GIROSSOL II",AP797/INDEX('Resumo Operacional'!$A$1:$P$1103,17,MATCH('Detalhe Por UC'!$R797,'Resumo Operacional'!$A$1:$P$1,0)),
IF($H797="GIROSSOL II e III",AP797/INDEX('Resumo Operacional'!$A$1:$P$1103,17,MATCH('Detalhe Por UC'!$R797,'Resumo Operacional'!$A$1:$P$1,0)),
""))</f>
        <v/>
      </c>
      <c r="U797" s="113">
        <f>IF($H797="GIROSSOL III",AP797/INDEX('Resumo Operacional'!$A$1:$P$1103,53,MATCH('Detalhe Por UC'!$R797,'Resumo Operacional'!$A$1:$P$1,0)),
IF($H797="GIROSSOL II e III",AP797/INDEX('Resumo Operacional'!$A$1:$P$1103,53,MATCH('Detalhe Por UC'!$R797,'Resumo Operacional'!$A$1:$P$1,0)),
""))</f>
        <v>3.0027592923226747E-2</v>
      </c>
      <c r="X797">
        <v>1.1704201101928375</v>
      </c>
      <c r="Z797" s="18">
        <v>1.0135289855072465</v>
      </c>
      <c r="AB797" s="18">
        <v>242</v>
      </c>
      <c r="AD797" s="143">
        <v>230</v>
      </c>
      <c r="AF797" s="18">
        <v>76</v>
      </c>
      <c r="AH797" s="49">
        <v>43.17</v>
      </c>
      <c r="AK797" s="153">
        <v>93.3</v>
      </c>
      <c r="AL797" s="43">
        <f t="shared" si="492"/>
        <v>0</v>
      </c>
      <c r="AN797" s="71">
        <f t="shared" si="458"/>
        <v>-45</v>
      </c>
      <c r="AO797" s="71">
        <f t="shared" si="459"/>
        <v>0</v>
      </c>
      <c r="AP797" s="71">
        <f t="shared" si="460"/>
        <v>185</v>
      </c>
      <c r="AQ797" s="72">
        <f>IF(OR($H797="GIROSSOL II",$H797="GIROSSOL II e III"),INDEX('Resumo Operacional'!$A$1:$P$1103,MATCH("Energia Injetada prevista total Fatura da Usina (TUSD)",'Resumo Operacional'!$B$1:$B$1103,0),MATCH('Detalhe Por UC'!$R797,'Resumo Operacional'!$A$1:$P$1,0))*$S797,INDEX('Resumo Operacional'!$A$1:$P$1103,53,MATCH('Detalhe Por UC'!$R797,'Resumo Operacional'!$A$1:$P$1,0))*$S797)</f>
        <v>124.45219999999999</v>
      </c>
      <c r="AR797" s="71">
        <f t="shared" si="461"/>
        <v>60.547800000000009</v>
      </c>
      <c r="AS797" s="73">
        <f t="shared" si="462"/>
        <v>93.3</v>
      </c>
      <c r="AT797" s="74">
        <f t="shared" si="463"/>
        <v>93.3</v>
      </c>
      <c r="AU797" s="74">
        <f t="shared" si="464"/>
        <v>0.85663786082165538</v>
      </c>
      <c r="AV797" s="74">
        <f t="shared" si="465"/>
        <v>180.43751366681479</v>
      </c>
      <c r="AW797" s="74">
        <f t="shared" si="466"/>
        <v>0</v>
      </c>
      <c r="AX797" s="74">
        <f t="shared" si="467"/>
        <v>233.11166666666668</v>
      </c>
      <c r="AY797" s="74">
        <f t="shared" si="468"/>
        <v>180.44</v>
      </c>
      <c r="AZ797" s="117">
        <v>180.44</v>
      </c>
      <c r="BA797" s="49">
        <v>180.44</v>
      </c>
      <c r="BB797" s="49">
        <v>180.44</v>
      </c>
      <c r="BC797" s="73" t="str">
        <f t="shared" si="469"/>
        <v/>
      </c>
      <c r="BD797" s="73">
        <f t="shared" si="470"/>
        <v>326.41166666666669</v>
      </c>
      <c r="BE797" s="73">
        <f t="shared" si="471"/>
        <v>273.73751366681478</v>
      </c>
      <c r="BF797" s="77">
        <f t="shared" si="472"/>
        <v>52.67</v>
      </c>
      <c r="BG797" s="77">
        <f t="shared" si="473"/>
        <v>15.801</v>
      </c>
      <c r="BH797" s="77">
        <f t="shared" si="474"/>
        <v>233.11166666666668</v>
      </c>
      <c r="BI797" s="78">
        <f t="shared" si="475"/>
        <v>0.23</v>
      </c>
      <c r="BJ797" s="79">
        <f t="shared" si="476"/>
        <v>0.16136065397989247</v>
      </c>
      <c r="BK797" s="80">
        <f t="shared" si="477"/>
        <v>273.74</v>
      </c>
      <c r="BL797" s="80">
        <f t="shared" si="478"/>
        <v>52.671666666666681</v>
      </c>
      <c r="BM797" s="79">
        <f t="shared" si="479"/>
        <v>0.16136576000653574</v>
      </c>
      <c r="BN797" s="81">
        <f t="shared" si="480"/>
        <v>0.78452173913043477</v>
      </c>
      <c r="BO797" s="82">
        <f t="shared" si="481"/>
        <v>180.44</v>
      </c>
      <c r="BP797" s="81">
        <f t="shared" si="482"/>
        <v>0.78452173913043477</v>
      </c>
      <c r="BQ797" s="81">
        <f t="shared" si="483"/>
        <v>0.94141286381602585</v>
      </c>
      <c r="BR797" s="81">
        <f t="shared" si="484"/>
        <v>1.1704201101928375</v>
      </c>
      <c r="BS797" s="82">
        <f t="shared" si="485"/>
        <v>230</v>
      </c>
      <c r="BT797" s="82">
        <f t="shared" si="486"/>
        <v>269.19662534435264</v>
      </c>
      <c r="BU797" s="82">
        <f t="shared" si="487"/>
        <v>233.11166666666668</v>
      </c>
      <c r="BW797" s="82">
        <f>IFERROR(INDEX('Infos Clientes'!$T:$T,MATCH('Detalhe Por UC'!$C797,'Infos Clientes'!B:B,0)),"")</f>
        <v>287.36363636363637</v>
      </c>
      <c r="BX797" s="83">
        <f t="shared" si="488"/>
        <v>0</v>
      </c>
      <c r="BY797" s="84">
        <f t="shared" si="489"/>
        <v>0.1956624329866313</v>
      </c>
      <c r="BZ797" s="85">
        <f>IF(_xlfn.MINIFS('Detalhe Por UC'!R:R,'Detalhe Por UC'!C:C,C797,'Detalhe Por UC'!AD:AD,"&gt;"&amp;0)=0,"",_xlfn.MINIFS('Detalhe Por UC'!R:R,'Detalhe Por UC'!C:C,C797,'Detalhe Por UC'!AD:AD,"&gt;"&amp;0))</f>
        <v>45658</v>
      </c>
      <c r="CA797" s="114">
        <f ca="1">IF(OR(S797&gt;0,AD797&gt;0),IFERROR(
SUMIFS(INDIRECT("'Infos Clientes'!$W"&amp;INDEX('Infos Clientes'!$C:$C,MATCH(C797,'Infos Clientes'!$H:$H,0))&amp;":$CZ"&amp;INDEX('Infos Clientes'!$C:$C,MATCH(C797,'Infos Clientes'!$H:$H,0))),'Infos Clientes'!$W$2:$CZ$2,"&gt;"&amp;$R797-365,'Infos Clientes'!$W$2:$CZ$2,"&lt;="&amp;$R797)/
COUNTIFS(INDIRECT("'Infos Clientes'!$W"&amp;INDEX('Infos Clientes'!$C:$C,MATCH(C797,'Infos Clientes'!$H:$H,0))&amp;":$CZ"&amp;INDEX('Infos Clientes'!$C:$C,MATCH(C797,'Infos Clientes'!$H:$H,0))),"&gt;="&amp;0,'Infos Clientes'!$W$2:$CZ$2,"&gt;"&amp;$R797-365,'Infos Clientes'!$W$2:$CZ$2,"&lt;="&amp;$R797),""),"")</f>
        <v>275</v>
      </c>
      <c r="CB797" s="87">
        <f>VLOOKUP(C797,'Infos Clientes'!B:L,11,0)</f>
        <v>0</v>
      </c>
      <c r="CC797" s="88" t="str">
        <f t="shared" si="490"/>
        <v>A Unidade Consumidora 10/239312-2 economizou R$52,67 na fatura referente à ago/2025  consumindo 230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7" s="115">
        <f t="shared" si="491"/>
        <v>-93.3</v>
      </c>
    </row>
    <row r="798" spans="1:84" ht="16.2" hidden="1" customHeight="1" x14ac:dyDescent="0.3">
      <c r="A798" s="105" t="str">
        <f>INDEX('Infos Clientes'!$D:$D,MATCH('Detalhe Por UC'!C798,'Infos Clientes'!B:B,0))</f>
        <v>IGREJA DO EVANGELHO QUADRANGULAR</v>
      </c>
      <c r="B798" s="106" t="str">
        <f>INDEX('Infos Clientes'!$F:$F,MATCH('Detalhe Por UC'!C798,'Infos Clientes'!B:B,0))</f>
        <v>62.955.505/0001-67</v>
      </c>
      <c r="C798" s="31" t="s">
        <v>142</v>
      </c>
      <c r="D798" t="s">
        <v>351</v>
      </c>
      <c r="E798" s="1" t="s">
        <v>352</v>
      </c>
      <c r="F798" s="56" t="str">
        <f>INDEX('Infos Clientes'!$I:$I,MATCH('Detalhe Por UC'!C798,'Infos Clientes'!B:B,0))</f>
        <v>BT</v>
      </c>
      <c r="G798" s="56" t="str">
        <f>INDEX('Infos Clientes'!$J:$J,MATCH('Detalhe Por UC'!C798,'Infos Clientes'!B:B,0))</f>
        <v>bifasico</v>
      </c>
      <c r="H798" s="47" t="str">
        <f t="shared" si="457"/>
        <v>GIROSSOL III</v>
      </c>
      <c r="I798" s="58">
        <f>IFERROR(VLOOKUP(C798,'Infos Clientes'!B:E,4,),"")</f>
        <v>319</v>
      </c>
      <c r="J798" s="151">
        <v>0.22596103298069697</v>
      </c>
      <c r="K798" s="79">
        <f>INDEX('Resumo Operacional'!$A$1:$P$151,MATCH("Desconto percentual Ucs",'Resumo Operacional'!$B$1:$B$151,0),MATCH('Detalhe Por UC'!$R798,'Resumo Operacional'!$A$1:$P$1,0))</f>
        <v>0.26495232343264008</v>
      </c>
      <c r="M798" s="56"/>
      <c r="N798" s="56"/>
      <c r="O798" s="56"/>
      <c r="P798" s="56"/>
      <c r="Q798" s="61"/>
      <c r="R798" s="111">
        <v>45870</v>
      </c>
      <c r="S798" s="152">
        <v>2.0199999999999999E-2</v>
      </c>
      <c r="T798" s="113" t="str">
        <f>IF($H798="GIROSSOL II",AP798/INDEX('Resumo Operacional'!$A$1:$P$1103,17,MATCH('Detalhe Por UC'!$R798,'Resumo Operacional'!$A$1:$P$1,0)),
IF($H798="GIROSSOL II e III",AP798/INDEX('Resumo Operacional'!$A$1:$P$1103,17,MATCH('Detalhe Por UC'!$R798,'Resumo Operacional'!$A$1:$P$1,0)),
""))</f>
        <v/>
      </c>
      <c r="U798" s="113">
        <f>IF($H798="GIROSSOL III",AP798/INDEX('Resumo Operacional'!$A$1:$P$1103,53,MATCH('Detalhe Por UC'!$R798,'Resumo Operacional'!$A$1:$P$1,0)),
IF($H798="GIROSSOL II e III",AP798/INDEX('Resumo Operacional'!$A$1:$P$1103,53,MATCH('Detalhe Por UC'!$R798,'Resumo Operacional'!$A$1:$P$1,0)),
""))</f>
        <v>3.0027592923226747E-2</v>
      </c>
      <c r="X798">
        <v>1.1495890410958904</v>
      </c>
      <c r="Z798" s="18">
        <v>0.99268041237113425</v>
      </c>
      <c r="AB798" s="18">
        <v>292</v>
      </c>
      <c r="AD798" s="143">
        <v>291</v>
      </c>
      <c r="AF798" s="18">
        <v>1</v>
      </c>
      <c r="AH798" s="49">
        <v>15.810000000000002</v>
      </c>
      <c r="AK798" s="153">
        <v>62.62</v>
      </c>
      <c r="AL798" s="43">
        <f t="shared" si="492"/>
        <v>0</v>
      </c>
      <c r="AN798" s="71">
        <f t="shared" si="458"/>
        <v>-106</v>
      </c>
      <c r="AO798" s="71">
        <f t="shared" si="459"/>
        <v>0</v>
      </c>
      <c r="AP798" s="71">
        <f t="shared" si="460"/>
        <v>185</v>
      </c>
      <c r="AQ798" s="72">
        <f>IF(OR($H798="GIROSSOL II",$H798="GIROSSOL II e III"),INDEX('Resumo Operacional'!$A$1:$P$1103,MATCH("Energia Injetada prevista total Fatura da Usina (TUSD)",'Resumo Operacional'!$B$1:$B$1103,0),MATCH('Detalhe Por UC'!$R798,'Resumo Operacional'!$A$1:$P$1,0))*$S798,INDEX('Resumo Operacional'!$A$1:$P$1103,53,MATCH('Detalhe Por UC'!$R798,'Resumo Operacional'!$A$1:$P$1,0))*$S798)</f>
        <v>124.45219999999999</v>
      </c>
      <c r="AR798" s="71">
        <f t="shared" si="461"/>
        <v>60.547800000000009</v>
      </c>
      <c r="AS798" s="73">
        <f t="shared" si="462"/>
        <v>62.619999999999948</v>
      </c>
      <c r="AT798" s="74">
        <f t="shared" si="463"/>
        <v>62.619999999999948</v>
      </c>
      <c r="AU798" s="74">
        <f t="shared" si="464"/>
        <v>0.83577178364637805</v>
      </c>
      <c r="AV798" s="74">
        <f t="shared" si="465"/>
        <v>223.59663640286612</v>
      </c>
      <c r="AW798" s="74">
        <f t="shared" si="466"/>
        <v>0</v>
      </c>
      <c r="AX798" s="74">
        <f t="shared" si="467"/>
        <v>288.87000000000006</v>
      </c>
      <c r="AY798" s="74">
        <f t="shared" si="468"/>
        <v>223.6</v>
      </c>
      <c r="AZ798" s="117">
        <v>223.6</v>
      </c>
      <c r="BA798" s="49">
        <v>223.6</v>
      </c>
      <c r="BC798" s="73" t="str">
        <f t="shared" si="469"/>
        <v/>
      </c>
      <c r="BD798" s="73">
        <f t="shared" si="470"/>
        <v>351.49</v>
      </c>
      <c r="BE798" s="73">
        <f t="shared" si="471"/>
        <v>286.21663640286607</v>
      </c>
      <c r="BF798" s="77">
        <f t="shared" si="472"/>
        <v>65.27</v>
      </c>
      <c r="BG798" s="77">
        <f t="shared" si="473"/>
        <v>19.581</v>
      </c>
      <c r="BH798" s="77">
        <f t="shared" si="474"/>
        <v>288.87000000000006</v>
      </c>
      <c r="BI798" s="78">
        <f t="shared" si="475"/>
        <v>0.23</v>
      </c>
      <c r="BJ798" s="79">
        <f t="shared" si="476"/>
        <v>0.18569518336225779</v>
      </c>
      <c r="BK798" s="80">
        <f t="shared" si="477"/>
        <v>286.21999999999991</v>
      </c>
      <c r="BL798" s="80">
        <f t="shared" si="478"/>
        <v>65.270000000000095</v>
      </c>
      <c r="BM798" s="79">
        <f t="shared" si="479"/>
        <v>0.18569518336225807</v>
      </c>
      <c r="BN798" s="81">
        <f t="shared" si="480"/>
        <v>0.76838487972508585</v>
      </c>
      <c r="BO798" s="82">
        <f t="shared" si="481"/>
        <v>223.6</v>
      </c>
      <c r="BP798" s="81">
        <f t="shared" si="482"/>
        <v>0.76838487972508585</v>
      </c>
      <c r="BQ798" s="81">
        <f t="shared" si="483"/>
        <v>0.92529350844984204</v>
      </c>
      <c r="BR798" s="81">
        <f t="shared" si="484"/>
        <v>1.1495890410958904</v>
      </c>
      <c r="BS798" s="82">
        <f t="shared" si="485"/>
        <v>291</v>
      </c>
      <c r="BT798" s="82">
        <f t="shared" si="486"/>
        <v>334.5304109589041</v>
      </c>
      <c r="BU798" s="82">
        <f t="shared" si="487"/>
        <v>288.87000000000006</v>
      </c>
      <c r="BW798" s="82">
        <f>IFERROR(INDEX('Infos Clientes'!$T:$T,MATCH('Detalhe Por UC'!$C798,'Infos Clientes'!B:B,0)),"")</f>
        <v>244.81818181818181</v>
      </c>
      <c r="BX798" s="83">
        <f t="shared" si="488"/>
        <v>0</v>
      </c>
      <c r="BY798" s="84">
        <f t="shared" si="489"/>
        <v>0.19510931700621464</v>
      </c>
      <c r="BZ798" s="85">
        <f>IF(_xlfn.MINIFS('Detalhe Por UC'!R:R,'Detalhe Por UC'!C:C,C798,'Detalhe Por UC'!AD:AD,"&gt;"&amp;0)=0,"",_xlfn.MINIFS('Detalhe Por UC'!R:R,'Detalhe Por UC'!C:C,C798,'Detalhe Por UC'!AD:AD,"&gt;"&amp;0))</f>
        <v>45658</v>
      </c>
      <c r="CA798" s="114">
        <f ca="1">IF(OR(S798&gt;0,AD798&gt;0),IFERROR(
SUMIFS(INDIRECT("'Infos Clientes'!$W"&amp;INDEX('Infos Clientes'!$C:$C,MATCH(C798,'Infos Clientes'!$H:$H,0))&amp;":$CZ"&amp;INDEX('Infos Clientes'!$C:$C,MATCH(C798,'Infos Clientes'!$H:$H,0))),'Infos Clientes'!$W$2:$CZ$2,"&gt;"&amp;$R798-365,'Infos Clientes'!$W$2:$CZ$2,"&lt;="&amp;$R798)/
COUNTIFS(INDIRECT("'Infos Clientes'!$W"&amp;INDEX('Infos Clientes'!$C:$C,MATCH(C798,'Infos Clientes'!$H:$H,0))&amp;":$CZ"&amp;INDEX('Infos Clientes'!$C:$C,MATCH(C798,'Infos Clientes'!$H:$H,0))),"&gt;="&amp;0,'Infos Clientes'!$W$2:$CZ$2,"&gt;"&amp;$R798-365,'Infos Clientes'!$W$2:$CZ$2,"&lt;="&amp;$R798),""),"")</f>
        <v>293.41666666666669</v>
      </c>
      <c r="CB798" s="87">
        <f>VLOOKUP(C798,'Infos Clientes'!B:L,11,0)</f>
        <v>0</v>
      </c>
      <c r="CC798" s="88" t="str">
        <f t="shared" si="490"/>
        <v>A Unidade Consumidora 10/109074-5 economizou R$65,27 na fatura referente à ago/2025  consumindo 291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8" s="115">
        <f t="shared" si="491"/>
        <v>-62.619999999999948</v>
      </c>
    </row>
    <row r="799" spans="1:84" ht="16.2" hidden="1" customHeight="1" x14ac:dyDescent="0.3">
      <c r="A799" s="105" t="str">
        <f>INDEX('Infos Clientes'!$D:$D,MATCH('Detalhe Por UC'!C799,'Infos Clientes'!B:B,0))</f>
        <v>IGREJA DO EVANGELHO QUADRANGULAR</v>
      </c>
      <c r="B799" s="106" t="str">
        <f>INDEX('Infos Clientes'!$F:$F,MATCH('Detalhe Por UC'!C799,'Infos Clientes'!B:B,0))</f>
        <v>62.955.505/0408-94</v>
      </c>
      <c r="C799" s="31" t="s">
        <v>144</v>
      </c>
      <c r="D799" t="s">
        <v>351</v>
      </c>
      <c r="E799" s="1" t="s">
        <v>352</v>
      </c>
      <c r="F799" s="56" t="str">
        <f>INDEX('Infos Clientes'!$I:$I,MATCH('Detalhe Por UC'!C799,'Infos Clientes'!B:B,0))</f>
        <v>BT</v>
      </c>
      <c r="G799" s="56" t="str">
        <f>INDEX('Infos Clientes'!$J:$J,MATCH('Detalhe Por UC'!C799,'Infos Clientes'!B:B,0))</f>
        <v>bifasico</v>
      </c>
      <c r="H799" s="47" t="str">
        <f t="shared" si="457"/>
        <v>GIROSSOL III</v>
      </c>
      <c r="I799" s="58">
        <f>IFERROR(VLOOKUP(C799,'Infos Clientes'!B:E,4,),"")</f>
        <v>371</v>
      </c>
      <c r="J799" s="151">
        <v>0.22596103298069697</v>
      </c>
      <c r="K799" s="79">
        <f>INDEX('Resumo Operacional'!$A$1:$P$151,MATCH("Desconto percentual Ucs",'Resumo Operacional'!$B$1:$B$151,0),MATCH('Detalhe Por UC'!$R799,'Resumo Operacional'!$A$1:$P$1,0))</f>
        <v>0.26495232343264008</v>
      </c>
      <c r="M799" s="56"/>
      <c r="N799" s="56"/>
      <c r="O799" s="56"/>
      <c r="P799" s="56"/>
      <c r="Q799" s="61"/>
      <c r="R799" s="111">
        <v>45870</v>
      </c>
      <c r="S799" s="152">
        <v>2.0199999999999999E-2</v>
      </c>
      <c r="T799" s="113" t="str">
        <f>IF($H799="GIROSSOL II",AP799/INDEX('Resumo Operacional'!$A$1:$P$1103,17,MATCH('Detalhe Por UC'!$R799,'Resumo Operacional'!$A$1:$P$1,0)),
IF($H799="GIROSSOL II e III",AP799/INDEX('Resumo Operacional'!$A$1:$P$1103,17,MATCH('Detalhe Por UC'!$R799,'Resumo Operacional'!$A$1:$P$1,0)),
""))</f>
        <v/>
      </c>
      <c r="U799" s="113">
        <f>IF($H799="GIROSSOL III",AP799/INDEX('Resumo Operacional'!$A$1:$P$1103,53,MATCH('Detalhe Por UC'!$R799,'Resumo Operacional'!$A$1:$P$1,0)),
IF($H799="GIROSSOL II e III",AP799/INDEX('Resumo Operacional'!$A$1:$P$1103,53,MATCH('Detalhe Por UC'!$R799,'Resumo Operacional'!$A$1:$P$1,0)),
""))</f>
        <v>4.6258724233079043E-2</v>
      </c>
      <c r="X799">
        <v>1.1905677419354839</v>
      </c>
      <c r="Z799" s="18">
        <v>1.0336568175657359</v>
      </c>
      <c r="AB799" s="18">
        <v>150</v>
      </c>
      <c r="AD799" s="143">
        <v>119</v>
      </c>
      <c r="AF799" s="18">
        <v>456</v>
      </c>
      <c r="AH799" s="49">
        <v>0</v>
      </c>
      <c r="AK799" s="153">
        <v>55.58</v>
      </c>
      <c r="AL799" s="43">
        <f t="shared" si="492"/>
        <v>0</v>
      </c>
      <c r="AN799" s="71">
        <f t="shared" si="458"/>
        <v>166</v>
      </c>
      <c r="AO799" s="71">
        <f t="shared" si="459"/>
        <v>0</v>
      </c>
      <c r="AP799" s="71">
        <f t="shared" si="460"/>
        <v>285</v>
      </c>
      <c r="AQ799" s="72">
        <f>IF(OR($H799="GIROSSOL II",$H799="GIROSSOL II e III"),INDEX('Resumo Operacional'!$A$1:$P$1103,MATCH("Energia Injetada prevista total Fatura da Usina (TUSD)",'Resumo Operacional'!$B$1:$B$1103,0),MATCH('Detalhe Por UC'!$R799,'Resumo Operacional'!$A$1:$P$1,0))*$S799,INDEX('Resumo Operacional'!$A$1:$P$1103,53,MATCH('Detalhe Por UC'!$R799,'Resumo Operacional'!$A$1:$P$1,0))*$S799)</f>
        <v>124.45219999999999</v>
      </c>
      <c r="AR799" s="71">
        <f t="shared" si="461"/>
        <v>160.5478</v>
      </c>
      <c r="AS799" s="73">
        <f t="shared" si="462"/>
        <v>55.580000000000013</v>
      </c>
      <c r="AT799" s="74">
        <f t="shared" si="463"/>
        <v>55.580000000000013</v>
      </c>
      <c r="AU799" s="74">
        <f t="shared" si="464"/>
        <v>0.87674589319598795</v>
      </c>
      <c r="AV799" s="74">
        <f t="shared" si="465"/>
        <v>95.210787983204042</v>
      </c>
      <c r="AW799" s="74">
        <f t="shared" si="466"/>
        <v>0</v>
      </c>
      <c r="AX799" s="74">
        <f t="shared" si="467"/>
        <v>123.00516129032258</v>
      </c>
      <c r="AY799" s="74">
        <f t="shared" si="468"/>
        <v>95.21</v>
      </c>
      <c r="AZ799" s="117">
        <v>95.21</v>
      </c>
      <c r="BA799" s="49">
        <v>95.21</v>
      </c>
      <c r="BB799" s="49">
        <v>95.21</v>
      </c>
      <c r="BC799" s="73" t="str">
        <f t="shared" si="469"/>
        <v/>
      </c>
      <c r="BD799" s="73">
        <f t="shared" si="470"/>
        <v>178.58516129032259</v>
      </c>
      <c r="BE799" s="73">
        <f t="shared" si="471"/>
        <v>150.79078798320404</v>
      </c>
      <c r="BF799" s="77">
        <f t="shared" si="472"/>
        <v>27.79</v>
      </c>
      <c r="BG799" s="77">
        <f t="shared" si="473"/>
        <v>8.3369999999999997</v>
      </c>
      <c r="BH799" s="77">
        <f t="shared" si="474"/>
        <v>123.00516129032258</v>
      </c>
      <c r="BI799" s="78">
        <f t="shared" si="475"/>
        <v>0.23</v>
      </c>
      <c r="BJ799" s="79">
        <f t="shared" si="476"/>
        <v>0.15561203293269316</v>
      </c>
      <c r="BK799" s="80">
        <f t="shared" si="477"/>
        <v>150.79000000000002</v>
      </c>
      <c r="BL799" s="80">
        <f t="shared" si="478"/>
        <v>27.795161290322568</v>
      </c>
      <c r="BM799" s="79">
        <f t="shared" si="479"/>
        <v>0.15564093393591918</v>
      </c>
      <c r="BN799" s="81">
        <f t="shared" si="480"/>
        <v>0.80008403361344538</v>
      </c>
      <c r="BO799" s="82">
        <f t="shared" si="481"/>
        <v>95.21</v>
      </c>
      <c r="BP799" s="81">
        <f t="shared" si="482"/>
        <v>0.80008403361344538</v>
      </c>
      <c r="BQ799" s="81">
        <f t="shared" si="483"/>
        <v>0.95699495798319334</v>
      </c>
      <c r="BR799" s="81">
        <f t="shared" si="484"/>
        <v>1.1905677419354839</v>
      </c>
      <c r="BS799" s="82">
        <f t="shared" si="485"/>
        <v>119</v>
      </c>
      <c r="BT799" s="82">
        <f t="shared" si="486"/>
        <v>141.67756129032259</v>
      </c>
      <c r="BU799" s="82">
        <f t="shared" si="487"/>
        <v>123.00516129032258</v>
      </c>
      <c r="BW799" s="82">
        <f>IFERROR(INDEX('Infos Clientes'!$T:$T,MATCH('Detalhe Por UC'!$C799,'Infos Clientes'!B:B,0)),"")</f>
        <v>238.54545454545453</v>
      </c>
      <c r="BX799" s="83">
        <f t="shared" si="488"/>
        <v>0</v>
      </c>
      <c r="BY799" s="84">
        <f t="shared" si="489"/>
        <v>0.19618605117973009</v>
      </c>
      <c r="BZ799" s="85">
        <f>IF(_xlfn.MINIFS('Detalhe Por UC'!R:R,'Detalhe Por UC'!C:C,C799,'Detalhe Por UC'!AD:AD,"&gt;"&amp;0)=0,"",_xlfn.MINIFS('Detalhe Por UC'!R:R,'Detalhe Por UC'!C:C,C799,'Detalhe Por UC'!AD:AD,"&gt;"&amp;0))</f>
        <v>45658</v>
      </c>
      <c r="CA799" s="114">
        <f ca="1">IF(OR(S799&gt;0,AD799&gt;0),IFERROR(
SUMIFS(INDIRECT("'Infos Clientes'!$W"&amp;INDEX('Infos Clientes'!$C:$C,MATCH(C799,'Infos Clientes'!$H:$H,0))&amp;":$CZ"&amp;INDEX('Infos Clientes'!$C:$C,MATCH(C799,'Infos Clientes'!$H:$H,0))),'Infos Clientes'!$W$2:$CZ$2,"&gt;"&amp;$R799-365,'Infos Clientes'!$W$2:$CZ$2,"&lt;="&amp;$R799)/
COUNTIFS(INDIRECT("'Infos Clientes'!$W"&amp;INDEX('Infos Clientes'!$C:$C,MATCH(C799,'Infos Clientes'!$H:$H,0))&amp;":$CZ"&amp;INDEX('Infos Clientes'!$C:$C,MATCH(C799,'Infos Clientes'!$H:$H,0))),"&gt;="&amp;0,'Infos Clientes'!$W$2:$CZ$2,"&gt;"&amp;$R799-365,'Infos Clientes'!$W$2:$CZ$2,"&lt;="&amp;$R799),""),"")</f>
        <v>226.75</v>
      </c>
      <c r="CB799" s="87">
        <f>VLOOKUP(C799,'Infos Clientes'!B:L,11,0)</f>
        <v>0</v>
      </c>
      <c r="CC799" s="88" t="str">
        <f t="shared" si="490"/>
        <v>A Unidade Consumidora 10/1130988-7 economizou R$27,79 na fatura referente à ago/2025  consumindo 119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799" s="115">
        <f t="shared" si="491"/>
        <v>-55.580000000000013</v>
      </c>
    </row>
    <row r="800" spans="1:84" ht="16.2" hidden="1" customHeight="1" x14ac:dyDescent="0.3">
      <c r="A800" s="105" t="str">
        <f>INDEX('Infos Clientes'!$D:$D,MATCH('Detalhe Por UC'!C800,'Infos Clientes'!B:B,0))</f>
        <v>IGREJA DO EVANGELHO QUADRANGULAR</v>
      </c>
      <c r="B800" s="106" t="str">
        <f>INDEX('Infos Clientes'!$F:$F,MATCH('Detalhe Por UC'!C800,'Infos Clientes'!B:B,0))</f>
        <v>62.955.505/0168-37</v>
      </c>
      <c r="C800" s="31" t="s">
        <v>228</v>
      </c>
      <c r="D800" t="s">
        <v>351</v>
      </c>
      <c r="E800" s="1" t="s">
        <v>352</v>
      </c>
      <c r="F800" s="56" t="str">
        <f>INDEX('Infos Clientes'!$I:$I,MATCH('Detalhe Por UC'!C800,'Infos Clientes'!B:B,0))</f>
        <v>BT</v>
      </c>
      <c r="G800" s="56" t="str">
        <f>INDEX('Infos Clientes'!$J:$J,MATCH('Detalhe Por UC'!C800,'Infos Clientes'!B:B,0))</f>
        <v>trifasico</v>
      </c>
      <c r="H800" s="47" t="str">
        <f t="shared" si="457"/>
        <v>GIROSSOL III</v>
      </c>
      <c r="I800" s="58">
        <f>IFERROR(VLOOKUP(C800,'Infos Clientes'!B:E,4,),"")</f>
        <v>302</v>
      </c>
      <c r="J800" s="151">
        <v>0.22596103298069697</v>
      </c>
      <c r="K800" s="79">
        <f>INDEX('Resumo Operacional'!$A$1:$P$151,MATCH("Desconto percentual Ucs",'Resumo Operacional'!$B$1:$B$151,0),MATCH('Detalhe Por UC'!$R800,'Resumo Operacional'!$A$1:$P$1,0))</f>
        <v>0.26495232343264008</v>
      </c>
      <c r="M800" s="56"/>
      <c r="N800" s="56"/>
      <c r="O800" s="56"/>
      <c r="P800" s="56"/>
      <c r="Q800" s="61"/>
      <c r="R800" s="111">
        <v>45870</v>
      </c>
      <c r="S800" s="152">
        <v>2.0199999999999999E-2</v>
      </c>
      <c r="T800" s="113" t="str">
        <f>IF($H800="GIROSSOL II",AP800/INDEX('Resumo Operacional'!$A$1:$P$1103,17,MATCH('Detalhe Por UC'!$R800,'Resumo Operacional'!$A$1:$P$1,0)),
IF($H800="GIROSSOL II e III",AP800/INDEX('Resumo Operacional'!$A$1:$P$1103,17,MATCH('Detalhe Por UC'!$R800,'Resumo Operacional'!$A$1:$P$1,0)),
""))</f>
        <v/>
      </c>
      <c r="U800" s="113">
        <f>IF($H800="GIROSSOL III",AP800/INDEX('Resumo Operacional'!$A$1:$P$1103,53,MATCH('Detalhe Por UC'!$R800,'Resumo Operacional'!$A$1:$P$1,0)),
IF($H800="GIROSSOL II e III",AP800/INDEX('Resumo Operacional'!$A$1:$P$1103,53,MATCH('Detalhe Por UC'!$R800,'Resumo Operacional'!$A$1:$P$1,0)),
""))</f>
        <v>3.0027592923226747E-2</v>
      </c>
      <c r="X800">
        <v>1.1702795031055901</v>
      </c>
      <c r="Z800" s="18">
        <v>1.0134142857142856</v>
      </c>
      <c r="AB800" s="18">
        <v>184</v>
      </c>
      <c r="AD800" s="143">
        <v>100</v>
      </c>
      <c r="AF800" s="18">
        <v>345</v>
      </c>
      <c r="AH800" s="49">
        <v>24.85</v>
      </c>
      <c r="AK800" s="153">
        <v>138.84</v>
      </c>
      <c r="AL800" s="43">
        <f t="shared" si="492"/>
        <v>0</v>
      </c>
      <c r="AN800" s="71">
        <f t="shared" si="458"/>
        <v>85</v>
      </c>
      <c r="AO800" s="71">
        <f t="shared" si="459"/>
        <v>0</v>
      </c>
      <c r="AP800" s="71">
        <f t="shared" si="460"/>
        <v>185</v>
      </c>
      <c r="AQ800" s="72">
        <f>IF(OR($H800="GIROSSOL II",$H800="GIROSSOL II e III"),INDEX('Resumo Operacional'!$A$1:$P$1103,MATCH("Energia Injetada prevista total Fatura da Usina (TUSD)",'Resumo Operacional'!$B$1:$B$1103,0),MATCH('Detalhe Por UC'!$R800,'Resumo Operacional'!$A$1:$P$1,0))*$S800,INDEX('Resumo Operacional'!$A$1:$P$1103,53,MATCH('Detalhe Por UC'!$R800,'Resumo Operacional'!$A$1:$P$1,0))*$S800)</f>
        <v>124.45219999999999</v>
      </c>
      <c r="AR800" s="71">
        <f t="shared" si="461"/>
        <v>60.547800000000009</v>
      </c>
      <c r="AS800" s="73">
        <f t="shared" si="462"/>
        <v>138.84</v>
      </c>
      <c r="AT800" s="74">
        <f t="shared" si="463"/>
        <v>138.84</v>
      </c>
      <c r="AU800" s="74">
        <f t="shared" si="464"/>
        <v>0.85654906832298106</v>
      </c>
      <c r="AV800" s="74">
        <f t="shared" si="465"/>
        <v>78.442214687689045</v>
      </c>
      <c r="AW800" s="74">
        <f t="shared" si="466"/>
        <v>0</v>
      </c>
      <c r="AX800" s="74">
        <f t="shared" si="467"/>
        <v>101.34142857142857</v>
      </c>
      <c r="AY800" s="74">
        <f t="shared" si="468"/>
        <v>78.44</v>
      </c>
      <c r="AZ800" s="117">
        <v>78.44</v>
      </c>
      <c r="BA800" s="49">
        <v>78.44</v>
      </c>
      <c r="BB800" s="49">
        <v>78.44</v>
      </c>
      <c r="BC800" s="73" t="str">
        <f t="shared" si="469"/>
        <v/>
      </c>
      <c r="BD800" s="73">
        <f t="shared" si="470"/>
        <v>240.18142857142857</v>
      </c>
      <c r="BE800" s="73">
        <f t="shared" si="471"/>
        <v>217.28221468768905</v>
      </c>
      <c r="BF800" s="77">
        <f t="shared" si="472"/>
        <v>22.9</v>
      </c>
      <c r="BG800" s="77">
        <f t="shared" si="473"/>
        <v>6.8699999999999992</v>
      </c>
      <c r="BH800" s="77">
        <f t="shared" si="474"/>
        <v>101.34142857142857</v>
      </c>
      <c r="BI800" s="78">
        <f t="shared" si="475"/>
        <v>0.23</v>
      </c>
      <c r="BJ800" s="79">
        <f t="shared" si="476"/>
        <v>9.5344590696318843E-2</v>
      </c>
      <c r="BK800" s="80">
        <f t="shared" si="477"/>
        <v>217.28</v>
      </c>
      <c r="BL800" s="80">
        <f t="shared" si="478"/>
        <v>22.901428571428568</v>
      </c>
      <c r="BM800" s="79">
        <f t="shared" si="479"/>
        <v>9.5350538580953673E-2</v>
      </c>
      <c r="BN800" s="81">
        <f t="shared" si="480"/>
        <v>0.78439999999999999</v>
      </c>
      <c r="BO800" s="82">
        <f t="shared" si="481"/>
        <v>78.44</v>
      </c>
      <c r="BP800" s="81">
        <f t="shared" si="482"/>
        <v>0.78439999999999999</v>
      </c>
      <c r="BQ800" s="81">
        <f t="shared" si="483"/>
        <v>0.94126521739130453</v>
      </c>
      <c r="BR800" s="81">
        <f t="shared" si="484"/>
        <v>1.1702795031055901</v>
      </c>
      <c r="BS800" s="82">
        <f t="shared" si="485"/>
        <v>100</v>
      </c>
      <c r="BT800" s="82">
        <f t="shared" si="486"/>
        <v>117.02795031055902</v>
      </c>
      <c r="BU800" s="82">
        <f t="shared" si="487"/>
        <v>101.34142857142857</v>
      </c>
      <c r="BW800" s="82">
        <f>IFERROR(INDEX('Infos Clientes'!$T:$T,MATCH('Detalhe Por UC'!$C800,'Infos Clientes'!B:B,0)),"")</f>
        <v>286.18181818181819</v>
      </c>
      <c r="BX800" s="83">
        <f t="shared" si="488"/>
        <v>0</v>
      </c>
      <c r="BY800" s="84">
        <f t="shared" si="489"/>
        <v>0.19569195658519747</v>
      </c>
      <c r="BZ800" s="85">
        <f>IF(_xlfn.MINIFS('Detalhe Por UC'!R:R,'Detalhe Por UC'!C:C,C800,'Detalhe Por UC'!AD:AD,"&gt;"&amp;0)=0,"",_xlfn.MINIFS('Detalhe Por UC'!R:R,'Detalhe Por UC'!C:C,C800,'Detalhe Por UC'!AD:AD,"&gt;"&amp;0))</f>
        <v>45658</v>
      </c>
      <c r="CA800" s="114">
        <f ca="1">IF(OR(S800&gt;0,AD800&gt;0),IFERROR(
SUMIFS(INDIRECT("'Infos Clientes'!$W"&amp;INDEX('Infos Clientes'!$C:$C,MATCH(C800,'Infos Clientes'!$H:$H,0))&amp;":$CZ"&amp;INDEX('Infos Clientes'!$C:$C,MATCH(C800,'Infos Clientes'!$H:$H,0))),'Infos Clientes'!$W$2:$CZ$2,"&gt;"&amp;$R800-365,'Infos Clientes'!$W$2:$CZ$2,"&lt;="&amp;$R800)/
COUNTIFS(INDIRECT("'Infos Clientes'!$W"&amp;INDEX('Infos Clientes'!$C:$C,MATCH(C800,'Infos Clientes'!$H:$H,0))&amp;":$CZ"&amp;INDEX('Infos Clientes'!$C:$C,MATCH(C800,'Infos Clientes'!$H:$H,0))),"&gt;="&amp;0,'Infos Clientes'!$W$2:$CZ$2,"&gt;"&amp;$R800-365,'Infos Clientes'!$W$2:$CZ$2,"&lt;="&amp;$R800),""),"")</f>
        <v>313</v>
      </c>
      <c r="CB800" s="87">
        <f>VLOOKUP(C800,'Infos Clientes'!B:L,11,0)</f>
        <v>0</v>
      </c>
      <c r="CC800" s="88" t="str">
        <f t="shared" si="490"/>
        <v>A Unidade Consumidora 10/78338-1 economizou R$22,9 na fatura referente à ago/2025  consumindo 100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0" s="115">
        <f t="shared" si="491"/>
        <v>-138.84</v>
      </c>
    </row>
    <row r="801" spans="1:84" ht="16.2" hidden="1" customHeight="1" x14ac:dyDescent="0.3">
      <c r="A801" s="105" t="str">
        <f>INDEX('Infos Clientes'!$D:$D,MATCH('Detalhe Por UC'!C801,'Infos Clientes'!B:B,0))</f>
        <v>IGREJA DO EVANGELHO QUADRANGULAR</v>
      </c>
      <c r="B801" s="106" t="str">
        <f>INDEX('Infos Clientes'!$F:$F,MATCH('Detalhe Por UC'!C801,'Infos Clientes'!B:B,0))</f>
        <v>62.955.505/0154-31</v>
      </c>
      <c r="C801" s="31" t="s">
        <v>183</v>
      </c>
      <c r="D801" t="s">
        <v>351</v>
      </c>
      <c r="E801" s="1" t="s">
        <v>352</v>
      </c>
      <c r="F801" s="56" t="str">
        <f>INDEX('Infos Clientes'!$I:$I,MATCH('Detalhe Por UC'!C801,'Infos Clientes'!B:B,0))</f>
        <v>BT</v>
      </c>
      <c r="G801" s="56" t="str">
        <f>INDEX('Infos Clientes'!$J:$J,MATCH('Detalhe Por UC'!C801,'Infos Clientes'!B:B,0))</f>
        <v>bifasico</v>
      </c>
      <c r="H801" s="47" t="str">
        <f t="shared" si="457"/>
        <v>GIROSSOL III</v>
      </c>
      <c r="I801" s="58">
        <f>IFERROR(VLOOKUP(C801,'Infos Clientes'!B:E,4,),"")</f>
        <v>319</v>
      </c>
      <c r="J801" s="151">
        <v>0.22596103298069697</v>
      </c>
      <c r="K801" s="79">
        <f>INDEX('Resumo Operacional'!$A$1:$P$151,MATCH("Desconto percentual Ucs",'Resumo Operacional'!$B$1:$B$151,0),MATCH('Detalhe Por UC'!$R801,'Resumo Operacional'!$A$1:$P$1,0))</f>
        <v>0.26495232343264008</v>
      </c>
      <c r="M801" s="56"/>
      <c r="N801" s="56"/>
      <c r="O801" s="56"/>
      <c r="P801" s="56"/>
      <c r="Q801" s="61"/>
      <c r="R801" s="111">
        <v>45870</v>
      </c>
      <c r="S801" s="152">
        <v>2.0199999999999999E-2</v>
      </c>
      <c r="T801" s="113" t="str">
        <f>IF($H801="GIROSSOL II",AP801/INDEX('Resumo Operacional'!$A$1:$P$1103,17,MATCH('Detalhe Por UC'!$R801,'Resumo Operacional'!$A$1:$P$1,0)),
IF($H801="GIROSSOL II e III",AP801/INDEX('Resumo Operacional'!$A$1:$P$1103,17,MATCH('Detalhe Por UC'!$R801,'Resumo Operacional'!$A$1:$P$1,0)),
""))</f>
        <v/>
      </c>
      <c r="U801" s="113">
        <f>IF($H801="GIROSSOL III",AP801/INDEX('Resumo Operacional'!$A$1:$P$1103,53,MATCH('Detalhe Por UC'!$R801,'Resumo Operacional'!$A$1:$P$1,0)),
IF($H801="GIROSSOL II e III",AP801/INDEX('Resumo Operacional'!$A$1:$P$1103,53,MATCH('Detalhe Por UC'!$R801,'Resumo Operacional'!$A$1:$P$1,0)),
""))</f>
        <v>5.1290374939133257E-2</v>
      </c>
      <c r="X801">
        <v>1.1895804195804198</v>
      </c>
      <c r="Z801" s="18">
        <v>1.0326595744680853</v>
      </c>
      <c r="AB801" s="18">
        <v>286</v>
      </c>
      <c r="AD801" s="143">
        <v>282</v>
      </c>
      <c r="AF801" s="18">
        <v>153</v>
      </c>
      <c r="AH801" s="49">
        <v>20.420000000000002</v>
      </c>
      <c r="AK801" s="153">
        <v>69.430000000000007</v>
      </c>
      <c r="AL801" s="43">
        <f t="shared" si="492"/>
        <v>0</v>
      </c>
      <c r="AN801" s="71">
        <f t="shared" si="458"/>
        <v>34</v>
      </c>
      <c r="AO801" s="71">
        <f t="shared" si="459"/>
        <v>0</v>
      </c>
      <c r="AP801" s="71">
        <f t="shared" si="460"/>
        <v>316</v>
      </c>
      <c r="AQ801" s="72">
        <f>IF(OR($H801="GIROSSOL II",$H801="GIROSSOL II e III"),INDEX('Resumo Operacional'!$A$1:$P$1103,MATCH("Energia Injetada prevista total Fatura da Usina (TUSD)",'Resumo Operacional'!$B$1:$B$1103,0),MATCH('Detalhe Por UC'!$R801,'Resumo Operacional'!$A$1:$P$1,0))*$S801,INDEX('Resumo Operacional'!$A$1:$P$1103,53,MATCH('Detalhe Por UC'!$R801,'Resumo Operacional'!$A$1:$P$1,0))*$S801)</f>
        <v>124.45219999999999</v>
      </c>
      <c r="AR801" s="71">
        <f t="shared" si="461"/>
        <v>191.5478</v>
      </c>
      <c r="AS801" s="73">
        <f t="shared" si="462"/>
        <v>69.430000000000049</v>
      </c>
      <c r="AT801" s="74">
        <f t="shared" si="463"/>
        <v>69.430000000000049</v>
      </c>
      <c r="AU801" s="74">
        <f t="shared" si="464"/>
        <v>0.87573872935575081</v>
      </c>
      <c r="AV801" s="74">
        <f t="shared" si="465"/>
        <v>225.4078875856913</v>
      </c>
      <c r="AW801" s="74">
        <f t="shared" si="466"/>
        <v>0</v>
      </c>
      <c r="AX801" s="74">
        <f t="shared" si="467"/>
        <v>291.21000000000004</v>
      </c>
      <c r="AY801" s="74">
        <f t="shared" si="468"/>
        <v>225.41</v>
      </c>
      <c r="AZ801" s="117">
        <v>225.41</v>
      </c>
      <c r="BA801" s="49">
        <v>225.41</v>
      </c>
      <c r="BB801" s="49">
        <v>225.41</v>
      </c>
      <c r="BC801" s="73" t="str">
        <f t="shared" si="469"/>
        <v/>
      </c>
      <c r="BD801" s="73">
        <f t="shared" si="470"/>
        <v>360.6400000000001</v>
      </c>
      <c r="BE801" s="73">
        <f t="shared" si="471"/>
        <v>294.83788758569136</v>
      </c>
      <c r="BF801" s="77">
        <f t="shared" si="472"/>
        <v>65.8</v>
      </c>
      <c r="BG801" s="77">
        <f t="shared" si="473"/>
        <v>19.739999999999998</v>
      </c>
      <c r="BH801" s="77">
        <f t="shared" si="474"/>
        <v>291.21000000000004</v>
      </c>
      <c r="BI801" s="78">
        <f t="shared" si="475"/>
        <v>0.23</v>
      </c>
      <c r="BJ801" s="79">
        <f t="shared" si="476"/>
        <v>0.18245341614906826</v>
      </c>
      <c r="BK801" s="80">
        <f t="shared" si="477"/>
        <v>294.84000000000003</v>
      </c>
      <c r="BL801" s="80">
        <f t="shared" si="478"/>
        <v>65.800000000000068</v>
      </c>
      <c r="BM801" s="79">
        <f t="shared" si="479"/>
        <v>0.18245341614906846</v>
      </c>
      <c r="BN801" s="81">
        <f t="shared" si="480"/>
        <v>0.79932624113475181</v>
      </c>
      <c r="BO801" s="82">
        <f t="shared" si="481"/>
        <v>225.41000000000003</v>
      </c>
      <c r="BP801" s="81">
        <f t="shared" si="482"/>
        <v>0.79932624113475181</v>
      </c>
      <c r="BQ801" s="81">
        <f t="shared" si="483"/>
        <v>0.95624708624708632</v>
      </c>
      <c r="BR801" s="81">
        <f t="shared" si="484"/>
        <v>1.1895804195804198</v>
      </c>
      <c r="BS801" s="82">
        <f t="shared" si="485"/>
        <v>282</v>
      </c>
      <c r="BT801" s="82">
        <f t="shared" si="486"/>
        <v>335.46167832167839</v>
      </c>
      <c r="BU801" s="82">
        <f t="shared" si="487"/>
        <v>291.21000000000004</v>
      </c>
      <c r="BW801" s="82">
        <f>IFERROR(INDEX('Infos Clientes'!$T:$T,MATCH('Detalhe Por UC'!$C801,'Infos Clientes'!B:B,0)),"")</f>
        <v>250.27272727272728</v>
      </c>
      <c r="BX801" s="83">
        <f t="shared" si="488"/>
        <v>0</v>
      </c>
      <c r="BY801" s="84">
        <f t="shared" si="489"/>
        <v>0.19614759077459692</v>
      </c>
      <c r="BZ801" s="85">
        <f>IF(_xlfn.MINIFS('Detalhe Por UC'!R:R,'Detalhe Por UC'!C:C,C801,'Detalhe Por UC'!AD:AD,"&gt;"&amp;0)=0,"",_xlfn.MINIFS('Detalhe Por UC'!R:R,'Detalhe Por UC'!C:C,C801,'Detalhe Por UC'!AD:AD,"&gt;"&amp;0))</f>
        <v>45658</v>
      </c>
      <c r="CA801" s="114">
        <f ca="1">IF(OR(S801&gt;0,AD801&gt;0),IFERROR(
SUMIFS(INDIRECT("'Infos Clientes'!$W"&amp;INDEX('Infos Clientes'!$C:$C,MATCH(C801,'Infos Clientes'!$H:$H,0))&amp;":$CZ"&amp;INDEX('Infos Clientes'!$C:$C,MATCH(C801,'Infos Clientes'!$H:$H,0))),'Infos Clientes'!$W$2:$CZ$2,"&gt;"&amp;$R801-365,'Infos Clientes'!$W$2:$CZ$2,"&lt;="&amp;$R801)/
COUNTIFS(INDIRECT("'Infos Clientes'!$W"&amp;INDEX('Infos Clientes'!$C:$C,MATCH(C801,'Infos Clientes'!$H:$H,0))&amp;":$CZ"&amp;INDEX('Infos Clientes'!$C:$C,MATCH(C801,'Infos Clientes'!$H:$H,0))),"&gt;="&amp;0,'Infos Clientes'!$W$2:$CZ$2,"&gt;"&amp;$R801-365,'Infos Clientes'!$W$2:$CZ$2,"&lt;="&amp;$R801),""),"")</f>
        <v>293.75</v>
      </c>
      <c r="CB801" s="87">
        <f>VLOOKUP(C801,'Infos Clientes'!B:L,11,0)</f>
        <v>0</v>
      </c>
      <c r="CC801" s="88" t="str">
        <f t="shared" si="490"/>
        <v>A Unidade Consumidora 10/3040565-8 economizou R$65,8 na fatura referente à ago/2025  consumindo 282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1" s="115">
        <f t="shared" si="491"/>
        <v>-69.430000000000049</v>
      </c>
    </row>
    <row r="802" spans="1:84" ht="16.2" hidden="1" customHeight="1" x14ac:dyDescent="0.3">
      <c r="A802" s="105" t="str">
        <f>INDEX('Infos Clientes'!$D:$D,MATCH('Detalhe Por UC'!C802,'Infos Clientes'!B:B,0))</f>
        <v>IGREJA DO EVANGELHO QUADRANGULAR</v>
      </c>
      <c r="B802" s="106" t="str">
        <f>INDEX('Infos Clientes'!$F:$F,MATCH('Detalhe Por UC'!C802,'Infos Clientes'!B:B,0))</f>
        <v>62.955.505/1364-92</v>
      </c>
      <c r="C802" s="31" t="s">
        <v>223</v>
      </c>
      <c r="D802" t="s">
        <v>351</v>
      </c>
      <c r="E802" s="1" t="s">
        <v>352</v>
      </c>
      <c r="F802" s="56" t="str">
        <f>INDEX('Infos Clientes'!$I:$I,MATCH('Detalhe Por UC'!C802,'Infos Clientes'!B:B,0))</f>
        <v>BT</v>
      </c>
      <c r="G802" s="56" t="str">
        <f>INDEX('Infos Clientes'!$J:$J,MATCH('Detalhe Por UC'!C802,'Infos Clientes'!B:B,0))</f>
        <v>trifasico</v>
      </c>
      <c r="H802" s="47" t="str">
        <f t="shared" si="457"/>
        <v>GIROSSOL III</v>
      </c>
      <c r="I802" s="58">
        <f>IFERROR(VLOOKUP(C802,'Infos Clientes'!B:E,4,),"")</f>
        <v>319</v>
      </c>
      <c r="J802" s="151">
        <v>0.22596103298069697</v>
      </c>
      <c r="K802" s="79">
        <f>INDEX('Resumo Operacional'!$A$1:$P$151,MATCH("Desconto percentual Ucs",'Resumo Operacional'!$B$1:$B$151,0),MATCH('Detalhe Por UC'!$R802,'Resumo Operacional'!$A$1:$P$1,0))</f>
        <v>0.26495232343264008</v>
      </c>
      <c r="M802" s="56"/>
      <c r="N802" s="56"/>
      <c r="O802" s="56"/>
      <c r="P802" s="56"/>
      <c r="Q802" s="61"/>
      <c r="R802" s="111">
        <v>45870</v>
      </c>
      <c r="S802" s="152">
        <v>1.0200000000000001E-2</v>
      </c>
      <c r="T802" s="113" t="str">
        <f>IF($H802="GIROSSOL II",AP802/INDEX('Resumo Operacional'!$A$1:$P$1103,17,MATCH('Detalhe Por UC'!$R802,'Resumo Operacional'!$A$1:$P$1,0)),
IF($H802="GIROSSOL II e III",AP802/INDEX('Resumo Operacional'!$A$1:$P$1103,17,MATCH('Detalhe Por UC'!$R802,'Resumo Operacional'!$A$1:$P$1,0)),
""))</f>
        <v/>
      </c>
      <c r="U802" s="113">
        <f>IF($H802="GIROSSOL III",AP802/INDEX('Resumo Operacional'!$A$1:$P$1103,53,MATCH('Detalhe Por UC'!$R802,'Resumo Operacional'!$A$1:$P$1,0)),
IF($H802="GIROSSOL II e III",AP802/INDEX('Resumo Operacional'!$A$1:$P$1103,53,MATCH('Detalhe Por UC'!$R802,'Resumo Operacional'!$A$1:$P$1,0)),
""))</f>
        <v>2.4833630904074012E-2</v>
      </c>
      <c r="X802">
        <v>1.1719416386083052</v>
      </c>
      <c r="Z802" s="18">
        <v>1.0149952516619183</v>
      </c>
      <c r="AB802" s="18">
        <v>198</v>
      </c>
      <c r="AD802" s="143">
        <v>117</v>
      </c>
      <c r="AF802" s="18">
        <v>726</v>
      </c>
      <c r="AH802" s="49">
        <v>39.78</v>
      </c>
      <c r="AK802" s="153">
        <v>153.07</v>
      </c>
      <c r="AL802" s="43">
        <f t="shared" si="492"/>
        <v>0</v>
      </c>
      <c r="AN802" s="71">
        <f t="shared" si="458"/>
        <v>36</v>
      </c>
      <c r="AO802" s="71">
        <f t="shared" si="459"/>
        <v>0</v>
      </c>
      <c r="AP802" s="71">
        <f t="shared" si="460"/>
        <v>153</v>
      </c>
      <c r="AQ802" s="72">
        <f>IF(OR($H802="GIROSSOL II",$H802="GIROSSOL II e III"),INDEX('Resumo Operacional'!$A$1:$P$1103,MATCH("Energia Injetada prevista total Fatura da Usina (TUSD)",'Resumo Operacional'!$B$1:$B$1103,0),MATCH('Detalhe Por UC'!$R802,'Resumo Operacional'!$A$1:$P$1,0))*$S802,INDEX('Resumo Operacional'!$A$1:$P$1103,53,MATCH('Detalhe Por UC'!$R802,'Resumo Operacional'!$A$1:$P$1,0))*$S802)</f>
        <v>62.842200000000005</v>
      </c>
      <c r="AR802" s="71">
        <f t="shared" si="461"/>
        <v>90.157799999999995</v>
      </c>
      <c r="AS802" s="73">
        <f t="shared" si="462"/>
        <v>153.07</v>
      </c>
      <c r="AT802" s="74">
        <f t="shared" si="463"/>
        <v>153.07</v>
      </c>
      <c r="AU802" s="74">
        <f t="shared" si="464"/>
        <v>0.85804886471553132</v>
      </c>
      <c r="AV802" s="74">
        <f t="shared" si="465"/>
        <v>91.920567506728986</v>
      </c>
      <c r="AW802" s="74">
        <f t="shared" si="466"/>
        <v>0</v>
      </c>
      <c r="AX802" s="74">
        <f t="shared" si="467"/>
        <v>118.75444444444445</v>
      </c>
      <c r="AY802" s="74">
        <f t="shared" si="468"/>
        <v>91.92</v>
      </c>
      <c r="AZ802" s="117">
        <v>91.92</v>
      </c>
      <c r="BA802" s="49">
        <v>91.92</v>
      </c>
      <c r="BB802" s="49">
        <v>91.92</v>
      </c>
      <c r="BC802" s="73" t="str">
        <f t="shared" si="469"/>
        <v/>
      </c>
      <c r="BD802" s="73">
        <f t="shared" si="470"/>
        <v>271.82444444444445</v>
      </c>
      <c r="BE802" s="73">
        <f t="shared" si="471"/>
        <v>244.99056750672898</v>
      </c>
      <c r="BF802" s="77">
        <f t="shared" si="472"/>
        <v>26.83</v>
      </c>
      <c r="BG802" s="77">
        <f t="shared" si="473"/>
        <v>8.0489999999999995</v>
      </c>
      <c r="BH802" s="77">
        <f t="shared" si="474"/>
        <v>118.75444444444445</v>
      </c>
      <c r="BI802" s="78">
        <f t="shared" si="475"/>
        <v>0.23</v>
      </c>
      <c r="BJ802" s="79">
        <f t="shared" si="476"/>
        <v>9.8703411515602385E-2</v>
      </c>
      <c r="BK802" s="80">
        <f t="shared" si="477"/>
        <v>244.99</v>
      </c>
      <c r="BL802" s="80">
        <f t="shared" si="478"/>
        <v>26.834444444444443</v>
      </c>
      <c r="BM802" s="79">
        <f t="shared" si="479"/>
        <v>9.8719761937852035E-2</v>
      </c>
      <c r="BN802" s="81">
        <f t="shared" si="480"/>
        <v>0.78564102564102567</v>
      </c>
      <c r="BO802" s="82">
        <f t="shared" si="481"/>
        <v>91.92</v>
      </c>
      <c r="BP802" s="81">
        <f t="shared" si="482"/>
        <v>0.78564102564102567</v>
      </c>
      <c r="BQ802" s="81">
        <f t="shared" si="483"/>
        <v>0.94258741258741263</v>
      </c>
      <c r="BR802" s="81">
        <f t="shared" si="484"/>
        <v>1.1719416386083052</v>
      </c>
      <c r="BS802" s="82">
        <f t="shared" si="485"/>
        <v>117</v>
      </c>
      <c r="BT802" s="82">
        <f t="shared" si="486"/>
        <v>137.11717171717171</v>
      </c>
      <c r="BU802" s="82">
        <f t="shared" si="487"/>
        <v>118.75444444444445</v>
      </c>
      <c r="BW802" s="82">
        <f>IFERROR(INDEX('Infos Clientes'!$T:$T,MATCH('Detalhe Por UC'!$C802,'Infos Clientes'!B:B,0)),"")</f>
        <v>315</v>
      </c>
      <c r="BX802" s="83">
        <f t="shared" si="488"/>
        <v>0</v>
      </c>
      <c r="BY802" s="84">
        <f t="shared" si="489"/>
        <v>0.19570447747999936</v>
      </c>
      <c r="BZ802" s="85">
        <f>IF(_xlfn.MINIFS('Detalhe Por UC'!R:R,'Detalhe Por UC'!C:C,C802,'Detalhe Por UC'!AD:AD,"&gt;"&amp;0)=0,"",_xlfn.MINIFS('Detalhe Por UC'!R:R,'Detalhe Por UC'!C:C,C802,'Detalhe Por UC'!AD:AD,"&gt;"&amp;0))</f>
        <v>45658</v>
      </c>
      <c r="CA802" s="114">
        <f ca="1">IF(OR(S802&gt;0,AD802&gt;0),IFERROR(
SUMIFS(INDIRECT("'Infos Clientes'!$W"&amp;INDEX('Infos Clientes'!$C:$C,MATCH(C802,'Infos Clientes'!$H:$H,0))&amp;":$CZ"&amp;INDEX('Infos Clientes'!$C:$C,MATCH(C802,'Infos Clientes'!$H:$H,0))),'Infos Clientes'!$W$2:$CZ$2,"&gt;"&amp;$R802-365,'Infos Clientes'!$W$2:$CZ$2,"&lt;="&amp;$R802)/
COUNTIFS(INDIRECT("'Infos Clientes'!$W"&amp;INDEX('Infos Clientes'!$C:$C,MATCH(C802,'Infos Clientes'!$H:$H,0))&amp;":$CZ"&amp;INDEX('Infos Clientes'!$C:$C,MATCH(C802,'Infos Clientes'!$H:$H,0))),"&gt;="&amp;0,'Infos Clientes'!$W$2:$CZ$2,"&gt;"&amp;$R802-365,'Infos Clientes'!$W$2:$CZ$2,"&lt;="&amp;$R802),""),"")</f>
        <v>303.5</v>
      </c>
      <c r="CB802" s="87">
        <f>VLOOKUP(C802,'Infos Clientes'!B:L,11,0)</f>
        <v>0</v>
      </c>
      <c r="CC802" s="88" t="str">
        <f t="shared" si="490"/>
        <v>A Unidade Consumidora 10/72605-9 economizou R$26,83 na fatura referente à ago/2025  consumindo 117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2" s="115">
        <f t="shared" si="491"/>
        <v>-153.07</v>
      </c>
    </row>
    <row r="803" spans="1:84" ht="16.2" hidden="1" customHeight="1" x14ac:dyDescent="0.3">
      <c r="A803" s="105" t="str">
        <f>INDEX('Infos Clientes'!$D:$D,MATCH('Detalhe Por UC'!C803,'Infos Clientes'!B:B,0))</f>
        <v>IGREJA DO EVANGELHO QUADRANGULAR</v>
      </c>
      <c r="B803" s="106" t="str">
        <f>INDEX('Infos Clientes'!$F:$F,MATCH('Detalhe Por UC'!C803,'Infos Clientes'!B:B,0))</f>
        <v>62.955.505/8979-30</v>
      </c>
      <c r="C803" s="31" t="s">
        <v>238</v>
      </c>
      <c r="D803" t="s">
        <v>351</v>
      </c>
      <c r="E803" s="1" t="s">
        <v>352</v>
      </c>
      <c r="F803" s="56" t="str">
        <f>INDEX('Infos Clientes'!$I:$I,MATCH('Detalhe Por UC'!C803,'Infos Clientes'!B:B,0))</f>
        <v>BT</v>
      </c>
      <c r="G803" s="56" t="str">
        <f>INDEX('Infos Clientes'!$J:$J,MATCH('Detalhe Por UC'!C803,'Infos Clientes'!B:B,0))</f>
        <v>bifasico</v>
      </c>
      <c r="H803" s="47" t="str">
        <f t="shared" si="457"/>
        <v>GIROSSOL III</v>
      </c>
      <c r="I803" s="58">
        <f>IFERROR(VLOOKUP(C803,'Infos Clientes'!B:E,4,),"")</f>
        <v>360</v>
      </c>
      <c r="J803" s="151">
        <v>0.22596103298069697</v>
      </c>
      <c r="K803" s="79">
        <f>INDEX('Resumo Operacional'!$A$1:$P$151,MATCH("Desconto percentual Ucs",'Resumo Operacional'!$B$1:$B$151,0),MATCH('Detalhe Por UC'!$R803,'Resumo Operacional'!$A$1:$P$1,0))</f>
        <v>0.26495232343264008</v>
      </c>
      <c r="M803" s="56"/>
      <c r="N803" s="56"/>
      <c r="O803" s="56"/>
      <c r="P803" s="56"/>
      <c r="Q803" s="61"/>
      <c r="R803" s="111">
        <v>45870</v>
      </c>
      <c r="S803" s="152">
        <v>1.0200000000000001E-2</v>
      </c>
      <c r="T803" s="113" t="str">
        <f>IF($H803="GIROSSOL II",AP803/INDEX('Resumo Operacional'!$A$1:$P$1103,17,MATCH('Detalhe Por UC'!$R803,'Resumo Operacional'!$A$1:$P$1,0)),
IF($H803="GIROSSOL II e III",AP803/INDEX('Resumo Operacional'!$A$1:$P$1103,17,MATCH('Detalhe Por UC'!$R803,'Resumo Operacional'!$A$1:$P$1,0)),
""))</f>
        <v/>
      </c>
      <c r="U803" s="113">
        <f>IF($H803="GIROSSOL III",AP803/INDEX('Resumo Operacional'!$A$1:$P$1103,53,MATCH('Detalhe Por UC'!$R803,'Resumo Operacional'!$A$1:$P$1,0)),
IF($H803="GIROSSOL II e III",AP803/INDEX('Resumo Operacional'!$A$1:$P$1103,53,MATCH('Detalhe Por UC'!$R803,'Resumo Operacional'!$A$1:$P$1,0)),
""))</f>
        <v>2.3210517773088784E-2</v>
      </c>
      <c r="X803">
        <v>1.1806944444444443</v>
      </c>
      <c r="Z803" s="18">
        <v>1.0238492063492062</v>
      </c>
      <c r="AB803" s="18">
        <v>120</v>
      </c>
      <c r="AD803" s="143">
        <v>84</v>
      </c>
      <c r="AF803" s="18">
        <v>75</v>
      </c>
      <c r="AH803" s="49">
        <v>31.869999999999997</v>
      </c>
      <c r="AK803" s="153">
        <v>87.55</v>
      </c>
      <c r="AL803" s="43">
        <f t="shared" si="492"/>
        <v>0</v>
      </c>
      <c r="AN803" s="71">
        <f t="shared" si="458"/>
        <v>59</v>
      </c>
      <c r="AO803" s="71">
        <f t="shared" si="459"/>
        <v>0</v>
      </c>
      <c r="AP803" s="71">
        <f t="shared" si="460"/>
        <v>143</v>
      </c>
      <c r="AQ803" s="72">
        <f>IF(OR($H803="GIROSSOL II",$H803="GIROSSOL II e III"),INDEX('Resumo Operacional'!$A$1:$P$1103,MATCH("Energia Injetada prevista total Fatura da Usina (TUSD)",'Resumo Operacional'!$B$1:$B$1103,0),MATCH('Detalhe Por UC'!$R803,'Resumo Operacional'!$A$1:$P$1,0))*$S803,INDEX('Resumo Operacional'!$A$1:$P$1103,53,MATCH('Detalhe Por UC'!$R803,'Resumo Operacional'!$A$1:$P$1,0))*$S803)</f>
        <v>62.842200000000005</v>
      </c>
      <c r="AR803" s="71">
        <f t="shared" si="461"/>
        <v>80.157799999999995</v>
      </c>
      <c r="AS803" s="73">
        <f t="shared" si="462"/>
        <v>87.549999999999983</v>
      </c>
      <c r="AT803" s="74">
        <f t="shared" si="463"/>
        <v>87.549999999999983</v>
      </c>
      <c r="AU803" s="74">
        <f t="shared" si="464"/>
        <v>0.86700396825396808</v>
      </c>
      <c r="AV803" s="74">
        <f t="shared" si="465"/>
        <v>66.569931293550113</v>
      </c>
      <c r="AW803" s="74">
        <f t="shared" si="466"/>
        <v>0</v>
      </c>
      <c r="AX803" s="74">
        <f t="shared" si="467"/>
        <v>86.003333333333316</v>
      </c>
      <c r="AY803" s="74">
        <f t="shared" si="468"/>
        <v>66.569999999999993</v>
      </c>
      <c r="AZ803" s="117">
        <v>66.569999999999993</v>
      </c>
      <c r="BA803" s="49">
        <v>66.569999999999993</v>
      </c>
      <c r="BB803" s="49">
        <v>66.569999999999993</v>
      </c>
      <c r="BC803" s="73" t="str">
        <f t="shared" si="469"/>
        <v/>
      </c>
      <c r="BD803" s="73">
        <f t="shared" si="470"/>
        <v>173.55333333333331</v>
      </c>
      <c r="BE803" s="73">
        <f t="shared" si="471"/>
        <v>154.11993129355011</v>
      </c>
      <c r="BF803" s="77">
        <f t="shared" si="472"/>
        <v>19.43</v>
      </c>
      <c r="BG803" s="77">
        <f t="shared" si="473"/>
        <v>5.8289999999999997</v>
      </c>
      <c r="BH803" s="77">
        <f t="shared" si="474"/>
        <v>86.003333333333316</v>
      </c>
      <c r="BI803" s="78">
        <f t="shared" si="475"/>
        <v>0.23</v>
      </c>
      <c r="BJ803" s="79">
        <f t="shared" si="476"/>
        <v>0.11195405831060579</v>
      </c>
      <c r="BK803" s="80">
        <f t="shared" si="477"/>
        <v>154.11999999999998</v>
      </c>
      <c r="BL803" s="80">
        <f t="shared" si="478"/>
        <v>19.433333333333337</v>
      </c>
      <c r="BM803" s="79">
        <f t="shared" si="479"/>
        <v>0.11197326470249302</v>
      </c>
      <c r="BN803" s="81">
        <f t="shared" si="480"/>
        <v>0.79249999999999987</v>
      </c>
      <c r="BO803" s="82">
        <f t="shared" si="481"/>
        <v>66.569999999999993</v>
      </c>
      <c r="BP803" s="81">
        <f t="shared" si="482"/>
        <v>0.79249999999999987</v>
      </c>
      <c r="BQ803" s="81">
        <f t="shared" si="483"/>
        <v>0.94934523809523796</v>
      </c>
      <c r="BR803" s="81">
        <f t="shared" si="484"/>
        <v>1.1806944444444443</v>
      </c>
      <c r="BS803" s="82">
        <f t="shared" si="485"/>
        <v>84</v>
      </c>
      <c r="BT803" s="82">
        <f t="shared" si="486"/>
        <v>99.178333333333313</v>
      </c>
      <c r="BU803" s="82">
        <f t="shared" si="487"/>
        <v>86.003333333333316</v>
      </c>
      <c r="BW803" s="82">
        <f>IFERROR(INDEX('Infos Clientes'!$T:$T,MATCH('Detalhe Por UC'!$C803,'Infos Clientes'!B:B,0)),"")</f>
        <v>162.36363636363637</v>
      </c>
      <c r="BX803" s="83">
        <f t="shared" si="488"/>
        <v>0</v>
      </c>
      <c r="BY803" s="84">
        <f t="shared" si="489"/>
        <v>0.19594333439763389</v>
      </c>
      <c r="BZ803" s="85">
        <f>IF(_xlfn.MINIFS('Detalhe Por UC'!R:R,'Detalhe Por UC'!C:C,C803,'Detalhe Por UC'!AD:AD,"&gt;"&amp;0)=0,"",_xlfn.MINIFS('Detalhe Por UC'!R:R,'Detalhe Por UC'!C:C,C803,'Detalhe Por UC'!AD:AD,"&gt;"&amp;0))</f>
        <v>45658</v>
      </c>
      <c r="CA803" s="114">
        <f ca="1">IF(OR(S803&gt;0,AD803&gt;0),IFERROR(
SUMIFS(INDIRECT("'Infos Clientes'!$W"&amp;INDEX('Infos Clientes'!$C:$C,MATCH(C803,'Infos Clientes'!$H:$H,0))&amp;":$CZ"&amp;INDEX('Infos Clientes'!$C:$C,MATCH(C803,'Infos Clientes'!$H:$H,0))),'Infos Clientes'!$W$2:$CZ$2,"&gt;"&amp;$R803-365,'Infos Clientes'!$W$2:$CZ$2,"&lt;="&amp;$R803)/
COUNTIFS(INDIRECT("'Infos Clientes'!$W"&amp;INDEX('Infos Clientes'!$C:$C,MATCH(C803,'Infos Clientes'!$H:$H,0))&amp;":$CZ"&amp;INDEX('Infos Clientes'!$C:$C,MATCH(C803,'Infos Clientes'!$H:$H,0))),"&gt;="&amp;0,'Infos Clientes'!$W$2:$CZ$2,"&gt;"&amp;$R803-365,'Infos Clientes'!$W$2:$CZ$2,"&lt;="&amp;$R803),""),"")</f>
        <v>143.58333333333334</v>
      </c>
      <c r="CB803" s="87">
        <f>VLOOKUP(C803,'Infos Clientes'!B:L,11,0)</f>
        <v>0</v>
      </c>
      <c r="CC803" s="88" t="str">
        <f t="shared" si="490"/>
        <v>A Unidade Consumidora 10/952579-1 economizou R$19,43 na fatura referente à ago/2025  consumindo 84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3" s="115">
        <f t="shared" si="491"/>
        <v>-87.549999999999983</v>
      </c>
    </row>
    <row r="804" spans="1:84" ht="16.2" hidden="1" customHeight="1" x14ac:dyDescent="0.3">
      <c r="A804" s="105" t="str">
        <f>INDEX('Infos Clientes'!$D:$D,MATCH('Detalhe Por UC'!C804,'Infos Clientes'!B:B,0))</f>
        <v>IGREJA DO EVANGELHO QUADRANGULAR</v>
      </c>
      <c r="B804" s="106" t="str">
        <f>INDEX('Infos Clientes'!$F:$F,MATCH('Detalhe Por UC'!C804,'Infos Clientes'!B:B,0))</f>
        <v>62.955.505/1570-66</v>
      </c>
      <c r="C804" s="31" t="s">
        <v>172</v>
      </c>
      <c r="D804" t="s">
        <v>351</v>
      </c>
      <c r="E804" s="1" t="s">
        <v>352</v>
      </c>
      <c r="F804" s="56" t="str">
        <f>INDEX('Infos Clientes'!$I:$I,MATCH('Detalhe Por UC'!C804,'Infos Clientes'!B:B,0))</f>
        <v>BT</v>
      </c>
      <c r="G804" s="56" t="str">
        <f>INDEX('Infos Clientes'!$J:$J,MATCH('Detalhe Por UC'!C804,'Infos Clientes'!B:B,0))</f>
        <v>trifasico</v>
      </c>
      <c r="H804" s="47" t="str">
        <f t="shared" si="457"/>
        <v>GIROSSOL III</v>
      </c>
      <c r="I804" s="58">
        <f>IFERROR(VLOOKUP(C804,'Infos Clientes'!B:E,4,),"")</f>
        <v>357</v>
      </c>
      <c r="J804" s="151">
        <v>0.22596103298069697</v>
      </c>
      <c r="K804" s="79">
        <f>INDEX('Resumo Operacional'!$A$1:$P$151,MATCH("Desconto percentual Ucs",'Resumo Operacional'!$B$1:$B$151,0),MATCH('Detalhe Por UC'!$R804,'Resumo Operacional'!$A$1:$P$1,0))</f>
        <v>0.26495232343264008</v>
      </c>
      <c r="M804" s="56"/>
      <c r="N804" s="56"/>
      <c r="O804" s="56"/>
      <c r="P804" s="56"/>
      <c r="Q804" s="61"/>
      <c r="R804" s="111">
        <v>45870</v>
      </c>
      <c r="S804" s="152">
        <v>1.0200000000000001E-2</v>
      </c>
      <c r="T804" s="113" t="str">
        <f>IF($H804="GIROSSOL II",AP804/INDEX('Resumo Operacional'!$A$1:$P$1103,17,MATCH('Detalhe Por UC'!$R804,'Resumo Operacional'!$A$1:$P$1,0)),
IF($H804="GIROSSOL II e III",AP804/INDEX('Resumo Operacional'!$A$1:$P$1103,17,MATCH('Detalhe Por UC'!$R804,'Resumo Operacional'!$A$1:$P$1,0)),
""))</f>
        <v/>
      </c>
      <c r="U804" s="113">
        <f>IF($H804="GIROSSOL III",AP804/INDEX('Resumo Operacional'!$A$1:$P$1103,53,MATCH('Detalhe Por UC'!$R804,'Resumo Operacional'!$A$1:$P$1,0)),
IF($H804="GIROSSOL II e III",AP804/INDEX('Resumo Operacional'!$A$1:$P$1103,53,MATCH('Detalhe Por UC'!$R804,'Resumo Operacional'!$A$1:$P$1,0)),
""))</f>
        <v>1.5094952118162636E-2</v>
      </c>
      <c r="X804">
        <v>1.1700186108341641</v>
      </c>
      <c r="Z804" s="18">
        <v>1.0131879795396419</v>
      </c>
      <c r="AB804" s="18">
        <v>177</v>
      </c>
      <c r="AD804" s="143">
        <v>92</v>
      </c>
      <c r="AF804" s="18">
        <v>543</v>
      </c>
      <c r="AH804" s="49">
        <v>0</v>
      </c>
      <c r="AK804" s="153">
        <v>113.88</v>
      </c>
      <c r="AL804" s="43">
        <f t="shared" si="492"/>
        <v>0</v>
      </c>
      <c r="AN804" s="71">
        <f t="shared" si="458"/>
        <v>1</v>
      </c>
      <c r="AO804" s="71">
        <f t="shared" si="459"/>
        <v>0</v>
      </c>
      <c r="AP804" s="71">
        <f t="shared" si="460"/>
        <v>93</v>
      </c>
      <c r="AQ804" s="72">
        <f>IF(OR($H804="GIROSSOL II",$H804="GIROSSOL II e III"),INDEX('Resumo Operacional'!$A$1:$P$1103,MATCH("Energia Injetada prevista total Fatura da Usina (TUSD)",'Resumo Operacional'!$B$1:$B$1103,0),MATCH('Detalhe Por UC'!$R804,'Resumo Operacional'!$A$1:$P$1,0))*$S804,INDEX('Resumo Operacional'!$A$1:$P$1103,53,MATCH('Detalhe Por UC'!$R804,'Resumo Operacional'!$A$1:$P$1,0))*$S804)</f>
        <v>62.842200000000005</v>
      </c>
      <c r="AR804" s="71">
        <f t="shared" si="461"/>
        <v>30.157799999999995</v>
      </c>
      <c r="AS804" s="73">
        <f t="shared" si="462"/>
        <v>113.88</v>
      </c>
      <c r="AT804" s="74">
        <f t="shared" si="463"/>
        <v>113.88</v>
      </c>
      <c r="AU804" s="74">
        <f t="shared" si="464"/>
        <v>0.85635734824511967</v>
      </c>
      <c r="AV804" s="74">
        <f t="shared" si="465"/>
        <v>72.150721891290004</v>
      </c>
      <c r="AW804" s="74">
        <f t="shared" si="466"/>
        <v>0</v>
      </c>
      <c r="AX804" s="74">
        <f t="shared" si="467"/>
        <v>93.213294117647052</v>
      </c>
      <c r="AY804" s="74">
        <f t="shared" si="468"/>
        <v>72.150000000000006</v>
      </c>
      <c r="AZ804" s="117">
        <v>72.150000000000006</v>
      </c>
      <c r="BA804" s="49">
        <v>72.150000000000006</v>
      </c>
      <c r="BB804" s="49">
        <v>72.150000000000006</v>
      </c>
      <c r="BC804" s="73" t="str">
        <f t="shared" si="469"/>
        <v/>
      </c>
      <c r="BD804" s="73">
        <f t="shared" si="470"/>
        <v>207.09329411764705</v>
      </c>
      <c r="BE804" s="73">
        <f t="shared" si="471"/>
        <v>186.03072189129</v>
      </c>
      <c r="BF804" s="77">
        <f t="shared" si="472"/>
        <v>21.06</v>
      </c>
      <c r="BG804" s="77">
        <f t="shared" si="473"/>
        <v>6.3179999999999996</v>
      </c>
      <c r="BH804" s="77">
        <f t="shared" si="474"/>
        <v>93.213294117647052</v>
      </c>
      <c r="BI804" s="78">
        <f t="shared" si="475"/>
        <v>0.23</v>
      </c>
      <c r="BJ804" s="79">
        <f t="shared" si="476"/>
        <v>0.10169329764987987</v>
      </c>
      <c r="BK804" s="80">
        <f t="shared" si="477"/>
        <v>186.03</v>
      </c>
      <c r="BL804" s="80">
        <f t="shared" si="478"/>
        <v>21.063294117647047</v>
      </c>
      <c r="BM804" s="79">
        <f t="shared" si="479"/>
        <v>0.1017092040927277</v>
      </c>
      <c r="BN804" s="81">
        <f t="shared" si="480"/>
        <v>0.78423913043478266</v>
      </c>
      <c r="BO804" s="82">
        <f t="shared" si="481"/>
        <v>72.150000000000006</v>
      </c>
      <c r="BP804" s="81">
        <f t="shared" si="482"/>
        <v>0.78423913043478266</v>
      </c>
      <c r="BQ804" s="81">
        <f t="shared" si="483"/>
        <v>0.9410697617293049</v>
      </c>
      <c r="BR804" s="81">
        <f t="shared" si="484"/>
        <v>1.1700186108341641</v>
      </c>
      <c r="BS804" s="82">
        <f t="shared" si="485"/>
        <v>92</v>
      </c>
      <c r="BT804" s="82">
        <f t="shared" si="486"/>
        <v>107.6417121967431</v>
      </c>
      <c r="BU804" s="82">
        <f t="shared" si="487"/>
        <v>93.213294117647052</v>
      </c>
      <c r="BW804" s="82">
        <f>IFERROR(INDEX('Infos Clientes'!$T:$T,MATCH('Detalhe Por UC'!$C804,'Infos Clientes'!B:B,0)),"")</f>
        <v>324.72727272727275</v>
      </c>
      <c r="BX804" s="83">
        <f t="shared" si="488"/>
        <v>0</v>
      </c>
      <c r="BY804" s="84">
        <f t="shared" si="489"/>
        <v>0.19567966439579135</v>
      </c>
      <c r="BZ804" s="85">
        <f>IF(_xlfn.MINIFS('Detalhe Por UC'!R:R,'Detalhe Por UC'!C:C,C804,'Detalhe Por UC'!AD:AD,"&gt;"&amp;0)=0,"",_xlfn.MINIFS('Detalhe Por UC'!R:R,'Detalhe Por UC'!C:C,C804,'Detalhe Por UC'!AD:AD,"&gt;"&amp;0))</f>
        <v>45658</v>
      </c>
      <c r="CA804" s="114">
        <f ca="1">IF(OR(S804&gt;0,AD804&gt;0),IFERROR(
SUMIFS(INDIRECT("'Infos Clientes'!$W"&amp;INDEX('Infos Clientes'!$C:$C,MATCH(C804,'Infos Clientes'!$H:$H,0))&amp;":$CZ"&amp;INDEX('Infos Clientes'!$C:$C,MATCH(C804,'Infos Clientes'!$H:$H,0))),'Infos Clientes'!$W$2:$CZ$2,"&gt;"&amp;$R804-365,'Infos Clientes'!$W$2:$CZ$2,"&lt;="&amp;$R804)/
COUNTIFS(INDIRECT("'Infos Clientes'!$W"&amp;INDEX('Infos Clientes'!$C:$C,MATCH(C804,'Infos Clientes'!$H:$H,0))&amp;":$CZ"&amp;INDEX('Infos Clientes'!$C:$C,MATCH(C804,'Infos Clientes'!$H:$H,0))),"&gt;="&amp;0,'Infos Clientes'!$W$2:$CZ$2,"&gt;"&amp;$R804-365,'Infos Clientes'!$W$2:$CZ$2,"&lt;="&amp;$R804),""),"")</f>
        <v>268.5</v>
      </c>
      <c r="CB804" s="87">
        <f>VLOOKUP(C804,'Infos Clientes'!B:L,11,0)</f>
        <v>0</v>
      </c>
      <c r="CC804" s="88" t="str">
        <f t="shared" si="490"/>
        <v>A Unidade Consumidora 10/24514-2 economizou R$21,06 na fatura referente à ago/2025  consumindo 92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4" s="115">
        <f t="shared" si="491"/>
        <v>-113.88</v>
      </c>
    </row>
    <row r="805" spans="1:84" ht="16.2" hidden="1" customHeight="1" x14ac:dyDescent="0.3">
      <c r="A805" s="105" t="str">
        <f>INDEX('Infos Clientes'!$D:$D,MATCH('Detalhe Por UC'!C805,'Infos Clientes'!B:B,0))</f>
        <v>IGREJA DO EVANGELHO QUADRANGULAR</v>
      </c>
      <c r="B805" s="106" t="str">
        <f>INDEX('Infos Clientes'!$F:$F,MATCH('Detalhe Por UC'!C805,'Infos Clientes'!B:B,0))</f>
        <v>62.955.505/1822-57</v>
      </c>
      <c r="C805" s="31" t="s">
        <v>216</v>
      </c>
      <c r="D805" t="s">
        <v>351</v>
      </c>
      <c r="E805" s="1" t="s">
        <v>352</v>
      </c>
      <c r="F805" s="56" t="str">
        <f>INDEX('Infos Clientes'!$I:$I,MATCH('Detalhe Por UC'!C805,'Infos Clientes'!B:B,0))</f>
        <v>BT</v>
      </c>
      <c r="G805" s="56" t="str">
        <f>INDEX('Infos Clientes'!$J:$J,MATCH('Detalhe Por UC'!C805,'Infos Clientes'!B:B,0))</f>
        <v>trifasico</v>
      </c>
      <c r="H805" s="47" t="str">
        <f t="shared" si="457"/>
        <v>GIROSSOL III</v>
      </c>
      <c r="I805" s="58">
        <f>IFERROR(VLOOKUP(C805,'Infos Clientes'!B:E,4,),"")</f>
        <v>319</v>
      </c>
      <c r="J805" s="151">
        <v>0.22596103298069697</v>
      </c>
      <c r="K805" s="79">
        <f>INDEX('Resumo Operacional'!$A$1:$P$151,MATCH("Desconto percentual Ucs",'Resumo Operacional'!$B$1:$B$151,0),MATCH('Detalhe Por UC'!$R805,'Resumo Operacional'!$A$1:$P$1,0))</f>
        <v>0.26495232343264008</v>
      </c>
      <c r="M805" s="56"/>
      <c r="N805" s="56"/>
      <c r="O805" s="56"/>
      <c r="P805" s="56"/>
      <c r="Q805" s="61"/>
      <c r="R805" s="111">
        <v>45870</v>
      </c>
      <c r="S805" s="152">
        <v>1.0200000000000001E-2</v>
      </c>
      <c r="T805" s="113" t="str">
        <f>IF($H805="GIROSSOL II",AP805/INDEX('Resumo Operacional'!$A$1:$P$1103,17,MATCH('Detalhe Por UC'!$R805,'Resumo Operacional'!$A$1:$P$1,0)),
IF($H805="GIROSSOL II e III",AP805/INDEX('Resumo Operacional'!$A$1:$P$1103,17,MATCH('Detalhe Por UC'!$R805,'Resumo Operacional'!$A$1:$P$1,0)),
""))</f>
        <v/>
      </c>
      <c r="U805" s="113">
        <f>IF($H805="GIROSSOL III",AP805/INDEX('Resumo Operacional'!$A$1:$P$1103,53,MATCH('Detalhe Por UC'!$R805,'Resumo Operacional'!$A$1:$P$1,0)),
IF($H805="GIROSSOL II e III",AP805/INDEX('Resumo Operacional'!$A$1:$P$1103,53,MATCH('Detalhe Por UC'!$R805,'Resumo Operacional'!$A$1:$P$1,0)),
""))</f>
        <v>3.0189904236325272E-2</v>
      </c>
      <c r="X805">
        <v>1.1801905080213904</v>
      </c>
      <c r="Z805" s="18">
        <v>1.0233354880413705</v>
      </c>
      <c r="AB805" s="18">
        <v>176</v>
      </c>
      <c r="AD805" s="143">
        <v>91</v>
      </c>
      <c r="AF805" s="18">
        <v>301</v>
      </c>
      <c r="AH805" s="49">
        <v>44.620000000000005</v>
      </c>
      <c r="AK805" s="153">
        <v>159.21</v>
      </c>
      <c r="AL805" s="43">
        <f t="shared" si="492"/>
        <v>0</v>
      </c>
      <c r="AN805" s="71">
        <f t="shared" si="458"/>
        <v>95</v>
      </c>
      <c r="AO805" s="71">
        <f t="shared" si="459"/>
        <v>0</v>
      </c>
      <c r="AP805" s="71">
        <f t="shared" si="460"/>
        <v>186</v>
      </c>
      <c r="AQ805" s="72">
        <f>IF(OR($H805="GIROSSOL II",$H805="GIROSSOL II e III"),INDEX('Resumo Operacional'!$A$1:$P$1103,MATCH("Energia Injetada prevista total Fatura da Usina (TUSD)",'Resumo Operacional'!$B$1:$B$1103,0),MATCH('Detalhe Por UC'!$R805,'Resumo Operacional'!$A$1:$P$1,0))*$S805,INDEX('Resumo Operacional'!$A$1:$P$1103,53,MATCH('Detalhe Por UC'!$R805,'Resumo Operacional'!$A$1:$P$1,0))*$S805)</f>
        <v>62.842200000000005</v>
      </c>
      <c r="AR805" s="71">
        <f t="shared" si="461"/>
        <v>123.15779999999999</v>
      </c>
      <c r="AS805" s="73">
        <f t="shared" si="462"/>
        <v>159.20999999999998</v>
      </c>
      <c r="AT805" s="74">
        <f t="shared" si="463"/>
        <v>159.20999999999998</v>
      </c>
      <c r="AU805" s="74">
        <f t="shared" si="464"/>
        <v>0.86648046806135071</v>
      </c>
      <c r="AV805" s="74">
        <f t="shared" si="465"/>
        <v>72.081240511074043</v>
      </c>
      <c r="AW805" s="74">
        <f t="shared" si="466"/>
        <v>0</v>
      </c>
      <c r="AX805" s="74">
        <f t="shared" si="467"/>
        <v>93.123529411764721</v>
      </c>
      <c r="AY805" s="74">
        <f t="shared" si="468"/>
        <v>72.08</v>
      </c>
      <c r="AZ805" s="117">
        <v>72.08</v>
      </c>
      <c r="BA805" s="49">
        <v>72.08</v>
      </c>
      <c r="BB805" s="49">
        <v>93.12</v>
      </c>
      <c r="BC805" s="73">
        <f t="shared" si="469"/>
        <v>21.040000000000006</v>
      </c>
      <c r="BD805" s="73">
        <f t="shared" si="470"/>
        <v>252.33352941176472</v>
      </c>
      <c r="BE805" s="73">
        <f t="shared" si="471"/>
        <v>231.29124051107402</v>
      </c>
      <c r="BF805" s="77">
        <f t="shared" si="472"/>
        <v>21.04</v>
      </c>
      <c r="BG805" s="77">
        <f t="shared" si="473"/>
        <v>6.3119999999999994</v>
      </c>
      <c r="BH805" s="77">
        <f t="shared" si="474"/>
        <v>93.123529411764707</v>
      </c>
      <c r="BI805" s="78">
        <f t="shared" si="475"/>
        <v>0.23</v>
      </c>
      <c r="BJ805" s="79">
        <f t="shared" si="476"/>
        <v>8.3381705352626193E-2</v>
      </c>
      <c r="BK805" s="80">
        <f t="shared" si="477"/>
        <v>231.28999999999996</v>
      </c>
      <c r="BL805" s="80">
        <f t="shared" si="478"/>
        <v>21.043529411764752</v>
      </c>
      <c r="BM805" s="79">
        <f t="shared" si="479"/>
        <v>8.3395692442542371E-2</v>
      </c>
      <c r="BN805" s="81">
        <f t="shared" si="480"/>
        <v>0.79208791208791207</v>
      </c>
      <c r="BO805" s="82">
        <f t="shared" si="481"/>
        <v>72.08</v>
      </c>
      <c r="BP805" s="81">
        <f t="shared" si="482"/>
        <v>0.79208791208791207</v>
      </c>
      <c r="BQ805" s="81">
        <f t="shared" si="483"/>
        <v>0.9489429320679319</v>
      </c>
      <c r="BR805" s="81">
        <f t="shared" si="484"/>
        <v>1.1801905080213904</v>
      </c>
      <c r="BS805" s="82">
        <f t="shared" si="485"/>
        <v>91</v>
      </c>
      <c r="BT805" s="82">
        <f t="shared" si="486"/>
        <v>107.39733622994652</v>
      </c>
      <c r="BU805" s="82">
        <f t="shared" si="487"/>
        <v>93.123529411764721</v>
      </c>
      <c r="BW805" s="82">
        <f>IFERROR(INDEX('Infos Clientes'!$T:$T,MATCH('Detalhe Por UC'!$C805,'Infos Clientes'!B:B,0)),"")</f>
        <v>264</v>
      </c>
      <c r="BX805" s="83">
        <f t="shared" si="488"/>
        <v>0</v>
      </c>
      <c r="BY805" s="84">
        <f t="shared" si="489"/>
        <v>0.19594088783271862</v>
      </c>
      <c r="BZ805" s="85">
        <f>IF(_xlfn.MINIFS('Detalhe Por UC'!R:R,'Detalhe Por UC'!C:C,C805,'Detalhe Por UC'!AD:AD,"&gt;"&amp;0)=0,"",_xlfn.MINIFS('Detalhe Por UC'!R:R,'Detalhe Por UC'!C:C,C805,'Detalhe Por UC'!AD:AD,"&gt;"&amp;0))</f>
        <v>45658</v>
      </c>
      <c r="CA805" s="114">
        <f ca="1">IF(OR(S805&gt;0,AD805&gt;0),IFERROR(
SUMIFS(INDIRECT("'Infos Clientes'!$W"&amp;INDEX('Infos Clientes'!$C:$C,MATCH(C805,'Infos Clientes'!$H:$H,0))&amp;":$CZ"&amp;INDEX('Infos Clientes'!$C:$C,MATCH(C805,'Infos Clientes'!$H:$H,0))),'Infos Clientes'!$W$2:$CZ$2,"&gt;"&amp;$R805-365,'Infos Clientes'!$W$2:$CZ$2,"&lt;="&amp;$R805)/
COUNTIFS(INDIRECT("'Infos Clientes'!$W"&amp;INDEX('Infos Clientes'!$C:$C,MATCH(C805,'Infos Clientes'!$H:$H,0))&amp;":$CZ"&amp;INDEX('Infos Clientes'!$C:$C,MATCH(C805,'Infos Clientes'!$H:$H,0))),"&gt;="&amp;0,'Infos Clientes'!$W$2:$CZ$2,"&gt;"&amp;$R805-365,'Infos Clientes'!$W$2:$CZ$2,"&lt;="&amp;$R805),""),"")</f>
        <v>273.33333333333331</v>
      </c>
      <c r="CB805" s="87">
        <f>VLOOKUP(C805,'Infos Clientes'!B:L,11,0)</f>
        <v>0</v>
      </c>
      <c r="CC805" s="88" t="str">
        <f t="shared" si="490"/>
        <v>A Unidade Consumidora 10/52987-5 economizou R$21,04 na fatura referente à ago/2025  consumindo 91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5" s="115">
        <f t="shared" si="491"/>
        <v>-159.20999999999998</v>
      </c>
    </row>
    <row r="806" spans="1:84" ht="16.2" hidden="1" customHeight="1" x14ac:dyDescent="0.3">
      <c r="A806" s="105" t="str">
        <f>INDEX('Infos Clientes'!$D:$D,MATCH('Detalhe Por UC'!C806,'Infos Clientes'!B:B,0))</f>
        <v>IGREJA DO EVANGELHO QUADRANGULAR</v>
      </c>
      <c r="B806" s="106" t="str">
        <f>INDEX('Infos Clientes'!$F:$F,MATCH('Detalhe Por UC'!C806,'Infos Clientes'!B:B,0))</f>
        <v>62.955.505/1893-40</v>
      </c>
      <c r="C806" s="107" t="s">
        <v>214</v>
      </c>
      <c r="D806" t="s">
        <v>351</v>
      </c>
      <c r="E806" s="1" t="s">
        <v>352</v>
      </c>
      <c r="F806" s="56" t="str">
        <f>INDEX('Infos Clientes'!$I:$I,MATCH('Detalhe Por UC'!C806,'Infos Clientes'!B:B,0))</f>
        <v>BT</v>
      </c>
      <c r="G806" s="56" t="str">
        <f>INDEX('Infos Clientes'!$J:$J,MATCH('Detalhe Por UC'!C806,'Infos Clientes'!B:B,0))</f>
        <v>trifasico</v>
      </c>
      <c r="H806" s="47" t="str">
        <f t="shared" si="457"/>
        <v>GIROSSOL III</v>
      </c>
      <c r="I806" s="58">
        <f>IFERROR(VLOOKUP(C806,'Infos Clientes'!B:E,4,),"")</f>
        <v>349</v>
      </c>
      <c r="J806" s="151">
        <v>0.22596103298069697</v>
      </c>
      <c r="K806" s="79">
        <f>INDEX('Resumo Operacional'!$A$1:$P$151,MATCH("Desconto percentual Ucs",'Resumo Operacional'!$B$1:$B$151,0),MATCH('Detalhe Por UC'!$R806,'Resumo Operacional'!$A$1:$P$1,0))</f>
        <v>0.26495232343264008</v>
      </c>
      <c r="M806" s="56"/>
      <c r="N806" s="56"/>
      <c r="O806" s="56"/>
      <c r="P806" s="56"/>
      <c r="Q806" s="61"/>
      <c r="R806" s="111">
        <v>45870</v>
      </c>
      <c r="S806" s="152">
        <v>1.0200000000000001E-2</v>
      </c>
      <c r="T806" s="113" t="str">
        <f>IF($H806="GIROSSOL II",AP806/INDEX('Resumo Operacional'!$A$1:$P$1103,17,MATCH('Detalhe Por UC'!$R806,'Resumo Operacional'!$A$1:$P$1,0)),
IF($H806="GIROSSOL II e III",AP806/INDEX('Resumo Operacional'!$A$1:$P$1103,17,MATCH('Detalhe Por UC'!$R806,'Resumo Operacional'!$A$1:$P$1,0)),
""))</f>
        <v/>
      </c>
      <c r="U806" s="113">
        <f>IF($H806="GIROSSOL III",AP806/INDEX('Resumo Operacional'!$A$1:$P$1103,53,MATCH('Detalhe Por UC'!$R806,'Resumo Operacional'!$A$1:$P$1,0)),
IF($H806="GIROSSOL II e III",AP806/INDEX('Resumo Operacional'!$A$1:$P$1103,53,MATCH('Detalhe Por UC'!$R806,'Resumo Operacional'!$A$1:$P$1,0)),
""))</f>
        <v>0</v>
      </c>
      <c r="Z806" s="18"/>
      <c r="AB806" s="18"/>
      <c r="AD806" s="143"/>
      <c r="AF806" s="18"/>
      <c r="AH806" s="49"/>
      <c r="AL806" s="43"/>
      <c r="AN806" s="71" t="str">
        <f t="shared" si="458"/>
        <v/>
      </c>
      <c r="AO806" s="71" t="str">
        <f t="shared" si="459"/>
        <v/>
      </c>
      <c r="AP806" s="71">
        <f t="shared" si="460"/>
        <v>0</v>
      </c>
      <c r="AQ806" s="72">
        <f>IF(OR($H806="GIROSSOL II",$H806="GIROSSOL II e III"),INDEX('Resumo Operacional'!$A$1:$P$1103,MATCH("Energia Injetada prevista total Fatura da Usina (TUSD)",'Resumo Operacional'!$B$1:$B$1103,0),MATCH('Detalhe Por UC'!$R806,'Resumo Operacional'!$A$1:$P$1,0))*$S806,INDEX('Resumo Operacional'!$A$1:$P$1103,53,MATCH('Detalhe Por UC'!$R806,'Resumo Operacional'!$A$1:$P$1,0))*$S806)</f>
        <v>62.842200000000005</v>
      </c>
      <c r="AR806" s="71" t="str">
        <f t="shared" si="461"/>
        <v/>
      </c>
      <c r="AS806" s="73">
        <f t="shared" si="462"/>
        <v>0</v>
      </c>
      <c r="AT806" s="74">
        <f t="shared" si="463"/>
        <v>0</v>
      </c>
      <c r="AU806" s="74" t="str">
        <f t="shared" si="464"/>
        <v/>
      </c>
      <c r="AV806" s="74">
        <f t="shared" si="465"/>
        <v>0</v>
      </c>
      <c r="AW806" s="74">
        <f t="shared" si="466"/>
        <v>0</v>
      </c>
      <c r="AX806" s="74">
        <f t="shared" si="467"/>
        <v>0</v>
      </c>
      <c r="AY806" s="74" t="str">
        <f t="shared" si="468"/>
        <v/>
      </c>
      <c r="AZ806" s="117">
        <v>0</v>
      </c>
      <c r="BC806" s="73" t="str">
        <f t="shared" si="469"/>
        <v/>
      </c>
      <c r="BD806" s="73">
        <f t="shared" si="470"/>
        <v>0</v>
      </c>
      <c r="BE806" s="73">
        <f t="shared" si="471"/>
        <v>0</v>
      </c>
      <c r="BF806" s="77">
        <f t="shared" si="472"/>
        <v>0</v>
      </c>
      <c r="BG806" s="77">
        <f t="shared" si="473"/>
        <v>0</v>
      </c>
      <c r="BH806" s="77">
        <f t="shared" si="474"/>
        <v>0</v>
      </c>
      <c r="BI806" s="78" t="str">
        <f t="shared" si="475"/>
        <v/>
      </c>
      <c r="BJ806" s="79" t="str">
        <f t="shared" si="476"/>
        <v/>
      </c>
      <c r="BK806" s="80" t="str">
        <f t="shared" si="477"/>
        <v/>
      </c>
      <c r="BL806" s="80" t="str">
        <f t="shared" si="478"/>
        <v/>
      </c>
      <c r="BM806" s="79" t="str">
        <f t="shared" si="479"/>
        <v/>
      </c>
      <c r="BN806" s="81" t="str">
        <f t="shared" si="480"/>
        <v/>
      </c>
      <c r="BO806" s="82" t="str">
        <f t="shared" si="481"/>
        <v/>
      </c>
      <c r="BP806" s="81" t="str">
        <f t="shared" si="482"/>
        <v/>
      </c>
      <c r="BQ806" s="81" t="str">
        <f t="shared" si="483"/>
        <v/>
      </c>
      <c r="BR806" s="81" t="str">
        <f t="shared" si="484"/>
        <v/>
      </c>
      <c r="BS806" s="82">
        <f t="shared" si="485"/>
        <v>0</v>
      </c>
      <c r="BT806" s="82" t="str">
        <f t="shared" si="486"/>
        <v/>
      </c>
      <c r="BU806" s="82">
        <f t="shared" si="487"/>
        <v>0</v>
      </c>
      <c r="BW806" s="82">
        <f>IFERROR(INDEX('Infos Clientes'!$T:$T,MATCH('Detalhe Por UC'!$C806,'Infos Clientes'!B:B,0)),"")</f>
        <v>254.09090909090909</v>
      </c>
      <c r="BX806" s="83">
        <f t="shared" si="488"/>
        <v>0</v>
      </c>
      <c r="BY806" s="84" t="str">
        <f t="shared" si="489"/>
        <v/>
      </c>
      <c r="BZ806" s="85">
        <f>IF(_xlfn.MINIFS('Detalhe Por UC'!R:R,'Detalhe Por UC'!C:C,C806,'Detalhe Por UC'!AD:AD,"&gt;"&amp;0)=0,"",_xlfn.MINIFS('Detalhe Por UC'!R:R,'Detalhe Por UC'!C:C,C806,'Detalhe Por UC'!AD:AD,"&gt;"&amp;0))</f>
        <v>45658</v>
      </c>
      <c r="CA806" s="114">
        <f ca="1">IF(OR(S806&gt;0,AD806&gt;0),IFERROR(
SUMIFS(INDIRECT("'Infos Clientes'!$W"&amp;INDEX('Infos Clientes'!$C:$C,MATCH(C806,'Infos Clientes'!$H:$H,0))&amp;":$CZ"&amp;INDEX('Infos Clientes'!$C:$C,MATCH(C806,'Infos Clientes'!$H:$H,0))),'Infos Clientes'!$W$2:$CZ$2,"&gt;"&amp;$R806-365,'Infos Clientes'!$W$2:$CZ$2,"&lt;="&amp;$R806)/
COUNTIFS(INDIRECT("'Infos Clientes'!$W"&amp;INDEX('Infos Clientes'!$C:$C,MATCH(C806,'Infos Clientes'!$H:$H,0))&amp;":$CZ"&amp;INDEX('Infos Clientes'!$C:$C,MATCH(C806,'Infos Clientes'!$H:$H,0))),"&gt;="&amp;0,'Infos Clientes'!$W$2:$CZ$2,"&gt;"&amp;$R806-365,'Infos Clientes'!$W$2:$CZ$2,"&lt;="&amp;$R806),""),"")</f>
        <v>258.5</v>
      </c>
      <c r="CB806" s="87">
        <f>VLOOKUP(C806,'Infos Clientes'!B:L,11,0)</f>
        <v>0</v>
      </c>
      <c r="CC806" s="88" t="str">
        <f t="shared" si="490"/>
        <v>A Unidade Consumidora 10/512142-1 economizou R$0 na fatura referente à ago/2025  consumindo 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6" s="115">
        <f t="shared" si="491"/>
        <v>0</v>
      </c>
    </row>
    <row r="807" spans="1:84" ht="16.2" hidden="1" customHeight="1" x14ac:dyDescent="0.3">
      <c r="A807" s="105" t="str">
        <f>INDEX('Infos Clientes'!$D:$D,MATCH('Detalhe Por UC'!C807,'Infos Clientes'!B:B,0))</f>
        <v>IGREJA DO EVANGELHO QUADRANGULAR</v>
      </c>
      <c r="B807" s="106" t="str">
        <f>INDEX('Infos Clientes'!$F:$F,MATCH('Detalhe Por UC'!C807,'Infos Clientes'!B:B,0))</f>
        <v>62.955.505/3358-51</v>
      </c>
      <c r="C807" s="31" t="s">
        <v>150</v>
      </c>
      <c r="D807" t="s">
        <v>351</v>
      </c>
      <c r="E807" s="1" t="s">
        <v>352</v>
      </c>
      <c r="F807" s="56" t="str">
        <f>INDEX('Infos Clientes'!$I:$I,MATCH('Detalhe Por UC'!C807,'Infos Clientes'!B:B,0))</f>
        <v>BT</v>
      </c>
      <c r="G807" s="56" t="str">
        <f>INDEX('Infos Clientes'!$J:$J,MATCH('Detalhe Por UC'!C807,'Infos Clientes'!B:B,0))</f>
        <v>trifasico</v>
      </c>
      <c r="H807" s="47" t="str">
        <f t="shared" si="457"/>
        <v>GIROSSOL III</v>
      </c>
      <c r="I807" s="58">
        <f>IFERROR(VLOOKUP(C807,'Infos Clientes'!B:E,4,),"")</f>
        <v>306</v>
      </c>
      <c r="J807" s="151">
        <v>0.22596103298069697</v>
      </c>
      <c r="K807" s="79">
        <f>INDEX('Resumo Operacional'!$A$1:$P$151,MATCH("Desconto percentual Ucs",'Resumo Operacional'!$B$1:$B$151,0),MATCH('Detalhe Por UC'!$R807,'Resumo Operacional'!$A$1:$P$1,0))</f>
        <v>0.26495232343264008</v>
      </c>
      <c r="M807" s="56"/>
      <c r="N807" s="56"/>
      <c r="O807" s="56"/>
      <c r="P807" s="56"/>
      <c r="Q807" s="61"/>
      <c r="R807" s="111">
        <v>45870</v>
      </c>
      <c r="S807" s="152">
        <v>1.0200000000000001E-2</v>
      </c>
      <c r="T807" s="113" t="str">
        <f>IF($H807="GIROSSOL II",AP807/INDEX('Resumo Operacional'!$A$1:$P$1103,17,MATCH('Detalhe Por UC'!$R807,'Resumo Operacional'!$A$1:$P$1,0)),
IF($H807="GIROSSOL II e III",AP807/INDEX('Resumo Operacional'!$A$1:$P$1103,17,MATCH('Detalhe Por UC'!$R807,'Resumo Operacional'!$A$1:$P$1,0)),
""))</f>
        <v/>
      </c>
      <c r="U807" s="113">
        <f>IF($H807="GIROSSOL III",AP807/INDEX('Resumo Operacional'!$A$1:$P$1103,53,MATCH('Detalhe Por UC'!$R807,'Resumo Operacional'!$A$1:$P$1,0)),
IF($H807="GIROSSOL II e III",AP807/INDEX('Resumo Operacional'!$A$1:$P$1103,53,MATCH('Detalhe Por UC'!$R807,'Resumo Operacional'!$A$1:$P$1,0)),
""))</f>
        <v>1.5094952118162636E-2</v>
      </c>
      <c r="X807">
        <v>1.1607494279176203</v>
      </c>
      <c r="Z807" s="18">
        <v>1.0038465481886534</v>
      </c>
      <c r="AB807" s="18">
        <v>230</v>
      </c>
      <c r="AD807" s="143">
        <v>154</v>
      </c>
      <c r="AF807" s="18"/>
      <c r="AH807" s="49">
        <v>0</v>
      </c>
      <c r="AK807" s="153">
        <v>112.38</v>
      </c>
      <c r="AL807" s="43">
        <f t="shared" si="492"/>
        <v>0</v>
      </c>
      <c r="AN807" s="71">
        <f t="shared" si="458"/>
        <v>-61</v>
      </c>
      <c r="AO807" s="71">
        <f t="shared" si="459"/>
        <v>0</v>
      </c>
      <c r="AP807" s="71">
        <f t="shared" si="460"/>
        <v>93</v>
      </c>
      <c r="AQ807" s="72">
        <f>IF(OR($H807="GIROSSOL II",$H807="GIROSSOL II e III"),INDEX('Resumo Operacional'!$A$1:$P$1103,MATCH("Energia Injetada prevista total Fatura da Usina (TUSD)",'Resumo Operacional'!$B$1:$B$1103,0),MATCH('Detalhe Por UC'!$R807,'Resumo Operacional'!$A$1:$P$1,0))*$S807,INDEX('Resumo Operacional'!$A$1:$P$1103,53,MATCH('Detalhe Por UC'!$R807,'Resumo Operacional'!$A$1:$P$1,0))*$S807)</f>
        <v>62.842200000000005</v>
      </c>
      <c r="AR807" s="71">
        <f t="shared" si="461"/>
        <v>30.157799999999995</v>
      </c>
      <c r="AS807" s="73">
        <f t="shared" si="462"/>
        <v>112.38000000000002</v>
      </c>
      <c r="AT807" s="74">
        <f t="shared" si="463"/>
        <v>112.38000000000002</v>
      </c>
      <c r="AU807" s="74">
        <f t="shared" si="464"/>
        <v>0.84694366845968649</v>
      </c>
      <c r="AV807" s="74">
        <f t="shared" si="465"/>
        <v>119.66051716169909</v>
      </c>
      <c r="AW807" s="74">
        <f t="shared" si="466"/>
        <v>0</v>
      </c>
      <c r="AX807" s="74">
        <f t="shared" si="467"/>
        <v>154.59236842105261</v>
      </c>
      <c r="AY807" s="74">
        <f t="shared" si="468"/>
        <v>119.66</v>
      </c>
      <c r="AZ807" s="117">
        <v>119.66</v>
      </c>
      <c r="BA807" s="49">
        <v>119.66</v>
      </c>
      <c r="BB807" s="49">
        <v>119.66</v>
      </c>
      <c r="BC807" s="73" t="str">
        <f t="shared" si="469"/>
        <v/>
      </c>
      <c r="BD807" s="73">
        <f t="shared" si="470"/>
        <v>266.97236842105264</v>
      </c>
      <c r="BE807" s="73">
        <f t="shared" si="471"/>
        <v>232.04051716169911</v>
      </c>
      <c r="BF807" s="77">
        <f t="shared" si="472"/>
        <v>34.93</v>
      </c>
      <c r="BG807" s="77">
        <f t="shared" si="473"/>
        <v>10.478999999999999</v>
      </c>
      <c r="BH807" s="77">
        <f t="shared" si="474"/>
        <v>154.59236842105261</v>
      </c>
      <c r="BI807" s="78">
        <f t="shared" si="475"/>
        <v>0.23</v>
      </c>
      <c r="BJ807" s="79">
        <f t="shared" si="476"/>
        <v>0.13083751028837007</v>
      </c>
      <c r="BK807" s="80">
        <f t="shared" si="477"/>
        <v>232.04000000000002</v>
      </c>
      <c r="BL807" s="80">
        <f t="shared" si="478"/>
        <v>34.932368421052615</v>
      </c>
      <c r="BM807" s="79">
        <f t="shared" si="479"/>
        <v>0.13084638169729762</v>
      </c>
      <c r="BN807" s="81">
        <f t="shared" si="480"/>
        <v>0.77701298701298704</v>
      </c>
      <c r="BO807" s="82">
        <f t="shared" si="481"/>
        <v>119.66000000000001</v>
      </c>
      <c r="BP807" s="81">
        <f t="shared" si="482"/>
        <v>0.77701298701298704</v>
      </c>
      <c r="BQ807" s="81">
        <f t="shared" si="483"/>
        <v>0.93391586674195393</v>
      </c>
      <c r="BR807" s="81">
        <f t="shared" si="484"/>
        <v>1.1607494279176203</v>
      </c>
      <c r="BS807" s="82">
        <f t="shared" si="485"/>
        <v>154</v>
      </c>
      <c r="BT807" s="82">
        <f t="shared" si="486"/>
        <v>178.75541189931351</v>
      </c>
      <c r="BU807" s="82">
        <f t="shared" si="487"/>
        <v>154.59236842105261</v>
      </c>
      <c r="BW807" s="82">
        <f>IFERROR(INDEX('Infos Clientes'!$T:$T,MATCH('Detalhe Por UC'!$C807,'Infos Clientes'!B:B,0)),"")</f>
        <v>209.54545454545453</v>
      </c>
      <c r="BX807" s="83">
        <f t="shared" si="488"/>
        <v>0</v>
      </c>
      <c r="BY807" s="84">
        <f t="shared" si="489"/>
        <v>0.19541992071674316</v>
      </c>
      <c r="BZ807" s="85">
        <f>IF(_xlfn.MINIFS('Detalhe Por UC'!R:R,'Detalhe Por UC'!C:C,C807,'Detalhe Por UC'!AD:AD,"&gt;"&amp;0)=0,"",_xlfn.MINIFS('Detalhe Por UC'!R:R,'Detalhe Por UC'!C:C,C807,'Detalhe Por UC'!AD:AD,"&gt;"&amp;0))</f>
        <v>45658</v>
      </c>
      <c r="CA807" s="114">
        <f ca="1">IF(OR(S807&gt;0,AD807&gt;0),IFERROR(
SUMIFS(INDIRECT("'Infos Clientes'!$W"&amp;INDEX('Infos Clientes'!$C:$C,MATCH(C807,'Infos Clientes'!$H:$H,0))&amp;":$CZ"&amp;INDEX('Infos Clientes'!$C:$C,MATCH(C807,'Infos Clientes'!$H:$H,0))),'Infos Clientes'!$W$2:$CZ$2,"&gt;"&amp;$R807-365,'Infos Clientes'!$W$2:$CZ$2,"&lt;="&amp;$R807)/
COUNTIFS(INDIRECT("'Infos Clientes'!$W"&amp;INDEX('Infos Clientes'!$C:$C,MATCH(C807,'Infos Clientes'!$H:$H,0))&amp;":$CZ"&amp;INDEX('Infos Clientes'!$C:$C,MATCH(C807,'Infos Clientes'!$H:$H,0))),"&gt;="&amp;0,'Infos Clientes'!$W$2:$CZ$2,"&gt;"&amp;$R807-365,'Infos Clientes'!$W$2:$CZ$2,"&lt;="&amp;$R807),""),"")</f>
        <v>225.41666666666666</v>
      </c>
      <c r="CB807" s="87">
        <f>VLOOKUP(C807,'Infos Clientes'!B:L,11,0)</f>
        <v>0</v>
      </c>
      <c r="CC807" s="88" t="str">
        <f t="shared" si="490"/>
        <v>A Unidade Consumidora 10/1288241-1 economizou R$34,93 na fatura referente à ago/2025  consumindo 154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7" s="115">
        <f t="shared" si="491"/>
        <v>-112.38000000000002</v>
      </c>
    </row>
    <row r="808" spans="1:84" ht="16.2" hidden="1" customHeight="1" x14ac:dyDescent="0.3">
      <c r="A808" s="105" t="str">
        <f>INDEX('Infos Clientes'!$D:$D,MATCH('Detalhe Por UC'!C808,'Infos Clientes'!B:B,0))</f>
        <v>IGREJA DO EVANGELHO QUADRANGULAR</v>
      </c>
      <c r="B808" s="106" t="str">
        <f>INDEX('Infos Clientes'!$F:$F,MATCH('Detalhe Por UC'!C808,'Infos Clientes'!B:B,0))</f>
        <v>62.955.505/3671-17</v>
      </c>
      <c r="C808" s="31" t="s">
        <v>217</v>
      </c>
      <c r="D808" t="s">
        <v>351</v>
      </c>
      <c r="E808" s="1" t="s">
        <v>352</v>
      </c>
      <c r="F808" s="56" t="str">
        <f>INDEX('Infos Clientes'!$I:$I,MATCH('Detalhe Por UC'!C808,'Infos Clientes'!B:B,0))</f>
        <v>BT</v>
      </c>
      <c r="G808" s="56" t="str">
        <f>INDEX('Infos Clientes'!$J:$J,MATCH('Detalhe Por UC'!C808,'Infos Clientes'!B:B,0))</f>
        <v>bifasico</v>
      </c>
      <c r="H808" s="47" t="str">
        <f t="shared" si="457"/>
        <v>GIROSSOL III</v>
      </c>
      <c r="I808" s="58">
        <f>IFERROR(VLOOKUP(C808,'Infos Clientes'!B:E,4,),"")</f>
        <v>362</v>
      </c>
      <c r="J808" s="151">
        <v>0.22596103298069697</v>
      </c>
      <c r="K808" s="79">
        <f>INDEX('Resumo Operacional'!$A$1:$P$151,MATCH("Desconto percentual Ucs",'Resumo Operacional'!$B$1:$B$151,0),MATCH('Detalhe Por UC'!$R808,'Resumo Operacional'!$A$1:$P$1,0))</f>
        <v>0.26495232343264008</v>
      </c>
      <c r="M808" s="56"/>
      <c r="N808" s="56"/>
      <c r="O808" s="56"/>
      <c r="P808" s="56"/>
      <c r="Q808" s="61"/>
      <c r="R808" s="111">
        <v>45870</v>
      </c>
      <c r="S808" s="152">
        <v>1.0200000000000001E-2</v>
      </c>
      <c r="T808" s="113" t="str">
        <f>IF($H808="GIROSSOL II",AP808/INDEX('Resumo Operacional'!$A$1:$P$1103,17,MATCH('Detalhe Por UC'!$R808,'Resumo Operacional'!$A$1:$P$1,0)),
IF($H808="GIROSSOL II e III",AP808/INDEX('Resumo Operacional'!$A$1:$P$1103,17,MATCH('Detalhe Por UC'!$R808,'Resumo Operacional'!$A$1:$P$1,0)),
""))</f>
        <v/>
      </c>
      <c r="U808" s="113">
        <f>IF($H808="GIROSSOL III",AP808/INDEX('Resumo Operacional'!$A$1:$P$1103,53,MATCH('Detalhe Por UC'!$R808,'Resumo Operacional'!$A$1:$P$1,0)),
IF($H808="GIROSSOL II e III",AP808/INDEX('Resumo Operacional'!$A$1:$P$1103,53,MATCH('Detalhe Por UC'!$R808,'Resumo Operacional'!$A$1:$P$1,0)),
""))</f>
        <v>1.5094952118162636E-2</v>
      </c>
      <c r="X808">
        <v>1.1656</v>
      </c>
      <c r="Z808" s="18">
        <v>0</v>
      </c>
      <c r="AB808" s="18">
        <v>0</v>
      </c>
      <c r="AD808" s="143">
        <v>0</v>
      </c>
      <c r="AF808" s="18">
        <v>265</v>
      </c>
      <c r="AH808" s="49">
        <v>15.72</v>
      </c>
      <c r="AK808" s="153">
        <v>74</v>
      </c>
      <c r="AL808" s="43">
        <f t="shared" si="492"/>
        <v>0</v>
      </c>
      <c r="AN808" s="71">
        <f t="shared" si="458"/>
        <v>93</v>
      </c>
      <c r="AO808" s="71">
        <f t="shared" si="459"/>
        <v>0</v>
      </c>
      <c r="AP808" s="71">
        <f t="shared" si="460"/>
        <v>93</v>
      </c>
      <c r="AQ808" s="72">
        <f>IF(OR($H808="GIROSSOL II",$H808="GIROSSOL II e III"),INDEX('Resumo Operacional'!$A$1:$P$1103,MATCH("Energia Injetada prevista total Fatura da Usina (TUSD)",'Resumo Operacional'!$B$1:$B$1103,0),MATCH('Detalhe Por UC'!$R808,'Resumo Operacional'!$A$1:$P$1,0))*$S808,INDEX('Resumo Operacional'!$A$1:$P$1103,53,MATCH('Detalhe Por UC'!$R808,'Resumo Operacional'!$A$1:$P$1,0))*$S808)</f>
        <v>62.842200000000005</v>
      </c>
      <c r="AR808" s="71">
        <f t="shared" si="461"/>
        <v>30.157799999999995</v>
      </c>
      <c r="AS808" s="73">
        <f t="shared" si="462"/>
        <v>74</v>
      </c>
      <c r="AT808" s="74">
        <f t="shared" si="463"/>
        <v>74</v>
      </c>
      <c r="AU808" s="74" t="str">
        <f t="shared" si="464"/>
        <v/>
      </c>
      <c r="AV808" s="74">
        <f t="shared" si="465"/>
        <v>0</v>
      </c>
      <c r="AW808" s="74">
        <f t="shared" si="466"/>
        <v>0.82999999999999829</v>
      </c>
      <c r="AX808" s="74">
        <f t="shared" si="467"/>
        <v>0.82999999999999829</v>
      </c>
      <c r="AY808" s="74">
        <f t="shared" si="468"/>
        <v>0.82999999999999829</v>
      </c>
      <c r="AZ808" s="117">
        <v>0.82999999999999829</v>
      </c>
      <c r="BC808" s="73" t="str">
        <f t="shared" si="469"/>
        <v/>
      </c>
      <c r="BD808" s="73">
        <f t="shared" si="470"/>
        <v>74</v>
      </c>
      <c r="BE808" s="73">
        <f t="shared" si="471"/>
        <v>74</v>
      </c>
      <c r="BF808" s="77">
        <f t="shared" si="472"/>
        <v>0</v>
      </c>
      <c r="BG808" s="77">
        <f t="shared" si="473"/>
        <v>0</v>
      </c>
      <c r="BH808" s="77">
        <f t="shared" si="474"/>
        <v>0</v>
      </c>
      <c r="BI808" s="78" t="str">
        <f t="shared" si="475"/>
        <v/>
      </c>
      <c r="BJ808" s="79">
        <f t="shared" si="476"/>
        <v>0</v>
      </c>
      <c r="BK808" s="80">
        <f t="shared" si="477"/>
        <v>74.83</v>
      </c>
      <c r="BL808" s="80">
        <f t="shared" si="478"/>
        <v>-0.82999999999999829</v>
      </c>
      <c r="BM808" s="79">
        <f t="shared" si="479"/>
        <v>-1.1216216216216194E-2</v>
      </c>
      <c r="BN808" s="81" t="str">
        <f t="shared" si="480"/>
        <v/>
      </c>
      <c r="BO808" s="82" t="str">
        <f t="shared" si="481"/>
        <v/>
      </c>
      <c r="BP808" s="81" t="str">
        <f t="shared" si="482"/>
        <v/>
      </c>
      <c r="BQ808" s="81" t="str">
        <f t="shared" si="483"/>
        <v/>
      </c>
      <c r="BR808" s="81" t="str">
        <f t="shared" si="484"/>
        <v/>
      </c>
      <c r="BS808" s="82">
        <f t="shared" si="485"/>
        <v>0</v>
      </c>
      <c r="BT808" s="82" t="str">
        <f t="shared" si="486"/>
        <v/>
      </c>
      <c r="BU808" s="82">
        <f t="shared" si="487"/>
        <v>0</v>
      </c>
      <c r="BW808" s="82">
        <f>IFERROR(INDEX('Infos Clientes'!$T:$T,MATCH('Detalhe Por UC'!$C808,'Infos Clientes'!B:B,0)),"")</f>
        <v>122.45454545454545</v>
      </c>
      <c r="BX808" s="83">
        <f t="shared" si="488"/>
        <v>0</v>
      </c>
      <c r="BY808" s="84" t="str">
        <f t="shared" si="489"/>
        <v/>
      </c>
      <c r="BZ808" s="85">
        <f>IF(_xlfn.MINIFS('Detalhe Por UC'!R:R,'Detalhe Por UC'!C:C,C808,'Detalhe Por UC'!AD:AD,"&gt;"&amp;0)=0,"",_xlfn.MINIFS('Detalhe Por UC'!R:R,'Detalhe Por UC'!C:C,C808,'Detalhe Por UC'!AD:AD,"&gt;"&amp;0))</f>
        <v>45658</v>
      </c>
      <c r="CA808" s="114">
        <f ca="1">IF(OR(S808&gt;0,AD808&gt;0),IFERROR(
SUMIFS(INDIRECT("'Infos Clientes'!$W"&amp;INDEX('Infos Clientes'!$C:$C,MATCH(C808,'Infos Clientes'!$H:$H,0))&amp;":$CZ"&amp;INDEX('Infos Clientes'!$C:$C,MATCH(C808,'Infos Clientes'!$H:$H,0))),'Infos Clientes'!$W$2:$CZ$2,"&gt;"&amp;$R808-365,'Infos Clientes'!$W$2:$CZ$2,"&lt;="&amp;$R808)/
COUNTIFS(INDIRECT("'Infos Clientes'!$W"&amp;INDEX('Infos Clientes'!$C:$C,MATCH(C808,'Infos Clientes'!$H:$H,0))&amp;":$CZ"&amp;INDEX('Infos Clientes'!$C:$C,MATCH(C808,'Infos Clientes'!$H:$H,0))),"&gt;="&amp;0,'Infos Clientes'!$W$2:$CZ$2,"&gt;"&amp;$R808-365,'Infos Clientes'!$W$2:$CZ$2,"&lt;="&amp;$R808),""),"")</f>
        <v>154.69999999999999</v>
      </c>
      <c r="CB808" s="87">
        <f>VLOOKUP(C808,'Infos Clientes'!B:L,11,0)</f>
        <v>0</v>
      </c>
      <c r="CC808" s="88" t="str">
        <f t="shared" si="490"/>
        <v>A Unidade Consumidora 10/530195-7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8" s="115">
        <f t="shared" si="491"/>
        <v>-74</v>
      </c>
    </row>
    <row r="809" spans="1:84" ht="16.2" hidden="1" customHeight="1" x14ac:dyDescent="0.3">
      <c r="A809" s="105" t="str">
        <f>INDEX('Infos Clientes'!$D:$D,MATCH('Detalhe Por UC'!C809,'Infos Clientes'!B:B,0))</f>
        <v>IGREJA DO EVANGELHO QUADRANGULAR</v>
      </c>
      <c r="B809" s="106" t="str">
        <f>INDEX('Infos Clientes'!$F:$F,MATCH('Detalhe Por UC'!C809,'Infos Clientes'!B:B,0))</f>
        <v>62.955.505/2488-86</v>
      </c>
      <c r="C809" s="31" t="s">
        <v>195</v>
      </c>
      <c r="D809" t="s">
        <v>351</v>
      </c>
      <c r="E809" s="1" t="s">
        <v>352</v>
      </c>
      <c r="F809" s="56" t="str">
        <f>INDEX('Infos Clientes'!$I:$I,MATCH('Detalhe Por UC'!C809,'Infos Clientes'!B:B,0))</f>
        <v>BT</v>
      </c>
      <c r="G809" s="56" t="str">
        <f>INDEX('Infos Clientes'!$J:$J,MATCH('Detalhe Por UC'!C809,'Infos Clientes'!B:B,0))</f>
        <v>trifasico</v>
      </c>
      <c r="H809" s="47" t="str">
        <f t="shared" si="457"/>
        <v>GIROSSOL III</v>
      </c>
      <c r="I809" s="58">
        <f>IFERROR(VLOOKUP(C809,'Infos Clientes'!B:E,4,),"")</f>
        <v>306</v>
      </c>
      <c r="J809" s="151">
        <v>0.22596103298069697</v>
      </c>
      <c r="K809" s="79">
        <f>INDEX('Resumo Operacional'!$A$1:$P$151,MATCH("Desconto percentual Ucs",'Resumo Operacional'!$B$1:$B$151,0),MATCH('Detalhe Por UC'!$R809,'Resumo Operacional'!$A$1:$P$1,0))</f>
        <v>0.26495232343264008</v>
      </c>
      <c r="M809" s="56"/>
      <c r="N809" s="56"/>
      <c r="O809" s="56"/>
      <c r="P809" s="56"/>
      <c r="Q809" s="61"/>
      <c r="R809" s="111">
        <v>45870</v>
      </c>
      <c r="S809" s="152">
        <v>1.0200000000000001E-2</v>
      </c>
      <c r="T809" s="113" t="str">
        <f>IF($H809="GIROSSOL II",AP809/INDEX('Resumo Operacional'!$A$1:$P$1103,17,MATCH('Detalhe Por UC'!$R809,'Resumo Operacional'!$A$1:$P$1,0)),
IF($H809="GIROSSOL II e III",AP809/INDEX('Resumo Operacional'!$A$1:$P$1103,17,MATCH('Detalhe Por UC'!$R809,'Resumo Operacional'!$A$1:$P$1,0)),
""))</f>
        <v/>
      </c>
      <c r="U809" s="113">
        <f>IF($H809="GIROSSOL III",AP809/INDEX('Resumo Operacional'!$A$1:$P$1103,53,MATCH('Detalhe Por UC'!$R809,'Resumo Operacional'!$A$1:$P$1,0)),
IF($H809="GIROSSOL II e III",AP809/INDEX('Resumo Operacional'!$A$1:$P$1103,53,MATCH('Detalhe Por UC'!$R809,'Resumo Operacional'!$A$1:$P$1,0)),
""))</f>
        <v>3.213763999350755E-2</v>
      </c>
      <c r="X809">
        <v>1.1776664832140893</v>
      </c>
      <c r="Z809" s="18">
        <v>1.0207575158227851</v>
      </c>
      <c r="AB809" s="18">
        <v>207</v>
      </c>
      <c r="AD809" s="143">
        <v>128</v>
      </c>
      <c r="AF809" s="18">
        <v>186</v>
      </c>
      <c r="AH809" s="49">
        <v>2.35</v>
      </c>
      <c r="AK809" s="153">
        <v>115.47</v>
      </c>
      <c r="AL809" s="43">
        <f t="shared" si="492"/>
        <v>0</v>
      </c>
      <c r="AN809" s="71">
        <f t="shared" si="458"/>
        <v>70</v>
      </c>
      <c r="AO809" s="71">
        <f t="shared" si="459"/>
        <v>0</v>
      </c>
      <c r="AP809" s="71">
        <f t="shared" si="460"/>
        <v>198</v>
      </c>
      <c r="AQ809" s="72">
        <f>IF(OR($H809="GIROSSOL II",$H809="GIROSSOL II e III"),INDEX('Resumo Operacional'!$A$1:$P$1103,MATCH("Energia Injetada prevista total Fatura da Usina (TUSD)",'Resumo Operacional'!$B$1:$B$1103,0),MATCH('Detalhe Por UC'!$R809,'Resumo Operacional'!$A$1:$P$1,0))*$S809,INDEX('Resumo Operacional'!$A$1:$P$1103,53,MATCH('Detalhe Por UC'!$R809,'Resumo Operacional'!$A$1:$P$1,0))*$S809)</f>
        <v>62.842200000000005</v>
      </c>
      <c r="AR809" s="71">
        <f t="shared" si="461"/>
        <v>135.15780000000001</v>
      </c>
      <c r="AS809" s="73">
        <f t="shared" si="462"/>
        <v>115.47</v>
      </c>
      <c r="AT809" s="74">
        <f t="shared" si="463"/>
        <v>115.47</v>
      </c>
      <c r="AU809" s="74">
        <f t="shared" si="464"/>
        <v>0.86384854843148084</v>
      </c>
      <c r="AV809" s="74">
        <f t="shared" si="465"/>
        <v>101.13357991995629</v>
      </c>
      <c r="AW809" s="74">
        <f t="shared" si="466"/>
        <v>0</v>
      </c>
      <c r="AX809" s="74">
        <f t="shared" si="467"/>
        <v>130.65696202531649</v>
      </c>
      <c r="AY809" s="74">
        <f t="shared" si="468"/>
        <v>101.13</v>
      </c>
      <c r="AZ809" s="117">
        <v>101.13</v>
      </c>
      <c r="BA809" s="49">
        <v>101.13</v>
      </c>
      <c r="BB809" s="49">
        <v>130.66</v>
      </c>
      <c r="BC809" s="73">
        <f t="shared" si="469"/>
        <v>29.53</v>
      </c>
      <c r="BD809" s="73">
        <f t="shared" si="470"/>
        <v>246.12696202531649</v>
      </c>
      <c r="BE809" s="73">
        <f t="shared" si="471"/>
        <v>216.6035799199563</v>
      </c>
      <c r="BF809" s="77">
        <f t="shared" si="472"/>
        <v>29.52</v>
      </c>
      <c r="BG809" s="77">
        <f t="shared" si="473"/>
        <v>8.8559999999999999</v>
      </c>
      <c r="BH809" s="77">
        <f t="shared" si="474"/>
        <v>130.65696202531649</v>
      </c>
      <c r="BI809" s="78">
        <f t="shared" si="475"/>
        <v>0.23</v>
      </c>
      <c r="BJ809" s="79">
        <f t="shared" si="476"/>
        <v>0.11993809925205833</v>
      </c>
      <c r="BK809" s="80">
        <f t="shared" si="477"/>
        <v>216.6</v>
      </c>
      <c r="BL809" s="80">
        <f t="shared" si="478"/>
        <v>29.526962025316493</v>
      </c>
      <c r="BM809" s="79">
        <f t="shared" si="479"/>
        <v>0.11996638556924684</v>
      </c>
      <c r="BN809" s="81">
        <f t="shared" si="480"/>
        <v>0.79007812499999996</v>
      </c>
      <c r="BO809" s="82">
        <f t="shared" si="481"/>
        <v>101.13</v>
      </c>
      <c r="BP809" s="81">
        <f t="shared" si="482"/>
        <v>0.79007812499999996</v>
      </c>
      <c r="BQ809" s="81">
        <f t="shared" si="483"/>
        <v>0.94698709239130419</v>
      </c>
      <c r="BR809" s="81">
        <f t="shared" si="484"/>
        <v>1.1776664832140893</v>
      </c>
      <c r="BS809" s="82">
        <f t="shared" si="485"/>
        <v>128</v>
      </c>
      <c r="BT809" s="82">
        <f t="shared" si="486"/>
        <v>150.74130985140343</v>
      </c>
      <c r="BU809" s="82">
        <f t="shared" si="487"/>
        <v>130.65696202531649</v>
      </c>
      <c r="BW809" s="82">
        <f>IFERROR(INDEX('Infos Clientes'!$T:$T,MATCH('Detalhe Por UC'!$C809,'Infos Clientes'!B:B,0)),"")</f>
        <v>249.81818181818181</v>
      </c>
      <c r="BX809" s="83">
        <f t="shared" si="488"/>
        <v>0</v>
      </c>
      <c r="BY809" s="84">
        <f t="shared" si="489"/>
        <v>0.19587836973437039</v>
      </c>
      <c r="BZ809" s="85">
        <f>IF(_xlfn.MINIFS('Detalhe Por UC'!R:R,'Detalhe Por UC'!C:C,C809,'Detalhe Por UC'!AD:AD,"&gt;"&amp;0)=0,"",_xlfn.MINIFS('Detalhe Por UC'!R:R,'Detalhe Por UC'!C:C,C809,'Detalhe Por UC'!AD:AD,"&gt;"&amp;0))</f>
        <v>45658</v>
      </c>
      <c r="CA809" s="114">
        <f ca="1">IF(OR(S809&gt;0,AD809&gt;0),IFERROR(
SUMIFS(INDIRECT("'Infos Clientes'!$W"&amp;INDEX('Infos Clientes'!$C:$C,MATCH(C809,'Infos Clientes'!$H:$H,0))&amp;":$CZ"&amp;INDEX('Infos Clientes'!$C:$C,MATCH(C809,'Infos Clientes'!$H:$H,0))),'Infos Clientes'!$W$2:$CZ$2,"&gt;"&amp;$R809-365,'Infos Clientes'!$W$2:$CZ$2,"&lt;="&amp;$R809)/
COUNTIFS(INDIRECT("'Infos Clientes'!$W"&amp;INDEX('Infos Clientes'!$C:$C,MATCH(C809,'Infos Clientes'!$H:$H,0))&amp;":$CZ"&amp;INDEX('Infos Clientes'!$C:$C,MATCH(C809,'Infos Clientes'!$H:$H,0))),"&gt;="&amp;0,'Infos Clientes'!$W$2:$CZ$2,"&gt;"&amp;$R809-365,'Infos Clientes'!$W$2:$CZ$2,"&lt;="&amp;$R809),""),"")</f>
        <v>302.83333333333331</v>
      </c>
      <c r="CB809" s="87">
        <f>VLOOKUP(C809,'Infos Clientes'!B:L,11,0)</f>
        <v>0</v>
      </c>
      <c r="CC809" s="88" t="str">
        <f t="shared" si="490"/>
        <v>A Unidade Consumidora 10/395471-6 economizou R$29,52 na fatura referente à ago/2025  consumindo 128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09" s="115">
        <f t="shared" si="491"/>
        <v>-115.47</v>
      </c>
    </row>
    <row r="810" spans="1:84" ht="16.2" hidden="1" customHeight="1" x14ac:dyDescent="0.3">
      <c r="A810" s="105" t="str">
        <f>INDEX('Infos Clientes'!$D:$D,MATCH('Detalhe Por UC'!C810,'Infos Clientes'!B:B,0))</f>
        <v>IGREJA DO EVANGELHO QUADRANGULAR</v>
      </c>
      <c r="B810" s="106" t="str">
        <f>INDEX('Infos Clientes'!$F:$F,MATCH('Detalhe Por UC'!C810,'Infos Clientes'!B:B,0))</f>
        <v>62.955.505/0155-12</v>
      </c>
      <c r="C810" s="31" t="s">
        <v>189</v>
      </c>
      <c r="D810" t="s">
        <v>351</v>
      </c>
      <c r="E810" s="1" t="s">
        <v>352</v>
      </c>
      <c r="F810" s="56" t="str">
        <f>INDEX('Infos Clientes'!$I:$I,MATCH('Detalhe Por UC'!C810,'Infos Clientes'!B:B,0))</f>
        <v>BT</v>
      </c>
      <c r="G810" s="56" t="str">
        <f>INDEX('Infos Clientes'!$J:$J,MATCH('Detalhe Por UC'!C810,'Infos Clientes'!B:B,0))</f>
        <v>bifasico</v>
      </c>
      <c r="H810" s="47" t="str">
        <f t="shared" si="457"/>
        <v>GIROSSOL III</v>
      </c>
      <c r="I810" s="58">
        <f>IFERROR(VLOOKUP(C810,'Infos Clientes'!B:E,4,),"")</f>
        <v>358</v>
      </c>
      <c r="J810" s="151">
        <v>0.22596103298069697</v>
      </c>
      <c r="K810" s="79">
        <f>INDEX('Resumo Operacional'!$A$1:$P$151,MATCH("Desconto percentual Ucs",'Resumo Operacional'!$B$1:$B$151,0),MATCH('Detalhe Por UC'!$R810,'Resumo Operacional'!$A$1:$P$1,0))</f>
        <v>0.26495232343264008</v>
      </c>
      <c r="M810" s="56"/>
      <c r="N810" s="56"/>
      <c r="O810" s="56"/>
      <c r="P810" s="56"/>
      <c r="Q810" s="61"/>
      <c r="R810" s="111">
        <v>45870</v>
      </c>
      <c r="S810" s="152">
        <v>1.0200000000000001E-2</v>
      </c>
      <c r="T810" s="113" t="str">
        <f>IF($H810="GIROSSOL II",AP810/INDEX('Resumo Operacional'!$A$1:$P$1103,17,MATCH('Detalhe Por UC'!$R810,'Resumo Operacional'!$A$1:$P$1,0)),
IF($H810="GIROSSOL II e III",AP810/INDEX('Resumo Operacional'!$A$1:$P$1103,17,MATCH('Detalhe Por UC'!$R810,'Resumo Operacional'!$A$1:$P$1,0)),
""))</f>
        <v/>
      </c>
      <c r="U810" s="113">
        <f>IF($H810="GIROSSOL III",AP810/INDEX('Resumo Operacional'!$A$1:$P$1103,53,MATCH('Detalhe Por UC'!$R810,'Resumo Operacional'!$A$1:$P$1,0)),
IF($H810="GIROSSOL II e III",AP810/INDEX('Resumo Operacional'!$A$1:$P$1103,53,MATCH('Detalhe Por UC'!$R810,'Resumo Operacional'!$A$1:$P$1,0)),
""))</f>
        <v>8.6024995942217165E-3</v>
      </c>
      <c r="X810">
        <v>1.1705799373040753</v>
      </c>
      <c r="Z810" s="18">
        <v>1.0136744827586206</v>
      </c>
      <c r="AB810" s="18">
        <v>154</v>
      </c>
      <c r="AD810" s="143">
        <v>125</v>
      </c>
      <c r="AF810" s="18"/>
      <c r="AH810" s="49">
        <v>79.540000000000006</v>
      </c>
      <c r="AK810" s="153">
        <v>133.1</v>
      </c>
      <c r="AL810" s="43">
        <f t="shared" si="492"/>
        <v>0</v>
      </c>
      <c r="AN810" s="71">
        <f t="shared" si="458"/>
        <v>-72</v>
      </c>
      <c r="AO810" s="71">
        <f t="shared" si="459"/>
        <v>0</v>
      </c>
      <c r="AP810" s="71">
        <f t="shared" si="460"/>
        <v>53</v>
      </c>
      <c r="AQ810" s="72">
        <f>IF(OR($H810="GIROSSOL II",$H810="GIROSSOL II e III"),INDEX('Resumo Operacional'!$A$1:$P$1103,MATCH("Energia Injetada prevista total Fatura da Usina (TUSD)",'Resumo Operacional'!$B$1:$B$1103,0),MATCH('Detalhe Por UC'!$R810,'Resumo Operacional'!$A$1:$P$1,0))*$S810,INDEX('Resumo Operacional'!$A$1:$P$1103,53,MATCH('Detalhe Por UC'!$R810,'Resumo Operacional'!$A$1:$P$1,0))*$S810)</f>
        <v>62.842200000000005</v>
      </c>
      <c r="AR810" s="71">
        <f t="shared" si="461"/>
        <v>-9.8422000000000054</v>
      </c>
      <c r="AS810" s="73">
        <f t="shared" si="462"/>
        <v>133.10000000000002</v>
      </c>
      <c r="AT810" s="74">
        <f t="shared" si="463"/>
        <v>133.10000000000002</v>
      </c>
      <c r="AU810" s="74">
        <f t="shared" si="464"/>
        <v>0.85676902821316592</v>
      </c>
      <c r="AV810" s="74">
        <f t="shared" si="465"/>
        <v>98.077943691038627</v>
      </c>
      <c r="AW810" s="74">
        <f t="shared" si="466"/>
        <v>0</v>
      </c>
      <c r="AX810" s="74">
        <f t="shared" si="467"/>
        <v>126.70931034482757</v>
      </c>
      <c r="AY810" s="74">
        <f t="shared" si="468"/>
        <v>98.08</v>
      </c>
      <c r="AZ810" s="117">
        <v>98.08</v>
      </c>
      <c r="BA810" s="49">
        <v>98.08</v>
      </c>
      <c r="BB810" s="49">
        <v>98.08</v>
      </c>
      <c r="BC810" s="73" t="str">
        <f t="shared" si="469"/>
        <v/>
      </c>
      <c r="BD810" s="73">
        <f t="shared" si="470"/>
        <v>259.80931034482762</v>
      </c>
      <c r="BE810" s="73">
        <f t="shared" si="471"/>
        <v>231.17794369103865</v>
      </c>
      <c r="BF810" s="77">
        <f t="shared" si="472"/>
        <v>28.63</v>
      </c>
      <c r="BG810" s="77">
        <f t="shared" si="473"/>
        <v>8.5889999999999986</v>
      </c>
      <c r="BH810" s="77">
        <f t="shared" si="474"/>
        <v>126.70931034482757</v>
      </c>
      <c r="BI810" s="78">
        <f t="shared" si="475"/>
        <v>0.23</v>
      </c>
      <c r="BJ810" s="79">
        <f t="shared" si="476"/>
        <v>0.11019620490890532</v>
      </c>
      <c r="BK810" s="80">
        <f t="shared" si="477"/>
        <v>231.18</v>
      </c>
      <c r="BL810" s="80">
        <f t="shared" si="478"/>
        <v>28.629310344827616</v>
      </c>
      <c r="BM810" s="79">
        <f t="shared" si="479"/>
        <v>0.1101935504421679</v>
      </c>
      <c r="BN810" s="81">
        <f t="shared" si="480"/>
        <v>0.78464</v>
      </c>
      <c r="BO810" s="82">
        <f t="shared" si="481"/>
        <v>98.08</v>
      </c>
      <c r="BP810" s="81">
        <f t="shared" si="482"/>
        <v>0.78464</v>
      </c>
      <c r="BQ810" s="81">
        <f t="shared" si="483"/>
        <v>0.94154545454545469</v>
      </c>
      <c r="BR810" s="81">
        <f t="shared" si="484"/>
        <v>1.1705799373040753</v>
      </c>
      <c r="BS810" s="82">
        <f t="shared" si="485"/>
        <v>125</v>
      </c>
      <c r="BT810" s="82">
        <f t="shared" si="486"/>
        <v>146.3224921630094</v>
      </c>
      <c r="BU810" s="82">
        <f t="shared" si="487"/>
        <v>126.70931034482757</v>
      </c>
      <c r="BW810" s="82">
        <f>IFERROR(INDEX('Infos Clientes'!$T:$T,MATCH('Detalhe Por UC'!$C810,'Infos Clientes'!B:B,0)),"")</f>
        <v>164.36363636363637</v>
      </c>
      <c r="BX810" s="83">
        <f t="shared" si="488"/>
        <v>0</v>
      </c>
      <c r="BY810" s="84">
        <f t="shared" si="489"/>
        <v>0.19565898531124878</v>
      </c>
      <c r="BZ810" s="85">
        <f>IF(_xlfn.MINIFS('Detalhe Por UC'!R:R,'Detalhe Por UC'!C:C,C810,'Detalhe Por UC'!AD:AD,"&gt;"&amp;0)=0,"",_xlfn.MINIFS('Detalhe Por UC'!R:R,'Detalhe Por UC'!C:C,C810,'Detalhe Por UC'!AD:AD,"&gt;"&amp;0))</f>
        <v>45658</v>
      </c>
      <c r="CA810" s="114">
        <f ca="1">IF(OR(S810&gt;0,AD810&gt;0),IFERROR(
SUMIFS(INDIRECT("'Infos Clientes'!$W"&amp;INDEX('Infos Clientes'!$C:$C,MATCH(C810,'Infos Clientes'!$H:$H,0))&amp;":$CZ"&amp;INDEX('Infos Clientes'!$C:$C,MATCH(C810,'Infos Clientes'!$H:$H,0))),'Infos Clientes'!$W$2:$CZ$2,"&gt;"&amp;$R810-365,'Infos Clientes'!$W$2:$CZ$2,"&lt;="&amp;$R810)/
COUNTIFS(INDIRECT("'Infos Clientes'!$W"&amp;INDEX('Infos Clientes'!$C:$C,MATCH(C810,'Infos Clientes'!$H:$H,0))&amp;":$CZ"&amp;INDEX('Infos Clientes'!$C:$C,MATCH(C810,'Infos Clientes'!$H:$H,0))),"&gt;="&amp;0,'Infos Clientes'!$W$2:$CZ$2,"&gt;"&amp;$R810-365,'Infos Clientes'!$W$2:$CZ$2,"&lt;="&amp;$R810),""),"")</f>
        <v>190.33333333333334</v>
      </c>
      <c r="CB810" s="87">
        <f>VLOOKUP(C810,'Infos Clientes'!B:L,11,0)</f>
        <v>0</v>
      </c>
      <c r="CC810" s="88" t="str">
        <f t="shared" si="490"/>
        <v>A Unidade Consumidora 10/3125732-2 economizou R$28,63 na fatura referente à ago/2025  consumindo 125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0" s="115">
        <f t="shared" si="491"/>
        <v>-133.10000000000002</v>
      </c>
    </row>
    <row r="811" spans="1:84" ht="16.2" hidden="1" customHeight="1" x14ac:dyDescent="0.3">
      <c r="A811" s="105" t="str">
        <f>INDEX('Infos Clientes'!$D:$D,MATCH('Detalhe Por UC'!C811,'Infos Clientes'!B:B,0))</f>
        <v>IGREJA DO EVANGELHO QUADRANGULAR</v>
      </c>
      <c r="B811" s="106" t="str">
        <f>INDEX('Infos Clientes'!$F:$F,MATCH('Detalhe Por UC'!C811,'Infos Clientes'!B:B,0))</f>
        <v>62.955.505/0160-80</v>
      </c>
      <c r="C811" s="107" t="s">
        <v>190</v>
      </c>
      <c r="D811" t="s">
        <v>351</v>
      </c>
      <c r="E811" s="1" t="s">
        <v>352</v>
      </c>
      <c r="F811" s="56" t="str">
        <f>INDEX('Infos Clientes'!$I:$I,MATCH('Detalhe Por UC'!C811,'Infos Clientes'!B:B,0))</f>
        <v>BT</v>
      </c>
      <c r="G811" s="56" t="str">
        <f>INDEX('Infos Clientes'!$J:$J,MATCH('Detalhe Por UC'!C811,'Infos Clientes'!B:B,0))</f>
        <v>bifasico</v>
      </c>
      <c r="H811" s="47" t="str">
        <f t="shared" si="457"/>
        <v>GIROSSOL III</v>
      </c>
      <c r="I811" s="58">
        <f>IFERROR(VLOOKUP(C811,'Infos Clientes'!B:E,4,),"")</f>
        <v>357</v>
      </c>
      <c r="J811" s="151">
        <v>0.22596103298069697</v>
      </c>
      <c r="K811" s="79">
        <f>INDEX('Resumo Operacional'!$A$1:$P$151,MATCH("Desconto percentual Ucs",'Resumo Operacional'!$B$1:$B$151,0),MATCH('Detalhe Por UC'!$R811,'Resumo Operacional'!$A$1:$P$1,0))</f>
        <v>0.26495232343264008</v>
      </c>
      <c r="M811" s="56"/>
      <c r="N811" s="56"/>
      <c r="O811" s="56"/>
      <c r="P811" s="56"/>
      <c r="Q811" s="61"/>
      <c r="R811" s="111">
        <v>45870</v>
      </c>
      <c r="S811" s="152">
        <v>1.0200000000000001E-2</v>
      </c>
      <c r="T811" s="113" t="str">
        <f>IF($H811="GIROSSOL II",AP811/INDEX('Resumo Operacional'!$A$1:$P$1103,17,MATCH('Detalhe Por UC'!$R811,'Resumo Operacional'!$A$1:$P$1,0)),
IF($H811="GIROSSOL II e III",AP811/INDEX('Resumo Operacional'!$A$1:$P$1103,17,MATCH('Detalhe Por UC'!$R811,'Resumo Operacional'!$A$1:$P$1,0)),
""))</f>
        <v/>
      </c>
      <c r="U811" s="113">
        <f>IF($H811="GIROSSOL III",AP811/INDEX('Resumo Operacional'!$A$1:$P$1103,53,MATCH('Detalhe Por UC'!$R811,'Resumo Operacional'!$A$1:$P$1,0)),
IF($H811="GIROSSOL II e III",AP811/INDEX('Resumo Operacional'!$A$1:$P$1103,53,MATCH('Detalhe Por UC'!$R811,'Resumo Operacional'!$A$1:$P$1,0)),
""))</f>
        <v>0</v>
      </c>
      <c r="Z811" s="18"/>
      <c r="AB811" s="18"/>
      <c r="AD811" s="143"/>
      <c r="AF811" s="18"/>
      <c r="AH811" s="49"/>
      <c r="AL811" s="43"/>
      <c r="AN811" s="71" t="str">
        <f t="shared" si="458"/>
        <v/>
      </c>
      <c r="AO811" s="71" t="str">
        <f t="shared" si="459"/>
        <v/>
      </c>
      <c r="AP811" s="71">
        <f t="shared" si="460"/>
        <v>0</v>
      </c>
      <c r="AQ811" s="72">
        <f>IF(OR($H811="GIROSSOL II",$H811="GIROSSOL II e III"),INDEX('Resumo Operacional'!$A$1:$P$1103,MATCH("Energia Injetada prevista total Fatura da Usina (TUSD)",'Resumo Operacional'!$B$1:$B$1103,0),MATCH('Detalhe Por UC'!$R811,'Resumo Operacional'!$A$1:$P$1,0))*$S811,INDEX('Resumo Operacional'!$A$1:$P$1103,53,MATCH('Detalhe Por UC'!$R811,'Resumo Operacional'!$A$1:$P$1,0))*$S811)</f>
        <v>62.842200000000005</v>
      </c>
      <c r="AR811" s="71" t="str">
        <f t="shared" si="461"/>
        <v/>
      </c>
      <c r="AS811" s="73">
        <f t="shared" si="462"/>
        <v>0</v>
      </c>
      <c r="AT811" s="74">
        <f t="shared" si="463"/>
        <v>0</v>
      </c>
      <c r="AU811" s="74" t="str">
        <f t="shared" si="464"/>
        <v/>
      </c>
      <c r="AV811" s="74">
        <f t="shared" si="465"/>
        <v>0</v>
      </c>
      <c r="AW811" s="74">
        <f t="shared" si="466"/>
        <v>0</v>
      </c>
      <c r="AX811" s="74">
        <f t="shared" si="467"/>
        <v>0</v>
      </c>
      <c r="AY811" s="74" t="str">
        <f t="shared" si="468"/>
        <v/>
      </c>
      <c r="AZ811" s="117">
        <v>0</v>
      </c>
      <c r="BC811" s="73" t="str">
        <f t="shared" si="469"/>
        <v/>
      </c>
      <c r="BD811" s="73">
        <f t="shared" si="470"/>
        <v>0</v>
      </c>
      <c r="BE811" s="73">
        <f t="shared" si="471"/>
        <v>0</v>
      </c>
      <c r="BF811" s="77">
        <f t="shared" si="472"/>
        <v>0</v>
      </c>
      <c r="BG811" s="77">
        <f t="shared" si="473"/>
        <v>0</v>
      </c>
      <c r="BH811" s="77">
        <f t="shared" si="474"/>
        <v>0</v>
      </c>
      <c r="BI811" s="78" t="str">
        <f t="shared" si="475"/>
        <v/>
      </c>
      <c r="BJ811" s="79" t="str">
        <f t="shared" si="476"/>
        <v/>
      </c>
      <c r="BK811" s="80" t="str">
        <f t="shared" si="477"/>
        <v/>
      </c>
      <c r="BL811" s="80" t="str">
        <f t="shared" si="478"/>
        <v/>
      </c>
      <c r="BM811" s="79" t="str">
        <f t="shared" si="479"/>
        <v/>
      </c>
      <c r="BN811" s="81" t="str">
        <f t="shared" si="480"/>
        <v/>
      </c>
      <c r="BO811" s="82" t="str">
        <f t="shared" si="481"/>
        <v/>
      </c>
      <c r="BP811" s="81" t="str">
        <f t="shared" si="482"/>
        <v/>
      </c>
      <c r="BQ811" s="81" t="str">
        <f t="shared" si="483"/>
        <v/>
      </c>
      <c r="BR811" s="81" t="str">
        <f t="shared" si="484"/>
        <v/>
      </c>
      <c r="BS811" s="82">
        <f t="shared" si="485"/>
        <v>0</v>
      </c>
      <c r="BT811" s="82" t="str">
        <f t="shared" si="486"/>
        <v/>
      </c>
      <c r="BU811" s="82">
        <f t="shared" si="487"/>
        <v>0</v>
      </c>
      <c r="BW811" s="82">
        <f>IFERROR(INDEX('Infos Clientes'!$T:$T,MATCH('Detalhe Por UC'!$C811,'Infos Clientes'!B:B,0)),"")</f>
        <v>167.54545454545453</v>
      </c>
      <c r="BX811" s="83">
        <f t="shared" si="488"/>
        <v>0</v>
      </c>
      <c r="BY811" s="84" t="str">
        <f t="shared" si="489"/>
        <v/>
      </c>
      <c r="BZ811" s="85">
        <f>IF(_xlfn.MINIFS('Detalhe Por UC'!R:R,'Detalhe Por UC'!C:C,C811,'Detalhe Por UC'!AD:AD,"&gt;"&amp;0)=0,"",_xlfn.MINIFS('Detalhe Por UC'!R:R,'Detalhe Por UC'!C:C,C811,'Detalhe Por UC'!AD:AD,"&gt;"&amp;0))</f>
        <v>45658</v>
      </c>
      <c r="CA811" s="114">
        <f ca="1">IF(OR(S811&gt;0,AD811&gt;0),IFERROR(
SUMIFS(INDIRECT("'Infos Clientes'!$W"&amp;INDEX('Infos Clientes'!$C:$C,MATCH(C811,'Infos Clientes'!$H:$H,0))&amp;":$CZ"&amp;INDEX('Infos Clientes'!$C:$C,MATCH(C811,'Infos Clientes'!$H:$H,0))),'Infos Clientes'!$W$2:$CZ$2,"&gt;"&amp;$R811-365,'Infos Clientes'!$W$2:$CZ$2,"&lt;="&amp;$R811)/
COUNTIFS(INDIRECT("'Infos Clientes'!$W"&amp;INDEX('Infos Clientes'!$C:$C,MATCH(C811,'Infos Clientes'!$H:$H,0))&amp;":$CZ"&amp;INDEX('Infos Clientes'!$C:$C,MATCH(C811,'Infos Clientes'!$H:$H,0))),"&gt;="&amp;0,'Infos Clientes'!$W$2:$CZ$2,"&gt;"&amp;$R811-365,'Infos Clientes'!$W$2:$CZ$2,"&lt;="&amp;$R811),""),"")</f>
        <v>376.33333333333331</v>
      </c>
      <c r="CB811" s="87">
        <f>VLOOKUP(C811,'Infos Clientes'!B:L,11,0)</f>
        <v>0</v>
      </c>
      <c r="CC811" s="88" t="str">
        <f t="shared" si="490"/>
        <v>A Unidade Consumidora 10/31292-6 economizou R$0 na fatura referente à ago/2025  consumindo 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1" s="115">
        <f t="shared" si="491"/>
        <v>0</v>
      </c>
    </row>
    <row r="812" spans="1:84" ht="16.2" hidden="1" customHeight="1" x14ac:dyDescent="0.3">
      <c r="A812" s="105" t="str">
        <f>INDEX('Infos Clientes'!$D:$D,MATCH('Detalhe Por UC'!C812,'Infos Clientes'!B:B,0))</f>
        <v>IGREJA DO EVANGELHO QUADRANGULAR</v>
      </c>
      <c r="B812" s="106" t="str">
        <f>INDEX('Infos Clientes'!$F:$F,MATCH('Detalhe Por UC'!C812,'Infos Clientes'!B:B,0))</f>
        <v>62.955.505/0155-12</v>
      </c>
      <c r="C812" s="31" t="s">
        <v>205</v>
      </c>
      <c r="D812" t="s">
        <v>351</v>
      </c>
      <c r="E812" s="1" t="s">
        <v>352</v>
      </c>
      <c r="F812" s="56" t="str">
        <f>INDEX('Infos Clientes'!$I:$I,MATCH('Detalhe Por UC'!C812,'Infos Clientes'!B:B,0))</f>
        <v>BT</v>
      </c>
      <c r="G812" s="56" t="str">
        <f>INDEX('Infos Clientes'!$J:$J,MATCH('Detalhe Por UC'!C812,'Infos Clientes'!B:B,0))</f>
        <v>bifasico</v>
      </c>
      <c r="H812" s="47" t="str">
        <f t="shared" si="457"/>
        <v>GIROSSOL III</v>
      </c>
      <c r="I812" s="58">
        <f>IFERROR(VLOOKUP(C812,'Infos Clientes'!B:E,4,),"")</f>
        <v>358</v>
      </c>
      <c r="J812" s="151">
        <v>0.22596103298069697</v>
      </c>
      <c r="K812" s="79">
        <f>INDEX('Resumo Operacional'!$A$1:$P$151,MATCH("Desconto percentual Ucs",'Resumo Operacional'!$B$1:$B$151,0),MATCH('Detalhe Por UC'!$R812,'Resumo Operacional'!$A$1:$P$1,0))</f>
        <v>0.26495232343264008</v>
      </c>
      <c r="M812" s="56"/>
      <c r="N812" s="56"/>
      <c r="O812" s="56"/>
      <c r="P812" s="56"/>
      <c r="Q812" s="61"/>
      <c r="R812" s="111">
        <v>45870</v>
      </c>
      <c r="S812" s="152">
        <v>1.0200000000000001E-2</v>
      </c>
      <c r="T812" s="113" t="str">
        <f>IF($H812="GIROSSOL II",AP812/INDEX('Resumo Operacional'!$A$1:$P$1103,17,MATCH('Detalhe Por UC'!$R812,'Resumo Operacional'!$A$1:$P$1,0)),
IF($H812="GIROSSOL II e III",AP812/INDEX('Resumo Operacional'!$A$1:$P$1103,17,MATCH('Detalhe Por UC'!$R812,'Resumo Operacional'!$A$1:$P$1,0)),
""))</f>
        <v/>
      </c>
      <c r="U812" s="113">
        <f>IF($H812="GIROSSOL III",AP812/INDEX('Resumo Operacional'!$A$1:$P$1103,53,MATCH('Detalhe Por UC'!$R812,'Resumo Operacional'!$A$1:$P$1,0)),
IF($H812="GIROSSOL II e III",AP812/INDEX('Resumo Operacional'!$A$1:$P$1103,53,MATCH('Detalhe Por UC'!$R812,'Resumo Operacional'!$A$1:$P$1,0)),
""))</f>
        <v>1.5094952118162636E-2</v>
      </c>
      <c r="X812">
        <v>1.1642708333333334</v>
      </c>
      <c r="Z812" s="18">
        <v>1.0073798076923077</v>
      </c>
      <c r="AB812" s="18">
        <v>168</v>
      </c>
      <c r="AD812" s="143">
        <v>104</v>
      </c>
      <c r="AF812" s="18"/>
      <c r="AH812" s="49">
        <v>53.24</v>
      </c>
      <c r="AK812" s="153">
        <v>144.07</v>
      </c>
      <c r="AL812" s="43">
        <f t="shared" si="492"/>
        <v>0</v>
      </c>
      <c r="AN812" s="71">
        <f t="shared" si="458"/>
        <v>-11</v>
      </c>
      <c r="AO812" s="71">
        <f t="shared" si="459"/>
        <v>0</v>
      </c>
      <c r="AP812" s="71">
        <f t="shared" si="460"/>
        <v>93</v>
      </c>
      <c r="AQ812" s="72">
        <f>IF(OR($H812="GIROSSOL II",$H812="GIROSSOL II e III"),INDEX('Resumo Operacional'!$A$1:$P$1103,MATCH("Energia Injetada prevista total Fatura da Usina (TUSD)",'Resumo Operacional'!$B$1:$B$1103,0),MATCH('Detalhe Por UC'!$R812,'Resumo Operacional'!$A$1:$P$1,0))*$S812,INDEX('Resumo Operacional'!$A$1:$P$1103,53,MATCH('Detalhe Por UC'!$R812,'Resumo Operacional'!$A$1:$P$1,0))*$S812)</f>
        <v>62.842200000000005</v>
      </c>
      <c r="AR812" s="71">
        <f t="shared" si="461"/>
        <v>30.157799999999995</v>
      </c>
      <c r="AS812" s="73">
        <f t="shared" si="462"/>
        <v>144.07</v>
      </c>
      <c r="AT812" s="74">
        <f t="shared" si="463"/>
        <v>144.07</v>
      </c>
      <c r="AU812" s="74">
        <f t="shared" si="464"/>
        <v>0.85048878205128209</v>
      </c>
      <c r="AV812" s="74">
        <f t="shared" si="465"/>
        <v>81.094127477194846</v>
      </c>
      <c r="AW812" s="74">
        <f t="shared" si="466"/>
        <v>0</v>
      </c>
      <c r="AX812" s="74">
        <f t="shared" si="467"/>
        <v>104.7675</v>
      </c>
      <c r="AY812" s="74">
        <f t="shared" si="468"/>
        <v>81.09</v>
      </c>
      <c r="AZ812" s="117">
        <v>81.09</v>
      </c>
      <c r="BA812" s="49">
        <v>81.09</v>
      </c>
      <c r="BB812" s="49">
        <v>81.09</v>
      </c>
      <c r="BC812" s="73" t="str">
        <f t="shared" si="469"/>
        <v/>
      </c>
      <c r="BD812" s="73">
        <f t="shared" si="470"/>
        <v>248.83750000000001</v>
      </c>
      <c r="BE812" s="73">
        <f t="shared" si="471"/>
        <v>225.16412747719482</v>
      </c>
      <c r="BF812" s="77">
        <f t="shared" si="472"/>
        <v>23.67</v>
      </c>
      <c r="BG812" s="77">
        <f t="shared" si="473"/>
        <v>7.101</v>
      </c>
      <c r="BH812" s="77">
        <f t="shared" si="474"/>
        <v>104.76750000000001</v>
      </c>
      <c r="BI812" s="78">
        <f t="shared" si="475"/>
        <v>0.23</v>
      </c>
      <c r="BJ812" s="79">
        <f t="shared" si="476"/>
        <v>9.5122318782337872E-2</v>
      </c>
      <c r="BK812" s="80">
        <f t="shared" si="477"/>
        <v>225.16</v>
      </c>
      <c r="BL812" s="80">
        <f t="shared" si="478"/>
        <v>23.677500000000009</v>
      </c>
      <c r="BM812" s="79">
        <f t="shared" si="479"/>
        <v>9.5152458934043338E-2</v>
      </c>
      <c r="BN812" s="81">
        <f t="shared" si="480"/>
        <v>0.77971153846153851</v>
      </c>
      <c r="BO812" s="82">
        <f t="shared" si="481"/>
        <v>81.09</v>
      </c>
      <c r="BP812" s="81">
        <f t="shared" si="482"/>
        <v>0.77971153846153851</v>
      </c>
      <c r="BQ812" s="81">
        <f t="shared" si="483"/>
        <v>0.93660256410256415</v>
      </c>
      <c r="BR812" s="81">
        <f t="shared" si="484"/>
        <v>1.1642708333333334</v>
      </c>
      <c r="BS812" s="82">
        <f t="shared" si="485"/>
        <v>104</v>
      </c>
      <c r="BT812" s="82">
        <f t="shared" si="486"/>
        <v>121.08416666666668</v>
      </c>
      <c r="BU812" s="82">
        <f t="shared" si="487"/>
        <v>104.7675</v>
      </c>
      <c r="BW812" s="82">
        <f>IFERROR(INDEX('Infos Clientes'!$T:$T,MATCH('Detalhe Por UC'!$C812,'Infos Clientes'!B:B,0)),"")</f>
        <v>178</v>
      </c>
      <c r="BX812" s="83">
        <f t="shared" si="488"/>
        <v>0</v>
      </c>
      <c r="BY812" s="84">
        <f t="shared" si="489"/>
        <v>0.19554579803304861</v>
      </c>
      <c r="BZ812" s="85">
        <f>IF(_xlfn.MINIFS('Detalhe Por UC'!R:R,'Detalhe Por UC'!C:C,C812,'Detalhe Por UC'!AD:AD,"&gt;"&amp;0)=0,"",_xlfn.MINIFS('Detalhe Por UC'!R:R,'Detalhe Por UC'!C:C,C812,'Detalhe Por UC'!AD:AD,"&gt;"&amp;0))</f>
        <v>45658</v>
      </c>
      <c r="CA812" s="114">
        <f ca="1">IF(OR(S812&gt;0,AD812&gt;0),IFERROR(
SUMIFS(INDIRECT("'Infos Clientes'!$W"&amp;INDEX('Infos Clientes'!$C:$C,MATCH(C812,'Infos Clientes'!$H:$H,0))&amp;":$CZ"&amp;INDEX('Infos Clientes'!$C:$C,MATCH(C812,'Infos Clientes'!$H:$H,0))),'Infos Clientes'!$W$2:$CZ$2,"&gt;"&amp;$R812-365,'Infos Clientes'!$W$2:$CZ$2,"&lt;="&amp;$R812)/
COUNTIFS(INDIRECT("'Infos Clientes'!$W"&amp;INDEX('Infos Clientes'!$C:$C,MATCH(C812,'Infos Clientes'!$H:$H,0))&amp;":$CZ"&amp;INDEX('Infos Clientes'!$C:$C,MATCH(C812,'Infos Clientes'!$H:$H,0))),"&gt;="&amp;0,'Infos Clientes'!$W$2:$CZ$2,"&gt;"&amp;$R812-365,'Infos Clientes'!$W$2:$CZ$2,"&lt;="&amp;$R812),""),"")</f>
        <v>171.16666666666666</v>
      </c>
      <c r="CB812" s="87">
        <f>VLOOKUP(C812,'Infos Clientes'!B:L,11,0)</f>
        <v>0</v>
      </c>
      <c r="CC812" s="88" t="str">
        <f t="shared" si="490"/>
        <v>A Unidade Consumidora 10/466560-0 economizou R$23,67 na fatura referente à ago/2025  consumindo 104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2" s="115">
        <f t="shared" si="491"/>
        <v>-144.07</v>
      </c>
    </row>
    <row r="813" spans="1:84" ht="16.2" hidden="1" customHeight="1" x14ac:dyDescent="0.3">
      <c r="A813" s="105" t="str">
        <f>INDEX('Infos Clientes'!$D:$D,MATCH('Detalhe Por UC'!C813,'Infos Clientes'!B:B,0))</f>
        <v>IGREJA DO EVANGELHO QUADRANGULAR</v>
      </c>
      <c r="B813" s="106" t="str">
        <f>INDEX('Infos Clientes'!$F:$F,MATCH('Detalhe Por UC'!C813,'Infos Clientes'!B:B,0))</f>
        <v>62.955.505/0151-99</v>
      </c>
      <c r="C813" s="44" t="s">
        <v>168</v>
      </c>
      <c r="D813" t="s">
        <v>351</v>
      </c>
      <c r="E813" s="1" t="s">
        <v>352</v>
      </c>
      <c r="F813" s="56" t="str">
        <f>INDEX('Infos Clientes'!$I:$I,MATCH('Detalhe Por UC'!C813,'Infos Clientes'!B:B,0))</f>
        <v>BT</v>
      </c>
      <c r="G813" s="56" t="str">
        <f>INDEX('Infos Clientes'!$J:$J,MATCH('Detalhe Por UC'!C813,'Infos Clientes'!B:B,0))</f>
        <v>trifasico</v>
      </c>
      <c r="H813" s="47" t="str">
        <f t="shared" si="457"/>
        <v>GIROSSOL III</v>
      </c>
      <c r="I813" s="58">
        <f>IFERROR(VLOOKUP(C813,'Infos Clientes'!B:E,4,),"")</f>
        <v>306</v>
      </c>
      <c r="J813" s="151">
        <v>0.22596103298069697</v>
      </c>
      <c r="K813" s="79">
        <f>INDEX('Resumo Operacional'!$A$1:$P$151,MATCH("Desconto percentual Ucs",'Resumo Operacional'!$B$1:$B$151,0),MATCH('Detalhe Por UC'!$R813,'Resumo Operacional'!$A$1:$P$1,0))</f>
        <v>0.26495232343264008</v>
      </c>
      <c r="M813" s="56"/>
      <c r="N813" s="56"/>
      <c r="O813" s="56"/>
      <c r="P813" s="56"/>
      <c r="Q813" s="61"/>
      <c r="R813" s="111">
        <v>45870</v>
      </c>
      <c r="S813" s="154">
        <v>0</v>
      </c>
      <c r="T813" s="113" t="str">
        <f>IF($H813="GIROSSOL II",AP813/INDEX('Resumo Operacional'!$A$1:$P$1103,17,MATCH('Detalhe Por UC'!$R813,'Resumo Operacional'!$A$1:$P$1,0)),
IF($H813="GIROSSOL II e III",AP813/INDEX('Resumo Operacional'!$A$1:$P$1103,17,MATCH('Detalhe Por UC'!$R813,'Resumo Operacional'!$A$1:$P$1,0)),
""))</f>
        <v/>
      </c>
      <c r="U813" s="113">
        <f>IF($H813="GIROSSOL III",AP813/INDEX('Resumo Operacional'!$A$1:$P$1103,53,MATCH('Detalhe Por UC'!$R813,'Resumo Operacional'!$A$1:$P$1,0)),
IF($H813="GIROSSOL II e III",AP813/INDEX('Resumo Operacional'!$A$1:$P$1103,53,MATCH('Detalhe Por UC'!$R813,'Resumo Operacional'!$A$1:$P$1,0)),
""))</f>
        <v>2.954065898393118E-2</v>
      </c>
      <c r="X813">
        <v>1.1867072213500787</v>
      </c>
      <c r="Z813" s="18">
        <v>1.0298301612476872</v>
      </c>
      <c r="AB813" s="18">
        <v>343</v>
      </c>
      <c r="AD813" s="143">
        <v>0</v>
      </c>
      <c r="AF813" s="18">
        <v>1666</v>
      </c>
      <c r="AH813" s="49">
        <v>140.99</v>
      </c>
      <c r="AL813" s="43"/>
      <c r="AN813" s="71">
        <f t="shared" si="458"/>
        <v>182</v>
      </c>
      <c r="AO813" s="71">
        <f t="shared" si="459"/>
        <v>0</v>
      </c>
      <c r="AP813" s="71">
        <f t="shared" si="460"/>
        <v>182</v>
      </c>
      <c r="AQ813" s="72">
        <f>IF(OR($H813="GIROSSOL II",$H813="GIROSSOL II e III"),INDEX('Resumo Operacional'!$A$1:$P$1103,MATCH("Energia Injetada prevista total Fatura da Usina (TUSD)",'Resumo Operacional'!$B$1:$B$1103,0),MATCH('Detalhe Por UC'!$R813,'Resumo Operacional'!$A$1:$P$1,0))*$S813,INDEX('Resumo Operacional'!$A$1:$P$1103,53,MATCH('Detalhe Por UC'!$R813,'Resumo Operacional'!$A$1:$P$1,0))*$S813)</f>
        <v>0</v>
      </c>
      <c r="AR813" s="71">
        <f t="shared" si="461"/>
        <v>182</v>
      </c>
      <c r="AS813" s="73">
        <f t="shared" si="462"/>
        <v>548.03057692307698</v>
      </c>
      <c r="AT813" s="74">
        <f t="shared" si="463"/>
        <v>548.03057692307698</v>
      </c>
      <c r="AU813" s="74" t="str">
        <f t="shared" si="464"/>
        <v/>
      </c>
      <c r="AV813" s="74">
        <f t="shared" si="465"/>
        <v>0</v>
      </c>
      <c r="AW813" s="74">
        <f t="shared" si="466"/>
        <v>142.66999899999999</v>
      </c>
      <c r="AX813" s="74">
        <f t="shared" si="467"/>
        <v>142.66999899999999</v>
      </c>
      <c r="AY813" s="74">
        <f t="shared" si="468"/>
        <v>142.66999899999999</v>
      </c>
      <c r="AZ813" s="117">
        <v>142.66999999999999</v>
      </c>
      <c r="BA813" s="49">
        <v>9.9999999999999995E-8</v>
      </c>
      <c r="BC813" s="73" t="str">
        <f t="shared" si="469"/>
        <v/>
      </c>
      <c r="BD813" s="73">
        <f t="shared" si="470"/>
        <v>548.03057692307698</v>
      </c>
      <c r="BE813" s="73">
        <f t="shared" si="471"/>
        <v>548.03057692307698</v>
      </c>
      <c r="BF813" s="77">
        <f t="shared" si="472"/>
        <v>0</v>
      </c>
      <c r="BG813" s="77">
        <f t="shared" si="473"/>
        <v>0</v>
      </c>
      <c r="BH813" s="77">
        <f t="shared" si="474"/>
        <v>0</v>
      </c>
      <c r="BI813" s="78" t="str">
        <f t="shared" si="475"/>
        <v/>
      </c>
      <c r="BJ813" s="79">
        <f t="shared" si="476"/>
        <v>0</v>
      </c>
      <c r="BK813" s="80">
        <f t="shared" si="477"/>
        <v>690.70057592307694</v>
      </c>
      <c r="BL813" s="80">
        <f t="shared" si="478"/>
        <v>-142.66999899999996</v>
      </c>
      <c r="BM813" s="79">
        <f t="shared" si="479"/>
        <v>-0.2603321876692028</v>
      </c>
      <c r="BN813" s="81" t="str">
        <f t="shared" si="480"/>
        <v/>
      </c>
      <c r="BO813" s="82" t="str">
        <f t="shared" si="481"/>
        <v/>
      </c>
      <c r="BP813" s="81" t="str">
        <f t="shared" si="482"/>
        <v/>
      </c>
      <c r="BQ813" s="81" t="str">
        <f t="shared" si="483"/>
        <v/>
      </c>
      <c r="BR813" s="81" t="str">
        <f t="shared" si="484"/>
        <v/>
      </c>
      <c r="BS813" s="82">
        <f t="shared" si="485"/>
        <v>0</v>
      </c>
      <c r="BT813" s="82" t="str">
        <f t="shared" si="486"/>
        <v/>
      </c>
      <c r="BU813" s="82">
        <f t="shared" si="487"/>
        <v>0</v>
      </c>
      <c r="BW813" s="82">
        <f>IFERROR(INDEX('Infos Clientes'!$T:$T,MATCH('Detalhe Por UC'!$C813,'Infos Clientes'!B:B,0)),"")</f>
        <v>718.4545454545455</v>
      </c>
      <c r="BX813" s="83">
        <f t="shared" si="488"/>
        <v>0</v>
      </c>
      <c r="BY813" s="84" t="str">
        <f t="shared" si="489"/>
        <v/>
      </c>
      <c r="BZ813" s="85">
        <f>IF(_xlfn.MINIFS('Detalhe Por UC'!R:R,'Detalhe Por UC'!C:C,C813,'Detalhe Por UC'!AD:AD,"&gt;"&amp;0)=0,"",_xlfn.MINIFS('Detalhe Por UC'!R:R,'Detalhe Por UC'!C:C,C813,'Detalhe Por UC'!AD:AD,"&gt;"&amp;0))</f>
        <v>45658</v>
      </c>
      <c r="CA813" s="114" t="str">
        <f ca="1">IF(OR(S813&gt;0,AD813&gt;0),IFERROR(
SUMIFS(INDIRECT("'Infos Clientes'!$W"&amp;INDEX('Infos Clientes'!$C:$C,MATCH(C813,'Infos Clientes'!$H:$H,0))&amp;":$CZ"&amp;INDEX('Infos Clientes'!$C:$C,MATCH(C813,'Infos Clientes'!$H:$H,0))),'Infos Clientes'!$W$2:$CZ$2,"&gt;"&amp;$R813-365,'Infos Clientes'!$W$2:$CZ$2,"&lt;="&amp;$R813)/
COUNTIFS(INDIRECT("'Infos Clientes'!$W"&amp;INDEX('Infos Clientes'!$C:$C,MATCH(C813,'Infos Clientes'!$H:$H,0))&amp;":$CZ"&amp;INDEX('Infos Clientes'!$C:$C,MATCH(C813,'Infos Clientes'!$H:$H,0))),"&gt;="&amp;0,'Infos Clientes'!$W$2:$CZ$2,"&gt;"&amp;$R813-365,'Infos Clientes'!$W$2:$CZ$2,"&lt;="&amp;$R813),""),"")</f>
        <v/>
      </c>
      <c r="CB813" s="87">
        <f>VLOOKUP(C813,'Infos Clientes'!B:L,11,0)</f>
        <v>0</v>
      </c>
      <c r="CC813" s="88" t="str">
        <f t="shared" si="490"/>
        <v>A Unidade Consumidora 10/2247256-7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3" s="115">
        <f t="shared" si="491"/>
        <v>-548.03057692307698</v>
      </c>
    </row>
    <row r="814" spans="1:84" ht="16.2" hidden="1" customHeight="1" x14ac:dyDescent="0.3">
      <c r="A814" s="105" t="str">
        <f>INDEX('Infos Clientes'!$D:$D,MATCH('Detalhe Por UC'!C814,'Infos Clientes'!B:B,0))</f>
        <v>IGREJA DO EVANGELHO QUADRANGULAR</v>
      </c>
      <c r="B814" s="106" t="str">
        <f>INDEX('Infos Clientes'!$F:$F,MATCH('Detalhe Por UC'!C814,'Infos Clientes'!B:B,0))</f>
        <v>62.955.505/0577-89</v>
      </c>
      <c r="C814" s="44" t="s">
        <v>237</v>
      </c>
      <c r="D814" t="s">
        <v>351</v>
      </c>
      <c r="E814" s="1" t="s">
        <v>352</v>
      </c>
      <c r="F814" s="56" t="str">
        <f>INDEX('Infos Clientes'!$I:$I,MATCH('Detalhe Por UC'!C814,'Infos Clientes'!B:B,0))</f>
        <v>BT</v>
      </c>
      <c r="G814" s="56" t="str">
        <f>INDEX('Infos Clientes'!$J:$J,MATCH('Detalhe Por UC'!C814,'Infos Clientes'!B:B,0))</f>
        <v>trifasico</v>
      </c>
      <c r="H814" s="47" t="str">
        <f t="shared" si="457"/>
        <v>GIROSSOL III</v>
      </c>
      <c r="I814" s="58">
        <f>IFERROR(VLOOKUP(C814,'Infos Clientes'!B:E,4,),"")</f>
        <v>319</v>
      </c>
      <c r="J814" s="151">
        <v>0.22596103298069697</v>
      </c>
      <c r="K814" s="79">
        <f>INDEX('Resumo Operacional'!$A$1:$P$151,MATCH("Desconto percentual Ucs",'Resumo Operacional'!$B$1:$B$151,0),MATCH('Detalhe Por UC'!$R814,'Resumo Operacional'!$A$1:$P$1,0))</f>
        <v>0.26495232343264008</v>
      </c>
      <c r="M814" s="56"/>
      <c r="N814" s="56"/>
      <c r="O814" s="56"/>
      <c r="P814" s="56"/>
      <c r="Q814" s="61"/>
      <c r="R814" s="111">
        <v>45870</v>
      </c>
      <c r="S814" s="154">
        <v>0</v>
      </c>
      <c r="T814" s="113" t="str">
        <f>IF($H814="GIROSSOL II",AP814/INDEX('Resumo Operacional'!$A$1:$P$1103,17,MATCH('Detalhe Por UC'!$R814,'Resumo Operacional'!$A$1:$P$1,0)),
IF($H814="GIROSSOL II e III",AP814/INDEX('Resumo Operacional'!$A$1:$P$1103,17,MATCH('Detalhe Por UC'!$R814,'Resumo Operacional'!$A$1:$P$1,0)),
""))</f>
        <v/>
      </c>
      <c r="U814" s="113">
        <f>IF($H814="GIROSSOL III",AP814/INDEX('Resumo Operacional'!$A$1:$P$1103,53,MATCH('Detalhe Por UC'!$R814,'Resumo Operacional'!$A$1:$P$1,0)),
IF($H814="GIROSSOL II e III",AP814/INDEX('Resumo Operacional'!$A$1:$P$1103,53,MATCH('Detalhe Por UC'!$R814,'Resumo Operacional'!$A$1:$P$1,0)),
""))</f>
        <v>6.4275279987015099E-2</v>
      </c>
      <c r="X814">
        <v>1.1833804050355776</v>
      </c>
      <c r="Z814" s="18">
        <v>1.0264779283509995</v>
      </c>
      <c r="AB814" s="18">
        <v>315</v>
      </c>
      <c r="AD814" s="143">
        <v>0</v>
      </c>
      <c r="AF814" s="18">
        <v>396</v>
      </c>
      <c r="AH814" s="49">
        <v>0</v>
      </c>
      <c r="AK814" s="153">
        <v>108.96</v>
      </c>
      <c r="AL814" s="43">
        <f t="shared" si="492"/>
        <v>-263.80482758620695</v>
      </c>
      <c r="AN814" s="71">
        <f t="shared" si="458"/>
        <v>396</v>
      </c>
      <c r="AO814" s="71">
        <f t="shared" si="459"/>
        <v>0</v>
      </c>
      <c r="AP814" s="71">
        <f t="shared" si="460"/>
        <v>396</v>
      </c>
      <c r="AQ814" s="72">
        <f>IF(OR($H814="GIROSSOL II",$H814="GIROSSOL II e III"),INDEX('Resumo Operacional'!$A$1:$P$1103,MATCH("Energia Injetada prevista total Fatura da Usina (TUSD)",'Resumo Operacional'!$B$1:$B$1103,0),MATCH('Detalhe Por UC'!$R814,'Resumo Operacional'!$A$1:$P$1,0))*$S814,INDEX('Resumo Operacional'!$A$1:$P$1103,53,MATCH('Detalhe Por UC'!$R814,'Resumo Operacional'!$A$1:$P$1,0))*$S814)</f>
        <v>0</v>
      </c>
      <c r="AR814" s="71">
        <f t="shared" si="461"/>
        <v>396</v>
      </c>
      <c r="AS814" s="73">
        <f t="shared" si="462"/>
        <v>372.76482758620693</v>
      </c>
      <c r="AT814" s="74">
        <f t="shared" si="463"/>
        <v>372.76482758620693</v>
      </c>
      <c r="AU814" s="74" t="str">
        <f t="shared" si="464"/>
        <v/>
      </c>
      <c r="AV814" s="74">
        <f t="shared" si="465"/>
        <v>0</v>
      </c>
      <c r="AW814" s="74">
        <f t="shared" si="466"/>
        <v>0</v>
      </c>
      <c r="AX814" s="74">
        <f t="shared" si="467"/>
        <v>0</v>
      </c>
      <c r="AY814" s="74" t="str">
        <f t="shared" si="468"/>
        <v/>
      </c>
      <c r="AZ814" s="117">
        <v>0</v>
      </c>
      <c r="BA814" s="49">
        <v>9.9999999999999995E-8</v>
      </c>
      <c r="BC814" s="73" t="str">
        <f t="shared" si="469"/>
        <v/>
      </c>
      <c r="BD814" s="73">
        <f t="shared" si="470"/>
        <v>372.76482758620693</v>
      </c>
      <c r="BE814" s="73">
        <f t="shared" si="471"/>
        <v>372.76482758620693</v>
      </c>
      <c r="BF814" s="77">
        <f t="shared" si="472"/>
        <v>0</v>
      </c>
      <c r="BG814" s="77">
        <f t="shared" si="473"/>
        <v>0</v>
      </c>
      <c r="BH814" s="77">
        <f t="shared" si="474"/>
        <v>0</v>
      </c>
      <c r="BI814" s="78" t="str">
        <f t="shared" si="475"/>
        <v/>
      </c>
      <c r="BJ814" s="79">
        <f t="shared" si="476"/>
        <v>0</v>
      </c>
      <c r="BK814" s="80" t="str">
        <f t="shared" si="477"/>
        <v/>
      </c>
      <c r="BL814" s="80" t="str">
        <f t="shared" si="478"/>
        <v/>
      </c>
      <c r="BM814" s="79" t="str">
        <f t="shared" si="479"/>
        <v/>
      </c>
      <c r="BN814" s="81" t="str">
        <f t="shared" si="480"/>
        <v/>
      </c>
      <c r="BO814" s="82" t="str">
        <f t="shared" si="481"/>
        <v/>
      </c>
      <c r="BP814" s="81" t="str">
        <f t="shared" si="482"/>
        <v/>
      </c>
      <c r="BQ814" s="81" t="str">
        <f t="shared" si="483"/>
        <v/>
      </c>
      <c r="BR814" s="81" t="str">
        <f t="shared" si="484"/>
        <v/>
      </c>
      <c r="BS814" s="82">
        <f t="shared" si="485"/>
        <v>0</v>
      </c>
      <c r="BT814" s="82" t="str">
        <f t="shared" si="486"/>
        <v/>
      </c>
      <c r="BU814" s="82">
        <f t="shared" si="487"/>
        <v>0</v>
      </c>
      <c r="BW814" s="82">
        <f>IFERROR(INDEX('Infos Clientes'!$T:$T,MATCH('Detalhe Por UC'!$C814,'Infos Clientes'!B:B,0)),"")</f>
        <v>790</v>
      </c>
      <c r="BX814" s="83">
        <f t="shared" si="488"/>
        <v>0</v>
      </c>
      <c r="BY814" s="84" t="str">
        <f t="shared" si="489"/>
        <v/>
      </c>
      <c r="BZ814" s="85">
        <f>IF(_xlfn.MINIFS('Detalhe Por UC'!R:R,'Detalhe Por UC'!C:C,C814,'Detalhe Por UC'!AD:AD,"&gt;"&amp;0)=0,"",_xlfn.MINIFS('Detalhe Por UC'!R:R,'Detalhe Por UC'!C:C,C814,'Detalhe Por UC'!AD:AD,"&gt;"&amp;0))</f>
        <v>45717</v>
      </c>
      <c r="CA814" s="114" t="str">
        <f ca="1">IF(OR(S814&gt;0,AD814&gt;0),IFERROR(
SUMIFS(INDIRECT("'Infos Clientes'!$W"&amp;INDEX('Infos Clientes'!$C:$C,MATCH(C814,'Infos Clientes'!$H:$H,0))&amp;":$CZ"&amp;INDEX('Infos Clientes'!$C:$C,MATCH(C814,'Infos Clientes'!$H:$H,0))),'Infos Clientes'!$W$2:$CZ$2,"&gt;"&amp;$R814-365,'Infos Clientes'!$W$2:$CZ$2,"&lt;="&amp;$R814)/
COUNTIFS(INDIRECT("'Infos Clientes'!$W"&amp;INDEX('Infos Clientes'!$C:$C,MATCH(C814,'Infos Clientes'!$H:$H,0))&amp;":$CZ"&amp;INDEX('Infos Clientes'!$C:$C,MATCH(C814,'Infos Clientes'!$H:$H,0))),"&gt;="&amp;0,'Infos Clientes'!$W$2:$CZ$2,"&gt;"&amp;$R814-365,'Infos Clientes'!$W$2:$CZ$2,"&lt;="&amp;$R814),""),"")</f>
        <v/>
      </c>
      <c r="CB814" s="87">
        <f>VLOOKUP(C814,'Infos Clientes'!B:L,11,0)</f>
        <v>0</v>
      </c>
      <c r="CC814" s="88" t="str">
        <f t="shared" si="490"/>
        <v>A Unidade Consumidora 10/925970-6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4" s="115">
        <f t="shared" si="491"/>
        <v>-372.76482758620693</v>
      </c>
    </row>
    <row r="815" spans="1:84" ht="16.2" hidden="1" customHeight="1" x14ac:dyDescent="0.3">
      <c r="A815" s="105" t="str">
        <f>INDEX('Infos Clientes'!$D:$D,MATCH('Detalhe Por UC'!C815,'Infos Clientes'!B:B,0))</f>
        <v>IGREJA DO EVANGELHO QUADRANGULAR</v>
      </c>
      <c r="B815" s="106" t="str">
        <f>INDEX('Infos Clientes'!$F:$F,MATCH('Detalhe Por UC'!C815,'Infos Clientes'!B:B,0))</f>
        <v>62.955.505/1344-49</v>
      </c>
      <c r="C815" s="31" t="s">
        <v>166</v>
      </c>
      <c r="D815" t="s">
        <v>351</v>
      </c>
      <c r="E815" s="1" t="s">
        <v>352</v>
      </c>
      <c r="F815" s="56" t="str">
        <f>INDEX('Infos Clientes'!$I:$I,MATCH('Detalhe Por UC'!C815,'Infos Clientes'!B:B,0))</f>
        <v>BT</v>
      </c>
      <c r="G815" s="56" t="str">
        <f>INDEX('Infos Clientes'!$J:$J,MATCH('Detalhe Por UC'!C815,'Infos Clientes'!B:B,0))</f>
        <v>bifasico</v>
      </c>
      <c r="H815" s="47" t="str">
        <f t="shared" si="457"/>
        <v>GIROSSOL III</v>
      </c>
      <c r="I815" s="58">
        <f>IFERROR(VLOOKUP(C815,'Infos Clientes'!B:E,4,),"")</f>
        <v>362</v>
      </c>
      <c r="J815" s="151">
        <v>0.22596103298069697</v>
      </c>
      <c r="K815" s="79">
        <f>INDEX('Resumo Operacional'!$A$1:$P$151,MATCH("Desconto percentual Ucs",'Resumo Operacional'!$B$1:$B$151,0),MATCH('Detalhe Por UC'!$R815,'Resumo Operacional'!$A$1:$P$1,0))</f>
        <v>0.26495232343264008</v>
      </c>
      <c r="M815" s="56"/>
      <c r="N815" s="56"/>
      <c r="O815" s="56"/>
      <c r="P815" s="56"/>
      <c r="Q815" s="61"/>
      <c r="R815" s="111">
        <v>45870</v>
      </c>
      <c r="S815" s="154">
        <v>0</v>
      </c>
      <c r="T815" s="113" t="str">
        <f>IF($H815="GIROSSOL II",AP815/INDEX('Resumo Operacional'!$A$1:$P$1103,17,MATCH('Detalhe Por UC'!$R815,'Resumo Operacional'!$A$1:$P$1,0)),
IF($H815="GIROSSOL II e III",AP815/INDEX('Resumo Operacional'!$A$1:$P$1103,17,MATCH('Detalhe Por UC'!$R815,'Resumo Operacional'!$A$1:$P$1,0)),
""))</f>
        <v/>
      </c>
      <c r="U815" s="113">
        <f>IF($H815="GIROSSOL III",AP815/INDEX('Resumo Operacional'!$A$1:$P$1103,53,MATCH('Detalhe Por UC'!$R815,'Resumo Operacional'!$A$1:$P$1,0)),
IF($H815="GIROSSOL II e III",AP815/INDEX('Resumo Operacional'!$A$1:$P$1103,53,MATCH('Detalhe Por UC'!$R815,'Resumo Operacional'!$A$1:$P$1,0)),
""))</f>
        <v>5.258886544392144E-2</v>
      </c>
      <c r="X815" s="18">
        <v>1.1800551378446116</v>
      </c>
      <c r="Z815" s="18">
        <v>1.0231176999101526</v>
      </c>
      <c r="AB815" s="18">
        <v>95</v>
      </c>
      <c r="AD815" s="143">
        <v>53</v>
      </c>
      <c r="AF815" s="18">
        <v>271</v>
      </c>
      <c r="AH815" s="49">
        <v>18.5</v>
      </c>
      <c r="AK815" s="153">
        <v>76.38</v>
      </c>
      <c r="AL815" s="43">
        <f t="shared" si="492"/>
        <v>0</v>
      </c>
      <c r="AN815" s="71">
        <f t="shared" si="458"/>
        <v>271</v>
      </c>
      <c r="AO815" s="71">
        <f t="shared" si="459"/>
        <v>0</v>
      </c>
      <c r="AP815" s="71">
        <f t="shared" si="460"/>
        <v>324</v>
      </c>
      <c r="AQ815" s="72">
        <f>IF(OR($H815="GIROSSOL II",$H815="GIROSSOL II e III"),INDEX('Resumo Operacional'!$A$1:$P$1103,MATCH("Energia Injetada prevista total Fatura da Usina (TUSD)",'Resumo Operacional'!$B$1:$B$1103,0),MATCH('Detalhe Por UC'!$R815,'Resumo Operacional'!$A$1:$P$1,0))*$S815,INDEX('Resumo Operacional'!$A$1:$P$1103,53,MATCH('Detalhe Por UC'!$R815,'Resumo Operacional'!$A$1:$P$1,0))*$S815)</f>
        <v>0</v>
      </c>
      <c r="AR815" s="71">
        <f t="shared" si="461"/>
        <v>324</v>
      </c>
      <c r="AS815" s="73">
        <f t="shared" si="462"/>
        <v>76.38000000000001</v>
      </c>
      <c r="AT815" s="74">
        <f t="shared" si="463"/>
        <v>76.38000000000001</v>
      </c>
      <c r="AU815" s="74">
        <f t="shared" si="464"/>
        <v>0.86618026197569353</v>
      </c>
      <c r="AV815" s="74">
        <f t="shared" si="465"/>
        <v>41.972447281613846</v>
      </c>
      <c r="AW815" s="74">
        <f t="shared" si="466"/>
        <v>-149.22999999999999</v>
      </c>
      <c r="AX815" s="74">
        <f t="shared" si="467"/>
        <v>-95.004761904761907</v>
      </c>
      <c r="AY815" s="74">
        <f t="shared" si="468"/>
        <v>-107.26</v>
      </c>
      <c r="AZ815" s="129">
        <v>0</v>
      </c>
      <c r="BA815" s="49">
        <v>41.97</v>
      </c>
      <c r="BC815" s="73" t="str">
        <f t="shared" si="469"/>
        <v/>
      </c>
      <c r="BD815" s="73">
        <f t="shared" si="470"/>
        <v>130.60523809523809</v>
      </c>
      <c r="BE815" s="73">
        <f t="shared" si="471"/>
        <v>118.35244728161385</v>
      </c>
      <c r="BF815" s="77">
        <f t="shared" si="472"/>
        <v>12.25</v>
      </c>
      <c r="BG815" s="77">
        <f t="shared" si="473"/>
        <v>3.6749999999999998</v>
      </c>
      <c r="BH815" s="77">
        <f t="shared" si="474"/>
        <v>54.225238095238083</v>
      </c>
      <c r="BI815" s="78">
        <f t="shared" si="475"/>
        <v>-0.13</v>
      </c>
      <c r="BJ815" s="79">
        <f t="shared" si="476"/>
        <v>9.3794094162343092E-2</v>
      </c>
      <c r="BK815" s="80">
        <f t="shared" si="477"/>
        <v>-30.879999999999995</v>
      </c>
      <c r="BL815" s="80">
        <f t="shared" si="478"/>
        <v>161.48523809523809</v>
      </c>
      <c r="BM815" s="79">
        <f t="shared" si="479"/>
        <v>1.236437683896584</v>
      </c>
      <c r="BN815" s="81">
        <f t="shared" si="480"/>
        <v>-2.0237735849056606</v>
      </c>
      <c r="BO815" s="82">
        <f t="shared" si="481"/>
        <v>-107.26000000000002</v>
      </c>
      <c r="BP815" s="81">
        <f t="shared" si="482"/>
        <v>-2.0237735849056606</v>
      </c>
      <c r="BQ815" s="81">
        <f t="shared" si="483"/>
        <v>-1.8668361469712016</v>
      </c>
      <c r="BR815" s="81">
        <f t="shared" si="484"/>
        <v>1.1800551378446116</v>
      </c>
      <c r="BS815" s="82">
        <f t="shared" si="485"/>
        <v>53</v>
      </c>
      <c r="BT815" s="82">
        <f t="shared" si="486"/>
        <v>62.542922305764414</v>
      </c>
      <c r="BU815" s="82">
        <f t="shared" si="487"/>
        <v>54.225238095238083</v>
      </c>
      <c r="BW815" s="82">
        <f>IFERROR(INDEX('Infos Clientes'!$T:$T,MATCH('Detalhe Por UC'!$C815,'Infos Clientes'!B:B,0)),"")</f>
        <v>140.81818181818181</v>
      </c>
      <c r="BX815" s="83">
        <f t="shared" si="488"/>
        <v>0</v>
      </c>
      <c r="BY815" s="84">
        <f t="shared" si="489"/>
        <v>2.5819906096769394</v>
      </c>
      <c r="BZ815" s="85">
        <f>IF(_xlfn.MINIFS('Detalhe Por UC'!R:R,'Detalhe Por UC'!C:C,C815,'Detalhe Por UC'!AD:AD,"&gt;"&amp;0)=0,"",_xlfn.MINIFS('Detalhe Por UC'!R:R,'Detalhe Por UC'!C:C,C815,'Detalhe Por UC'!AD:AD,"&gt;"&amp;0))</f>
        <v>45658</v>
      </c>
      <c r="CA815" s="114">
        <f ca="1">IF(OR(S815&gt;0,AD815&gt;0),IFERROR(
SUMIFS(INDIRECT("'Infos Clientes'!$W"&amp;INDEX('Infos Clientes'!$C:$C,MATCH(C815,'Infos Clientes'!$H:$H,0))&amp;":$CZ"&amp;INDEX('Infos Clientes'!$C:$C,MATCH(C815,'Infos Clientes'!$H:$H,0))),'Infos Clientes'!$W$2:$CZ$2,"&gt;"&amp;$R815-365,'Infos Clientes'!$W$2:$CZ$2,"&lt;="&amp;$R815)/
COUNTIFS(INDIRECT("'Infos Clientes'!$W"&amp;INDEX('Infos Clientes'!$C:$C,MATCH(C815,'Infos Clientes'!$H:$H,0))&amp;":$CZ"&amp;INDEX('Infos Clientes'!$C:$C,MATCH(C815,'Infos Clientes'!$H:$H,0))),"&gt;="&amp;0,'Infos Clientes'!$W$2:$CZ$2,"&gt;"&amp;$R815-365,'Infos Clientes'!$W$2:$CZ$2,"&lt;="&amp;$R815),""),"")</f>
        <v>85.666666666666671</v>
      </c>
      <c r="CB815" s="87">
        <f>VLOOKUP(C815,'Infos Clientes'!B:L,11,0)</f>
        <v>0</v>
      </c>
      <c r="CC815" s="88" t="str">
        <f t="shared" si="490"/>
        <v>A Unidade Consumidora 10/175073-6 economizou R$12,25 na fatura referente à ago/2025  consumindo 53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5" s="115">
        <f t="shared" si="491"/>
        <v>-76.38000000000001</v>
      </c>
    </row>
    <row r="816" spans="1:84" ht="16.2" hidden="1" customHeight="1" x14ac:dyDescent="0.3">
      <c r="A816" s="105" t="str">
        <f>INDEX('Infos Clientes'!$D:$D,MATCH('Detalhe Por UC'!C816,'Infos Clientes'!B:B,0))</f>
        <v>IGREJA DO EVANGELHO QUADRANGULAR</v>
      </c>
      <c r="B816" s="106" t="str">
        <f>INDEX('Infos Clientes'!$F:$F,MATCH('Detalhe Por UC'!C816,'Infos Clientes'!B:B,0))</f>
        <v>62.955.505/8873-82</v>
      </c>
      <c r="C816" s="31" t="s">
        <v>212</v>
      </c>
      <c r="D816" t="s">
        <v>351</v>
      </c>
      <c r="E816" s="1" t="s">
        <v>352</v>
      </c>
      <c r="F816" s="56" t="str">
        <f>INDEX('Infos Clientes'!$I:$I,MATCH('Detalhe Por UC'!C816,'Infos Clientes'!B:B,0))</f>
        <v>BT</v>
      </c>
      <c r="G816" s="56" t="str">
        <f>INDEX('Infos Clientes'!$J:$J,MATCH('Detalhe Por UC'!C816,'Infos Clientes'!B:B,0))</f>
        <v>trifasico</v>
      </c>
      <c r="H816" s="47" t="str">
        <f t="shared" si="457"/>
        <v>GIROSSOL III</v>
      </c>
      <c r="I816" s="58">
        <f>IFERROR(VLOOKUP(C816,'Infos Clientes'!B:E,4,),"")</f>
        <v>351</v>
      </c>
      <c r="J816" s="151">
        <v>0.22596103298069697</v>
      </c>
      <c r="K816" s="79">
        <f>INDEX('Resumo Operacional'!$A$1:$P$151,MATCH("Desconto percentual Ucs",'Resumo Operacional'!$B$1:$B$151,0),MATCH('Detalhe Por UC'!$R816,'Resumo Operacional'!$A$1:$P$1,0))</f>
        <v>0.26495232343264008</v>
      </c>
      <c r="M816" s="56"/>
      <c r="N816" s="56"/>
      <c r="O816" s="56"/>
      <c r="P816" s="56"/>
      <c r="Q816" s="61"/>
      <c r="R816" s="111">
        <v>45870</v>
      </c>
      <c r="S816" s="154">
        <v>0</v>
      </c>
      <c r="T816" s="113" t="str">
        <f>IF($H816="GIROSSOL II",AP816/INDEX('Resumo Operacional'!$A$1:$P$1103,17,MATCH('Detalhe Por UC'!$R816,'Resumo Operacional'!$A$1:$P$1,0)),
IF($H816="GIROSSOL II e III",AP816/INDEX('Resumo Operacional'!$A$1:$P$1103,17,MATCH('Detalhe Por UC'!$R816,'Resumo Operacional'!$A$1:$P$1,0)),
""))</f>
        <v/>
      </c>
      <c r="U816" s="113">
        <f>IF($H816="GIROSSOL III",AP816/INDEX('Resumo Operacional'!$A$1:$P$1103,53,MATCH('Detalhe Por UC'!$R816,'Resumo Operacional'!$A$1:$P$1,0)),
IF($H816="GIROSSOL II e III",AP816/INDEX('Resumo Operacional'!$A$1:$P$1103,53,MATCH('Detalhe Por UC'!$R816,'Resumo Operacional'!$A$1:$P$1,0)),
""))</f>
        <v>0</v>
      </c>
      <c r="X816">
        <v>1.1698999999999999</v>
      </c>
      <c r="Z816" s="18">
        <v>0</v>
      </c>
      <c r="AB816" s="18">
        <v>100</v>
      </c>
      <c r="AD816" s="143">
        <v>0</v>
      </c>
      <c r="AF816" s="18"/>
      <c r="AH816" s="49">
        <v>2.66</v>
      </c>
      <c r="AK816" s="153">
        <v>119.65</v>
      </c>
      <c r="AL816" s="43">
        <f t="shared" si="492"/>
        <v>0</v>
      </c>
      <c r="AN816" s="71">
        <f t="shared" si="458"/>
        <v>0</v>
      </c>
      <c r="AO816" s="71">
        <f t="shared" si="459"/>
        <v>0</v>
      </c>
      <c r="AP816" s="71">
        <f t="shared" si="460"/>
        <v>0</v>
      </c>
      <c r="AQ816" s="72">
        <f>IF(OR($H816="GIROSSOL II",$H816="GIROSSOL II e III"),INDEX('Resumo Operacional'!$A$1:$P$1103,MATCH("Energia Injetada prevista total Fatura da Usina (TUSD)",'Resumo Operacional'!$B$1:$B$1103,0),MATCH('Detalhe Por UC'!$R816,'Resumo Operacional'!$A$1:$P$1,0))*$S816,INDEX('Resumo Operacional'!$A$1:$P$1103,53,MATCH('Detalhe Por UC'!$R816,'Resumo Operacional'!$A$1:$P$1,0))*$S816)</f>
        <v>0</v>
      </c>
      <c r="AR816" s="71">
        <f t="shared" si="461"/>
        <v>0</v>
      </c>
      <c r="AS816" s="73">
        <f t="shared" si="462"/>
        <v>119.64999999999999</v>
      </c>
      <c r="AT816" s="74">
        <f t="shared" si="463"/>
        <v>119.64999999999999</v>
      </c>
      <c r="AU816" s="74" t="str">
        <f t="shared" si="464"/>
        <v/>
      </c>
      <c r="AV816" s="74">
        <f t="shared" si="465"/>
        <v>0</v>
      </c>
      <c r="AW816" s="74">
        <f t="shared" si="466"/>
        <v>0</v>
      </c>
      <c r="AX816" s="74">
        <f t="shared" si="467"/>
        <v>0</v>
      </c>
      <c r="AY816" s="74" t="str">
        <f t="shared" si="468"/>
        <v/>
      </c>
      <c r="AZ816" s="117">
        <v>0</v>
      </c>
      <c r="BC816" s="73" t="str">
        <f t="shared" si="469"/>
        <v/>
      </c>
      <c r="BD816" s="73">
        <f t="shared" si="470"/>
        <v>119.64999999999999</v>
      </c>
      <c r="BE816" s="73">
        <f t="shared" si="471"/>
        <v>119.64999999999999</v>
      </c>
      <c r="BF816" s="77">
        <f t="shared" si="472"/>
        <v>0</v>
      </c>
      <c r="BG816" s="77">
        <f t="shared" si="473"/>
        <v>0</v>
      </c>
      <c r="BH816" s="77">
        <f t="shared" si="474"/>
        <v>0</v>
      </c>
      <c r="BI816" s="78" t="str">
        <f t="shared" si="475"/>
        <v/>
      </c>
      <c r="BJ816" s="79">
        <f t="shared" si="476"/>
        <v>0</v>
      </c>
      <c r="BK816" s="80" t="str">
        <f t="shared" si="477"/>
        <v/>
      </c>
      <c r="BL816" s="80" t="str">
        <f t="shared" si="478"/>
        <v/>
      </c>
      <c r="BM816" s="79" t="str">
        <f t="shared" si="479"/>
        <v/>
      </c>
      <c r="BN816" s="81" t="str">
        <f t="shared" si="480"/>
        <v/>
      </c>
      <c r="BO816" s="82" t="str">
        <f t="shared" si="481"/>
        <v/>
      </c>
      <c r="BP816" s="81" t="str">
        <f t="shared" si="482"/>
        <v/>
      </c>
      <c r="BQ816" s="81" t="str">
        <f t="shared" si="483"/>
        <v/>
      </c>
      <c r="BR816" s="81" t="str">
        <f t="shared" si="484"/>
        <v/>
      </c>
      <c r="BS816" s="82">
        <f t="shared" si="485"/>
        <v>0</v>
      </c>
      <c r="BT816" s="82" t="str">
        <f t="shared" si="486"/>
        <v/>
      </c>
      <c r="BU816" s="82">
        <f t="shared" si="487"/>
        <v>0</v>
      </c>
      <c r="BW816" s="82">
        <f>IFERROR(INDEX('Infos Clientes'!$T:$T,MATCH('Detalhe Por UC'!$C816,'Infos Clientes'!B:B,0)),"")</f>
        <v>93.7</v>
      </c>
      <c r="BX816" s="83">
        <f t="shared" si="488"/>
        <v>0</v>
      </c>
      <c r="BY816" s="84" t="str">
        <f t="shared" si="489"/>
        <v/>
      </c>
      <c r="BZ816" s="85">
        <f>IF(_xlfn.MINIFS('Detalhe Por UC'!R:R,'Detalhe Por UC'!C:C,C816,'Detalhe Por UC'!AD:AD,"&gt;"&amp;0)=0,"",_xlfn.MINIFS('Detalhe Por UC'!R:R,'Detalhe Por UC'!C:C,C816,'Detalhe Por UC'!AD:AD,"&gt;"&amp;0))</f>
        <v>45689</v>
      </c>
      <c r="CA816" s="114" t="str">
        <f ca="1">IF(OR(S816&gt;0,AD816&gt;0),IFERROR(
SUMIFS(INDIRECT("'Infos Clientes'!$W"&amp;INDEX('Infos Clientes'!$C:$C,MATCH(C816,'Infos Clientes'!$H:$H,0))&amp;":$CZ"&amp;INDEX('Infos Clientes'!$C:$C,MATCH(C816,'Infos Clientes'!$H:$H,0))),'Infos Clientes'!$W$2:$CZ$2,"&gt;"&amp;$R816-365,'Infos Clientes'!$W$2:$CZ$2,"&lt;="&amp;$R816)/
COUNTIFS(INDIRECT("'Infos Clientes'!$W"&amp;INDEX('Infos Clientes'!$C:$C,MATCH(C816,'Infos Clientes'!$H:$H,0))&amp;":$CZ"&amp;INDEX('Infos Clientes'!$C:$C,MATCH(C816,'Infos Clientes'!$H:$H,0))),"&gt;="&amp;0,'Infos Clientes'!$W$2:$CZ$2,"&gt;"&amp;$R816-365,'Infos Clientes'!$W$2:$CZ$2,"&lt;="&amp;$R816),""),"")</f>
        <v/>
      </c>
      <c r="CB816" s="87">
        <f>VLOOKUP(C816,'Infos Clientes'!B:L,11,0)</f>
        <v>0</v>
      </c>
      <c r="CC816" s="88" t="str">
        <f t="shared" si="490"/>
        <v>A Unidade Consumidora 10/505854-0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6" s="115">
        <f t="shared" si="491"/>
        <v>-119.64999999999999</v>
      </c>
    </row>
    <row r="817" spans="1:84" ht="16.2" hidden="1" customHeight="1" x14ac:dyDescent="0.3">
      <c r="A817" s="105" t="str">
        <f>INDEX('Infos Clientes'!$D:$D,MATCH('Detalhe Por UC'!C817,'Infos Clientes'!B:B,0))</f>
        <v>IGREJA DO EVANGELHO QUADRANGULAR</v>
      </c>
      <c r="B817" s="106" t="str">
        <f>INDEX('Infos Clientes'!$F:$F,MATCH('Detalhe Por UC'!C817,'Infos Clientes'!B:B,0))</f>
        <v>62.955.505/2876-01</v>
      </c>
      <c r="C817" s="31" t="s">
        <v>180</v>
      </c>
      <c r="D817" t="s">
        <v>351</v>
      </c>
      <c r="E817" s="1" t="s">
        <v>352</v>
      </c>
      <c r="F817" s="56" t="str">
        <f>INDEX('Infos Clientes'!$I:$I,MATCH('Detalhe Por UC'!C817,'Infos Clientes'!B:B,0))</f>
        <v>BT</v>
      </c>
      <c r="G817" s="56" t="str">
        <f>INDEX('Infos Clientes'!$J:$J,MATCH('Detalhe Por UC'!C817,'Infos Clientes'!B:B,0))</f>
        <v>trifasico</v>
      </c>
      <c r="H817" s="47" t="str">
        <f t="shared" si="457"/>
        <v>GIROSSOL III</v>
      </c>
      <c r="I817" s="58">
        <f>IFERROR(VLOOKUP(C817,'Infos Clientes'!B:E,4,),"")</f>
        <v>994</v>
      </c>
      <c r="J817" s="151">
        <v>0.22596103298069697</v>
      </c>
      <c r="K817" s="79">
        <f>INDEX('Resumo Operacional'!$A$1:$P$151,MATCH("Desconto percentual Ucs",'Resumo Operacional'!$B$1:$B$151,0),MATCH('Detalhe Por UC'!$R817,'Resumo Operacional'!$A$1:$P$1,0))</f>
        <v>0.26495232343264008</v>
      </c>
      <c r="M817" s="56"/>
      <c r="N817" s="56"/>
      <c r="O817" s="56"/>
      <c r="P817" s="56"/>
      <c r="Q817" s="61"/>
      <c r="R817" s="111">
        <v>45870</v>
      </c>
      <c r="S817" s="154">
        <v>0</v>
      </c>
      <c r="T817" s="113" t="str">
        <f>IF($H817="GIROSSOL II",AP817/INDEX('Resumo Operacional'!$A$1:$P$1103,17,MATCH('Detalhe Por UC'!$R817,'Resumo Operacional'!$A$1:$P$1,0)),
IF($H817="GIROSSOL II e III",AP817/INDEX('Resumo Operacional'!$A$1:$P$1103,17,MATCH('Detalhe Por UC'!$R817,'Resumo Operacional'!$A$1:$P$1,0)),
""))</f>
        <v/>
      </c>
      <c r="U817" s="113">
        <f>IF($H817="GIROSSOL III",AP817/INDEX('Resumo Operacional'!$A$1:$P$1103,53,MATCH('Detalhe Por UC'!$R817,'Resumo Operacional'!$A$1:$P$1,0)),
IF($H817="GIROSSOL II e III",AP817/INDEX('Resumo Operacional'!$A$1:$P$1103,53,MATCH('Detalhe Por UC'!$R817,'Resumo Operacional'!$A$1:$P$1,0)),
""))</f>
        <v>2.9216036357734136E-3</v>
      </c>
      <c r="X817">
        <v>1.180596145226356</v>
      </c>
      <c r="Z817" s="18">
        <v>1.0238087056128293</v>
      </c>
      <c r="AB817" s="18">
        <v>115</v>
      </c>
      <c r="AD817" s="143">
        <v>18</v>
      </c>
      <c r="AF817" s="18"/>
      <c r="AH817" s="49">
        <v>26.47</v>
      </c>
      <c r="AK817" s="153">
        <v>143.81</v>
      </c>
      <c r="AL817" s="43">
        <f t="shared" si="492"/>
        <v>0</v>
      </c>
      <c r="AN817" s="71">
        <f t="shared" si="458"/>
        <v>0</v>
      </c>
      <c r="AO817" s="71">
        <f t="shared" si="459"/>
        <v>0</v>
      </c>
      <c r="AP817" s="71">
        <f t="shared" si="460"/>
        <v>18</v>
      </c>
      <c r="AQ817" s="72">
        <f>IF(OR($H817="GIROSSOL II",$H817="GIROSSOL II e III"),INDEX('Resumo Operacional'!$A$1:$P$1103,MATCH("Energia Injetada prevista total Fatura da Usina (TUSD)",'Resumo Operacional'!$B$1:$B$1103,0),MATCH('Detalhe Por UC'!$R817,'Resumo Operacional'!$A$1:$P$1,0))*$S817,INDEX('Resumo Operacional'!$A$1:$P$1103,53,MATCH('Detalhe Por UC'!$R817,'Resumo Operacional'!$A$1:$P$1,0))*$S817)</f>
        <v>0</v>
      </c>
      <c r="AR817" s="71">
        <f t="shared" si="461"/>
        <v>18</v>
      </c>
      <c r="AS817" s="73">
        <f t="shared" si="462"/>
        <v>143.81</v>
      </c>
      <c r="AT817" s="74">
        <f t="shared" si="463"/>
        <v>143.81</v>
      </c>
      <c r="AU817" s="74">
        <f t="shared" si="464"/>
        <v>0.86702126599930263</v>
      </c>
      <c r="AV817" s="74">
        <f t="shared" si="465"/>
        <v>14.264420992522636</v>
      </c>
      <c r="AW817" s="74">
        <f t="shared" si="466"/>
        <v>1.84</v>
      </c>
      <c r="AX817" s="74">
        <f t="shared" si="467"/>
        <v>20.268556701030928</v>
      </c>
      <c r="AY817" s="74">
        <f t="shared" si="468"/>
        <v>14.26</v>
      </c>
      <c r="AZ817" s="117">
        <v>14.26</v>
      </c>
      <c r="BA817" s="49">
        <v>14.26</v>
      </c>
      <c r="BB817" s="49">
        <v>14.26</v>
      </c>
      <c r="BC817" s="73" t="str">
        <f t="shared" si="469"/>
        <v/>
      </c>
      <c r="BD817" s="73">
        <f t="shared" si="470"/>
        <v>162.23855670103094</v>
      </c>
      <c r="BE817" s="73">
        <f t="shared" si="471"/>
        <v>158.07442099252265</v>
      </c>
      <c r="BF817" s="77">
        <f t="shared" si="472"/>
        <v>4.16</v>
      </c>
      <c r="BG817" s="77">
        <f t="shared" si="473"/>
        <v>1.248</v>
      </c>
      <c r="BH817" s="77">
        <f t="shared" si="474"/>
        <v>18.428556701030928</v>
      </c>
      <c r="BI817" s="78">
        <f t="shared" si="475"/>
        <v>0.23</v>
      </c>
      <c r="BJ817" s="79">
        <f t="shared" si="476"/>
        <v>2.5641253747504311E-2</v>
      </c>
      <c r="BK817" s="80">
        <f t="shared" si="477"/>
        <v>158.07</v>
      </c>
      <c r="BL817" s="80">
        <f t="shared" si="478"/>
        <v>4.1685567010309512</v>
      </c>
      <c r="BM817" s="79">
        <f t="shared" si="479"/>
        <v>2.5693995224037036E-2</v>
      </c>
      <c r="BN817" s="81">
        <f t="shared" si="480"/>
        <v>0.79222222222222216</v>
      </c>
      <c r="BO817" s="82">
        <f t="shared" si="481"/>
        <v>14.259999999999998</v>
      </c>
      <c r="BP817" s="81">
        <f t="shared" si="482"/>
        <v>0.79222222222222216</v>
      </c>
      <c r="BQ817" s="81">
        <f t="shared" si="483"/>
        <v>0.94900966183574886</v>
      </c>
      <c r="BR817" s="81">
        <f t="shared" si="484"/>
        <v>1.180596145226356</v>
      </c>
      <c r="BS817" s="82">
        <f t="shared" si="485"/>
        <v>18</v>
      </c>
      <c r="BT817" s="82">
        <f t="shared" si="486"/>
        <v>21.25073061407441</v>
      </c>
      <c r="BU817" s="82">
        <f t="shared" si="487"/>
        <v>18.428556701030928</v>
      </c>
      <c r="BW817" s="82">
        <f>IFERROR(INDEX('Infos Clientes'!$T:$T,MATCH('Detalhe Por UC'!$C817,'Infos Clientes'!B:B,0)),"")</f>
        <v>143.63636363636363</v>
      </c>
      <c r="BX817" s="83">
        <f t="shared" si="488"/>
        <v>0</v>
      </c>
      <c r="BY817" s="84">
        <f t="shared" si="489"/>
        <v>0.19616062980300941</v>
      </c>
      <c r="BZ817" s="85">
        <f>IF(_xlfn.MINIFS('Detalhe Por UC'!R:R,'Detalhe Por UC'!C:C,C817,'Detalhe Por UC'!AD:AD,"&gt;"&amp;0)=0,"",_xlfn.MINIFS('Detalhe Por UC'!R:R,'Detalhe Por UC'!C:C,C817,'Detalhe Por UC'!AD:AD,"&gt;"&amp;0))</f>
        <v>45658</v>
      </c>
      <c r="CA817" s="114">
        <f ca="1">IF(OR(S817&gt;0,AD817&gt;0),IFERROR(
SUMIFS(INDIRECT("'Infos Clientes'!$W"&amp;INDEX('Infos Clientes'!$C:$C,MATCH(C817,'Infos Clientes'!$H:$H,0))&amp;":$CZ"&amp;INDEX('Infos Clientes'!$C:$C,MATCH(C817,'Infos Clientes'!$H:$H,0))),'Infos Clientes'!$W$2:$CZ$2,"&gt;"&amp;$R817-365,'Infos Clientes'!$W$2:$CZ$2,"&lt;="&amp;$R817)/
COUNTIFS(INDIRECT("'Infos Clientes'!$W"&amp;INDEX('Infos Clientes'!$C:$C,MATCH(C817,'Infos Clientes'!$H:$H,0))&amp;":$CZ"&amp;INDEX('Infos Clientes'!$C:$C,MATCH(C817,'Infos Clientes'!$H:$H,0))),"&gt;="&amp;0,'Infos Clientes'!$W$2:$CZ$2,"&gt;"&amp;$R817-365,'Infos Clientes'!$W$2:$CZ$2,"&lt;="&amp;$R817),""),"")</f>
        <v>141.41666666666666</v>
      </c>
      <c r="CB817" s="87">
        <f>VLOOKUP(C817,'Infos Clientes'!B:L,11,0)</f>
        <v>0</v>
      </c>
      <c r="CC817" s="88" t="str">
        <f t="shared" si="490"/>
        <v>A Unidade Consumidora 10/283183-2 economizou R$4,16 na fatura referente à ago/2025  consumindo 18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7" s="115">
        <f t="shared" si="491"/>
        <v>-143.81</v>
      </c>
    </row>
    <row r="818" spans="1:84" ht="16.2" hidden="1" customHeight="1" x14ac:dyDescent="0.3">
      <c r="A818" s="105" t="str">
        <f>INDEX('Infos Clientes'!$D:$D,MATCH('Detalhe Por UC'!C818,'Infos Clientes'!B:B,0))</f>
        <v>IGREJA DO EVANGELHO QUADRANGULAR</v>
      </c>
      <c r="B818" s="106" t="str">
        <f>INDEX('Infos Clientes'!$F:$F,MATCH('Detalhe Por UC'!C818,'Infos Clientes'!B:B,0))</f>
        <v>62.955.505/3124-87</v>
      </c>
      <c r="C818" s="31" t="s">
        <v>185</v>
      </c>
      <c r="D818" t="s">
        <v>351</v>
      </c>
      <c r="E818" s="1" t="s">
        <v>352</v>
      </c>
      <c r="F818" s="56" t="str">
        <f>INDEX('Infos Clientes'!$I:$I,MATCH('Detalhe Por UC'!C818,'Infos Clientes'!B:B,0))</f>
        <v>BT</v>
      </c>
      <c r="G818" s="56" t="str">
        <f>INDEX('Infos Clientes'!$J:$J,MATCH('Detalhe Por UC'!C818,'Infos Clientes'!B:B,0))</f>
        <v>trifasico</v>
      </c>
      <c r="H818" s="47" t="str">
        <f t="shared" si="457"/>
        <v>GIROSSOL III</v>
      </c>
      <c r="I818" s="58">
        <f>IFERROR(VLOOKUP(C818,'Infos Clientes'!B:E,4,),"")</f>
        <v>357</v>
      </c>
      <c r="J818" s="151">
        <v>0.22596103298069697</v>
      </c>
      <c r="K818" s="79">
        <f>INDEX('Resumo Operacional'!$A$1:$P$151,MATCH("Desconto percentual Ucs",'Resumo Operacional'!$B$1:$B$151,0),MATCH('Detalhe Por UC'!$R818,'Resumo Operacional'!$A$1:$P$1,0))</f>
        <v>0.26495232343264008</v>
      </c>
      <c r="M818" s="56"/>
      <c r="N818" s="56"/>
      <c r="O818" s="56"/>
      <c r="P818" s="56"/>
      <c r="Q818" s="61"/>
      <c r="R818" s="111">
        <v>45870</v>
      </c>
      <c r="S818" s="154">
        <v>0</v>
      </c>
      <c r="T818" s="113" t="str">
        <f>IF($H818="GIROSSOL II",AP818/INDEX('Resumo Operacional'!$A$1:$P$1103,17,MATCH('Detalhe Por UC'!$R818,'Resumo Operacional'!$A$1:$P$1,0)),
IF($H818="GIROSSOL II e III",AP818/INDEX('Resumo Operacional'!$A$1:$P$1103,17,MATCH('Detalhe Por UC'!$R818,'Resumo Operacional'!$A$1:$P$1,0)),
""))</f>
        <v/>
      </c>
      <c r="U818" s="113">
        <f>IF($H818="GIROSSOL III",AP818/INDEX('Resumo Operacional'!$A$1:$P$1103,53,MATCH('Detalhe Por UC'!$R818,'Resumo Operacional'!$A$1:$P$1,0)),
IF($H818="GIROSSOL II e III",AP818/INDEX('Resumo Operacional'!$A$1:$P$1103,53,MATCH('Detalhe Por UC'!$R818,'Resumo Operacional'!$A$1:$P$1,0)),
""))</f>
        <v>0</v>
      </c>
      <c r="X818">
        <v>1.1566999999999998</v>
      </c>
      <c r="Z818" s="18">
        <v>0</v>
      </c>
      <c r="AB818" s="18">
        <v>100</v>
      </c>
      <c r="AD818" s="143">
        <v>0</v>
      </c>
      <c r="AF818" s="18"/>
      <c r="AH818" s="49">
        <v>24.67</v>
      </c>
      <c r="AK818" s="153">
        <v>140.34</v>
      </c>
      <c r="AL818" s="43">
        <f t="shared" si="492"/>
        <v>0</v>
      </c>
      <c r="AN818" s="71">
        <f t="shared" si="458"/>
        <v>0</v>
      </c>
      <c r="AO818" s="71">
        <f t="shared" si="459"/>
        <v>0</v>
      </c>
      <c r="AP818" s="71">
        <f t="shared" si="460"/>
        <v>0</v>
      </c>
      <c r="AQ818" s="72">
        <f>IF(OR($H818="GIROSSOL II",$H818="GIROSSOL II e III"),INDEX('Resumo Operacional'!$A$1:$P$1103,MATCH("Energia Injetada prevista total Fatura da Usina (TUSD)",'Resumo Operacional'!$B$1:$B$1103,0),MATCH('Detalhe Por UC'!$R818,'Resumo Operacional'!$A$1:$P$1,0))*$S818,INDEX('Resumo Operacional'!$A$1:$P$1103,53,MATCH('Detalhe Por UC'!$R818,'Resumo Operacional'!$A$1:$P$1,0))*$S818)</f>
        <v>0</v>
      </c>
      <c r="AR818" s="71">
        <f t="shared" si="461"/>
        <v>0</v>
      </c>
      <c r="AS818" s="73">
        <f t="shared" si="462"/>
        <v>140.33999999999997</v>
      </c>
      <c r="AT818" s="74">
        <f t="shared" si="463"/>
        <v>140.33999999999997</v>
      </c>
      <c r="AU818" s="74" t="str">
        <f t="shared" si="464"/>
        <v/>
      </c>
      <c r="AV818" s="74">
        <f t="shared" si="465"/>
        <v>0</v>
      </c>
      <c r="AW818" s="74">
        <f t="shared" si="466"/>
        <v>0</v>
      </c>
      <c r="AX818" s="74">
        <f t="shared" si="467"/>
        <v>0</v>
      </c>
      <c r="AY818" s="74" t="str">
        <f t="shared" si="468"/>
        <v/>
      </c>
      <c r="AZ818" s="117">
        <v>0</v>
      </c>
      <c r="BC818" s="73" t="str">
        <f t="shared" si="469"/>
        <v/>
      </c>
      <c r="BD818" s="73">
        <f t="shared" si="470"/>
        <v>140.33999999999997</v>
      </c>
      <c r="BE818" s="73">
        <f t="shared" si="471"/>
        <v>140.33999999999997</v>
      </c>
      <c r="BF818" s="77">
        <f t="shared" si="472"/>
        <v>0</v>
      </c>
      <c r="BG818" s="77">
        <f t="shared" si="473"/>
        <v>0</v>
      </c>
      <c r="BH818" s="77">
        <f t="shared" si="474"/>
        <v>0</v>
      </c>
      <c r="BI818" s="78" t="str">
        <f t="shared" si="475"/>
        <v/>
      </c>
      <c r="BJ818" s="79">
        <f t="shared" si="476"/>
        <v>0</v>
      </c>
      <c r="BK818" s="80" t="str">
        <f t="shared" si="477"/>
        <v/>
      </c>
      <c r="BL818" s="80" t="str">
        <f t="shared" si="478"/>
        <v/>
      </c>
      <c r="BM818" s="79" t="str">
        <f t="shared" si="479"/>
        <v/>
      </c>
      <c r="BN818" s="81" t="str">
        <f t="shared" si="480"/>
        <v/>
      </c>
      <c r="BO818" s="82" t="str">
        <f t="shared" si="481"/>
        <v/>
      </c>
      <c r="BP818" s="81" t="str">
        <f t="shared" si="482"/>
        <v/>
      </c>
      <c r="BQ818" s="81" t="str">
        <f t="shared" si="483"/>
        <v/>
      </c>
      <c r="BR818" s="81" t="str">
        <f t="shared" si="484"/>
        <v/>
      </c>
      <c r="BS818" s="82">
        <f t="shared" si="485"/>
        <v>0</v>
      </c>
      <c r="BT818" s="82" t="str">
        <f t="shared" si="486"/>
        <v/>
      </c>
      <c r="BU818" s="82">
        <f t="shared" si="487"/>
        <v>0</v>
      </c>
      <c r="BW818" s="82">
        <f>IFERROR(INDEX('Infos Clientes'!$T:$T,MATCH('Detalhe Por UC'!$C818,'Infos Clientes'!B:B,0)),"")</f>
        <v>178.4</v>
      </c>
      <c r="BX818" s="83">
        <f t="shared" si="488"/>
        <v>0</v>
      </c>
      <c r="BY818" s="84" t="str">
        <f t="shared" si="489"/>
        <v/>
      </c>
      <c r="BZ818" s="85">
        <f>IF(_xlfn.MINIFS('Detalhe Por UC'!R:R,'Detalhe Por UC'!C:C,C818,'Detalhe Por UC'!AD:AD,"&gt;"&amp;0)=0,"",_xlfn.MINIFS('Detalhe Por UC'!R:R,'Detalhe Por UC'!C:C,C818,'Detalhe Por UC'!AD:AD,"&gt;"&amp;0))</f>
        <v>45689</v>
      </c>
      <c r="CA818" s="114" t="str">
        <f ca="1">IF(OR(S818&gt;0,AD818&gt;0),IFERROR(
SUMIFS(INDIRECT("'Infos Clientes'!$W"&amp;INDEX('Infos Clientes'!$C:$C,MATCH(C818,'Infos Clientes'!$H:$H,0))&amp;":$CZ"&amp;INDEX('Infos Clientes'!$C:$C,MATCH(C818,'Infos Clientes'!$H:$H,0))),'Infos Clientes'!$W$2:$CZ$2,"&gt;"&amp;$R818-365,'Infos Clientes'!$W$2:$CZ$2,"&lt;="&amp;$R818)/
COUNTIFS(INDIRECT("'Infos Clientes'!$W"&amp;INDEX('Infos Clientes'!$C:$C,MATCH(C818,'Infos Clientes'!$H:$H,0))&amp;":$CZ"&amp;INDEX('Infos Clientes'!$C:$C,MATCH(C818,'Infos Clientes'!$H:$H,0))),"&gt;="&amp;0,'Infos Clientes'!$W$2:$CZ$2,"&gt;"&amp;$R818-365,'Infos Clientes'!$W$2:$CZ$2,"&lt;="&amp;$R818),""),"")</f>
        <v/>
      </c>
      <c r="CB818" s="87">
        <f>VLOOKUP(C818,'Infos Clientes'!B:L,11,0)</f>
        <v>0</v>
      </c>
      <c r="CC818" s="88" t="str">
        <f t="shared" si="490"/>
        <v>A Unidade Consumidora 10/3054052-0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8" s="115">
        <f t="shared" si="491"/>
        <v>-140.33999999999997</v>
      </c>
    </row>
    <row r="819" spans="1:84" ht="16.2" hidden="1" customHeight="1" x14ac:dyDescent="0.3">
      <c r="A819" s="105" t="str">
        <f>INDEX('Infos Clientes'!$D:$D,MATCH('Detalhe Por UC'!C819,'Infos Clientes'!B:B,0))</f>
        <v>IGREJA DO EVANGELHO QUADRANGULAR</v>
      </c>
      <c r="B819" s="106" t="str">
        <f>INDEX('Infos Clientes'!$F:$F,MATCH('Detalhe Por UC'!C819,'Infos Clientes'!B:B,0))</f>
        <v>62.955.505/3586-30</v>
      </c>
      <c r="C819" s="31" t="s">
        <v>242</v>
      </c>
      <c r="D819" t="s">
        <v>351</v>
      </c>
      <c r="E819" s="1" t="s">
        <v>352</v>
      </c>
      <c r="F819" s="56" t="str">
        <f>INDEX('Infos Clientes'!$I:$I,MATCH('Detalhe Por UC'!C819,'Infos Clientes'!B:B,0))</f>
        <v>BT</v>
      </c>
      <c r="G819" s="56" t="str">
        <f>INDEX('Infos Clientes'!$J:$J,MATCH('Detalhe Por UC'!C819,'Infos Clientes'!B:B,0))</f>
        <v>trifasico</v>
      </c>
      <c r="H819" s="47" t="str">
        <f t="shared" si="457"/>
        <v>GIROSSOL III</v>
      </c>
      <c r="I819" s="58">
        <f>IFERROR(VLOOKUP(C819,'Infos Clientes'!B:E,4,),"")</f>
        <v>371</v>
      </c>
      <c r="J819" s="151">
        <v>0.22596103298069697</v>
      </c>
      <c r="K819" s="79">
        <f>INDEX('Resumo Operacional'!$A$1:$P$151,MATCH("Desconto percentual Ucs",'Resumo Operacional'!$B$1:$B$151,0),MATCH('Detalhe Por UC'!$R819,'Resumo Operacional'!$A$1:$P$1,0))</f>
        <v>0.26495232343264008</v>
      </c>
      <c r="M819" s="56"/>
      <c r="N819" s="56"/>
      <c r="O819" s="56"/>
      <c r="P819" s="56"/>
      <c r="Q819" s="61"/>
      <c r="R819" s="111">
        <v>45870</v>
      </c>
      <c r="S819" s="154">
        <v>0</v>
      </c>
      <c r="T819" s="113" t="str">
        <f>IF($H819="GIROSSOL II",AP819/INDEX('Resumo Operacional'!$A$1:$P$1103,17,MATCH('Detalhe Por UC'!$R819,'Resumo Operacional'!$A$1:$P$1,0)),
IF($H819="GIROSSOL II e III",AP819/INDEX('Resumo Operacional'!$A$1:$P$1103,17,MATCH('Detalhe Por UC'!$R819,'Resumo Operacional'!$A$1:$P$1,0)),
""))</f>
        <v/>
      </c>
      <c r="U819" s="113">
        <f>IF($H819="GIROSSOL III",AP819/INDEX('Resumo Operacional'!$A$1:$P$1103,53,MATCH('Detalhe Por UC'!$R819,'Resumo Operacional'!$A$1:$P$1,0)),
IF($H819="GIROSSOL II e III",AP819/INDEX('Resumo Operacional'!$A$1:$P$1103,53,MATCH('Detalhe Por UC'!$R819,'Resumo Operacional'!$A$1:$P$1,0)),
""))</f>
        <v>0</v>
      </c>
      <c r="X819">
        <v>1.1776</v>
      </c>
      <c r="Z819" s="18">
        <v>0</v>
      </c>
      <c r="AB819" s="18">
        <v>100</v>
      </c>
      <c r="AD819" s="143">
        <v>0</v>
      </c>
      <c r="AF819" s="18"/>
      <c r="AH819" s="49">
        <v>20.97</v>
      </c>
      <c r="AK819" s="153">
        <v>138.72999999999999</v>
      </c>
      <c r="AL819" s="43">
        <f t="shared" si="492"/>
        <v>0</v>
      </c>
      <c r="AN819" s="71">
        <f t="shared" si="458"/>
        <v>0</v>
      </c>
      <c r="AO819" s="71">
        <f t="shared" si="459"/>
        <v>0</v>
      </c>
      <c r="AP819" s="71">
        <f t="shared" si="460"/>
        <v>0</v>
      </c>
      <c r="AQ819" s="72">
        <f>IF(OR($H819="GIROSSOL II",$H819="GIROSSOL II e III"),INDEX('Resumo Operacional'!$A$1:$P$1103,MATCH("Energia Injetada prevista total Fatura da Usina (TUSD)",'Resumo Operacional'!$B$1:$B$1103,0),MATCH('Detalhe Por UC'!$R819,'Resumo Operacional'!$A$1:$P$1,0))*$S819,INDEX('Resumo Operacional'!$A$1:$P$1103,53,MATCH('Detalhe Por UC'!$R819,'Resumo Operacional'!$A$1:$P$1,0))*$S819)</f>
        <v>0</v>
      </c>
      <c r="AR819" s="71">
        <f t="shared" si="461"/>
        <v>0</v>
      </c>
      <c r="AS819" s="73">
        <f t="shared" si="462"/>
        <v>138.72999999999999</v>
      </c>
      <c r="AT819" s="74">
        <f t="shared" si="463"/>
        <v>138.72999999999999</v>
      </c>
      <c r="AU819" s="74" t="str">
        <f t="shared" si="464"/>
        <v/>
      </c>
      <c r="AV819" s="74">
        <f t="shared" si="465"/>
        <v>0</v>
      </c>
      <c r="AW819" s="74">
        <f t="shared" si="466"/>
        <v>0</v>
      </c>
      <c r="AX819" s="74">
        <f t="shared" si="467"/>
        <v>0</v>
      </c>
      <c r="AY819" s="74" t="str">
        <f t="shared" si="468"/>
        <v/>
      </c>
      <c r="AZ819" s="117">
        <v>0</v>
      </c>
      <c r="BC819" s="73" t="str">
        <f t="shared" si="469"/>
        <v/>
      </c>
      <c r="BD819" s="73">
        <f t="shared" si="470"/>
        <v>138.72999999999999</v>
      </c>
      <c r="BE819" s="73">
        <f t="shared" si="471"/>
        <v>138.72999999999999</v>
      </c>
      <c r="BF819" s="77">
        <f t="shared" si="472"/>
        <v>0</v>
      </c>
      <c r="BG819" s="77">
        <f t="shared" si="473"/>
        <v>0</v>
      </c>
      <c r="BH819" s="77">
        <f t="shared" si="474"/>
        <v>0</v>
      </c>
      <c r="BI819" s="78" t="str">
        <f t="shared" si="475"/>
        <v/>
      </c>
      <c r="BJ819" s="79">
        <f t="shared" si="476"/>
        <v>0</v>
      </c>
      <c r="BK819" s="80" t="str">
        <f t="shared" si="477"/>
        <v/>
      </c>
      <c r="BL819" s="80" t="str">
        <f t="shared" si="478"/>
        <v/>
      </c>
      <c r="BM819" s="79" t="str">
        <f t="shared" si="479"/>
        <v/>
      </c>
      <c r="BN819" s="81" t="str">
        <f t="shared" si="480"/>
        <v/>
      </c>
      <c r="BO819" s="82" t="str">
        <f t="shared" si="481"/>
        <v/>
      </c>
      <c r="BP819" s="81" t="str">
        <f t="shared" si="482"/>
        <v/>
      </c>
      <c r="BQ819" s="81" t="str">
        <f t="shared" si="483"/>
        <v/>
      </c>
      <c r="BR819" s="81" t="str">
        <f t="shared" si="484"/>
        <v/>
      </c>
      <c r="BS819" s="82">
        <f t="shared" si="485"/>
        <v>0</v>
      </c>
      <c r="BT819" s="82" t="str">
        <f t="shared" si="486"/>
        <v/>
      </c>
      <c r="BU819" s="82">
        <f t="shared" si="487"/>
        <v>0</v>
      </c>
      <c r="BW819" s="82">
        <f>IFERROR(INDEX('Infos Clientes'!$T:$T,MATCH('Detalhe Por UC'!$C819,'Infos Clientes'!B:B,0)),"")</f>
        <v>175.90909090909091</v>
      </c>
      <c r="BX819" s="83">
        <f t="shared" si="488"/>
        <v>0</v>
      </c>
      <c r="BY819" s="84" t="str">
        <f t="shared" si="489"/>
        <v/>
      </c>
      <c r="BZ819" s="85">
        <f>IF(_xlfn.MINIFS('Detalhe Por UC'!R:R,'Detalhe Por UC'!C:C,C819,'Detalhe Por UC'!AD:AD,"&gt;"&amp;0)=0,"",_xlfn.MINIFS('Detalhe Por UC'!R:R,'Detalhe Por UC'!C:C,C819,'Detalhe Por UC'!AD:AD,"&gt;"&amp;0))</f>
        <v>45658</v>
      </c>
      <c r="CA819" s="114" t="str">
        <f ca="1">IF(OR(S819&gt;0,AD819&gt;0),IFERROR(
SUMIFS(INDIRECT("'Infos Clientes'!$W"&amp;INDEX('Infos Clientes'!$C:$C,MATCH(C819,'Infos Clientes'!$H:$H,0))&amp;":$CZ"&amp;INDEX('Infos Clientes'!$C:$C,MATCH(C819,'Infos Clientes'!$H:$H,0))),'Infos Clientes'!$W$2:$CZ$2,"&gt;"&amp;$R819-365,'Infos Clientes'!$W$2:$CZ$2,"&lt;="&amp;$R819)/
COUNTIFS(INDIRECT("'Infos Clientes'!$W"&amp;INDEX('Infos Clientes'!$C:$C,MATCH(C819,'Infos Clientes'!$H:$H,0))&amp;":$CZ"&amp;INDEX('Infos Clientes'!$C:$C,MATCH(C819,'Infos Clientes'!$H:$H,0))),"&gt;="&amp;0,'Infos Clientes'!$W$2:$CZ$2,"&gt;"&amp;$R819-365,'Infos Clientes'!$W$2:$CZ$2,"&lt;="&amp;$R819),""),"")</f>
        <v/>
      </c>
      <c r="CB819" s="87">
        <f>VLOOKUP(C819,'Infos Clientes'!B:L,11,0)</f>
        <v>0</v>
      </c>
      <c r="CC819" s="88" t="str">
        <f t="shared" si="490"/>
        <v>A Unidade Consumidora 10/908866-7 economizou R$0 na fatura referente à ago/2025  consumindo 0 kWh em créditos de energia renovável conforme fatura de energia. A economia foi de 22,5961032980697% em relação ao que seria pago para a Energisa considerando os créditos consumidos. Atenção: Mantenha as contas da Energisa em dia para evitar cortes.</v>
      </c>
      <c r="CF819" s="115">
        <f t="shared" si="491"/>
        <v>-138.72999999999999</v>
      </c>
    </row>
    <row r="820" spans="1:84" ht="16.2" hidden="1" customHeight="1" x14ac:dyDescent="0.3">
      <c r="A820" s="105" t="str">
        <f>INDEX('Infos Clientes'!$D:$D,MATCH('Detalhe Por UC'!C820,'Infos Clientes'!B:B,0))</f>
        <v>IGREJA DO EVANGELHO QUADRANGULAR</v>
      </c>
      <c r="B820" s="106" t="str">
        <f>INDEX('Infos Clientes'!$F:$F,MATCH('Detalhe Por UC'!C820,'Infos Clientes'!B:B,0))</f>
        <v>62.955.505/3932-07</v>
      </c>
      <c r="C820" s="31" t="s">
        <v>119</v>
      </c>
      <c r="D820" t="s">
        <v>351</v>
      </c>
      <c r="E820" s="1" t="s">
        <v>352</v>
      </c>
      <c r="F820" s="56" t="str">
        <f>INDEX('Infos Clientes'!$I:$I,MATCH('Detalhe Por UC'!C820,'Infos Clientes'!B:B,0))</f>
        <v>BT</v>
      </c>
      <c r="G820" s="56" t="str">
        <f>INDEX('Infos Clientes'!$J:$J,MATCH('Detalhe Por UC'!C820,'Infos Clientes'!B:B,0))</f>
        <v>trifasico</v>
      </c>
      <c r="H820" s="47" t="str">
        <f t="shared" ref="H820:H862" si="493">HYPERLINK("https://geraebcsp.sharepoint.com/sites/gestao.gdc/Shared Documents/EGS/2- Faturas/"&amp; TEXT($R820,"AAA") &amp;"/"&amp; TEXT($R820,"MM") &amp;"."&amp; TEXT($R820,"AAA") &amp;"/"&amp;"_10-"&amp; RIGHT($C820,LEN($C820)-3) &amp;"_" &amp; TEXT($R820,"AAAA") &amp;"-"&amp; TEXT($R820,"MM") &amp;".pdf","GIROSSOL II")</f>
        <v>GIROSSOL II</v>
      </c>
      <c r="I820" s="58">
        <f>IFERROR(VLOOKUP(C820,'Infos Clientes'!B:E,4,),"")</f>
        <v>302</v>
      </c>
      <c r="J820" s="151">
        <v>0.26857922422136293</v>
      </c>
      <c r="K820" s="79">
        <f>INDEX('Resumo Operacional'!$A$1:$P$151,MATCH("Desconto percentual Ucs",'Resumo Operacional'!$B$1:$B$151,0),MATCH('Detalhe Por UC'!$R820,'Resumo Operacional'!$A$1:$P$1,0))</f>
        <v>0.26857922422136293</v>
      </c>
      <c r="M820" s="56"/>
      <c r="N820" s="56"/>
      <c r="O820" s="56"/>
      <c r="P820" s="56"/>
      <c r="Q820" s="61"/>
      <c r="R820" s="111">
        <v>45901</v>
      </c>
      <c r="S820" s="152">
        <v>0.1326</v>
      </c>
      <c r="T820" s="113">
        <f>IF($H820="GIROSSOL II",AP820/INDEX('Resumo Operacional'!$A$1:$P$1103,17,MATCH('Detalhe Por UC'!$R820,'Resumo Operacional'!$A$1:$P$1,0)),
IF($H820="GIROSSOL II e III",AP820/INDEX('Resumo Operacional'!$A$1:$P$1103,17,MATCH('Detalhe Por UC'!$R820,'Resumo Operacional'!$A$1:$P$1,0)),
""))</f>
        <v>9.6156991005723627E-2</v>
      </c>
      <c r="U820" s="113" t="str">
        <f>IF($H820="GIROSSOL III",AP820/INDEX('Resumo Operacional'!$A$1:$P$1103,53,MATCH('Detalhe Por UC'!$R820,'Resumo Operacional'!$A$1:$P$1,0)),
IF($H820="GIROSSOL II e III",AP820/INDEX('Resumo Operacional'!$A$1:$P$1103,53,MATCH('Detalhe Por UC'!$R820,'Resumo Operacional'!$A$1:$P$1,0)),
""))</f>
        <v/>
      </c>
      <c r="X820">
        <v>1.2081460267274906</v>
      </c>
      <c r="Z820" s="18">
        <v>1.2081514521102714</v>
      </c>
      <c r="AB820" s="18">
        <v>865.19</v>
      </c>
      <c r="AD820" s="143">
        <v>765</v>
      </c>
      <c r="AF820" s="18">
        <v>2722</v>
      </c>
      <c r="AG820">
        <v>0</v>
      </c>
      <c r="AH820">
        <v>151.11000000000001</v>
      </c>
      <c r="AL820" s="43"/>
      <c r="AN820" s="71">
        <f t="shared" si="458"/>
        <v>411</v>
      </c>
      <c r="AO820" s="71">
        <f t="shared" si="459"/>
        <v>0</v>
      </c>
      <c r="AP820" s="71">
        <f t="shared" si="460"/>
        <v>1176</v>
      </c>
      <c r="AQ820" s="72">
        <f>IF(OR($H820="GIROSSOL II",$H820="GIROSSOL II e III"),INDEX('Resumo Operacional'!$A$1:$P$1103,MATCH("Energia Injetada prevista total Fatura da Usina (TUSD)",'Resumo Operacional'!$B$1:$B$1103,0),MATCH('Detalhe Por UC'!$R820,'Resumo Operacional'!$A$1:$P$1,0))*$S820,INDEX('Resumo Operacional'!$A$1:$P$1103,53,MATCH('Detalhe Por UC'!$R820,'Resumo Operacional'!$A$1:$P$1,0))*$S820)</f>
        <v>1621.6979999999999</v>
      </c>
      <c r="AR820" s="71">
        <f t="shared" si="461"/>
        <v>-445.69799999999987</v>
      </c>
      <c r="AS820" s="73">
        <f t="shared" si="462"/>
        <v>272.14999999999998</v>
      </c>
      <c r="AT820" s="74">
        <f t="shared" si="463"/>
        <v>272.14999999999998</v>
      </c>
      <c r="AU820" s="74">
        <f t="shared" si="464"/>
        <v>1.2081568774930522</v>
      </c>
      <c r="AV820" s="74">
        <f t="shared" si="465"/>
        <v>676.00531035584493</v>
      </c>
      <c r="AW820" s="74">
        <f t="shared" si="466"/>
        <v>0</v>
      </c>
      <c r="AX820" s="74">
        <f t="shared" si="467"/>
        <v>924.23586086435762</v>
      </c>
      <c r="AY820" s="74">
        <f t="shared" si="468"/>
        <v>676.01</v>
      </c>
      <c r="AZ820" s="117">
        <v>676.01</v>
      </c>
      <c r="BA820" s="117">
        <v>676.01</v>
      </c>
      <c r="BB820" s="117">
        <v>676.01</v>
      </c>
      <c r="BC820" s="73" t="str">
        <f t="shared" si="469"/>
        <v/>
      </c>
      <c r="BD820" s="73">
        <f t="shared" si="470"/>
        <v>1196.3858608643577</v>
      </c>
      <c r="BE820" s="73">
        <f t="shared" si="471"/>
        <v>948.1553103558449</v>
      </c>
      <c r="BF820" s="77">
        <f t="shared" si="472"/>
        <v>248.23</v>
      </c>
      <c r="BG820" s="77">
        <f t="shared" si="473"/>
        <v>74.468999999999994</v>
      </c>
      <c r="BH820" s="77">
        <f t="shared" si="474"/>
        <v>924.23586086435762</v>
      </c>
      <c r="BI820" s="78">
        <f t="shared" si="475"/>
        <v>0.27</v>
      </c>
      <c r="BJ820" s="79">
        <f t="shared" si="476"/>
        <v>0.20748322771104991</v>
      </c>
      <c r="BK820" s="80">
        <f t="shared" si="477"/>
        <v>948.16</v>
      </c>
      <c r="BL820" s="80">
        <f t="shared" si="478"/>
        <v>248.22586086435774</v>
      </c>
      <c r="BM820" s="79">
        <f t="shared" si="479"/>
        <v>0.20747976801148502</v>
      </c>
      <c r="BN820" s="81">
        <f t="shared" si="480"/>
        <v>0.88367320261437909</v>
      </c>
      <c r="BO820" s="82">
        <f t="shared" si="481"/>
        <v>676.01</v>
      </c>
      <c r="BP820" s="81">
        <f t="shared" si="482"/>
        <v>0.88367320261437909</v>
      </c>
      <c r="BQ820" s="81">
        <f t="shared" si="483"/>
        <v>0.88366777723159828</v>
      </c>
      <c r="BR820" s="81">
        <f t="shared" si="484"/>
        <v>1.2081460267274906</v>
      </c>
      <c r="BS820" s="82">
        <f t="shared" si="485"/>
        <v>765</v>
      </c>
      <c r="BT820" s="82">
        <f t="shared" si="486"/>
        <v>924.23171044653031</v>
      </c>
      <c r="BU820" s="82">
        <f t="shared" si="487"/>
        <v>924.23586086435762</v>
      </c>
      <c r="BW820" s="82">
        <f>IFERROR(INDEX('Infos Clientes'!$T:$T,MATCH('Detalhe Por UC'!$C820,'Infos Clientes'!B:B,0)),"")</f>
        <v>1810.6008333333332</v>
      </c>
      <c r="BX820" s="83">
        <f t="shared" si="488"/>
        <v>0</v>
      </c>
      <c r="BY820" s="84">
        <f t="shared" si="489"/>
        <v>0.26857535622147244</v>
      </c>
      <c r="BZ820" s="85">
        <f>IF(_xlfn.MINIFS('Detalhe Por UC'!R:R,'Detalhe Por UC'!C:C,C820,'Detalhe Por UC'!AD:AD,"&gt;"&amp;0)=0,"",_xlfn.MINIFS('Detalhe Por UC'!R:R,'Detalhe Por UC'!C:C,C820,'Detalhe Por UC'!AD:AD,"&gt;"&amp;0))</f>
        <v>45627</v>
      </c>
      <c r="CA820" s="114">
        <f ca="1">IF(OR(S820&gt;0,AD820&gt;0),IFERROR(
SUMIFS(INDIRECT("'Infos Clientes'!$W"&amp;INDEX('Infos Clientes'!$C:$C,MATCH(C820,'Infos Clientes'!$H:$H,0))&amp;":$CZ"&amp;INDEX('Infos Clientes'!$C:$C,MATCH(C820,'Infos Clientes'!$H:$H,0))),'Infos Clientes'!$W$2:$CZ$2,"&gt;"&amp;$R820-365,'Infos Clientes'!$W$2:$CZ$2,"&lt;="&amp;$R820)/
COUNTIFS(INDIRECT("'Infos Clientes'!$W"&amp;INDEX('Infos Clientes'!$C:$C,MATCH(C820,'Infos Clientes'!$H:$H,0))&amp;":$CZ"&amp;INDEX('Infos Clientes'!$C:$C,MATCH(C820,'Infos Clientes'!$H:$H,0))),"&gt;="&amp;0,'Infos Clientes'!$W$2:$CZ$2,"&gt;"&amp;$R820-365,'Infos Clientes'!$W$2:$CZ$2,"&lt;="&amp;$R820),""),"")</f>
        <v>1698.0925</v>
      </c>
      <c r="CB820" s="87">
        <f>VLOOKUP(C820,'Infos Clientes'!B:L,11,0)</f>
        <v>0</v>
      </c>
      <c r="CC820" s="88" t="str">
        <f t="shared" si="490"/>
        <v>A Unidade Consumidora 10/5202-7 economizou R$248,23 na fatura referente à set/2025  consumindo 765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0" s="115">
        <f t="shared" si="491"/>
        <v>-272.14999999999998</v>
      </c>
    </row>
    <row r="821" spans="1:84" ht="16.2" hidden="1" customHeight="1" x14ac:dyDescent="0.3">
      <c r="A821" s="105" t="str">
        <f>INDEX('Infos Clientes'!$D:$D,MATCH('Detalhe Por UC'!C821,'Infos Clientes'!B:B,0))</f>
        <v>IGREJA DO EVANGELHO QUADRANGULAR</v>
      </c>
      <c r="B821" s="106" t="str">
        <f>INDEX('Infos Clientes'!$F:$F,MATCH('Detalhe Por UC'!C821,'Infos Clientes'!B:B,0))</f>
        <v>62.955.505/0151-99</v>
      </c>
      <c r="C821" s="31" t="s">
        <v>102</v>
      </c>
      <c r="D821" t="s">
        <v>351</v>
      </c>
      <c r="E821" s="1" t="s">
        <v>352</v>
      </c>
      <c r="F821" s="56" t="str">
        <f>INDEX('Infos Clientes'!$I:$I,MATCH('Detalhe Por UC'!C821,'Infos Clientes'!B:B,0))</f>
        <v>BT</v>
      </c>
      <c r="G821" s="56" t="str">
        <f>INDEX('Infos Clientes'!$J:$J,MATCH('Detalhe Por UC'!C821,'Infos Clientes'!B:B,0))</f>
        <v>trifasico</v>
      </c>
      <c r="H821" s="47" t="str">
        <f t="shared" si="493"/>
        <v>GIROSSOL II</v>
      </c>
      <c r="I821" s="58">
        <f>IFERROR(VLOOKUP(C821,'Infos Clientes'!B:E,4,),"")</f>
        <v>306</v>
      </c>
      <c r="J821" s="151">
        <v>0.26857922422136293</v>
      </c>
      <c r="K821" s="79">
        <f>INDEX('Resumo Operacional'!$A$1:$P$151,MATCH("Desconto percentual Ucs",'Resumo Operacional'!$B$1:$B$151,0),MATCH('Detalhe Por UC'!$R821,'Resumo Operacional'!$A$1:$P$1,0))</f>
        <v>0.26857922422136293</v>
      </c>
      <c r="M821" s="56"/>
      <c r="N821" s="56"/>
      <c r="O821" s="56"/>
      <c r="P821" s="56"/>
      <c r="Q821" s="61"/>
      <c r="R821" s="111">
        <v>45901</v>
      </c>
      <c r="S821" s="152">
        <v>0.1032</v>
      </c>
      <c r="T821" s="113">
        <f>IF($H821="GIROSSOL II",AP821/INDEX('Resumo Operacional'!$A$1:$P$1103,17,MATCH('Detalhe Por UC'!$R821,'Resumo Operacional'!$A$1:$P$1,0)),
IF($H821="GIROSSOL II e III",AP821/INDEX('Resumo Operacional'!$A$1:$P$1103,17,MATCH('Detalhe Por UC'!$R821,'Resumo Operacional'!$A$1:$P$1,0)),
""))</f>
        <v>5.2085036794766969E-2</v>
      </c>
      <c r="U821" s="113" t="str">
        <f>IF($H821="GIROSSOL III",AP821/INDEX('Resumo Operacional'!$A$1:$P$1103,53,MATCH('Detalhe Por UC'!$R821,'Resumo Operacional'!$A$1:$P$1,0)),
IF($H821="GIROSSOL II e III",AP821/INDEX('Resumo Operacional'!$A$1:$P$1103,53,MATCH('Detalhe Por UC'!$R821,'Resumo Operacional'!$A$1:$P$1,0)),
""))</f>
        <v/>
      </c>
      <c r="X821">
        <v>1.2082378986866791</v>
      </c>
      <c r="Z821" s="18">
        <v>1.2082393762183234</v>
      </c>
      <c r="AB821" s="18">
        <v>2665</v>
      </c>
      <c r="AD821" s="143">
        <v>2565</v>
      </c>
      <c r="AF821" s="18">
        <v>137</v>
      </c>
      <c r="AG821">
        <v>0</v>
      </c>
      <c r="AH821">
        <v>0</v>
      </c>
      <c r="AL821" s="43"/>
      <c r="AN821" s="71">
        <f t="shared" si="458"/>
        <v>-1928</v>
      </c>
      <c r="AO821" s="71">
        <f t="shared" si="459"/>
        <v>0</v>
      </c>
      <c r="AP821" s="71">
        <f t="shared" si="460"/>
        <v>637</v>
      </c>
      <c r="AQ821" s="72">
        <f>IF(OR($H821="GIROSSOL II",$H821="GIROSSOL II e III"),INDEX('Resumo Operacional'!$A$1:$P$1103,MATCH("Energia Injetada prevista total Fatura da Usina (TUSD)",'Resumo Operacional'!$B$1:$B$1103,0),MATCH('Detalhe Por UC'!$R821,'Resumo Operacional'!$A$1:$P$1,0))*$S821,INDEX('Resumo Operacional'!$A$1:$P$1103,53,MATCH('Detalhe Por UC'!$R821,'Resumo Operacional'!$A$1:$P$1,0))*$S821)</f>
        <v>1262.136</v>
      </c>
      <c r="AR821" s="71">
        <f t="shared" si="461"/>
        <v>-625.13599999999997</v>
      </c>
      <c r="AS821" s="73">
        <f t="shared" si="462"/>
        <v>120.82000000000016</v>
      </c>
      <c r="AT821" s="74">
        <f t="shared" si="463"/>
        <v>120.82000000000016</v>
      </c>
      <c r="AU821" s="74">
        <f t="shared" si="464"/>
        <v>1.2082408537499678</v>
      </c>
      <c r="AV821" s="74">
        <f t="shared" si="465"/>
        <v>2266.7709945219503</v>
      </c>
      <c r="AW821" s="74">
        <f t="shared" si="466"/>
        <v>0</v>
      </c>
      <c r="AX821" s="74">
        <f t="shared" si="467"/>
        <v>3099.1339999999996</v>
      </c>
      <c r="AY821" s="74">
        <f t="shared" si="468"/>
        <v>2266.77</v>
      </c>
      <c r="AZ821" s="117">
        <v>2266.77</v>
      </c>
      <c r="BA821" s="117">
        <v>2266.77</v>
      </c>
      <c r="BB821" s="117">
        <v>2266.77</v>
      </c>
      <c r="BC821" s="73" t="str">
        <f t="shared" si="469"/>
        <v/>
      </c>
      <c r="BD821" s="73">
        <f t="shared" si="470"/>
        <v>3219.9539999999997</v>
      </c>
      <c r="BE821" s="73">
        <f t="shared" si="471"/>
        <v>2387.5909945219505</v>
      </c>
      <c r="BF821" s="77">
        <f t="shared" si="472"/>
        <v>832.36</v>
      </c>
      <c r="BG821" s="77">
        <f t="shared" si="473"/>
        <v>249.708</v>
      </c>
      <c r="BH821" s="77">
        <f t="shared" si="474"/>
        <v>3099.1339999999996</v>
      </c>
      <c r="BI821" s="78">
        <f t="shared" si="475"/>
        <v>0.27</v>
      </c>
      <c r="BJ821" s="79">
        <f t="shared" si="476"/>
        <v>0.25850058727547043</v>
      </c>
      <c r="BK821" s="80">
        <f t="shared" si="477"/>
        <v>2387.59</v>
      </c>
      <c r="BL821" s="80">
        <f t="shared" si="478"/>
        <v>832.36399999999958</v>
      </c>
      <c r="BM821" s="79">
        <f t="shared" si="479"/>
        <v>0.25850182952924161</v>
      </c>
      <c r="BN821" s="81">
        <f t="shared" si="480"/>
        <v>0.88373099415204681</v>
      </c>
      <c r="BO821" s="82">
        <f t="shared" si="481"/>
        <v>2266.77</v>
      </c>
      <c r="BP821" s="81">
        <f t="shared" si="482"/>
        <v>0.88373099415204681</v>
      </c>
      <c r="BQ821" s="81">
        <f t="shared" si="483"/>
        <v>0.88372951662040244</v>
      </c>
      <c r="BR821" s="81">
        <f t="shared" si="484"/>
        <v>1.2082378986866791</v>
      </c>
      <c r="BS821" s="82">
        <f t="shared" si="485"/>
        <v>2565</v>
      </c>
      <c r="BT821" s="82">
        <f t="shared" si="486"/>
        <v>3099.1302101313318</v>
      </c>
      <c r="BU821" s="82">
        <f t="shared" si="487"/>
        <v>3099.1339999999996</v>
      </c>
      <c r="BW821" s="82">
        <f>IFERROR(INDEX('Infos Clientes'!$T:$T,MATCH('Detalhe Por UC'!$C821,'Infos Clientes'!B:B,0)),"")</f>
        <v>2675.750833333333</v>
      </c>
      <c r="BX821" s="83">
        <f t="shared" si="488"/>
        <v>0</v>
      </c>
      <c r="BY821" s="84">
        <f t="shared" si="489"/>
        <v>0.26857987356546936</v>
      </c>
      <c r="BZ821" s="85">
        <f>IF(_xlfn.MINIFS('Detalhe Por UC'!R:R,'Detalhe Por UC'!C:C,C821,'Detalhe Por UC'!AD:AD,"&gt;"&amp;0)=0,"",_xlfn.MINIFS('Detalhe Por UC'!R:R,'Detalhe Por UC'!C:C,C821,'Detalhe Por UC'!AD:AD,"&gt;"&amp;0))</f>
        <v>45627</v>
      </c>
      <c r="CA821" s="114">
        <f ca="1">IF(OR(S821&gt;0,AD821&gt;0),IFERROR(
SUMIFS(INDIRECT("'Infos Clientes'!$W"&amp;INDEX('Infos Clientes'!$C:$C,MATCH(C821,'Infos Clientes'!$H:$H,0))&amp;":$CZ"&amp;INDEX('Infos Clientes'!$C:$C,MATCH(C821,'Infos Clientes'!$H:$H,0))),'Infos Clientes'!$W$2:$CZ$2,"&gt;"&amp;$R821-365,'Infos Clientes'!$W$2:$CZ$2,"&lt;="&amp;$R821)/
COUNTIFS(INDIRECT("'Infos Clientes'!$W"&amp;INDEX('Infos Clientes'!$C:$C,MATCH(C821,'Infos Clientes'!$H:$H,0))&amp;":$CZ"&amp;INDEX('Infos Clientes'!$C:$C,MATCH(C821,'Infos Clientes'!$H:$H,0))),"&gt;="&amp;0,'Infos Clientes'!$W$2:$CZ$2,"&gt;"&amp;$R821-365,'Infos Clientes'!$W$2:$CZ$2,"&lt;="&amp;$R821),""),"")</f>
        <v>2665.0349999999999</v>
      </c>
      <c r="CB821" s="87">
        <f>VLOOKUP(C821,'Infos Clientes'!B:L,11,0)</f>
        <v>0</v>
      </c>
      <c r="CC821" s="88" t="str">
        <f t="shared" si="490"/>
        <v>A Unidade Consumidora 10/364440-8 economizou R$832,36 na fatura referente à set/2025  consumindo 2565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1" s="115">
        <f t="shared" si="491"/>
        <v>-120.82000000000016</v>
      </c>
    </row>
    <row r="822" spans="1:84" ht="16.2" hidden="1" customHeight="1" x14ac:dyDescent="0.3">
      <c r="A822" s="105" t="str">
        <f>INDEX('Infos Clientes'!$D:$D,MATCH('Detalhe Por UC'!C822,'Infos Clientes'!B:B,0))</f>
        <v>IGREJA DO EVANGELHO QUADRANGULAR</v>
      </c>
      <c r="B822" s="106" t="str">
        <f>INDEX('Infos Clientes'!$F:$F,MATCH('Detalhe Por UC'!C822,'Infos Clientes'!B:B,0))</f>
        <v>62.955.505/0160-80</v>
      </c>
      <c r="C822" s="31" t="s">
        <v>61</v>
      </c>
      <c r="D822" t="s">
        <v>351</v>
      </c>
      <c r="E822" s="1" t="s">
        <v>352</v>
      </c>
      <c r="F822" s="56" t="str">
        <f>INDEX('Infos Clientes'!$I:$I,MATCH('Detalhe Por UC'!C822,'Infos Clientes'!B:B,0))</f>
        <v>BT</v>
      </c>
      <c r="G822" s="56" t="str">
        <f>INDEX('Infos Clientes'!$J:$J,MATCH('Detalhe Por UC'!C822,'Infos Clientes'!B:B,0))</f>
        <v>trifasico</v>
      </c>
      <c r="H822" s="47" t="str">
        <f t="shared" si="493"/>
        <v>GIROSSOL II</v>
      </c>
      <c r="I822" s="58">
        <f>IFERROR(VLOOKUP(C822,'Infos Clientes'!B:E,4,),"")</f>
        <v>357</v>
      </c>
      <c r="J822" s="151">
        <v>0.26857922422136293</v>
      </c>
      <c r="K822" s="79">
        <f>INDEX('Resumo Operacional'!$A$1:$P$151,MATCH("Desconto percentual Ucs",'Resumo Operacional'!$B$1:$B$151,0),MATCH('Detalhe Por UC'!$R822,'Resumo Operacional'!$A$1:$P$1,0))</f>
        <v>0.26857922422136293</v>
      </c>
      <c r="M822" s="56"/>
      <c r="N822" s="56"/>
      <c r="O822" s="56"/>
      <c r="P822" s="56"/>
      <c r="Q822" s="61"/>
      <c r="R822" s="111">
        <v>45901</v>
      </c>
      <c r="S822" s="152">
        <v>6.4699999999999994E-2</v>
      </c>
      <c r="T822" s="113">
        <f>IF($H822="GIROSSOL II",AP822/INDEX('Resumo Operacional'!$A$1:$P$1103,17,MATCH('Detalhe Por UC'!$R822,'Resumo Operacional'!$A$1:$P$1,0)),
IF($H822="GIROSSOL II e III",AP822/INDEX('Resumo Operacional'!$A$1:$P$1103,17,MATCH('Detalhe Por UC'!$R822,'Resumo Operacional'!$A$1:$P$1,0)),
""))</f>
        <v>6.467702371218316E-2</v>
      </c>
      <c r="U822" s="113" t="str">
        <f>IF($H822="GIROSSOL III",AP822/INDEX('Resumo Operacional'!$A$1:$P$1103,53,MATCH('Detalhe Por UC'!$R822,'Resumo Operacional'!$A$1:$P$1,0)),
IF($H822="GIROSSOL II e III",AP822/INDEX('Resumo Operacional'!$A$1:$P$1103,53,MATCH('Detalhe Por UC'!$R822,'Resumo Operacional'!$A$1:$P$1,0)),
""))</f>
        <v/>
      </c>
      <c r="X822">
        <v>1.2082355311355311</v>
      </c>
      <c r="Z822" s="18">
        <v>1.2082290322580644</v>
      </c>
      <c r="AB822" s="18">
        <v>1092</v>
      </c>
      <c r="AD822" s="143">
        <v>992</v>
      </c>
      <c r="AF822" s="18">
        <v>521</v>
      </c>
      <c r="AG822">
        <v>0</v>
      </c>
      <c r="AH822">
        <v>0</v>
      </c>
      <c r="AL822" s="43"/>
      <c r="AN822" s="71">
        <f t="shared" si="458"/>
        <v>-201</v>
      </c>
      <c r="AO822" s="71">
        <f t="shared" si="459"/>
        <v>0</v>
      </c>
      <c r="AP822" s="71">
        <f t="shared" si="460"/>
        <v>791</v>
      </c>
      <c r="AQ822" s="72">
        <f>IF(OR($H822="GIROSSOL II",$H822="GIROSSOL II e III"),INDEX('Resumo Operacional'!$A$1:$P$1103,MATCH("Energia Injetada prevista total Fatura da Usina (TUSD)",'Resumo Operacional'!$B$1:$B$1103,0),MATCH('Detalhe Por UC'!$R822,'Resumo Operacional'!$A$1:$P$1,0))*$S822,INDEX('Resumo Operacional'!$A$1:$P$1103,53,MATCH('Detalhe Por UC'!$R822,'Resumo Operacional'!$A$1:$P$1,0))*$S822)</f>
        <v>791.28099999999995</v>
      </c>
      <c r="AR822" s="71">
        <f t="shared" si="461"/>
        <v>-0.28099999999994907</v>
      </c>
      <c r="AS822" s="73">
        <f t="shared" si="462"/>
        <v>120.83000000000015</v>
      </c>
      <c r="AT822" s="74">
        <f t="shared" si="463"/>
        <v>120.83000000000015</v>
      </c>
      <c r="AU822" s="74">
        <f t="shared" si="464"/>
        <v>1.2082225333805978</v>
      </c>
      <c r="AV822" s="74">
        <f t="shared" si="465"/>
        <v>876.65402556372567</v>
      </c>
      <c r="AW822" s="74">
        <f t="shared" si="466"/>
        <v>0</v>
      </c>
      <c r="AX822" s="74">
        <f t="shared" si="467"/>
        <v>1198.5631999999998</v>
      </c>
      <c r="AY822" s="74">
        <f t="shared" si="468"/>
        <v>876.65</v>
      </c>
      <c r="AZ822" s="117">
        <v>876.65</v>
      </c>
      <c r="BA822" s="117">
        <v>876.65</v>
      </c>
      <c r="BB822" s="117">
        <v>876.65</v>
      </c>
      <c r="BC822" s="73" t="str">
        <f t="shared" si="469"/>
        <v/>
      </c>
      <c r="BD822" s="73">
        <f t="shared" si="470"/>
        <v>1319.3932</v>
      </c>
      <c r="BE822" s="73">
        <f t="shared" si="471"/>
        <v>997.48402556372582</v>
      </c>
      <c r="BF822" s="77">
        <f t="shared" si="472"/>
        <v>321.91000000000003</v>
      </c>
      <c r="BG822" s="77">
        <f t="shared" si="473"/>
        <v>96.573000000000008</v>
      </c>
      <c r="BH822" s="77">
        <f t="shared" si="474"/>
        <v>1198.5632000000001</v>
      </c>
      <c r="BI822" s="78">
        <f t="shared" si="475"/>
        <v>0.27</v>
      </c>
      <c r="BJ822" s="79">
        <f t="shared" si="476"/>
        <v>0.24398337053730459</v>
      </c>
      <c r="BK822" s="80">
        <f t="shared" si="477"/>
        <v>997.48000000000013</v>
      </c>
      <c r="BL822" s="80">
        <f t="shared" si="478"/>
        <v>321.91319999999985</v>
      </c>
      <c r="BM822" s="79">
        <f t="shared" si="479"/>
        <v>0.24398579589465813</v>
      </c>
      <c r="BN822" s="81">
        <f t="shared" si="480"/>
        <v>0.88371975806451608</v>
      </c>
      <c r="BO822" s="82">
        <f t="shared" si="481"/>
        <v>876.65</v>
      </c>
      <c r="BP822" s="81">
        <f t="shared" si="482"/>
        <v>0.88371975806451608</v>
      </c>
      <c r="BQ822" s="81">
        <f t="shared" si="483"/>
        <v>0.8837262569419827</v>
      </c>
      <c r="BR822" s="81">
        <f t="shared" si="484"/>
        <v>1.2082355311355311</v>
      </c>
      <c r="BS822" s="82">
        <f t="shared" si="485"/>
        <v>992</v>
      </c>
      <c r="BT822" s="82">
        <f t="shared" si="486"/>
        <v>1198.5696468864469</v>
      </c>
      <c r="BU822" s="82">
        <f t="shared" si="487"/>
        <v>1198.5631999999998</v>
      </c>
      <c r="BW822" s="82">
        <f>IFERROR(INDEX('Infos Clientes'!$T:$T,MATCH('Detalhe Por UC'!$C822,'Infos Clientes'!B:B,0)),"")</f>
        <v>958.25</v>
      </c>
      <c r="BX822" s="83">
        <f t="shared" si="488"/>
        <v>0</v>
      </c>
      <c r="BY822" s="84">
        <f t="shared" si="489"/>
        <v>0.26858113822274876</v>
      </c>
      <c r="BZ822" s="85">
        <f>IF(_xlfn.MINIFS('Detalhe Por UC'!R:R,'Detalhe Por UC'!C:C,C822,'Detalhe Por UC'!AD:AD,"&gt;"&amp;0)=0,"",_xlfn.MINIFS('Detalhe Por UC'!R:R,'Detalhe Por UC'!C:C,C822,'Detalhe Por UC'!AD:AD,"&gt;"&amp;0))</f>
        <v>45627</v>
      </c>
      <c r="CA822" s="114">
        <f ca="1">IF(OR(S822&gt;0,AD822&gt;0),IFERROR(
SUMIFS(INDIRECT("'Infos Clientes'!$W"&amp;INDEX('Infos Clientes'!$C:$C,MATCH(C822,'Infos Clientes'!$H:$H,0))&amp;":$CZ"&amp;INDEX('Infos Clientes'!$C:$C,MATCH(C822,'Infos Clientes'!$H:$H,0))),'Infos Clientes'!$W$2:$CZ$2,"&gt;"&amp;$R822-365,'Infos Clientes'!$W$2:$CZ$2,"&lt;="&amp;$R822)/
COUNTIFS(INDIRECT("'Infos Clientes'!$W"&amp;INDEX('Infos Clientes'!$C:$C,MATCH(C822,'Infos Clientes'!$H:$H,0))&amp;":$CZ"&amp;INDEX('Infos Clientes'!$C:$C,MATCH(C822,'Infos Clientes'!$H:$H,0))),"&gt;="&amp;0,'Infos Clientes'!$W$2:$CZ$2,"&gt;"&amp;$R822-365,'Infos Clientes'!$W$2:$CZ$2,"&lt;="&amp;$R822),""),"")</f>
        <v>939.66666666666663</v>
      </c>
      <c r="CB822" s="87">
        <f>VLOOKUP(C822,'Infos Clientes'!B:L,11,0)</f>
        <v>0</v>
      </c>
      <c r="CC822" s="88" t="str">
        <f t="shared" si="490"/>
        <v>A Unidade Consumidora 10/18015-8 economizou R$321,91 na fatura referente à set/2025  consumindo 992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2" s="115">
        <f t="shared" si="491"/>
        <v>-120.83000000000015</v>
      </c>
    </row>
    <row r="823" spans="1:84" ht="16.2" hidden="1" customHeight="1" x14ac:dyDescent="0.3">
      <c r="A823" s="105" t="str">
        <f>INDEX('Infos Clientes'!$D:$D,MATCH('Detalhe Por UC'!C823,'Infos Clientes'!B:B,0))</f>
        <v>IGREJA DO EVANGELHO QUADRANGULAR</v>
      </c>
      <c r="B823" s="106" t="str">
        <f>INDEX('Infos Clientes'!$F:$F,MATCH('Detalhe Por UC'!C823,'Infos Clientes'!B:B,0))</f>
        <v>62.955.505/0164-03</v>
      </c>
      <c r="C823" s="31" t="s">
        <v>70</v>
      </c>
      <c r="D823" t="s">
        <v>351</v>
      </c>
      <c r="E823" s="1" t="s">
        <v>352</v>
      </c>
      <c r="F823" s="56" t="str">
        <f>INDEX('Infos Clientes'!$I:$I,MATCH('Detalhe Por UC'!C823,'Infos Clientes'!B:B,0))</f>
        <v>BT</v>
      </c>
      <c r="G823" s="56" t="str">
        <f>INDEX('Infos Clientes'!$J:$J,MATCH('Detalhe Por UC'!C823,'Infos Clientes'!B:B,0))</f>
        <v>trifasico</v>
      </c>
      <c r="H823" s="47" t="str">
        <f t="shared" si="493"/>
        <v>GIROSSOL II</v>
      </c>
      <c r="I823" s="58">
        <f>IFERROR(VLOOKUP(C823,'Infos Clientes'!B:E,4,),"")</f>
        <v>371</v>
      </c>
      <c r="J823" s="151">
        <v>0.26857922422136293</v>
      </c>
      <c r="K823" s="79">
        <f>INDEX('Resumo Operacional'!$A$1:$P$151,MATCH("Desconto percentual Ucs",'Resumo Operacional'!$B$1:$B$151,0),MATCH('Detalhe Por UC'!$R823,'Resumo Operacional'!$A$1:$P$1,0))</f>
        <v>0.26857922422136293</v>
      </c>
      <c r="M823" s="56"/>
      <c r="N823" s="56"/>
      <c r="O823" s="56"/>
      <c r="P823" s="56"/>
      <c r="Q823" s="61"/>
      <c r="R823" s="111">
        <v>45901</v>
      </c>
      <c r="S823" s="152">
        <v>5.1700000000000003E-2</v>
      </c>
      <c r="T823" s="113">
        <f>IF($H823="GIROSSOL II",AP823/INDEX('Resumo Operacional'!$A$1:$P$1103,17,MATCH('Detalhe Por UC'!$R823,'Resumo Operacional'!$A$1:$P$1,0)),
IF($H823="GIROSSOL II e III",AP823/INDEX('Resumo Operacional'!$A$1:$P$1103,17,MATCH('Detalhe Por UC'!$R823,'Resumo Operacional'!$A$1:$P$1,0)),
""))</f>
        <v>5.1676206050695013E-2</v>
      </c>
      <c r="U823" s="113" t="str">
        <f>IF($H823="GIROSSOL III",AP823/INDEX('Resumo Operacional'!$A$1:$P$1103,53,MATCH('Detalhe Por UC'!$R823,'Resumo Operacional'!$A$1:$P$1,0)),
IF($H823="GIROSSOL II e III",AP823/INDEX('Resumo Operacional'!$A$1:$P$1103,53,MATCH('Detalhe Por UC'!$R823,'Resumo Operacional'!$A$1:$P$1,0)),
""))</f>
        <v/>
      </c>
      <c r="X823">
        <v>1.208040625</v>
      </c>
      <c r="Z823" s="18">
        <v>1.2080296296296296</v>
      </c>
      <c r="AB823" s="18">
        <v>640</v>
      </c>
      <c r="AD823" s="143">
        <v>540</v>
      </c>
      <c r="AF823" s="18">
        <v>797</v>
      </c>
      <c r="AG823">
        <v>0</v>
      </c>
      <c r="AH823">
        <v>131.06</v>
      </c>
      <c r="AL823" s="43"/>
      <c r="AN823" s="71">
        <f t="shared" si="458"/>
        <v>92</v>
      </c>
      <c r="AO823" s="71">
        <f t="shared" si="459"/>
        <v>0</v>
      </c>
      <c r="AP823" s="71">
        <f t="shared" si="460"/>
        <v>632</v>
      </c>
      <c r="AQ823" s="72">
        <f>IF(OR($H823="GIROSSOL II",$H823="GIROSSOL II e III"),INDEX('Resumo Operacional'!$A$1:$P$1103,MATCH("Energia Injetada prevista total Fatura da Usina (TUSD)",'Resumo Operacional'!$B$1:$B$1103,0),MATCH('Detalhe Por UC'!$R823,'Resumo Operacional'!$A$1:$P$1,0))*$S823,INDEX('Resumo Operacional'!$A$1:$P$1103,53,MATCH('Detalhe Por UC'!$R823,'Resumo Operacional'!$A$1:$P$1,0))*$S823)</f>
        <v>632.29100000000005</v>
      </c>
      <c r="AR823" s="71">
        <f t="shared" si="461"/>
        <v>-0.29100000000005366</v>
      </c>
      <c r="AS823" s="73">
        <f t="shared" si="462"/>
        <v>251.86999999999995</v>
      </c>
      <c r="AT823" s="74">
        <f t="shared" si="463"/>
        <v>251.86999999999995</v>
      </c>
      <c r="AU823" s="74">
        <f t="shared" si="464"/>
        <v>1.2080186342592591</v>
      </c>
      <c r="AV823" s="74">
        <f t="shared" si="465"/>
        <v>477.13210318833296</v>
      </c>
      <c r="AW823" s="74">
        <f t="shared" si="466"/>
        <v>0</v>
      </c>
      <c r="AX823" s="74">
        <f t="shared" si="467"/>
        <v>652.33600000000001</v>
      </c>
      <c r="AY823" s="74">
        <f t="shared" si="468"/>
        <v>477.13</v>
      </c>
      <c r="AZ823" s="117">
        <v>477.13</v>
      </c>
      <c r="BA823" s="117">
        <v>477.13</v>
      </c>
      <c r="BB823" s="117">
        <v>477.13</v>
      </c>
      <c r="BC823" s="73" t="str">
        <f t="shared" si="469"/>
        <v/>
      </c>
      <c r="BD823" s="73">
        <f t="shared" si="470"/>
        <v>904.2059999999999</v>
      </c>
      <c r="BE823" s="73">
        <f t="shared" si="471"/>
        <v>729.00210318833297</v>
      </c>
      <c r="BF823" s="77">
        <f t="shared" si="472"/>
        <v>175.2</v>
      </c>
      <c r="BG823" s="77">
        <f t="shared" si="473"/>
        <v>52.559999999999995</v>
      </c>
      <c r="BH823" s="77">
        <f t="shared" si="474"/>
        <v>652.3359999999999</v>
      </c>
      <c r="BI823" s="78">
        <f t="shared" si="475"/>
        <v>0.27</v>
      </c>
      <c r="BJ823" s="79">
        <f t="shared" si="476"/>
        <v>0.19376115619670739</v>
      </c>
      <c r="BK823" s="80">
        <f t="shared" si="477"/>
        <v>729</v>
      </c>
      <c r="BL823" s="80">
        <f t="shared" si="478"/>
        <v>175.2059999999999</v>
      </c>
      <c r="BM823" s="79">
        <f t="shared" si="479"/>
        <v>0.19376779185274143</v>
      </c>
      <c r="BN823" s="81">
        <f t="shared" si="480"/>
        <v>0.88357407407407407</v>
      </c>
      <c r="BO823" s="82">
        <f t="shared" si="481"/>
        <v>477.13</v>
      </c>
      <c r="BP823" s="81">
        <f t="shared" si="482"/>
        <v>0.88357407407407407</v>
      </c>
      <c r="BQ823" s="81">
        <f t="shared" si="483"/>
        <v>0.88358506944444448</v>
      </c>
      <c r="BR823" s="81">
        <f t="shared" si="484"/>
        <v>1.208040625</v>
      </c>
      <c r="BS823" s="82">
        <f t="shared" si="485"/>
        <v>540</v>
      </c>
      <c r="BT823" s="82">
        <f t="shared" si="486"/>
        <v>652.34193749999997</v>
      </c>
      <c r="BU823" s="82">
        <f t="shared" si="487"/>
        <v>652.33600000000001</v>
      </c>
      <c r="BW823" s="82">
        <f>IFERROR(INDEX('Infos Clientes'!$T:$T,MATCH('Detalhe Por UC'!$C823,'Infos Clientes'!B:B,0)),"")</f>
        <v>796.66666666666663</v>
      </c>
      <c r="BX823" s="83">
        <f t="shared" si="488"/>
        <v>0</v>
      </c>
      <c r="BY823" s="84">
        <f t="shared" si="489"/>
        <v>0.26858000371929175</v>
      </c>
      <c r="BZ823" s="85">
        <f>IF(_xlfn.MINIFS('Detalhe Por UC'!R:R,'Detalhe Por UC'!C:C,C823,'Detalhe Por UC'!AD:AD,"&gt;"&amp;0)=0,"",_xlfn.MINIFS('Detalhe Por UC'!R:R,'Detalhe Por UC'!C:C,C823,'Detalhe Por UC'!AD:AD,"&gt;"&amp;0))</f>
        <v>45627</v>
      </c>
      <c r="CA823" s="114">
        <f ca="1">IF(OR(S823&gt;0,AD823&gt;0),IFERROR(
SUMIFS(INDIRECT("'Infos Clientes'!$W"&amp;INDEX('Infos Clientes'!$C:$C,MATCH(C823,'Infos Clientes'!$H:$H,0))&amp;":$CZ"&amp;INDEX('Infos Clientes'!$C:$C,MATCH(C823,'Infos Clientes'!$H:$H,0))),'Infos Clientes'!$W$2:$CZ$2,"&gt;"&amp;$R823-365,'Infos Clientes'!$W$2:$CZ$2,"&lt;="&amp;$R823)/
COUNTIFS(INDIRECT("'Infos Clientes'!$W"&amp;INDEX('Infos Clientes'!$C:$C,MATCH(C823,'Infos Clientes'!$H:$H,0))&amp;":$CZ"&amp;INDEX('Infos Clientes'!$C:$C,MATCH(C823,'Infos Clientes'!$H:$H,0))),"&gt;="&amp;0,'Infos Clientes'!$W$2:$CZ$2,"&gt;"&amp;$R823-365,'Infos Clientes'!$W$2:$CZ$2,"&lt;="&amp;$R823),""),"")</f>
        <v>760</v>
      </c>
      <c r="CB823" s="87">
        <f>VLOOKUP(C823,'Infos Clientes'!B:L,11,0)</f>
        <v>0</v>
      </c>
      <c r="CC823" s="88" t="str">
        <f t="shared" si="490"/>
        <v>A Unidade Consumidora 10/202838-9 economizou R$175,2 na fatura referente à set/2025  consumindo 540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3" s="115">
        <f t="shared" si="491"/>
        <v>-251.86999999999995</v>
      </c>
    </row>
    <row r="824" spans="1:84" ht="16.2" hidden="1" customHeight="1" x14ac:dyDescent="0.3">
      <c r="A824" s="105" t="str">
        <f>INDEX('Infos Clientes'!$D:$D,MATCH('Detalhe Por UC'!C824,'Infos Clientes'!B:B,0))</f>
        <v>IGREJA DO EVANGELHO QUADRANGULAR</v>
      </c>
      <c r="B824" s="106" t="str">
        <f>INDEX('Infos Clientes'!$F:$F,MATCH('Detalhe Por UC'!C824,'Infos Clientes'!B:B,0))</f>
        <v>62.955.505/0172-13</v>
      </c>
      <c r="C824" s="31" t="s">
        <v>87</v>
      </c>
      <c r="D824" t="s">
        <v>351</v>
      </c>
      <c r="E824" s="1" t="s">
        <v>352</v>
      </c>
      <c r="F824" s="56" t="str">
        <f>INDEX('Infos Clientes'!$I:$I,MATCH('Detalhe Por UC'!C824,'Infos Clientes'!B:B,0))</f>
        <v>BT</v>
      </c>
      <c r="G824" s="56" t="str">
        <f>INDEX('Infos Clientes'!$J:$J,MATCH('Detalhe Por UC'!C824,'Infos Clientes'!B:B,0))</f>
        <v>trifasico</v>
      </c>
      <c r="H824" s="47" t="str">
        <f t="shared" si="493"/>
        <v>GIROSSOL II</v>
      </c>
      <c r="I824" s="58">
        <f>IFERROR(VLOOKUP(C824,'Infos Clientes'!B:E,4,),"")</f>
        <v>371</v>
      </c>
      <c r="J824" s="151">
        <v>0.26857922422136293</v>
      </c>
      <c r="K824" s="79">
        <f>INDEX('Resumo Operacional'!$A$1:$P$151,MATCH("Desconto percentual Ucs",'Resumo Operacional'!$B$1:$B$151,0),MATCH('Detalhe Por UC'!$R824,'Resumo Operacional'!$A$1:$P$1,0))</f>
        <v>0.26857922422136293</v>
      </c>
      <c r="M824" s="56"/>
      <c r="N824" s="56"/>
      <c r="O824" s="56"/>
      <c r="P824" s="56"/>
      <c r="Q824" s="61"/>
      <c r="R824" s="111">
        <v>45901</v>
      </c>
      <c r="S824" s="152">
        <v>5.1499999999999997E-2</v>
      </c>
      <c r="T824" s="113">
        <f>IF($H824="GIROSSOL II",AP824/INDEX('Resumo Operacional'!$A$1:$P$1103,17,MATCH('Detalhe Por UC'!$R824,'Resumo Operacional'!$A$1:$P$1,0)),
IF($H824="GIROSSOL II e III",AP824/INDEX('Resumo Operacional'!$A$1:$P$1103,17,MATCH('Detalhe Por UC'!$R824,'Resumo Operacional'!$A$1:$P$1,0)),
""))</f>
        <v>5.1430907604251841E-2</v>
      </c>
      <c r="U824" s="113" t="str">
        <f>IF($H824="GIROSSOL III",AP824/INDEX('Resumo Operacional'!$A$1:$P$1103,53,MATCH('Detalhe Por UC'!$R824,'Resumo Operacional'!$A$1:$P$1,0)),
IF($H824="GIROSSOL II e III",AP824/INDEX('Resumo Operacional'!$A$1:$P$1103,53,MATCH('Detalhe Por UC'!$R824,'Resumo Operacional'!$A$1:$P$1,0)),
""))</f>
        <v/>
      </c>
      <c r="X824">
        <v>1.2081334841628959</v>
      </c>
      <c r="Z824" s="18">
        <v>1.2081268656716417</v>
      </c>
      <c r="AB824" s="18">
        <v>1105</v>
      </c>
      <c r="AD824" s="143">
        <v>1005</v>
      </c>
      <c r="AF824" s="18">
        <v>805</v>
      </c>
      <c r="AG824">
        <v>0</v>
      </c>
      <c r="AH824">
        <v>111.02</v>
      </c>
      <c r="AL824" s="43"/>
      <c r="AN824" s="71">
        <f t="shared" si="458"/>
        <v>-376</v>
      </c>
      <c r="AO824" s="71">
        <f t="shared" si="459"/>
        <v>0</v>
      </c>
      <c r="AP824" s="71">
        <f t="shared" si="460"/>
        <v>629</v>
      </c>
      <c r="AQ824" s="72">
        <f>IF(OR($H824="GIROSSOL II",$H824="GIROSSOL II e III"),INDEX('Resumo Operacional'!$A$1:$P$1103,MATCH("Energia Injetada prevista total Fatura da Usina (TUSD)",'Resumo Operacional'!$B$1:$B$1103,0),MATCH('Detalhe Por UC'!$R824,'Resumo Operacional'!$A$1:$P$1,0))*$S824,INDEX('Resumo Operacional'!$A$1:$P$1103,53,MATCH('Detalhe Por UC'!$R824,'Resumo Operacional'!$A$1:$P$1,0))*$S824)</f>
        <v>629.84499999999991</v>
      </c>
      <c r="AR824" s="71">
        <f t="shared" si="461"/>
        <v>-0.8449999999999136</v>
      </c>
      <c r="AS824" s="73">
        <f t="shared" si="462"/>
        <v>231.83999999999992</v>
      </c>
      <c r="AT824" s="74">
        <f t="shared" si="463"/>
        <v>231.83999999999992</v>
      </c>
      <c r="AU824" s="74">
        <f t="shared" si="464"/>
        <v>1.2081202471803876</v>
      </c>
      <c r="AV824" s="74">
        <f t="shared" si="465"/>
        <v>888.06733477520822</v>
      </c>
      <c r="AW824" s="74">
        <f t="shared" si="466"/>
        <v>0</v>
      </c>
      <c r="AX824" s="74">
        <f t="shared" si="467"/>
        <v>1214.1675</v>
      </c>
      <c r="AY824" s="74">
        <f t="shared" si="468"/>
        <v>888.07</v>
      </c>
      <c r="AZ824" s="117">
        <v>888.07</v>
      </c>
      <c r="BA824" s="117">
        <v>888.07</v>
      </c>
      <c r="BB824" s="117">
        <v>888.07</v>
      </c>
      <c r="BC824" s="73" t="str">
        <f t="shared" si="469"/>
        <v/>
      </c>
      <c r="BD824" s="73">
        <f t="shared" si="470"/>
        <v>1446.0074999999999</v>
      </c>
      <c r="BE824" s="73">
        <f t="shared" si="471"/>
        <v>1119.9073347752083</v>
      </c>
      <c r="BF824" s="77">
        <f t="shared" si="472"/>
        <v>326.10000000000002</v>
      </c>
      <c r="BG824" s="77">
        <f t="shared" si="473"/>
        <v>97.83</v>
      </c>
      <c r="BH824" s="77">
        <f t="shared" si="474"/>
        <v>1214.1675</v>
      </c>
      <c r="BI824" s="78">
        <f t="shared" si="475"/>
        <v>0.27</v>
      </c>
      <c r="BJ824" s="79">
        <f t="shared" si="476"/>
        <v>0.2255175025025804</v>
      </c>
      <c r="BK824" s="80">
        <f t="shared" si="477"/>
        <v>1119.9099999999999</v>
      </c>
      <c r="BL824" s="80">
        <f t="shared" si="478"/>
        <v>326.09750000000008</v>
      </c>
      <c r="BM824" s="79">
        <f t="shared" si="479"/>
        <v>0.22551577360421721</v>
      </c>
      <c r="BN824" s="81">
        <f t="shared" si="480"/>
        <v>0.88365174129353241</v>
      </c>
      <c r="BO824" s="82">
        <f t="shared" si="481"/>
        <v>888.07</v>
      </c>
      <c r="BP824" s="81">
        <f t="shared" si="482"/>
        <v>0.88365174129353241</v>
      </c>
      <c r="BQ824" s="81">
        <f t="shared" si="483"/>
        <v>0.88365835978478657</v>
      </c>
      <c r="BR824" s="81">
        <f t="shared" si="484"/>
        <v>1.2081334841628959</v>
      </c>
      <c r="BS824" s="82">
        <f t="shared" si="485"/>
        <v>1005</v>
      </c>
      <c r="BT824" s="82">
        <f t="shared" si="486"/>
        <v>1214.1741515837105</v>
      </c>
      <c r="BU824" s="82">
        <f t="shared" si="487"/>
        <v>1214.1675</v>
      </c>
      <c r="BW824" s="82">
        <f>IFERROR(INDEX('Infos Clientes'!$T:$T,MATCH('Detalhe Por UC'!$C824,'Infos Clientes'!B:B,0)),"")</f>
        <v>1056.1666666666667</v>
      </c>
      <c r="BX824" s="83">
        <f t="shared" si="488"/>
        <v>0</v>
      </c>
      <c r="BY824" s="84">
        <f t="shared" si="489"/>
        <v>0.26857555777699105</v>
      </c>
      <c r="BZ824" s="85">
        <f>IF(_xlfn.MINIFS('Detalhe Por UC'!R:R,'Detalhe Por UC'!C:C,C824,'Detalhe Por UC'!AD:AD,"&gt;"&amp;0)=0,"",_xlfn.MINIFS('Detalhe Por UC'!R:R,'Detalhe Por UC'!C:C,C824,'Detalhe Por UC'!AD:AD,"&gt;"&amp;0))</f>
        <v>45627</v>
      </c>
      <c r="CA824" s="114">
        <f ca="1">IF(OR(S824&gt;0,AD824&gt;0),IFERROR(
SUMIFS(INDIRECT("'Infos Clientes'!$W"&amp;INDEX('Infos Clientes'!$C:$C,MATCH(C824,'Infos Clientes'!$H:$H,0))&amp;":$CZ"&amp;INDEX('Infos Clientes'!$C:$C,MATCH(C824,'Infos Clientes'!$H:$H,0))),'Infos Clientes'!$W$2:$CZ$2,"&gt;"&amp;$R824-365,'Infos Clientes'!$W$2:$CZ$2,"&lt;="&amp;$R824)/
COUNTIFS(INDIRECT("'Infos Clientes'!$W"&amp;INDEX('Infos Clientes'!$C:$C,MATCH(C824,'Infos Clientes'!$H:$H,0))&amp;":$CZ"&amp;INDEX('Infos Clientes'!$C:$C,MATCH(C824,'Infos Clientes'!$H:$H,0))),"&gt;="&amp;0,'Infos Clientes'!$W$2:$CZ$2,"&gt;"&amp;$R824-365,'Infos Clientes'!$W$2:$CZ$2,"&lt;="&amp;$R824),""),"")</f>
        <v>1043.9166666666667</v>
      </c>
      <c r="CB824" s="87">
        <f>VLOOKUP(C824,'Infos Clientes'!B:L,11,0)</f>
        <v>0</v>
      </c>
      <c r="CC824" s="88" t="str">
        <f t="shared" si="490"/>
        <v>A Unidade Consumidora 10/2605731-5 economizou R$326,1 na fatura referente à set/2025  consumindo 1005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4" s="115">
        <f t="shared" si="491"/>
        <v>-231.83999999999992</v>
      </c>
    </row>
    <row r="825" spans="1:84" ht="16.2" hidden="1" customHeight="1" x14ac:dyDescent="0.3">
      <c r="A825" s="105" t="str">
        <f>INDEX('Infos Clientes'!$D:$D,MATCH('Detalhe Por UC'!C825,'Infos Clientes'!B:B,0))</f>
        <v>IGREJA DO EVANGELHO QUADRANGULAR</v>
      </c>
      <c r="B825" s="106" t="str">
        <f>INDEX('Infos Clientes'!$F:$F,MATCH('Detalhe Por UC'!C825,'Infos Clientes'!B:B,0))</f>
        <v>62.955.505/4612-10</v>
      </c>
      <c r="C825" s="31" t="s">
        <v>57</v>
      </c>
      <c r="D825" t="s">
        <v>351</v>
      </c>
      <c r="E825" s="1" t="s">
        <v>352</v>
      </c>
      <c r="F825" s="56" t="str">
        <f>INDEX('Infos Clientes'!$I:$I,MATCH('Detalhe Por UC'!C825,'Infos Clientes'!B:B,0))</f>
        <v>BT</v>
      </c>
      <c r="G825" s="56" t="str">
        <f>INDEX('Infos Clientes'!$J:$J,MATCH('Detalhe Por UC'!C825,'Infos Clientes'!B:B,0))</f>
        <v>trifasico</v>
      </c>
      <c r="H825" s="47" t="str">
        <f t="shared" si="493"/>
        <v>GIROSSOL II</v>
      </c>
      <c r="I825" s="58">
        <f>IFERROR(VLOOKUP(C825,'Infos Clientes'!B:E,4,),"")</f>
        <v>306</v>
      </c>
      <c r="J825" s="151">
        <v>0.26857922422136293</v>
      </c>
      <c r="K825" s="79">
        <f>INDEX('Resumo Operacional'!$A$1:$P$151,MATCH("Desconto percentual Ucs",'Resumo Operacional'!$B$1:$B$151,0),MATCH('Detalhe Por UC'!$R825,'Resumo Operacional'!$A$1:$P$1,0))</f>
        <v>0.26857922422136293</v>
      </c>
      <c r="M825" s="56"/>
      <c r="N825" s="56"/>
      <c r="O825" s="56"/>
      <c r="P825" s="56"/>
      <c r="Q825" s="61"/>
      <c r="R825" s="111">
        <v>45901</v>
      </c>
      <c r="S825" s="152">
        <v>4.9500000000000002E-2</v>
      </c>
      <c r="T825" s="113">
        <f>IF($H825="GIROSSOL II",AP825/INDEX('Resumo Operacional'!$A$1:$P$1103,17,MATCH('Detalhe Por UC'!$R825,'Resumo Operacional'!$A$1:$P$1,0)),
IF($H825="GIROSSOL II e III",AP825/INDEX('Resumo Operacional'!$A$1:$P$1103,17,MATCH('Detalhe Por UC'!$R825,'Resumo Operacional'!$A$1:$P$1,0)),
""))</f>
        <v>2.8454619787408014E-2</v>
      </c>
      <c r="U825" s="113" t="str">
        <f>IF($H825="GIROSSOL III",AP825/INDEX('Resumo Operacional'!$A$1:$P$1103,53,MATCH('Detalhe Por UC'!$R825,'Resumo Operacional'!$A$1:$P$1,0)),
IF($H825="GIROSSOL II e III",AP825/INDEX('Resumo Operacional'!$A$1:$P$1103,53,MATCH('Detalhe Por UC'!$R825,'Resumo Operacional'!$A$1:$P$1,0)),
""))</f>
        <v/>
      </c>
      <c r="X825">
        <v>1.2081126090404442</v>
      </c>
      <c r="Z825" s="18">
        <v>1.2081078691423519</v>
      </c>
      <c r="AB825" s="18">
        <v>582</v>
      </c>
      <c r="AD825" s="143">
        <v>348</v>
      </c>
      <c r="AF825" s="18">
        <v>0</v>
      </c>
      <c r="AG825">
        <v>0</v>
      </c>
      <c r="AH825">
        <v>95.04</v>
      </c>
      <c r="AL825" s="43"/>
      <c r="AN825" s="71">
        <f t="shared" si="458"/>
        <v>0</v>
      </c>
      <c r="AO825" s="71">
        <f t="shared" si="459"/>
        <v>0</v>
      </c>
      <c r="AP825" s="71">
        <f t="shared" si="460"/>
        <v>348</v>
      </c>
      <c r="AQ825" s="72">
        <f>IF(OR($H825="GIROSSOL II",$H825="GIROSSOL II e III"),INDEX('Resumo Operacional'!$A$1:$P$1103,MATCH("Energia Injetada prevista total Fatura da Usina (TUSD)",'Resumo Operacional'!$B$1:$B$1103,0),MATCH('Detalhe Por UC'!$R825,'Resumo Operacional'!$A$1:$P$1,0))*$S825,INDEX('Resumo Operacional'!$A$1:$P$1103,53,MATCH('Detalhe Por UC'!$R825,'Resumo Operacional'!$A$1:$P$1,0))*$S825)</f>
        <v>605.38499999999999</v>
      </c>
      <c r="AR825" s="71">
        <f t="shared" si="461"/>
        <v>-257.38499999999999</v>
      </c>
      <c r="AS825" s="73">
        <f t="shared" si="462"/>
        <v>377.74000000000007</v>
      </c>
      <c r="AT825" s="74">
        <f t="shared" si="463"/>
        <v>377.74000000000007</v>
      </c>
      <c r="AU825" s="74">
        <f t="shared" si="464"/>
        <v>1.2081031292442597</v>
      </c>
      <c r="AV825" s="74">
        <f t="shared" si="465"/>
        <v>307.50504781558658</v>
      </c>
      <c r="AW825" s="74">
        <f t="shared" si="466"/>
        <v>0</v>
      </c>
      <c r="AX825" s="74">
        <f t="shared" si="467"/>
        <v>420.42153846153849</v>
      </c>
      <c r="AY825" s="74">
        <f t="shared" si="468"/>
        <v>307.51</v>
      </c>
      <c r="AZ825" s="117">
        <v>307.51</v>
      </c>
      <c r="BA825" s="117">
        <v>307.51</v>
      </c>
      <c r="BB825" s="117">
        <v>307.51</v>
      </c>
      <c r="BC825" s="73" t="str">
        <f t="shared" si="469"/>
        <v/>
      </c>
      <c r="BD825" s="73">
        <f t="shared" si="470"/>
        <v>798.1615384615385</v>
      </c>
      <c r="BE825" s="73">
        <f t="shared" si="471"/>
        <v>685.24504781558664</v>
      </c>
      <c r="BF825" s="77">
        <f t="shared" si="472"/>
        <v>112.92</v>
      </c>
      <c r="BG825" s="77">
        <f t="shared" si="473"/>
        <v>33.875999999999998</v>
      </c>
      <c r="BH825" s="77">
        <f t="shared" si="474"/>
        <v>420.42153846153849</v>
      </c>
      <c r="BI825" s="78">
        <f t="shared" si="475"/>
        <v>0.27</v>
      </c>
      <c r="BJ825" s="79">
        <f t="shared" si="476"/>
        <v>0.14147512071009338</v>
      </c>
      <c r="BK825" s="80">
        <f t="shared" si="477"/>
        <v>685.25</v>
      </c>
      <c r="BL825" s="80">
        <f t="shared" si="478"/>
        <v>112.9115384615385</v>
      </c>
      <c r="BM825" s="79">
        <f t="shared" si="479"/>
        <v>0.1414645194244466</v>
      </c>
      <c r="BN825" s="81">
        <f t="shared" si="480"/>
        <v>0.88364942528735635</v>
      </c>
      <c r="BO825" s="82">
        <f t="shared" si="481"/>
        <v>307.51</v>
      </c>
      <c r="BP825" s="81">
        <f t="shared" si="482"/>
        <v>0.88364942528735635</v>
      </c>
      <c r="BQ825" s="81">
        <f t="shared" si="483"/>
        <v>0.88365416518544859</v>
      </c>
      <c r="BR825" s="81">
        <f t="shared" si="484"/>
        <v>1.2081126090404442</v>
      </c>
      <c r="BS825" s="82">
        <f t="shared" si="485"/>
        <v>348</v>
      </c>
      <c r="BT825" s="82">
        <f t="shared" si="486"/>
        <v>420.42318794607456</v>
      </c>
      <c r="BU825" s="82">
        <f t="shared" si="487"/>
        <v>420.42153846153849</v>
      </c>
      <c r="BW825" s="82">
        <f>IFERROR(INDEX('Infos Clientes'!$T:$T,MATCH('Detalhe Por UC'!$C825,'Infos Clientes'!B:B,0)),"")</f>
        <v>511.41666666666669</v>
      </c>
      <c r="BX825" s="83">
        <f t="shared" si="488"/>
        <v>0</v>
      </c>
      <c r="BY825" s="84">
        <f t="shared" si="489"/>
        <v>0.26856639143324562</v>
      </c>
      <c r="BZ825" s="85">
        <f>IF(_xlfn.MINIFS('Detalhe Por UC'!R:R,'Detalhe Por UC'!C:C,C825,'Detalhe Por UC'!AD:AD,"&gt;"&amp;0)=0,"",_xlfn.MINIFS('Detalhe Por UC'!R:R,'Detalhe Por UC'!C:C,C825,'Detalhe Por UC'!AD:AD,"&gt;"&amp;0))</f>
        <v>45627</v>
      </c>
      <c r="CA825" s="114">
        <f ca="1">IF(OR(S825&gt;0,AD825&gt;0),IFERROR(
SUMIFS(INDIRECT("'Infos Clientes'!$W"&amp;INDEX('Infos Clientes'!$C:$C,MATCH(C825,'Infos Clientes'!$H:$H,0))&amp;":$CZ"&amp;INDEX('Infos Clientes'!$C:$C,MATCH(C825,'Infos Clientes'!$H:$H,0))),'Infos Clientes'!$W$2:$CZ$2,"&gt;"&amp;$R825-365,'Infos Clientes'!$W$2:$CZ$2,"&lt;="&amp;$R825)/
COUNTIFS(INDIRECT("'Infos Clientes'!$W"&amp;INDEX('Infos Clientes'!$C:$C,MATCH(C825,'Infos Clientes'!$H:$H,0))&amp;":$CZ"&amp;INDEX('Infos Clientes'!$C:$C,MATCH(C825,'Infos Clientes'!$H:$H,0))),"&gt;="&amp;0,'Infos Clientes'!$W$2:$CZ$2,"&gt;"&amp;$R825-365,'Infos Clientes'!$W$2:$CZ$2,"&lt;="&amp;$R825),""),"")</f>
        <v>757.5</v>
      </c>
      <c r="CB825" s="87">
        <f>VLOOKUP(C825,'Infos Clientes'!B:L,11,0)</f>
        <v>0</v>
      </c>
      <c r="CC825" s="88" t="str">
        <f t="shared" si="490"/>
        <v>A Unidade Consumidora 10/1695011-5 economizou R$112,92 na fatura referente à set/2025  consumindo 348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5" s="115">
        <f t="shared" si="491"/>
        <v>-377.74000000000007</v>
      </c>
    </row>
    <row r="826" spans="1:84" ht="16.2" hidden="1" customHeight="1" x14ac:dyDescent="0.3">
      <c r="A826" s="105" t="str">
        <f>INDEX('Infos Clientes'!$D:$D,MATCH('Detalhe Por UC'!C826,'Infos Clientes'!B:B,0))</f>
        <v>IGREJA DO EVANGELHO QUADRANGULAR</v>
      </c>
      <c r="B826" s="106" t="str">
        <f>INDEX('Infos Clientes'!$F:$F,MATCH('Detalhe Por UC'!C826,'Infos Clientes'!B:B,0))</f>
        <v>62.955.505/3793-95</v>
      </c>
      <c r="C826" s="31" t="s">
        <v>84</v>
      </c>
      <c r="D826" t="s">
        <v>351</v>
      </c>
      <c r="E826" s="1" t="s">
        <v>352</v>
      </c>
      <c r="F826" s="56" t="str">
        <f>INDEX('Infos Clientes'!$I:$I,MATCH('Detalhe Por UC'!C826,'Infos Clientes'!B:B,0))</f>
        <v>BT</v>
      </c>
      <c r="G826" s="56" t="str">
        <f>INDEX('Infos Clientes'!$J:$J,MATCH('Detalhe Por UC'!C826,'Infos Clientes'!B:B,0))</f>
        <v>trifasico</v>
      </c>
      <c r="H826" s="47" t="str">
        <f t="shared" si="493"/>
        <v>GIROSSOL II</v>
      </c>
      <c r="I826" s="58">
        <f>IFERROR(VLOOKUP(C826,'Infos Clientes'!B:E,4,),"")</f>
        <v>302</v>
      </c>
      <c r="J826" s="151">
        <v>0.26857922422136293</v>
      </c>
      <c r="K826" s="79">
        <f>INDEX('Resumo Operacional'!$A$1:$P$151,MATCH("Desconto percentual Ucs",'Resumo Operacional'!$B$1:$B$151,0),MATCH('Detalhe Por UC'!$R826,'Resumo Operacional'!$A$1:$P$1,0))</f>
        <v>0.26857922422136293</v>
      </c>
      <c r="M826" s="56"/>
      <c r="N826" s="56"/>
      <c r="O826" s="56"/>
      <c r="P826" s="56"/>
      <c r="Q826" s="61"/>
      <c r="R826" s="111">
        <v>45901</v>
      </c>
      <c r="S826" s="152">
        <v>4.5699999999999998E-2</v>
      </c>
      <c r="T826" s="113">
        <f>IF($H826="GIROSSOL II",AP826/INDEX('Resumo Operacional'!$A$1:$P$1103,17,MATCH('Detalhe Por UC'!$R826,'Resumo Operacional'!$A$1:$P$1,0)),
IF($H826="GIROSSOL II e III",AP826/INDEX('Resumo Operacional'!$A$1:$P$1103,17,MATCH('Detalhe Por UC'!$R826,'Resumo Operacional'!$A$1:$P$1,0)),
""))</f>
        <v>2.8454619787408014E-2</v>
      </c>
      <c r="U826" s="113" t="str">
        <f>IF($H826="GIROSSOL III",AP826/INDEX('Resumo Operacional'!$A$1:$P$1103,53,MATCH('Detalhe Por UC'!$R826,'Resumo Operacional'!$A$1:$P$1,0)),
IF($H826="GIROSSOL II e III",AP826/INDEX('Resumo Operacional'!$A$1:$P$1103,53,MATCH('Detalhe Por UC'!$R826,'Resumo Operacional'!$A$1:$P$1,0)),
""))</f>
        <v/>
      </c>
      <c r="X826">
        <v>1.2080323092170464</v>
      </c>
      <c r="Z826" s="18">
        <v>1.2080248624862486</v>
      </c>
      <c r="AB826" s="18">
        <v>1009</v>
      </c>
      <c r="AD826" s="143">
        <v>909</v>
      </c>
      <c r="AF826" s="18">
        <v>1142</v>
      </c>
      <c r="AG826">
        <v>0</v>
      </c>
      <c r="AH826">
        <v>2.39</v>
      </c>
      <c r="AL826" s="43"/>
      <c r="AN826" s="71">
        <f t="shared" si="458"/>
        <v>-561</v>
      </c>
      <c r="AO826" s="71">
        <f t="shared" si="459"/>
        <v>0</v>
      </c>
      <c r="AP826" s="71">
        <f t="shared" si="460"/>
        <v>348</v>
      </c>
      <c r="AQ826" s="72">
        <f>IF(OR($H826="GIROSSOL II",$H826="GIROSSOL II e III"),INDEX('Resumo Operacional'!$A$1:$P$1103,MATCH("Energia Injetada prevista total Fatura da Usina (TUSD)",'Resumo Operacional'!$B$1:$B$1103,0),MATCH('Detalhe Por UC'!$R826,'Resumo Operacional'!$A$1:$P$1,0))*$S826,INDEX('Resumo Operacional'!$A$1:$P$1103,53,MATCH('Detalhe Por UC'!$R826,'Resumo Operacional'!$A$1:$P$1,0))*$S826)</f>
        <v>558.91099999999994</v>
      </c>
      <c r="AR826" s="71">
        <f t="shared" si="461"/>
        <v>-210.91099999999994</v>
      </c>
      <c r="AS826" s="73">
        <f t="shared" si="462"/>
        <v>123.19999999999995</v>
      </c>
      <c r="AT826" s="74">
        <f t="shared" si="463"/>
        <v>123.19999999999995</v>
      </c>
      <c r="AU826" s="74">
        <f t="shared" si="464"/>
        <v>1.2080174157554506</v>
      </c>
      <c r="AV826" s="74">
        <f t="shared" si="465"/>
        <v>803.16920421033217</v>
      </c>
      <c r="AW826" s="74">
        <f t="shared" si="466"/>
        <v>0</v>
      </c>
      <c r="AX826" s="74">
        <f t="shared" si="467"/>
        <v>1098.0945999999999</v>
      </c>
      <c r="AY826" s="74">
        <f t="shared" si="468"/>
        <v>803.17</v>
      </c>
      <c r="AZ826" s="117">
        <v>803.17</v>
      </c>
      <c r="BA826" s="117">
        <v>803.17</v>
      </c>
      <c r="BB826" s="117">
        <v>803.17</v>
      </c>
      <c r="BC826" s="73" t="str">
        <f t="shared" si="469"/>
        <v/>
      </c>
      <c r="BD826" s="73">
        <f t="shared" si="470"/>
        <v>1221.2945999999999</v>
      </c>
      <c r="BE826" s="73">
        <f t="shared" si="471"/>
        <v>926.3692042103321</v>
      </c>
      <c r="BF826" s="77">
        <f t="shared" si="472"/>
        <v>294.93</v>
      </c>
      <c r="BG826" s="77">
        <f t="shared" si="473"/>
        <v>88.478999999999999</v>
      </c>
      <c r="BH826" s="77">
        <f t="shared" si="474"/>
        <v>1098.0945999999999</v>
      </c>
      <c r="BI826" s="78">
        <f t="shared" si="475"/>
        <v>0.27</v>
      </c>
      <c r="BJ826" s="79">
        <f t="shared" si="476"/>
        <v>0.24148964549585336</v>
      </c>
      <c r="BK826" s="80">
        <f t="shared" si="477"/>
        <v>926.36999999999989</v>
      </c>
      <c r="BL826" s="80">
        <f t="shared" si="478"/>
        <v>294.92460000000005</v>
      </c>
      <c r="BM826" s="79">
        <f t="shared" si="479"/>
        <v>0.24148522395824895</v>
      </c>
      <c r="BN826" s="81">
        <f t="shared" si="480"/>
        <v>0.88357535753575356</v>
      </c>
      <c r="BO826" s="82">
        <f t="shared" si="481"/>
        <v>803.17</v>
      </c>
      <c r="BP826" s="81">
        <f t="shared" si="482"/>
        <v>0.88357535753575356</v>
      </c>
      <c r="BQ826" s="81">
        <f t="shared" si="483"/>
        <v>0.88358280426655134</v>
      </c>
      <c r="BR826" s="81">
        <f t="shared" si="484"/>
        <v>1.2080323092170464</v>
      </c>
      <c r="BS826" s="82">
        <f t="shared" si="485"/>
        <v>909</v>
      </c>
      <c r="BT826" s="82">
        <f t="shared" si="486"/>
        <v>1098.1013690782952</v>
      </c>
      <c r="BU826" s="82">
        <f t="shared" si="487"/>
        <v>1098.0945999999999</v>
      </c>
      <c r="BW826" s="82">
        <f>IFERROR(INDEX('Infos Clientes'!$T:$T,MATCH('Detalhe Por UC'!$C826,'Infos Clientes'!B:B,0)),"")</f>
        <v>818</v>
      </c>
      <c r="BX826" s="83">
        <f t="shared" si="488"/>
        <v>0</v>
      </c>
      <c r="BY826" s="84">
        <f t="shared" si="489"/>
        <v>0.26857684390972808</v>
      </c>
      <c r="BZ826" s="85">
        <f>IF(_xlfn.MINIFS('Detalhe Por UC'!R:R,'Detalhe Por UC'!C:C,C826,'Detalhe Por UC'!AD:AD,"&gt;"&amp;0)=0,"",_xlfn.MINIFS('Detalhe Por UC'!R:R,'Detalhe Por UC'!C:C,C826,'Detalhe Por UC'!AD:AD,"&gt;"&amp;0))</f>
        <v>45627</v>
      </c>
      <c r="CA826" s="114">
        <f ca="1">IF(OR(S826&gt;0,AD826&gt;0),IFERROR(
SUMIFS(INDIRECT("'Infos Clientes'!$W"&amp;INDEX('Infos Clientes'!$C:$C,MATCH(C826,'Infos Clientes'!$H:$H,0))&amp;":$CZ"&amp;INDEX('Infos Clientes'!$C:$C,MATCH(C826,'Infos Clientes'!$H:$H,0))),'Infos Clientes'!$W$2:$CZ$2,"&gt;"&amp;$R826-365,'Infos Clientes'!$W$2:$CZ$2,"&lt;="&amp;$R826)/
COUNTIFS(INDIRECT("'Infos Clientes'!$W"&amp;INDEX('Infos Clientes'!$C:$C,MATCH(C826,'Infos Clientes'!$H:$H,0))&amp;":$CZ"&amp;INDEX('Infos Clientes'!$C:$C,MATCH(C826,'Infos Clientes'!$H:$H,0))),"&gt;="&amp;0,'Infos Clientes'!$W$2:$CZ$2,"&gt;"&amp;$R826-365,'Infos Clientes'!$W$2:$CZ$2,"&lt;="&amp;$R826),""),"")</f>
        <v>836</v>
      </c>
      <c r="CB826" s="87">
        <f>VLOOKUP(C826,'Infos Clientes'!B:L,11,0)</f>
        <v>0</v>
      </c>
      <c r="CC826" s="88" t="str">
        <f t="shared" si="490"/>
        <v>A Unidade Consumidora 10/2599101-9 economizou R$294,93 na fatura referente à set/2025  consumindo 909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6" s="115">
        <f t="shared" si="491"/>
        <v>-123.19999999999995</v>
      </c>
    </row>
    <row r="827" spans="1:84" ht="16.2" hidden="1" customHeight="1" x14ac:dyDescent="0.3">
      <c r="A827" s="105" t="str">
        <f>INDEX('Infos Clientes'!$D:$D,MATCH('Detalhe Por UC'!C827,'Infos Clientes'!B:B,0))</f>
        <v>IGREJA DO EVANGELHO QUADRANGULAR</v>
      </c>
      <c r="B827" s="106" t="str">
        <f>INDEX('Infos Clientes'!$F:$F,MATCH('Detalhe Por UC'!C827,'Infos Clientes'!B:B,0))</f>
        <v>62.955.505/2157-91</v>
      </c>
      <c r="C827" s="31" t="s">
        <v>64</v>
      </c>
      <c r="D827" t="s">
        <v>351</v>
      </c>
      <c r="E827" s="1" t="s">
        <v>352</v>
      </c>
      <c r="F827" s="56" t="str">
        <f>INDEX('Infos Clientes'!$I:$I,MATCH('Detalhe Por UC'!C827,'Infos Clientes'!B:B,0))</f>
        <v>BT</v>
      </c>
      <c r="G827" s="56" t="str">
        <f>INDEX('Infos Clientes'!$J:$J,MATCH('Detalhe Por UC'!C827,'Infos Clientes'!B:B,0))</f>
        <v>trifasico</v>
      </c>
      <c r="H827" s="47" t="str">
        <f t="shared" si="493"/>
        <v>GIROSSOL II</v>
      </c>
      <c r="I827" s="58">
        <f>IFERROR(VLOOKUP(C827,'Infos Clientes'!B:E,4,),"")</f>
        <v>349</v>
      </c>
      <c r="J827" s="151">
        <v>0.26857922422136293</v>
      </c>
      <c r="K827" s="79">
        <f>INDEX('Resumo Operacional'!$A$1:$P$151,MATCH("Desconto percentual Ucs",'Resumo Operacional'!$B$1:$B$151,0),MATCH('Detalhe Por UC'!$R827,'Resumo Operacional'!$A$1:$P$1,0))</f>
        <v>0.26857922422136293</v>
      </c>
      <c r="M827" s="56"/>
      <c r="N827" s="56"/>
      <c r="O827" s="56"/>
      <c r="P827" s="56"/>
      <c r="Q827" s="61"/>
      <c r="R827" s="111">
        <v>45901</v>
      </c>
      <c r="S827" s="152">
        <v>3.6900000000000002E-2</v>
      </c>
      <c r="T827" s="113">
        <f>IF($H827="GIROSSOL II",AP827/INDEX('Resumo Operacional'!$A$1:$P$1103,17,MATCH('Detalhe Por UC'!$R827,'Resumo Operacional'!$A$1:$P$1,0)),
IF($H827="GIROSSOL II e III",AP827/INDEX('Resumo Operacional'!$A$1:$P$1103,17,MATCH('Detalhe Por UC'!$R827,'Resumo Operacional'!$A$1:$P$1,0)),
""))</f>
        <v>3.6876533115290266E-2</v>
      </c>
      <c r="U827" s="113" t="str">
        <f>IF($H827="GIROSSOL III",AP827/INDEX('Resumo Operacional'!$A$1:$P$1103,53,MATCH('Detalhe Por UC'!$R827,'Resumo Operacional'!$A$1:$P$1,0)),
IF($H827="GIROSSOL II e III",AP827/INDEX('Resumo Operacional'!$A$1:$P$1103,53,MATCH('Detalhe Por UC'!$R827,'Resumo Operacional'!$A$1:$P$1,0)),
""))</f>
        <v/>
      </c>
      <c r="X827">
        <v>1.2081409155937053</v>
      </c>
      <c r="Z827" s="18">
        <v>1.2081143572621034</v>
      </c>
      <c r="AB827" s="18">
        <v>699</v>
      </c>
      <c r="AD827" s="143">
        <v>599</v>
      </c>
      <c r="AF827" s="18">
        <v>620</v>
      </c>
      <c r="AG827">
        <v>0</v>
      </c>
      <c r="AH827">
        <v>125.24</v>
      </c>
      <c r="AL827" s="43"/>
      <c r="AN827" s="71">
        <f t="shared" si="458"/>
        <v>-148</v>
      </c>
      <c r="AO827" s="71">
        <f t="shared" si="459"/>
        <v>0</v>
      </c>
      <c r="AP827" s="71">
        <f t="shared" si="460"/>
        <v>451</v>
      </c>
      <c r="AQ827" s="72">
        <f>IF(OR($H827="GIROSSOL II",$H827="GIROSSOL II e III"),INDEX('Resumo Operacional'!$A$1:$P$1103,MATCH("Energia Injetada prevista total Fatura da Usina (TUSD)",'Resumo Operacional'!$B$1:$B$1103,0),MATCH('Detalhe Por UC'!$R827,'Resumo Operacional'!$A$1:$P$1,0))*$S827,INDEX('Resumo Operacional'!$A$1:$P$1103,53,MATCH('Detalhe Por UC'!$R827,'Resumo Operacional'!$A$1:$P$1,0))*$S827)</f>
        <v>451.28700000000003</v>
      </c>
      <c r="AR827" s="71">
        <f t="shared" si="461"/>
        <v>-0.28700000000003456</v>
      </c>
      <c r="AS827" s="73">
        <f t="shared" si="462"/>
        <v>246.07000000000005</v>
      </c>
      <c r="AT827" s="74">
        <f t="shared" si="463"/>
        <v>246.07000000000005</v>
      </c>
      <c r="AU827" s="74">
        <f t="shared" si="464"/>
        <v>1.2080877989305014</v>
      </c>
      <c r="AV827" s="74">
        <f t="shared" si="465"/>
        <v>529.30032431035636</v>
      </c>
      <c r="AW827" s="74">
        <f t="shared" si="466"/>
        <v>0</v>
      </c>
      <c r="AX827" s="74">
        <f t="shared" si="467"/>
        <v>723.66049999999996</v>
      </c>
      <c r="AY827" s="74">
        <f t="shared" si="468"/>
        <v>529.29999999999995</v>
      </c>
      <c r="AZ827" s="117">
        <v>529.29999999999995</v>
      </c>
      <c r="BA827" s="117">
        <v>529.29999999999995</v>
      </c>
      <c r="BB827" s="117">
        <v>529.29999999999995</v>
      </c>
      <c r="BC827" s="73" t="str">
        <f t="shared" si="469"/>
        <v/>
      </c>
      <c r="BD827" s="73">
        <f t="shared" si="470"/>
        <v>969.73050000000001</v>
      </c>
      <c r="BE827" s="73">
        <f t="shared" si="471"/>
        <v>775.37032431035641</v>
      </c>
      <c r="BF827" s="77">
        <f t="shared" si="472"/>
        <v>194.36</v>
      </c>
      <c r="BG827" s="77">
        <f t="shared" si="473"/>
        <v>58.308</v>
      </c>
      <c r="BH827" s="77">
        <f t="shared" si="474"/>
        <v>723.66049999999984</v>
      </c>
      <c r="BI827" s="78">
        <f t="shared" si="475"/>
        <v>0.27</v>
      </c>
      <c r="BJ827" s="79">
        <f t="shared" si="476"/>
        <v>0.20042681961637795</v>
      </c>
      <c r="BK827" s="80">
        <f t="shared" si="477"/>
        <v>775.37</v>
      </c>
      <c r="BL827" s="80">
        <f t="shared" si="478"/>
        <v>194.3605</v>
      </c>
      <c r="BM827" s="79">
        <f t="shared" si="479"/>
        <v>0.20042733522354922</v>
      </c>
      <c r="BN827" s="81">
        <f t="shared" si="480"/>
        <v>0.88363939899833044</v>
      </c>
      <c r="BO827" s="82">
        <f t="shared" si="481"/>
        <v>529.29999999999995</v>
      </c>
      <c r="BP827" s="81">
        <f t="shared" si="482"/>
        <v>0.88363939899833044</v>
      </c>
      <c r="BQ827" s="81">
        <f t="shared" si="483"/>
        <v>0.88366595732993236</v>
      </c>
      <c r="BR827" s="81">
        <f t="shared" si="484"/>
        <v>1.2081409155937053</v>
      </c>
      <c r="BS827" s="82">
        <f t="shared" si="485"/>
        <v>599</v>
      </c>
      <c r="BT827" s="82">
        <f t="shared" si="486"/>
        <v>723.67640844062942</v>
      </c>
      <c r="BU827" s="82">
        <f t="shared" si="487"/>
        <v>723.66049999999996</v>
      </c>
      <c r="BW827" s="82">
        <f>IFERROR(INDEX('Infos Clientes'!$T:$T,MATCH('Detalhe Por UC'!$C827,'Infos Clientes'!B:B,0)),"")</f>
        <v>802.5</v>
      </c>
      <c r="BX827" s="83">
        <f t="shared" si="488"/>
        <v>0</v>
      </c>
      <c r="BY827" s="84">
        <f t="shared" si="489"/>
        <v>0.26857376823821855</v>
      </c>
      <c r="BZ827" s="85">
        <f>IF(_xlfn.MINIFS('Detalhe Por UC'!R:R,'Detalhe Por UC'!C:C,C827,'Detalhe Por UC'!AD:AD,"&gt;"&amp;0)=0,"",_xlfn.MINIFS('Detalhe Por UC'!R:R,'Detalhe Por UC'!C:C,C827,'Detalhe Por UC'!AD:AD,"&gt;"&amp;0))</f>
        <v>45627</v>
      </c>
      <c r="CA827" s="114">
        <f ca="1">IF(OR(S827&gt;0,AD827&gt;0),IFERROR(
SUMIFS(INDIRECT("'Infos Clientes'!$W"&amp;INDEX('Infos Clientes'!$C:$C,MATCH(C827,'Infos Clientes'!$H:$H,0))&amp;":$CZ"&amp;INDEX('Infos Clientes'!$C:$C,MATCH(C827,'Infos Clientes'!$H:$H,0))),'Infos Clientes'!$W$2:$CZ$2,"&gt;"&amp;$R827-365,'Infos Clientes'!$W$2:$CZ$2,"&lt;="&amp;$R827)/
COUNTIFS(INDIRECT("'Infos Clientes'!$W"&amp;INDEX('Infos Clientes'!$C:$C,MATCH(C827,'Infos Clientes'!$H:$H,0))&amp;":$CZ"&amp;INDEX('Infos Clientes'!$C:$C,MATCH(C827,'Infos Clientes'!$H:$H,0))),"&gt;="&amp;0,'Infos Clientes'!$W$2:$CZ$2,"&gt;"&amp;$R827-365,'Infos Clientes'!$W$2:$CZ$2,"&lt;="&amp;$R827),""),"")</f>
        <v>737.75</v>
      </c>
      <c r="CB827" s="87">
        <f>VLOOKUP(C827,'Infos Clientes'!B:L,11,0)</f>
        <v>0</v>
      </c>
      <c r="CC827" s="88" t="str">
        <f t="shared" si="490"/>
        <v>A Unidade Consumidora 10/191945-5 economizou R$194,36 na fatura referente à set/2025  consumindo 599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7" s="115">
        <f t="shared" si="491"/>
        <v>-246.07000000000005</v>
      </c>
    </row>
    <row r="828" spans="1:84" ht="16.2" hidden="1" customHeight="1" x14ac:dyDescent="0.3">
      <c r="A828" s="105" t="str">
        <f>INDEX('Infos Clientes'!$D:$D,MATCH('Detalhe Por UC'!C828,'Infos Clientes'!B:B,0))</f>
        <v>IGREJA DO EVANGELHO QUADRANGULAR</v>
      </c>
      <c r="B828" s="106" t="str">
        <f>INDEX('Infos Clientes'!$F:$F,MATCH('Detalhe Por UC'!C828,'Infos Clientes'!B:B,0))</f>
        <v>62.955.505/3671-17</v>
      </c>
      <c r="C828" s="31" t="s">
        <v>111</v>
      </c>
      <c r="D828" t="s">
        <v>351</v>
      </c>
      <c r="E828" s="1" t="s">
        <v>352</v>
      </c>
      <c r="F828" s="56" t="str">
        <f>INDEX('Infos Clientes'!$I:$I,MATCH('Detalhe Por UC'!C828,'Infos Clientes'!B:B,0))</f>
        <v>BT</v>
      </c>
      <c r="G828" s="56" t="str">
        <f>INDEX('Infos Clientes'!$J:$J,MATCH('Detalhe Por UC'!C828,'Infos Clientes'!B:B,0))</f>
        <v>trifasico</v>
      </c>
      <c r="H828" s="47" t="str">
        <f t="shared" si="493"/>
        <v>GIROSSOL II</v>
      </c>
      <c r="I828" s="58">
        <f>IFERROR(VLOOKUP(C828,'Infos Clientes'!B:E,4,),"")</f>
        <v>358</v>
      </c>
      <c r="J828" s="151">
        <v>0.26857922422136293</v>
      </c>
      <c r="K828" s="79">
        <f>INDEX('Resumo Operacional'!$A$1:$P$151,MATCH("Desconto percentual Ucs",'Resumo Operacional'!$B$1:$B$151,0),MATCH('Detalhe Por UC'!$R828,'Resumo Operacional'!$A$1:$P$1,0))</f>
        <v>0.26857922422136293</v>
      </c>
      <c r="M828" s="56"/>
      <c r="N828" s="56"/>
      <c r="O828" s="56"/>
      <c r="P828" s="56"/>
      <c r="Q828" s="61"/>
      <c r="R828" s="111">
        <v>45901</v>
      </c>
      <c r="S828" s="152">
        <v>3.6299999999999999E-2</v>
      </c>
      <c r="T828" s="113">
        <f>IF($H828="GIROSSOL II",AP828/INDEX('Resumo Operacional'!$A$1:$P$1103,17,MATCH('Detalhe Por UC'!$R828,'Resumo Operacional'!$A$1:$P$1,0)),
IF($H828="GIROSSOL II e III",AP828/INDEX('Resumo Operacional'!$A$1:$P$1103,17,MATCH('Detalhe Por UC'!$R828,'Resumo Operacional'!$A$1:$P$1,0)),
""))</f>
        <v>3.6222403924775146E-2</v>
      </c>
      <c r="U828" s="113" t="str">
        <f>IF($H828="GIROSSOL III",AP828/INDEX('Resumo Operacional'!$A$1:$P$1103,53,MATCH('Detalhe Por UC'!$R828,'Resumo Operacional'!$A$1:$P$1,0)),
IF($H828="GIROSSOL II e III",AP828/INDEX('Resumo Operacional'!$A$1:$P$1103,53,MATCH('Detalhe Por UC'!$R828,'Resumo Operacional'!$A$1:$P$1,0)),
""))</f>
        <v/>
      </c>
      <c r="X828">
        <v>1.2081206896551724</v>
      </c>
      <c r="Z828" s="18">
        <v>1.2081281588447652</v>
      </c>
      <c r="AB828" s="18">
        <v>377</v>
      </c>
      <c r="AD828" s="143">
        <v>277</v>
      </c>
      <c r="AF828" s="18">
        <v>986</v>
      </c>
      <c r="AG828">
        <v>0</v>
      </c>
      <c r="AH828">
        <v>68.03</v>
      </c>
      <c r="AL828" s="43"/>
      <c r="AN828" s="71">
        <f t="shared" si="458"/>
        <v>166</v>
      </c>
      <c r="AO828" s="71">
        <f t="shared" si="459"/>
        <v>0</v>
      </c>
      <c r="AP828" s="71">
        <f t="shared" si="460"/>
        <v>443</v>
      </c>
      <c r="AQ828" s="72">
        <f>IF(OR($H828="GIROSSOL II",$H828="GIROSSOL II e III"),INDEX('Resumo Operacional'!$A$1:$P$1103,MATCH("Energia Injetada prevista total Fatura da Usina (TUSD)",'Resumo Operacional'!$B$1:$B$1103,0),MATCH('Detalhe Por UC'!$R828,'Resumo Operacional'!$A$1:$P$1,0))*$S828,INDEX('Resumo Operacional'!$A$1:$P$1103,53,MATCH('Detalhe Por UC'!$R828,'Resumo Operacional'!$A$1:$P$1,0))*$S828)</f>
        <v>443.94900000000001</v>
      </c>
      <c r="AR828" s="71">
        <f t="shared" si="461"/>
        <v>-0.94900000000001228</v>
      </c>
      <c r="AS828" s="73">
        <f t="shared" si="462"/>
        <v>188.84000000000006</v>
      </c>
      <c r="AT828" s="74">
        <f t="shared" si="463"/>
        <v>188.84000000000006</v>
      </c>
      <c r="AU828" s="74">
        <f t="shared" si="464"/>
        <v>1.208135628034358</v>
      </c>
      <c r="AV828" s="74">
        <f t="shared" si="465"/>
        <v>244.77105974548454</v>
      </c>
      <c r="AW828" s="74">
        <f t="shared" si="466"/>
        <v>0</v>
      </c>
      <c r="AX828" s="74">
        <f t="shared" si="467"/>
        <v>334.65149999999994</v>
      </c>
      <c r="AY828" s="74">
        <f t="shared" si="468"/>
        <v>244.77</v>
      </c>
      <c r="AZ828" s="117">
        <v>244.77</v>
      </c>
      <c r="BA828" s="117">
        <v>244.77</v>
      </c>
      <c r="BB828" s="117">
        <v>244.77</v>
      </c>
      <c r="BC828" s="73" t="str">
        <f t="shared" si="469"/>
        <v/>
      </c>
      <c r="BD828" s="73">
        <f t="shared" si="470"/>
        <v>523.49149999999997</v>
      </c>
      <c r="BE828" s="73">
        <f t="shared" si="471"/>
        <v>433.61105974548457</v>
      </c>
      <c r="BF828" s="77">
        <f t="shared" si="472"/>
        <v>89.88</v>
      </c>
      <c r="BG828" s="77">
        <f t="shared" si="473"/>
        <v>26.963999999999999</v>
      </c>
      <c r="BH828" s="77">
        <f t="shared" si="474"/>
        <v>334.65149999999994</v>
      </c>
      <c r="BI828" s="78">
        <f t="shared" si="475"/>
        <v>0.27</v>
      </c>
      <c r="BJ828" s="79">
        <f t="shared" si="476"/>
        <v>0.1716933321744479</v>
      </c>
      <c r="BK828" s="80">
        <f t="shared" si="477"/>
        <v>433.61000000000007</v>
      </c>
      <c r="BL828" s="80">
        <f t="shared" si="478"/>
        <v>89.881499999999903</v>
      </c>
      <c r="BM828" s="79">
        <f t="shared" si="479"/>
        <v>0.17169619755048537</v>
      </c>
      <c r="BN828" s="81">
        <f t="shared" si="480"/>
        <v>0.88364620938628158</v>
      </c>
      <c r="BO828" s="82">
        <f t="shared" si="481"/>
        <v>244.77</v>
      </c>
      <c r="BP828" s="81">
        <f t="shared" si="482"/>
        <v>0.88364620938628158</v>
      </c>
      <c r="BQ828" s="81">
        <f t="shared" si="483"/>
        <v>0.88363874019668875</v>
      </c>
      <c r="BR828" s="81">
        <f t="shared" si="484"/>
        <v>1.2081206896551724</v>
      </c>
      <c r="BS828" s="82">
        <f t="shared" si="485"/>
        <v>277</v>
      </c>
      <c r="BT828" s="82">
        <f t="shared" si="486"/>
        <v>334.64943103448275</v>
      </c>
      <c r="BU828" s="82">
        <f t="shared" si="487"/>
        <v>334.65149999999994</v>
      </c>
      <c r="BW828" s="82">
        <f>IFERROR(INDEX('Infos Clientes'!$T:$T,MATCH('Detalhe Por UC'!$C828,'Infos Clientes'!B:B,0)),"")</f>
        <v>586</v>
      </c>
      <c r="BX828" s="83">
        <f t="shared" si="488"/>
        <v>0</v>
      </c>
      <c r="BY828" s="84">
        <f t="shared" si="489"/>
        <v>0.26858405144199526</v>
      </c>
      <c r="BZ828" s="85">
        <f>IF(_xlfn.MINIFS('Detalhe Por UC'!R:R,'Detalhe Por UC'!C:C,C828,'Detalhe Por UC'!AD:AD,"&gt;"&amp;0)=0,"",_xlfn.MINIFS('Detalhe Por UC'!R:R,'Detalhe Por UC'!C:C,C828,'Detalhe Por UC'!AD:AD,"&gt;"&amp;0))</f>
        <v>45627</v>
      </c>
      <c r="CA828" s="114">
        <f ca="1">IF(OR(S828&gt;0,AD828&gt;0),IFERROR(
SUMIFS(INDIRECT("'Infos Clientes'!$W"&amp;INDEX('Infos Clientes'!$C:$C,MATCH(C828,'Infos Clientes'!$H:$H,0))&amp;":$CZ"&amp;INDEX('Infos Clientes'!$C:$C,MATCH(C828,'Infos Clientes'!$H:$H,0))),'Infos Clientes'!$W$2:$CZ$2,"&gt;"&amp;$R828-365,'Infos Clientes'!$W$2:$CZ$2,"&lt;="&amp;$R828)/
COUNTIFS(INDIRECT("'Infos Clientes'!$W"&amp;INDEX('Infos Clientes'!$C:$C,MATCH(C828,'Infos Clientes'!$H:$H,0))&amp;":$CZ"&amp;INDEX('Infos Clientes'!$C:$C,MATCH(C828,'Infos Clientes'!$H:$H,0))),"&gt;="&amp;0,'Infos Clientes'!$W$2:$CZ$2,"&gt;"&amp;$R828-365,'Infos Clientes'!$W$2:$CZ$2,"&lt;="&amp;$R828),""),"")</f>
        <v>549.75</v>
      </c>
      <c r="CB828" s="87">
        <f>VLOOKUP(C828,'Infos Clientes'!B:L,11,0)</f>
        <v>0</v>
      </c>
      <c r="CC828" s="88" t="str">
        <f t="shared" si="490"/>
        <v>A Unidade Consumidora 10/510330-4 economizou R$89,88 na fatura referente à set/2025  consumindo 277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8" s="115">
        <f t="shared" si="491"/>
        <v>-188.84000000000006</v>
      </c>
    </row>
    <row r="829" spans="1:84" ht="16.2" hidden="1" customHeight="1" x14ac:dyDescent="0.3">
      <c r="A829" s="105" t="str">
        <f>INDEX('Infos Clientes'!$D:$D,MATCH('Detalhe Por UC'!C829,'Infos Clientes'!B:B,0))</f>
        <v>IGREJA DO EVANGELHO QUADRANGULAR</v>
      </c>
      <c r="B829" s="106" t="str">
        <f>INDEX('Infos Clientes'!$F:$F,MATCH('Detalhe Por UC'!C829,'Infos Clientes'!B:B,0))</f>
        <v>62.955.505/0676-60</v>
      </c>
      <c r="C829" s="31" t="s">
        <v>91</v>
      </c>
      <c r="D829" t="s">
        <v>351</v>
      </c>
      <c r="E829" s="1" t="s">
        <v>352</v>
      </c>
      <c r="F829" s="56" t="str">
        <f>INDEX('Infos Clientes'!$I:$I,MATCH('Detalhe Por UC'!C829,'Infos Clientes'!B:B,0))</f>
        <v>BT</v>
      </c>
      <c r="G829" s="56" t="str">
        <f>INDEX('Infos Clientes'!$J:$J,MATCH('Detalhe Por UC'!C829,'Infos Clientes'!B:B,0))</f>
        <v>trifasico</v>
      </c>
      <c r="H829" s="47" t="str">
        <f t="shared" si="493"/>
        <v>GIROSSOL II</v>
      </c>
      <c r="I829" s="58">
        <f>IFERROR(VLOOKUP(C829,'Infos Clientes'!B:E,4,),"")</f>
        <v>357</v>
      </c>
      <c r="J829" s="151">
        <v>0.26857922422136293</v>
      </c>
      <c r="K829" s="79">
        <f>INDEX('Resumo Operacional'!$A$1:$P$151,MATCH("Desconto percentual Ucs",'Resumo Operacional'!$B$1:$B$151,0),MATCH('Detalhe Por UC'!$R829,'Resumo Operacional'!$A$1:$P$1,0))</f>
        <v>0.26857922422136293</v>
      </c>
      <c r="M829" s="56"/>
      <c r="N829" s="56"/>
      <c r="O829" s="56"/>
      <c r="P829" s="56"/>
      <c r="Q829" s="61"/>
      <c r="R829" s="111">
        <v>45901</v>
      </c>
      <c r="S829" s="152">
        <v>3.4200000000000001E-2</v>
      </c>
      <c r="T829" s="113">
        <f>IF($H829="GIROSSOL II",AP829/INDEX('Resumo Operacional'!$A$1:$P$1103,17,MATCH('Detalhe Por UC'!$R829,'Resumo Operacional'!$A$1:$P$1,0)),
IF($H829="GIROSSOL II e III",AP829/INDEX('Resumo Operacional'!$A$1:$P$1103,17,MATCH('Detalhe Por UC'!$R829,'Resumo Operacional'!$A$1:$P$1,0)),
""))</f>
        <v>3.4178250204415374E-2</v>
      </c>
      <c r="U829" s="113" t="str">
        <f>IF($H829="GIROSSOL III",AP829/INDEX('Resumo Operacional'!$A$1:$P$1103,53,MATCH('Detalhe Por UC'!$R829,'Resumo Operacional'!$A$1:$P$1,0)),
IF($H829="GIROSSOL II e III",AP829/INDEX('Resumo Operacional'!$A$1:$P$1103,53,MATCH('Detalhe Por UC'!$R829,'Resumo Operacional'!$A$1:$P$1,0)),
""))</f>
        <v/>
      </c>
      <c r="X829">
        <v>1.2080197916666666</v>
      </c>
      <c r="Z829" s="18">
        <v>1.2080267605633803</v>
      </c>
      <c r="AB829" s="18">
        <v>384</v>
      </c>
      <c r="AD829" s="143">
        <v>284</v>
      </c>
      <c r="AF829" s="18">
        <v>1122</v>
      </c>
      <c r="AG829">
        <v>0</v>
      </c>
      <c r="AH829">
        <v>2.7199999999999998</v>
      </c>
      <c r="AL829" s="43"/>
      <c r="AN829" s="71">
        <f t="shared" si="458"/>
        <v>134</v>
      </c>
      <c r="AO829" s="71">
        <f t="shared" si="459"/>
        <v>0</v>
      </c>
      <c r="AP829" s="71">
        <f t="shared" si="460"/>
        <v>418</v>
      </c>
      <c r="AQ829" s="72">
        <f>IF(OR($H829="GIROSSOL II",$H829="GIROSSOL II e III"),INDEX('Resumo Operacional'!$A$1:$P$1103,MATCH("Energia Injetada prevista total Fatura da Usina (TUSD)",'Resumo Operacional'!$B$1:$B$1103,0),MATCH('Detalhe Por UC'!$R829,'Resumo Operacional'!$A$1:$P$1,0))*$S829,INDEX('Resumo Operacional'!$A$1:$P$1103,53,MATCH('Detalhe Por UC'!$R829,'Resumo Operacional'!$A$1:$P$1,0))*$S829)</f>
        <v>418.26600000000002</v>
      </c>
      <c r="AR829" s="71">
        <f t="shared" si="461"/>
        <v>-0.26600000000001955</v>
      </c>
      <c r="AS829" s="73">
        <f t="shared" si="462"/>
        <v>123.51999999999995</v>
      </c>
      <c r="AT829" s="74">
        <f t="shared" si="463"/>
        <v>123.51999999999995</v>
      </c>
      <c r="AU829" s="74">
        <f t="shared" si="464"/>
        <v>1.208033729460094</v>
      </c>
      <c r="AV829" s="74">
        <f t="shared" si="465"/>
        <v>250.9355471858245</v>
      </c>
      <c r="AW829" s="74">
        <f t="shared" si="466"/>
        <v>0</v>
      </c>
      <c r="AX829" s="74">
        <f t="shared" si="467"/>
        <v>343.07960000000003</v>
      </c>
      <c r="AY829" s="74">
        <f t="shared" si="468"/>
        <v>250.94</v>
      </c>
      <c r="AZ829" s="117">
        <v>250.94</v>
      </c>
      <c r="BA829" s="117">
        <v>250.94</v>
      </c>
      <c r="BB829" s="117">
        <v>250.94</v>
      </c>
      <c r="BC829" s="73" t="str">
        <f t="shared" si="469"/>
        <v/>
      </c>
      <c r="BD829" s="73">
        <f t="shared" si="470"/>
        <v>466.59960000000001</v>
      </c>
      <c r="BE829" s="73">
        <f t="shared" si="471"/>
        <v>374.45554718582446</v>
      </c>
      <c r="BF829" s="77">
        <f t="shared" si="472"/>
        <v>92.14</v>
      </c>
      <c r="BG829" s="77">
        <f t="shared" si="473"/>
        <v>27.641999999999999</v>
      </c>
      <c r="BH829" s="77">
        <f t="shared" si="474"/>
        <v>343.07959999999997</v>
      </c>
      <c r="BI829" s="78">
        <f t="shared" si="475"/>
        <v>0.27</v>
      </c>
      <c r="BJ829" s="79">
        <f t="shared" si="476"/>
        <v>0.19747123658057145</v>
      </c>
      <c r="BK829" s="80">
        <f t="shared" si="477"/>
        <v>374.45999999999992</v>
      </c>
      <c r="BL829" s="80">
        <f t="shared" si="478"/>
        <v>92.139600000000087</v>
      </c>
      <c r="BM829" s="79">
        <f t="shared" si="479"/>
        <v>0.19747037931451308</v>
      </c>
      <c r="BN829" s="81">
        <f t="shared" si="480"/>
        <v>0.88359154929577466</v>
      </c>
      <c r="BO829" s="82">
        <f t="shared" si="481"/>
        <v>250.94</v>
      </c>
      <c r="BP829" s="81">
        <f t="shared" si="482"/>
        <v>0.88359154929577466</v>
      </c>
      <c r="BQ829" s="81">
        <f t="shared" si="483"/>
        <v>0.88358458039906096</v>
      </c>
      <c r="BR829" s="81">
        <f t="shared" si="484"/>
        <v>1.2080197916666666</v>
      </c>
      <c r="BS829" s="82">
        <f t="shared" si="485"/>
        <v>284</v>
      </c>
      <c r="BT829" s="82">
        <f t="shared" si="486"/>
        <v>343.0776208333333</v>
      </c>
      <c r="BU829" s="82">
        <f t="shared" si="487"/>
        <v>343.07960000000003</v>
      </c>
      <c r="BW829" s="82">
        <f>IFERROR(INDEX('Infos Clientes'!$T:$T,MATCH('Detalhe Por UC'!$C829,'Infos Clientes'!B:B,0)),"")</f>
        <v>708</v>
      </c>
      <c r="BX829" s="83">
        <f t="shared" si="488"/>
        <v>0</v>
      </c>
      <c r="BY829" s="84">
        <f t="shared" si="489"/>
        <v>0.26856779458885577</v>
      </c>
      <c r="BZ829" s="85">
        <f>IF(_xlfn.MINIFS('Detalhe Por UC'!R:R,'Detalhe Por UC'!C:C,C829,'Detalhe Por UC'!AD:AD,"&gt;"&amp;0)=0,"",_xlfn.MINIFS('Detalhe Por UC'!R:R,'Detalhe Por UC'!C:C,C829,'Detalhe Por UC'!AD:AD,"&gt;"&amp;0))</f>
        <v>45627</v>
      </c>
      <c r="CA829" s="114">
        <f ca="1">IF(OR(S829&gt;0,AD829&gt;0),IFERROR(
SUMIFS(INDIRECT("'Infos Clientes'!$W"&amp;INDEX('Infos Clientes'!$C:$C,MATCH(C829,'Infos Clientes'!$H:$H,0))&amp;":$CZ"&amp;INDEX('Infos Clientes'!$C:$C,MATCH(C829,'Infos Clientes'!$H:$H,0))),'Infos Clientes'!$W$2:$CZ$2,"&gt;"&amp;$R829-365,'Infos Clientes'!$W$2:$CZ$2,"&lt;="&amp;$R829)/
COUNTIFS(INDIRECT("'Infos Clientes'!$W"&amp;INDEX('Infos Clientes'!$C:$C,MATCH(C829,'Infos Clientes'!$H:$H,0))&amp;":$CZ"&amp;INDEX('Infos Clientes'!$C:$C,MATCH(C829,'Infos Clientes'!$H:$H,0))),"&gt;="&amp;0,'Infos Clientes'!$W$2:$CZ$2,"&gt;"&amp;$R829-365,'Infos Clientes'!$W$2:$CZ$2,"&lt;="&amp;$R829),""),"")</f>
        <v>628.41666666666663</v>
      </c>
      <c r="CB829" s="87">
        <f>VLOOKUP(C829,'Infos Clientes'!B:L,11,0)</f>
        <v>0</v>
      </c>
      <c r="CC829" s="88" t="str">
        <f t="shared" si="490"/>
        <v>A Unidade Consumidora 10/29964-4 economizou R$92,14 na fatura referente à set/2025  consumindo 284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29" s="115">
        <f t="shared" si="491"/>
        <v>-123.51999999999995</v>
      </c>
    </row>
    <row r="830" spans="1:84" ht="16.2" hidden="1" customHeight="1" x14ac:dyDescent="0.3">
      <c r="A830" s="105" t="str">
        <f>INDEX('Infos Clientes'!$D:$D,MATCH('Detalhe Por UC'!C830,'Infos Clientes'!B:B,0))</f>
        <v>IGREJA DO EVANGELHO QUADRANGULAR</v>
      </c>
      <c r="B830" s="106" t="str">
        <f>INDEX('Infos Clientes'!$F:$F,MATCH('Detalhe Por UC'!C830,'Infos Clientes'!B:B,0))</f>
        <v>62.955.505/3216-30</v>
      </c>
      <c r="C830" s="31" t="s">
        <v>116</v>
      </c>
      <c r="D830" t="s">
        <v>351</v>
      </c>
      <c r="E830" s="1" t="s">
        <v>352</v>
      </c>
      <c r="F830" s="56" t="str">
        <f>INDEX('Infos Clientes'!$I:$I,MATCH('Detalhe Por UC'!C830,'Infos Clientes'!B:B,0))</f>
        <v>BT</v>
      </c>
      <c r="G830" s="56" t="str">
        <f>INDEX('Infos Clientes'!$J:$J,MATCH('Detalhe Por UC'!C830,'Infos Clientes'!B:B,0))</f>
        <v>trifasico</v>
      </c>
      <c r="H830" s="47" t="str">
        <f t="shared" si="493"/>
        <v>GIROSSOL II</v>
      </c>
      <c r="I830" s="58">
        <f>IFERROR(VLOOKUP(C830,'Infos Clientes'!B:E,4,),"")</f>
        <v>371</v>
      </c>
      <c r="J830" s="151">
        <v>0.26857922422136293</v>
      </c>
      <c r="K830" s="79">
        <f>INDEX('Resumo Operacional'!$A$1:$P$151,MATCH("Desconto percentual Ucs",'Resumo Operacional'!$B$1:$B$151,0),MATCH('Detalhe Por UC'!$R830,'Resumo Operacional'!$A$1:$P$1,0))</f>
        <v>0.26857922422136293</v>
      </c>
      <c r="M830" s="56"/>
      <c r="N830" s="56"/>
      <c r="O830" s="56"/>
      <c r="P830" s="56"/>
      <c r="Q830" s="61"/>
      <c r="R830" s="111">
        <v>45901</v>
      </c>
      <c r="S830" s="152">
        <v>2.9000000000000001E-2</v>
      </c>
      <c r="T830" s="113">
        <f>IF($H830="GIROSSOL II",AP830/INDEX('Resumo Operacional'!$A$1:$P$1103,17,MATCH('Detalhe Por UC'!$R830,'Resumo Operacional'!$A$1:$P$1,0)),
IF($H830="GIROSSOL II e III",AP830/INDEX('Resumo Operacional'!$A$1:$P$1103,17,MATCH('Detalhe Por UC'!$R830,'Resumo Operacional'!$A$1:$P$1,0)),
""))</f>
        <v>1.7252657399836467E-2</v>
      </c>
      <c r="U830" s="113" t="str">
        <f>IF($H830="GIROSSOL III",AP830/INDEX('Resumo Operacional'!$A$1:$P$1103,53,MATCH('Detalhe Por UC'!$R830,'Resumo Operacional'!$A$1:$P$1,0)),
IF($H830="GIROSSOL II e III",AP830/INDEX('Resumo Operacional'!$A$1:$P$1103,53,MATCH('Detalhe Por UC'!$R830,'Resumo Operacional'!$A$1:$P$1,0)),
""))</f>
        <v/>
      </c>
      <c r="X830">
        <v>1.2080283185840708</v>
      </c>
      <c r="Z830" s="18">
        <v>1.2079714285714285</v>
      </c>
      <c r="AB830" s="18">
        <v>226</v>
      </c>
      <c r="AD830" s="143">
        <v>126</v>
      </c>
      <c r="AF830" s="18">
        <v>696</v>
      </c>
      <c r="AG830">
        <v>0</v>
      </c>
      <c r="AH830">
        <v>43.17</v>
      </c>
      <c r="AL830" s="43"/>
      <c r="AN830" s="71">
        <f t="shared" si="458"/>
        <v>85</v>
      </c>
      <c r="AO830" s="71">
        <f t="shared" si="459"/>
        <v>0</v>
      </c>
      <c r="AP830" s="71">
        <f t="shared" si="460"/>
        <v>211</v>
      </c>
      <c r="AQ830" s="72">
        <f>IF(OR($H830="GIROSSOL II",$H830="GIROSSOL II e III"),INDEX('Resumo Operacional'!$A$1:$P$1103,MATCH("Energia Injetada prevista total Fatura da Usina (TUSD)",'Resumo Operacional'!$B$1:$B$1103,0),MATCH('Detalhe Por UC'!$R830,'Resumo Operacional'!$A$1:$P$1,0))*$S830,INDEX('Resumo Operacional'!$A$1:$P$1103,53,MATCH('Detalhe Por UC'!$R830,'Resumo Operacional'!$A$1:$P$1,0))*$S830)</f>
        <v>354.67</v>
      </c>
      <c r="AR830" s="71">
        <f t="shared" si="461"/>
        <v>-143.67000000000002</v>
      </c>
      <c r="AS830" s="73">
        <f t="shared" si="462"/>
        <v>163.98000000000002</v>
      </c>
      <c r="AT830" s="74">
        <f t="shared" si="463"/>
        <v>163.98000000000002</v>
      </c>
      <c r="AU830" s="74">
        <f t="shared" si="464"/>
        <v>1.2079145385587862</v>
      </c>
      <c r="AV830" s="74">
        <f t="shared" si="465"/>
        <v>111.32546032492198</v>
      </c>
      <c r="AW830" s="74">
        <f t="shared" si="466"/>
        <v>0</v>
      </c>
      <c r="AX830" s="74">
        <f t="shared" si="467"/>
        <v>152.20439999999999</v>
      </c>
      <c r="AY830" s="74">
        <f t="shared" si="468"/>
        <v>111.33</v>
      </c>
      <c r="AZ830" s="117">
        <v>111.33</v>
      </c>
      <c r="BA830" s="117">
        <v>111.33</v>
      </c>
      <c r="BB830" s="117">
        <v>111.33</v>
      </c>
      <c r="BC830" s="73" t="str">
        <f t="shared" si="469"/>
        <v/>
      </c>
      <c r="BD830" s="73">
        <f t="shared" si="470"/>
        <v>316.18440000000004</v>
      </c>
      <c r="BE830" s="73">
        <f t="shared" si="471"/>
        <v>275.30546032492202</v>
      </c>
      <c r="BF830" s="77">
        <f t="shared" si="472"/>
        <v>40.880000000000003</v>
      </c>
      <c r="BG830" s="77">
        <f t="shared" si="473"/>
        <v>12.264000000000001</v>
      </c>
      <c r="BH830" s="77">
        <f t="shared" si="474"/>
        <v>152.20439999999999</v>
      </c>
      <c r="BI830" s="78">
        <f t="shared" si="475"/>
        <v>0.27</v>
      </c>
      <c r="BJ830" s="79">
        <f t="shared" si="476"/>
        <v>0.12929164120684006</v>
      </c>
      <c r="BK830" s="80">
        <f t="shared" si="477"/>
        <v>275.31</v>
      </c>
      <c r="BL830" s="80">
        <f t="shared" si="478"/>
        <v>40.874400000000037</v>
      </c>
      <c r="BM830" s="79">
        <f t="shared" si="479"/>
        <v>0.12927393002311319</v>
      </c>
      <c r="BN830" s="81">
        <f t="shared" si="480"/>
        <v>0.88357142857142856</v>
      </c>
      <c r="BO830" s="82">
        <f t="shared" si="481"/>
        <v>111.33</v>
      </c>
      <c r="BP830" s="81">
        <f t="shared" si="482"/>
        <v>0.88357142857142856</v>
      </c>
      <c r="BQ830" s="81">
        <f t="shared" si="483"/>
        <v>0.88362831858407087</v>
      </c>
      <c r="BR830" s="81">
        <f t="shared" si="484"/>
        <v>1.2080283185840708</v>
      </c>
      <c r="BS830" s="82">
        <f t="shared" si="485"/>
        <v>126</v>
      </c>
      <c r="BT830" s="82">
        <f t="shared" si="486"/>
        <v>152.21156814159292</v>
      </c>
      <c r="BU830" s="82">
        <f t="shared" si="487"/>
        <v>152.20439999999999</v>
      </c>
      <c r="BW830" s="82">
        <f>IFERROR(INDEX('Infos Clientes'!$T:$T,MATCH('Detalhe Por UC'!$C830,'Infos Clientes'!B:B,0)),"")</f>
        <v>513.41666666666663</v>
      </c>
      <c r="BX830" s="83">
        <f t="shared" si="488"/>
        <v>0</v>
      </c>
      <c r="BY830" s="84">
        <f t="shared" si="489"/>
        <v>0.26853675117502951</v>
      </c>
      <c r="BZ830" s="85">
        <f>IF(_xlfn.MINIFS('Detalhe Por UC'!R:R,'Detalhe Por UC'!C:C,C830,'Detalhe Por UC'!AD:AD,"&gt;"&amp;0)=0,"",_xlfn.MINIFS('Detalhe Por UC'!R:R,'Detalhe Por UC'!C:C,C830,'Detalhe Por UC'!AD:AD,"&gt;"&amp;0))</f>
        <v>45627</v>
      </c>
      <c r="CA830" s="114">
        <f ca="1">IF(OR(S830&gt;0,AD830&gt;0),IFERROR(
SUMIFS(INDIRECT("'Infos Clientes'!$W"&amp;INDEX('Infos Clientes'!$C:$C,MATCH(C830,'Infos Clientes'!$H:$H,0))&amp;":$CZ"&amp;INDEX('Infos Clientes'!$C:$C,MATCH(C830,'Infos Clientes'!$H:$H,0))),'Infos Clientes'!$W$2:$CZ$2,"&gt;"&amp;$R830-365,'Infos Clientes'!$W$2:$CZ$2,"&lt;="&amp;$R830)/
COUNTIFS(INDIRECT("'Infos Clientes'!$W"&amp;INDEX('Infos Clientes'!$C:$C,MATCH(C830,'Infos Clientes'!$H:$H,0))&amp;":$CZ"&amp;INDEX('Infos Clientes'!$C:$C,MATCH(C830,'Infos Clientes'!$H:$H,0))),"&gt;="&amp;0,'Infos Clientes'!$W$2:$CZ$2,"&gt;"&amp;$R830-365,'Infos Clientes'!$W$2:$CZ$2,"&lt;="&amp;$R830),""),"")</f>
        <v>446.25</v>
      </c>
      <c r="CB830" s="87">
        <f>VLOOKUP(C830,'Infos Clientes'!B:L,11,0)</f>
        <v>0</v>
      </c>
      <c r="CC830" s="88" t="str">
        <f t="shared" si="490"/>
        <v>A Unidade Consumidora 10/513413-5 economizou R$40,88 na fatura referente à set/2025  consumindo 126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0" s="115">
        <f t="shared" si="491"/>
        <v>-163.98000000000002</v>
      </c>
    </row>
    <row r="831" spans="1:84" ht="16.2" hidden="1" customHeight="1" x14ac:dyDescent="0.3">
      <c r="A831" s="105" t="str">
        <f>INDEX('Infos Clientes'!$D:$D,MATCH('Detalhe Por UC'!C831,'Infos Clientes'!B:B,0))</f>
        <v>IGREJA DO EVANGELHO QUADRANGULAR</v>
      </c>
      <c r="B831" s="106" t="str">
        <f>INDEX('Infos Clientes'!$F:$F,MATCH('Detalhe Por UC'!C831,'Infos Clientes'!B:B,0))</f>
        <v>62.955.505/0160-80</v>
      </c>
      <c r="C831" s="31" t="s">
        <v>97</v>
      </c>
      <c r="D831" t="s">
        <v>351</v>
      </c>
      <c r="E831" s="1" t="s">
        <v>352</v>
      </c>
      <c r="F831" s="56" t="str">
        <f>INDEX('Infos Clientes'!$I:$I,MATCH('Detalhe Por UC'!C831,'Infos Clientes'!B:B,0))</f>
        <v>BT</v>
      </c>
      <c r="G831" s="56" t="str">
        <f>INDEX('Infos Clientes'!$J:$J,MATCH('Detalhe Por UC'!C831,'Infos Clientes'!B:B,0))</f>
        <v>trifasico</v>
      </c>
      <c r="H831" s="47" t="str">
        <f t="shared" si="493"/>
        <v>GIROSSOL II</v>
      </c>
      <c r="I831" s="58">
        <f>IFERROR(VLOOKUP(C831,'Infos Clientes'!B:E,4,),"")</f>
        <v>357</v>
      </c>
      <c r="J831" s="151">
        <v>0.26857922422136293</v>
      </c>
      <c r="K831" s="79">
        <f>INDEX('Resumo Operacional'!$A$1:$P$151,MATCH("Desconto percentual Ucs",'Resumo Operacional'!$B$1:$B$151,0),MATCH('Detalhe Por UC'!$R831,'Resumo Operacional'!$A$1:$P$1,0))</f>
        <v>0.26857922422136293</v>
      </c>
      <c r="M831" s="56"/>
      <c r="N831" s="56"/>
      <c r="O831" s="56"/>
      <c r="P831" s="56"/>
      <c r="Q831" s="61"/>
      <c r="R831" s="111">
        <v>45901</v>
      </c>
      <c r="S831" s="152">
        <v>2.8299999999999999E-2</v>
      </c>
      <c r="T831" s="113">
        <f>IF($H831="GIROSSOL II",AP831/INDEX('Resumo Operacional'!$A$1:$P$1103,17,MATCH('Detalhe Por UC'!$R831,'Resumo Operacional'!$A$1:$P$1,0)),
IF($H831="GIROSSOL II e III",AP831/INDEX('Resumo Operacional'!$A$1:$P$1103,17,MATCH('Detalhe Por UC'!$R831,'Resumo Operacional'!$A$1:$P$1,0)),
""))</f>
        <v>3.883892068683565E-2</v>
      </c>
      <c r="U831" s="113" t="str">
        <f>IF($H831="GIROSSOL III",AP831/INDEX('Resumo Operacional'!$A$1:$P$1103,53,MATCH('Detalhe Por UC'!$R831,'Resumo Operacional'!$A$1:$P$1,0)),
IF($H831="GIROSSOL II e III",AP831/INDEX('Resumo Operacional'!$A$1:$P$1103,53,MATCH('Detalhe Por UC'!$R831,'Resumo Operacional'!$A$1:$P$1,0)),
""))</f>
        <v/>
      </c>
      <c r="X831" s="31">
        <v>1.2081263736263737</v>
      </c>
      <c r="Z831" s="18">
        <v>1.2081363636363636</v>
      </c>
      <c r="AB831" s="18">
        <v>364</v>
      </c>
      <c r="AD831" s="143">
        <v>264</v>
      </c>
      <c r="AF831" s="18">
        <v>586</v>
      </c>
      <c r="AG831">
        <v>0</v>
      </c>
      <c r="AH831">
        <v>61.67</v>
      </c>
      <c r="AL831" s="43"/>
      <c r="AN831" s="71">
        <f t="shared" si="458"/>
        <v>211</v>
      </c>
      <c r="AO831" s="71">
        <f t="shared" si="459"/>
        <v>0</v>
      </c>
      <c r="AP831" s="71">
        <f t="shared" si="460"/>
        <v>475</v>
      </c>
      <c r="AQ831" s="72">
        <f>IF(OR($H831="GIROSSOL II",$H831="GIROSSOL II e III"),INDEX('Resumo Operacional'!$A$1:$P$1103,MATCH("Energia Injetada prevista total Fatura da Usina (TUSD)",'Resumo Operacional'!$B$1:$B$1103,0),MATCH('Detalhe Por UC'!$R831,'Resumo Operacional'!$A$1:$P$1,0))*$S831,INDEX('Resumo Operacional'!$A$1:$P$1103,53,MATCH('Detalhe Por UC'!$R831,'Resumo Operacional'!$A$1:$P$1,0))*$S831)</f>
        <v>346.10899999999998</v>
      </c>
      <c r="AR831" s="71">
        <f t="shared" si="461"/>
        <v>128.89100000000002</v>
      </c>
      <c r="AS831" s="73">
        <f t="shared" si="462"/>
        <v>182.48000000000002</v>
      </c>
      <c r="AT831" s="74">
        <f t="shared" si="463"/>
        <v>182.48000000000002</v>
      </c>
      <c r="AU831" s="74">
        <f t="shared" si="464"/>
        <v>1.2081463536463535</v>
      </c>
      <c r="AV831" s="74">
        <f t="shared" si="465"/>
        <v>233.28519359304471</v>
      </c>
      <c r="AW831" s="74">
        <f t="shared" si="466"/>
        <v>0</v>
      </c>
      <c r="AX831" s="74">
        <f t="shared" si="467"/>
        <v>318.94799999999998</v>
      </c>
      <c r="AY831" s="74">
        <f t="shared" si="468"/>
        <v>233.29</v>
      </c>
      <c r="AZ831" s="117">
        <v>233.29</v>
      </c>
      <c r="BA831" s="117">
        <v>233.29</v>
      </c>
      <c r="BB831" s="117">
        <v>233.29</v>
      </c>
      <c r="BC831" s="73" t="str">
        <f t="shared" si="469"/>
        <v/>
      </c>
      <c r="BD831" s="73">
        <f t="shared" si="470"/>
        <v>501.428</v>
      </c>
      <c r="BE831" s="73">
        <f t="shared" si="471"/>
        <v>415.76519359304473</v>
      </c>
      <c r="BF831" s="77">
        <f t="shared" si="472"/>
        <v>85.66</v>
      </c>
      <c r="BG831" s="77">
        <f t="shared" si="473"/>
        <v>25.697999999999997</v>
      </c>
      <c r="BH831" s="77">
        <f t="shared" si="474"/>
        <v>318.94799999999998</v>
      </c>
      <c r="BI831" s="78">
        <f t="shared" si="475"/>
        <v>0.27</v>
      </c>
      <c r="BJ831" s="79">
        <f t="shared" si="476"/>
        <v>0.17083210351236866</v>
      </c>
      <c r="BK831" s="80">
        <f t="shared" si="477"/>
        <v>415.77</v>
      </c>
      <c r="BL831" s="80">
        <f t="shared" si="478"/>
        <v>85.658000000000015</v>
      </c>
      <c r="BM831" s="79">
        <f t="shared" si="479"/>
        <v>0.17082811490383468</v>
      </c>
      <c r="BN831" s="81">
        <f t="shared" si="480"/>
        <v>0.88367424242424242</v>
      </c>
      <c r="BO831" s="82">
        <f t="shared" si="481"/>
        <v>233.29</v>
      </c>
      <c r="BP831" s="81">
        <f t="shared" si="482"/>
        <v>0.88367424242424242</v>
      </c>
      <c r="BQ831" s="81">
        <f t="shared" si="483"/>
        <v>0.8836642524142525</v>
      </c>
      <c r="BR831" s="81">
        <f t="shared" si="484"/>
        <v>1.2081263736263737</v>
      </c>
      <c r="BS831" s="82">
        <f t="shared" si="485"/>
        <v>264</v>
      </c>
      <c r="BT831" s="82">
        <f t="shared" si="486"/>
        <v>318.94536263736262</v>
      </c>
      <c r="BU831" s="82">
        <f t="shared" si="487"/>
        <v>318.94799999999998</v>
      </c>
      <c r="BW831" s="82">
        <f>IFERROR(INDEX('Infos Clientes'!$T:$T,MATCH('Detalhe Por UC'!$C831,'Infos Clientes'!B:B,0)),"")</f>
        <v>468.66666666666669</v>
      </c>
      <c r="BX831" s="83">
        <f t="shared" si="488"/>
        <v>0</v>
      </c>
      <c r="BY831" s="84">
        <f t="shared" si="489"/>
        <v>0.26856637541832573</v>
      </c>
      <c r="BZ831" s="85">
        <f>IF(_xlfn.MINIFS('Detalhe Por UC'!R:R,'Detalhe Por UC'!C:C,C831,'Detalhe Por UC'!AD:AD,"&gt;"&amp;0)=0,"",_xlfn.MINIFS('Detalhe Por UC'!R:R,'Detalhe Por UC'!C:C,C831,'Detalhe Por UC'!AD:AD,"&gt;"&amp;0))</f>
        <v>45627</v>
      </c>
      <c r="CA831" s="114">
        <f ca="1">IF(OR(S831&gt;0,AD831&gt;0),IFERROR(
SUMIFS(INDIRECT("'Infos Clientes'!$W"&amp;INDEX('Infos Clientes'!$C:$C,MATCH(C831,'Infos Clientes'!$H:$H,0))&amp;":$CZ"&amp;INDEX('Infos Clientes'!$C:$C,MATCH(C831,'Infos Clientes'!$H:$H,0))),'Infos Clientes'!$W$2:$CZ$2,"&gt;"&amp;$R831-365,'Infos Clientes'!$W$2:$CZ$2,"&lt;="&amp;$R831)/
COUNTIFS(INDIRECT("'Infos Clientes'!$W"&amp;INDEX('Infos Clientes'!$C:$C,MATCH(C831,'Infos Clientes'!$H:$H,0))&amp;":$CZ"&amp;INDEX('Infos Clientes'!$C:$C,MATCH(C831,'Infos Clientes'!$H:$H,0))),"&gt;="&amp;0,'Infos Clientes'!$W$2:$CZ$2,"&gt;"&amp;$R831-365,'Infos Clientes'!$W$2:$CZ$2,"&lt;="&amp;$R831),""),"")</f>
        <v>460.08333333333331</v>
      </c>
      <c r="CB831" s="87">
        <f>VLOOKUP(C831,'Infos Clientes'!B:L,11,0)</f>
        <v>0</v>
      </c>
      <c r="CC831" s="88" t="str">
        <f t="shared" si="490"/>
        <v>A Unidade Consumidora 10/3030784-7 economizou R$85,66 na fatura referente à set/2025  consumindo 264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1" s="115">
        <f t="shared" si="491"/>
        <v>-182.48000000000002</v>
      </c>
    </row>
    <row r="832" spans="1:84" ht="16.2" hidden="1" customHeight="1" x14ac:dyDescent="0.3">
      <c r="A832" s="105" t="str">
        <f>INDEX('Infos Clientes'!$D:$D,MATCH('Detalhe Por UC'!C832,'Infos Clientes'!B:B,0))</f>
        <v>IGREJA DO EVANGELHO QUADRANGULAR</v>
      </c>
      <c r="B832" s="106" t="str">
        <f>INDEX('Infos Clientes'!$F:$F,MATCH('Detalhe Por UC'!C832,'Infos Clientes'!B:B,0))</f>
        <v>62.955.505/0151-99</v>
      </c>
      <c r="C832" s="31" t="s">
        <v>48</v>
      </c>
      <c r="D832" t="s">
        <v>351</v>
      </c>
      <c r="E832" s="1" t="s">
        <v>352</v>
      </c>
      <c r="F832" s="56" t="str">
        <f>INDEX('Infos Clientes'!$I:$I,MATCH('Detalhe Por UC'!C832,'Infos Clientes'!B:B,0))</f>
        <v>BT</v>
      </c>
      <c r="G832" s="56" t="str">
        <f>INDEX('Infos Clientes'!$J:$J,MATCH('Detalhe Por UC'!C832,'Infos Clientes'!B:B,0))</f>
        <v>trifasico</v>
      </c>
      <c r="H832" s="47" t="str">
        <f t="shared" si="493"/>
        <v>GIROSSOL II</v>
      </c>
      <c r="I832" s="58">
        <f>IFERROR(VLOOKUP(C832,'Infos Clientes'!B:E,4,),"")</f>
        <v>306</v>
      </c>
      <c r="J832" s="151">
        <v>0.26857922422136293</v>
      </c>
      <c r="K832" s="79">
        <f>INDEX('Resumo Operacional'!$A$1:$P$151,MATCH("Desconto percentual Ucs",'Resumo Operacional'!$B$1:$B$151,0),MATCH('Detalhe Por UC'!$R832,'Resumo Operacional'!$A$1:$P$1,0))</f>
        <v>0.26857922422136293</v>
      </c>
      <c r="M832" s="56"/>
      <c r="N832" s="56"/>
      <c r="O832" s="56"/>
      <c r="P832" s="56"/>
      <c r="Q832" s="61"/>
      <c r="R832" s="111">
        <v>45901</v>
      </c>
      <c r="S832" s="152">
        <v>2.8000000000000001E-2</v>
      </c>
      <c r="T832" s="113">
        <f>IF($H832="GIROSSOL II",AP832/INDEX('Resumo Operacional'!$A$1:$P$1103,17,MATCH('Detalhe Por UC'!$R832,'Resumo Operacional'!$A$1:$P$1,0)),
IF($H832="GIROSSOL II e III",AP832/INDEX('Resumo Operacional'!$A$1:$P$1103,17,MATCH('Detalhe Por UC'!$R832,'Resumo Operacional'!$A$1:$P$1,0)),
""))</f>
        <v>2.7964022894521667E-2</v>
      </c>
      <c r="U832" s="113" t="str">
        <f>IF($H832="GIROSSOL III",AP832/INDEX('Resumo Operacional'!$A$1:$P$1103,53,MATCH('Detalhe Por UC'!$R832,'Resumo Operacional'!$A$1:$P$1,0)),
IF($H832="GIROSSOL II e III",AP832/INDEX('Resumo Operacional'!$A$1:$P$1103,53,MATCH('Detalhe Por UC'!$R832,'Resumo Operacional'!$A$1:$P$1,0)),
""))</f>
        <v/>
      </c>
      <c r="X832">
        <v>1.208076923076923</v>
      </c>
      <c r="Z832" s="18">
        <v>1.2080701754385965</v>
      </c>
      <c r="AB832" s="18">
        <v>468</v>
      </c>
      <c r="AD832" s="143">
        <v>342</v>
      </c>
      <c r="AF832" s="18">
        <v>0</v>
      </c>
      <c r="AG832">
        <v>0</v>
      </c>
      <c r="AH832">
        <v>6.27</v>
      </c>
      <c r="AL832" s="43"/>
      <c r="AN832" s="71">
        <f t="shared" si="458"/>
        <v>0</v>
      </c>
      <c r="AO832" s="71">
        <f t="shared" si="459"/>
        <v>0</v>
      </c>
      <c r="AP832" s="71">
        <f t="shared" si="460"/>
        <v>342</v>
      </c>
      <c r="AQ832" s="72">
        <f>IF(OR($H832="GIROSSOL II",$H832="GIROSSOL II e III"),INDEX('Resumo Operacional'!$A$1:$P$1103,MATCH("Energia Injetada prevista total Fatura da Usina (TUSD)",'Resumo Operacional'!$B$1:$B$1103,0),MATCH('Detalhe Por UC'!$R832,'Resumo Operacional'!$A$1:$P$1,0))*$S832,INDEX('Resumo Operacional'!$A$1:$P$1103,53,MATCH('Detalhe Por UC'!$R832,'Resumo Operacional'!$A$1:$P$1,0))*$S832)</f>
        <v>342.44</v>
      </c>
      <c r="AR832" s="71">
        <f t="shared" si="461"/>
        <v>-0.43999999999999773</v>
      </c>
      <c r="AS832" s="73">
        <f t="shared" si="462"/>
        <v>158.48999999999998</v>
      </c>
      <c r="AT832" s="74">
        <f t="shared" si="463"/>
        <v>158.48999999999998</v>
      </c>
      <c r="AU832" s="74">
        <f t="shared" si="464"/>
        <v>1.20806342780027</v>
      </c>
      <c r="AV832" s="74">
        <f t="shared" si="465"/>
        <v>302.19380772070167</v>
      </c>
      <c r="AW832" s="74">
        <f t="shared" si="466"/>
        <v>0</v>
      </c>
      <c r="AX832" s="74">
        <f t="shared" si="467"/>
        <v>413.16</v>
      </c>
      <c r="AY832" s="74">
        <f t="shared" si="468"/>
        <v>302.19</v>
      </c>
      <c r="AZ832" s="117">
        <v>302.19</v>
      </c>
      <c r="BA832" s="117">
        <v>302.19</v>
      </c>
      <c r="BB832" s="117">
        <v>302.19</v>
      </c>
      <c r="BC832" s="73" t="str">
        <f t="shared" si="469"/>
        <v/>
      </c>
      <c r="BD832" s="73">
        <f t="shared" si="470"/>
        <v>571.65</v>
      </c>
      <c r="BE832" s="73">
        <f t="shared" si="471"/>
        <v>460.68380772070168</v>
      </c>
      <c r="BF832" s="77">
        <f t="shared" si="472"/>
        <v>110.97</v>
      </c>
      <c r="BG832" s="77">
        <f t="shared" si="473"/>
        <v>33.290999999999997</v>
      </c>
      <c r="BH832" s="77">
        <f t="shared" si="474"/>
        <v>413.16</v>
      </c>
      <c r="BI832" s="78">
        <f t="shared" si="475"/>
        <v>0.27</v>
      </c>
      <c r="BJ832" s="79">
        <f t="shared" si="476"/>
        <v>0.19412227761742326</v>
      </c>
      <c r="BK832" s="80">
        <f t="shared" si="477"/>
        <v>460.67999999999995</v>
      </c>
      <c r="BL832" s="80">
        <f t="shared" si="478"/>
        <v>110.97000000000003</v>
      </c>
      <c r="BM832" s="79">
        <f t="shared" si="479"/>
        <v>0.19412227761742332</v>
      </c>
      <c r="BN832" s="81">
        <f t="shared" si="480"/>
        <v>0.88359649122807016</v>
      </c>
      <c r="BO832" s="82">
        <f t="shared" si="481"/>
        <v>302.19</v>
      </c>
      <c r="BP832" s="81">
        <f t="shared" si="482"/>
        <v>0.88359649122807016</v>
      </c>
      <c r="BQ832" s="81">
        <f t="shared" si="483"/>
        <v>0.88360323886639669</v>
      </c>
      <c r="BR832" s="81">
        <f t="shared" si="484"/>
        <v>1.208076923076923</v>
      </c>
      <c r="BS832" s="82">
        <f t="shared" si="485"/>
        <v>342</v>
      </c>
      <c r="BT832" s="82">
        <f t="shared" si="486"/>
        <v>413.16230769230771</v>
      </c>
      <c r="BU832" s="82">
        <f t="shared" si="487"/>
        <v>413.16</v>
      </c>
      <c r="BW832" s="82">
        <f>IFERROR(INDEX('Infos Clientes'!$T:$T,MATCH('Detalhe Por UC'!$C832,'Infos Clientes'!B:B,0)),"")</f>
        <v>286.5</v>
      </c>
      <c r="BX832" s="83">
        <f t="shared" si="488"/>
        <v>0</v>
      </c>
      <c r="BY832" s="84">
        <f t="shared" si="489"/>
        <v>0.26858694012969392</v>
      </c>
      <c r="BZ832" s="85">
        <f>IF(_xlfn.MINIFS('Detalhe Por UC'!R:R,'Detalhe Por UC'!C:C,C832,'Detalhe Por UC'!AD:AD,"&gt;"&amp;0)=0,"",_xlfn.MINIFS('Detalhe Por UC'!R:R,'Detalhe Por UC'!C:C,C832,'Detalhe Por UC'!AD:AD,"&gt;"&amp;0))</f>
        <v>45658</v>
      </c>
      <c r="CA832" s="114">
        <f ca="1">IF(OR(S832&gt;0,AD832&gt;0),IFERROR(
SUMIFS(INDIRECT("'Infos Clientes'!$W"&amp;INDEX('Infos Clientes'!$C:$C,MATCH(C832,'Infos Clientes'!$H:$H,0))&amp;":$CZ"&amp;INDEX('Infos Clientes'!$C:$C,MATCH(C832,'Infos Clientes'!$H:$H,0))),'Infos Clientes'!$W$2:$CZ$2,"&gt;"&amp;$R832-365,'Infos Clientes'!$W$2:$CZ$2,"&lt;="&amp;$R832)/
COUNTIFS(INDIRECT("'Infos Clientes'!$W"&amp;INDEX('Infos Clientes'!$C:$C,MATCH(C832,'Infos Clientes'!$H:$H,0))&amp;":$CZ"&amp;INDEX('Infos Clientes'!$C:$C,MATCH(C832,'Infos Clientes'!$H:$H,0))),"&gt;="&amp;0,'Infos Clientes'!$W$2:$CZ$2,"&gt;"&amp;$R832-365,'Infos Clientes'!$W$2:$CZ$2,"&lt;="&amp;$R832),""),"")</f>
        <v>507.58333333333331</v>
      </c>
      <c r="CB832" s="87">
        <f>VLOOKUP(C832,'Infos Clientes'!B:L,11,0)</f>
        <v>0</v>
      </c>
      <c r="CC832" s="88" t="str">
        <f t="shared" si="490"/>
        <v>A Unidade Consumidora 10/2794432-1 economizou R$110,97 na fatura referente à set/2025  consumindo 342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2" s="115">
        <f t="shared" si="491"/>
        <v>-158.48999999999998</v>
      </c>
    </row>
    <row r="833" spans="1:84" ht="16.2" hidden="1" customHeight="1" x14ac:dyDescent="0.3">
      <c r="A833" s="105" t="str">
        <f>INDEX('Infos Clientes'!$D:$D,MATCH('Detalhe Por UC'!C833,'Infos Clientes'!B:B,0))</f>
        <v>IGREJA DO EVANGELHO QUADRANGULAR</v>
      </c>
      <c r="B833" s="106" t="str">
        <f>INDEX('Infos Clientes'!$F:$F,MATCH('Detalhe Por UC'!C833,'Infos Clientes'!B:B,0))</f>
        <v>62.955.505/8789-87</v>
      </c>
      <c r="C833" s="31" t="s">
        <v>250</v>
      </c>
      <c r="D833" t="s">
        <v>351</v>
      </c>
      <c r="E833" s="1" t="s">
        <v>352</v>
      </c>
      <c r="F833" s="56">
        <f>INDEX('Infos Clientes'!$I:$I,MATCH('Detalhe Por UC'!C833,'Infos Clientes'!B:B,0))</f>
        <v>0</v>
      </c>
      <c r="G833" s="56" t="str">
        <f>INDEX('Infos Clientes'!$J:$J,MATCH('Detalhe Por UC'!C833,'Infos Clientes'!B:B,0))</f>
        <v>bifasico</v>
      </c>
      <c r="H833" s="47" t="str">
        <f t="shared" si="493"/>
        <v>GIROSSOL II</v>
      </c>
      <c r="I833" s="58">
        <f>IFERROR(VLOOKUP(C833,'Infos Clientes'!B:E,4,),"")</f>
        <v>319</v>
      </c>
      <c r="J833" s="151">
        <v>0.26857922422136293</v>
      </c>
      <c r="K833" s="79">
        <f>INDEX('Resumo Operacional'!$A$1:$P$151,MATCH("Desconto percentual Ucs",'Resumo Operacional'!$B$1:$B$151,0),MATCH('Detalhe Por UC'!$R833,'Resumo Operacional'!$A$1:$P$1,0))</f>
        <v>0.26857922422136293</v>
      </c>
      <c r="M833" s="56"/>
      <c r="N833" s="56"/>
      <c r="O833" s="56"/>
      <c r="P833" s="56"/>
      <c r="Q833" s="61"/>
      <c r="R833" s="111">
        <v>45901</v>
      </c>
      <c r="S833" s="152">
        <v>2.7300000000000001E-2</v>
      </c>
      <c r="T833" s="113">
        <f>IF($H833="GIROSSOL II",AP833/INDEX('Resumo Operacional'!$A$1:$P$1103,17,MATCH('Detalhe Por UC'!$R833,'Resumo Operacional'!$A$1:$P$1,0)),
IF($H833="GIROSSOL II e III",AP833/INDEX('Resumo Operacional'!$A$1:$P$1103,17,MATCH('Detalhe Por UC'!$R833,'Resumo Operacional'!$A$1:$P$1,0)),
""))</f>
        <v>1.7252657399836467E-2</v>
      </c>
      <c r="U833" s="113" t="str">
        <f>IF($H833="GIROSSOL III",AP833/INDEX('Resumo Operacional'!$A$1:$P$1103,53,MATCH('Detalhe Por UC'!$R833,'Resumo Operacional'!$A$1:$P$1,0)),
IF($H833="GIROSSOL II e III",AP833/INDEX('Resumo Operacional'!$A$1:$P$1103,53,MATCH('Detalhe Por UC'!$R833,'Resumo Operacional'!$A$1:$P$1,0)),
""))</f>
        <v/>
      </c>
      <c r="X833">
        <v>1.2080153846153845</v>
      </c>
      <c r="Z833" s="18">
        <v>1.2080206896551724</v>
      </c>
      <c r="AB833" s="18">
        <v>195</v>
      </c>
      <c r="AD833" s="143">
        <v>145</v>
      </c>
      <c r="AF833" s="18">
        <v>310</v>
      </c>
      <c r="AG833">
        <v>0</v>
      </c>
      <c r="AH833">
        <v>67.08</v>
      </c>
      <c r="AL833" s="43"/>
      <c r="AN833" s="71">
        <f t="shared" si="458"/>
        <v>66</v>
      </c>
      <c r="AO833" s="71">
        <f t="shared" si="459"/>
        <v>0</v>
      </c>
      <c r="AP833" s="71">
        <f t="shared" si="460"/>
        <v>211</v>
      </c>
      <c r="AQ833" s="72">
        <f>IF(OR($H833="GIROSSOL II",$H833="GIROSSOL II e III"),INDEX('Resumo Operacional'!$A$1:$P$1103,MATCH("Energia Injetada prevista total Fatura da Usina (TUSD)",'Resumo Operacional'!$B$1:$B$1103,0),MATCH('Detalhe Por UC'!$R833,'Resumo Operacional'!$A$1:$P$1,0))*$S833,INDEX('Resumo Operacional'!$A$1:$P$1103,53,MATCH('Detalhe Por UC'!$R833,'Resumo Operacional'!$A$1:$P$1,0))*$S833)</f>
        <v>333.87900000000002</v>
      </c>
      <c r="AR833" s="71">
        <f t="shared" si="461"/>
        <v>-122.87900000000002</v>
      </c>
      <c r="AS833" s="73">
        <f t="shared" si="462"/>
        <v>127.47999999999998</v>
      </c>
      <c r="AT833" s="74">
        <f t="shared" si="463"/>
        <v>127.47999999999998</v>
      </c>
      <c r="AU833" s="74">
        <f t="shared" si="464"/>
        <v>1.2080259946949603</v>
      </c>
      <c r="AV833" s="74">
        <f t="shared" si="465"/>
        <v>128.1178573477134</v>
      </c>
      <c r="AW833" s="74">
        <f t="shared" si="466"/>
        <v>0</v>
      </c>
      <c r="AX833" s="74">
        <f t="shared" si="467"/>
        <v>175.16300000000001</v>
      </c>
      <c r="AY833" s="74">
        <f t="shared" si="468"/>
        <v>128.12</v>
      </c>
      <c r="AZ833" s="117">
        <v>128.12</v>
      </c>
      <c r="BA833" s="117">
        <v>128.12</v>
      </c>
      <c r="BC833" s="73" t="str">
        <f t="shared" si="469"/>
        <v/>
      </c>
      <c r="BD833" s="73">
        <f t="shared" si="470"/>
        <v>302.64299999999997</v>
      </c>
      <c r="BE833" s="73">
        <f t="shared" si="471"/>
        <v>255.59785734771339</v>
      </c>
      <c r="BF833" s="77">
        <f t="shared" si="472"/>
        <v>47.05</v>
      </c>
      <c r="BG833" s="77">
        <f t="shared" si="473"/>
        <v>14.114999999999998</v>
      </c>
      <c r="BH833" s="77">
        <f t="shared" si="474"/>
        <v>175.16299999999998</v>
      </c>
      <c r="BI833" s="78">
        <f t="shared" si="475"/>
        <v>0.27</v>
      </c>
      <c r="BJ833" s="79">
        <f t="shared" si="476"/>
        <v>0.15546369815260885</v>
      </c>
      <c r="BK833" s="80">
        <f t="shared" si="477"/>
        <v>255.59999999999997</v>
      </c>
      <c r="BL833" s="80">
        <f t="shared" si="478"/>
        <v>47.043000000000006</v>
      </c>
      <c r="BM833" s="79">
        <f t="shared" si="479"/>
        <v>0.15544056859071584</v>
      </c>
      <c r="BN833" s="81">
        <f t="shared" si="480"/>
        <v>0.88358620689655176</v>
      </c>
      <c r="BO833" s="82">
        <f t="shared" si="481"/>
        <v>128.12</v>
      </c>
      <c r="BP833" s="81">
        <f t="shared" si="482"/>
        <v>0.88358620689655176</v>
      </c>
      <c r="BQ833" s="81">
        <f t="shared" si="483"/>
        <v>0.88358090185676386</v>
      </c>
      <c r="BR833" s="81">
        <f t="shared" si="484"/>
        <v>1.2080153846153845</v>
      </c>
      <c r="BS833" s="82">
        <f t="shared" si="485"/>
        <v>145</v>
      </c>
      <c r="BT833" s="82">
        <f t="shared" si="486"/>
        <v>175.16223076923075</v>
      </c>
      <c r="BU833" s="82">
        <f t="shared" si="487"/>
        <v>175.16300000000001</v>
      </c>
      <c r="BW833" s="82">
        <f>IFERROR(INDEX('Infos Clientes'!$T:$T,MATCH('Detalhe Por UC'!$C833,'Infos Clientes'!B:B,0)),"")</f>
        <v>325</v>
      </c>
      <c r="BX833" s="83">
        <f t="shared" si="488"/>
        <v>0</v>
      </c>
      <c r="BY833" s="84">
        <f t="shared" si="489"/>
        <v>0.26856817130844418</v>
      </c>
      <c r="BZ833" s="85">
        <f>IF(_xlfn.MINIFS('Detalhe Por UC'!R:R,'Detalhe Por UC'!C:C,C833,'Detalhe Por UC'!AD:AD,"&gt;"&amp;0)=0,"",_xlfn.MINIFS('Detalhe Por UC'!R:R,'Detalhe Por UC'!C:C,C833,'Detalhe Por UC'!AD:AD,"&gt;"&amp;0))</f>
        <v>45839</v>
      </c>
      <c r="CA833" s="114">
        <f ca="1">IF(OR(S833&gt;0,AD833&gt;0),IFERROR(
SUMIFS(INDIRECT("'Infos Clientes'!$W"&amp;INDEX('Infos Clientes'!$C:$C,MATCH(C833,'Infos Clientes'!$H:$H,0))&amp;":$CZ"&amp;INDEX('Infos Clientes'!$C:$C,MATCH(C833,'Infos Clientes'!$H:$H,0))),'Infos Clientes'!$W$2:$CZ$2,"&gt;"&amp;$R833-365,'Infos Clientes'!$W$2:$CZ$2,"&lt;="&amp;$R833)/
COUNTIFS(INDIRECT("'Infos Clientes'!$W"&amp;INDEX('Infos Clientes'!$C:$C,MATCH(C833,'Infos Clientes'!$H:$H,0))&amp;":$CZ"&amp;INDEX('Infos Clientes'!$C:$C,MATCH(C833,'Infos Clientes'!$H:$H,0))),"&gt;="&amp;0,'Infos Clientes'!$W$2:$CZ$2,"&gt;"&amp;$R833-365,'Infos Clientes'!$W$2:$CZ$2,"&lt;="&amp;$R833),""),"")</f>
        <v>202</v>
      </c>
      <c r="CB833" s="87">
        <f>VLOOKUP(C833,'Infos Clientes'!B:L,11,0)</f>
        <v>0</v>
      </c>
      <c r="CC833" s="88" t="str">
        <f t="shared" si="490"/>
        <v>A Unidade Consumidora 10/1017804-4 economizou R$47,05 na fatura referente à set/2025  consumindo 145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3" s="115">
        <f t="shared" si="491"/>
        <v>-127.47999999999998</v>
      </c>
    </row>
    <row r="834" spans="1:84" ht="16.2" hidden="1" customHeight="1" x14ac:dyDescent="0.3">
      <c r="A834" s="105" t="str">
        <f>INDEX('Infos Clientes'!$D:$D,MATCH('Detalhe Por UC'!C834,'Infos Clientes'!B:B,0))</f>
        <v>IGREJA DO EVANGELHO QUADRANGULAR</v>
      </c>
      <c r="B834" s="106" t="str">
        <f>INDEX('Infos Clientes'!$F:$F,MATCH('Detalhe Por UC'!C834,'Infos Clientes'!B:B,0))</f>
        <v>62.955.505/1822-57</v>
      </c>
      <c r="C834" s="31" t="s">
        <v>25</v>
      </c>
      <c r="D834" t="s">
        <v>351</v>
      </c>
      <c r="E834" s="1" t="s">
        <v>352</v>
      </c>
      <c r="F834" s="56" t="str">
        <f>INDEX('Infos Clientes'!$I:$I,MATCH('Detalhe Por UC'!C834,'Infos Clientes'!B:B,0))</f>
        <v>BT</v>
      </c>
      <c r="G834" s="56" t="str">
        <f>INDEX('Infos Clientes'!$J:$J,MATCH('Detalhe Por UC'!C834,'Infos Clientes'!B:B,0))</f>
        <v>trifasico</v>
      </c>
      <c r="H834" s="47" t="str">
        <f t="shared" si="493"/>
        <v>GIROSSOL II</v>
      </c>
      <c r="I834" s="58">
        <f>IFERROR(VLOOKUP(C834,'Infos Clientes'!B:E,4,),"")</f>
        <v>319</v>
      </c>
      <c r="J834" s="151">
        <v>0.26857922422136293</v>
      </c>
      <c r="K834" s="79">
        <f>INDEX('Resumo Operacional'!$A$1:$P$151,MATCH("Desconto percentual Ucs",'Resumo Operacional'!$B$1:$B$151,0),MATCH('Detalhe Por UC'!$R834,'Resumo Operacional'!$A$1:$P$1,0))</f>
        <v>0.26857922422136293</v>
      </c>
      <c r="M834" s="56"/>
      <c r="N834" s="56"/>
      <c r="O834" s="56"/>
      <c r="P834" s="56"/>
      <c r="Q834" s="61"/>
      <c r="R834" s="111">
        <v>45901</v>
      </c>
      <c r="S834" s="152">
        <v>2.3400000000000001E-2</v>
      </c>
      <c r="T834" s="113">
        <f>IF($H834="GIROSSOL II",AP834/INDEX('Resumo Operacional'!$A$1:$P$1103,17,MATCH('Detalhe Por UC'!$R834,'Resumo Operacional'!$A$1:$P$1,0)),
IF($H834="GIROSSOL II e III",AP834/INDEX('Resumo Operacional'!$A$1:$P$1103,17,MATCH('Detalhe Por UC'!$R834,'Resumo Operacional'!$A$1:$P$1,0)),
""))</f>
        <v>2.3385118560915782E-2</v>
      </c>
      <c r="U834" s="113" t="str">
        <f>IF($H834="GIROSSOL III",AP834/INDEX('Resumo Operacional'!$A$1:$P$1103,53,MATCH('Detalhe Por UC'!$R834,'Resumo Operacional'!$A$1:$P$1,0)),
IF($H834="GIROSSOL II e III",AP834/INDEX('Resumo Operacional'!$A$1:$P$1103,53,MATCH('Detalhe Por UC'!$R834,'Resumo Operacional'!$A$1:$P$1,0)),
""))</f>
        <v/>
      </c>
      <c r="X834">
        <v>1.2080269430051813</v>
      </c>
      <c r="Z834" s="18">
        <v>1.2080363636363636</v>
      </c>
      <c r="AB834" s="18">
        <v>386</v>
      </c>
      <c r="AD834" s="143">
        <v>286</v>
      </c>
      <c r="AF834" s="18">
        <v>2072</v>
      </c>
      <c r="AG834">
        <v>0</v>
      </c>
      <c r="AH834">
        <v>74.41</v>
      </c>
      <c r="AL834" s="43"/>
      <c r="AN834" s="71">
        <f t="shared" si="458"/>
        <v>0</v>
      </c>
      <c r="AO834" s="71">
        <f t="shared" si="459"/>
        <v>0</v>
      </c>
      <c r="AP834" s="71">
        <f t="shared" si="460"/>
        <v>286</v>
      </c>
      <c r="AQ834" s="72">
        <f>IF(OR($H834="GIROSSOL II",$H834="GIROSSOL II e III"),INDEX('Resumo Operacional'!$A$1:$P$1103,MATCH("Energia Injetada prevista total Fatura da Usina (TUSD)",'Resumo Operacional'!$B$1:$B$1103,0),MATCH('Detalhe Por UC'!$R834,'Resumo Operacional'!$A$1:$P$1,0))*$S834,INDEX('Resumo Operacional'!$A$1:$P$1103,53,MATCH('Detalhe Por UC'!$R834,'Resumo Operacional'!$A$1:$P$1,0))*$S834)</f>
        <v>286.18200000000002</v>
      </c>
      <c r="AR834" s="71">
        <f t="shared" si="461"/>
        <v>-0.18200000000001637</v>
      </c>
      <c r="AS834" s="73">
        <f t="shared" si="462"/>
        <v>195.21</v>
      </c>
      <c r="AT834" s="74">
        <f t="shared" si="463"/>
        <v>195.21</v>
      </c>
      <c r="AU834" s="74">
        <f t="shared" si="464"/>
        <v>1.2080457842675458</v>
      </c>
      <c r="AV834" s="74">
        <f t="shared" si="465"/>
        <v>252.70470775827783</v>
      </c>
      <c r="AW834" s="74">
        <f t="shared" si="466"/>
        <v>0</v>
      </c>
      <c r="AX834" s="74">
        <f t="shared" si="467"/>
        <v>345.4984</v>
      </c>
      <c r="AY834" s="74">
        <f t="shared" si="468"/>
        <v>252.7</v>
      </c>
      <c r="AZ834" s="117">
        <v>252.7</v>
      </c>
      <c r="BA834" s="117">
        <v>252.7</v>
      </c>
      <c r="BB834" s="117">
        <v>252.7</v>
      </c>
      <c r="BC834" s="73" t="str">
        <f t="shared" si="469"/>
        <v/>
      </c>
      <c r="BD834" s="73">
        <f t="shared" si="470"/>
        <v>540.70839999999998</v>
      </c>
      <c r="BE834" s="73">
        <f t="shared" si="471"/>
        <v>447.91470775827781</v>
      </c>
      <c r="BF834" s="77">
        <f t="shared" si="472"/>
        <v>92.79</v>
      </c>
      <c r="BG834" s="77">
        <f t="shared" si="473"/>
        <v>27.837</v>
      </c>
      <c r="BH834" s="77">
        <f t="shared" si="474"/>
        <v>345.49839999999995</v>
      </c>
      <c r="BI834" s="78">
        <f t="shared" si="475"/>
        <v>0.27</v>
      </c>
      <c r="BJ834" s="79">
        <f t="shared" si="476"/>
        <v>0.17160820878684335</v>
      </c>
      <c r="BK834" s="80">
        <f t="shared" si="477"/>
        <v>447.90999999999997</v>
      </c>
      <c r="BL834" s="80">
        <f t="shared" si="478"/>
        <v>92.798400000000015</v>
      </c>
      <c r="BM834" s="79">
        <f t="shared" si="479"/>
        <v>0.1716237439625499</v>
      </c>
      <c r="BN834" s="81">
        <f t="shared" si="480"/>
        <v>0.8835664335664335</v>
      </c>
      <c r="BO834" s="82">
        <f t="shared" si="481"/>
        <v>252.7</v>
      </c>
      <c r="BP834" s="81">
        <f t="shared" si="482"/>
        <v>0.8835664335664335</v>
      </c>
      <c r="BQ834" s="81">
        <f t="shared" si="483"/>
        <v>0.88355701293525124</v>
      </c>
      <c r="BR834" s="81">
        <f t="shared" si="484"/>
        <v>1.2080269430051813</v>
      </c>
      <c r="BS834" s="82">
        <f t="shared" si="485"/>
        <v>286</v>
      </c>
      <c r="BT834" s="82">
        <f t="shared" si="486"/>
        <v>345.49570569948185</v>
      </c>
      <c r="BU834" s="82">
        <f t="shared" si="487"/>
        <v>345.4984</v>
      </c>
      <c r="BW834" s="82">
        <f>IFERROR(INDEX('Infos Clientes'!$T:$T,MATCH('Detalhe Por UC'!$C834,'Infos Clientes'!B:B,0)),"")</f>
        <v>453.58333333333331</v>
      </c>
      <c r="BX834" s="83">
        <f t="shared" si="488"/>
        <v>0</v>
      </c>
      <c r="BY834" s="84">
        <f t="shared" si="489"/>
        <v>0.26859494479713636</v>
      </c>
      <c r="BZ834" s="85">
        <f>IF(_xlfn.MINIFS('Detalhe Por UC'!R:R,'Detalhe Por UC'!C:C,C834,'Detalhe Por UC'!AD:AD,"&gt;"&amp;0)=0,"",_xlfn.MINIFS('Detalhe Por UC'!R:R,'Detalhe Por UC'!C:C,C834,'Detalhe Por UC'!AD:AD,"&gt;"&amp;0))</f>
        <v>45627</v>
      </c>
      <c r="CA834" s="114">
        <f ca="1">IF(OR(S834&gt;0,AD834&gt;0),IFERROR(
SUMIFS(INDIRECT("'Infos Clientes'!$W"&amp;INDEX('Infos Clientes'!$C:$C,MATCH(C834,'Infos Clientes'!$H:$H,0))&amp;":$CZ"&amp;INDEX('Infos Clientes'!$C:$C,MATCH(C834,'Infos Clientes'!$H:$H,0))),'Infos Clientes'!$W$2:$CZ$2,"&gt;"&amp;$R834-365,'Infos Clientes'!$W$2:$CZ$2,"&lt;="&amp;$R834)/
COUNTIFS(INDIRECT("'Infos Clientes'!$W"&amp;INDEX('Infos Clientes'!$C:$C,MATCH(C834,'Infos Clientes'!$H:$H,0))&amp;":$CZ"&amp;INDEX('Infos Clientes'!$C:$C,MATCH(C834,'Infos Clientes'!$H:$H,0))),"&gt;="&amp;0,'Infos Clientes'!$W$2:$CZ$2,"&gt;"&amp;$R834-365,'Infos Clientes'!$W$2:$CZ$2,"&lt;="&amp;$R834),""),"")</f>
        <v>397.5</v>
      </c>
      <c r="CB834" s="87">
        <f>VLOOKUP(C834,'Infos Clientes'!B:L,11,0)</f>
        <v>0</v>
      </c>
      <c r="CC834" s="88" t="str">
        <f t="shared" si="490"/>
        <v>A Unidade Consumidora 10/1035655-8 economizou R$92,79 na fatura referente à set/2025  consumindo 286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4" s="115">
        <f t="shared" si="491"/>
        <v>-195.21</v>
      </c>
    </row>
    <row r="835" spans="1:84" ht="16.2" hidden="1" customHeight="1" x14ac:dyDescent="0.3">
      <c r="A835" s="105" t="str">
        <f>INDEX('Infos Clientes'!$D:$D,MATCH('Detalhe Por UC'!C835,'Infos Clientes'!B:B,0))</f>
        <v>IGREJA DO EVANGELHO QUADRANGULAR</v>
      </c>
      <c r="B835" s="106" t="str">
        <f>INDEX('Infos Clientes'!$F:$F,MATCH('Detalhe Por UC'!C835,'Infos Clientes'!B:B,0))</f>
        <v>62.955.505/3593-60</v>
      </c>
      <c r="C835" s="31" t="s">
        <v>123</v>
      </c>
      <c r="D835" t="s">
        <v>351</v>
      </c>
      <c r="E835" s="1" t="s">
        <v>352</v>
      </c>
      <c r="F835" s="56" t="str">
        <f>INDEX('Infos Clientes'!$I:$I,MATCH('Detalhe Por UC'!C835,'Infos Clientes'!B:B,0))</f>
        <v>BT</v>
      </c>
      <c r="G835" s="56" t="str">
        <f>INDEX('Infos Clientes'!$J:$J,MATCH('Detalhe Por UC'!C835,'Infos Clientes'!B:B,0))</f>
        <v>trifasico</v>
      </c>
      <c r="H835" s="47" t="str">
        <f t="shared" si="493"/>
        <v>GIROSSOL II</v>
      </c>
      <c r="I835" s="58">
        <f>IFERROR(VLOOKUP(C835,'Infos Clientes'!B:E,4,),"")</f>
        <v>351</v>
      </c>
      <c r="J835" s="151">
        <v>0.26857922422136293</v>
      </c>
      <c r="K835" s="79">
        <f>INDEX('Resumo Operacional'!$A$1:$P$151,MATCH("Desconto percentual Ucs",'Resumo Operacional'!$B$1:$B$151,0),MATCH('Detalhe Por UC'!$R835,'Resumo Operacional'!$A$1:$P$1,0))</f>
        <v>0.26857922422136293</v>
      </c>
      <c r="M835" s="56"/>
      <c r="N835" s="56"/>
      <c r="O835" s="56"/>
      <c r="P835" s="56"/>
      <c r="Q835" s="61"/>
      <c r="R835" s="111">
        <v>45901</v>
      </c>
      <c r="S835" s="152">
        <v>2.3199999999999998E-2</v>
      </c>
      <c r="T835" s="113">
        <f>IF($H835="GIROSSOL II",AP835/INDEX('Resumo Operacional'!$A$1:$P$1103,17,MATCH('Detalhe Por UC'!$R835,'Resumo Operacional'!$A$1:$P$1,0)),
IF($H835="GIROSSOL II e III",AP835/INDEX('Resumo Operacional'!$A$1:$P$1103,17,MATCH('Detalhe Por UC'!$R835,'Resumo Operacional'!$A$1:$P$1,0)),
""))</f>
        <v>2.3139820114472607E-2</v>
      </c>
      <c r="U835" s="113" t="str">
        <f>IF($H835="GIROSSOL III",AP835/INDEX('Resumo Operacional'!$A$1:$P$1103,53,MATCH('Detalhe Por UC'!$R835,'Resumo Operacional'!$A$1:$P$1,0)),
IF($H835="GIROSSOL II e III",AP835/INDEX('Resumo Operacional'!$A$1:$P$1103,53,MATCH('Detalhe Por UC'!$R835,'Resumo Operacional'!$A$1:$P$1,0)),
""))</f>
        <v/>
      </c>
      <c r="X835">
        <v>1.208237532133676</v>
      </c>
      <c r="Z835" s="18">
        <v>1.2060359861591696</v>
      </c>
      <c r="AB835" s="18">
        <v>389</v>
      </c>
      <c r="AD835" s="143">
        <v>289</v>
      </c>
      <c r="AF835" s="18">
        <v>665</v>
      </c>
      <c r="AG835">
        <v>0</v>
      </c>
      <c r="AH835">
        <v>71.48</v>
      </c>
      <c r="AL835" s="43"/>
      <c r="AN835" s="71">
        <f t="shared" si="458"/>
        <v>-6</v>
      </c>
      <c r="AO835" s="71">
        <f t="shared" si="459"/>
        <v>0</v>
      </c>
      <c r="AP835" s="71">
        <f t="shared" si="460"/>
        <v>283</v>
      </c>
      <c r="AQ835" s="72">
        <f>IF(OR($H835="GIROSSOL II",$H835="GIROSSOL II e III"),INDEX('Resumo Operacional'!$A$1:$P$1103,MATCH("Energia Injetada prevista total Fatura da Usina (TUSD)",'Resumo Operacional'!$B$1:$B$1103,0),MATCH('Detalhe Por UC'!$R835,'Resumo Operacional'!$A$1:$P$1,0))*$S835,INDEX('Resumo Operacional'!$A$1:$P$1103,53,MATCH('Detalhe Por UC'!$R835,'Resumo Operacional'!$A$1:$P$1,0))*$S835)</f>
        <v>283.73599999999999</v>
      </c>
      <c r="AR835" s="71">
        <f t="shared" si="461"/>
        <v>-0.73599999999999</v>
      </c>
      <c r="AS835" s="73">
        <f t="shared" si="462"/>
        <v>192.94</v>
      </c>
      <c r="AT835" s="74">
        <f t="shared" si="463"/>
        <v>192.94</v>
      </c>
      <c r="AU835" s="74">
        <f t="shared" si="464"/>
        <v>1.2038344401846632</v>
      </c>
      <c r="AV835" s="74">
        <f t="shared" si="465"/>
        <v>254.93261544129959</v>
      </c>
      <c r="AW835" s="74">
        <f t="shared" si="466"/>
        <v>0</v>
      </c>
      <c r="AX835" s="74">
        <f t="shared" si="467"/>
        <v>348.5444</v>
      </c>
      <c r="AY835" s="74">
        <f t="shared" si="468"/>
        <v>254.93</v>
      </c>
      <c r="AZ835" s="117">
        <v>254.93</v>
      </c>
      <c r="BA835" s="117">
        <v>254.93</v>
      </c>
      <c r="BC835" s="73" t="str">
        <f t="shared" si="469"/>
        <v/>
      </c>
      <c r="BD835" s="73">
        <f t="shared" si="470"/>
        <v>541.48439999999994</v>
      </c>
      <c r="BE835" s="73">
        <f t="shared" si="471"/>
        <v>447.87261544129956</v>
      </c>
      <c r="BF835" s="77">
        <f t="shared" si="472"/>
        <v>93.61</v>
      </c>
      <c r="BG835" s="77">
        <f t="shared" si="473"/>
        <v>28.082999999999998</v>
      </c>
      <c r="BH835" s="77">
        <f t="shared" si="474"/>
        <v>348.54440000000005</v>
      </c>
      <c r="BI835" s="78">
        <f t="shared" si="475"/>
        <v>0.27</v>
      </c>
      <c r="BJ835" s="79">
        <f t="shared" si="476"/>
        <v>0.17287663319571167</v>
      </c>
      <c r="BK835" s="80">
        <f t="shared" si="477"/>
        <v>447.87</v>
      </c>
      <c r="BL835" s="80">
        <f t="shared" si="478"/>
        <v>93.614399999999932</v>
      </c>
      <c r="BM835" s="79">
        <f t="shared" si="479"/>
        <v>0.17288475900690758</v>
      </c>
      <c r="BN835" s="81">
        <f t="shared" si="480"/>
        <v>0.88211072664359869</v>
      </c>
      <c r="BO835" s="82">
        <f t="shared" si="481"/>
        <v>254.93</v>
      </c>
      <c r="BP835" s="81">
        <f t="shared" si="482"/>
        <v>0.88211072664359869</v>
      </c>
      <c r="BQ835" s="81">
        <f t="shared" si="483"/>
        <v>0.88431227261810508</v>
      </c>
      <c r="BR835" s="81">
        <f t="shared" si="484"/>
        <v>1.208237532133676</v>
      </c>
      <c r="BS835" s="82">
        <f t="shared" si="485"/>
        <v>289</v>
      </c>
      <c r="BT835" s="82">
        <f t="shared" si="486"/>
        <v>349.18064678663239</v>
      </c>
      <c r="BU835" s="82">
        <f t="shared" si="487"/>
        <v>348.5444</v>
      </c>
      <c r="BW835" s="82">
        <f>IFERROR(INDEX('Infos Clientes'!$T:$T,MATCH('Detalhe Por UC'!$C835,'Infos Clientes'!B:B,0)),"")</f>
        <v>409.33333333333331</v>
      </c>
      <c r="BX835" s="83">
        <f t="shared" si="488"/>
        <v>0</v>
      </c>
      <c r="BY835" s="84">
        <f t="shared" si="489"/>
        <v>0.26809733260275243</v>
      </c>
      <c r="BZ835" s="85">
        <f>IF(_xlfn.MINIFS('Detalhe Por UC'!R:R,'Detalhe Por UC'!C:C,C835,'Detalhe Por UC'!AD:AD,"&gt;"&amp;0)=0,"",_xlfn.MINIFS('Detalhe Por UC'!R:R,'Detalhe Por UC'!C:C,C835,'Detalhe Por UC'!AD:AD,"&gt;"&amp;0))</f>
        <v>45627</v>
      </c>
      <c r="CA835" s="114">
        <f ca="1">IF(OR(S835&gt;0,AD835&gt;0),IFERROR(
SUMIFS(INDIRECT("'Infos Clientes'!$W"&amp;INDEX('Infos Clientes'!$C:$C,MATCH(C835,'Infos Clientes'!$H:$H,0))&amp;":$CZ"&amp;INDEX('Infos Clientes'!$C:$C,MATCH(C835,'Infos Clientes'!$H:$H,0))),'Infos Clientes'!$W$2:$CZ$2,"&gt;"&amp;$R835-365,'Infos Clientes'!$W$2:$CZ$2,"&lt;="&amp;$R835)/
COUNTIFS(INDIRECT("'Infos Clientes'!$W"&amp;INDEX('Infos Clientes'!$C:$C,MATCH(C835,'Infos Clientes'!$H:$H,0))&amp;":$CZ"&amp;INDEX('Infos Clientes'!$C:$C,MATCH(C835,'Infos Clientes'!$H:$H,0))),"&gt;="&amp;0,'Infos Clientes'!$W$2:$CZ$2,"&gt;"&amp;$R835-365,'Infos Clientes'!$W$2:$CZ$2,"&lt;="&amp;$R835),""),"")</f>
        <v>395.16666666666669</v>
      </c>
      <c r="CB835" s="87">
        <f>VLOOKUP(C835,'Infos Clientes'!B:L,11,0)</f>
        <v>0</v>
      </c>
      <c r="CC835" s="88" t="str">
        <f t="shared" si="490"/>
        <v>A Unidade Consumidora 10/532723-4 economizou R$93,61 na fatura referente à set/2025  consumindo 289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5" s="115">
        <f t="shared" si="491"/>
        <v>-192.94</v>
      </c>
    </row>
    <row r="836" spans="1:84" ht="16.2" hidden="1" customHeight="1" x14ac:dyDescent="0.3">
      <c r="A836" s="105" t="str">
        <f>INDEX('Infos Clientes'!$D:$D,MATCH('Detalhe Por UC'!C836,'Infos Clientes'!B:B,0))</f>
        <v>IGREJA DO EVANGELHO QUADRANGULAR</v>
      </c>
      <c r="B836" s="106" t="str">
        <f>INDEX('Infos Clientes'!$F:$F,MATCH('Detalhe Por UC'!C836,'Infos Clientes'!B:B,0))</f>
        <v>62.955.505/4194-43</v>
      </c>
      <c r="C836" s="31" t="s">
        <v>99</v>
      </c>
      <c r="D836" t="s">
        <v>351</v>
      </c>
      <c r="E836" s="1" t="s">
        <v>352</v>
      </c>
      <c r="F836" s="56" t="str">
        <f>INDEX('Infos Clientes'!$I:$I,MATCH('Detalhe Por UC'!C836,'Infos Clientes'!B:B,0))</f>
        <v>BT</v>
      </c>
      <c r="G836" s="56" t="str">
        <f>INDEX('Infos Clientes'!$J:$J,MATCH('Detalhe Por UC'!C836,'Infos Clientes'!B:B,0))</f>
        <v>trifasico</v>
      </c>
      <c r="H836" s="47" t="str">
        <f t="shared" si="493"/>
        <v>GIROSSOL II</v>
      </c>
      <c r="I836" s="58">
        <f>IFERROR(VLOOKUP(C836,'Infos Clientes'!B:E,4,),"")</f>
        <v>331</v>
      </c>
      <c r="J836" s="151">
        <v>0.26857922422136293</v>
      </c>
      <c r="K836" s="79">
        <f>INDEX('Resumo Operacional'!$A$1:$P$151,MATCH("Desconto percentual Ucs",'Resumo Operacional'!$B$1:$B$151,0),MATCH('Detalhe Por UC'!$R836,'Resumo Operacional'!$A$1:$P$1,0))</f>
        <v>0.26857922422136293</v>
      </c>
      <c r="M836" s="56"/>
      <c r="N836" s="56"/>
      <c r="O836" s="56"/>
      <c r="P836" s="56"/>
      <c r="Q836" s="61"/>
      <c r="R836" s="111">
        <v>45901</v>
      </c>
      <c r="S836" s="152">
        <v>2.2599999999999999E-2</v>
      </c>
      <c r="T836" s="113">
        <f>IF($H836="GIROSSOL II",AP836/INDEX('Resumo Operacional'!$A$1:$P$1103,17,MATCH('Detalhe Por UC'!$R836,'Resumo Operacional'!$A$1:$P$1,0)),
IF($H836="GIROSSOL II e III",AP836/INDEX('Resumo Operacional'!$A$1:$P$1103,17,MATCH('Detalhe Por UC'!$R836,'Resumo Operacional'!$A$1:$P$1,0)),
""))</f>
        <v>2.2567457072771871E-2</v>
      </c>
      <c r="U836" s="113" t="str">
        <f>IF($H836="GIROSSOL III",AP836/INDEX('Resumo Operacional'!$A$1:$P$1103,53,MATCH('Detalhe Por UC'!$R836,'Resumo Operacional'!$A$1:$P$1,0)),
IF($H836="GIROSSOL II e III",AP836/INDEX('Resumo Operacional'!$A$1:$P$1103,53,MATCH('Detalhe Por UC'!$R836,'Resumo Operacional'!$A$1:$P$1,0)),
""))</f>
        <v/>
      </c>
      <c r="X836">
        <v>1.2081176470588235</v>
      </c>
      <c r="Z836" s="18">
        <v>1.2081249999999999</v>
      </c>
      <c r="AB836" s="18">
        <v>340</v>
      </c>
      <c r="AD836" s="143">
        <v>240</v>
      </c>
      <c r="AF836" s="18">
        <v>525</v>
      </c>
      <c r="AG836">
        <v>0</v>
      </c>
      <c r="AH836">
        <v>0</v>
      </c>
      <c r="AL836" s="43"/>
      <c r="AN836" s="71">
        <f t="shared" si="458"/>
        <v>36</v>
      </c>
      <c r="AO836" s="71">
        <f t="shared" si="459"/>
        <v>0</v>
      </c>
      <c r="AP836" s="71">
        <f t="shared" si="460"/>
        <v>276</v>
      </c>
      <c r="AQ836" s="72">
        <f>IF(OR($H836="GIROSSOL II",$H836="GIROSSOL II e III"),INDEX('Resumo Operacional'!$A$1:$P$1103,MATCH("Energia Injetada prevista total Fatura da Usina (TUSD)",'Resumo Operacional'!$B$1:$B$1103,0),MATCH('Detalhe Por UC'!$R836,'Resumo Operacional'!$A$1:$P$1,0))*$S836,INDEX('Resumo Operacional'!$A$1:$P$1103,53,MATCH('Detalhe Por UC'!$R836,'Resumo Operacional'!$A$1:$P$1,0))*$S836)</f>
        <v>276.39799999999997</v>
      </c>
      <c r="AR836" s="71">
        <f t="shared" si="461"/>
        <v>-0.39799999999996771</v>
      </c>
      <c r="AS836" s="73">
        <f t="shared" si="462"/>
        <v>120.81</v>
      </c>
      <c r="AT836" s="74">
        <f t="shared" si="463"/>
        <v>120.81</v>
      </c>
      <c r="AU836" s="74">
        <f t="shared" si="464"/>
        <v>1.2081323529411763</v>
      </c>
      <c r="AV836" s="74">
        <f t="shared" si="465"/>
        <v>212.07545393701579</v>
      </c>
      <c r="AW836" s="74">
        <f t="shared" si="466"/>
        <v>0</v>
      </c>
      <c r="AX836" s="74">
        <f t="shared" si="467"/>
        <v>289.95</v>
      </c>
      <c r="AY836" s="74">
        <f t="shared" si="468"/>
        <v>212.08</v>
      </c>
      <c r="AZ836" s="117">
        <v>212.08</v>
      </c>
      <c r="BA836" s="117">
        <v>212.08</v>
      </c>
      <c r="BB836" s="117">
        <v>212.08</v>
      </c>
      <c r="BC836" s="73" t="str">
        <f t="shared" si="469"/>
        <v/>
      </c>
      <c r="BD836" s="73">
        <f t="shared" si="470"/>
        <v>410.76</v>
      </c>
      <c r="BE836" s="73">
        <f t="shared" si="471"/>
        <v>332.88545393701577</v>
      </c>
      <c r="BF836" s="77">
        <f t="shared" si="472"/>
        <v>77.87</v>
      </c>
      <c r="BG836" s="77">
        <f t="shared" si="473"/>
        <v>23.361000000000001</v>
      </c>
      <c r="BH836" s="77">
        <f t="shared" si="474"/>
        <v>289.95</v>
      </c>
      <c r="BI836" s="78">
        <f t="shared" si="475"/>
        <v>0.27</v>
      </c>
      <c r="BJ836" s="79">
        <f t="shared" si="476"/>
        <v>0.18957542117051321</v>
      </c>
      <c r="BK836" s="80">
        <f t="shared" si="477"/>
        <v>332.89</v>
      </c>
      <c r="BL836" s="80">
        <f t="shared" si="478"/>
        <v>77.87</v>
      </c>
      <c r="BM836" s="79">
        <f t="shared" si="479"/>
        <v>0.18957542117051321</v>
      </c>
      <c r="BN836" s="81">
        <f t="shared" si="480"/>
        <v>0.88366666666666671</v>
      </c>
      <c r="BO836" s="82">
        <f t="shared" si="481"/>
        <v>212.08</v>
      </c>
      <c r="BP836" s="81">
        <f t="shared" si="482"/>
        <v>0.88366666666666671</v>
      </c>
      <c r="BQ836" s="81">
        <f t="shared" si="483"/>
        <v>0.88365931372549034</v>
      </c>
      <c r="BR836" s="81">
        <f t="shared" si="484"/>
        <v>1.2081176470588235</v>
      </c>
      <c r="BS836" s="82">
        <f t="shared" si="485"/>
        <v>240</v>
      </c>
      <c r="BT836" s="82">
        <f t="shared" si="486"/>
        <v>289.94823529411764</v>
      </c>
      <c r="BU836" s="82">
        <f t="shared" si="487"/>
        <v>289.95</v>
      </c>
      <c r="BW836" s="82">
        <f>IFERROR(INDEX('Infos Clientes'!$T:$T,MATCH('Detalhe Por UC'!$C836,'Infos Clientes'!B:B,0)),"")</f>
        <v>433.16666666666669</v>
      </c>
      <c r="BX836" s="83">
        <f t="shared" si="488"/>
        <v>0</v>
      </c>
      <c r="BY836" s="84">
        <f t="shared" si="489"/>
        <v>0.26856517999156021</v>
      </c>
      <c r="BZ836" s="85">
        <f>IF(_xlfn.MINIFS('Detalhe Por UC'!R:R,'Detalhe Por UC'!C:C,C836,'Detalhe Por UC'!AD:AD,"&gt;"&amp;0)=0,"",_xlfn.MINIFS('Detalhe Por UC'!R:R,'Detalhe Por UC'!C:C,C836,'Detalhe Por UC'!AD:AD,"&gt;"&amp;0))</f>
        <v>45627</v>
      </c>
      <c r="CA836" s="114">
        <f ca="1">IF(OR(S836&gt;0,AD836&gt;0),IFERROR(
SUMIFS(INDIRECT("'Infos Clientes'!$W"&amp;INDEX('Infos Clientes'!$C:$C,MATCH(C836,'Infos Clientes'!$H:$H,0))&amp;":$CZ"&amp;INDEX('Infos Clientes'!$C:$C,MATCH(C836,'Infos Clientes'!$H:$H,0))),'Infos Clientes'!$W$2:$CZ$2,"&gt;"&amp;$R836-365,'Infos Clientes'!$W$2:$CZ$2,"&lt;="&amp;$R836)/
COUNTIFS(INDIRECT("'Infos Clientes'!$W"&amp;INDEX('Infos Clientes'!$C:$C,MATCH(C836,'Infos Clientes'!$H:$H,0))&amp;":$CZ"&amp;INDEX('Infos Clientes'!$C:$C,MATCH(C836,'Infos Clientes'!$H:$H,0))),"&gt;="&amp;0,'Infos Clientes'!$W$2:$CZ$2,"&gt;"&amp;$R836-365,'Infos Clientes'!$W$2:$CZ$2,"&lt;="&amp;$R836),""),"")</f>
        <v>387.66666666666669</v>
      </c>
      <c r="CB836" s="87">
        <f>VLOOKUP(C836,'Infos Clientes'!B:L,11,0)</f>
        <v>0</v>
      </c>
      <c r="CC836" s="88" t="str">
        <f t="shared" si="490"/>
        <v>A Unidade Consumidora 10/3092868-3 economizou R$77,87 na fatura referente à set/2025  consumindo 240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6" s="115">
        <f t="shared" si="491"/>
        <v>-120.81</v>
      </c>
    </row>
    <row r="837" spans="1:84" ht="16.2" hidden="1" customHeight="1" x14ac:dyDescent="0.3">
      <c r="A837" s="105" t="str">
        <f>INDEX('Infos Clientes'!$D:$D,MATCH('Detalhe Por UC'!C837,'Infos Clientes'!B:B,0))</f>
        <v>IGREJA DO EVANGELHO QUADRANGULAR</v>
      </c>
      <c r="B837" s="106" t="str">
        <f>INDEX('Infos Clientes'!$F:$F,MATCH('Detalhe Por UC'!C837,'Infos Clientes'!B:B,0))</f>
        <v>62.955.505/0172-13</v>
      </c>
      <c r="C837" s="31" t="s">
        <v>54</v>
      </c>
      <c r="D837" t="s">
        <v>351</v>
      </c>
      <c r="E837" s="1" t="s">
        <v>352</v>
      </c>
      <c r="F837" s="56" t="str">
        <f>INDEX('Infos Clientes'!$I:$I,MATCH('Detalhe Por UC'!C837,'Infos Clientes'!B:B,0))</f>
        <v>BT</v>
      </c>
      <c r="G837" s="56" t="str">
        <f>INDEX('Infos Clientes'!$J:$J,MATCH('Detalhe Por UC'!C837,'Infos Clientes'!B:B,0))</f>
        <v>trifasico</v>
      </c>
      <c r="H837" s="47" t="str">
        <f t="shared" si="493"/>
        <v>GIROSSOL II</v>
      </c>
      <c r="I837" s="58">
        <f>IFERROR(VLOOKUP(C837,'Infos Clientes'!B:E,4,),"")</f>
        <v>371</v>
      </c>
      <c r="J837" s="151">
        <v>0.26857922422136293</v>
      </c>
      <c r="K837" s="79">
        <f>INDEX('Resumo Operacional'!$A$1:$P$151,MATCH("Desconto percentual Ucs",'Resumo Operacional'!$B$1:$B$151,0),MATCH('Detalhe Por UC'!$R837,'Resumo Operacional'!$A$1:$P$1,0))</f>
        <v>0.26857922422136293</v>
      </c>
      <c r="M837" s="56"/>
      <c r="N837" s="56"/>
      <c r="O837" s="56"/>
      <c r="P837" s="56"/>
      <c r="Q837" s="61"/>
      <c r="R837" s="111">
        <v>45901</v>
      </c>
      <c r="S837" s="152">
        <v>2.1100000000000001E-2</v>
      </c>
      <c r="T837" s="113">
        <f>IF($H837="GIROSSOL II",AP837/INDEX('Resumo Operacional'!$A$1:$P$1103,17,MATCH('Detalhe Por UC'!$R837,'Resumo Operacional'!$A$1:$P$1,0)),
IF($H837="GIROSSOL II e III",AP837/INDEX('Resumo Operacional'!$A$1:$P$1103,17,MATCH('Detalhe Por UC'!$R837,'Resumo Operacional'!$A$1:$P$1,0)),
""))</f>
        <v>0.22101390024529843</v>
      </c>
      <c r="U837" s="113" t="str">
        <f>IF($H837="GIROSSOL III",AP837/INDEX('Resumo Operacional'!$A$1:$P$1103,53,MATCH('Detalhe Por UC'!$R837,'Resumo Operacional'!$A$1:$P$1,0)),
IF($H837="GIROSSOL II e III",AP837/INDEX('Resumo Operacional'!$A$1:$P$1103,53,MATCH('Detalhe Por UC'!$R837,'Resumo Operacional'!$A$1:$P$1,0)),
""))</f>
        <v/>
      </c>
      <c r="X837">
        <v>1.2080363636363636</v>
      </c>
      <c r="Z837" s="18">
        <v>1.2079915492957745</v>
      </c>
      <c r="AB837" s="18">
        <v>242</v>
      </c>
      <c r="AD837" s="143">
        <v>142</v>
      </c>
      <c r="AF837" s="18">
        <v>2561</v>
      </c>
      <c r="AG837">
        <v>0</v>
      </c>
      <c r="AH837">
        <v>21.26</v>
      </c>
      <c r="AL837" s="43"/>
      <c r="AN837" s="71">
        <f t="shared" si="458"/>
        <v>2561</v>
      </c>
      <c r="AO837" s="71">
        <f t="shared" si="459"/>
        <v>0</v>
      </c>
      <c r="AP837" s="71">
        <f t="shared" si="460"/>
        <v>2703</v>
      </c>
      <c r="AQ837" s="72">
        <f>IF(OR($H837="GIROSSOL II",$H837="GIROSSOL II e III"),INDEX('Resumo Operacional'!$A$1:$P$1103,MATCH("Energia Injetada prevista total Fatura da Usina (TUSD)",'Resumo Operacional'!$B$1:$B$1103,0),MATCH('Detalhe Por UC'!$R837,'Resumo Operacional'!$A$1:$P$1,0))*$S837,INDEX('Resumo Operacional'!$A$1:$P$1103,53,MATCH('Detalhe Por UC'!$R837,'Resumo Operacional'!$A$1:$P$1,0))*$S837)</f>
        <v>258.053</v>
      </c>
      <c r="AR837" s="71">
        <f t="shared" si="461"/>
        <v>2444.9470000000001</v>
      </c>
      <c r="AS837" s="73">
        <f t="shared" si="462"/>
        <v>142.07</v>
      </c>
      <c r="AT837" s="74">
        <f t="shared" si="463"/>
        <v>142.07</v>
      </c>
      <c r="AU837" s="74">
        <f t="shared" si="464"/>
        <v>1.2079467349551853</v>
      </c>
      <c r="AV837" s="74">
        <f t="shared" si="465"/>
        <v>125.46411648903333</v>
      </c>
      <c r="AW837" s="74">
        <f t="shared" si="466"/>
        <v>0</v>
      </c>
      <c r="AX837" s="74">
        <f t="shared" si="467"/>
        <v>171.53479999999996</v>
      </c>
      <c r="AY837" s="74">
        <f t="shared" si="468"/>
        <v>125.46</v>
      </c>
      <c r="AZ837" s="117">
        <v>125.46</v>
      </c>
      <c r="BA837" s="117">
        <v>125.46</v>
      </c>
      <c r="BB837" s="117">
        <v>125.46</v>
      </c>
      <c r="BC837" s="73" t="str">
        <f t="shared" si="469"/>
        <v/>
      </c>
      <c r="BD837" s="73">
        <f t="shared" si="470"/>
        <v>313.60479999999995</v>
      </c>
      <c r="BE837" s="73">
        <f t="shared" si="471"/>
        <v>267.53411648903329</v>
      </c>
      <c r="BF837" s="77">
        <f t="shared" si="472"/>
        <v>46.07</v>
      </c>
      <c r="BG837" s="77">
        <f t="shared" si="473"/>
        <v>13.821</v>
      </c>
      <c r="BH837" s="77">
        <f t="shared" si="474"/>
        <v>171.53479999999996</v>
      </c>
      <c r="BI837" s="78">
        <f t="shared" si="475"/>
        <v>0.27</v>
      </c>
      <c r="BJ837" s="79">
        <f t="shared" si="476"/>
        <v>0.14690463921470592</v>
      </c>
      <c r="BK837" s="80">
        <f t="shared" si="477"/>
        <v>267.52999999999997</v>
      </c>
      <c r="BL837" s="80">
        <f t="shared" si="478"/>
        <v>46.074799999999982</v>
      </c>
      <c r="BM837" s="79">
        <f t="shared" si="479"/>
        <v>0.14691994510288103</v>
      </c>
      <c r="BN837" s="81">
        <f t="shared" si="480"/>
        <v>0.88352112676056338</v>
      </c>
      <c r="BO837" s="82">
        <f t="shared" si="481"/>
        <v>125.46</v>
      </c>
      <c r="BP837" s="81">
        <f t="shared" si="482"/>
        <v>0.88352112676056338</v>
      </c>
      <c r="BQ837" s="81">
        <f t="shared" si="483"/>
        <v>0.8835659411011525</v>
      </c>
      <c r="BR837" s="81">
        <f t="shared" si="484"/>
        <v>1.2080363636363636</v>
      </c>
      <c r="BS837" s="82">
        <f t="shared" si="485"/>
        <v>142</v>
      </c>
      <c r="BT837" s="82">
        <f t="shared" si="486"/>
        <v>171.54116363636362</v>
      </c>
      <c r="BU837" s="82">
        <f t="shared" si="487"/>
        <v>171.53479999999996</v>
      </c>
      <c r="BW837" s="82">
        <f>IFERROR(INDEX('Infos Clientes'!$T:$T,MATCH('Detalhe Por UC'!$C837,'Infos Clientes'!B:B,0)),"")</f>
        <v>418.16666666666669</v>
      </c>
      <c r="BX837" s="83">
        <f t="shared" si="488"/>
        <v>0</v>
      </c>
      <c r="BY837" s="84">
        <f t="shared" si="489"/>
        <v>0.26859325787057298</v>
      </c>
      <c r="BZ837" s="85">
        <f>IF(_xlfn.MINIFS('Detalhe Por UC'!R:R,'Detalhe Por UC'!C:C,C837,'Detalhe Por UC'!AD:AD,"&gt;"&amp;0)=0,"",_xlfn.MINIFS('Detalhe Por UC'!R:R,'Detalhe Por UC'!C:C,C837,'Detalhe Por UC'!AD:AD,"&gt;"&amp;0))</f>
        <v>45627</v>
      </c>
      <c r="CA837" s="114">
        <f ca="1">IF(OR(S837&gt;0,AD837&gt;0),IFERROR(
SUMIFS(INDIRECT("'Infos Clientes'!$W"&amp;INDEX('Infos Clientes'!$C:$C,MATCH(C837,'Infos Clientes'!$H:$H,0))&amp;":$CZ"&amp;INDEX('Infos Clientes'!$C:$C,MATCH(C837,'Infos Clientes'!$H:$H,0))),'Infos Clientes'!$W$2:$CZ$2,"&gt;"&amp;$R837-365,'Infos Clientes'!$W$2:$CZ$2,"&lt;="&amp;$R837)/
COUNTIFS(INDIRECT("'Infos Clientes'!$W"&amp;INDEX('Infos Clientes'!$C:$C,MATCH(C837,'Infos Clientes'!$H:$H,0))&amp;":$CZ"&amp;INDEX('Infos Clientes'!$C:$C,MATCH(C837,'Infos Clientes'!$H:$H,0))),"&gt;="&amp;0,'Infos Clientes'!$W$2:$CZ$2,"&gt;"&amp;$R837-365,'Infos Clientes'!$W$2:$CZ$2,"&lt;="&amp;$R837),""),"")</f>
        <v>355</v>
      </c>
      <c r="CB837" s="87">
        <f>VLOOKUP(C837,'Infos Clientes'!B:L,11,0)</f>
        <v>0</v>
      </c>
      <c r="CC837" s="88" t="str">
        <f t="shared" si="490"/>
        <v>A Unidade Consumidora 10/1672452-8 economizou R$46,07 na fatura referente à set/2025  consumindo 142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7" s="115">
        <f t="shared" si="491"/>
        <v>-142.07</v>
      </c>
    </row>
    <row r="838" spans="1:84" ht="16.2" hidden="1" customHeight="1" x14ac:dyDescent="0.3">
      <c r="A838" s="105" t="str">
        <f>INDEX('Infos Clientes'!$D:$D,MATCH('Detalhe Por UC'!C838,'Infos Clientes'!B:B,0))</f>
        <v>IGREJA DO EVANGELHO QUADRANGULAR</v>
      </c>
      <c r="B838" s="106" t="str">
        <f>INDEX('Infos Clientes'!$F:$F,MATCH('Detalhe Por UC'!C838,'Infos Clientes'!B:B,0))</f>
        <v>62.955.505/4027-10</v>
      </c>
      <c r="C838" s="31" t="s">
        <v>126</v>
      </c>
      <c r="D838" t="s">
        <v>351</v>
      </c>
      <c r="E838" s="1" t="s">
        <v>352</v>
      </c>
      <c r="F838" s="56" t="str">
        <f>INDEX('Infos Clientes'!$I:$I,MATCH('Detalhe Por UC'!C838,'Infos Clientes'!B:B,0))</f>
        <v>BT</v>
      </c>
      <c r="G838" s="56" t="str">
        <f>INDEX('Infos Clientes'!$J:$J,MATCH('Detalhe Por UC'!C838,'Infos Clientes'!B:B,0))</f>
        <v>trifasico</v>
      </c>
      <c r="H838" s="47" t="str">
        <f t="shared" si="493"/>
        <v>GIROSSOL II</v>
      </c>
      <c r="I838" s="58">
        <f>IFERROR(VLOOKUP(C838,'Infos Clientes'!B:E,4,),"")</f>
        <v>994</v>
      </c>
      <c r="J838" s="151">
        <v>0.26857922422136293</v>
      </c>
      <c r="K838" s="79">
        <f>INDEX('Resumo Operacional'!$A$1:$P$151,MATCH("Desconto percentual Ucs",'Resumo Operacional'!$B$1:$B$151,0),MATCH('Detalhe Por UC'!$R838,'Resumo Operacional'!$A$1:$P$1,0))</f>
        <v>0.26857922422136293</v>
      </c>
      <c r="M838" s="56"/>
      <c r="N838" s="56"/>
      <c r="O838" s="56"/>
      <c r="P838" s="56"/>
      <c r="Q838" s="61"/>
      <c r="R838" s="111">
        <v>45901</v>
      </c>
      <c r="S838" s="152">
        <v>1.61E-2</v>
      </c>
      <c r="T838" s="113">
        <f>IF($H838="GIROSSOL II",AP838/INDEX('Resumo Operacional'!$A$1:$P$1103,17,MATCH('Detalhe Por UC'!$R838,'Resumo Operacional'!$A$1:$P$1,0)),
IF($H838="GIROSSOL II e III",AP838/INDEX('Resumo Operacional'!$A$1:$P$1103,17,MATCH('Detalhe Por UC'!$R838,'Resumo Operacional'!$A$1:$P$1,0)),
""))</f>
        <v>1.6026165167620603E-2</v>
      </c>
      <c r="U838" s="113" t="str">
        <f>IF($H838="GIROSSOL III",AP838/INDEX('Resumo Operacional'!$A$1:$P$1103,53,MATCH('Detalhe Por UC'!$R838,'Resumo Operacional'!$A$1:$P$1,0)),
IF($H838="GIROSSOL II e III",AP838/INDEX('Resumo Operacional'!$A$1:$P$1103,53,MATCH('Detalhe Por UC'!$R838,'Resumo Operacional'!$A$1:$P$1,0)),
""))</f>
        <v/>
      </c>
      <c r="X838">
        <v>1.2080206896551724</v>
      </c>
      <c r="Z838" s="18">
        <v>1.2080335403726707</v>
      </c>
      <c r="AB838" s="18">
        <v>261</v>
      </c>
      <c r="AD838" s="143">
        <v>161</v>
      </c>
      <c r="AF838" s="18">
        <v>496</v>
      </c>
      <c r="AG838">
        <v>0</v>
      </c>
      <c r="AH838">
        <v>59.88</v>
      </c>
      <c r="AL838" s="43"/>
      <c r="AN838" s="71">
        <f t="shared" si="458"/>
        <v>35</v>
      </c>
      <c r="AO838" s="71">
        <f t="shared" si="459"/>
        <v>0</v>
      </c>
      <c r="AP838" s="71">
        <f t="shared" si="460"/>
        <v>196</v>
      </c>
      <c r="AQ838" s="72">
        <f>IF(OR($H838="GIROSSOL II",$H838="GIROSSOL II e III"),INDEX('Resumo Operacional'!$A$1:$P$1103,MATCH("Energia Injetada prevista total Fatura da Usina (TUSD)",'Resumo Operacional'!$B$1:$B$1103,0),MATCH('Detalhe Por UC'!$R838,'Resumo Operacional'!$A$1:$P$1,0))*$S838,INDEX('Resumo Operacional'!$A$1:$P$1103,53,MATCH('Detalhe Por UC'!$R838,'Resumo Operacional'!$A$1:$P$1,0))*$S838)</f>
        <v>196.90299999999999</v>
      </c>
      <c r="AR838" s="71">
        <f t="shared" si="461"/>
        <v>-0.90299999999999159</v>
      </c>
      <c r="AS838" s="73">
        <f t="shared" si="462"/>
        <v>180.68000000000004</v>
      </c>
      <c r="AT838" s="74">
        <f t="shared" si="463"/>
        <v>180.68000000000004</v>
      </c>
      <c r="AU838" s="74">
        <f t="shared" si="464"/>
        <v>1.2080463910901691</v>
      </c>
      <c r="AV838" s="74">
        <f t="shared" si="465"/>
        <v>142.25651351182478</v>
      </c>
      <c r="AW838" s="74">
        <f t="shared" si="466"/>
        <v>0</v>
      </c>
      <c r="AX838" s="74">
        <f t="shared" si="467"/>
        <v>194.49339999999998</v>
      </c>
      <c r="AY838" s="74">
        <f t="shared" si="468"/>
        <v>142.26</v>
      </c>
      <c r="AZ838" s="117">
        <v>142.26</v>
      </c>
      <c r="BA838" s="117">
        <v>142.26</v>
      </c>
      <c r="BB838" s="117">
        <v>142.26</v>
      </c>
      <c r="BC838" s="73" t="str">
        <f t="shared" si="469"/>
        <v/>
      </c>
      <c r="BD838" s="73">
        <f t="shared" si="470"/>
        <v>375.17340000000002</v>
      </c>
      <c r="BE838" s="73">
        <f t="shared" si="471"/>
        <v>322.93651351182484</v>
      </c>
      <c r="BF838" s="77">
        <f t="shared" si="472"/>
        <v>52.24</v>
      </c>
      <c r="BG838" s="77">
        <f t="shared" si="473"/>
        <v>15.672000000000001</v>
      </c>
      <c r="BH838" s="77">
        <f t="shared" si="474"/>
        <v>194.49339999999998</v>
      </c>
      <c r="BI838" s="78">
        <f t="shared" si="475"/>
        <v>0.27</v>
      </c>
      <c r="BJ838" s="79">
        <f t="shared" si="476"/>
        <v>0.13924228103591565</v>
      </c>
      <c r="BK838" s="80">
        <f t="shared" si="477"/>
        <v>322.94000000000005</v>
      </c>
      <c r="BL838" s="80">
        <f t="shared" si="478"/>
        <v>52.233399999999961</v>
      </c>
      <c r="BM838" s="79">
        <f t="shared" si="479"/>
        <v>0.13922468917039416</v>
      </c>
      <c r="BN838" s="81">
        <f t="shared" si="480"/>
        <v>0.88360248447204959</v>
      </c>
      <c r="BO838" s="82">
        <f t="shared" si="481"/>
        <v>142.26</v>
      </c>
      <c r="BP838" s="81">
        <f t="shared" si="482"/>
        <v>0.88360248447204959</v>
      </c>
      <c r="BQ838" s="81">
        <f t="shared" si="483"/>
        <v>0.88358963375455124</v>
      </c>
      <c r="BR838" s="81">
        <f t="shared" si="484"/>
        <v>1.2080206896551724</v>
      </c>
      <c r="BS838" s="82">
        <f t="shared" si="485"/>
        <v>161</v>
      </c>
      <c r="BT838" s="82">
        <f t="shared" si="486"/>
        <v>194.49133103448276</v>
      </c>
      <c r="BU838" s="82">
        <f t="shared" si="487"/>
        <v>194.49339999999998</v>
      </c>
      <c r="BW838" s="82">
        <f>IFERROR(INDEX('Infos Clientes'!$T:$T,MATCH('Detalhe Por UC'!$C838,'Infos Clientes'!B:B,0)),"")</f>
        <v>274.25</v>
      </c>
      <c r="BX838" s="83">
        <f t="shared" si="488"/>
        <v>0</v>
      </c>
      <c r="BY838" s="84">
        <f t="shared" si="489"/>
        <v>0.26856415513316206</v>
      </c>
      <c r="BZ838" s="85">
        <f>IF(_xlfn.MINIFS('Detalhe Por UC'!R:R,'Detalhe Por UC'!C:C,C838,'Detalhe Por UC'!AD:AD,"&gt;"&amp;0)=0,"",_xlfn.MINIFS('Detalhe Por UC'!R:R,'Detalhe Por UC'!C:C,C838,'Detalhe Por UC'!AD:AD,"&gt;"&amp;0))</f>
        <v>45627</v>
      </c>
      <c r="CA838" s="114">
        <f ca="1">IF(OR(S838&gt;0,AD838&gt;0),IFERROR(
SUMIFS(INDIRECT("'Infos Clientes'!$W"&amp;INDEX('Infos Clientes'!$C:$C,MATCH(C838,'Infos Clientes'!$H:$H,0))&amp;":$CZ"&amp;INDEX('Infos Clientes'!$C:$C,MATCH(C838,'Infos Clientes'!$H:$H,0))),'Infos Clientes'!$W$2:$CZ$2,"&gt;"&amp;$R838-365,'Infos Clientes'!$W$2:$CZ$2,"&lt;="&amp;$R838)/
COUNTIFS(INDIRECT("'Infos Clientes'!$W"&amp;INDEX('Infos Clientes'!$C:$C,MATCH(C838,'Infos Clientes'!$H:$H,0))&amp;":$CZ"&amp;INDEX('Infos Clientes'!$C:$C,MATCH(C838,'Infos Clientes'!$H:$H,0))),"&gt;="&amp;0,'Infos Clientes'!$W$2:$CZ$2,"&gt;"&amp;$R838-365,'Infos Clientes'!$W$2:$CZ$2,"&lt;="&amp;$R838),""),"")</f>
        <v>320.58333333333331</v>
      </c>
      <c r="CB838" s="87">
        <f>VLOOKUP(C838,'Infos Clientes'!B:L,11,0)</f>
        <v>0</v>
      </c>
      <c r="CC838" s="88" t="str">
        <f t="shared" si="490"/>
        <v>A Unidade Consumidora 10/931327-1 economizou R$52,24 na fatura referente à set/2025  consumindo 161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8" s="115">
        <f t="shared" si="491"/>
        <v>-180.68000000000004</v>
      </c>
    </row>
    <row r="839" spans="1:84" ht="16.2" hidden="1" customHeight="1" x14ac:dyDescent="0.3">
      <c r="A839" s="105" t="str">
        <f>INDEX('Infos Clientes'!$D:$D,MATCH('Detalhe Por UC'!C839,'Infos Clientes'!B:B,0))</f>
        <v>IGREJA DO EVANGELHO QUADRANGULAR</v>
      </c>
      <c r="B839" s="106" t="str">
        <f>INDEX('Infos Clientes'!$F:$F,MATCH('Detalhe Por UC'!C839,'Infos Clientes'!B:B,0))</f>
        <v>62.955.505/4194-43</v>
      </c>
      <c r="C839" s="31" t="s">
        <v>67</v>
      </c>
      <c r="D839" t="s">
        <v>351</v>
      </c>
      <c r="E839" s="1" t="s">
        <v>352</v>
      </c>
      <c r="F839" s="56" t="str">
        <f>INDEX('Infos Clientes'!$I:$I,MATCH('Detalhe Por UC'!C839,'Infos Clientes'!B:B,0))</f>
        <v>BT</v>
      </c>
      <c r="G839" s="56" t="str">
        <f>INDEX('Infos Clientes'!$J:$J,MATCH('Detalhe Por UC'!C839,'Infos Clientes'!B:B,0))</f>
        <v>bifasico</v>
      </c>
      <c r="H839" s="47" t="str">
        <f t="shared" si="493"/>
        <v>GIROSSOL II</v>
      </c>
      <c r="I839" s="58">
        <f>IFERROR(VLOOKUP(C839,'Infos Clientes'!B:E,4,),"")</f>
        <v>331</v>
      </c>
      <c r="J839" s="151">
        <v>0.26857922422136293</v>
      </c>
      <c r="K839" s="79">
        <f>INDEX('Resumo Operacional'!$A$1:$P$151,MATCH("Desconto percentual Ucs",'Resumo Operacional'!$B$1:$B$151,0),MATCH('Detalhe Por UC'!$R839,'Resumo Operacional'!$A$1:$P$1,0))</f>
        <v>0.26857922422136293</v>
      </c>
      <c r="M839" s="56"/>
      <c r="N839" s="56"/>
      <c r="O839" s="56"/>
      <c r="P839" s="56"/>
      <c r="Q839" s="61"/>
      <c r="R839" s="111">
        <v>45901</v>
      </c>
      <c r="S839" s="152">
        <v>1.4999999999999999E-2</v>
      </c>
      <c r="T839" s="113">
        <f>IF($H839="GIROSSOL II",AP839/INDEX('Resumo Operacional'!$A$1:$P$1103,17,MATCH('Detalhe Por UC'!$R839,'Resumo Operacional'!$A$1:$P$1,0)),
IF($H839="GIROSSOL II e III",AP839/INDEX('Resumo Operacional'!$A$1:$P$1103,17,MATCH('Detalhe Por UC'!$R839,'Resumo Operacional'!$A$1:$P$1,0)),
""))</f>
        <v>1.4963205233033523E-2</v>
      </c>
      <c r="U839" s="113" t="str">
        <f>IF($H839="GIROSSOL III",AP839/INDEX('Resumo Operacional'!$A$1:$P$1103,53,MATCH('Detalhe Por UC'!$R839,'Resumo Operacional'!$A$1:$P$1,0)),
IF($H839="GIROSSOL II e III",AP839/INDEX('Resumo Operacional'!$A$1:$P$1103,53,MATCH('Detalhe Por UC'!$R839,'Resumo Operacional'!$A$1:$P$1,0)),
""))</f>
        <v/>
      </c>
      <c r="X839">
        <v>1.2082062717770035</v>
      </c>
      <c r="Z839" s="18">
        <v>1.2082075949367088</v>
      </c>
      <c r="AB839" s="18">
        <v>287</v>
      </c>
      <c r="AD839" s="143">
        <v>237</v>
      </c>
      <c r="AF839" s="18">
        <v>496</v>
      </c>
      <c r="AG839">
        <v>0</v>
      </c>
      <c r="AH839">
        <v>30.83</v>
      </c>
      <c r="AL839" s="43"/>
      <c r="AN839" s="71">
        <f t="shared" si="458"/>
        <v>-54</v>
      </c>
      <c r="AO839" s="71">
        <f t="shared" si="459"/>
        <v>0</v>
      </c>
      <c r="AP839" s="71">
        <f t="shared" si="460"/>
        <v>183</v>
      </c>
      <c r="AQ839" s="72">
        <f>IF(OR($H839="GIROSSOL II",$H839="GIROSSOL II e III"),INDEX('Resumo Operacional'!$A$1:$P$1103,MATCH("Energia Injetada prevista total Fatura da Usina (TUSD)",'Resumo Operacional'!$B$1:$B$1103,0),MATCH('Detalhe Por UC'!$R839,'Resumo Operacional'!$A$1:$P$1,0))*$S839,INDEX('Resumo Operacional'!$A$1:$P$1103,53,MATCH('Detalhe Por UC'!$R839,'Resumo Operacional'!$A$1:$P$1,0))*$S839)</f>
        <v>183.45</v>
      </c>
      <c r="AR839" s="71">
        <f t="shared" si="461"/>
        <v>-0.44999999999998863</v>
      </c>
      <c r="AS839" s="73">
        <f t="shared" si="462"/>
        <v>91.240000000000023</v>
      </c>
      <c r="AT839" s="74">
        <f t="shared" si="463"/>
        <v>91.240000000000023</v>
      </c>
      <c r="AU839" s="74">
        <f t="shared" si="464"/>
        <v>1.2082089180964142</v>
      </c>
      <c r="AV839" s="74">
        <f t="shared" si="465"/>
        <v>209.43882832448898</v>
      </c>
      <c r="AW839" s="74">
        <f t="shared" si="466"/>
        <v>0</v>
      </c>
      <c r="AX839" s="74">
        <f t="shared" si="467"/>
        <v>286.34519999999998</v>
      </c>
      <c r="AY839" s="74">
        <f t="shared" si="468"/>
        <v>209.44</v>
      </c>
      <c r="AZ839" s="117">
        <v>209.44</v>
      </c>
      <c r="BA839" s="117">
        <v>209.44</v>
      </c>
      <c r="BB839" s="117">
        <v>209.44</v>
      </c>
      <c r="BC839" s="73" t="str">
        <f t="shared" si="469"/>
        <v/>
      </c>
      <c r="BD839" s="73">
        <f t="shared" si="470"/>
        <v>377.58519999999999</v>
      </c>
      <c r="BE839" s="73">
        <f t="shared" si="471"/>
        <v>300.67882832448902</v>
      </c>
      <c r="BF839" s="77">
        <f t="shared" si="472"/>
        <v>76.91</v>
      </c>
      <c r="BG839" s="77">
        <f t="shared" si="473"/>
        <v>23.072999999999997</v>
      </c>
      <c r="BH839" s="77">
        <f t="shared" si="474"/>
        <v>286.34520000000003</v>
      </c>
      <c r="BI839" s="78">
        <f t="shared" si="475"/>
        <v>0.27</v>
      </c>
      <c r="BJ839" s="79">
        <f t="shared" si="476"/>
        <v>0.20368912764589289</v>
      </c>
      <c r="BK839" s="80">
        <f t="shared" si="477"/>
        <v>300.68</v>
      </c>
      <c r="BL839" s="80">
        <f t="shared" si="478"/>
        <v>76.905199999999979</v>
      </c>
      <c r="BM839" s="79">
        <f t="shared" si="479"/>
        <v>0.20367641528322611</v>
      </c>
      <c r="BN839" s="81">
        <f t="shared" si="480"/>
        <v>0.88371308016877637</v>
      </c>
      <c r="BO839" s="82">
        <f t="shared" si="481"/>
        <v>209.44</v>
      </c>
      <c r="BP839" s="81">
        <f t="shared" si="482"/>
        <v>0.88371308016877637</v>
      </c>
      <c r="BQ839" s="81">
        <f t="shared" si="483"/>
        <v>0.88371175700907101</v>
      </c>
      <c r="BR839" s="81">
        <f t="shared" si="484"/>
        <v>1.2082062717770035</v>
      </c>
      <c r="BS839" s="82">
        <f t="shared" si="485"/>
        <v>237</v>
      </c>
      <c r="BT839" s="82">
        <f t="shared" si="486"/>
        <v>286.34488641114984</v>
      </c>
      <c r="BU839" s="82">
        <f t="shared" si="487"/>
        <v>286.34519999999998</v>
      </c>
      <c r="BW839" s="82">
        <f>IFERROR(INDEX('Infos Clientes'!$T:$T,MATCH('Detalhe Por UC'!$C839,'Infos Clientes'!B:B,0)),"")</f>
        <v>372.25</v>
      </c>
      <c r="BX839" s="83">
        <f t="shared" si="488"/>
        <v>0</v>
      </c>
      <c r="BY839" s="84">
        <f t="shared" si="489"/>
        <v>0.26857542652106331</v>
      </c>
      <c r="BZ839" s="85">
        <f>IF(_xlfn.MINIFS('Detalhe Por UC'!R:R,'Detalhe Por UC'!C:C,C839,'Detalhe Por UC'!AD:AD,"&gt;"&amp;0)=0,"",_xlfn.MINIFS('Detalhe Por UC'!R:R,'Detalhe Por UC'!C:C,C839,'Detalhe Por UC'!AD:AD,"&gt;"&amp;0))</f>
        <v>45627</v>
      </c>
      <c r="CA839" s="114">
        <f ca="1">IF(OR(S839&gt;0,AD839&gt;0),IFERROR(
SUMIFS(INDIRECT("'Infos Clientes'!$W"&amp;INDEX('Infos Clientes'!$C:$C,MATCH(C839,'Infos Clientes'!$H:$H,0))&amp;":$CZ"&amp;INDEX('Infos Clientes'!$C:$C,MATCH(C839,'Infos Clientes'!$H:$H,0))),'Infos Clientes'!$W$2:$CZ$2,"&gt;"&amp;$R839-365,'Infos Clientes'!$W$2:$CZ$2,"&lt;="&amp;$R839)/
COUNTIFS(INDIRECT("'Infos Clientes'!$W"&amp;INDEX('Infos Clientes'!$C:$C,MATCH(C839,'Infos Clientes'!$H:$H,0))&amp;":$CZ"&amp;INDEX('Infos Clientes'!$C:$C,MATCH(C839,'Infos Clientes'!$H:$H,0))),"&gt;="&amp;0,'Infos Clientes'!$W$2:$CZ$2,"&gt;"&amp;$R839-365,'Infos Clientes'!$W$2:$CZ$2,"&lt;="&amp;$R839),""),"")</f>
        <v>339.91666666666669</v>
      </c>
      <c r="CB839" s="87">
        <f>VLOOKUP(C839,'Infos Clientes'!B:L,11,0)</f>
        <v>0</v>
      </c>
      <c r="CC839" s="88" t="str">
        <f t="shared" si="490"/>
        <v>A Unidade Consumidora 10/1939035-0 economizou R$76,91 na fatura referente à set/2025  consumindo 237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39" s="115">
        <f t="shared" si="491"/>
        <v>-91.240000000000023</v>
      </c>
    </row>
    <row r="840" spans="1:84" ht="16.2" hidden="1" customHeight="1" x14ac:dyDescent="0.3">
      <c r="A840" s="105" t="str">
        <f>INDEX('Infos Clientes'!$D:$D,MATCH('Detalhe Por UC'!C840,'Infos Clientes'!B:B,0))</f>
        <v>IGREJA DO EVANGELHO QUADRANGULAR</v>
      </c>
      <c r="B840" s="106" t="str">
        <f>INDEX('Infos Clientes'!$F:$F,MATCH('Detalhe Por UC'!C840,'Infos Clientes'!B:B,0))</f>
        <v>62.955.505/1973-60</v>
      </c>
      <c r="C840" s="31" t="s">
        <v>51</v>
      </c>
      <c r="D840" t="s">
        <v>351</v>
      </c>
      <c r="E840" s="1" t="s">
        <v>352</v>
      </c>
      <c r="F840" s="56" t="str">
        <f>INDEX('Infos Clientes'!$I:$I,MATCH('Detalhe Por UC'!C840,'Infos Clientes'!B:B,0))</f>
        <v>BT</v>
      </c>
      <c r="G840" s="56" t="str">
        <f>INDEX('Infos Clientes'!$J:$J,MATCH('Detalhe Por UC'!C840,'Infos Clientes'!B:B,0))</f>
        <v>trifasico</v>
      </c>
      <c r="H840" s="47" t="str">
        <f t="shared" si="493"/>
        <v>GIROSSOL II</v>
      </c>
      <c r="I840" s="58">
        <f>IFERROR(VLOOKUP(C840,'Infos Clientes'!B:E,4,),"")</f>
        <v>360</v>
      </c>
      <c r="J840" s="151">
        <v>0.26857922422136293</v>
      </c>
      <c r="K840" s="79">
        <f>INDEX('Resumo Operacional'!$A$1:$P$151,MATCH("Desconto percentual Ucs",'Resumo Operacional'!$B$1:$B$151,0),MATCH('Detalhe Por UC'!$R840,'Resumo Operacional'!$A$1:$P$1,0))</f>
        <v>0.26857922422136293</v>
      </c>
      <c r="M840" s="56"/>
      <c r="N840" s="56"/>
      <c r="O840" s="56"/>
      <c r="P840" s="56"/>
      <c r="Q840" s="61"/>
      <c r="R840" s="111">
        <v>45901</v>
      </c>
      <c r="S840" s="152">
        <v>1.2200000000000001E-2</v>
      </c>
      <c r="T840" s="113">
        <f>IF($H840="GIROSSOL II",AP840/INDEX('Resumo Operacional'!$A$1:$P$1103,17,MATCH('Detalhe Por UC'!$R840,'Resumo Operacional'!$A$1:$P$1,0)),
IF($H840="GIROSSOL II e III",AP840/INDEX('Resumo Operacional'!$A$1:$P$1103,17,MATCH('Detalhe Por UC'!$R840,'Resumo Operacional'!$A$1:$P$1,0)),
""))</f>
        <v>1.2183156173344235E-2</v>
      </c>
      <c r="U840" s="113" t="str">
        <f>IF($H840="GIROSSOL III",AP840/INDEX('Resumo Operacional'!$A$1:$P$1103,53,MATCH('Detalhe Por UC'!$R840,'Resumo Operacional'!$A$1:$P$1,0)),
IF($H840="GIROSSOL II e III",AP840/INDEX('Resumo Operacional'!$A$1:$P$1103,53,MATCH('Detalhe Por UC'!$R840,'Resumo Operacional'!$A$1:$P$1,0)),
""))</f>
        <v/>
      </c>
      <c r="X840">
        <v>1.2079964912280701</v>
      </c>
      <c r="Z840" s="18">
        <v>1.2079915492957745</v>
      </c>
      <c r="AB840" s="18">
        <v>171</v>
      </c>
      <c r="AD840" s="143">
        <v>71</v>
      </c>
      <c r="AF840" s="18">
        <v>403</v>
      </c>
      <c r="AG840">
        <v>0</v>
      </c>
      <c r="AH840">
        <v>37</v>
      </c>
      <c r="AL840" s="43"/>
      <c r="AN840" s="71">
        <f t="shared" si="458"/>
        <v>78</v>
      </c>
      <c r="AO840" s="71">
        <f t="shared" si="459"/>
        <v>0</v>
      </c>
      <c r="AP840" s="71">
        <f t="shared" si="460"/>
        <v>149</v>
      </c>
      <c r="AQ840" s="72">
        <f>IF(OR($H840="GIROSSOL II",$H840="GIROSSOL II e III"),INDEX('Resumo Operacional'!$A$1:$P$1103,MATCH("Energia Injetada prevista total Fatura da Usina (TUSD)",'Resumo Operacional'!$B$1:$B$1103,0),MATCH('Detalhe Por UC'!$R840,'Resumo Operacional'!$A$1:$P$1,0))*$S840,INDEX('Resumo Operacional'!$A$1:$P$1103,53,MATCH('Detalhe Por UC'!$R840,'Resumo Operacional'!$A$1:$P$1,0))*$S840)</f>
        <v>149.20600000000002</v>
      </c>
      <c r="AR840" s="71">
        <f t="shared" si="461"/>
        <v>-0.20600000000001728</v>
      </c>
      <c r="AS840" s="73">
        <f t="shared" si="462"/>
        <v>157.80000000000001</v>
      </c>
      <c r="AT840" s="74">
        <f t="shared" si="463"/>
        <v>157.80000000000001</v>
      </c>
      <c r="AU840" s="74">
        <f t="shared" si="464"/>
        <v>1.2079866073634788</v>
      </c>
      <c r="AV840" s="74">
        <f t="shared" si="465"/>
        <v>62.732058244516665</v>
      </c>
      <c r="AW840" s="74">
        <f t="shared" si="466"/>
        <v>0</v>
      </c>
      <c r="AX840" s="74">
        <f t="shared" si="467"/>
        <v>85.767399999999981</v>
      </c>
      <c r="AY840" s="74">
        <f t="shared" si="468"/>
        <v>62.73</v>
      </c>
      <c r="AZ840" s="117">
        <v>62.73</v>
      </c>
      <c r="BA840" s="117">
        <v>62.73</v>
      </c>
      <c r="BB840" s="117">
        <v>62.73</v>
      </c>
      <c r="BC840" s="73" t="str">
        <f t="shared" si="469"/>
        <v/>
      </c>
      <c r="BD840" s="73">
        <f t="shared" si="470"/>
        <v>243.56739999999999</v>
      </c>
      <c r="BE840" s="73">
        <f t="shared" si="471"/>
        <v>220.53205824451669</v>
      </c>
      <c r="BF840" s="77">
        <f t="shared" si="472"/>
        <v>23.04</v>
      </c>
      <c r="BG840" s="77">
        <f t="shared" si="473"/>
        <v>6.9119999999999999</v>
      </c>
      <c r="BH840" s="77">
        <f t="shared" si="474"/>
        <v>85.767399999999995</v>
      </c>
      <c r="BI840" s="78">
        <f t="shared" si="475"/>
        <v>0.27</v>
      </c>
      <c r="BJ840" s="79">
        <f t="shared" si="476"/>
        <v>9.4593939911498823E-2</v>
      </c>
      <c r="BK840" s="80">
        <f t="shared" si="477"/>
        <v>220.53</v>
      </c>
      <c r="BL840" s="80">
        <f t="shared" si="478"/>
        <v>23.037399999999991</v>
      </c>
      <c r="BM840" s="79">
        <f t="shared" si="479"/>
        <v>9.458326524814073E-2</v>
      </c>
      <c r="BN840" s="81">
        <f t="shared" si="480"/>
        <v>0.88352112676056338</v>
      </c>
      <c r="BO840" s="82">
        <f t="shared" si="481"/>
        <v>62.73</v>
      </c>
      <c r="BP840" s="81">
        <f t="shared" si="482"/>
        <v>0.88352112676056338</v>
      </c>
      <c r="BQ840" s="81">
        <f t="shared" si="483"/>
        <v>0.88352606869285899</v>
      </c>
      <c r="BR840" s="81">
        <f t="shared" si="484"/>
        <v>1.2079964912280701</v>
      </c>
      <c r="BS840" s="82">
        <f t="shared" si="485"/>
        <v>71</v>
      </c>
      <c r="BT840" s="82">
        <f t="shared" si="486"/>
        <v>85.767750877192981</v>
      </c>
      <c r="BU840" s="82">
        <f t="shared" si="487"/>
        <v>85.767399999999981</v>
      </c>
      <c r="BW840" s="82">
        <f>IFERROR(INDEX('Infos Clientes'!$T:$T,MATCH('Detalhe Por UC'!$C840,'Infos Clientes'!B:B,0)),"")</f>
        <v>185.66666666666666</v>
      </c>
      <c r="BX840" s="83">
        <f t="shared" si="488"/>
        <v>0</v>
      </c>
      <c r="BY840" s="84">
        <f t="shared" si="489"/>
        <v>0.26860212334337896</v>
      </c>
      <c r="BZ840" s="85">
        <f>IF(_xlfn.MINIFS('Detalhe Por UC'!R:R,'Detalhe Por UC'!C:C,C840,'Detalhe Por UC'!AD:AD,"&gt;"&amp;0)=0,"",_xlfn.MINIFS('Detalhe Por UC'!R:R,'Detalhe Por UC'!C:C,C840,'Detalhe Por UC'!AD:AD,"&gt;"&amp;0))</f>
        <v>45627</v>
      </c>
      <c r="CA840" s="114">
        <f ca="1">IF(OR(S840&gt;0,AD840&gt;0),IFERROR(
SUMIFS(INDIRECT("'Infos Clientes'!$W"&amp;INDEX('Infos Clientes'!$C:$C,MATCH(C840,'Infos Clientes'!$H:$H,0))&amp;":$CZ"&amp;INDEX('Infos Clientes'!$C:$C,MATCH(C840,'Infos Clientes'!$H:$H,0))),'Infos Clientes'!$W$2:$CZ$2,"&gt;"&amp;$R840-365,'Infos Clientes'!$W$2:$CZ$2,"&lt;="&amp;$R840)/
COUNTIFS(INDIRECT("'Infos Clientes'!$W"&amp;INDEX('Infos Clientes'!$C:$C,MATCH(C840,'Infos Clientes'!$H:$H,0))&amp;":$CZ"&amp;INDEX('Infos Clientes'!$C:$C,MATCH(C840,'Infos Clientes'!$H:$H,0))),"&gt;="&amp;0,'Infos Clientes'!$W$2:$CZ$2,"&gt;"&amp;$R840-365,'Infos Clientes'!$W$2:$CZ$2,"&lt;="&amp;$R840),""),"")</f>
        <v>293.10000000000002</v>
      </c>
      <c r="CB840" s="87">
        <f>VLOOKUP(C840,'Infos Clientes'!B:L,11,0)</f>
        <v>0</v>
      </c>
      <c r="CC840" s="88" t="str">
        <f t="shared" si="490"/>
        <v>A Unidade Consumidora 10/162736-3 economizou R$23,04 na fatura referente à set/2025  consumindo 71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0" s="115">
        <f t="shared" si="491"/>
        <v>-157.80000000000001</v>
      </c>
    </row>
    <row r="841" spans="1:84" ht="16.2" hidden="1" customHeight="1" x14ac:dyDescent="0.3">
      <c r="A841" s="105" t="str">
        <f>INDEX('Infos Clientes'!$D:$D,MATCH('Detalhe Por UC'!C841,'Infos Clientes'!B:B,0))</f>
        <v>IGREJA DO EVANGELHO QUADRANGULAR</v>
      </c>
      <c r="B841" s="106" t="str">
        <f>INDEX('Infos Clientes'!$F:$F,MATCH('Detalhe Por UC'!C841,'Infos Clientes'!B:B,0))</f>
        <v>62.955.505/0156-01</v>
      </c>
      <c r="C841" s="31" t="s">
        <v>32</v>
      </c>
      <c r="D841" t="s">
        <v>351</v>
      </c>
      <c r="E841" s="1" t="s">
        <v>352</v>
      </c>
      <c r="F841" s="56" t="str">
        <f>INDEX('Infos Clientes'!$I:$I,MATCH('Detalhe Por UC'!C841,'Infos Clientes'!B:B,0))</f>
        <v>BT</v>
      </c>
      <c r="G841" s="56" t="str">
        <f>INDEX('Infos Clientes'!$J:$J,MATCH('Detalhe Por UC'!C841,'Infos Clientes'!B:B,0))</f>
        <v>trifasico</v>
      </c>
      <c r="H841" s="47" t="str">
        <f t="shared" si="493"/>
        <v>GIROSSOL II</v>
      </c>
      <c r="I841" s="58">
        <f>IFERROR(VLOOKUP(C841,'Infos Clientes'!B:E,4,),"")</f>
        <v>319</v>
      </c>
      <c r="J841" s="151">
        <v>0.26857922422136293</v>
      </c>
      <c r="K841" s="79">
        <f>INDEX('Resumo Operacional'!$A$1:$P$151,MATCH("Desconto percentual Ucs",'Resumo Operacional'!$B$1:$B$151,0),MATCH('Detalhe Por UC'!$R841,'Resumo Operacional'!$A$1:$P$1,0))</f>
        <v>0.26857922422136293</v>
      </c>
      <c r="M841" s="56"/>
      <c r="N841" s="56"/>
      <c r="O841" s="56"/>
      <c r="P841" s="56"/>
      <c r="Q841" s="61"/>
      <c r="R841" s="111">
        <v>45901</v>
      </c>
      <c r="S841" s="152">
        <v>1.1900000000000001E-2</v>
      </c>
      <c r="T841" s="113">
        <f>IF($H841="GIROSSOL II",AP841/INDEX('Resumo Operacional'!$A$1:$P$1103,17,MATCH('Detalhe Por UC'!$R841,'Resumo Operacional'!$A$1:$P$1,0)),
IF($H841="GIROSSOL II e III",AP841/INDEX('Resumo Operacional'!$A$1:$P$1103,17,MATCH('Detalhe Por UC'!$R841,'Resumo Operacional'!$A$1:$P$1,0)),
""))</f>
        <v>5.9689288634505316E-3</v>
      </c>
      <c r="U841" s="113" t="str">
        <f>IF($H841="GIROSSOL III",AP841/INDEX('Resumo Operacional'!$A$1:$P$1103,53,MATCH('Detalhe Por UC'!$R841,'Resumo Operacional'!$A$1:$P$1,0)),
IF($H841="GIROSSOL II e III",AP841/INDEX('Resumo Operacional'!$A$1:$P$1103,53,MATCH('Detalhe Por UC'!$R841,'Resumo Operacional'!$A$1:$P$1,0)),
""))</f>
        <v/>
      </c>
      <c r="X841">
        <v>1.2081175115207372</v>
      </c>
      <c r="Z841" s="18">
        <v>1.2080470085470083</v>
      </c>
      <c r="AB841" s="18">
        <v>217</v>
      </c>
      <c r="AD841" s="143">
        <v>117</v>
      </c>
      <c r="AF841" s="18">
        <v>98</v>
      </c>
      <c r="AG841">
        <v>0</v>
      </c>
      <c r="AH841">
        <v>28.01</v>
      </c>
      <c r="AL841" s="43"/>
      <c r="AN841" s="71">
        <f t="shared" ref="AN841:AN904" si="494">IF(X841="","",AF841-SUMIFS(AF:AF,$C:$C,$C841,$R:$R,EDATE($R841,-1)))</f>
        <v>-44</v>
      </c>
      <c r="AO841" s="71">
        <f t="shared" ref="AO841:AO904" si="495">IF(X841="","",AG841-SUMIFS(AG:AG,$H:$H,$H841,$C:$C,$C841,$R:$R,EDATE($R841,-1)))</f>
        <v>0</v>
      </c>
      <c r="AP841" s="71">
        <f t="shared" ref="AP841:AP904" si="496">IFERROR(IF(D841="CRÉD. CONSUMIDO",SUM(AD841,AE841,AN841,AO841),IF(D841="GERADO",AQ841)),"")</f>
        <v>73</v>
      </c>
      <c r="AQ841" s="72">
        <f>IF(OR($H841="GIROSSOL II",$H841="GIROSSOL II e III"),INDEX('Resumo Operacional'!$A$1:$P$1103,MATCH("Energia Injetada prevista total Fatura da Usina (TUSD)",'Resumo Operacional'!$B$1:$B$1103,0),MATCH('Detalhe Por UC'!$R841,'Resumo Operacional'!$A$1:$P$1,0))*$S841,INDEX('Resumo Operacional'!$A$1:$P$1103,53,MATCH('Detalhe Por UC'!$R841,'Resumo Operacional'!$A$1:$P$1,0))*$S841)</f>
        <v>145.53700000000001</v>
      </c>
      <c r="AR841" s="71">
        <f t="shared" ref="AR841:AR904" si="497">IF(X841="","",AP841-AQ841)</f>
        <v>-72.537000000000006</v>
      </c>
      <c r="AS841" s="73">
        <f t="shared" ref="AS841:AS904" si="498">IFERROR((X841*AB841-Z841*AD841+Y841*AC841-AA841*AE841)+AH841+
IF(F841&lt;&gt;"BT",0,
IF(AND(G841="trifasico",AD841=0,AB841&lt;100),X841*(100-(AB841-AD841)),
IF(AND(G841="bifasico",AD841=0,AB841&lt;50),X841*(50-(AB841-AD841)),
IF(AND(G841="monofasico",AD841=0,AB841&lt;30),X841*(30-(AB841-AD841)),0)))),"")</f>
        <v>148.83000000000001</v>
      </c>
      <c r="AT841" s="74">
        <f t="shared" ref="AT841:AT904" si="499">IFERROR(AS841+AI841+AJ841,"")</f>
        <v>148.83000000000001</v>
      </c>
      <c r="AU841" s="74">
        <f t="shared" ref="AU841:AU904" si="500">IFERROR((Z841*AD841+AA841*AE841)/(AD841+AE841)-((X841-Z841)*AD841+(Y841-AA841)*AE841)/(AD841+AE841),"")</f>
        <v>1.2079765055732794</v>
      </c>
      <c r="AV841" s="74">
        <f t="shared" ref="AV841:AV904" si="501">IFERROR(IF(AND(E841="FINAL-Ñ.COMP",D841="CRÉD. CONSUMIDO"),(X841*(1-J841)-(X841-Z841))*AD841+(Y841*(1-J841)-(Y841-AA841))*AE841,
IF(AND(E841="T.COMP",D841="CRÉD. CONSUMIDO"),Z841*(1-J841)*AD841+AA841*(1-J841)*AE841,
IF(AND(E841="T.S.IMP",D841="CRÉD. CONSUMIDO"),V841*(1-J841)*AD841+W841*(1-J841)*AE841,
IF(AND(E841="T.S.IMP",D841="GERADO"),V841*(1-J841)*AQ841+W841*(1-J841)*AQ841,
IF(AND(E841="T.COMP",D841="GERADO"),AU841*(1-J841)*AQ841,
IF(AND(E841="FINAL-Ñ.COMP",D841="GERADO"),(AU841*(1-J841)-(X841-Z841))*AQ841,"ERRO")))))),"")</f>
        <v>103.3801095797162</v>
      </c>
      <c r="AW841" s="74">
        <f t="shared" ref="AW841:AW904" si="502">IF(45658=R841,0,IF(
SUMIFS($BA:$BA,$C:$C,$C841,$R:$R,EDATE($R841,-1))
&gt;=0,
SUMIFS(AY:AY,$C:$C,$C841,$R:$R,EDATE($R841,-1))-SUMIFS(BA:BA,$C:$C,$C841,$R:$R,EDATE($R841,-1)),0))</f>
        <v>0</v>
      </c>
      <c r="AX841" s="74">
        <f t="shared" ref="AX841:AX904" si="503">IFERROR(IF(AND(E841="FINAL-Ñ.COMP",D841="CRÉD. CONSUMIDO"),(X841-(X841-Z841))*AD841+(Y841-(Y841-AA841))*AE841,
IF(AND(E841="T.COMP",D841="CRÉD. CONSUMIDO"),Z841*AD841+AA841*AE841,
IF(AND(E841="T.S.IMP",D841="CRÉD. CONSUMIDO"),V841*AD841+W841*AE841,
IF(AND(E841="T.S.IMP",D841="GERADO"),V841*AQ841+W841*AQ841,
IF(AND(E841="T.COMP",D841="GERADO"),AU841*AQ841,
IF(AND(E841="FINAL-Ñ.COMP",D841="GERADO"),(AU841-(X841-Z841))*AQ841,"ERRO"))))))+AW841,"")</f>
        <v>141.34149999999997</v>
      </c>
      <c r="AY841" s="74">
        <f t="shared" ref="AY841:AY904" si="504">IF(AV841=0,IF(AW841=0,"",AW841),IFERROR(ROUND(IF(SUMIFS($BA:$BA,$C:$C,$C841,$R:$R,EDATE($R841,-1))&gt;0,AV841+AW841,AV841),2),""))</f>
        <v>103.38</v>
      </c>
      <c r="AZ841" s="117">
        <v>103.38</v>
      </c>
      <c r="BA841" s="117">
        <v>103.38</v>
      </c>
      <c r="BB841" s="117">
        <v>103.38</v>
      </c>
      <c r="BC841" s="73" t="str">
        <f t="shared" ref="BC841:BC904" si="505">IF(BB841&gt;BA841,BB841-BA841,"")</f>
        <v/>
      </c>
      <c r="BD841" s="73">
        <f t="shared" ref="BD841:BD904" si="506">IF(AB841&gt;0,X841*AB841+Y841*AC841+AH841,AH841+
IF(AND(G841="trifasico",AB841-AD841=0),X841*(100-(AB841-AD841)),
IF(AND(G841="bifasico",AB841-AD841=0),X841*(50-(AB841-AD841)),
IF(AND(G841="monofasico",AB841-AD841=0),X841*(30-(AB841-AD841)),0))))</f>
        <v>290.17149999999998</v>
      </c>
      <c r="BE841" s="73">
        <f t="shared" ref="BE841:BE904" si="507">IFERROR(AS841+AV841,"")</f>
        <v>252.21010957971623</v>
      </c>
      <c r="BF841" s="77">
        <f t="shared" ref="BF841:BF904" si="508">ROUND(BD841-BE841,2)</f>
        <v>37.96</v>
      </c>
      <c r="BG841" s="77">
        <f t="shared" ref="BG841:BG904" si="509">BF841*0.3</f>
        <v>11.388</v>
      </c>
      <c r="BH841" s="77">
        <f t="shared" ref="BH841:BH904" si="510">(X841*AD841)-((X841-Z841)*AD841)</f>
        <v>141.3415</v>
      </c>
      <c r="BI841" s="78">
        <f t="shared" ref="BI841:BI904" si="511">IFERROR(ROUND(IFERROR(IF(BF841=0,"",BF841/(AY841+Z841*J841*AD841+AA841*J841*AE841)),0),2),"")</f>
        <v>0.27</v>
      </c>
      <c r="BJ841" s="79">
        <f t="shared" ref="BJ841:BJ904" si="512">IFERROR(BF841/BD841,"")</f>
        <v>0.13081918796298053</v>
      </c>
      <c r="BK841" s="80">
        <f t="shared" ref="BK841:BK904" si="513">IFERROR(AS841+AY841,"")</f>
        <v>252.21</v>
      </c>
      <c r="BL841" s="80">
        <f t="shared" ref="BL841:BL904" si="514">IFERROR(BD841-BK841,"")</f>
        <v>37.961499999999972</v>
      </c>
      <c r="BM841" s="79">
        <f t="shared" ref="BM841:BM904" si="515">IFERROR(IF(BL841=0,"",BL841/BD841),"")</f>
        <v>0.13082435731972292</v>
      </c>
      <c r="BN841" s="81">
        <f t="shared" ref="BN841:BN904" si="516">IFERROR(IF(AD841="","",AY841/(AD841+AE841)),"")</f>
        <v>0.88358974358974351</v>
      </c>
      <c r="BO841" s="82">
        <f t="shared" ref="BO841:BO904" si="517">IF(OR(BN841="",BN841=0),"",BN841*(AD841+AE841))</f>
        <v>103.38</v>
      </c>
      <c r="BP841" s="81">
        <f t="shared" ref="BP841:BP904" si="518">IFERROR(IF(AD841="","",AY841/AD841),"")</f>
        <v>0.88358974358974351</v>
      </c>
      <c r="BQ841" s="81">
        <f t="shared" ref="BQ841:BQ904" si="519">IFERROR(BP841+(X841-Z841),"")</f>
        <v>0.88366024656347242</v>
      </c>
      <c r="BR841" s="81">
        <f t="shared" ref="BR841:BR904" si="520">IFERROR(IF(AD841="","",(X841*AD841+Y841*AE841)/(AD841+AE841)),"")</f>
        <v>1.2081175115207372</v>
      </c>
      <c r="BS841" s="82">
        <f t="shared" ref="BS841:BS904" si="521">IFERROR(IF(D841="gerado",AQ841,AD841),"")</f>
        <v>117</v>
      </c>
      <c r="BT841" s="82">
        <f t="shared" ref="BT841:BT904" si="522">IF(OR(BR841="",BR841=0),"",BR841*(AD841+AE841))</f>
        <v>141.34974884792626</v>
      </c>
      <c r="BU841" s="82">
        <f t="shared" ref="BU841:BU904" si="523">IFERROR(BS841*Z841,"")</f>
        <v>141.34149999999997</v>
      </c>
      <c r="BW841" s="82">
        <f>IFERROR(INDEX('Infos Clientes'!$T:$T,MATCH('Detalhe Por UC'!$C841,'Infos Clientes'!B:B,0)),"")</f>
        <v>236.08333333333334</v>
      </c>
      <c r="BX841" s="83">
        <f t="shared" ref="BX841:BX904" si="524">IFERROR(BW841*Q841,"")</f>
        <v>0</v>
      </c>
      <c r="BY841" s="84">
        <f t="shared" ref="BY841:BY904" si="525">IFERROR((X841-BQ841)/X841,"")</f>
        <v>0.26856432579050116</v>
      </c>
      <c r="BZ841" s="85">
        <f>IF(_xlfn.MINIFS('Detalhe Por UC'!R:R,'Detalhe Por UC'!C:C,C841,'Detalhe Por UC'!AD:AD,"&gt;"&amp;0)=0,"",_xlfn.MINIFS('Detalhe Por UC'!R:R,'Detalhe Por UC'!C:C,C841,'Detalhe Por UC'!AD:AD,"&gt;"&amp;0))</f>
        <v>45627</v>
      </c>
      <c r="CA841" s="114">
        <f ca="1">IF(OR(S841&gt;0,AD841&gt;0),IFERROR(
SUMIFS(INDIRECT("'Infos Clientes'!$W"&amp;INDEX('Infos Clientes'!$C:$C,MATCH(C841,'Infos Clientes'!$H:$H,0))&amp;":$CZ"&amp;INDEX('Infos Clientes'!$C:$C,MATCH(C841,'Infos Clientes'!$H:$H,0))),'Infos Clientes'!$W$2:$CZ$2,"&gt;"&amp;$R841-365,'Infos Clientes'!$W$2:$CZ$2,"&lt;="&amp;$R841)/
COUNTIFS(INDIRECT("'Infos Clientes'!$W"&amp;INDEX('Infos Clientes'!$C:$C,MATCH(C841,'Infos Clientes'!$H:$H,0))&amp;":$CZ"&amp;INDEX('Infos Clientes'!$C:$C,MATCH(C841,'Infos Clientes'!$H:$H,0))),"&gt;="&amp;0,'Infos Clientes'!$W$2:$CZ$2,"&gt;"&amp;$R841-365,'Infos Clientes'!$W$2:$CZ$2,"&lt;="&amp;$R841),""),"")</f>
        <v>252.25</v>
      </c>
      <c r="CB841" s="87">
        <f>VLOOKUP(C841,'Infos Clientes'!B:L,11,0)</f>
        <v>0</v>
      </c>
      <c r="CC841" s="88" t="str">
        <f t="shared" ref="CC841:CC904" si="526">"A Unidade Consumidora "&amp;C841&amp;" economizou R$"&amp;BF841&amp;" na fatura referente à "&amp;TEXT(R841,"mmm/aaaa")&amp;"  consumindo "&amp;AD841&amp;" kWh em créditos de energia renovável conforme fatura de energia. A economia foi de "&amp;$J841*100&amp;"% em relação ao que seria pago para a Energisa considerando os créditos consumidos. Atenção: Mantenha as contas da Energisa em dia para evitar cortes."</f>
        <v>A Unidade Consumidora 10/113971-6 economizou R$37,96 na fatura referente à set/2025  consumindo 117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1" s="115">
        <f t="shared" ref="CF841:CF904" si="527">CE841-AT841</f>
        <v>-148.83000000000001</v>
      </c>
    </row>
    <row r="842" spans="1:84" ht="16.2" hidden="1" customHeight="1" x14ac:dyDescent="0.3">
      <c r="A842" s="105" t="str">
        <f>INDEX('Infos Clientes'!$D:$D,MATCH('Detalhe Por UC'!C842,'Infos Clientes'!B:B,0))</f>
        <v>IGREJA DO EVANGELHO QUADRANGULAR</v>
      </c>
      <c r="B842" s="106" t="str">
        <f>INDEX('Infos Clientes'!$F:$F,MATCH('Detalhe Por UC'!C842,'Infos Clientes'!B:B,0))</f>
        <v>62.955.505/1935-34</v>
      </c>
      <c r="C842" s="31" t="s">
        <v>120</v>
      </c>
      <c r="D842" t="s">
        <v>351</v>
      </c>
      <c r="E842" s="1" t="s">
        <v>352</v>
      </c>
      <c r="F842" s="56" t="str">
        <f>INDEX('Infos Clientes'!$I:$I,MATCH('Detalhe Por UC'!C842,'Infos Clientes'!B:B,0))</f>
        <v>BT</v>
      </c>
      <c r="G842" s="56" t="str">
        <f>INDEX('Infos Clientes'!$J:$J,MATCH('Detalhe Por UC'!C842,'Infos Clientes'!B:B,0))</f>
        <v>trifasico</v>
      </c>
      <c r="H842" s="47" t="str">
        <f t="shared" si="493"/>
        <v>GIROSSOL II</v>
      </c>
      <c r="I842" s="58">
        <f>IFERROR(VLOOKUP(C842,'Infos Clientes'!B:E,4,),"")</f>
        <v>994</v>
      </c>
      <c r="J842" s="151">
        <v>0.26857922422136293</v>
      </c>
      <c r="K842" s="79">
        <f>INDEX('Resumo Operacional'!$A$1:$P$151,MATCH("Desconto percentual Ucs",'Resumo Operacional'!$B$1:$B$151,0),MATCH('Detalhe Por UC'!$R842,'Resumo Operacional'!$A$1:$P$1,0))</f>
        <v>0.26857922422136293</v>
      </c>
      <c r="M842" s="56"/>
      <c r="N842" s="56"/>
      <c r="O842" s="56"/>
      <c r="P842" s="56"/>
      <c r="Q842" s="61"/>
      <c r="R842" s="111">
        <v>45901</v>
      </c>
      <c r="S842" s="152">
        <v>1.1900000000000001E-2</v>
      </c>
      <c r="T842" s="113">
        <f>IF($H842="GIROSSOL II",AP842/INDEX('Resumo Operacional'!$A$1:$P$1103,17,MATCH('Detalhe Por UC'!$R842,'Resumo Operacional'!$A$1:$P$1,0)),
IF($H842="GIROSSOL II e III",AP842/INDEX('Resumo Operacional'!$A$1:$P$1103,17,MATCH('Detalhe Por UC'!$R842,'Resumo Operacional'!$A$1:$P$1,0)),
""))</f>
        <v>1.1610793131643499E-2</v>
      </c>
      <c r="U842" s="113" t="str">
        <f>IF($H842="GIROSSOL III",AP842/INDEX('Resumo Operacional'!$A$1:$P$1103,53,MATCH('Detalhe Por UC'!$R842,'Resumo Operacional'!$A$1:$P$1,0)),
IF($H842="GIROSSOL II e III",AP842/INDEX('Resumo Operacional'!$A$1:$P$1103,53,MATCH('Detalhe Por UC'!$R842,'Resumo Operacional'!$A$1:$P$1,0)),
""))</f>
        <v/>
      </c>
      <c r="X842">
        <v>1.2081016949152541</v>
      </c>
      <c r="Z842" s="18">
        <v>1.2081029411764705</v>
      </c>
      <c r="AB842" s="18">
        <v>236</v>
      </c>
      <c r="AD842" s="143">
        <v>136</v>
      </c>
      <c r="AF842" s="18">
        <v>354</v>
      </c>
      <c r="AG842">
        <v>0</v>
      </c>
      <c r="AH842">
        <v>53.010000000000005</v>
      </c>
      <c r="AL842" s="43"/>
      <c r="AN842" s="71">
        <f t="shared" si="494"/>
        <v>6</v>
      </c>
      <c r="AO842" s="71">
        <f t="shared" si="495"/>
        <v>0</v>
      </c>
      <c r="AP842" s="71">
        <f t="shared" si="496"/>
        <v>142</v>
      </c>
      <c r="AQ842" s="72">
        <f>IF(OR($H842="GIROSSOL II",$H842="GIROSSOL II e III"),INDEX('Resumo Operacional'!$A$1:$P$1103,MATCH("Energia Injetada prevista total Fatura da Usina (TUSD)",'Resumo Operacional'!$B$1:$B$1103,0),MATCH('Detalhe Por UC'!$R842,'Resumo Operacional'!$A$1:$P$1,0))*$S842,INDEX('Resumo Operacional'!$A$1:$P$1103,53,MATCH('Detalhe Por UC'!$R842,'Resumo Operacional'!$A$1:$P$1,0))*$S842)</f>
        <v>145.53700000000001</v>
      </c>
      <c r="AR842" s="71">
        <f t="shared" si="497"/>
        <v>-3.5370000000000061</v>
      </c>
      <c r="AS842" s="73">
        <f t="shared" si="498"/>
        <v>173.82</v>
      </c>
      <c r="AT842" s="74">
        <f t="shared" si="499"/>
        <v>173.82</v>
      </c>
      <c r="AU842" s="74">
        <f t="shared" si="500"/>
        <v>1.208104187437687</v>
      </c>
      <c r="AV842" s="74">
        <f t="shared" si="501"/>
        <v>120.17389630198163</v>
      </c>
      <c r="AW842" s="74">
        <f t="shared" si="502"/>
        <v>0</v>
      </c>
      <c r="AX842" s="74">
        <f t="shared" si="503"/>
        <v>164.30199999999999</v>
      </c>
      <c r="AY842" s="74">
        <f t="shared" si="504"/>
        <v>120.17</v>
      </c>
      <c r="AZ842" s="117">
        <v>120.17</v>
      </c>
      <c r="BA842" s="117">
        <v>120.17</v>
      </c>
      <c r="BB842" s="117">
        <v>120.17</v>
      </c>
      <c r="BC842" s="73" t="str">
        <f t="shared" si="505"/>
        <v/>
      </c>
      <c r="BD842" s="73">
        <f t="shared" si="506"/>
        <v>338.12199999999996</v>
      </c>
      <c r="BE842" s="73">
        <f t="shared" si="507"/>
        <v>293.99389630198164</v>
      </c>
      <c r="BF842" s="77">
        <f t="shared" si="508"/>
        <v>44.13</v>
      </c>
      <c r="BG842" s="77">
        <f t="shared" si="509"/>
        <v>13.239000000000001</v>
      </c>
      <c r="BH842" s="77">
        <f t="shared" si="510"/>
        <v>164.30199999999999</v>
      </c>
      <c r="BI842" s="78">
        <f t="shared" si="511"/>
        <v>0.27</v>
      </c>
      <c r="BJ842" s="79">
        <f t="shared" si="512"/>
        <v>0.13051502120536376</v>
      </c>
      <c r="BK842" s="80">
        <f t="shared" si="513"/>
        <v>293.99</v>
      </c>
      <c r="BL842" s="80">
        <f t="shared" si="514"/>
        <v>44.131999999999948</v>
      </c>
      <c r="BM842" s="79">
        <f t="shared" si="515"/>
        <v>0.13052093623011798</v>
      </c>
      <c r="BN842" s="81">
        <f t="shared" si="516"/>
        <v>0.88360294117647065</v>
      </c>
      <c r="BO842" s="82">
        <f t="shared" si="517"/>
        <v>120.17</v>
      </c>
      <c r="BP842" s="81">
        <f t="shared" si="518"/>
        <v>0.88360294117647065</v>
      </c>
      <c r="BQ842" s="81">
        <f t="shared" si="519"/>
        <v>0.8836016949152542</v>
      </c>
      <c r="BR842" s="81">
        <f t="shared" si="520"/>
        <v>1.2081016949152541</v>
      </c>
      <c r="BS842" s="82">
        <f t="shared" si="521"/>
        <v>136</v>
      </c>
      <c r="BT842" s="82">
        <f t="shared" si="522"/>
        <v>164.30183050847455</v>
      </c>
      <c r="BU842" s="82">
        <f t="shared" si="523"/>
        <v>164.30199999999999</v>
      </c>
      <c r="BW842" s="82">
        <f>IFERROR(INDEX('Infos Clientes'!$T:$T,MATCH('Detalhe Por UC'!$C842,'Infos Clientes'!B:B,0)),"")</f>
        <v>350.91666666666669</v>
      </c>
      <c r="BX842" s="83">
        <f t="shared" si="524"/>
        <v>0</v>
      </c>
      <c r="BY842" s="84">
        <f t="shared" si="525"/>
        <v>0.2686032155784393</v>
      </c>
      <c r="BZ842" s="85">
        <f>IF(_xlfn.MINIFS('Detalhe Por UC'!R:R,'Detalhe Por UC'!C:C,C842,'Detalhe Por UC'!AD:AD,"&gt;"&amp;0)=0,"",_xlfn.MINIFS('Detalhe Por UC'!R:R,'Detalhe Por UC'!C:C,C842,'Detalhe Por UC'!AD:AD,"&gt;"&amp;0))</f>
        <v>45627</v>
      </c>
      <c r="CA842" s="114">
        <f ca="1">IF(OR(S842&gt;0,AD842&gt;0),IFERROR(
SUMIFS(INDIRECT("'Infos Clientes'!$W"&amp;INDEX('Infos Clientes'!$C:$C,MATCH(C842,'Infos Clientes'!$H:$H,0))&amp;":$CZ"&amp;INDEX('Infos Clientes'!$C:$C,MATCH(C842,'Infos Clientes'!$H:$H,0))),'Infos Clientes'!$W$2:$CZ$2,"&gt;"&amp;$R842-365,'Infos Clientes'!$W$2:$CZ$2,"&lt;="&amp;$R842)/
COUNTIFS(INDIRECT("'Infos Clientes'!$W"&amp;INDEX('Infos Clientes'!$C:$C,MATCH(C842,'Infos Clientes'!$H:$H,0))&amp;":$CZ"&amp;INDEX('Infos Clientes'!$C:$C,MATCH(C842,'Infos Clientes'!$H:$H,0))),"&gt;="&amp;0,'Infos Clientes'!$W$2:$CZ$2,"&gt;"&amp;$R842-365,'Infos Clientes'!$W$2:$CZ$2,"&lt;="&amp;$R842),""),"")</f>
        <v>323.66666666666669</v>
      </c>
      <c r="CB842" s="87">
        <f>VLOOKUP(C842,'Infos Clientes'!B:L,11,0)</f>
        <v>0</v>
      </c>
      <c r="CC842" s="88" t="str">
        <f t="shared" si="526"/>
        <v>A Unidade Consumidora 10/532081-7 economizou R$44,13 na fatura referente à set/2025  consumindo 136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2" s="115">
        <f t="shared" si="527"/>
        <v>-173.82</v>
      </c>
    </row>
    <row r="843" spans="1:84" ht="16.2" hidden="1" customHeight="1" x14ac:dyDescent="0.3">
      <c r="A843" s="105" t="str">
        <f>INDEX('Infos Clientes'!$D:$D,MATCH('Detalhe Por UC'!C843,'Infos Clientes'!B:B,0))</f>
        <v>IGREJA DO EVANGELHO QUADRANGULAR</v>
      </c>
      <c r="B843" s="106" t="str">
        <f>INDEX('Infos Clientes'!$F:$F,MATCH('Detalhe Por UC'!C843,'Infos Clientes'!B:B,0))</f>
        <v>62.955.505/0001-67</v>
      </c>
      <c r="C843" s="31" t="s">
        <v>106</v>
      </c>
      <c r="D843" t="s">
        <v>351</v>
      </c>
      <c r="E843" s="1" t="s">
        <v>352</v>
      </c>
      <c r="F843" s="56" t="str">
        <f>INDEX('Infos Clientes'!$I:$I,MATCH('Detalhe Por UC'!C843,'Infos Clientes'!B:B,0))</f>
        <v>BT</v>
      </c>
      <c r="G843" s="56" t="str">
        <f>INDEX('Infos Clientes'!$J:$J,MATCH('Detalhe Por UC'!C843,'Infos Clientes'!B:B,0))</f>
        <v>bifasico</v>
      </c>
      <c r="H843" s="47" t="str">
        <f t="shared" si="493"/>
        <v>GIROSSOL II</v>
      </c>
      <c r="I843" s="58">
        <f>IFERROR(VLOOKUP(C843,'Infos Clientes'!B:E,4,),"")</f>
        <v>302</v>
      </c>
      <c r="J843" s="151">
        <v>0.26857922422136293</v>
      </c>
      <c r="K843" s="79">
        <f>INDEX('Resumo Operacional'!$A$1:$P$151,MATCH("Desconto percentual Ucs",'Resumo Operacional'!$B$1:$B$151,0),MATCH('Detalhe Por UC'!$R843,'Resumo Operacional'!$A$1:$P$1,0))</f>
        <v>0.26857922422136293</v>
      </c>
      <c r="L843" s="125">
        <v>0</v>
      </c>
      <c r="M843" s="56"/>
      <c r="N843" s="56"/>
      <c r="O843" s="56"/>
      <c r="P843" s="56"/>
      <c r="Q843" s="61"/>
      <c r="R843" s="111">
        <v>45901</v>
      </c>
      <c r="S843" s="152">
        <v>1.0500000000000001E-2</v>
      </c>
      <c r="T843" s="113">
        <f>IF($H843="GIROSSOL II",AP843/INDEX('Resumo Operacional'!$A$1:$P$1103,17,MATCH('Detalhe Por UC'!$R843,'Resumo Operacional'!$A$1:$P$1,0)),
IF($H843="GIROSSOL II e III",AP843/INDEX('Resumo Operacional'!$A$1:$P$1103,17,MATCH('Detalhe Por UC'!$R843,'Resumo Operacional'!$A$1:$P$1,0)),
""))</f>
        <v>1.0466067048242027E-2</v>
      </c>
      <c r="U843" s="113" t="str">
        <f>IF($H843="GIROSSOL III",AP843/INDEX('Resumo Operacional'!$A$1:$P$1103,53,MATCH('Detalhe Por UC'!$R843,'Resumo Operacional'!$A$1:$P$1,0)),
IF($H843="GIROSSOL II e III",AP843/INDEX('Resumo Operacional'!$A$1:$P$1103,53,MATCH('Detalhe Por UC'!$R843,'Resumo Operacional'!$A$1:$P$1,0)),
""))</f>
        <v/>
      </c>
      <c r="X843">
        <v>1.2082238532110092</v>
      </c>
      <c r="Z843" s="18">
        <v>1.2080745762711864</v>
      </c>
      <c r="AB843" s="18">
        <v>109</v>
      </c>
      <c r="AD843" s="143">
        <v>59</v>
      </c>
      <c r="AF843" s="18">
        <v>115</v>
      </c>
      <c r="AG843">
        <v>0</v>
      </c>
      <c r="AH843">
        <v>2.95</v>
      </c>
      <c r="AL843" s="43"/>
      <c r="AN843" s="71">
        <f t="shared" si="494"/>
        <v>69</v>
      </c>
      <c r="AO843" s="71">
        <f t="shared" si="495"/>
        <v>0</v>
      </c>
      <c r="AP843" s="71">
        <f t="shared" si="496"/>
        <v>128</v>
      </c>
      <c r="AQ843" s="72">
        <f>IF(OR($H843="GIROSSOL II",$H843="GIROSSOL II e III"),INDEX('Resumo Operacional'!$A$1:$P$1103,MATCH("Energia Injetada prevista total Fatura da Usina (TUSD)",'Resumo Operacional'!$B$1:$B$1103,0),MATCH('Detalhe Por UC'!$R843,'Resumo Operacional'!$A$1:$P$1,0))*$S843,INDEX('Resumo Operacional'!$A$1:$P$1103,53,MATCH('Detalhe Por UC'!$R843,'Resumo Operacional'!$A$1:$P$1,0))*$S843)</f>
        <v>128.41500000000002</v>
      </c>
      <c r="AR843" s="71">
        <f t="shared" si="497"/>
        <v>-0.41500000000002046</v>
      </c>
      <c r="AS843" s="73">
        <f t="shared" si="498"/>
        <v>63.370000000000019</v>
      </c>
      <c r="AT843" s="74">
        <f t="shared" si="499"/>
        <v>63.370000000000019</v>
      </c>
      <c r="AU843" s="74">
        <f t="shared" si="500"/>
        <v>1.2079252993313636</v>
      </c>
      <c r="AV843" s="74">
        <f t="shared" si="501"/>
        <v>52.133039782708444</v>
      </c>
      <c r="AW843" s="74">
        <f t="shared" si="502"/>
        <v>-98.64</v>
      </c>
      <c r="AX843" s="74">
        <f t="shared" si="503"/>
        <v>-27.363600000000005</v>
      </c>
      <c r="AY843" s="74">
        <f t="shared" si="504"/>
        <v>-46.51</v>
      </c>
      <c r="AZ843" s="155">
        <v>0</v>
      </c>
      <c r="BA843" s="117">
        <v>1E-10</v>
      </c>
      <c r="BC843" s="73" t="str">
        <f t="shared" si="505"/>
        <v/>
      </c>
      <c r="BD843" s="73">
        <f t="shared" si="506"/>
        <v>134.6464</v>
      </c>
      <c r="BE843" s="73">
        <f t="shared" si="507"/>
        <v>115.50303978270847</v>
      </c>
      <c r="BF843" s="77">
        <f t="shared" si="508"/>
        <v>19.14</v>
      </c>
      <c r="BG843" s="77">
        <f t="shared" si="509"/>
        <v>5.742</v>
      </c>
      <c r="BH843" s="77">
        <f t="shared" si="510"/>
        <v>71.276399999999995</v>
      </c>
      <c r="BI843" s="78">
        <f t="shared" si="511"/>
        <v>-0.7</v>
      </c>
      <c r="BJ843" s="79">
        <f t="shared" si="512"/>
        <v>0.14215010575849038</v>
      </c>
      <c r="BK843" s="80">
        <f t="shared" si="513"/>
        <v>16.860000000000021</v>
      </c>
      <c r="BL843" s="80">
        <f t="shared" si="514"/>
        <v>117.78639999999999</v>
      </c>
      <c r="BM843" s="79">
        <f t="shared" si="515"/>
        <v>0.87478313567982502</v>
      </c>
      <c r="BN843" s="81">
        <f t="shared" si="516"/>
        <v>-0.78830508474576266</v>
      </c>
      <c r="BO843" s="82">
        <f t="shared" si="517"/>
        <v>-46.51</v>
      </c>
      <c r="BP843" s="81">
        <f t="shared" si="518"/>
        <v>-0.78830508474576266</v>
      </c>
      <c r="BQ843" s="81">
        <f t="shared" si="519"/>
        <v>-0.78815580780593986</v>
      </c>
      <c r="BR843" s="81">
        <f t="shared" si="520"/>
        <v>1.2082238532110092</v>
      </c>
      <c r="BS843" s="82">
        <f t="shared" si="521"/>
        <v>59</v>
      </c>
      <c r="BT843" s="82">
        <f t="shared" si="522"/>
        <v>71.285207339449542</v>
      </c>
      <c r="BU843" s="82">
        <f t="shared" si="523"/>
        <v>71.276399999999995</v>
      </c>
      <c r="BW843" s="82">
        <f>IFERROR(INDEX('Infos Clientes'!$T:$T,MATCH('Detalhe Por UC'!$C843,'Infos Clientes'!B:B,0)),"")</f>
        <v>147.33333333333334</v>
      </c>
      <c r="BX843" s="83">
        <f t="shared" si="524"/>
        <v>0</v>
      </c>
      <c r="BY843" s="84">
        <f t="shared" si="525"/>
        <v>1.6523259789246132</v>
      </c>
      <c r="BZ843" s="85">
        <f>IF(_xlfn.MINIFS('Detalhe Por UC'!R:R,'Detalhe Por UC'!C:C,C843,'Detalhe Por UC'!AD:AD,"&gt;"&amp;0)=0,"",_xlfn.MINIFS('Detalhe Por UC'!R:R,'Detalhe Por UC'!C:C,C843,'Detalhe Por UC'!AD:AD,"&gt;"&amp;0))</f>
        <v>45627</v>
      </c>
      <c r="CA843" s="114">
        <f ca="1">IF(OR(S843&gt;0,AD843&gt;0),IFERROR(
SUMIFS(INDIRECT("'Infos Clientes'!$W"&amp;INDEX('Infos Clientes'!$C:$C,MATCH(C843,'Infos Clientes'!$H:$H,0))&amp;":$CZ"&amp;INDEX('Infos Clientes'!$C:$C,MATCH(C843,'Infos Clientes'!$H:$H,0))),'Infos Clientes'!$W$2:$CZ$2,"&gt;"&amp;$R843-365,'Infos Clientes'!$W$2:$CZ$2,"&lt;="&amp;$R843)/
COUNTIFS(INDIRECT("'Infos Clientes'!$W"&amp;INDEX('Infos Clientes'!$C:$C,MATCH(C843,'Infos Clientes'!$H:$H,0))&amp;":$CZ"&amp;INDEX('Infos Clientes'!$C:$C,MATCH(C843,'Infos Clientes'!$H:$H,0))),"&gt;="&amp;0,'Infos Clientes'!$W$2:$CZ$2,"&gt;"&amp;$R843-365,'Infos Clientes'!$W$2:$CZ$2,"&lt;="&amp;$R843),""),"")</f>
        <v>195.66666666666666</v>
      </c>
      <c r="CB843" s="87">
        <f>VLOOKUP(C843,'Infos Clientes'!B:L,11,0)</f>
        <v>0</v>
      </c>
      <c r="CC843" s="88" t="str">
        <f t="shared" si="526"/>
        <v>A Unidade Consumidora 10/452884-0 economizou R$19,14 na fatura referente à set/2025  consumindo 59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3" s="115">
        <f t="shared" si="527"/>
        <v>-63.370000000000019</v>
      </c>
    </row>
    <row r="844" spans="1:84" ht="16.2" hidden="1" customHeight="1" x14ac:dyDescent="0.3">
      <c r="A844" s="105" t="str">
        <f>INDEX('Infos Clientes'!$D:$D,MATCH('Detalhe Por UC'!C844,'Infos Clientes'!B:B,0))</f>
        <v>IGREJA DO EVANGELHO QUADRANGULAR</v>
      </c>
      <c r="B844" s="106" t="str">
        <f>INDEX('Infos Clientes'!$F:$F,MATCH('Detalhe Por UC'!C844,'Infos Clientes'!B:B,0))</f>
        <v>62.955.505/4194-43</v>
      </c>
      <c r="C844" s="31" t="s">
        <v>135</v>
      </c>
      <c r="D844" t="s">
        <v>351</v>
      </c>
      <c r="E844" s="1" t="s">
        <v>352</v>
      </c>
      <c r="F844" s="56" t="str">
        <f>INDEX('Infos Clientes'!$I:$I,MATCH('Detalhe Por UC'!C844,'Infos Clientes'!B:B,0))</f>
        <v>BT</v>
      </c>
      <c r="G844" s="56" t="str">
        <f>INDEX('Infos Clientes'!$J:$J,MATCH('Detalhe Por UC'!C844,'Infos Clientes'!B:B,0))</f>
        <v>trifasico</v>
      </c>
      <c r="H844" s="47" t="str">
        <f t="shared" si="493"/>
        <v>GIROSSOL II</v>
      </c>
      <c r="I844" s="58">
        <f>IFERROR(VLOOKUP(C844,'Infos Clientes'!B:E,4,),"")</f>
        <v>0</v>
      </c>
      <c r="J844" s="151">
        <v>0.26857922422136293</v>
      </c>
      <c r="K844" s="79">
        <f>INDEX('Resumo Operacional'!$A$1:$P$151,MATCH("Desconto percentual Ucs",'Resumo Operacional'!$B$1:$B$151,0),MATCH('Detalhe Por UC'!$R844,'Resumo Operacional'!$A$1:$P$1,0))</f>
        <v>0.26857922422136293</v>
      </c>
      <c r="M844" s="56"/>
      <c r="N844" s="56"/>
      <c r="O844" s="56"/>
      <c r="P844" s="56"/>
      <c r="Q844" s="61"/>
      <c r="R844" s="111">
        <v>45901</v>
      </c>
      <c r="S844" s="152">
        <v>0.01</v>
      </c>
      <c r="T844" s="113">
        <f>IF($H844="GIROSSOL II",AP844/INDEX('Resumo Operacional'!$A$1:$P$1103,17,MATCH('Detalhe Por UC'!$R844,'Resumo Operacional'!$A$1:$P$1,0)),
IF($H844="GIROSSOL II e III",AP844/INDEX('Resumo Operacional'!$A$1:$P$1103,17,MATCH('Detalhe Por UC'!$R844,'Resumo Operacional'!$A$1:$P$1,0)),
""))</f>
        <v>1.1610793131643499E-2</v>
      </c>
      <c r="U844" s="113" t="str">
        <f>IF($H844="GIROSSOL III",AP844/INDEX('Resumo Operacional'!$A$1:$P$1103,53,MATCH('Detalhe Por UC'!$R844,'Resumo Operacional'!$A$1:$P$1,0)),
IF($H844="GIROSSOL II e III",AP844/INDEX('Resumo Operacional'!$A$1:$P$1103,53,MATCH('Detalhe Por UC'!$R844,'Resumo Operacional'!$A$1:$P$1,0)),
""))</f>
        <v/>
      </c>
      <c r="X844">
        <v>1.2080955056179776</v>
      </c>
      <c r="Z844" s="18">
        <v>1.2080897435897435</v>
      </c>
      <c r="AB844" s="18">
        <v>178</v>
      </c>
      <c r="AD844" s="143">
        <v>78</v>
      </c>
      <c r="AF844" s="18">
        <v>503</v>
      </c>
      <c r="AG844">
        <v>0</v>
      </c>
      <c r="AH844">
        <v>21.3</v>
      </c>
      <c r="AL844" s="43"/>
      <c r="AN844" s="71">
        <f t="shared" si="494"/>
        <v>64</v>
      </c>
      <c r="AO844" s="71">
        <f t="shared" si="495"/>
        <v>0</v>
      </c>
      <c r="AP844" s="71">
        <f t="shared" si="496"/>
        <v>142</v>
      </c>
      <c r="AQ844" s="72">
        <f>IF(OR($H844="GIROSSOL II",$H844="GIROSSOL II e III"),INDEX('Resumo Operacional'!$A$1:$P$1103,MATCH("Energia Injetada prevista total Fatura da Usina (TUSD)",'Resumo Operacional'!$B$1:$B$1103,0),MATCH('Detalhe Por UC'!$R844,'Resumo Operacional'!$A$1:$P$1,0))*$S844,INDEX('Resumo Operacional'!$A$1:$P$1103,53,MATCH('Detalhe Por UC'!$R844,'Resumo Operacional'!$A$1:$P$1,0))*$S844)</f>
        <v>122.3</v>
      </c>
      <c r="AR844" s="71">
        <f t="shared" si="497"/>
        <v>19.700000000000003</v>
      </c>
      <c r="AS844" s="73">
        <f t="shared" si="498"/>
        <v>142.11000000000004</v>
      </c>
      <c r="AT844" s="74">
        <f t="shared" si="499"/>
        <v>142.11000000000004</v>
      </c>
      <c r="AU844" s="74">
        <f t="shared" si="500"/>
        <v>1.2080839815615094</v>
      </c>
      <c r="AV844" s="74">
        <f t="shared" si="501"/>
        <v>68.922511122396742</v>
      </c>
      <c r="AW844" s="74">
        <f t="shared" si="502"/>
        <v>0</v>
      </c>
      <c r="AX844" s="74">
        <f t="shared" si="503"/>
        <v>94.230999999999995</v>
      </c>
      <c r="AY844" s="74">
        <f t="shared" si="504"/>
        <v>68.92</v>
      </c>
      <c r="AZ844" s="117">
        <v>68.92</v>
      </c>
      <c r="BA844" s="117">
        <v>68.92</v>
      </c>
      <c r="BB844" s="117">
        <v>68.92</v>
      </c>
      <c r="BC844" s="73" t="str">
        <f t="shared" si="505"/>
        <v/>
      </c>
      <c r="BD844" s="73">
        <f t="shared" si="506"/>
        <v>236.34100000000004</v>
      </c>
      <c r="BE844" s="73">
        <f t="shared" si="507"/>
        <v>211.03251112239678</v>
      </c>
      <c r="BF844" s="77">
        <f t="shared" si="508"/>
        <v>25.31</v>
      </c>
      <c r="BG844" s="77">
        <f t="shared" si="509"/>
        <v>7.5929999999999991</v>
      </c>
      <c r="BH844" s="77">
        <f t="shared" si="510"/>
        <v>94.230999999999995</v>
      </c>
      <c r="BI844" s="78">
        <f t="shared" si="511"/>
        <v>0.27</v>
      </c>
      <c r="BJ844" s="79">
        <f t="shared" si="512"/>
        <v>0.10709102525588025</v>
      </c>
      <c r="BK844" s="80">
        <f t="shared" si="513"/>
        <v>211.03000000000003</v>
      </c>
      <c r="BL844" s="80">
        <f t="shared" si="514"/>
        <v>25.311000000000007</v>
      </c>
      <c r="BM844" s="79">
        <f t="shared" si="515"/>
        <v>0.10709525643032738</v>
      </c>
      <c r="BN844" s="81">
        <f t="shared" si="516"/>
        <v>0.88358974358974363</v>
      </c>
      <c r="BO844" s="82">
        <f t="shared" si="517"/>
        <v>68.92</v>
      </c>
      <c r="BP844" s="81">
        <f t="shared" si="518"/>
        <v>0.88358974358974363</v>
      </c>
      <c r="BQ844" s="81">
        <f t="shared" si="519"/>
        <v>0.88359550561797773</v>
      </c>
      <c r="BR844" s="81">
        <f t="shared" si="520"/>
        <v>1.2080955056179776</v>
      </c>
      <c r="BS844" s="82">
        <f t="shared" si="521"/>
        <v>78</v>
      </c>
      <c r="BT844" s="82">
        <f t="shared" si="522"/>
        <v>94.231449438202262</v>
      </c>
      <c r="BU844" s="82">
        <f t="shared" si="523"/>
        <v>94.230999999999995</v>
      </c>
      <c r="BW844" s="82">
        <f>IFERROR(INDEX('Infos Clientes'!$T:$T,MATCH('Detalhe Por UC'!$C844,'Infos Clientes'!B:B,0)),"")</f>
        <v>0</v>
      </c>
      <c r="BX844" s="83">
        <f t="shared" si="524"/>
        <v>0</v>
      </c>
      <c r="BY844" s="84">
        <f t="shared" si="525"/>
        <v>0.26860459168251627</v>
      </c>
      <c r="BZ844" s="85">
        <f>IF(_xlfn.MINIFS('Detalhe Por UC'!R:R,'Detalhe Por UC'!C:C,C844,'Detalhe Por UC'!AD:AD,"&gt;"&amp;0)=0,"",_xlfn.MINIFS('Detalhe Por UC'!R:R,'Detalhe Por UC'!C:C,C844,'Detalhe Por UC'!AD:AD,"&gt;"&amp;0))</f>
        <v>45689</v>
      </c>
      <c r="CA844" s="114">
        <f ca="1">IF(OR(S844&gt;0,AD844&gt;0),IFERROR(
SUMIFS(INDIRECT("'Infos Clientes'!$W"&amp;INDEX('Infos Clientes'!$C:$C,MATCH(C844,'Infos Clientes'!$H:$H,0))&amp;":$CZ"&amp;INDEX('Infos Clientes'!$C:$C,MATCH(C844,'Infos Clientes'!$H:$H,0))),'Infos Clientes'!$W$2:$CZ$2,"&gt;"&amp;$R844-365,'Infos Clientes'!$W$2:$CZ$2,"&lt;="&amp;$R844)/
COUNTIFS(INDIRECT("'Infos Clientes'!$W"&amp;INDEX('Infos Clientes'!$C:$C,MATCH(C844,'Infos Clientes'!$H:$H,0))&amp;":$CZ"&amp;INDEX('Infos Clientes'!$C:$C,MATCH(C844,'Infos Clientes'!$H:$H,0))),"&gt;="&amp;0,'Infos Clientes'!$W$2:$CZ$2,"&gt;"&amp;$R844-365,'Infos Clientes'!$W$2:$CZ$2,"&lt;="&amp;$R844),""),"")</f>
        <v>299.58333333333331</v>
      </c>
      <c r="CB844" s="87">
        <f>VLOOKUP(C844,'Infos Clientes'!B:L,11,0)</f>
        <v>0</v>
      </c>
      <c r="CC844" s="88" t="str">
        <f t="shared" si="526"/>
        <v>A Unidade Consumidora 10/1433087-2 economizou R$25,31 na fatura referente à set/2025  consumindo 78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4" s="115">
        <f t="shared" si="527"/>
        <v>-142.11000000000004</v>
      </c>
    </row>
    <row r="845" spans="1:84" ht="16.2" hidden="1" customHeight="1" x14ac:dyDescent="0.3">
      <c r="A845" s="105" t="str">
        <f>INDEX('Infos Clientes'!$D:$D,MATCH('Detalhe Por UC'!C845,'Infos Clientes'!B:B,0))</f>
        <v>IGREJA DO EVANGELHO QUADRANGULAR</v>
      </c>
      <c r="B845" s="106" t="str">
        <f>INDEX('Infos Clientes'!$F:$F,MATCH('Detalhe Por UC'!C845,'Infos Clientes'!B:B,0))</f>
        <v>62.955.505/0914-56</v>
      </c>
      <c r="C845" s="31" t="s">
        <v>134</v>
      </c>
      <c r="D845" t="s">
        <v>351</v>
      </c>
      <c r="E845" s="1" t="s">
        <v>352</v>
      </c>
      <c r="F845" s="56" t="str">
        <f>INDEX('Infos Clientes'!$I:$I,MATCH('Detalhe Por UC'!C845,'Infos Clientes'!B:B,0))</f>
        <v>BT</v>
      </c>
      <c r="G845" s="56" t="str">
        <f>INDEX('Infos Clientes'!$J:$J,MATCH('Detalhe Por UC'!C845,'Infos Clientes'!B:B,0))</f>
        <v>monofasico</v>
      </c>
      <c r="H845" s="47" t="str">
        <f t="shared" si="493"/>
        <v>GIROSSOL II</v>
      </c>
      <c r="I845" s="58">
        <f>IFERROR(VLOOKUP(C845,'Infos Clientes'!B:E,4,),"")</f>
        <v>0</v>
      </c>
      <c r="J845" s="151">
        <v>0.26857922422136293</v>
      </c>
      <c r="K845" s="79">
        <f>INDEX('Resumo Operacional'!$A$1:$P$151,MATCH("Desconto percentual Ucs",'Resumo Operacional'!$B$1:$B$151,0),MATCH('Detalhe Por UC'!$R845,'Resumo Operacional'!$A$1:$P$1,0))</f>
        <v>0.26857922422136293</v>
      </c>
      <c r="M845" s="56"/>
      <c r="N845" s="56"/>
      <c r="O845" s="56"/>
      <c r="P845" s="56"/>
      <c r="Q845" s="61"/>
      <c r="R845" s="111">
        <v>45901</v>
      </c>
      <c r="S845" s="152">
        <v>9.9000000000000008E-3</v>
      </c>
      <c r="T845" s="113">
        <f>IF($H845="GIROSSOL II",AP845/INDEX('Resumo Operacional'!$A$1:$P$1103,17,MATCH('Detalhe Por UC'!$R845,'Resumo Operacional'!$A$1:$P$1,0)),
IF($H845="GIROSSOL II e III",AP845/INDEX('Resumo Operacional'!$A$1:$P$1103,17,MATCH('Detalhe Por UC'!$R845,'Resumo Operacional'!$A$1:$P$1,0)),
""))</f>
        <v>9.8937040065412915E-3</v>
      </c>
      <c r="U845" s="113" t="str">
        <f>IF($H845="GIROSSOL III",AP845/INDEX('Resumo Operacional'!$A$1:$P$1103,53,MATCH('Detalhe Por UC'!$R845,'Resumo Operacional'!$A$1:$P$1,0)),
IF($H845="GIROSSOL II e III",AP845/INDEX('Resumo Operacional'!$A$1:$P$1103,53,MATCH('Detalhe Por UC'!$R845,'Resumo Operacional'!$A$1:$P$1,0)),
""))</f>
        <v/>
      </c>
      <c r="X845">
        <v>1.2082845528455284</v>
      </c>
      <c r="Z845" s="18">
        <v>1.208268817204301</v>
      </c>
      <c r="AB845" s="18">
        <v>123</v>
      </c>
      <c r="AD845" s="143">
        <v>93</v>
      </c>
      <c r="AF845" s="18">
        <v>493</v>
      </c>
      <c r="AG845">
        <v>0</v>
      </c>
      <c r="AH845">
        <v>50.45</v>
      </c>
      <c r="AL845" s="43"/>
      <c r="AN845" s="71">
        <f t="shared" si="494"/>
        <v>28</v>
      </c>
      <c r="AO845" s="71">
        <f t="shared" si="495"/>
        <v>0</v>
      </c>
      <c r="AP845" s="71">
        <f t="shared" si="496"/>
        <v>121</v>
      </c>
      <c r="AQ845" s="72">
        <f>IF(OR($H845="GIROSSOL II",$H845="GIROSSOL II e III"),INDEX('Resumo Operacional'!$A$1:$P$1103,MATCH("Energia Injetada prevista total Fatura da Usina (TUSD)",'Resumo Operacional'!$B$1:$B$1103,0),MATCH('Detalhe Por UC'!$R845,'Resumo Operacional'!$A$1:$P$1,0))*$S845,INDEX('Resumo Operacional'!$A$1:$P$1103,53,MATCH('Detalhe Por UC'!$R845,'Resumo Operacional'!$A$1:$P$1,0))*$S845)</f>
        <v>121.07700000000001</v>
      </c>
      <c r="AR845" s="71">
        <f t="shared" si="497"/>
        <v>-7.7000000000012392E-2</v>
      </c>
      <c r="AS845" s="73">
        <f t="shared" si="498"/>
        <v>86.7</v>
      </c>
      <c r="AT845" s="74">
        <f t="shared" si="499"/>
        <v>86.7</v>
      </c>
      <c r="AU845" s="74">
        <f t="shared" si="500"/>
        <v>1.2082530815630736</v>
      </c>
      <c r="AV845" s="74">
        <f t="shared" si="501"/>
        <v>82.189021153469668</v>
      </c>
      <c r="AW845" s="74">
        <f t="shared" si="502"/>
        <v>65.77</v>
      </c>
      <c r="AX845" s="74">
        <f t="shared" si="503"/>
        <v>178.13900000000001</v>
      </c>
      <c r="AY845" s="74">
        <f t="shared" si="504"/>
        <v>82.19</v>
      </c>
      <c r="AZ845" s="76">
        <v>82.19</v>
      </c>
      <c r="BA845" s="117">
        <v>1E-8</v>
      </c>
      <c r="BC845" s="73" t="str">
        <f t="shared" si="505"/>
        <v/>
      </c>
      <c r="BD845" s="73">
        <f t="shared" si="506"/>
        <v>199.06900000000002</v>
      </c>
      <c r="BE845" s="73">
        <f t="shared" si="507"/>
        <v>168.88902115346968</v>
      </c>
      <c r="BF845" s="77">
        <f t="shared" si="508"/>
        <v>30.18</v>
      </c>
      <c r="BG845" s="77">
        <f t="shared" si="509"/>
        <v>9.0540000000000003</v>
      </c>
      <c r="BH845" s="77">
        <f t="shared" si="510"/>
        <v>112.369</v>
      </c>
      <c r="BI845" s="78">
        <f t="shared" si="511"/>
        <v>0.27</v>
      </c>
      <c r="BJ845" s="79">
        <f t="shared" si="512"/>
        <v>0.15160572464823754</v>
      </c>
      <c r="BK845" s="80">
        <f t="shared" si="513"/>
        <v>168.89</v>
      </c>
      <c r="BL845" s="80">
        <f t="shared" si="514"/>
        <v>30.17900000000003</v>
      </c>
      <c r="BM845" s="79">
        <f t="shared" si="515"/>
        <v>0.15160070126438585</v>
      </c>
      <c r="BN845" s="81">
        <f t="shared" si="516"/>
        <v>0.88376344086021508</v>
      </c>
      <c r="BO845" s="82">
        <f t="shared" si="517"/>
        <v>82.19</v>
      </c>
      <c r="BP845" s="81">
        <f t="shared" si="518"/>
        <v>0.88376344086021508</v>
      </c>
      <c r="BQ845" s="81">
        <f t="shared" si="519"/>
        <v>0.88377917650144244</v>
      </c>
      <c r="BR845" s="81">
        <f t="shared" si="520"/>
        <v>1.2082845528455284</v>
      </c>
      <c r="BS845" s="82">
        <f t="shared" si="521"/>
        <v>93</v>
      </c>
      <c r="BT845" s="82">
        <f t="shared" si="522"/>
        <v>112.37046341463414</v>
      </c>
      <c r="BU845" s="82">
        <f t="shared" si="523"/>
        <v>112.369</v>
      </c>
      <c r="BW845" s="82">
        <f>IFERROR(INDEX('Infos Clientes'!$T:$T,MATCH('Detalhe Por UC'!$C845,'Infos Clientes'!B:B,0)),"")</f>
        <v>0</v>
      </c>
      <c r="BX845" s="83">
        <f t="shared" si="524"/>
        <v>0</v>
      </c>
      <c r="BY845" s="84">
        <f t="shared" si="525"/>
        <v>0.26856701559237089</v>
      </c>
      <c r="BZ845" s="85">
        <f>IF(_xlfn.MINIFS('Detalhe Por UC'!R:R,'Detalhe Por UC'!C:C,C845,'Detalhe Por UC'!AD:AD,"&gt;"&amp;0)=0,"",_xlfn.MINIFS('Detalhe Por UC'!R:R,'Detalhe Por UC'!C:C,C845,'Detalhe Por UC'!AD:AD,"&gt;"&amp;0))</f>
        <v>45658</v>
      </c>
      <c r="CA845" s="114">
        <f ca="1">IF(OR(S845&gt;0,AD845&gt;0),IFERROR(
SUMIFS(INDIRECT("'Infos Clientes'!$W"&amp;INDEX('Infos Clientes'!$C:$C,MATCH(C845,'Infos Clientes'!$H:$H,0))&amp;":$CZ"&amp;INDEX('Infos Clientes'!$C:$C,MATCH(C845,'Infos Clientes'!$H:$H,0))),'Infos Clientes'!$W$2:$CZ$2,"&gt;"&amp;$R845-365,'Infos Clientes'!$W$2:$CZ$2,"&lt;="&amp;$R845)/
COUNTIFS(INDIRECT("'Infos Clientes'!$W"&amp;INDEX('Infos Clientes'!$C:$C,MATCH(C845,'Infos Clientes'!$H:$H,0))&amp;":$CZ"&amp;INDEX('Infos Clientes'!$C:$C,MATCH(C845,'Infos Clientes'!$H:$H,0))),"&gt;="&amp;0,'Infos Clientes'!$W$2:$CZ$2,"&gt;"&amp;$R845-365,'Infos Clientes'!$W$2:$CZ$2,"&lt;="&amp;$R845),""),"")</f>
        <v>140.33333333333334</v>
      </c>
      <c r="CB845" s="87">
        <f>VLOOKUP(C845,'Infos Clientes'!B:L,11,0)</f>
        <v>0</v>
      </c>
      <c r="CC845" s="88" t="str">
        <f t="shared" si="526"/>
        <v>A Unidade Consumidora 10/150263-2 economizou R$30,18 na fatura referente à set/2025  consumindo 93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5" s="115">
        <f t="shared" si="527"/>
        <v>-86.7</v>
      </c>
    </row>
    <row r="846" spans="1:84" ht="16.2" hidden="1" customHeight="1" x14ac:dyDescent="0.3">
      <c r="A846" s="105" t="str">
        <f>INDEX('Infos Clientes'!$D:$D,MATCH('Detalhe Por UC'!C846,'Infos Clientes'!B:B,0))</f>
        <v>IGREJA DO EVANGELHO QUADRANGULAR</v>
      </c>
      <c r="B846" s="106" t="str">
        <f>INDEX('Infos Clientes'!$F:$F,MATCH('Detalhe Por UC'!C846,'Infos Clientes'!B:B,0))</f>
        <v>62.955.505/1490-47</v>
      </c>
      <c r="C846" s="31" t="s">
        <v>35</v>
      </c>
      <c r="D846" t="s">
        <v>351</v>
      </c>
      <c r="E846" s="1" t="s">
        <v>352</v>
      </c>
      <c r="F846" s="56" t="str">
        <f>INDEX('Infos Clientes'!$I:$I,MATCH('Detalhe Por UC'!C846,'Infos Clientes'!B:B,0))</f>
        <v>BT</v>
      </c>
      <c r="G846" s="56" t="str">
        <f>INDEX('Infos Clientes'!$J:$J,MATCH('Detalhe Por UC'!C846,'Infos Clientes'!B:B,0))</f>
        <v>trifasico</v>
      </c>
      <c r="H846" s="47" t="str">
        <f t="shared" si="493"/>
        <v>GIROSSOL II</v>
      </c>
      <c r="I846" s="58">
        <f>IFERROR(VLOOKUP(C846,'Infos Clientes'!B:E,4,),"")</f>
        <v>319</v>
      </c>
      <c r="J846" s="151">
        <v>0.26857922422136293</v>
      </c>
      <c r="K846" s="79">
        <f>INDEX('Resumo Operacional'!$A$1:$P$151,MATCH("Desconto percentual Ucs",'Resumo Operacional'!$B$1:$B$151,0),MATCH('Detalhe Por UC'!$R846,'Resumo Operacional'!$A$1:$P$1,0))</f>
        <v>0.26857922422136293</v>
      </c>
      <c r="M846" s="56"/>
      <c r="N846" s="56"/>
      <c r="O846" s="56"/>
      <c r="P846" s="56"/>
      <c r="Q846" s="61"/>
      <c r="R846" s="111">
        <v>45901</v>
      </c>
      <c r="S846" s="152">
        <v>9.7000000000000003E-3</v>
      </c>
      <c r="T846" s="113">
        <f>IF($H846="GIROSSOL II",AP846/INDEX('Resumo Operacional'!$A$1:$P$1103,17,MATCH('Detalhe Por UC'!$R846,'Resumo Operacional'!$A$1:$P$1,0)),
IF($H846="GIROSSOL II e III",AP846/INDEX('Resumo Operacional'!$A$1:$P$1103,17,MATCH('Detalhe Por UC'!$R846,'Resumo Operacional'!$A$1:$P$1,0)),
""))</f>
        <v>5.9689288634505316E-3</v>
      </c>
      <c r="U846" s="113" t="str">
        <f>IF($H846="GIROSSOL III",AP846/INDEX('Resumo Operacional'!$A$1:$P$1103,53,MATCH('Detalhe Por UC'!$R846,'Resumo Operacional'!$A$1:$P$1,0)),
IF($H846="GIROSSOL II e III",AP846/INDEX('Resumo Operacional'!$A$1:$P$1103,53,MATCH('Detalhe Por UC'!$R846,'Resumo Operacional'!$A$1:$P$1,0)),
""))</f>
        <v/>
      </c>
      <c r="X846">
        <v>1.2081080586080584</v>
      </c>
      <c r="Z846" s="18">
        <v>1.2081301369863013</v>
      </c>
      <c r="AB846" s="18">
        <v>273</v>
      </c>
      <c r="AD846" s="143">
        <v>73</v>
      </c>
      <c r="AF846" s="18">
        <v>0</v>
      </c>
      <c r="AG846">
        <v>0</v>
      </c>
      <c r="AH846">
        <v>59.51</v>
      </c>
      <c r="AL846" s="43"/>
      <c r="AN846" s="71">
        <f t="shared" si="494"/>
        <v>0</v>
      </c>
      <c r="AO846" s="71">
        <f t="shared" si="495"/>
        <v>0</v>
      </c>
      <c r="AP846" s="71">
        <f t="shared" si="496"/>
        <v>73</v>
      </c>
      <c r="AQ846" s="72">
        <f>IF(OR($H846="GIROSSOL II",$H846="GIROSSOL II e III"),INDEX('Resumo Operacional'!$A$1:$P$1103,MATCH("Energia Injetada prevista total Fatura da Usina (TUSD)",'Resumo Operacional'!$B$1:$B$1103,0),MATCH('Detalhe Por UC'!$R846,'Resumo Operacional'!$A$1:$P$1,0))*$S846,INDEX('Resumo Operacional'!$A$1:$P$1103,53,MATCH('Detalhe Por UC'!$R846,'Resumo Operacional'!$A$1:$P$1,0))*$S846)</f>
        <v>118.631</v>
      </c>
      <c r="AR846" s="71">
        <f t="shared" si="497"/>
        <v>-45.631</v>
      </c>
      <c r="AS846" s="73">
        <f t="shared" si="498"/>
        <v>301.12999999999994</v>
      </c>
      <c r="AT846" s="74">
        <f t="shared" si="499"/>
        <v>301.12999999999994</v>
      </c>
      <c r="AU846" s="74">
        <f t="shared" si="500"/>
        <v>1.2081522153645443</v>
      </c>
      <c r="AV846" s="74">
        <f t="shared" si="501"/>
        <v>64.506558188633221</v>
      </c>
      <c r="AW846" s="74">
        <f t="shared" si="502"/>
        <v>-146.72</v>
      </c>
      <c r="AX846" s="74">
        <f t="shared" si="503"/>
        <v>-58.526499999999999</v>
      </c>
      <c r="AY846" s="74">
        <f t="shared" si="504"/>
        <v>-82.21</v>
      </c>
      <c r="AZ846" s="155">
        <v>0</v>
      </c>
      <c r="BA846" s="117">
        <v>1E-10</v>
      </c>
      <c r="BC846" s="73" t="str">
        <f t="shared" si="505"/>
        <v/>
      </c>
      <c r="BD846" s="73">
        <f t="shared" si="506"/>
        <v>389.32349999999991</v>
      </c>
      <c r="BE846" s="73">
        <f t="shared" si="507"/>
        <v>365.63655818863316</v>
      </c>
      <c r="BF846" s="77">
        <f t="shared" si="508"/>
        <v>23.69</v>
      </c>
      <c r="BG846" s="77">
        <f t="shared" si="509"/>
        <v>7.1070000000000002</v>
      </c>
      <c r="BH846" s="77">
        <f t="shared" si="510"/>
        <v>88.1935</v>
      </c>
      <c r="BI846" s="78">
        <f t="shared" si="511"/>
        <v>-0.4</v>
      </c>
      <c r="BJ846" s="79">
        <f t="shared" si="512"/>
        <v>6.0849139597275802E-2</v>
      </c>
      <c r="BK846" s="80">
        <f t="shared" si="513"/>
        <v>218.91999999999996</v>
      </c>
      <c r="BL846" s="80">
        <f t="shared" si="514"/>
        <v>170.40349999999995</v>
      </c>
      <c r="BM846" s="79">
        <f t="shared" si="515"/>
        <v>0.4376912773053771</v>
      </c>
      <c r="BN846" s="81">
        <f t="shared" si="516"/>
        <v>-1.1261643835616437</v>
      </c>
      <c r="BO846" s="82">
        <f t="shared" si="517"/>
        <v>-82.21</v>
      </c>
      <c r="BP846" s="81">
        <f t="shared" si="518"/>
        <v>-1.1261643835616437</v>
      </c>
      <c r="BQ846" s="81">
        <f t="shared" si="519"/>
        <v>-1.1261864619398867</v>
      </c>
      <c r="BR846" s="81">
        <f t="shared" si="520"/>
        <v>1.2081080586080584</v>
      </c>
      <c r="BS846" s="82">
        <f t="shared" si="521"/>
        <v>73</v>
      </c>
      <c r="BT846" s="82">
        <f t="shared" si="522"/>
        <v>88.191888278388262</v>
      </c>
      <c r="BU846" s="82">
        <f t="shared" si="523"/>
        <v>88.1935</v>
      </c>
      <c r="BW846" s="82">
        <f>IFERROR(INDEX('Infos Clientes'!$T:$T,MATCH('Detalhe Por UC'!$C846,'Infos Clientes'!B:B,0)),"")</f>
        <v>182.25</v>
      </c>
      <c r="BX846" s="83">
        <f t="shared" si="524"/>
        <v>0</v>
      </c>
      <c r="BY846" s="84">
        <f t="shared" si="525"/>
        <v>1.9321901744761483</v>
      </c>
      <c r="BZ846" s="85">
        <f>IF(_xlfn.MINIFS('Detalhe Por UC'!R:R,'Detalhe Por UC'!C:C,C846,'Detalhe Por UC'!AD:AD,"&gt;"&amp;0)=0,"",_xlfn.MINIFS('Detalhe Por UC'!R:R,'Detalhe Por UC'!C:C,C846,'Detalhe Por UC'!AD:AD,"&gt;"&amp;0))</f>
        <v>45627</v>
      </c>
      <c r="CA846" s="114">
        <f ca="1">IF(OR(S846&gt;0,AD846&gt;0),IFERROR(
SUMIFS(INDIRECT("'Infos Clientes'!$W"&amp;INDEX('Infos Clientes'!$C:$C,MATCH(C846,'Infos Clientes'!$H:$H,0))&amp;":$CZ"&amp;INDEX('Infos Clientes'!$C:$C,MATCH(C846,'Infos Clientes'!$H:$H,0))),'Infos Clientes'!$W$2:$CZ$2,"&gt;"&amp;$R846-365,'Infos Clientes'!$W$2:$CZ$2,"&lt;="&amp;$R846)/
COUNTIFS(INDIRECT("'Infos Clientes'!$W"&amp;INDEX('Infos Clientes'!$C:$C,MATCH(C846,'Infos Clientes'!$H:$H,0))&amp;":$CZ"&amp;INDEX('Infos Clientes'!$C:$C,MATCH(C846,'Infos Clientes'!$H:$H,0))),"&gt;="&amp;0,'Infos Clientes'!$W$2:$CZ$2,"&gt;"&amp;$R846-365,'Infos Clientes'!$W$2:$CZ$2,"&lt;="&amp;$R846),""),"")</f>
        <v>265.5</v>
      </c>
      <c r="CB846" s="87">
        <f>VLOOKUP(C846,'Infos Clientes'!B:L,11,0)</f>
        <v>0</v>
      </c>
      <c r="CC846" s="88" t="str">
        <f t="shared" si="526"/>
        <v>A Unidade Consumidora 10/1184751-4 economizou R$23,69 na fatura referente à set/2025  consumindo 73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6" s="115">
        <f t="shared" si="527"/>
        <v>-301.12999999999994</v>
      </c>
    </row>
    <row r="847" spans="1:84" ht="16.2" hidden="1" customHeight="1" x14ac:dyDescent="0.3">
      <c r="A847" s="105" t="str">
        <f>INDEX('Infos Clientes'!$D:$D,MATCH('Detalhe Por UC'!C847,'Infos Clientes'!B:B,0))</f>
        <v>IGREJA DO EVANGELHO QUADRANGULAR</v>
      </c>
      <c r="B847" s="106" t="str">
        <f>INDEX('Infos Clientes'!$F:$F,MATCH('Detalhe Por UC'!C847,'Infos Clientes'!B:B,0))</f>
        <v>62.955.505/4612-10</v>
      </c>
      <c r="C847" s="31" t="s">
        <v>60</v>
      </c>
      <c r="D847" t="s">
        <v>351</v>
      </c>
      <c r="E847" s="1" t="s">
        <v>352</v>
      </c>
      <c r="F847" s="56" t="str">
        <f>INDEX('Infos Clientes'!$I:$I,MATCH('Detalhe Por UC'!C847,'Infos Clientes'!B:B,0))</f>
        <v>BT</v>
      </c>
      <c r="G847" s="56" t="str">
        <f>INDEX('Infos Clientes'!$J:$J,MATCH('Detalhe Por UC'!C847,'Infos Clientes'!B:B,0))</f>
        <v>trifasico</v>
      </c>
      <c r="H847" s="47" t="str">
        <f t="shared" si="493"/>
        <v>GIROSSOL II</v>
      </c>
      <c r="I847" s="58">
        <f>IFERROR(VLOOKUP(C847,'Infos Clientes'!B:E,4,),"")</f>
        <v>306</v>
      </c>
      <c r="J847" s="151">
        <v>0.26857922422136293</v>
      </c>
      <c r="K847" s="79">
        <f>INDEX('Resumo Operacional'!$A$1:$P$151,MATCH("Desconto percentual Ucs",'Resumo Operacional'!$B$1:$B$151,0),MATCH('Detalhe Por UC'!$R847,'Resumo Operacional'!$A$1:$P$1,0))</f>
        <v>0.26857922422136293</v>
      </c>
      <c r="M847" s="56"/>
      <c r="N847" s="56"/>
      <c r="O847" s="56"/>
      <c r="P847" s="56"/>
      <c r="Q847" s="61"/>
      <c r="R847" s="111">
        <v>45901</v>
      </c>
      <c r="S847" s="152">
        <v>8.8999999999999999E-3</v>
      </c>
      <c r="T847" s="113">
        <f>IF($H847="GIROSSOL II",AP847/INDEX('Resumo Operacional'!$A$1:$P$1103,17,MATCH('Detalhe Por UC'!$R847,'Resumo Operacional'!$A$1:$P$1,0)),
IF($H847="GIROSSOL II e III",AP847/INDEX('Resumo Operacional'!$A$1:$P$1103,17,MATCH('Detalhe Por UC'!$R847,'Resumo Operacional'!$A$1:$P$1,0)),
""))</f>
        <v>5.9689288634505316E-3</v>
      </c>
      <c r="U847" s="113" t="str">
        <f>IF($H847="GIROSSOL III",AP847/INDEX('Resumo Operacional'!$A$1:$P$1103,53,MATCH('Detalhe Por UC'!$R847,'Resumo Operacional'!$A$1:$P$1,0)),
IF($H847="GIROSSOL II e III",AP847/INDEX('Resumo Operacional'!$A$1:$P$1103,53,MATCH('Detalhe Por UC'!$R847,'Resumo Operacional'!$A$1:$P$1,0)),
""))</f>
        <v/>
      </c>
      <c r="X847">
        <v>1.2080138613861386</v>
      </c>
      <c r="Z847" s="18">
        <v>1.2079294117647059</v>
      </c>
      <c r="AB847" s="18">
        <v>202</v>
      </c>
      <c r="AD847" s="143">
        <v>102</v>
      </c>
      <c r="AF847" s="18">
        <v>146</v>
      </c>
      <c r="AG847">
        <v>0</v>
      </c>
      <c r="AH847">
        <v>70.37</v>
      </c>
      <c r="AL847" s="43"/>
      <c r="AN847" s="71">
        <f t="shared" si="494"/>
        <v>-29</v>
      </c>
      <c r="AO847" s="71">
        <f t="shared" si="495"/>
        <v>0</v>
      </c>
      <c r="AP847" s="71">
        <f t="shared" si="496"/>
        <v>73</v>
      </c>
      <c r="AQ847" s="72">
        <f>IF(OR($H847="GIROSSOL II",$H847="GIROSSOL II e III"),INDEX('Resumo Operacional'!$A$1:$P$1103,MATCH("Energia Injetada prevista total Fatura da Usina (TUSD)",'Resumo Operacional'!$B$1:$B$1103,0),MATCH('Detalhe Por UC'!$R847,'Resumo Operacional'!$A$1:$P$1,0))*$S847,INDEX('Resumo Operacional'!$A$1:$P$1103,53,MATCH('Detalhe Por UC'!$R847,'Resumo Operacional'!$A$1:$P$1,0))*$S847)</f>
        <v>108.84699999999999</v>
      </c>
      <c r="AR847" s="71">
        <f t="shared" si="497"/>
        <v>-35.846999999999994</v>
      </c>
      <c r="AS847" s="73">
        <f t="shared" si="498"/>
        <v>191.18</v>
      </c>
      <c r="AT847" s="74">
        <f t="shared" si="499"/>
        <v>191.18</v>
      </c>
      <c r="AU847" s="74">
        <f t="shared" si="500"/>
        <v>1.2078449621432732</v>
      </c>
      <c r="AV847" s="74">
        <f t="shared" si="501"/>
        <v>90.117476078754947</v>
      </c>
      <c r="AW847" s="74">
        <f t="shared" si="502"/>
        <v>0</v>
      </c>
      <c r="AX847" s="74">
        <f t="shared" si="503"/>
        <v>123.2088</v>
      </c>
      <c r="AY847" s="74">
        <f t="shared" si="504"/>
        <v>90.12</v>
      </c>
      <c r="AZ847" s="117">
        <v>90.12</v>
      </c>
      <c r="BA847" s="117">
        <v>90.12</v>
      </c>
      <c r="BB847" s="117">
        <v>90.12</v>
      </c>
      <c r="BC847" s="73" t="str">
        <f t="shared" si="505"/>
        <v/>
      </c>
      <c r="BD847" s="73">
        <f t="shared" si="506"/>
        <v>314.3888</v>
      </c>
      <c r="BE847" s="73">
        <f t="shared" si="507"/>
        <v>281.29747607875493</v>
      </c>
      <c r="BF847" s="77">
        <f t="shared" si="508"/>
        <v>33.090000000000003</v>
      </c>
      <c r="BG847" s="77">
        <f t="shared" si="509"/>
        <v>9.9270000000000014</v>
      </c>
      <c r="BH847" s="77">
        <f t="shared" si="510"/>
        <v>123.20880000000001</v>
      </c>
      <c r="BI847" s="78">
        <f t="shared" si="511"/>
        <v>0.27</v>
      </c>
      <c r="BJ847" s="79">
        <f t="shared" si="512"/>
        <v>0.10525184103250498</v>
      </c>
      <c r="BK847" s="80">
        <f t="shared" si="513"/>
        <v>281.3</v>
      </c>
      <c r="BL847" s="80">
        <f t="shared" si="514"/>
        <v>33.088799999999992</v>
      </c>
      <c r="BM847" s="79">
        <f t="shared" si="515"/>
        <v>0.10524802410263977</v>
      </c>
      <c r="BN847" s="81">
        <f t="shared" si="516"/>
        <v>0.8835294117647059</v>
      </c>
      <c r="BO847" s="82">
        <f t="shared" si="517"/>
        <v>90.12</v>
      </c>
      <c r="BP847" s="81">
        <f t="shared" si="518"/>
        <v>0.8835294117647059</v>
      </c>
      <c r="BQ847" s="81">
        <f t="shared" si="519"/>
        <v>0.88361386138613862</v>
      </c>
      <c r="BR847" s="81">
        <f t="shared" si="520"/>
        <v>1.2080138613861386</v>
      </c>
      <c r="BS847" s="82">
        <f t="shared" si="521"/>
        <v>102</v>
      </c>
      <c r="BT847" s="82">
        <f t="shared" si="522"/>
        <v>123.21741386138615</v>
      </c>
      <c r="BU847" s="82">
        <f t="shared" si="523"/>
        <v>123.2088</v>
      </c>
      <c r="BW847" s="82">
        <f>IFERROR(INDEX('Infos Clientes'!$T:$T,MATCH('Detalhe Por UC'!$C847,'Infos Clientes'!B:B,0)),"")</f>
        <v>279.08333333333331</v>
      </c>
      <c r="BX847" s="83">
        <f t="shared" si="524"/>
        <v>0</v>
      </c>
      <c r="BY847" s="84">
        <f t="shared" si="525"/>
        <v>0.26853996495352001</v>
      </c>
      <c r="BZ847" s="85">
        <f>IF(_xlfn.MINIFS('Detalhe Por UC'!R:R,'Detalhe Por UC'!C:C,C847,'Detalhe Por UC'!AD:AD,"&gt;"&amp;0)=0,"",_xlfn.MINIFS('Detalhe Por UC'!R:R,'Detalhe Por UC'!C:C,C847,'Detalhe Por UC'!AD:AD,"&gt;"&amp;0))</f>
        <v>45627</v>
      </c>
      <c r="CA847" s="114">
        <f ca="1">IF(OR(S847&gt;0,AD847&gt;0),IFERROR(
SUMIFS(INDIRECT("'Infos Clientes'!$W"&amp;INDEX('Infos Clientes'!$C:$C,MATCH(C847,'Infos Clientes'!$H:$H,0))&amp;":$CZ"&amp;INDEX('Infos Clientes'!$C:$C,MATCH(C847,'Infos Clientes'!$H:$H,0))),'Infos Clientes'!$W$2:$CZ$2,"&gt;"&amp;$R847-365,'Infos Clientes'!$W$2:$CZ$2,"&lt;="&amp;$R847)/
COUNTIFS(INDIRECT("'Infos Clientes'!$W"&amp;INDEX('Infos Clientes'!$C:$C,MATCH(C847,'Infos Clientes'!$H:$H,0))&amp;":$CZ"&amp;INDEX('Infos Clientes'!$C:$C,MATCH(C847,'Infos Clientes'!$H:$H,0))),"&gt;="&amp;0,'Infos Clientes'!$W$2:$CZ$2,"&gt;"&amp;$R847-365,'Infos Clientes'!$W$2:$CZ$2,"&lt;="&amp;$R847),""),"")</f>
        <v>276.58333333333331</v>
      </c>
      <c r="CB847" s="87">
        <f>VLOOKUP(C847,'Infos Clientes'!B:L,11,0)</f>
        <v>0</v>
      </c>
      <c r="CC847" s="88" t="str">
        <f t="shared" si="526"/>
        <v>A Unidade Consumidora 10/1698130-0 economizou R$33,09 na fatura referente à set/2025  consumindo 102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7" s="115">
        <f t="shared" si="527"/>
        <v>-191.18</v>
      </c>
    </row>
    <row r="848" spans="1:84" ht="16.2" hidden="1" customHeight="1" x14ac:dyDescent="0.3">
      <c r="A848" s="105" t="str">
        <f>INDEX('Infos Clientes'!$D:$D,MATCH('Detalhe Por UC'!C848,'Infos Clientes'!B:B,0))</f>
        <v>IGREJA DO EVANGELHO QUADRANGULAR</v>
      </c>
      <c r="B848" s="106" t="str">
        <f>INDEX('Infos Clientes'!$F:$F,MATCH('Detalhe Por UC'!C848,'Infos Clientes'!B:B,0))</f>
        <v>62.955.505/0153-50</v>
      </c>
      <c r="C848" s="31" t="s">
        <v>45</v>
      </c>
      <c r="D848" t="s">
        <v>351</v>
      </c>
      <c r="E848" s="1" t="s">
        <v>352</v>
      </c>
      <c r="F848" s="56" t="str">
        <f>INDEX('Infos Clientes'!$I:$I,MATCH('Detalhe Por UC'!C848,'Infos Clientes'!B:B,0))</f>
        <v>BT</v>
      </c>
      <c r="G848" s="56" t="str">
        <f>INDEX('Infos Clientes'!$J:$J,MATCH('Detalhe Por UC'!C848,'Infos Clientes'!B:B,0))</f>
        <v>trifasico</v>
      </c>
      <c r="H848" s="47" t="str">
        <f t="shared" si="493"/>
        <v>GIROSSOL II</v>
      </c>
      <c r="I848" s="58">
        <f>IFERROR(VLOOKUP(C848,'Infos Clientes'!B:E,4,),"")</f>
        <v>994</v>
      </c>
      <c r="J848" s="151">
        <v>0.26857922422136293</v>
      </c>
      <c r="K848" s="79">
        <f>INDEX('Resumo Operacional'!$A$1:$P$151,MATCH("Desconto percentual Ucs",'Resumo Operacional'!$B$1:$B$151,0),MATCH('Detalhe Por UC'!$R848,'Resumo Operacional'!$A$1:$P$1,0))</f>
        <v>0.26857922422136293</v>
      </c>
      <c r="M848" s="56"/>
      <c r="N848" s="56"/>
      <c r="O848" s="56"/>
      <c r="P848" s="56"/>
      <c r="Q848" s="61"/>
      <c r="R848" s="111">
        <v>45901</v>
      </c>
      <c r="S848" s="152">
        <v>8.3000000000000001E-3</v>
      </c>
      <c r="T848" s="113">
        <f>IF($H848="GIROSSOL II",AP848/INDEX('Resumo Operacional'!$A$1:$P$1103,17,MATCH('Detalhe Por UC'!$R848,'Resumo Operacional'!$A$1:$P$1,0)),
IF($H848="GIROSSOL II e III",AP848/INDEX('Resumo Operacional'!$A$1:$P$1103,17,MATCH('Detalhe Por UC'!$R848,'Resumo Operacional'!$A$1:$P$1,0)),
""))</f>
        <v>5.9689288634505316E-3</v>
      </c>
      <c r="U848" s="113" t="str">
        <f>IF($H848="GIROSSOL III",AP848/INDEX('Resumo Operacional'!$A$1:$P$1103,53,MATCH('Detalhe Por UC'!$R848,'Resumo Operacional'!$A$1:$P$1,0)),
IF($H848="GIROSSOL II e III",AP848/INDEX('Resumo Operacional'!$A$1:$P$1103,53,MATCH('Detalhe Por UC'!$R848,'Resumo Operacional'!$A$1:$P$1,0)),
""))</f>
        <v/>
      </c>
      <c r="X848">
        <v>1.2081046511627906</v>
      </c>
      <c r="Z848" s="18">
        <v>1.2081086956521738</v>
      </c>
      <c r="AB848" s="18">
        <v>215</v>
      </c>
      <c r="AD848" s="143">
        <v>115</v>
      </c>
      <c r="AF848" s="18">
        <v>616</v>
      </c>
      <c r="AG848">
        <v>0</v>
      </c>
      <c r="AH848">
        <v>50.4</v>
      </c>
      <c r="AL848" s="43"/>
      <c r="AN848" s="71">
        <f t="shared" si="494"/>
        <v>-42</v>
      </c>
      <c r="AO848" s="71">
        <f t="shared" si="495"/>
        <v>0</v>
      </c>
      <c r="AP848" s="71">
        <f t="shared" si="496"/>
        <v>73</v>
      </c>
      <c r="AQ848" s="72">
        <f>IF(OR($H848="GIROSSOL II",$H848="GIROSSOL II e III"),INDEX('Resumo Operacional'!$A$1:$P$1103,MATCH("Energia Injetada prevista total Fatura da Usina (TUSD)",'Resumo Operacional'!$B$1:$B$1103,0),MATCH('Detalhe Por UC'!$R848,'Resumo Operacional'!$A$1:$P$1,0))*$S848,INDEX('Resumo Operacional'!$A$1:$P$1103,53,MATCH('Detalhe Por UC'!$R848,'Resumo Operacional'!$A$1:$P$1,0))*$S848)</f>
        <v>101.509</v>
      </c>
      <c r="AR848" s="71">
        <f t="shared" si="497"/>
        <v>-28.509</v>
      </c>
      <c r="AS848" s="73">
        <f t="shared" si="498"/>
        <v>171.21000000000004</v>
      </c>
      <c r="AT848" s="74">
        <f t="shared" si="499"/>
        <v>171.21000000000004</v>
      </c>
      <c r="AU848" s="74">
        <f t="shared" si="500"/>
        <v>1.2081127401415568</v>
      </c>
      <c r="AV848" s="74">
        <f t="shared" si="501"/>
        <v>101.61811693086548</v>
      </c>
      <c r="AW848" s="74">
        <f t="shared" si="502"/>
        <v>0</v>
      </c>
      <c r="AX848" s="74">
        <f t="shared" si="503"/>
        <v>138.93249999999998</v>
      </c>
      <c r="AY848" s="74">
        <f t="shared" si="504"/>
        <v>101.62</v>
      </c>
      <c r="AZ848" s="117">
        <v>101.62</v>
      </c>
      <c r="BA848" s="117">
        <v>101.62</v>
      </c>
      <c r="BB848" s="117">
        <v>101.62</v>
      </c>
      <c r="BC848" s="73" t="str">
        <f t="shared" si="505"/>
        <v/>
      </c>
      <c r="BD848" s="73">
        <f t="shared" si="506"/>
        <v>310.14249999999998</v>
      </c>
      <c r="BE848" s="73">
        <f t="shared" si="507"/>
        <v>272.82811693086552</v>
      </c>
      <c r="BF848" s="77">
        <f t="shared" si="508"/>
        <v>37.31</v>
      </c>
      <c r="BG848" s="77">
        <f t="shared" si="509"/>
        <v>11.193</v>
      </c>
      <c r="BH848" s="77">
        <f t="shared" si="510"/>
        <v>138.93249999999998</v>
      </c>
      <c r="BI848" s="78">
        <f t="shared" si="511"/>
        <v>0.27</v>
      </c>
      <c r="BJ848" s="79">
        <f t="shared" si="512"/>
        <v>0.12029953972770582</v>
      </c>
      <c r="BK848" s="80">
        <f t="shared" si="513"/>
        <v>272.83000000000004</v>
      </c>
      <c r="BL848" s="80">
        <f t="shared" si="514"/>
        <v>37.312499999999943</v>
      </c>
      <c r="BM848" s="79">
        <f t="shared" si="515"/>
        <v>0.12030760053846198</v>
      </c>
      <c r="BN848" s="81">
        <f t="shared" si="516"/>
        <v>0.88365217391304351</v>
      </c>
      <c r="BO848" s="82">
        <f t="shared" si="517"/>
        <v>101.62</v>
      </c>
      <c r="BP848" s="81">
        <f t="shared" si="518"/>
        <v>0.88365217391304351</v>
      </c>
      <c r="BQ848" s="81">
        <f t="shared" si="519"/>
        <v>0.88364812942366033</v>
      </c>
      <c r="BR848" s="81">
        <f t="shared" si="520"/>
        <v>1.2081046511627906</v>
      </c>
      <c r="BS848" s="82">
        <f t="shared" si="521"/>
        <v>115</v>
      </c>
      <c r="BT848" s="82">
        <f t="shared" si="522"/>
        <v>138.93203488372092</v>
      </c>
      <c r="BU848" s="82">
        <f t="shared" si="523"/>
        <v>138.93249999999998</v>
      </c>
      <c r="BW848" s="82">
        <f>IFERROR(INDEX('Infos Clientes'!$T:$T,MATCH('Detalhe Por UC'!$C848,'Infos Clientes'!B:B,0)),"")</f>
        <v>362.41666666666669</v>
      </c>
      <c r="BX848" s="83">
        <f t="shared" si="524"/>
        <v>0</v>
      </c>
      <c r="BY848" s="84">
        <f t="shared" si="525"/>
        <v>0.26856656948290336</v>
      </c>
      <c r="BZ848" s="85">
        <f>IF(_xlfn.MINIFS('Detalhe Por UC'!R:R,'Detalhe Por UC'!C:C,C848,'Detalhe Por UC'!AD:AD,"&gt;"&amp;0)=0,"",_xlfn.MINIFS('Detalhe Por UC'!R:R,'Detalhe Por UC'!C:C,C848,'Detalhe Por UC'!AD:AD,"&gt;"&amp;0))</f>
        <v>45627</v>
      </c>
      <c r="CA848" s="114">
        <f ca="1">IF(OR(S848&gt;0,AD848&gt;0),IFERROR(
SUMIFS(INDIRECT("'Infos Clientes'!$W"&amp;INDEX('Infos Clientes'!$C:$C,MATCH(C848,'Infos Clientes'!$H:$H,0))&amp;":$CZ"&amp;INDEX('Infos Clientes'!$C:$C,MATCH(C848,'Infos Clientes'!$H:$H,0))),'Infos Clientes'!$W$2:$CZ$2,"&gt;"&amp;$R848-365,'Infos Clientes'!$W$2:$CZ$2,"&lt;="&amp;$R848)/
COUNTIFS(INDIRECT("'Infos Clientes'!$W"&amp;INDEX('Infos Clientes'!$C:$C,MATCH(C848,'Infos Clientes'!$H:$H,0))&amp;":$CZ"&amp;INDEX('Infos Clientes'!$C:$C,MATCH(C848,'Infos Clientes'!$H:$H,0))),"&gt;="&amp;0,'Infos Clientes'!$W$2:$CZ$2,"&gt;"&amp;$R848-365,'Infos Clientes'!$W$2:$CZ$2,"&lt;="&amp;$R848),""),"")</f>
        <v>327.25</v>
      </c>
      <c r="CB848" s="87">
        <f>VLOOKUP(C848,'Infos Clientes'!B:L,11,0)</f>
        <v>0</v>
      </c>
      <c r="CC848" s="88" t="str">
        <f t="shared" si="526"/>
        <v>A Unidade Consumidora 10/156956-5 economizou R$37,31 na fatura referente à set/2025  consumindo 115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8" s="115">
        <f t="shared" si="527"/>
        <v>-171.21000000000004</v>
      </c>
    </row>
    <row r="849" spans="1:84" ht="16.2" hidden="1" customHeight="1" x14ac:dyDescent="0.3">
      <c r="A849" s="105" t="str">
        <f>INDEX('Infos Clientes'!$D:$D,MATCH('Detalhe Por UC'!C849,'Infos Clientes'!B:B,0))</f>
        <v>IGREJA DO EVANGELHO QUADRANGULAR</v>
      </c>
      <c r="B849" s="106" t="str">
        <f>INDEX('Infos Clientes'!$F:$F,MATCH('Detalhe Por UC'!C849,'Infos Clientes'!B:B,0))</f>
        <v>62.955.505/0170-51</v>
      </c>
      <c r="C849" s="31" t="s">
        <v>73</v>
      </c>
      <c r="D849" t="s">
        <v>351</v>
      </c>
      <c r="E849" s="1" t="s">
        <v>352</v>
      </c>
      <c r="F849" s="56" t="str">
        <f>INDEX('Infos Clientes'!$I:$I,MATCH('Detalhe Por UC'!C849,'Infos Clientes'!B:B,0))</f>
        <v>BT</v>
      </c>
      <c r="G849" s="56" t="str">
        <f>INDEX('Infos Clientes'!$J:$J,MATCH('Detalhe Por UC'!C849,'Infos Clientes'!B:B,0))</f>
        <v>bifasico</v>
      </c>
      <c r="H849" s="47" t="str">
        <f t="shared" si="493"/>
        <v>GIROSSOL II</v>
      </c>
      <c r="I849" s="58">
        <f>IFERROR(VLOOKUP(C849,'Infos Clientes'!B:E,4,),"")</f>
        <v>306</v>
      </c>
      <c r="J849" s="151">
        <v>0.26857922422136293</v>
      </c>
      <c r="K849" s="79">
        <f>INDEX('Resumo Operacional'!$A$1:$P$151,MATCH("Desconto percentual Ucs",'Resumo Operacional'!$B$1:$B$151,0),MATCH('Detalhe Por UC'!$R849,'Resumo Operacional'!$A$1:$P$1,0))</f>
        <v>0.26857922422136293</v>
      </c>
      <c r="M849" s="56"/>
      <c r="N849" s="56"/>
      <c r="O849" s="56"/>
      <c r="P849" s="56"/>
      <c r="Q849" s="61"/>
      <c r="R849" s="111">
        <v>45901</v>
      </c>
      <c r="S849" s="152">
        <v>7.6E-3</v>
      </c>
      <c r="T849" s="113">
        <f>IF($H849="GIROSSOL II",AP849/INDEX('Resumo Operacional'!$A$1:$P$1103,17,MATCH('Detalhe Por UC'!$R849,'Resumo Operacional'!$A$1:$P$1,0)),
IF($H849="GIROSSOL II e III",AP849/INDEX('Resumo Operacional'!$A$1:$P$1103,17,MATCH('Detalhe Por UC'!$R849,'Resumo Operacional'!$A$1:$P$1,0)),
""))</f>
        <v>3.491414554374489E-2</v>
      </c>
      <c r="U849" s="113" t="str">
        <f>IF($H849="GIROSSOL III",AP849/INDEX('Resumo Operacional'!$A$1:$P$1103,53,MATCH('Detalhe Por UC'!$R849,'Resumo Operacional'!$A$1:$P$1,0)),
IF($H849="GIROSSOL II e III",AP849/INDEX('Resumo Operacional'!$A$1:$P$1103,53,MATCH('Detalhe Por UC'!$R849,'Resumo Operacional'!$A$1:$P$1,0)),
""))</f>
        <v/>
      </c>
      <c r="X849">
        <v>1.2084235976789168</v>
      </c>
      <c r="Z849" s="18">
        <v>1.1241774779449922</v>
      </c>
      <c r="AB849" s="18">
        <v>88</v>
      </c>
      <c r="AD849" s="143">
        <v>41</v>
      </c>
      <c r="AF849" s="18">
        <v>386</v>
      </c>
      <c r="AG849">
        <v>0</v>
      </c>
      <c r="AH849">
        <v>0</v>
      </c>
      <c r="AL849" s="43"/>
      <c r="AN849" s="71">
        <f t="shared" si="494"/>
        <v>386</v>
      </c>
      <c r="AO849" s="71">
        <f t="shared" si="495"/>
        <v>0</v>
      </c>
      <c r="AP849" s="71">
        <f t="shared" si="496"/>
        <v>427</v>
      </c>
      <c r="AQ849" s="72">
        <f>IF(OR($H849="GIROSSOL II",$H849="GIROSSOL II e III"),INDEX('Resumo Operacional'!$A$1:$P$1103,MATCH("Energia Injetada prevista total Fatura da Usina (TUSD)",'Resumo Operacional'!$B$1:$B$1103,0),MATCH('Detalhe Por UC'!$R849,'Resumo Operacional'!$A$1:$P$1,0))*$S849,INDEX('Resumo Operacional'!$A$1:$P$1103,53,MATCH('Detalhe Por UC'!$R849,'Resumo Operacional'!$A$1:$P$1,0))*$S849)</f>
        <v>92.947999999999993</v>
      </c>
      <c r="AR849" s="71">
        <f t="shared" si="497"/>
        <v>334.05200000000002</v>
      </c>
      <c r="AS849" s="73">
        <f t="shared" si="498"/>
        <v>60.250000000000007</v>
      </c>
      <c r="AT849" s="74">
        <f t="shared" si="499"/>
        <v>60.250000000000007</v>
      </c>
      <c r="AU849" s="74">
        <f t="shared" si="500"/>
        <v>1.0399313582110676</v>
      </c>
      <c r="AV849" s="74">
        <f t="shared" si="501"/>
        <v>33.712117284287316</v>
      </c>
      <c r="AW849" s="74">
        <f t="shared" si="502"/>
        <v>0</v>
      </c>
      <c r="AX849" s="74">
        <f t="shared" si="503"/>
        <v>46.091276595744681</v>
      </c>
      <c r="AY849" s="74">
        <f t="shared" si="504"/>
        <v>33.71</v>
      </c>
      <c r="AZ849" s="117">
        <v>33.71</v>
      </c>
      <c r="BA849" s="117">
        <v>33.71</v>
      </c>
      <c r="BB849" s="117">
        <v>33.71</v>
      </c>
      <c r="BC849" s="73" t="str">
        <f t="shared" si="505"/>
        <v/>
      </c>
      <c r="BD849" s="73">
        <f t="shared" si="506"/>
        <v>106.34127659574469</v>
      </c>
      <c r="BE849" s="73">
        <f t="shared" si="507"/>
        <v>93.962117284287331</v>
      </c>
      <c r="BF849" s="77">
        <f t="shared" si="508"/>
        <v>12.38</v>
      </c>
      <c r="BG849" s="77">
        <f t="shared" si="509"/>
        <v>3.714</v>
      </c>
      <c r="BH849" s="77">
        <f t="shared" si="510"/>
        <v>46.091276595744681</v>
      </c>
      <c r="BI849" s="78">
        <f t="shared" si="511"/>
        <v>0.27</v>
      </c>
      <c r="BJ849" s="79">
        <f t="shared" si="512"/>
        <v>0.11641763571319957</v>
      </c>
      <c r="BK849" s="80">
        <f t="shared" si="513"/>
        <v>93.960000000000008</v>
      </c>
      <c r="BL849" s="80">
        <f t="shared" si="514"/>
        <v>12.38127659574468</v>
      </c>
      <c r="BM849" s="79">
        <f t="shared" si="515"/>
        <v>0.11642964041904424</v>
      </c>
      <c r="BN849" s="81">
        <f t="shared" si="516"/>
        <v>0.82219512195121958</v>
      </c>
      <c r="BO849" s="82">
        <f t="shared" si="517"/>
        <v>33.71</v>
      </c>
      <c r="BP849" s="81">
        <f t="shared" si="518"/>
        <v>0.82219512195121958</v>
      </c>
      <c r="BQ849" s="81">
        <f t="shared" si="519"/>
        <v>0.90644124168514417</v>
      </c>
      <c r="BR849" s="81">
        <f t="shared" si="520"/>
        <v>1.2084235976789168</v>
      </c>
      <c r="BS849" s="82">
        <f t="shared" si="521"/>
        <v>41</v>
      </c>
      <c r="BT849" s="82">
        <f t="shared" si="522"/>
        <v>49.545367504835589</v>
      </c>
      <c r="BU849" s="82">
        <f t="shared" si="523"/>
        <v>46.091276595744681</v>
      </c>
      <c r="BW849" s="82">
        <f>IFERROR(INDEX('Infos Clientes'!$T:$T,MATCH('Detalhe Por UC'!$C849,'Infos Clientes'!B:B,0)),"")</f>
        <v>153.91666666666666</v>
      </c>
      <c r="BX849" s="83">
        <f t="shared" si="524"/>
        <v>0</v>
      </c>
      <c r="BY849" s="84">
        <f t="shared" si="525"/>
        <v>0.24989776480185108</v>
      </c>
      <c r="BZ849" s="85">
        <f>IF(_xlfn.MINIFS('Detalhe Por UC'!R:R,'Detalhe Por UC'!C:C,C849,'Detalhe Por UC'!AD:AD,"&gt;"&amp;0)=0,"",_xlfn.MINIFS('Detalhe Por UC'!R:R,'Detalhe Por UC'!C:C,C849,'Detalhe Por UC'!AD:AD,"&gt;"&amp;0))</f>
        <v>45627</v>
      </c>
      <c r="CA849" s="114">
        <f ca="1">IF(OR(S849&gt;0,AD849&gt;0),IFERROR(
SUMIFS(INDIRECT("'Infos Clientes'!$W"&amp;INDEX('Infos Clientes'!$C:$C,MATCH(C849,'Infos Clientes'!$H:$H,0))&amp;":$CZ"&amp;INDEX('Infos Clientes'!$C:$C,MATCH(C849,'Infos Clientes'!$H:$H,0))),'Infos Clientes'!$W$2:$CZ$2,"&gt;"&amp;$R849-365,'Infos Clientes'!$W$2:$CZ$2,"&lt;="&amp;$R849)/
COUNTIFS(INDIRECT("'Infos Clientes'!$W"&amp;INDEX('Infos Clientes'!$C:$C,MATCH(C849,'Infos Clientes'!$H:$H,0))&amp;":$CZ"&amp;INDEX('Infos Clientes'!$C:$C,MATCH(C849,'Infos Clientes'!$H:$H,0))),"&gt;="&amp;0,'Infos Clientes'!$W$2:$CZ$2,"&gt;"&amp;$R849-365,'Infos Clientes'!$W$2:$CZ$2,"&lt;="&amp;$R849),""),"")</f>
        <v>141.75</v>
      </c>
      <c r="CB849" s="87">
        <f>VLOOKUP(C849,'Infos Clientes'!B:L,11,0)</f>
        <v>0</v>
      </c>
      <c r="CC849" s="88" t="str">
        <f t="shared" si="526"/>
        <v>A Unidade Consumidora 10/218777-1 economizou R$12,38 na fatura referente à set/2025  consumindo 41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49" s="115">
        <f t="shared" si="527"/>
        <v>-60.250000000000007</v>
      </c>
    </row>
    <row r="850" spans="1:84" ht="16.2" hidden="1" customHeight="1" x14ac:dyDescent="0.3">
      <c r="A850" s="105" t="str">
        <f>INDEX('Infos Clientes'!$D:$D,MATCH('Detalhe Por UC'!C850,'Infos Clientes'!B:B,0))</f>
        <v>IGREJA DO EVANGELHO QUADRANGULAR</v>
      </c>
      <c r="B850" s="106" t="str">
        <f>INDEX('Infos Clientes'!$F:$F,MATCH('Detalhe Por UC'!C850,'Infos Clientes'!B:B,0))</f>
        <v>62.955.505/0001-67</v>
      </c>
      <c r="C850" s="31" t="s">
        <v>103</v>
      </c>
      <c r="D850" t="s">
        <v>351</v>
      </c>
      <c r="E850" s="1" t="s">
        <v>352</v>
      </c>
      <c r="F850" s="56" t="str">
        <f>INDEX('Infos Clientes'!$I:$I,MATCH('Detalhe Por UC'!C850,'Infos Clientes'!B:B,0))</f>
        <v>BT</v>
      </c>
      <c r="G850" s="56" t="str">
        <f>INDEX('Infos Clientes'!$J:$J,MATCH('Detalhe Por UC'!C850,'Infos Clientes'!B:B,0))</f>
        <v>monofasico</v>
      </c>
      <c r="H850" s="47" t="str">
        <f t="shared" si="493"/>
        <v>GIROSSOL II</v>
      </c>
      <c r="I850" s="58">
        <f>IFERROR(VLOOKUP(C850,'Infos Clientes'!B:E,4,),"")</f>
        <v>306</v>
      </c>
      <c r="J850" s="151">
        <v>0.26857922422136293</v>
      </c>
      <c r="K850" s="79">
        <f>INDEX('Resumo Operacional'!$A$1:$P$151,MATCH("Desconto percentual Ucs",'Resumo Operacional'!$B$1:$B$151,0),MATCH('Detalhe Por UC'!$R850,'Resumo Operacional'!$A$1:$P$1,0))</f>
        <v>0.26857922422136293</v>
      </c>
      <c r="M850" s="56"/>
      <c r="N850" s="56"/>
      <c r="O850" s="56"/>
      <c r="P850" s="56"/>
      <c r="Q850" s="61"/>
      <c r="R850" s="111">
        <v>45901</v>
      </c>
      <c r="S850" s="152">
        <v>7.1999999999999998E-3</v>
      </c>
      <c r="T850" s="113">
        <f>IF($H850="GIROSSOL II",AP850/INDEX('Resumo Operacional'!$A$1:$P$1103,17,MATCH('Detalhe Por UC'!$R850,'Resumo Operacional'!$A$1:$P$1,0)),
IF($H850="GIROSSOL II e III",AP850/INDEX('Resumo Operacional'!$A$1:$P$1103,17,MATCH('Detalhe Por UC'!$R850,'Resumo Operacional'!$A$1:$P$1,0)),
""))</f>
        <v>1.6189697465249387E-2</v>
      </c>
      <c r="U850" s="113" t="str">
        <f>IF($H850="GIROSSOL III",AP850/INDEX('Resumo Operacional'!$A$1:$P$1103,53,MATCH('Detalhe Por UC'!$R850,'Resumo Operacional'!$A$1:$P$1,0)),
IF($H850="GIROSSOL II e III",AP850/INDEX('Resumo Operacional'!$A$1:$P$1103,53,MATCH('Detalhe Por UC'!$R850,'Resumo Operacional'!$A$1:$P$1,0)),
""))</f>
        <v/>
      </c>
      <c r="X850">
        <v>1.2082997601918464</v>
      </c>
      <c r="Z850" s="18">
        <v>1.2081987767584097</v>
      </c>
      <c r="AB850" s="18">
        <v>139</v>
      </c>
      <c r="AD850" s="143">
        <v>109</v>
      </c>
      <c r="AF850" s="18">
        <v>89</v>
      </c>
      <c r="AG850">
        <v>0</v>
      </c>
      <c r="AH850">
        <v>0</v>
      </c>
      <c r="AL850" s="43"/>
      <c r="AN850" s="71">
        <f t="shared" si="494"/>
        <v>89</v>
      </c>
      <c r="AO850" s="71">
        <f t="shared" si="495"/>
        <v>0</v>
      </c>
      <c r="AP850" s="71">
        <f t="shared" si="496"/>
        <v>198</v>
      </c>
      <c r="AQ850" s="72">
        <f>IF(OR($H850="GIROSSOL II",$H850="GIROSSOL II e III"),INDEX('Resumo Operacional'!$A$1:$P$1103,MATCH("Energia Injetada prevista total Fatura da Usina (TUSD)",'Resumo Operacional'!$B$1:$B$1103,0),MATCH('Detalhe Por UC'!$R850,'Resumo Operacional'!$A$1:$P$1,0))*$S850,INDEX('Resumo Operacional'!$A$1:$P$1103,53,MATCH('Detalhe Por UC'!$R850,'Resumo Operacional'!$A$1:$P$1,0))*$S850)</f>
        <v>88.055999999999997</v>
      </c>
      <c r="AR850" s="71">
        <f t="shared" si="497"/>
        <v>109.944</v>
      </c>
      <c r="AS850" s="73">
        <f t="shared" si="498"/>
        <v>36.259999999999991</v>
      </c>
      <c r="AT850" s="74">
        <f t="shared" si="499"/>
        <v>36.259999999999991</v>
      </c>
      <c r="AU850" s="74">
        <f t="shared" si="500"/>
        <v>1.2080977933249728</v>
      </c>
      <c r="AV850" s="74">
        <f t="shared" si="501"/>
        <v>96.323483838466558</v>
      </c>
      <c r="AW850" s="74">
        <f t="shared" si="502"/>
        <v>0</v>
      </c>
      <c r="AX850" s="74">
        <f t="shared" si="503"/>
        <v>131.69366666666664</v>
      </c>
      <c r="AY850" s="74">
        <f t="shared" si="504"/>
        <v>96.32</v>
      </c>
      <c r="AZ850" s="117">
        <v>96.32</v>
      </c>
      <c r="BA850" s="117">
        <v>96.32</v>
      </c>
      <c r="BB850" s="117">
        <v>96.32</v>
      </c>
      <c r="BC850" s="73" t="str">
        <f t="shared" si="505"/>
        <v/>
      </c>
      <c r="BD850" s="73">
        <f t="shared" si="506"/>
        <v>167.95366666666663</v>
      </c>
      <c r="BE850" s="73">
        <f t="shared" si="507"/>
        <v>132.58348383846655</v>
      </c>
      <c r="BF850" s="77">
        <f t="shared" si="508"/>
        <v>35.369999999999997</v>
      </c>
      <c r="BG850" s="77">
        <f t="shared" si="509"/>
        <v>10.610999999999999</v>
      </c>
      <c r="BH850" s="77">
        <f t="shared" si="510"/>
        <v>131.69366666666664</v>
      </c>
      <c r="BI850" s="78">
        <f t="shared" si="511"/>
        <v>0.27</v>
      </c>
      <c r="BJ850" s="79">
        <f t="shared" si="512"/>
        <v>0.21059379471719386</v>
      </c>
      <c r="BK850" s="80">
        <f t="shared" si="513"/>
        <v>132.57999999999998</v>
      </c>
      <c r="BL850" s="80">
        <f t="shared" si="514"/>
        <v>35.373666666666651</v>
      </c>
      <c r="BM850" s="79">
        <f t="shared" si="515"/>
        <v>0.21061562613498558</v>
      </c>
      <c r="BN850" s="81">
        <f t="shared" si="516"/>
        <v>0.8836697247706421</v>
      </c>
      <c r="BO850" s="82">
        <f t="shared" si="517"/>
        <v>96.32</v>
      </c>
      <c r="BP850" s="81">
        <f t="shared" si="518"/>
        <v>0.8836697247706421</v>
      </c>
      <c r="BQ850" s="81">
        <f t="shared" si="519"/>
        <v>0.88377070820407877</v>
      </c>
      <c r="BR850" s="81">
        <f t="shared" si="520"/>
        <v>1.2082997601918462</v>
      </c>
      <c r="BS850" s="82">
        <f t="shared" si="521"/>
        <v>109</v>
      </c>
      <c r="BT850" s="82">
        <f t="shared" si="522"/>
        <v>131.70467386091124</v>
      </c>
      <c r="BU850" s="82">
        <f t="shared" si="523"/>
        <v>131.69366666666664</v>
      </c>
      <c r="BW850" s="82">
        <f>IFERROR(INDEX('Infos Clientes'!$T:$T,MATCH('Detalhe Por UC'!$C850,'Infos Clientes'!B:B,0)),"")</f>
        <v>144</v>
      </c>
      <c r="BX850" s="83">
        <f t="shared" si="524"/>
        <v>0</v>
      </c>
      <c r="BY850" s="84">
        <f t="shared" si="525"/>
        <v>0.26858322965837622</v>
      </c>
      <c r="BZ850" s="85">
        <f>IF(_xlfn.MINIFS('Detalhe Por UC'!R:R,'Detalhe Por UC'!C:C,C850,'Detalhe Por UC'!AD:AD,"&gt;"&amp;0)=0,"",_xlfn.MINIFS('Detalhe Por UC'!R:R,'Detalhe Por UC'!C:C,C850,'Detalhe Por UC'!AD:AD,"&gt;"&amp;0))</f>
        <v>45627</v>
      </c>
      <c r="CA850" s="114">
        <f ca="1">IF(OR(S850&gt;0,AD850&gt;0),IFERROR(
SUMIFS(INDIRECT("'Infos Clientes'!$W"&amp;INDEX('Infos Clientes'!$C:$C,MATCH(C850,'Infos Clientes'!$H:$H,0))&amp;":$CZ"&amp;INDEX('Infos Clientes'!$C:$C,MATCH(C850,'Infos Clientes'!$H:$H,0))),'Infos Clientes'!$W$2:$CZ$2,"&gt;"&amp;$R850-365,'Infos Clientes'!$W$2:$CZ$2,"&lt;="&amp;$R850)/
COUNTIFS(INDIRECT("'Infos Clientes'!$W"&amp;INDEX('Infos Clientes'!$C:$C,MATCH(C850,'Infos Clientes'!$H:$H,0))&amp;":$CZ"&amp;INDEX('Infos Clientes'!$C:$C,MATCH(C850,'Infos Clientes'!$H:$H,0))),"&gt;="&amp;0,'Infos Clientes'!$W$2:$CZ$2,"&gt;"&amp;$R850-365,'Infos Clientes'!$W$2:$CZ$2,"&lt;="&amp;$R850),""),"")</f>
        <v>121.5</v>
      </c>
      <c r="CB850" s="87">
        <f>VLOOKUP(C850,'Infos Clientes'!B:L,11,0)</f>
        <v>0</v>
      </c>
      <c r="CC850" s="88" t="str">
        <f t="shared" si="526"/>
        <v>A Unidade Consumidora 10/384823-1 economizou R$35,37 na fatura referente à set/2025  consumindo 109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0" s="115">
        <f t="shared" si="527"/>
        <v>-36.259999999999991</v>
      </c>
    </row>
    <row r="851" spans="1:84" ht="16.2" hidden="1" customHeight="1" x14ac:dyDescent="0.3">
      <c r="A851" s="105" t="str">
        <f>INDEX('Infos Clientes'!$D:$D,MATCH('Detalhe Por UC'!C851,'Infos Clientes'!B:B,0))</f>
        <v>IGREJA DO EVANGELHO QUADRANGULAR</v>
      </c>
      <c r="B851" s="106" t="str">
        <f>INDEX('Infos Clientes'!$F:$F,MATCH('Detalhe Por UC'!C851,'Infos Clientes'!B:B,0))</f>
        <v>62.955.505/1821-76</v>
      </c>
      <c r="C851" s="31" t="s">
        <v>81</v>
      </c>
      <c r="D851" t="s">
        <v>351</v>
      </c>
      <c r="E851" s="1" t="s">
        <v>352</v>
      </c>
      <c r="F851" s="56" t="str">
        <f>INDEX('Infos Clientes'!$I:$I,MATCH('Detalhe Por UC'!C851,'Infos Clientes'!B:B,0))</f>
        <v>BT</v>
      </c>
      <c r="G851" s="56" t="str">
        <f>INDEX('Infos Clientes'!$J:$J,MATCH('Detalhe Por UC'!C851,'Infos Clientes'!B:B,0))</f>
        <v>bifasico</v>
      </c>
      <c r="H851" s="47" t="str">
        <f t="shared" si="493"/>
        <v>GIROSSOL II</v>
      </c>
      <c r="I851" s="58">
        <f>IFERROR(VLOOKUP(C851,'Infos Clientes'!B:E,4,),"")</f>
        <v>362</v>
      </c>
      <c r="J851" s="151">
        <v>0.26857922422136293</v>
      </c>
      <c r="K851" s="79">
        <f>INDEX('Resumo Operacional'!$A$1:$P$151,MATCH("Desconto percentual Ucs",'Resumo Operacional'!$B$1:$B$151,0),MATCH('Detalhe Por UC'!$R851,'Resumo Operacional'!$A$1:$P$1,0))</f>
        <v>0.26857922422136293</v>
      </c>
      <c r="M851" s="56"/>
      <c r="N851" s="56"/>
      <c r="O851" s="56"/>
      <c r="P851" s="56"/>
      <c r="Q851" s="61"/>
      <c r="R851" s="111">
        <v>45901</v>
      </c>
      <c r="S851" s="152">
        <v>6.7999999999999996E-3</v>
      </c>
      <c r="T851" s="113">
        <f>IF($H851="GIROSSOL II",AP851/INDEX('Resumo Operacional'!$A$1:$P$1103,17,MATCH('Detalhe Por UC'!$R851,'Resumo Operacional'!$A$1:$P$1,0)),
IF($H851="GIROSSOL II e III",AP851/INDEX('Resumo Operacional'!$A$1:$P$1103,17,MATCH('Detalhe Por UC'!$R851,'Resumo Operacional'!$A$1:$P$1,0)),
""))</f>
        <v>5.9689288634505316E-3</v>
      </c>
      <c r="U851" s="113" t="str">
        <f>IF($H851="GIROSSOL III",AP851/INDEX('Resumo Operacional'!$A$1:$P$1103,53,MATCH('Detalhe Por UC'!$R851,'Resumo Operacional'!$A$1:$P$1,0)),
IF($H851="GIROSSOL II e III",AP851/INDEX('Resumo Operacional'!$A$1:$P$1103,53,MATCH('Detalhe Por UC'!$R851,'Resumo Operacional'!$A$1:$P$1,0)),
""))</f>
        <v/>
      </c>
      <c r="X851">
        <v>1.2079964912280701</v>
      </c>
      <c r="Z851" s="18">
        <v>1.2079714285714285</v>
      </c>
      <c r="AB851" s="18">
        <v>57</v>
      </c>
      <c r="AD851" s="143">
        <v>7</v>
      </c>
      <c r="AF851" s="18">
        <v>308</v>
      </c>
      <c r="AG851">
        <v>0</v>
      </c>
      <c r="AH851">
        <v>14.6</v>
      </c>
      <c r="AL851" s="43"/>
      <c r="AN851" s="71">
        <f t="shared" si="494"/>
        <v>66</v>
      </c>
      <c r="AO851" s="71">
        <f t="shared" si="495"/>
        <v>0</v>
      </c>
      <c r="AP851" s="71">
        <f t="shared" si="496"/>
        <v>73</v>
      </c>
      <c r="AQ851" s="72">
        <f>IF(OR($H851="GIROSSOL II",$H851="GIROSSOL II e III"),INDEX('Resumo Operacional'!$A$1:$P$1103,MATCH("Energia Injetada prevista total Fatura da Usina (TUSD)",'Resumo Operacional'!$B$1:$B$1103,0),MATCH('Detalhe Por UC'!$R851,'Resumo Operacional'!$A$1:$P$1,0))*$S851,INDEX('Resumo Operacional'!$A$1:$P$1103,53,MATCH('Detalhe Por UC'!$R851,'Resumo Operacional'!$A$1:$P$1,0))*$S851)</f>
        <v>83.164000000000001</v>
      </c>
      <c r="AR851" s="71">
        <f t="shared" si="497"/>
        <v>-10.164000000000001</v>
      </c>
      <c r="AS851" s="73">
        <f t="shared" si="498"/>
        <v>74.999999999999986</v>
      </c>
      <c r="AT851" s="74">
        <f t="shared" si="499"/>
        <v>74.999999999999986</v>
      </c>
      <c r="AU851" s="74">
        <f t="shared" si="500"/>
        <v>1.2079463659147869</v>
      </c>
      <c r="AV851" s="74">
        <f t="shared" si="501"/>
        <v>6.1847477958289989</v>
      </c>
      <c r="AW851" s="74">
        <f t="shared" si="502"/>
        <v>0</v>
      </c>
      <c r="AX851" s="74">
        <f t="shared" si="503"/>
        <v>8.4558</v>
      </c>
      <c r="AY851" s="74">
        <f t="shared" si="504"/>
        <v>6.18</v>
      </c>
      <c r="AZ851" s="117">
        <v>6.18</v>
      </c>
      <c r="BA851" s="117">
        <v>6.18</v>
      </c>
      <c r="BC851" s="73" t="str">
        <f t="shared" si="505"/>
        <v/>
      </c>
      <c r="BD851" s="73">
        <f t="shared" si="506"/>
        <v>83.455799999999982</v>
      </c>
      <c r="BE851" s="73">
        <f t="shared" si="507"/>
        <v>81.184747795828983</v>
      </c>
      <c r="BF851" s="77">
        <f t="shared" si="508"/>
        <v>2.27</v>
      </c>
      <c r="BG851" s="77">
        <f t="shared" si="509"/>
        <v>0.68099999999999994</v>
      </c>
      <c r="BH851" s="77">
        <f t="shared" si="510"/>
        <v>8.4558</v>
      </c>
      <c r="BI851" s="78">
        <f t="shared" si="511"/>
        <v>0.27</v>
      </c>
      <c r="BJ851" s="79">
        <f t="shared" si="512"/>
        <v>2.7200026840555128E-2</v>
      </c>
      <c r="BK851" s="80">
        <f t="shared" si="513"/>
        <v>81.179999999999978</v>
      </c>
      <c r="BL851" s="80">
        <f t="shared" si="514"/>
        <v>2.2758000000000038</v>
      </c>
      <c r="BM851" s="79">
        <f t="shared" si="515"/>
        <v>2.7269524706491393E-2</v>
      </c>
      <c r="BN851" s="81">
        <f t="shared" si="516"/>
        <v>0.88285714285714278</v>
      </c>
      <c r="BO851" s="82">
        <f t="shared" si="517"/>
        <v>6.18</v>
      </c>
      <c r="BP851" s="81">
        <f t="shared" si="518"/>
        <v>0.88285714285714278</v>
      </c>
      <c r="BQ851" s="81">
        <f t="shared" si="519"/>
        <v>0.88288220551378438</v>
      </c>
      <c r="BR851" s="81">
        <f t="shared" si="520"/>
        <v>1.2079964912280701</v>
      </c>
      <c r="BS851" s="82">
        <f t="shared" si="521"/>
        <v>7</v>
      </c>
      <c r="BT851" s="82">
        <f t="shared" si="522"/>
        <v>8.4559754385964911</v>
      </c>
      <c r="BU851" s="82">
        <f t="shared" si="523"/>
        <v>8.4558</v>
      </c>
      <c r="BW851" s="82">
        <f>IFERROR(INDEX('Infos Clientes'!$T:$T,MATCH('Detalhe Por UC'!$C851,'Infos Clientes'!B:B,0)),"")</f>
        <v>153.91666666666666</v>
      </c>
      <c r="BX851" s="83">
        <f t="shared" si="524"/>
        <v>0</v>
      </c>
      <c r="BY851" s="84">
        <f t="shared" si="525"/>
        <v>0.26913512421196595</v>
      </c>
      <c r="BZ851" s="85">
        <f>IF(_xlfn.MINIFS('Detalhe Por UC'!R:R,'Detalhe Por UC'!C:C,C851,'Detalhe Por UC'!AD:AD,"&gt;"&amp;0)=0,"",_xlfn.MINIFS('Detalhe Por UC'!R:R,'Detalhe Por UC'!C:C,C851,'Detalhe Por UC'!AD:AD,"&gt;"&amp;0))</f>
        <v>45627</v>
      </c>
      <c r="CA851" s="114">
        <f ca="1">IF(OR(S851&gt;0,AD851&gt;0),IFERROR(
SUMIFS(INDIRECT("'Infos Clientes'!$W"&amp;INDEX('Infos Clientes'!$C:$C,MATCH(C851,'Infos Clientes'!$H:$H,0))&amp;":$CZ"&amp;INDEX('Infos Clientes'!$C:$C,MATCH(C851,'Infos Clientes'!$H:$H,0))),'Infos Clientes'!$W$2:$CZ$2,"&gt;"&amp;$R851-365,'Infos Clientes'!$W$2:$CZ$2,"&lt;="&amp;$R851)/
COUNTIFS(INDIRECT("'Infos Clientes'!$W"&amp;INDEX('Infos Clientes'!$C:$C,MATCH(C851,'Infos Clientes'!$H:$H,0))&amp;":$CZ"&amp;INDEX('Infos Clientes'!$C:$C,MATCH(C851,'Infos Clientes'!$H:$H,0))),"&gt;="&amp;0,'Infos Clientes'!$W$2:$CZ$2,"&gt;"&amp;$R851-365,'Infos Clientes'!$W$2:$CZ$2,"&lt;="&amp;$R851),""),"")</f>
        <v>170.33333333333334</v>
      </c>
      <c r="CB851" s="87">
        <f>VLOOKUP(C851,'Infos Clientes'!B:L,11,0)</f>
        <v>0</v>
      </c>
      <c r="CC851" s="88" t="str">
        <f t="shared" si="526"/>
        <v>A Unidade Consumidora 10/257864-9 economizou R$2,27 na fatura referente à set/2025  consumindo 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1" s="115">
        <f t="shared" si="527"/>
        <v>-74.999999999999986</v>
      </c>
    </row>
    <row r="852" spans="1:84" ht="16.2" hidden="1" customHeight="1" x14ac:dyDescent="0.3">
      <c r="A852" s="105" t="str">
        <f>INDEX('Infos Clientes'!$D:$D,MATCH('Detalhe Por UC'!C852,'Infos Clientes'!B:B,0))</f>
        <v>IGREJA DO EVANGELHO QUADRANGULAR</v>
      </c>
      <c r="B852" s="106" t="str">
        <f>INDEX('Infos Clientes'!$F:$F,MATCH('Detalhe Por UC'!C852,'Infos Clientes'!B:B,0))</f>
        <v>62.955.505/2730-58</v>
      </c>
      <c r="C852" s="31" t="s">
        <v>108</v>
      </c>
      <c r="D852" t="s">
        <v>351</v>
      </c>
      <c r="E852" s="1" t="s">
        <v>352</v>
      </c>
      <c r="F852" s="56" t="str">
        <f>INDEX('Infos Clientes'!$I:$I,MATCH('Detalhe Por UC'!C852,'Infos Clientes'!B:B,0))</f>
        <v>BT</v>
      </c>
      <c r="G852" s="56" t="str">
        <f>INDEX('Infos Clientes'!$J:$J,MATCH('Detalhe Por UC'!C852,'Infos Clientes'!B:B,0))</f>
        <v>trifasico</v>
      </c>
      <c r="H852" s="47" t="str">
        <f t="shared" si="493"/>
        <v>GIROSSOL II</v>
      </c>
      <c r="I852" s="58">
        <f>IFERROR(VLOOKUP(C852,'Infos Clientes'!B:E,4,),"")</f>
        <v>306</v>
      </c>
      <c r="J852" s="151">
        <v>0.26857922422136293</v>
      </c>
      <c r="K852" s="79">
        <f>INDEX('Resumo Operacional'!$A$1:$P$151,MATCH("Desconto percentual Ucs",'Resumo Operacional'!$B$1:$B$151,0),MATCH('Detalhe Por UC'!$R852,'Resumo Operacional'!$A$1:$P$1,0))</f>
        <v>0.26857922422136293</v>
      </c>
      <c r="M852" s="56"/>
      <c r="N852" s="56"/>
      <c r="O852" s="56"/>
      <c r="P852" s="56"/>
      <c r="Q852" s="61"/>
      <c r="R852" s="111">
        <v>45901</v>
      </c>
      <c r="S852" s="152">
        <v>6.7999999999999996E-3</v>
      </c>
      <c r="T852" s="113">
        <f>IF($H852="GIROSSOL II",AP852/INDEX('Resumo Operacional'!$A$1:$P$1103,17,MATCH('Detalhe Por UC'!$R852,'Resumo Operacional'!$A$1:$P$1,0)),
IF($H852="GIROSSOL II e III",AP852/INDEX('Resumo Operacional'!$A$1:$P$1103,17,MATCH('Detalhe Por UC'!$R852,'Resumo Operacional'!$A$1:$P$1,0)),
""))</f>
        <v>1.7906786590351595E-2</v>
      </c>
      <c r="U852" s="113" t="str">
        <f>IF($H852="GIROSSOL III",AP852/INDEX('Resumo Operacional'!$A$1:$P$1103,53,MATCH('Detalhe Por UC'!$R852,'Resumo Operacional'!$A$1:$P$1,0)),
IF($H852="GIROSSOL II e III",AP852/INDEX('Resumo Operacional'!$A$1:$P$1103,53,MATCH('Detalhe Por UC'!$R852,'Resumo Operacional'!$A$1:$P$1,0)),
""))</f>
        <v/>
      </c>
      <c r="X852">
        <v>1.2080782828282828</v>
      </c>
      <c r="Z852" s="18">
        <v>1.1404473304473306</v>
      </c>
      <c r="AB852" s="18">
        <v>120</v>
      </c>
      <c r="AD852" s="143">
        <v>21</v>
      </c>
      <c r="AF852" s="18">
        <v>198</v>
      </c>
      <c r="AG852">
        <v>0</v>
      </c>
      <c r="AH852">
        <v>0</v>
      </c>
      <c r="AL852" s="43"/>
      <c r="AN852" s="71">
        <f t="shared" si="494"/>
        <v>198</v>
      </c>
      <c r="AO852" s="71">
        <f t="shared" si="495"/>
        <v>0</v>
      </c>
      <c r="AP852" s="71">
        <f t="shared" si="496"/>
        <v>219</v>
      </c>
      <c r="AQ852" s="72">
        <f>IF(OR($H852="GIROSSOL II",$H852="GIROSSOL II e III"),INDEX('Resumo Operacional'!$A$1:$P$1103,MATCH("Energia Injetada prevista total Fatura da Usina (TUSD)",'Resumo Operacional'!$B$1:$B$1103,0),MATCH('Detalhe Por UC'!$R852,'Resumo Operacional'!$A$1:$P$1,0))*$S852,INDEX('Resumo Operacional'!$A$1:$P$1103,53,MATCH('Detalhe Por UC'!$R852,'Resumo Operacional'!$A$1:$P$1,0))*$S852)</f>
        <v>83.164000000000001</v>
      </c>
      <c r="AR852" s="71">
        <f t="shared" si="497"/>
        <v>135.83600000000001</v>
      </c>
      <c r="AS852" s="73">
        <f t="shared" si="498"/>
        <v>121.02</v>
      </c>
      <c r="AT852" s="74">
        <f t="shared" si="499"/>
        <v>121.02</v>
      </c>
      <c r="AU852" s="74">
        <f t="shared" si="500"/>
        <v>1.0728163780663784</v>
      </c>
      <c r="AV852" s="74">
        <f t="shared" si="501"/>
        <v>17.517084294579707</v>
      </c>
      <c r="AW852" s="74">
        <f t="shared" si="502"/>
        <v>0</v>
      </c>
      <c r="AX852" s="74">
        <f t="shared" si="503"/>
        <v>23.949393939393943</v>
      </c>
      <c r="AY852" s="74">
        <f t="shared" si="504"/>
        <v>17.52</v>
      </c>
      <c r="AZ852" s="117">
        <v>17.52</v>
      </c>
      <c r="BA852" s="117">
        <v>17.52</v>
      </c>
      <c r="BB852" s="117">
        <v>17.52</v>
      </c>
      <c r="BC852" s="73" t="str">
        <f t="shared" si="505"/>
        <v/>
      </c>
      <c r="BD852" s="73">
        <f t="shared" si="506"/>
        <v>144.96939393939394</v>
      </c>
      <c r="BE852" s="73">
        <f t="shared" si="507"/>
        <v>138.5370842945797</v>
      </c>
      <c r="BF852" s="77">
        <f t="shared" si="508"/>
        <v>6.43</v>
      </c>
      <c r="BG852" s="77">
        <f t="shared" si="509"/>
        <v>1.9289999999999998</v>
      </c>
      <c r="BH852" s="77">
        <f t="shared" si="510"/>
        <v>23.949393939393943</v>
      </c>
      <c r="BI852" s="78">
        <f t="shared" si="511"/>
        <v>0.27</v>
      </c>
      <c r="BJ852" s="79">
        <f t="shared" si="512"/>
        <v>4.4354189703573792E-2</v>
      </c>
      <c r="BK852" s="80">
        <f t="shared" si="513"/>
        <v>138.54</v>
      </c>
      <c r="BL852" s="80">
        <f t="shared" si="514"/>
        <v>6.4293939393939468</v>
      </c>
      <c r="BM852" s="79">
        <f t="shared" si="515"/>
        <v>4.4350009092828421E-2</v>
      </c>
      <c r="BN852" s="81">
        <f t="shared" si="516"/>
        <v>0.8342857142857143</v>
      </c>
      <c r="BO852" s="82">
        <f t="shared" si="517"/>
        <v>17.52</v>
      </c>
      <c r="BP852" s="81">
        <f t="shared" si="518"/>
        <v>0.8342857142857143</v>
      </c>
      <c r="BQ852" s="81">
        <f t="shared" si="519"/>
        <v>0.90191666666666648</v>
      </c>
      <c r="BR852" s="81">
        <f t="shared" si="520"/>
        <v>1.2080782828282828</v>
      </c>
      <c r="BS852" s="82">
        <f t="shared" si="521"/>
        <v>21</v>
      </c>
      <c r="BT852" s="82">
        <f t="shared" si="522"/>
        <v>25.369643939393939</v>
      </c>
      <c r="BU852" s="82">
        <f t="shared" si="523"/>
        <v>23.949393939393943</v>
      </c>
      <c r="BW852" s="82">
        <f>IFERROR(INDEX('Infos Clientes'!$T:$T,MATCH('Detalhe Por UC'!$C852,'Infos Clientes'!B:B,0)),"")</f>
        <v>187.5</v>
      </c>
      <c r="BX852" s="83">
        <f t="shared" si="524"/>
        <v>0</v>
      </c>
      <c r="BY852" s="84">
        <f t="shared" si="525"/>
        <v>0.25342862338759081</v>
      </c>
      <c r="BZ852" s="85">
        <f>IF(_xlfn.MINIFS('Detalhe Por UC'!R:R,'Detalhe Por UC'!C:C,C852,'Detalhe Por UC'!AD:AD,"&gt;"&amp;0)=0,"",_xlfn.MINIFS('Detalhe Por UC'!R:R,'Detalhe Por UC'!C:C,C852,'Detalhe Por UC'!AD:AD,"&gt;"&amp;0))</f>
        <v>45627</v>
      </c>
      <c r="CA852" s="114">
        <f ca="1">IF(OR(S852&gt;0,AD852&gt;0),IFERROR(
SUMIFS(INDIRECT("'Infos Clientes'!$W"&amp;INDEX('Infos Clientes'!$C:$C,MATCH(C852,'Infos Clientes'!$H:$H,0))&amp;":$CZ"&amp;INDEX('Infos Clientes'!$C:$C,MATCH(C852,'Infos Clientes'!$H:$H,0))),'Infos Clientes'!$W$2:$CZ$2,"&gt;"&amp;$R852-365,'Infos Clientes'!$W$2:$CZ$2,"&lt;="&amp;$R852)/
COUNTIFS(INDIRECT("'Infos Clientes'!$W"&amp;INDEX('Infos Clientes'!$C:$C,MATCH(C852,'Infos Clientes'!$H:$H,0))&amp;":$CZ"&amp;INDEX('Infos Clientes'!$C:$C,MATCH(C852,'Infos Clientes'!$H:$H,0))),"&gt;="&amp;0,'Infos Clientes'!$W$2:$CZ$2,"&gt;"&amp;$R852-365,'Infos Clientes'!$W$2:$CZ$2,"&lt;="&amp;$R852),""),"")</f>
        <v>190</v>
      </c>
      <c r="CB852" s="87">
        <f>VLOOKUP(C852,'Infos Clientes'!B:L,11,0)</f>
        <v>0</v>
      </c>
      <c r="CC852" s="88" t="str">
        <f t="shared" si="526"/>
        <v>A Unidade Consumidora 10/501586-2 economizou R$6,43 na fatura referente à set/2025  consumindo 21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2" s="115">
        <f t="shared" si="527"/>
        <v>-121.02</v>
      </c>
    </row>
    <row r="853" spans="1:84" ht="16.2" hidden="1" customHeight="1" x14ac:dyDescent="0.3">
      <c r="A853" s="105" t="str">
        <f>INDEX('Infos Clientes'!$D:$D,MATCH('Detalhe Por UC'!C853,'Infos Clientes'!B:B,0))</f>
        <v>IGREJA DO EVANGELHO QUADRANGULAR</v>
      </c>
      <c r="B853" s="106" t="str">
        <f>INDEX('Infos Clientes'!$F:$F,MATCH('Detalhe Por UC'!C853,'Infos Clientes'!B:B,0))</f>
        <v>62.955.505/0172-13</v>
      </c>
      <c r="C853" s="31" t="s">
        <v>79</v>
      </c>
      <c r="D853" t="s">
        <v>351</v>
      </c>
      <c r="E853" s="1" t="s">
        <v>352</v>
      </c>
      <c r="F853" s="56" t="str">
        <f>INDEX('Infos Clientes'!$I:$I,MATCH('Detalhe Por UC'!C853,'Infos Clientes'!B:B,0))</f>
        <v>BT</v>
      </c>
      <c r="G853" s="56" t="str">
        <f>INDEX('Infos Clientes'!$J:$J,MATCH('Detalhe Por UC'!C853,'Infos Clientes'!B:B,0))</f>
        <v>trifasico</v>
      </c>
      <c r="H853" s="47" t="str">
        <f t="shared" si="493"/>
        <v>GIROSSOL II</v>
      </c>
      <c r="I853" s="58">
        <f>IFERROR(VLOOKUP(C853,'Infos Clientes'!B:E,4,),"")</f>
        <v>371</v>
      </c>
      <c r="J853" s="151">
        <v>0.26857922422136293</v>
      </c>
      <c r="K853" s="79">
        <f>INDEX('Resumo Operacional'!$A$1:$P$151,MATCH("Desconto percentual Ucs",'Resumo Operacional'!$B$1:$B$151,0),MATCH('Detalhe Por UC'!$R853,'Resumo Operacional'!$A$1:$P$1,0))</f>
        <v>0.26857922422136293</v>
      </c>
      <c r="M853" s="56"/>
      <c r="N853" s="56"/>
      <c r="O853" s="56"/>
      <c r="P853" s="56"/>
      <c r="Q853" s="61"/>
      <c r="R853" s="111">
        <v>45901</v>
      </c>
      <c r="S853" s="152">
        <v>6.4999999999999997E-3</v>
      </c>
      <c r="T853" s="113">
        <f>IF($H853="GIROSSOL II",AP853/INDEX('Resumo Operacional'!$A$1:$P$1103,17,MATCH('Detalhe Por UC'!$R853,'Resumo Operacional'!$A$1:$P$1,0)),
IF($H853="GIROSSOL II e III",AP853/INDEX('Resumo Operacional'!$A$1:$P$1103,17,MATCH('Detalhe Por UC'!$R853,'Resumo Operacional'!$A$1:$P$1,0)),
""))</f>
        <v>4.7097301717089125E-2</v>
      </c>
      <c r="U853" s="113" t="str">
        <f>IF($H853="GIROSSOL III",AP853/INDEX('Resumo Operacional'!$A$1:$P$1103,53,MATCH('Detalhe Por UC'!$R853,'Resumo Operacional'!$A$1:$P$1,0)),
IF($H853="GIROSSOL II e III",AP853/INDEX('Resumo Operacional'!$A$1:$P$1103,53,MATCH('Detalhe Por UC'!$R853,'Resumo Operacional'!$A$1:$P$1,0)),
""))</f>
        <v/>
      </c>
      <c r="X853">
        <v>1.208</v>
      </c>
      <c r="Z853" s="18">
        <v>0</v>
      </c>
      <c r="AB853" s="18">
        <v>0</v>
      </c>
      <c r="AD853" s="143">
        <v>0</v>
      </c>
      <c r="AF853" s="18">
        <v>576</v>
      </c>
      <c r="AG853">
        <v>0</v>
      </c>
      <c r="AH853">
        <v>6.16</v>
      </c>
      <c r="AL853" s="43"/>
      <c r="AN853" s="71">
        <f t="shared" si="494"/>
        <v>576</v>
      </c>
      <c r="AO853" s="71">
        <f t="shared" si="495"/>
        <v>0</v>
      </c>
      <c r="AP853" s="71">
        <f t="shared" si="496"/>
        <v>576</v>
      </c>
      <c r="AQ853" s="72">
        <f>IF(OR($H853="GIROSSOL II",$H853="GIROSSOL II e III"),INDEX('Resumo Operacional'!$A$1:$P$1103,MATCH("Energia Injetada prevista total Fatura da Usina (TUSD)",'Resumo Operacional'!$B$1:$B$1103,0),MATCH('Detalhe Por UC'!$R853,'Resumo Operacional'!$A$1:$P$1,0))*$S853,INDEX('Resumo Operacional'!$A$1:$P$1103,53,MATCH('Detalhe Por UC'!$R853,'Resumo Operacional'!$A$1:$P$1,0))*$S853)</f>
        <v>79.49499999999999</v>
      </c>
      <c r="AR853" s="71">
        <f t="shared" si="497"/>
        <v>496.505</v>
      </c>
      <c r="AS853" s="73">
        <f t="shared" si="498"/>
        <v>126.96</v>
      </c>
      <c r="AT853" s="74">
        <f t="shared" si="499"/>
        <v>126.96</v>
      </c>
      <c r="AU853" s="74" t="str">
        <f t="shared" si="500"/>
        <v/>
      </c>
      <c r="AV853" s="74">
        <f t="shared" si="501"/>
        <v>0</v>
      </c>
      <c r="AW853" s="74">
        <f t="shared" si="502"/>
        <v>0</v>
      </c>
      <c r="AX853" s="74">
        <f t="shared" si="503"/>
        <v>0</v>
      </c>
      <c r="AY853" s="74" t="str">
        <f t="shared" si="504"/>
        <v/>
      </c>
      <c r="AZ853" s="117">
        <v>0</v>
      </c>
      <c r="BA853" s="117">
        <v>1E-10</v>
      </c>
      <c r="BC853" s="73" t="str">
        <f t="shared" si="505"/>
        <v/>
      </c>
      <c r="BD853" s="73">
        <f t="shared" si="506"/>
        <v>126.96</v>
      </c>
      <c r="BE853" s="73">
        <f t="shared" si="507"/>
        <v>126.96</v>
      </c>
      <c r="BF853" s="77">
        <f t="shared" si="508"/>
        <v>0</v>
      </c>
      <c r="BG853" s="77">
        <f t="shared" si="509"/>
        <v>0</v>
      </c>
      <c r="BH853" s="77">
        <f t="shared" si="510"/>
        <v>0</v>
      </c>
      <c r="BI853" s="78" t="str">
        <f t="shared" si="511"/>
        <v/>
      </c>
      <c r="BJ853" s="79">
        <f t="shared" si="512"/>
        <v>0</v>
      </c>
      <c r="BK853" s="80" t="str">
        <f t="shared" si="513"/>
        <v/>
      </c>
      <c r="BL853" s="80" t="str">
        <f t="shared" si="514"/>
        <v/>
      </c>
      <c r="BM853" s="79" t="str">
        <f t="shared" si="515"/>
        <v/>
      </c>
      <c r="BN853" s="81" t="str">
        <f t="shared" si="516"/>
        <v/>
      </c>
      <c r="BO853" s="82" t="str">
        <f t="shared" si="517"/>
        <v/>
      </c>
      <c r="BP853" s="81" t="str">
        <f t="shared" si="518"/>
        <v/>
      </c>
      <c r="BQ853" s="81" t="str">
        <f t="shared" si="519"/>
        <v/>
      </c>
      <c r="BR853" s="81" t="str">
        <f t="shared" si="520"/>
        <v/>
      </c>
      <c r="BS853" s="82">
        <f t="shared" si="521"/>
        <v>0</v>
      </c>
      <c r="BT853" s="82" t="str">
        <f t="shared" si="522"/>
        <v/>
      </c>
      <c r="BU853" s="82">
        <f t="shared" si="523"/>
        <v>0</v>
      </c>
      <c r="BW853" s="82">
        <f>IFERROR(INDEX('Infos Clientes'!$T:$T,MATCH('Detalhe Por UC'!$C853,'Infos Clientes'!B:B,0)),"")</f>
        <v>166.66666666666666</v>
      </c>
      <c r="BX853" s="83">
        <f t="shared" si="524"/>
        <v>0</v>
      </c>
      <c r="BY853" s="84" t="str">
        <f t="shared" si="525"/>
        <v/>
      </c>
      <c r="BZ853" s="85">
        <f>IF(_xlfn.MINIFS('Detalhe Por UC'!R:R,'Detalhe Por UC'!C:C,C853,'Detalhe Por UC'!AD:AD,"&gt;"&amp;0)=0,"",_xlfn.MINIFS('Detalhe Por UC'!R:R,'Detalhe Por UC'!C:C,C853,'Detalhe Por UC'!AD:AD,"&gt;"&amp;0))</f>
        <v>45627</v>
      </c>
      <c r="CA853" s="114">
        <f ca="1">IF(OR(S853&gt;0,AD853&gt;0),IFERROR(
SUMIFS(INDIRECT("'Infos Clientes'!$W"&amp;INDEX('Infos Clientes'!$C:$C,MATCH(C853,'Infos Clientes'!$H:$H,0))&amp;":$CZ"&amp;INDEX('Infos Clientes'!$C:$C,MATCH(C853,'Infos Clientes'!$H:$H,0))),'Infos Clientes'!$W$2:$CZ$2,"&gt;"&amp;$R853-365,'Infos Clientes'!$W$2:$CZ$2,"&lt;="&amp;$R853)/
COUNTIFS(INDIRECT("'Infos Clientes'!$W"&amp;INDEX('Infos Clientes'!$C:$C,MATCH(C853,'Infos Clientes'!$H:$H,0))&amp;":$CZ"&amp;INDEX('Infos Clientes'!$C:$C,MATCH(C853,'Infos Clientes'!$H:$H,0))),"&gt;="&amp;0,'Infos Clientes'!$W$2:$CZ$2,"&gt;"&amp;$R853-365,'Infos Clientes'!$W$2:$CZ$2,"&lt;="&amp;$R853),""),"")</f>
        <v>208.77777777777777</v>
      </c>
      <c r="CB853" s="87">
        <f>VLOOKUP(C853,'Infos Clientes'!B:L,11,0)</f>
        <v>0</v>
      </c>
      <c r="CC853" s="88" t="str">
        <f t="shared" si="526"/>
        <v>A Unidade Consumidora 10/237441-1 economizou R$0 na fatura referente à set/2025  consumindo 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3" s="115">
        <f t="shared" si="527"/>
        <v>-126.96</v>
      </c>
    </row>
    <row r="854" spans="1:84" ht="16.2" hidden="1" customHeight="1" x14ac:dyDescent="0.3">
      <c r="A854" s="105" t="str">
        <f>INDEX('Infos Clientes'!$D:$D,MATCH('Detalhe Por UC'!C854,'Infos Clientes'!B:B,0))</f>
        <v>IGREJA DO EVANGELHO QUADRANGULAR</v>
      </c>
      <c r="B854" s="106" t="str">
        <f>INDEX('Infos Clientes'!$F:$F,MATCH('Detalhe Por UC'!C854,'Infos Clientes'!B:B,0))</f>
        <v>62.955.505/0408-94</v>
      </c>
      <c r="C854" s="31" t="s">
        <v>76</v>
      </c>
      <c r="D854" t="s">
        <v>351</v>
      </c>
      <c r="E854" s="1" t="s">
        <v>352</v>
      </c>
      <c r="F854" s="56" t="str">
        <f>INDEX('Infos Clientes'!$I:$I,MATCH('Detalhe Por UC'!C854,'Infos Clientes'!B:B,0))</f>
        <v>BT</v>
      </c>
      <c r="G854" s="56" t="str">
        <f>INDEX('Infos Clientes'!$J:$J,MATCH('Detalhe Por UC'!C854,'Infos Clientes'!B:B,0))</f>
        <v>bifasico</v>
      </c>
      <c r="H854" s="47" t="str">
        <f t="shared" si="493"/>
        <v>GIROSSOL II</v>
      </c>
      <c r="I854" s="58">
        <f>IFERROR(VLOOKUP(C854,'Infos Clientes'!B:E,4,),"")</f>
        <v>371</v>
      </c>
      <c r="J854" s="151">
        <v>0.26857922422136293</v>
      </c>
      <c r="K854" s="79">
        <f>INDEX('Resumo Operacional'!$A$1:$P$151,MATCH("Desconto percentual Ucs",'Resumo Operacional'!$B$1:$B$151,0),MATCH('Detalhe Por UC'!$R854,'Resumo Operacional'!$A$1:$P$1,0))</f>
        <v>0.26857922422136293</v>
      </c>
      <c r="M854" s="56"/>
      <c r="N854" s="56"/>
      <c r="O854" s="56"/>
      <c r="P854" s="56"/>
      <c r="Q854" s="61"/>
      <c r="R854" s="111">
        <v>45901</v>
      </c>
      <c r="S854" s="152">
        <v>6.1999999999999998E-3</v>
      </c>
      <c r="T854" s="113">
        <f>IF($H854="GIROSSOL II",AP854/INDEX('Resumo Operacional'!$A$1:$P$1103,17,MATCH('Detalhe Por UC'!$R854,'Resumo Operacional'!$A$1:$P$1,0)),
IF($H854="GIROSSOL II e III",AP854/INDEX('Resumo Operacional'!$A$1:$P$1103,17,MATCH('Detalhe Por UC'!$R854,'Resumo Operacional'!$A$1:$P$1,0)),
""))</f>
        <v>6.1896974652493865E-2</v>
      </c>
      <c r="U854" s="113" t="str">
        <f>IF($H854="GIROSSOL III",AP854/INDEX('Resumo Operacional'!$A$1:$P$1103,53,MATCH('Detalhe Por UC'!$R854,'Resumo Operacional'!$A$1:$P$1,0)),
IF($H854="GIROSSOL II e III",AP854/INDEX('Resumo Operacional'!$A$1:$P$1103,53,MATCH('Detalhe Por UC'!$R854,'Resumo Operacional'!$A$1:$P$1,0)),
""))</f>
        <v/>
      </c>
      <c r="X854">
        <v>1.20798407079646</v>
      </c>
      <c r="Z854" s="18">
        <v>1.2079714285714285</v>
      </c>
      <c r="AB854" s="18">
        <v>113</v>
      </c>
      <c r="AD854" s="143">
        <v>63</v>
      </c>
      <c r="AF854" s="18">
        <v>694</v>
      </c>
      <c r="AG854">
        <v>0</v>
      </c>
      <c r="AH854">
        <v>30.83</v>
      </c>
      <c r="AL854" s="43"/>
      <c r="AN854" s="71">
        <f t="shared" si="494"/>
        <v>694</v>
      </c>
      <c r="AO854" s="71">
        <f t="shared" si="495"/>
        <v>0</v>
      </c>
      <c r="AP854" s="71">
        <f t="shared" si="496"/>
        <v>757</v>
      </c>
      <c r="AQ854" s="72">
        <f>IF(OR($H854="GIROSSOL II",$H854="GIROSSOL II e III"),INDEX('Resumo Operacional'!$A$1:$P$1103,MATCH("Energia Injetada prevista total Fatura da Usina (TUSD)",'Resumo Operacional'!$B$1:$B$1103,0),MATCH('Detalhe Por UC'!$R854,'Resumo Operacional'!$A$1:$P$1,0))*$S854,INDEX('Resumo Operacional'!$A$1:$P$1103,53,MATCH('Detalhe Por UC'!$R854,'Resumo Operacional'!$A$1:$P$1,0))*$S854)</f>
        <v>75.825999999999993</v>
      </c>
      <c r="AR854" s="71">
        <f t="shared" si="497"/>
        <v>681.17399999999998</v>
      </c>
      <c r="AS854" s="73">
        <f t="shared" si="498"/>
        <v>91.22999999999999</v>
      </c>
      <c r="AT854" s="74">
        <f t="shared" si="499"/>
        <v>91.22999999999999</v>
      </c>
      <c r="AU854" s="74">
        <f t="shared" si="500"/>
        <v>1.207958786346397</v>
      </c>
      <c r="AV854" s="74">
        <f t="shared" si="501"/>
        <v>55.662730162460988</v>
      </c>
      <c r="AW854" s="74">
        <f t="shared" si="502"/>
        <v>0</v>
      </c>
      <c r="AX854" s="74">
        <f t="shared" si="503"/>
        <v>76.102199999999996</v>
      </c>
      <c r="AY854" s="74">
        <f t="shared" si="504"/>
        <v>55.66</v>
      </c>
      <c r="AZ854" s="117">
        <v>55.66</v>
      </c>
      <c r="BA854" s="117">
        <v>55.66</v>
      </c>
      <c r="BB854" s="117">
        <v>55.66</v>
      </c>
      <c r="BC854" s="73" t="str">
        <f t="shared" si="505"/>
        <v/>
      </c>
      <c r="BD854" s="73">
        <f t="shared" si="506"/>
        <v>167.3322</v>
      </c>
      <c r="BE854" s="73">
        <f t="shared" si="507"/>
        <v>146.89273016246096</v>
      </c>
      <c r="BF854" s="77">
        <f t="shared" si="508"/>
        <v>20.440000000000001</v>
      </c>
      <c r="BG854" s="77">
        <f t="shared" si="509"/>
        <v>6.1320000000000006</v>
      </c>
      <c r="BH854" s="77">
        <f t="shared" si="510"/>
        <v>76.102199999999996</v>
      </c>
      <c r="BI854" s="78">
        <f t="shared" si="511"/>
        <v>0.27</v>
      </c>
      <c r="BJ854" s="79">
        <f t="shared" si="512"/>
        <v>0.12215222174811544</v>
      </c>
      <c r="BK854" s="80">
        <f t="shared" si="513"/>
        <v>146.88999999999999</v>
      </c>
      <c r="BL854" s="80">
        <f t="shared" si="514"/>
        <v>20.442200000000014</v>
      </c>
      <c r="BM854" s="79">
        <f t="shared" si="515"/>
        <v>0.12216536924752089</v>
      </c>
      <c r="BN854" s="81">
        <f t="shared" si="516"/>
        <v>0.88349206349206344</v>
      </c>
      <c r="BO854" s="82">
        <f t="shared" si="517"/>
        <v>55.66</v>
      </c>
      <c r="BP854" s="81">
        <f t="shared" si="518"/>
        <v>0.88349206349206344</v>
      </c>
      <c r="BQ854" s="81">
        <f t="shared" si="519"/>
        <v>0.88350470571709494</v>
      </c>
      <c r="BR854" s="81">
        <f t="shared" si="520"/>
        <v>1.20798407079646</v>
      </c>
      <c r="BS854" s="82">
        <f t="shared" si="521"/>
        <v>63</v>
      </c>
      <c r="BT854" s="82">
        <f t="shared" si="522"/>
        <v>76.102996460176982</v>
      </c>
      <c r="BU854" s="82">
        <f t="shared" si="523"/>
        <v>76.102199999999996</v>
      </c>
      <c r="BW854" s="82">
        <f>IFERROR(INDEX('Infos Clientes'!$T:$T,MATCH('Detalhe Por UC'!$C854,'Infos Clientes'!B:B,0)),"")</f>
        <v>157.66666666666666</v>
      </c>
      <c r="BX854" s="83">
        <f t="shared" si="524"/>
        <v>0</v>
      </c>
      <c r="BY854" s="84">
        <f t="shared" si="525"/>
        <v>0.26861228796289183</v>
      </c>
      <c r="BZ854" s="85">
        <f>IF(_xlfn.MINIFS('Detalhe Por UC'!R:R,'Detalhe Por UC'!C:C,C854,'Detalhe Por UC'!AD:AD,"&gt;"&amp;0)=0,"",_xlfn.MINIFS('Detalhe Por UC'!R:R,'Detalhe Por UC'!C:C,C854,'Detalhe Por UC'!AD:AD,"&gt;"&amp;0))</f>
        <v>45627</v>
      </c>
      <c r="CA854" s="114">
        <f ca="1">IF(OR(S854&gt;0,AD854&gt;0),IFERROR(
SUMIFS(INDIRECT("'Infos Clientes'!$W"&amp;INDEX('Infos Clientes'!$C:$C,MATCH(C854,'Infos Clientes'!$H:$H,0))&amp;":$CZ"&amp;INDEX('Infos Clientes'!$C:$C,MATCH(C854,'Infos Clientes'!$H:$H,0))),'Infos Clientes'!$W$2:$CZ$2,"&gt;"&amp;$R854-365,'Infos Clientes'!$W$2:$CZ$2,"&lt;="&amp;$R854)/
COUNTIFS(INDIRECT("'Infos Clientes'!$W"&amp;INDEX('Infos Clientes'!$C:$C,MATCH(C854,'Infos Clientes'!$H:$H,0))&amp;":$CZ"&amp;INDEX('Infos Clientes'!$C:$C,MATCH(C854,'Infos Clientes'!$H:$H,0))),"&gt;="&amp;0,'Infos Clientes'!$W$2:$CZ$2,"&gt;"&amp;$R854-365,'Infos Clientes'!$W$2:$CZ$2,"&lt;="&amp;$R854),""),"")</f>
        <v>125.81818181818181</v>
      </c>
      <c r="CB854" s="87">
        <f>VLOOKUP(C854,'Infos Clientes'!B:L,11,0)</f>
        <v>0</v>
      </c>
      <c r="CC854" s="88" t="str">
        <f t="shared" si="526"/>
        <v>A Unidade Consumidora 10/226667-4 economizou R$20,44 na fatura referente à set/2025  consumindo 63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4" s="115">
        <f t="shared" si="527"/>
        <v>-91.22999999999999</v>
      </c>
    </row>
    <row r="855" spans="1:84" ht="16.2" hidden="1" customHeight="1" x14ac:dyDescent="0.3">
      <c r="A855" s="105" t="str">
        <f>INDEX('Infos Clientes'!$D:$D,MATCH('Detalhe Por UC'!C855,'Infos Clientes'!B:B,0))</f>
        <v>IGREJA DO EVANGELHO QUADRANGULAR</v>
      </c>
      <c r="B855" s="106" t="str">
        <f>INDEX('Infos Clientes'!$F:$F,MATCH('Detalhe Por UC'!C855,'Infos Clientes'!B:B,0))</f>
        <v>62.955.505/3932-07</v>
      </c>
      <c r="C855" s="31" t="s">
        <v>18</v>
      </c>
      <c r="D855" t="s">
        <v>351</v>
      </c>
      <c r="E855" s="1" t="s">
        <v>352</v>
      </c>
      <c r="F855" s="56" t="str">
        <f>INDEX('Infos Clientes'!$I:$I,MATCH('Detalhe Por UC'!C855,'Infos Clientes'!B:B,0))</f>
        <v>BT</v>
      </c>
      <c r="G855" s="56" t="str">
        <f>INDEX('Infos Clientes'!$J:$J,MATCH('Detalhe Por UC'!C855,'Infos Clientes'!B:B,0))</f>
        <v>bifasico</v>
      </c>
      <c r="H855" s="47" t="str">
        <f t="shared" si="493"/>
        <v>GIROSSOL II</v>
      </c>
      <c r="I855" s="58">
        <f>IFERROR(VLOOKUP(C855,'Infos Clientes'!B:E,4,),"")</f>
        <v>302</v>
      </c>
      <c r="J855" s="151">
        <v>0.26857922422136293</v>
      </c>
      <c r="K855" s="79">
        <f>INDEX('Resumo Operacional'!$A$1:$P$151,MATCH("Desconto percentual Ucs",'Resumo Operacional'!$B$1:$B$151,0),MATCH('Detalhe Por UC'!$R855,'Resumo Operacional'!$A$1:$P$1,0))</f>
        <v>0.26857922422136293</v>
      </c>
      <c r="M855" s="56"/>
      <c r="N855" s="56"/>
      <c r="O855" s="56"/>
      <c r="P855" s="56"/>
      <c r="Q855" s="61"/>
      <c r="R855" s="111">
        <v>45901</v>
      </c>
      <c r="S855" s="152">
        <v>5.7999999999999996E-3</v>
      </c>
      <c r="T855" s="113">
        <f>IF($H855="GIROSSOL II",AP855/INDEX('Resumo Operacional'!$A$1:$P$1103,17,MATCH('Detalhe Por UC'!$R855,'Resumo Operacional'!$A$1:$P$1,0)),
IF($H855="GIROSSOL II e III",AP855/INDEX('Resumo Operacional'!$A$1:$P$1103,17,MATCH('Detalhe Por UC'!$R855,'Resumo Operacional'!$A$1:$P$1,0)),
""))</f>
        <v>5.7236304170073587E-3</v>
      </c>
      <c r="U855" s="113" t="str">
        <f>IF($H855="GIROSSOL III",AP855/INDEX('Resumo Operacional'!$A$1:$P$1103,53,MATCH('Detalhe Por UC'!$R855,'Resumo Operacional'!$A$1:$P$1,0)),
IF($H855="GIROSSOL II e III",AP855/INDEX('Resumo Operacional'!$A$1:$P$1103,53,MATCH('Detalhe Por UC'!$R855,'Resumo Operacional'!$A$1:$P$1,0)),
""))</f>
        <v/>
      </c>
      <c r="X855">
        <v>1.2084082474226805</v>
      </c>
      <c r="Z855" s="18">
        <v>1.2082722222222224</v>
      </c>
      <c r="AB855" s="18">
        <v>194</v>
      </c>
      <c r="AD855" s="143">
        <v>144</v>
      </c>
      <c r="AF855" s="18">
        <v>366</v>
      </c>
      <c r="AG855">
        <v>0</v>
      </c>
      <c r="AH855">
        <v>30.22</v>
      </c>
      <c r="AL855" s="43"/>
      <c r="AN855" s="71">
        <f t="shared" si="494"/>
        <v>-74</v>
      </c>
      <c r="AO855" s="71">
        <f t="shared" si="495"/>
        <v>0</v>
      </c>
      <c r="AP855" s="71">
        <f t="shared" si="496"/>
        <v>70</v>
      </c>
      <c r="AQ855" s="72">
        <f>IF(OR($H855="GIROSSOL II",$H855="GIROSSOL II e III"),INDEX('Resumo Operacional'!$A$1:$P$1103,MATCH("Energia Injetada prevista total Fatura da Usina (TUSD)",'Resumo Operacional'!$B$1:$B$1103,0),MATCH('Detalhe Por UC'!$R855,'Resumo Operacional'!$A$1:$P$1,0))*$S855,INDEX('Resumo Operacional'!$A$1:$P$1103,53,MATCH('Detalhe Por UC'!$R855,'Resumo Operacional'!$A$1:$P$1,0))*$S855)</f>
        <v>70.933999999999997</v>
      </c>
      <c r="AR855" s="71">
        <f t="shared" si="497"/>
        <v>-0.9339999999999975</v>
      </c>
      <c r="AS855" s="73">
        <f t="shared" si="498"/>
        <v>90.66</v>
      </c>
      <c r="AT855" s="74">
        <f t="shared" si="499"/>
        <v>90.66</v>
      </c>
      <c r="AU855" s="74">
        <f t="shared" si="500"/>
        <v>1.2081361970217643</v>
      </c>
      <c r="AV855" s="74">
        <f t="shared" si="501"/>
        <v>127.26077848265602</v>
      </c>
      <c r="AW855" s="74">
        <f t="shared" si="502"/>
        <v>0</v>
      </c>
      <c r="AX855" s="74">
        <f t="shared" si="503"/>
        <v>173.99120000000002</v>
      </c>
      <c r="AY855" s="74">
        <f t="shared" si="504"/>
        <v>127.26</v>
      </c>
      <c r="AZ855" s="117">
        <v>127.26</v>
      </c>
      <c r="BA855" s="117">
        <v>127.26</v>
      </c>
      <c r="BB855" s="117">
        <v>127.26</v>
      </c>
      <c r="BC855" s="73" t="str">
        <f t="shared" si="505"/>
        <v/>
      </c>
      <c r="BD855" s="73">
        <f t="shared" si="506"/>
        <v>264.65120000000002</v>
      </c>
      <c r="BE855" s="73">
        <f t="shared" si="507"/>
        <v>217.92077848265603</v>
      </c>
      <c r="BF855" s="77">
        <f t="shared" si="508"/>
        <v>46.73</v>
      </c>
      <c r="BG855" s="77">
        <f t="shared" si="509"/>
        <v>14.018999999999998</v>
      </c>
      <c r="BH855" s="77">
        <f t="shared" si="510"/>
        <v>173.99120000000002</v>
      </c>
      <c r="BI855" s="78">
        <f t="shared" si="511"/>
        <v>0.27</v>
      </c>
      <c r="BJ855" s="79">
        <f t="shared" si="512"/>
        <v>0.17657203141342262</v>
      </c>
      <c r="BK855" s="80">
        <f t="shared" si="513"/>
        <v>217.92000000000002</v>
      </c>
      <c r="BL855" s="80">
        <f t="shared" si="514"/>
        <v>46.731200000000001</v>
      </c>
      <c r="BM855" s="79">
        <f t="shared" si="515"/>
        <v>0.17657656568343541</v>
      </c>
      <c r="BN855" s="81">
        <f t="shared" si="516"/>
        <v>0.88375000000000004</v>
      </c>
      <c r="BO855" s="82">
        <f t="shared" si="517"/>
        <v>127.26</v>
      </c>
      <c r="BP855" s="81">
        <f t="shared" si="518"/>
        <v>0.88375000000000004</v>
      </c>
      <c r="BQ855" s="81">
        <f t="shared" si="519"/>
        <v>0.88388602520045811</v>
      </c>
      <c r="BR855" s="81">
        <f t="shared" si="520"/>
        <v>1.2084082474226805</v>
      </c>
      <c r="BS855" s="82">
        <f t="shared" si="521"/>
        <v>144</v>
      </c>
      <c r="BT855" s="82">
        <f t="shared" si="522"/>
        <v>174.01078762886598</v>
      </c>
      <c r="BU855" s="82">
        <f t="shared" si="523"/>
        <v>173.99120000000002</v>
      </c>
      <c r="BW855" s="82">
        <f>IFERROR(INDEX('Infos Clientes'!$T:$T,MATCH('Detalhe Por UC'!$C855,'Infos Clientes'!B:B,0)),"")</f>
        <v>99.833333333333329</v>
      </c>
      <c r="BX855" s="83">
        <f t="shared" si="524"/>
        <v>0</v>
      </c>
      <c r="BY855" s="84">
        <f t="shared" si="525"/>
        <v>0.26855346520049866</v>
      </c>
      <c r="BZ855" s="85">
        <f>IF(_xlfn.MINIFS('Detalhe Por UC'!R:R,'Detalhe Por UC'!C:C,C855,'Detalhe Por UC'!AD:AD,"&gt;"&amp;0)=0,"",_xlfn.MINIFS('Detalhe Por UC'!R:R,'Detalhe Por UC'!C:C,C855,'Detalhe Por UC'!AD:AD,"&gt;"&amp;0))</f>
        <v>45627</v>
      </c>
      <c r="CA855" s="114">
        <f ca="1">IF(OR(S855&gt;0,AD855&gt;0),IFERROR(
SUMIFS(INDIRECT("'Infos Clientes'!$W"&amp;INDEX('Infos Clientes'!$C:$C,MATCH(C855,'Infos Clientes'!$H:$H,0))&amp;":$CZ"&amp;INDEX('Infos Clientes'!$C:$C,MATCH(C855,'Infos Clientes'!$H:$H,0))),'Infos Clientes'!$W$2:$CZ$2,"&gt;"&amp;$R855-365,'Infos Clientes'!$W$2:$CZ$2,"&lt;="&amp;$R855)/
COUNTIFS(INDIRECT("'Infos Clientes'!$W"&amp;INDEX('Infos Clientes'!$C:$C,MATCH(C855,'Infos Clientes'!$H:$H,0))&amp;":$CZ"&amp;INDEX('Infos Clientes'!$C:$C,MATCH(C855,'Infos Clientes'!$H:$H,0))),"&gt;="&amp;0,'Infos Clientes'!$W$2:$CZ$2,"&gt;"&amp;$R855-365,'Infos Clientes'!$W$2:$CZ$2,"&lt;="&amp;$R855),""),"")</f>
        <v>133.83333333333334</v>
      </c>
      <c r="CB855" s="87">
        <f>VLOOKUP(C855,'Infos Clientes'!B:L,11,0)</f>
        <v>0</v>
      </c>
      <c r="CC855" s="88" t="str">
        <f t="shared" si="526"/>
        <v>A Unidade Consumidora 10/10232-7 economizou R$46,73 na fatura referente à set/2025  consumindo 144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5" s="115">
        <f t="shared" si="527"/>
        <v>-90.66</v>
      </c>
    </row>
    <row r="856" spans="1:84" ht="16.2" hidden="1" customHeight="1" x14ac:dyDescent="0.3">
      <c r="A856" s="105" t="str">
        <f>INDEX('Infos Clientes'!$D:$D,MATCH('Detalhe Por UC'!C856,'Infos Clientes'!B:B,0))</f>
        <v>IGREJA DO EVANGELHO QUADRANGULAR</v>
      </c>
      <c r="B856" s="106" t="str">
        <f>INDEX('Infos Clientes'!$F:$F,MATCH('Detalhe Por UC'!C856,'Infos Clientes'!B:B,0))</f>
        <v>62.955.505/0847-51</v>
      </c>
      <c r="C856" s="31" t="s">
        <v>41</v>
      </c>
      <c r="D856" t="s">
        <v>351</v>
      </c>
      <c r="E856" s="1" t="s">
        <v>352</v>
      </c>
      <c r="F856" s="56" t="str">
        <f>INDEX('Infos Clientes'!$I:$I,MATCH('Detalhe Por UC'!C856,'Infos Clientes'!B:B,0))</f>
        <v>BT</v>
      </c>
      <c r="G856" s="56" t="str">
        <f>INDEX('Infos Clientes'!$J:$J,MATCH('Detalhe Por UC'!C856,'Infos Clientes'!B:B,0))</f>
        <v>monofasico</v>
      </c>
      <c r="H856" s="47" t="str">
        <f t="shared" si="493"/>
        <v>GIROSSOL II</v>
      </c>
      <c r="I856" s="58">
        <f>IFERROR(VLOOKUP(C856,'Infos Clientes'!B:E,4,),"")</f>
        <v>349</v>
      </c>
      <c r="J856" s="151">
        <v>0.26857922422136293</v>
      </c>
      <c r="K856" s="79">
        <f>INDEX('Resumo Operacional'!$A$1:$P$151,MATCH("Desconto percentual Ucs",'Resumo Operacional'!$B$1:$B$151,0),MATCH('Detalhe Por UC'!$R856,'Resumo Operacional'!$A$1:$P$1,0))</f>
        <v>0.26857922422136293</v>
      </c>
      <c r="M856" s="56"/>
      <c r="N856" s="56"/>
      <c r="O856" s="56"/>
      <c r="P856" s="56"/>
      <c r="Q856" s="61"/>
      <c r="R856" s="111">
        <v>45901</v>
      </c>
      <c r="S856" s="152">
        <v>5.5999999999999999E-3</v>
      </c>
      <c r="T856" s="113">
        <f>IF($H856="GIROSSOL II",AP856/INDEX('Resumo Operacional'!$A$1:$P$1103,17,MATCH('Detalhe Por UC'!$R856,'Resumo Operacional'!$A$1:$P$1,0)),
IF($H856="GIROSSOL II e III",AP856/INDEX('Resumo Operacional'!$A$1:$P$1103,17,MATCH('Detalhe Por UC'!$R856,'Resumo Operacional'!$A$1:$P$1,0)),
""))</f>
        <v>5.5600981193785776E-3</v>
      </c>
      <c r="U856" s="113" t="str">
        <f>IF($H856="GIROSSOL III",AP856/INDEX('Resumo Operacional'!$A$1:$P$1103,53,MATCH('Detalhe Por UC'!$R856,'Resumo Operacional'!$A$1:$P$1,0)),
IF($H856="GIROSSOL II e III",AP856/INDEX('Resumo Operacional'!$A$1:$P$1103,53,MATCH('Detalhe Por UC'!$R856,'Resumo Operacional'!$A$1:$P$1,0)),
""))</f>
        <v/>
      </c>
      <c r="X856">
        <v>1.208622754491018</v>
      </c>
      <c r="Z856" s="18">
        <v>1.1827142857142861</v>
      </c>
      <c r="AB856" s="18">
        <v>167</v>
      </c>
      <c r="AD856" s="143">
        <v>140</v>
      </c>
      <c r="AF856" s="18">
        <v>131</v>
      </c>
      <c r="AG856">
        <v>0</v>
      </c>
      <c r="AH856">
        <v>62.67</v>
      </c>
      <c r="AL856" s="43"/>
      <c r="AN856" s="71">
        <f t="shared" si="494"/>
        <v>-72</v>
      </c>
      <c r="AO856" s="71">
        <f t="shared" si="495"/>
        <v>0</v>
      </c>
      <c r="AP856" s="71">
        <f t="shared" si="496"/>
        <v>68</v>
      </c>
      <c r="AQ856" s="72">
        <f>IF(OR($H856="GIROSSOL II",$H856="GIROSSOL II e III"),INDEX('Resumo Operacional'!$A$1:$P$1103,MATCH("Energia Injetada prevista total Fatura da Usina (TUSD)",'Resumo Operacional'!$B$1:$B$1103,0),MATCH('Detalhe Por UC'!$R856,'Resumo Operacional'!$A$1:$P$1,0))*$S856,INDEX('Resumo Operacional'!$A$1:$P$1103,53,MATCH('Detalhe Por UC'!$R856,'Resumo Operacional'!$A$1:$P$1,0))*$S856)</f>
        <v>68.488</v>
      </c>
      <c r="AR856" s="71">
        <f t="shared" si="497"/>
        <v>-0.48799999999999955</v>
      </c>
      <c r="AS856" s="73">
        <f t="shared" si="498"/>
        <v>98.929999999999964</v>
      </c>
      <c r="AT856" s="74">
        <f t="shared" si="499"/>
        <v>98.929999999999964</v>
      </c>
      <c r="AU856" s="74">
        <f t="shared" si="500"/>
        <v>1.1568058169375541</v>
      </c>
      <c r="AV856" s="74">
        <f t="shared" si="501"/>
        <v>121.10865205342677</v>
      </c>
      <c r="AW856" s="74">
        <f t="shared" si="502"/>
        <v>0</v>
      </c>
      <c r="AX856" s="74">
        <f t="shared" si="503"/>
        <v>165.58000000000004</v>
      </c>
      <c r="AY856" s="74">
        <f t="shared" si="504"/>
        <v>121.11</v>
      </c>
      <c r="AZ856" s="117">
        <v>121.11</v>
      </c>
      <c r="BA856" s="117">
        <v>121.11</v>
      </c>
      <c r="BB856" s="117">
        <v>121.11</v>
      </c>
      <c r="BC856" s="73" t="str">
        <f t="shared" si="505"/>
        <v/>
      </c>
      <c r="BD856" s="73">
        <f t="shared" si="506"/>
        <v>264.51</v>
      </c>
      <c r="BE856" s="73">
        <f t="shared" si="507"/>
        <v>220.03865205342674</v>
      </c>
      <c r="BF856" s="77">
        <f t="shared" si="508"/>
        <v>44.47</v>
      </c>
      <c r="BG856" s="77">
        <f t="shared" si="509"/>
        <v>13.340999999999999</v>
      </c>
      <c r="BH856" s="77">
        <f t="shared" si="510"/>
        <v>165.58000000000004</v>
      </c>
      <c r="BI856" s="78">
        <f t="shared" si="511"/>
        <v>0.27</v>
      </c>
      <c r="BJ856" s="79">
        <f t="shared" si="512"/>
        <v>0.16812218819704358</v>
      </c>
      <c r="BK856" s="80">
        <f t="shared" si="513"/>
        <v>220.03999999999996</v>
      </c>
      <c r="BL856" s="80">
        <f t="shared" si="514"/>
        <v>44.470000000000027</v>
      </c>
      <c r="BM856" s="79">
        <f t="shared" si="515"/>
        <v>0.16812218819704369</v>
      </c>
      <c r="BN856" s="81">
        <f t="shared" si="516"/>
        <v>0.8650714285714286</v>
      </c>
      <c r="BO856" s="82">
        <f t="shared" si="517"/>
        <v>121.11</v>
      </c>
      <c r="BP856" s="81">
        <f t="shared" si="518"/>
        <v>0.8650714285714286</v>
      </c>
      <c r="BQ856" s="81">
        <f t="shared" si="519"/>
        <v>0.89097989734816052</v>
      </c>
      <c r="BR856" s="81">
        <f t="shared" si="520"/>
        <v>1.208622754491018</v>
      </c>
      <c r="BS856" s="82">
        <f t="shared" si="521"/>
        <v>140</v>
      </c>
      <c r="BT856" s="82">
        <f t="shared" si="522"/>
        <v>169.20718562874251</v>
      </c>
      <c r="BU856" s="82">
        <f t="shared" si="523"/>
        <v>165.58000000000004</v>
      </c>
      <c r="BW856" s="82">
        <f>IFERROR(INDEX('Infos Clientes'!$T:$T,MATCH('Detalhe Por UC'!$C856,'Infos Clientes'!B:B,0)),"")</f>
        <v>156.25</v>
      </c>
      <c r="BX856" s="83">
        <f t="shared" si="524"/>
        <v>0</v>
      </c>
      <c r="BY856" s="84">
        <f t="shared" si="525"/>
        <v>0.26281389785402892</v>
      </c>
      <c r="BZ856" s="85">
        <f>IF(_xlfn.MINIFS('Detalhe Por UC'!R:R,'Detalhe Por UC'!C:C,C856,'Detalhe Por UC'!AD:AD,"&gt;"&amp;0)=0,"",_xlfn.MINIFS('Detalhe Por UC'!R:R,'Detalhe Por UC'!C:C,C856,'Detalhe Por UC'!AD:AD,"&gt;"&amp;0))</f>
        <v>45627</v>
      </c>
      <c r="CA856" s="114">
        <f ca="1">IF(OR(S856&gt;0,AD856&gt;0),IFERROR(
SUMIFS(INDIRECT("'Infos Clientes'!$W"&amp;INDEX('Infos Clientes'!$C:$C,MATCH(C856,'Infos Clientes'!$H:$H,0))&amp;":$CZ"&amp;INDEX('Infos Clientes'!$C:$C,MATCH(C856,'Infos Clientes'!$H:$H,0))),'Infos Clientes'!$W$2:$CZ$2,"&gt;"&amp;$R856-365,'Infos Clientes'!$W$2:$CZ$2,"&lt;="&amp;$R856)/
COUNTIFS(INDIRECT("'Infos Clientes'!$W"&amp;INDEX('Infos Clientes'!$C:$C,MATCH(C856,'Infos Clientes'!$H:$H,0))&amp;":$CZ"&amp;INDEX('Infos Clientes'!$C:$C,MATCH(C856,'Infos Clientes'!$H:$H,0))),"&gt;="&amp;0,'Infos Clientes'!$W$2:$CZ$2,"&gt;"&amp;$R856-365,'Infos Clientes'!$W$2:$CZ$2,"&lt;="&amp;$R856),""),"")</f>
        <v>149.33333333333334</v>
      </c>
      <c r="CB856" s="87">
        <f>VLOOKUP(C856,'Infos Clientes'!B:L,11,0)</f>
        <v>0</v>
      </c>
      <c r="CC856" s="88" t="str">
        <f t="shared" si="526"/>
        <v>A Unidade Consumidora 10/1548741-6 economizou R$44,47 na fatura referente à set/2025  consumindo 140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6" s="115">
        <f t="shared" si="527"/>
        <v>-98.929999999999964</v>
      </c>
    </row>
    <row r="857" spans="1:84" ht="16.2" hidden="1" customHeight="1" x14ac:dyDescent="0.3">
      <c r="A857" s="105" t="str">
        <f>INDEX('Infos Clientes'!$D:$D,MATCH('Detalhe Por UC'!C857,'Infos Clientes'!B:B,0))</f>
        <v>IGREJA DO EVANGELHO QUADRANGULAR</v>
      </c>
      <c r="B857" s="106" t="str">
        <f>INDEX('Infos Clientes'!$F:$F,MATCH('Detalhe Por UC'!C857,'Infos Clientes'!B:B,0))</f>
        <v>62.955.505/8921-14</v>
      </c>
      <c r="C857" s="31" t="s">
        <v>29</v>
      </c>
      <c r="D857" t="s">
        <v>351</v>
      </c>
      <c r="E857" s="1" t="s">
        <v>352</v>
      </c>
      <c r="F857" s="56" t="str">
        <f>INDEX('Infos Clientes'!$I:$I,MATCH('Detalhe Por UC'!C857,'Infos Clientes'!B:B,0))</f>
        <v>BT</v>
      </c>
      <c r="G857" s="56" t="str">
        <f>INDEX('Infos Clientes'!$J:$J,MATCH('Detalhe Por UC'!C857,'Infos Clientes'!B:B,0))</f>
        <v>trifasico</v>
      </c>
      <c r="H857" s="47" t="str">
        <f t="shared" si="493"/>
        <v>GIROSSOL II</v>
      </c>
      <c r="I857" s="58">
        <f>IFERROR(VLOOKUP(C857,'Infos Clientes'!B:E,4,),"")</f>
        <v>362</v>
      </c>
      <c r="J857" s="151">
        <v>0.26857922422136293</v>
      </c>
      <c r="K857" s="79">
        <f>INDEX('Resumo Operacional'!$A$1:$P$151,MATCH("Desconto percentual Ucs",'Resumo Operacional'!$B$1:$B$151,0),MATCH('Detalhe Por UC'!$R857,'Resumo Operacional'!$A$1:$P$1,0))</f>
        <v>0.26857922422136293</v>
      </c>
      <c r="M857" s="56"/>
      <c r="N857" s="56"/>
      <c r="O857" s="56"/>
      <c r="P857" s="56"/>
      <c r="Q857" s="61"/>
      <c r="R857" s="111">
        <v>45901</v>
      </c>
      <c r="S857" s="152">
        <v>5.4999999999999997E-3</v>
      </c>
      <c r="T857" s="113">
        <f>IF($H857="GIROSSOL II",AP857/INDEX('Resumo Operacional'!$A$1:$P$1103,17,MATCH('Detalhe Por UC'!$R857,'Resumo Operacional'!$A$1:$P$1,0)),
IF($H857="GIROSSOL II e III",AP857/INDEX('Resumo Operacional'!$A$1:$P$1103,17,MATCH('Detalhe Por UC'!$R857,'Resumo Operacional'!$A$1:$P$1,0)),
""))</f>
        <v>5.4783319705641867E-3</v>
      </c>
      <c r="U857" s="113" t="str">
        <f>IF($H857="GIROSSOL III",AP857/INDEX('Resumo Operacional'!$A$1:$P$1103,53,MATCH('Detalhe Por UC'!$R857,'Resumo Operacional'!$A$1:$P$1,0)),
IF($H857="GIROSSOL II e III",AP857/INDEX('Resumo Operacional'!$A$1:$P$1103,53,MATCH('Detalhe Por UC'!$R857,'Resumo Operacional'!$A$1:$P$1,0)),
""))</f>
        <v/>
      </c>
      <c r="X857">
        <v>1.208123188405797</v>
      </c>
      <c r="Z857" s="18">
        <v>1.2079210526315789</v>
      </c>
      <c r="AB857" s="18">
        <v>138</v>
      </c>
      <c r="AD857" s="143">
        <v>38</v>
      </c>
      <c r="AF857" s="18">
        <v>474</v>
      </c>
      <c r="AG857">
        <v>0</v>
      </c>
      <c r="AH857">
        <v>21.41</v>
      </c>
      <c r="AL857" s="43"/>
      <c r="AN857" s="71">
        <f t="shared" si="494"/>
        <v>29</v>
      </c>
      <c r="AO857" s="71">
        <f t="shared" si="495"/>
        <v>0</v>
      </c>
      <c r="AP857" s="71">
        <f t="shared" si="496"/>
        <v>67</v>
      </c>
      <c r="AQ857" s="72">
        <f>IF(OR($H857="GIROSSOL II",$H857="GIROSSOL II e III"),INDEX('Resumo Operacional'!$A$1:$P$1103,MATCH("Energia Injetada prevista total Fatura da Usina (TUSD)",'Resumo Operacional'!$B$1:$B$1103,0),MATCH('Detalhe Por UC'!$R857,'Resumo Operacional'!$A$1:$P$1,0))*$S857,INDEX('Resumo Operacional'!$A$1:$P$1103,53,MATCH('Detalhe Por UC'!$R857,'Resumo Operacional'!$A$1:$P$1,0))*$S857)</f>
        <v>67.265000000000001</v>
      </c>
      <c r="AR857" s="71">
        <f t="shared" si="497"/>
        <v>-0.26500000000000057</v>
      </c>
      <c r="AS857" s="73">
        <f t="shared" si="498"/>
        <v>142.22999999999999</v>
      </c>
      <c r="AT857" s="74">
        <f t="shared" si="499"/>
        <v>142.22999999999999</v>
      </c>
      <c r="AU857" s="74">
        <f t="shared" si="500"/>
        <v>1.2077189168573608</v>
      </c>
      <c r="AV857" s="74">
        <f t="shared" si="501"/>
        <v>33.572945029015216</v>
      </c>
      <c r="AW857" s="74">
        <f t="shared" si="502"/>
        <v>0</v>
      </c>
      <c r="AX857" s="74">
        <f t="shared" si="503"/>
        <v>45.900999999999996</v>
      </c>
      <c r="AY857" s="74">
        <f t="shared" si="504"/>
        <v>33.57</v>
      </c>
      <c r="AZ857" s="117">
        <v>33.57</v>
      </c>
      <c r="BA857" s="117">
        <v>33.57</v>
      </c>
      <c r="BB857" s="117">
        <v>33.57</v>
      </c>
      <c r="BC857" s="73" t="str">
        <f t="shared" si="505"/>
        <v/>
      </c>
      <c r="BD857" s="73">
        <f t="shared" si="506"/>
        <v>188.13099999999997</v>
      </c>
      <c r="BE857" s="73">
        <f t="shared" si="507"/>
        <v>175.80294502901521</v>
      </c>
      <c r="BF857" s="77">
        <f t="shared" si="508"/>
        <v>12.33</v>
      </c>
      <c r="BG857" s="77">
        <f t="shared" si="509"/>
        <v>3.6989999999999998</v>
      </c>
      <c r="BH857" s="77">
        <f t="shared" si="510"/>
        <v>45.901000000000003</v>
      </c>
      <c r="BI857" s="78">
        <f t="shared" si="511"/>
        <v>0.27</v>
      </c>
      <c r="BJ857" s="79">
        <f t="shared" si="512"/>
        <v>6.5539437944836326E-2</v>
      </c>
      <c r="BK857" s="80">
        <f t="shared" si="513"/>
        <v>175.79999999999998</v>
      </c>
      <c r="BL857" s="80">
        <f t="shared" si="514"/>
        <v>12.330999999999989</v>
      </c>
      <c r="BM857" s="79">
        <f t="shared" si="515"/>
        <v>6.5544753389925062E-2</v>
      </c>
      <c r="BN857" s="81">
        <f t="shared" si="516"/>
        <v>0.883421052631579</v>
      </c>
      <c r="BO857" s="82">
        <f t="shared" si="517"/>
        <v>33.57</v>
      </c>
      <c r="BP857" s="81">
        <f t="shared" si="518"/>
        <v>0.883421052631579</v>
      </c>
      <c r="BQ857" s="81">
        <f t="shared" si="519"/>
        <v>0.88362318840579712</v>
      </c>
      <c r="BR857" s="81">
        <f t="shared" si="520"/>
        <v>1.208123188405797</v>
      </c>
      <c r="BS857" s="82">
        <f t="shared" si="521"/>
        <v>38</v>
      </c>
      <c r="BT857" s="82">
        <f t="shared" si="522"/>
        <v>45.90868115942029</v>
      </c>
      <c r="BU857" s="82">
        <f t="shared" si="523"/>
        <v>45.900999999999996</v>
      </c>
      <c r="BW857" s="82">
        <f>IFERROR(INDEX('Infos Clientes'!$T:$T,MATCH('Detalhe Por UC'!$C857,'Infos Clientes'!B:B,0)),"")</f>
        <v>178.41666666666666</v>
      </c>
      <c r="BX857" s="83">
        <f t="shared" si="524"/>
        <v>0</v>
      </c>
      <c r="BY857" s="84">
        <f t="shared" si="525"/>
        <v>0.26859843690956742</v>
      </c>
      <c r="BZ857" s="85">
        <f>IF(_xlfn.MINIFS('Detalhe Por UC'!R:R,'Detalhe Por UC'!C:C,C857,'Detalhe Por UC'!AD:AD,"&gt;"&amp;0)=0,"",_xlfn.MINIFS('Detalhe Por UC'!R:R,'Detalhe Por UC'!C:C,C857,'Detalhe Por UC'!AD:AD,"&gt;"&amp;0))</f>
        <v>45627</v>
      </c>
      <c r="CA857" s="114">
        <f ca="1">IF(OR(S857&gt;0,AD857&gt;0),IFERROR(
SUMIFS(INDIRECT("'Infos Clientes'!$W"&amp;INDEX('Infos Clientes'!$C:$C,MATCH(C857,'Infos Clientes'!$H:$H,0))&amp;":$CZ"&amp;INDEX('Infos Clientes'!$C:$C,MATCH(C857,'Infos Clientes'!$H:$H,0))),'Infos Clientes'!$W$2:$CZ$2,"&gt;"&amp;$R857-365,'Infos Clientes'!$W$2:$CZ$2,"&lt;="&amp;$R857)/
COUNTIFS(INDIRECT("'Infos Clientes'!$W"&amp;INDEX('Infos Clientes'!$C:$C,MATCH(C857,'Infos Clientes'!$H:$H,0))&amp;":$CZ"&amp;INDEX('Infos Clientes'!$C:$C,MATCH(C857,'Infos Clientes'!$H:$H,0))),"&gt;="&amp;0,'Infos Clientes'!$W$2:$CZ$2,"&gt;"&amp;$R857-365,'Infos Clientes'!$W$2:$CZ$2,"&lt;="&amp;$R857),""),"")</f>
        <v>164.5</v>
      </c>
      <c r="CB857" s="87">
        <f>VLOOKUP(C857,'Infos Clientes'!B:L,11,0)</f>
        <v>0</v>
      </c>
      <c r="CC857" s="88" t="str">
        <f t="shared" si="526"/>
        <v>A Unidade Consumidora 10/1117293-9 economizou R$12,33 na fatura referente à set/2025  consumindo 38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7" s="115">
        <f t="shared" si="527"/>
        <v>-142.22999999999999</v>
      </c>
    </row>
    <row r="858" spans="1:84" ht="16.2" hidden="1" customHeight="1" x14ac:dyDescent="0.3">
      <c r="A858" s="105" t="str">
        <f>INDEX('Infos Clientes'!$D:$D,MATCH('Detalhe Por UC'!C858,'Infos Clientes'!B:B,0))</f>
        <v>IGREJA DO EVANGELHO QUADRANGULAR</v>
      </c>
      <c r="B858" s="106" t="str">
        <f>INDEX('Infos Clientes'!$F:$F,MATCH('Detalhe Por UC'!C858,'Infos Clientes'!B:B,0))</f>
        <v>62.955.505/0160-80</v>
      </c>
      <c r="C858" s="31" t="s">
        <v>114</v>
      </c>
      <c r="D858" t="s">
        <v>351</v>
      </c>
      <c r="E858" s="1" t="s">
        <v>352</v>
      </c>
      <c r="F858" s="56" t="str">
        <f>INDEX('Infos Clientes'!$I:$I,MATCH('Detalhe Por UC'!C858,'Infos Clientes'!B:B,0))</f>
        <v>BT</v>
      </c>
      <c r="G858" s="56" t="str">
        <f>INDEX('Infos Clientes'!$J:$J,MATCH('Detalhe Por UC'!C858,'Infos Clientes'!B:B,0))</f>
        <v>bifasico</v>
      </c>
      <c r="H858" s="47" t="str">
        <f t="shared" si="493"/>
        <v>GIROSSOL II</v>
      </c>
      <c r="I858" s="58">
        <f>IFERROR(VLOOKUP(C858,'Infos Clientes'!B:E,4,),"")</f>
        <v>357</v>
      </c>
      <c r="J858" s="151">
        <v>0.26857922422136293</v>
      </c>
      <c r="K858" s="79">
        <f>INDEX('Resumo Operacional'!$A$1:$P$151,MATCH("Desconto percentual Ucs",'Resumo Operacional'!$B$1:$B$151,0),MATCH('Detalhe Por UC'!$R858,'Resumo Operacional'!$A$1:$P$1,0))</f>
        <v>0.26857922422136293</v>
      </c>
      <c r="M858" s="56"/>
      <c r="N858" s="56"/>
      <c r="O858" s="56"/>
      <c r="P858" s="56"/>
      <c r="Q858" s="61"/>
      <c r="R858" s="111">
        <v>45901</v>
      </c>
      <c r="S858" s="152">
        <v>3.3E-3</v>
      </c>
      <c r="T858" s="113">
        <f>IF($H858="GIROSSOL II",AP858/INDEX('Resumo Operacional'!$A$1:$P$1103,17,MATCH('Detalhe Por UC'!$R858,'Resumo Operacional'!$A$1:$P$1,0)),
IF($H858="GIROSSOL II e III",AP858/INDEX('Resumo Operacional'!$A$1:$P$1103,17,MATCH('Detalhe Por UC'!$R858,'Resumo Operacional'!$A$1:$P$1,0)),
""))</f>
        <v>1.1610793131643499E-2</v>
      </c>
      <c r="U858" s="113" t="str">
        <f>IF($H858="GIROSSOL III",AP858/INDEX('Resumo Operacional'!$A$1:$P$1103,53,MATCH('Detalhe Por UC'!$R858,'Resumo Operacional'!$A$1:$P$1,0)),
IF($H858="GIROSSOL II e III",AP858/INDEX('Resumo Operacional'!$A$1:$P$1103,53,MATCH('Detalhe Por UC'!$R858,'Resumo Operacional'!$A$1:$P$1,0)),
""))</f>
        <v/>
      </c>
      <c r="X858">
        <v>1.2080046511627907</v>
      </c>
      <c r="Z858" s="18">
        <v>1.2080075949367088</v>
      </c>
      <c r="AB858" s="18">
        <v>129</v>
      </c>
      <c r="AD858" s="143">
        <v>79</v>
      </c>
      <c r="AF858" s="18">
        <v>679</v>
      </c>
      <c r="AG858">
        <v>0</v>
      </c>
      <c r="AH858">
        <v>38.39</v>
      </c>
      <c r="AL858" s="43"/>
      <c r="AN858" s="71">
        <f t="shared" si="494"/>
        <v>63</v>
      </c>
      <c r="AO858" s="71">
        <f t="shared" si="495"/>
        <v>0</v>
      </c>
      <c r="AP858" s="71">
        <f t="shared" si="496"/>
        <v>142</v>
      </c>
      <c r="AQ858" s="72">
        <f>IF(OR($H858="GIROSSOL II",$H858="GIROSSOL II e III"),INDEX('Resumo Operacional'!$A$1:$P$1103,MATCH("Energia Injetada prevista total Fatura da Usina (TUSD)",'Resumo Operacional'!$B$1:$B$1103,0),MATCH('Detalhe Por UC'!$R858,'Resumo Operacional'!$A$1:$P$1,0))*$S858,INDEX('Resumo Operacional'!$A$1:$P$1103,53,MATCH('Detalhe Por UC'!$R858,'Resumo Operacional'!$A$1:$P$1,0))*$S858)</f>
        <v>40.359000000000002</v>
      </c>
      <c r="AR858" s="71">
        <f t="shared" si="497"/>
        <v>101.64099999999999</v>
      </c>
      <c r="AS858" s="73">
        <f t="shared" si="498"/>
        <v>98.789999999999992</v>
      </c>
      <c r="AT858" s="74">
        <f t="shared" si="499"/>
        <v>98.789999999999992</v>
      </c>
      <c r="AU858" s="74">
        <f t="shared" si="500"/>
        <v>1.208010538710627</v>
      </c>
      <c r="AV858" s="74">
        <f t="shared" si="501"/>
        <v>69.801386326572356</v>
      </c>
      <c r="AW858" s="74">
        <f t="shared" si="502"/>
        <v>0</v>
      </c>
      <c r="AX858" s="74">
        <f t="shared" si="503"/>
        <v>95.432599999999994</v>
      </c>
      <c r="AY858" s="74">
        <f t="shared" si="504"/>
        <v>69.8</v>
      </c>
      <c r="AZ858" s="117">
        <v>69.8</v>
      </c>
      <c r="BA858" s="117">
        <v>69.8</v>
      </c>
      <c r="BB858" s="117">
        <v>95.43</v>
      </c>
      <c r="BC858" s="73">
        <f t="shared" si="505"/>
        <v>25.63000000000001</v>
      </c>
      <c r="BD858" s="73">
        <f t="shared" si="506"/>
        <v>194.2226</v>
      </c>
      <c r="BE858" s="73">
        <f t="shared" si="507"/>
        <v>168.59138632657235</v>
      </c>
      <c r="BF858" s="77">
        <f t="shared" si="508"/>
        <v>25.63</v>
      </c>
      <c r="BG858" s="77">
        <f t="shared" si="509"/>
        <v>7.6889999999999992</v>
      </c>
      <c r="BH858" s="77">
        <f t="shared" si="510"/>
        <v>95.432599999999994</v>
      </c>
      <c r="BI858" s="78">
        <f t="shared" si="511"/>
        <v>0.27</v>
      </c>
      <c r="BJ858" s="79">
        <f t="shared" si="512"/>
        <v>0.13196198588629748</v>
      </c>
      <c r="BK858" s="80">
        <f t="shared" si="513"/>
        <v>168.58999999999997</v>
      </c>
      <c r="BL858" s="80">
        <f t="shared" si="514"/>
        <v>25.632600000000025</v>
      </c>
      <c r="BM858" s="79">
        <f t="shared" si="515"/>
        <v>0.1319753725879482</v>
      </c>
      <c r="BN858" s="81">
        <f t="shared" si="516"/>
        <v>0.88354430379746829</v>
      </c>
      <c r="BO858" s="82">
        <f t="shared" si="517"/>
        <v>69.8</v>
      </c>
      <c r="BP858" s="81">
        <f t="shared" si="518"/>
        <v>0.88354430379746829</v>
      </c>
      <c r="BQ858" s="81">
        <f t="shared" si="519"/>
        <v>0.8835413600235501</v>
      </c>
      <c r="BR858" s="81">
        <f t="shared" si="520"/>
        <v>1.2080046511627907</v>
      </c>
      <c r="BS858" s="82">
        <f t="shared" si="521"/>
        <v>79</v>
      </c>
      <c r="BT858" s="82">
        <f t="shared" si="522"/>
        <v>95.432367441860464</v>
      </c>
      <c r="BU858" s="82">
        <f t="shared" si="523"/>
        <v>95.432599999999994</v>
      </c>
      <c r="BW858" s="82">
        <f>IFERROR(INDEX('Infos Clientes'!$T:$T,MATCH('Detalhe Por UC'!$C858,'Infos Clientes'!B:B,0)),"")</f>
        <v>215.58333333333334</v>
      </c>
      <c r="BX858" s="83">
        <f t="shared" si="524"/>
        <v>0</v>
      </c>
      <c r="BY858" s="84">
        <f t="shared" si="525"/>
        <v>0.26859440551567537</v>
      </c>
      <c r="BZ858" s="85">
        <f>IF(_xlfn.MINIFS('Detalhe Por UC'!R:R,'Detalhe Por UC'!C:C,C858,'Detalhe Por UC'!AD:AD,"&gt;"&amp;0)=0,"",_xlfn.MINIFS('Detalhe Por UC'!R:R,'Detalhe Por UC'!C:C,C858,'Detalhe Por UC'!AD:AD,"&gt;"&amp;0))</f>
        <v>45627</v>
      </c>
      <c r="CA858" s="114">
        <f ca="1">IF(OR(S858&gt;0,AD858&gt;0),IFERROR(
SUMIFS(INDIRECT("'Infos Clientes'!$W"&amp;INDEX('Infos Clientes'!$C:$C,MATCH(C858,'Infos Clientes'!$H:$H,0))&amp;":$CZ"&amp;INDEX('Infos Clientes'!$C:$C,MATCH(C858,'Infos Clientes'!$H:$H,0))),'Infos Clientes'!$W$2:$CZ$2,"&gt;"&amp;$R858-365,'Infos Clientes'!$W$2:$CZ$2,"&lt;="&amp;$R858)/
COUNTIFS(INDIRECT("'Infos Clientes'!$W"&amp;INDEX('Infos Clientes'!$C:$C,MATCH(C858,'Infos Clientes'!$H:$H,0))&amp;":$CZ"&amp;INDEX('Infos Clientes'!$C:$C,MATCH(C858,'Infos Clientes'!$H:$H,0))),"&gt;="&amp;0,'Infos Clientes'!$W$2:$CZ$2,"&gt;"&amp;$R858-365,'Infos Clientes'!$W$2:$CZ$2,"&lt;="&amp;$R858),""),"")</f>
        <v>222.08333333333334</v>
      </c>
      <c r="CB858" s="87">
        <f>VLOOKUP(C858,'Infos Clientes'!B:L,11,0)</f>
        <v>0</v>
      </c>
      <c r="CC858" s="88" t="str">
        <f t="shared" si="526"/>
        <v>A Unidade Consumidora 10/511753-6 economizou R$25,63 na fatura referente à set/2025  consumindo 79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8" s="115">
        <f t="shared" si="527"/>
        <v>-98.789999999999992</v>
      </c>
    </row>
    <row r="859" spans="1:84" ht="16.2" hidden="1" customHeight="1" x14ac:dyDescent="0.3">
      <c r="A859" s="105" t="str">
        <f>INDEX('Infos Clientes'!$D:$D,MATCH('Detalhe Por UC'!C859,'Infos Clientes'!B:B,0))</f>
        <v>IGREJA DO EVANGELHO QUADRANGULAR</v>
      </c>
      <c r="B859" s="106" t="str">
        <f>INDEX('Infos Clientes'!$F:$F,MATCH('Detalhe Por UC'!C859,'Infos Clientes'!B:B,0))</f>
        <v>62.955.505/0800-98</v>
      </c>
      <c r="C859" s="31" t="s">
        <v>38</v>
      </c>
      <c r="D859" t="s">
        <v>351</v>
      </c>
      <c r="E859" s="1" t="s">
        <v>352</v>
      </c>
      <c r="F859" s="56" t="str">
        <f>INDEX('Infos Clientes'!$I:$I,MATCH('Detalhe Por UC'!C859,'Infos Clientes'!B:B,0))</f>
        <v>BT</v>
      </c>
      <c r="G859" s="56" t="str">
        <f>INDEX('Infos Clientes'!$J:$J,MATCH('Detalhe Por UC'!C859,'Infos Clientes'!B:B,0))</f>
        <v>trifasico</v>
      </c>
      <c r="H859" s="47" t="str">
        <f t="shared" si="493"/>
        <v>GIROSSOL II</v>
      </c>
      <c r="I859" s="58">
        <f>IFERROR(VLOOKUP(C859,'Infos Clientes'!B:E,4,),"")</f>
        <v>351</v>
      </c>
      <c r="J859" s="151">
        <v>0.26857922422136293</v>
      </c>
      <c r="K859" s="79">
        <f>INDEX('Resumo Operacional'!$A$1:$P$151,MATCH("Desconto percentual Ucs",'Resumo Operacional'!$B$1:$B$151,0),MATCH('Detalhe Por UC'!$R859,'Resumo Operacional'!$A$1:$P$1,0))</f>
        <v>0.26857922422136293</v>
      </c>
      <c r="M859" s="56"/>
      <c r="N859" s="56"/>
      <c r="O859" s="56"/>
      <c r="P859" s="56"/>
      <c r="Q859" s="61"/>
      <c r="R859" s="111">
        <v>45901</v>
      </c>
      <c r="S859" s="152">
        <v>2.5000000000000001E-3</v>
      </c>
      <c r="T859" s="113">
        <f>IF($H859="GIROSSOL II",AP859/INDEX('Resumo Operacional'!$A$1:$P$1103,17,MATCH('Detalhe Por UC'!$R859,'Resumo Operacional'!$A$1:$P$1,0)),
IF($H859="GIROSSOL II e III",AP859/INDEX('Resumo Operacional'!$A$1:$P$1103,17,MATCH('Detalhe Por UC'!$R859,'Resumo Operacional'!$A$1:$P$1,0)),
""))</f>
        <v>8.3565004088307443E-2</v>
      </c>
      <c r="U859" s="113" t="str">
        <f>IF($H859="GIROSSOL III",AP859/INDEX('Resumo Operacional'!$A$1:$P$1103,53,MATCH('Detalhe Por UC'!$R859,'Resumo Operacional'!$A$1:$P$1,0)),
IF($H859="GIROSSOL II e III",AP859/INDEX('Resumo Operacional'!$A$1:$P$1103,53,MATCH('Detalhe Por UC'!$R859,'Resumo Operacional'!$A$1:$P$1,0)),
""))</f>
        <v/>
      </c>
      <c r="X859">
        <v>1.208</v>
      </c>
      <c r="Z859" s="18">
        <v>0</v>
      </c>
      <c r="AB859" s="18">
        <v>0</v>
      </c>
      <c r="AD859" s="143">
        <v>0</v>
      </c>
      <c r="AF859" s="18">
        <v>1022</v>
      </c>
      <c r="AG859">
        <v>0</v>
      </c>
      <c r="AH859">
        <v>0</v>
      </c>
      <c r="AL859" s="43"/>
      <c r="AN859" s="71">
        <f t="shared" si="494"/>
        <v>1022</v>
      </c>
      <c r="AO859" s="71">
        <f t="shared" si="495"/>
        <v>0</v>
      </c>
      <c r="AP859" s="71">
        <f t="shared" si="496"/>
        <v>1022</v>
      </c>
      <c r="AQ859" s="72">
        <f>IF(OR($H859="GIROSSOL II",$H859="GIROSSOL II e III"),INDEX('Resumo Operacional'!$A$1:$P$1103,MATCH("Energia Injetada prevista total Fatura da Usina (TUSD)",'Resumo Operacional'!$B$1:$B$1103,0),MATCH('Detalhe Por UC'!$R859,'Resumo Operacional'!$A$1:$P$1,0))*$S859,INDEX('Resumo Operacional'!$A$1:$P$1103,53,MATCH('Detalhe Por UC'!$R859,'Resumo Operacional'!$A$1:$P$1,0))*$S859)</f>
        <v>30.574999999999999</v>
      </c>
      <c r="AR859" s="71">
        <f t="shared" si="497"/>
        <v>991.42499999999995</v>
      </c>
      <c r="AS859" s="73">
        <f t="shared" si="498"/>
        <v>120.8</v>
      </c>
      <c r="AT859" s="74">
        <f t="shared" si="499"/>
        <v>120.8</v>
      </c>
      <c r="AU859" s="74" t="str">
        <f t="shared" si="500"/>
        <v/>
      </c>
      <c r="AV859" s="74">
        <f t="shared" si="501"/>
        <v>0</v>
      </c>
      <c r="AW859" s="74">
        <f t="shared" si="502"/>
        <v>0</v>
      </c>
      <c r="AX859" s="74">
        <f t="shared" si="503"/>
        <v>0</v>
      </c>
      <c r="AY859" s="74" t="str">
        <f t="shared" si="504"/>
        <v/>
      </c>
      <c r="AZ859" s="117">
        <v>0</v>
      </c>
      <c r="BA859" s="117">
        <v>1E-10</v>
      </c>
      <c r="BC859" s="73" t="str">
        <f t="shared" si="505"/>
        <v/>
      </c>
      <c r="BD859" s="73">
        <f t="shared" si="506"/>
        <v>120.8</v>
      </c>
      <c r="BE859" s="73">
        <f t="shared" si="507"/>
        <v>120.8</v>
      </c>
      <c r="BF859" s="77">
        <f t="shared" si="508"/>
        <v>0</v>
      </c>
      <c r="BG859" s="77">
        <f t="shared" si="509"/>
        <v>0</v>
      </c>
      <c r="BH859" s="77">
        <f t="shared" si="510"/>
        <v>0</v>
      </c>
      <c r="BI859" s="78" t="str">
        <f t="shared" si="511"/>
        <v/>
      </c>
      <c r="BJ859" s="79">
        <f t="shared" si="512"/>
        <v>0</v>
      </c>
      <c r="BK859" s="80" t="str">
        <f t="shared" si="513"/>
        <v/>
      </c>
      <c r="BL859" s="80" t="str">
        <f t="shared" si="514"/>
        <v/>
      </c>
      <c r="BM859" s="79" t="str">
        <f t="shared" si="515"/>
        <v/>
      </c>
      <c r="BN859" s="81" t="str">
        <f t="shared" si="516"/>
        <v/>
      </c>
      <c r="BO859" s="82" t="str">
        <f t="shared" si="517"/>
        <v/>
      </c>
      <c r="BP859" s="81" t="str">
        <f t="shared" si="518"/>
        <v/>
      </c>
      <c r="BQ859" s="81" t="str">
        <f t="shared" si="519"/>
        <v/>
      </c>
      <c r="BR859" s="81" t="str">
        <f t="shared" si="520"/>
        <v/>
      </c>
      <c r="BS859" s="82">
        <f t="shared" si="521"/>
        <v>0</v>
      </c>
      <c r="BT859" s="82" t="str">
        <f t="shared" si="522"/>
        <v/>
      </c>
      <c r="BU859" s="82">
        <f t="shared" si="523"/>
        <v>0</v>
      </c>
      <c r="BW859" s="82">
        <f>IFERROR(INDEX('Infos Clientes'!$T:$T,MATCH('Detalhe Por UC'!$C859,'Infos Clientes'!B:B,0)),"")</f>
        <v>134.36363636363637</v>
      </c>
      <c r="BX859" s="83">
        <f t="shared" si="524"/>
        <v>0</v>
      </c>
      <c r="BY859" s="84" t="str">
        <f t="shared" si="525"/>
        <v/>
      </c>
      <c r="BZ859" s="85">
        <f>IF(_xlfn.MINIFS('Detalhe Por UC'!R:R,'Detalhe Por UC'!C:C,C859,'Detalhe Por UC'!AD:AD,"&gt;"&amp;0)=0,"",_xlfn.MINIFS('Detalhe Por UC'!R:R,'Detalhe Por UC'!C:C,C859,'Detalhe Por UC'!AD:AD,"&gt;"&amp;0))</f>
        <v>45627</v>
      </c>
      <c r="CA859" s="114">
        <f ca="1">IF(OR(S859&gt;0,AD859&gt;0),IFERROR(
SUMIFS(INDIRECT("'Infos Clientes'!$W"&amp;INDEX('Infos Clientes'!$C:$C,MATCH(C859,'Infos Clientes'!$H:$H,0))&amp;":$CZ"&amp;INDEX('Infos Clientes'!$C:$C,MATCH(C859,'Infos Clientes'!$H:$H,0))),'Infos Clientes'!$W$2:$CZ$2,"&gt;"&amp;$R859-365,'Infos Clientes'!$W$2:$CZ$2,"&lt;="&amp;$R859)/
COUNTIFS(INDIRECT("'Infos Clientes'!$W"&amp;INDEX('Infos Clientes'!$C:$C,MATCH(C859,'Infos Clientes'!$H:$H,0))&amp;":$CZ"&amp;INDEX('Infos Clientes'!$C:$C,MATCH(C859,'Infos Clientes'!$H:$H,0))),"&gt;="&amp;0,'Infos Clientes'!$W$2:$CZ$2,"&gt;"&amp;$R859-365,'Infos Clientes'!$W$2:$CZ$2,"&lt;="&amp;$R859),""),"")</f>
        <v>139.625</v>
      </c>
      <c r="CB859" s="87">
        <f>VLOOKUP(C859,'Infos Clientes'!B:L,11,0)</f>
        <v>0</v>
      </c>
      <c r="CC859" s="88" t="str">
        <f t="shared" si="526"/>
        <v>A Unidade Consumidora 10/135237-6 economizou R$0 na fatura referente à set/2025  consumindo 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59" s="115">
        <f t="shared" si="527"/>
        <v>-120.8</v>
      </c>
    </row>
    <row r="860" spans="1:84" ht="16.2" hidden="1" customHeight="1" x14ac:dyDescent="0.3">
      <c r="A860" s="105" t="str">
        <f>INDEX('Infos Clientes'!$D:$D,MATCH('Detalhe Por UC'!C860,'Infos Clientes'!B:B,0))</f>
        <v>IGREJA DO EVANGELHO QUADRANGULAR</v>
      </c>
      <c r="B860" s="106" t="str">
        <f>INDEX('Infos Clientes'!$F:$F,MATCH('Detalhe Por UC'!C860,'Infos Clientes'!B:B,0))</f>
        <v>62.955.505/0884-04</v>
      </c>
      <c r="C860" s="31" t="s">
        <v>88</v>
      </c>
      <c r="D860" t="s">
        <v>351</v>
      </c>
      <c r="E860" s="1" t="s">
        <v>352</v>
      </c>
      <c r="F860" s="56" t="str">
        <f>INDEX('Infos Clientes'!$I:$I,MATCH('Detalhe Por UC'!C860,'Infos Clientes'!B:B,0))</f>
        <v>BT</v>
      </c>
      <c r="G860" s="56" t="str">
        <f>INDEX('Infos Clientes'!$J:$J,MATCH('Detalhe Por UC'!C860,'Infos Clientes'!B:B,0))</f>
        <v>trifasico</v>
      </c>
      <c r="H860" s="47" t="str">
        <f t="shared" si="493"/>
        <v>GIROSSOL II</v>
      </c>
      <c r="I860" s="58">
        <f>IFERROR(VLOOKUP(C860,'Infos Clientes'!B:E,4,),"")</f>
        <v>994</v>
      </c>
      <c r="J860" s="151">
        <v>0.26857922422136293</v>
      </c>
      <c r="K860" s="79">
        <f>INDEX('Resumo Operacional'!$A$1:$P$151,MATCH("Desconto percentual Ucs",'Resumo Operacional'!$B$1:$B$151,0),MATCH('Detalhe Por UC'!$R860,'Resumo Operacional'!$A$1:$P$1,0))</f>
        <v>0.26857922422136293</v>
      </c>
      <c r="M860" s="56"/>
      <c r="N860" s="56"/>
      <c r="O860" s="56"/>
      <c r="P860" s="56"/>
      <c r="Q860" s="61"/>
      <c r="R860" s="111">
        <v>45901</v>
      </c>
      <c r="S860" s="152">
        <v>1.8E-3</v>
      </c>
      <c r="T860" s="113">
        <f>IF($H860="GIROSSOL II",AP860/INDEX('Resumo Operacional'!$A$1:$P$1103,17,MATCH('Detalhe Por UC'!$R860,'Resumo Operacional'!$A$1:$P$1,0)),
IF($H860="GIROSSOL II e III",AP860/INDEX('Resumo Operacional'!$A$1:$P$1103,17,MATCH('Detalhe Por UC'!$R860,'Resumo Operacional'!$A$1:$P$1,0)),
""))</f>
        <v>1.7988552739165986E-3</v>
      </c>
      <c r="U860" s="113" t="str">
        <f>IF($H860="GIROSSOL III",AP860/INDEX('Resumo Operacional'!$A$1:$P$1103,53,MATCH('Detalhe Por UC'!$R860,'Resumo Operacional'!$A$1:$P$1,0)),
IF($H860="GIROSSOL II e III",AP860/INDEX('Resumo Operacional'!$A$1:$P$1103,53,MATCH('Detalhe Por UC'!$R860,'Resumo Operacional'!$A$1:$P$1,0)),
""))</f>
        <v/>
      </c>
      <c r="X860">
        <v>1.2084224697745631</v>
      </c>
      <c r="Z860" s="18">
        <v>1.1874571369551745</v>
      </c>
      <c r="AB860" s="18">
        <v>403</v>
      </c>
      <c r="AD860" s="143">
        <v>309</v>
      </c>
      <c r="AF860" s="18">
        <v>259</v>
      </c>
      <c r="AG860">
        <v>0</v>
      </c>
      <c r="AH860">
        <v>74.010000000000005</v>
      </c>
      <c r="AL860" s="43"/>
      <c r="AN860" s="71">
        <f t="shared" si="494"/>
        <v>-287</v>
      </c>
      <c r="AO860" s="71">
        <f t="shared" si="495"/>
        <v>0</v>
      </c>
      <c r="AP860" s="71">
        <f t="shared" si="496"/>
        <v>22</v>
      </c>
      <c r="AQ860" s="72">
        <f>IF(OR($H860="GIROSSOL II",$H860="GIROSSOL II e III"),INDEX('Resumo Operacional'!$A$1:$P$1103,MATCH("Energia Injetada prevista total Fatura da Usina (TUSD)",'Resumo Operacional'!$B$1:$B$1103,0),MATCH('Detalhe Por UC'!$R860,'Resumo Operacional'!$A$1:$P$1,0))*$S860,INDEX('Resumo Operacional'!$A$1:$P$1103,53,MATCH('Detalhe Por UC'!$R860,'Resumo Operacional'!$A$1:$P$1,0))*$S860)</f>
        <v>22.013999999999999</v>
      </c>
      <c r="AR860" s="71">
        <f t="shared" si="497"/>
        <v>-1.3999999999999346E-2</v>
      </c>
      <c r="AS860" s="73">
        <f t="shared" si="498"/>
        <v>194.07999999999998</v>
      </c>
      <c r="AT860" s="74">
        <f t="shared" si="499"/>
        <v>194.07999999999998</v>
      </c>
      <c r="AU860" s="74">
        <f t="shared" si="500"/>
        <v>1.1664918041357859</v>
      </c>
      <c r="AV860" s="74">
        <f t="shared" si="501"/>
        <v>268.37602347753062</v>
      </c>
      <c r="AW860" s="74">
        <f t="shared" si="502"/>
        <v>0</v>
      </c>
      <c r="AX860" s="74">
        <f t="shared" si="503"/>
        <v>366.92425531914893</v>
      </c>
      <c r="AY860" s="74">
        <f t="shared" si="504"/>
        <v>268.38</v>
      </c>
      <c r="AZ860" s="117">
        <v>268.38</v>
      </c>
      <c r="BA860" s="117">
        <v>268.38</v>
      </c>
      <c r="BB860" s="117">
        <v>268.38</v>
      </c>
      <c r="BC860" s="73" t="str">
        <f t="shared" si="505"/>
        <v/>
      </c>
      <c r="BD860" s="73">
        <f t="shared" si="506"/>
        <v>561.00425531914891</v>
      </c>
      <c r="BE860" s="73">
        <f t="shared" si="507"/>
        <v>462.45602347753061</v>
      </c>
      <c r="BF860" s="77">
        <f t="shared" si="508"/>
        <v>98.55</v>
      </c>
      <c r="BG860" s="77">
        <f t="shared" si="509"/>
        <v>29.564999999999998</v>
      </c>
      <c r="BH860" s="77">
        <f t="shared" si="510"/>
        <v>366.92425531914893</v>
      </c>
      <c r="BI860" s="78">
        <f t="shared" si="511"/>
        <v>0.27</v>
      </c>
      <c r="BJ860" s="79">
        <f t="shared" si="512"/>
        <v>0.17566711672077429</v>
      </c>
      <c r="BK860" s="80">
        <f t="shared" si="513"/>
        <v>462.46</v>
      </c>
      <c r="BL860" s="80">
        <f t="shared" si="514"/>
        <v>98.544255319148931</v>
      </c>
      <c r="BM860" s="79">
        <f t="shared" si="515"/>
        <v>0.1756568767256288</v>
      </c>
      <c r="BN860" s="81">
        <f t="shared" si="516"/>
        <v>0.86854368932038839</v>
      </c>
      <c r="BO860" s="82">
        <f t="shared" si="517"/>
        <v>268.38</v>
      </c>
      <c r="BP860" s="81">
        <f t="shared" si="518"/>
        <v>0.86854368932038839</v>
      </c>
      <c r="BQ860" s="81">
        <f t="shared" si="519"/>
        <v>0.88950902213977701</v>
      </c>
      <c r="BR860" s="81">
        <f t="shared" si="520"/>
        <v>1.2084224697745631</v>
      </c>
      <c r="BS860" s="82">
        <f t="shared" si="521"/>
        <v>309</v>
      </c>
      <c r="BT860" s="82">
        <f t="shared" si="522"/>
        <v>373.40254316034003</v>
      </c>
      <c r="BU860" s="82">
        <f t="shared" si="523"/>
        <v>366.92425531914893</v>
      </c>
      <c r="BW860" s="82">
        <f>IFERROR(INDEX('Infos Clientes'!$T:$T,MATCH('Detalhe Por UC'!$C860,'Infos Clientes'!B:B,0)),"")</f>
        <v>335.75</v>
      </c>
      <c r="BX860" s="83">
        <f t="shared" si="524"/>
        <v>0</v>
      </c>
      <c r="BY860" s="84">
        <f t="shared" si="525"/>
        <v>0.26390890240089704</v>
      </c>
      <c r="BZ860" s="85">
        <f>IF(_xlfn.MINIFS('Detalhe Por UC'!R:R,'Detalhe Por UC'!C:C,C860,'Detalhe Por UC'!AD:AD,"&gt;"&amp;0)=0,"",_xlfn.MINIFS('Detalhe Por UC'!R:R,'Detalhe Por UC'!C:C,C860,'Detalhe Por UC'!AD:AD,"&gt;"&amp;0))</f>
        <v>45627</v>
      </c>
      <c r="CA860" s="114">
        <f ca="1">IF(OR(S860&gt;0,AD860&gt;0),IFERROR(
SUMIFS(INDIRECT("'Infos Clientes'!$W"&amp;INDEX('Infos Clientes'!$C:$C,MATCH(C860,'Infos Clientes'!$H:$H,0))&amp;":$CZ"&amp;INDEX('Infos Clientes'!$C:$C,MATCH(C860,'Infos Clientes'!$H:$H,0))),'Infos Clientes'!$W$2:$CZ$2,"&gt;"&amp;$R860-365,'Infos Clientes'!$W$2:$CZ$2,"&lt;="&amp;$R860)/
COUNTIFS(INDIRECT("'Infos Clientes'!$W"&amp;INDEX('Infos Clientes'!$C:$C,MATCH(C860,'Infos Clientes'!$H:$H,0))&amp;":$CZ"&amp;INDEX('Infos Clientes'!$C:$C,MATCH(C860,'Infos Clientes'!$H:$H,0))),"&gt;="&amp;0,'Infos Clientes'!$W$2:$CZ$2,"&gt;"&amp;$R860-365,'Infos Clientes'!$W$2:$CZ$2,"&lt;="&amp;$R860),""),"")</f>
        <v>355.66666666666669</v>
      </c>
      <c r="CB860" s="87">
        <f>VLOOKUP(C860,'Infos Clientes'!B:L,11,0)</f>
        <v>0</v>
      </c>
      <c r="CC860" s="88" t="str">
        <f t="shared" si="526"/>
        <v>A Unidade Consumidora 10/276283-9 economizou R$98,55 na fatura referente à set/2025  consumindo 309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0" s="115">
        <f t="shared" si="527"/>
        <v>-194.07999999999998</v>
      </c>
    </row>
    <row r="861" spans="1:84" ht="16.2" hidden="1" customHeight="1" x14ac:dyDescent="0.3">
      <c r="A861" s="105" t="str">
        <f>INDEX('Infos Clientes'!$D:$D,MATCH('Detalhe Por UC'!C861,'Infos Clientes'!B:B,0))</f>
        <v>IGREJA DO EVANGELHO QUADRANGULAR</v>
      </c>
      <c r="B861" s="106" t="str">
        <f>INDEX('Infos Clientes'!$F:$F,MATCH('Detalhe Por UC'!C861,'Infos Clientes'!B:B,0))</f>
        <v>62.955.505/0155-12</v>
      </c>
      <c r="C861" s="31" t="s">
        <v>129</v>
      </c>
      <c r="D861" t="s">
        <v>351</v>
      </c>
      <c r="E861" s="1" t="s">
        <v>352</v>
      </c>
      <c r="F861" s="56" t="str">
        <f>INDEX('Infos Clientes'!$I:$I,MATCH('Detalhe Por UC'!C861,'Infos Clientes'!B:B,0))</f>
        <v>BT</v>
      </c>
      <c r="G861" s="56" t="str">
        <f>INDEX('Infos Clientes'!$J:$J,MATCH('Detalhe Por UC'!C861,'Infos Clientes'!B:B,0))</f>
        <v>trifasico</v>
      </c>
      <c r="H861" s="47" t="str">
        <f t="shared" si="493"/>
        <v>GIROSSOL II</v>
      </c>
      <c r="I861" s="58">
        <f>IFERROR(VLOOKUP(C861,'Infos Clientes'!B:E,4,),"")</f>
        <v>358</v>
      </c>
      <c r="J861" s="151">
        <v>0.26857922422136293</v>
      </c>
      <c r="K861" s="79">
        <f>INDEX('Resumo Operacional'!$A$1:$P$151,MATCH("Desconto percentual Ucs",'Resumo Operacional'!$B$1:$B$151,0),MATCH('Detalhe Por UC'!$R861,'Resumo Operacional'!$A$1:$P$1,0))</f>
        <v>0.26857922422136293</v>
      </c>
      <c r="M861" s="56"/>
      <c r="N861" s="56"/>
      <c r="O861" s="56"/>
      <c r="P861" s="56"/>
      <c r="Q861" s="61"/>
      <c r="R861" s="111">
        <v>45901</v>
      </c>
      <c r="S861" s="152">
        <v>8.0000000000000004E-4</v>
      </c>
      <c r="T861" s="113">
        <f>IF($H861="GIROSSOL II",AP861/INDEX('Resumo Operacional'!$A$1:$P$1103,17,MATCH('Detalhe Por UC'!$R861,'Resumo Operacional'!$A$1:$P$1,0)),
IF($H861="GIROSSOL II e III",AP861/INDEX('Resumo Operacional'!$A$1:$P$1103,17,MATCH('Detalhe Por UC'!$R861,'Resumo Operacional'!$A$1:$P$1,0)),
""))</f>
        <v>9.7628781684382659E-2</v>
      </c>
      <c r="U861" s="113" t="str">
        <f>IF($H861="GIROSSOL III",AP861/INDEX('Resumo Operacional'!$A$1:$P$1103,53,MATCH('Detalhe Por UC'!$R861,'Resumo Operacional'!$A$1:$P$1,0)),
IF($H861="GIROSSOL II e III",AP861/INDEX('Resumo Operacional'!$A$1:$P$1103,53,MATCH('Detalhe Por UC'!$R861,'Resumo Operacional'!$A$1:$P$1,0)),
""))</f>
        <v/>
      </c>
      <c r="X861">
        <v>1.2080394557823129</v>
      </c>
      <c r="Z861" s="18">
        <v>1.2076978723404255</v>
      </c>
      <c r="AB861" s="18">
        <v>147</v>
      </c>
      <c r="AD861" s="143">
        <v>47</v>
      </c>
      <c r="AF861" s="18">
        <v>1147</v>
      </c>
      <c r="AG861">
        <v>0</v>
      </c>
      <c r="AH861">
        <v>52.43</v>
      </c>
      <c r="AL861" s="43"/>
      <c r="AN861" s="71">
        <f t="shared" si="494"/>
        <v>1147</v>
      </c>
      <c r="AO861" s="71">
        <f t="shared" si="495"/>
        <v>0</v>
      </c>
      <c r="AP861" s="71">
        <f t="shared" si="496"/>
        <v>1194</v>
      </c>
      <c r="AQ861" s="72">
        <f>IF(OR($H861="GIROSSOL II",$H861="GIROSSOL II e III"),INDEX('Resumo Operacional'!$A$1:$P$1103,MATCH("Energia Injetada prevista total Fatura da Usina (TUSD)",'Resumo Operacional'!$B$1:$B$1103,0),MATCH('Detalhe Por UC'!$R861,'Resumo Operacional'!$A$1:$P$1,0))*$S861,INDEX('Resumo Operacional'!$A$1:$P$1103,53,MATCH('Detalhe Por UC'!$R861,'Resumo Operacional'!$A$1:$P$1,0))*$S861)</f>
        <v>9.7840000000000007</v>
      </c>
      <c r="AR861" s="71">
        <f t="shared" si="497"/>
        <v>1184.2159999999999</v>
      </c>
      <c r="AS861" s="73">
        <f t="shared" si="498"/>
        <v>173.25</v>
      </c>
      <c r="AT861" s="74">
        <f t="shared" si="499"/>
        <v>173.25</v>
      </c>
      <c r="AU861" s="74">
        <f t="shared" si="500"/>
        <v>1.2073562888985381</v>
      </c>
      <c r="AV861" s="74">
        <f t="shared" si="501"/>
        <v>41.516759790591841</v>
      </c>
      <c r="AW861" s="74">
        <f t="shared" si="502"/>
        <v>0</v>
      </c>
      <c r="AX861" s="74">
        <f t="shared" si="503"/>
        <v>56.761799999999994</v>
      </c>
      <c r="AY861" s="74">
        <f t="shared" si="504"/>
        <v>41.52</v>
      </c>
      <c r="AZ861" s="117">
        <v>41.52</v>
      </c>
      <c r="BA861" s="117">
        <v>41.52</v>
      </c>
      <c r="BB861" s="117">
        <v>56.76</v>
      </c>
      <c r="BC861" s="73">
        <f t="shared" si="505"/>
        <v>15.239999999999995</v>
      </c>
      <c r="BD861" s="73">
        <f t="shared" si="506"/>
        <v>230.01179999999999</v>
      </c>
      <c r="BE861" s="73">
        <f t="shared" si="507"/>
        <v>214.76675979059183</v>
      </c>
      <c r="BF861" s="77">
        <f t="shared" si="508"/>
        <v>15.25</v>
      </c>
      <c r="BG861" s="77">
        <f t="shared" si="509"/>
        <v>4.5750000000000002</v>
      </c>
      <c r="BH861" s="77">
        <f t="shared" si="510"/>
        <v>56.761799999999994</v>
      </c>
      <c r="BI861" s="78">
        <f t="shared" si="511"/>
        <v>0.27</v>
      </c>
      <c r="BJ861" s="79">
        <f t="shared" si="512"/>
        <v>6.6300946299276825E-2</v>
      </c>
      <c r="BK861" s="80">
        <f t="shared" si="513"/>
        <v>214.77</v>
      </c>
      <c r="BL861" s="80">
        <f t="shared" si="514"/>
        <v>15.241799999999984</v>
      </c>
      <c r="BM861" s="79">
        <f t="shared" si="515"/>
        <v>6.6265295954381395E-2</v>
      </c>
      <c r="BN861" s="81">
        <f t="shared" si="516"/>
        <v>0.88340425531914901</v>
      </c>
      <c r="BO861" s="82">
        <f t="shared" si="517"/>
        <v>41.52</v>
      </c>
      <c r="BP861" s="81">
        <f t="shared" si="518"/>
        <v>0.88340425531914901</v>
      </c>
      <c r="BQ861" s="81">
        <f t="shared" si="519"/>
        <v>0.88374583876103641</v>
      </c>
      <c r="BR861" s="81">
        <f t="shared" si="520"/>
        <v>1.2080394557823129</v>
      </c>
      <c r="BS861" s="82">
        <f t="shared" si="521"/>
        <v>47</v>
      </c>
      <c r="BT861" s="82">
        <f t="shared" si="522"/>
        <v>56.777854421768701</v>
      </c>
      <c r="BU861" s="82">
        <f t="shared" si="523"/>
        <v>56.761799999999994</v>
      </c>
      <c r="BW861" s="82">
        <f>IFERROR(INDEX('Infos Clientes'!$T:$T,MATCH('Detalhe Por UC'!$C861,'Infos Clientes'!B:B,0)),"")</f>
        <v>123.5</v>
      </c>
      <c r="BX861" s="83">
        <f t="shared" si="524"/>
        <v>0</v>
      </c>
      <c r="BY861" s="84">
        <f t="shared" si="525"/>
        <v>0.26844621296848914</v>
      </c>
      <c r="BZ861" s="85">
        <f>IF(_xlfn.MINIFS('Detalhe Por UC'!R:R,'Detalhe Por UC'!C:C,C861,'Detalhe Por UC'!AD:AD,"&gt;"&amp;0)=0,"",_xlfn.MINIFS('Detalhe Por UC'!R:R,'Detalhe Por UC'!C:C,C861,'Detalhe Por UC'!AD:AD,"&gt;"&amp;0))</f>
        <v>45627</v>
      </c>
      <c r="CA861" s="114">
        <f ca="1">IF(OR(S861&gt;0,AD861&gt;0),IFERROR(
SUMIFS(INDIRECT("'Infos Clientes'!$W"&amp;INDEX('Infos Clientes'!$C:$C,MATCH(C861,'Infos Clientes'!$H:$H,0))&amp;":$CZ"&amp;INDEX('Infos Clientes'!$C:$C,MATCH(C861,'Infos Clientes'!$H:$H,0))),'Infos Clientes'!$W$2:$CZ$2,"&gt;"&amp;$R861-365,'Infos Clientes'!$W$2:$CZ$2,"&lt;="&amp;$R861)/
COUNTIFS(INDIRECT("'Infos Clientes'!$W"&amp;INDEX('Infos Clientes'!$C:$C,MATCH(C861,'Infos Clientes'!$H:$H,0))&amp;":$CZ"&amp;INDEX('Infos Clientes'!$C:$C,MATCH(C861,'Infos Clientes'!$H:$H,0))),"&gt;="&amp;0,'Infos Clientes'!$W$2:$CZ$2,"&gt;"&amp;$R861-365,'Infos Clientes'!$W$2:$CZ$2,"&lt;="&amp;$R861),""),"")</f>
        <v>135</v>
      </c>
      <c r="CB861" s="87">
        <f>VLOOKUP(C861,'Infos Clientes'!B:L,11,0)</f>
        <v>0</v>
      </c>
      <c r="CC861" s="88" t="str">
        <f t="shared" si="526"/>
        <v>A Unidade Consumidora 10/987178-1 economizou R$15,25 na fatura referente à set/2025  consumindo 47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1" s="115">
        <f t="shared" si="527"/>
        <v>-173.25</v>
      </c>
    </row>
    <row r="862" spans="1:84" ht="16.2" hidden="1" customHeight="1" x14ac:dyDescent="0.3">
      <c r="A862" s="105" t="str">
        <f>INDEX('Infos Clientes'!$D:$D,MATCH('Detalhe Por UC'!C862,'Infos Clientes'!B:B,0))</f>
        <v>IGREJA DO EVANGELHO QUADRANGULAR</v>
      </c>
      <c r="B862" s="106" t="str">
        <f>INDEX('Infos Clientes'!$F:$F,MATCH('Detalhe Por UC'!C862,'Infos Clientes'!B:B,0))</f>
        <v>62.955.505/0577-89</v>
      </c>
      <c r="C862" s="31" t="s">
        <v>94</v>
      </c>
      <c r="D862" t="s">
        <v>351</v>
      </c>
      <c r="E862" s="1" t="s">
        <v>352</v>
      </c>
      <c r="F862" s="56" t="str">
        <f>INDEX('Infos Clientes'!$I:$I,MATCH('Detalhe Por UC'!C862,'Infos Clientes'!B:B,0))</f>
        <v>BT</v>
      </c>
      <c r="G862" s="56" t="str">
        <f>INDEX('Infos Clientes'!$J:$J,MATCH('Detalhe Por UC'!C862,'Infos Clientes'!B:B,0))</f>
        <v>bifasico</v>
      </c>
      <c r="H862" s="47" t="str">
        <f t="shared" si="493"/>
        <v>GIROSSOL II</v>
      </c>
      <c r="I862" s="58">
        <f>IFERROR(VLOOKUP(C862,'Infos Clientes'!B:E,4,),"")</f>
        <v>319</v>
      </c>
      <c r="J862" s="151">
        <v>0.26857922422136293</v>
      </c>
      <c r="K862" s="79">
        <f>INDEX('Resumo Operacional'!$A$1:$P$151,MATCH("Desconto percentual Ucs",'Resumo Operacional'!$B$1:$B$151,0),MATCH('Detalhe Por UC'!$R862,'Resumo Operacional'!$A$1:$P$1,0))</f>
        <v>0.26857922422136293</v>
      </c>
      <c r="M862" s="56"/>
      <c r="N862" s="56"/>
      <c r="O862" s="56"/>
      <c r="P862" s="56"/>
      <c r="Q862" s="61"/>
      <c r="R862" s="111">
        <v>45901</v>
      </c>
      <c r="S862" s="152">
        <v>0</v>
      </c>
      <c r="T862" s="113">
        <f>IF($H862="GIROSSOL II",AP862/INDEX('Resumo Operacional'!$A$1:$P$1103,17,MATCH('Detalhe Por UC'!$R862,'Resumo Operacional'!$A$1:$P$1,0)),
IF($H862="GIROSSOL II e III",AP862/INDEX('Resumo Operacional'!$A$1:$P$1103,17,MATCH('Detalhe Por UC'!$R862,'Resumo Operacional'!$A$1:$P$1,0)),
""))</f>
        <v>5.2820932134096485E-2</v>
      </c>
      <c r="U862" s="113" t="str">
        <f>IF($H862="GIROSSOL III",AP862/INDEX('Resumo Operacional'!$A$1:$P$1103,53,MATCH('Detalhe Por UC'!$R862,'Resumo Operacional'!$A$1:$P$1,0)),
IF($H862="GIROSSOL II e III",AP862/INDEX('Resumo Operacional'!$A$1:$P$1103,53,MATCH('Detalhe Por UC'!$R862,'Resumo Operacional'!$A$1:$P$1,0)),
""))</f>
        <v/>
      </c>
      <c r="X862">
        <v>1.2075148430873619</v>
      </c>
      <c r="Z862" s="18">
        <v>1.0506280193236714</v>
      </c>
      <c r="AB862" s="18">
        <v>262</v>
      </c>
      <c r="AD862" s="143">
        <v>253</v>
      </c>
      <c r="AF862" s="18">
        <v>2364</v>
      </c>
      <c r="AG862">
        <v>0</v>
      </c>
      <c r="AH862">
        <v>46.25</v>
      </c>
      <c r="AL862" s="43"/>
      <c r="AN862" s="71">
        <f t="shared" si="494"/>
        <v>393</v>
      </c>
      <c r="AO862" s="71">
        <f t="shared" si="495"/>
        <v>0</v>
      </c>
      <c r="AP862" s="71">
        <f t="shared" si="496"/>
        <v>646</v>
      </c>
      <c r="AQ862" s="72">
        <f>IF(OR($H862="GIROSSOL II",$H862="GIROSSOL II e III"),INDEX('Resumo Operacional'!$A$1:$P$1103,MATCH("Energia Injetada prevista total Fatura da Usina (TUSD)",'Resumo Operacional'!$B$1:$B$1103,0),MATCH('Detalhe Por UC'!$R862,'Resumo Operacional'!$A$1:$P$1,0))*$S862,INDEX('Resumo Operacional'!$A$1:$P$1103,53,MATCH('Detalhe Por UC'!$R862,'Resumo Operacional'!$A$1:$P$1,0))*$S862)</f>
        <v>0</v>
      </c>
      <c r="AR862" s="71">
        <f t="shared" si="497"/>
        <v>646</v>
      </c>
      <c r="AS862" s="73">
        <f t="shared" si="498"/>
        <v>96.809999999999945</v>
      </c>
      <c r="AT862" s="74">
        <f t="shared" si="499"/>
        <v>96.809999999999945</v>
      </c>
      <c r="AU862" s="74">
        <f t="shared" si="500"/>
        <v>0.89374119555998099</v>
      </c>
      <c r="AV862" s="74">
        <f t="shared" si="501"/>
        <v>194.41814371996864</v>
      </c>
      <c r="AW862" s="74">
        <f t="shared" si="502"/>
        <v>400.94999989999997</v>
      </c>
      <c r="AX862" s="74">
        <f t="shared" si="503"/>
        <v>666.75888878888884</v>
      </c>
      <c r="AY862" s="74">
        <f t="shared" si="504"/>
        <v>595.37</v>
      </c>
      <c r="AZ862" s="76">
        <v>194.42</v>
      </c>
      <c r="BA862" s="136">
        <v>9.9999999999999995E-8</v>
      </c>
      <c r="BC862" s="73" t="str">
        <f t="shared" si="505"/>
        <v/>
      </c>
      <c r="BD862" s="73">
        <f t="shared" si="506"/>
        <v>362.61888888888882</v>
      </c>
      <c r="BE862" s="73">
        <f t="shared" si="507"/>
        <v>291.22814371996856</v>
      </c>
      <c r="BF862" s="77">
        <f t="shared" si="508"/>
        <v>71.39</v>
      </c>
      <c r="BG862" s="77">
        <f t="shared" si="509"/>
        <v>21.416999999999998</v>
      </c>
      <c r="BH862" s="77">
        <f t="shared" si="510"/>
        <v>265.80888888888887</v>
      </c>
      <c r="BI862" s="78">
        <f t="shared" si="511"/>
        <v>0.11</v>
      </c>
      <c r="BJ862" s="79">
        <f t="shared" si="512"/>
        <v>0.1968733626059806</v>
      </c>
      <c r="BK862" s="80">
        <f t="shared" si="513"/>
        <v>692.18</v>
      </c>
      <c r="BL862" s="80">
        <f t="shared" si="514"/>
        <v>-329.56111111111113</v>
      </c>
      <c r="BM862" s="79">
        <f t="shared" si="515"/>
        <v>-0.90883602925630547</v>
      </c>
      <c r="BN862" s="81">
        <f t="shared" si="516"/>
        <v>2.3532411067193677</v>
      </c>
      <c r="BO862" s="82">
        <f t="shared" si="517"/>
        <v>595.37</v>
      </c>
      <c r="BP862" s="81">
        <f t="shared" si="518"/>
        <v>2.3532411067193677</v>
      </c>
      <c r="BQ862" s="81">
        <f t="shared" si="519"/>
        <v>2.5101279304830584</v>
      </c>
      <c r="BR862" s="81">
        <f t="shared" si="520"/>
        <v>1.2075148430873619</v>
      </c>
      <c r="BS862" s="82">
        <f t="shared" si="521"/>
        <v>253</v>
      </c>
      <c r="BT862" s="82">
        <f t="shared" si="522"/>
        <v>305.50125530110256</v>
      </c>
      <c r="BU862" s="82">
        <f t="shared" si="523"/>
        <v>265.80888888888887</v>
      </c>
      <c r="BW862" s="82">
        <f>IFERROR(INDEX('Infos Clientes'!$T:$T,MATCH('Detalhe Por UC'!$C862,'Infos Clientes'!B:B,0)),"")</f>
        <v>55.25</v>
      </c>
      <c r="BX862" s="83">
        <f t="shared" si="524"/>
        <v>0</v>
      </c>
      <c r="BY862" s="84">
        <f t="shared" si="525"/>
        <v>-1.0787553418930971</v>
      </c>
      <c r="BZ862" s="85">
        <f>IF(_xlfn.MINIFS('Detalhe Por UC'!R:R,'Detalhe Por UC'!C:C,C862,'Detalhe Por UC'!AD:AD,"&gt;"&amp;0)=0,"",_xlfn.MINIFS('Detalhe Por UC'!R:R,'Detalhe Por UC'!C:C,C862,'Detalhe Por UC'!AD:AD,"&gt;"&amp;0))</f>
        <v>45689</v>
      </c>
      <c r="CA862" s="114">
        <f ca="1">IF(OR(S862&gt;0,AD862&gt;0),IFERROR(
SUMIFS(INDIRECT("'Infos Clientes'!$W"&amp;INDEX('Infos Clientes'!$C:$C,MATCH(C862,'Infos Clientes'!$H:$H,0))&amp;":$CZ"&amp;INDEX('Infos Clientes'!$C:$C,MATCH(C862,'Infos Clientes'!$H:$H,0))),'Infos Clientes'!$W$2:$CZ$2,"&gt;"&amp;$R862-365,'Infos Clientes'!$W$2:$CZ$2,"&lt;="&amp;$R862)/
COUNTIFS(INDIRECT("'Infos Clientes'!$W"&amp;INDEX('Infos Clientes'!$C:$C,MATCH(C862,'Infos Clientes'!$H:$H,0))&amp;":$CZ"&amp;INDEX('Infos Clientes'!$C:$C,MATCH(C862,'Infos Clientes'!$H:$H,0))),"&gt;="&amp;0,'Infos Clientes'!$W$2:$CZ$2,"&gt;"&amp;$R862-365,'Infos Clientes'!$W$2:$CZ$2,"&lt;="&amp;$R862),""),"")</f>
        <v>254.83333333333334</v>
      </c>
      <c r="CB862" s="87">
        <f>VLOOKUP(C862,'Infos Clientes'!B:L,11,0)</f>
        <v>0</v>
      </c>
      <c r="CC862" s="88" t="str">
        <f t="shared" si="526"/>
        <v>A Unidade Consumidora 10/3005226-0 economizou R$71,39 na fatura referente à set/2025  consumindo 253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2" s="115">
        <f t="shared" si="527"/>
        <v>-96.809999999999945</v>
      </c>
    </row>
    <row r="863" spans="1:84" ht="16.2" hidden="1" customHeight="1" x14ac:dyDescent="0.3">
      <c r="A863" s="105" t="str">
        <f>INDEX('Infos Clientes'!$D:$D,MATCH('Detalhe Por UC'!C863,'Infos Clientes'!B:B,0))</f>
        <v>IGREJA DO EVANGELHO QUADRANGULAR</v>
      </c>
      <c r="B863" s="106" t="str">
        <f>INDEX('Infos Clientes'!$F:$F,MATCH('Detalhe Por UC'!C863,'Infos Clientes'!B:B,0))</f>
        <v>62.955.505/0154-31</v>
      </c>
      <c r="C863" s="31" t="s">
        <v>218</v>
      </c>
      <c r="D863" t="s">
        <v>351</v>
      </c>
      <c r="E863" s="1" t="s">
        <v>352</v>
      </c>
      <c r="F863" s="56" t="str">
        <f>INDEX('Infos Clientes'!$I:$I,MATCH('Detalhe Por UC'!C863,'Infos Clientes'!B:B,0))</f>
        <v>BT</v>
      </c>
      <c r="G863" s="56" t="str">
        <f>INDEX('Infos Clientes'!$J:$J,MATCH('Detalhe Por UC'!C863,'Infos Clientes'!B:B,0))</f>
        <v>bifasico</v>
      </c>
      <c r="H863" s="47" t="str">
        <f t="shared" ref="H863:H909" si="528">HYPERLINK("https://geraebcsp.sharepoint.com/sites/gestao.gdc/Shared Documents/EGS/2- Faturas/"&amp; TEXT($R863,"AAA") &amp;"/"&amp; TEXT($R863,"MM") &amp;"."&amp; TEXT($R863,"AAA") &amp;"/"&amp;"_10-"&amp; RIGHT($C863,LEN($C863)-3) &amp;"_" &amp; TEXT($R863,"AAAA") &amp;"-"&amp; TEXT($R863,"MM") &amp;".pdf","GIROSSOL III")</f>
        <v>GIROSSOL III</v>
      </c>
      <c r="I863" s="58">
        <f>IFERROR(VLOOKUP(C863,'Infos Clientes'!B:E,4,),"")</f>
        <v>319</v>
      </c>
      <c r="J863" s="151">
        <v>0.26857922422136293</v>
      </c>
      <c r="K863" s="79">
        <f>INDEX('Resumo Operacional'!$A$1:$P$151,MATCH("Desconto percentual Ucs",'Resumo Operacional'!$B$1:$B$151,0),MATCH('Detalhe Por UC'!$R863,'Resumo Operacional'!$A$1:$P$1,0))</f>
        <v>0.26857922422136293</v>
      </c>
      <c r="M863" s="56"/>
      <c r="N863" s="56"/>
      <c r="O863" s="56"/>
      <c r="P863" s="56"/>
      <c r="Q863" s="61"/>
      <c r="R863" s="111">
        <v>45901</v>
      </c>
      <c r="S863" s="152">
        <v>6.4799999999999996E-2</v>
      </c>
      <c r="T863" s="113" t="str">
        <f>IF($H863="GIROSSOL II",AP863/INDEX('Resumo Operacional'!$A$1:$P$1103,17,MATCH('Detalhe Por UC'!$R863,'Resumo Operacional'!$A$1:$P$1,0)),
IF($H863="GIROSSOL II e III",AP863/INDEX('Resumo Operacional'!$A$1:$P$1103,17,MATCH('Detalhe Por UC'!$R863,'Resumo Operacional'!$A$1:$P$1,0)),
""))</f>
        <v/>
      </c>
      <c r="U863" s="113">
        <f>IF($H863="GIROSSOL III",AP863/INDEX('Resumo Operacional'!$A$1:$P$1103,53,MATCH('Detalhe Por UC'!$R863,'Resumo Operacional'!$A$1:$P$1,0)),
IF($H863="GIROSSOL II e III",AP863/INDEX('Resumo Operacional'!$A$1:$P$1103,53,MATCH('Detalhe Por UC'!$R863,'Resumo Operacional'!$A$1:$P$1,0)),
""))</f>
        <v>5.0372208436724568E-2</v>
      </c>
      <c r="X863">
        <v>1.1086346153846154</v>
      </c>
      <c r="Z863" s="18">
        <v>0.9517500000000001</v>
      </c>
      <c r="AB863" s="18">
        <v>520</v>
      </c>
      <c r="AD863" s="143">
        <v>520</v>
      </c>
      <c r="AF863" s="18">
        <v>1985</v>
      </c>
      <c r="AG863">
        <v>0</v>
      </c>
      <c r="AH863">
        <v>74.740000000000009</v>
      </c>
      <c r="AL863" s="43"/>
      <c r="AN863" s="71">
        <f t="shared" si="494"/>
        <v>89</v>
      </c>
      <c r="AO863" s="71">
        <f t="shared" si="495"/>
        <v>0</v>
      </c>
      <c r="AP863" s="71">
        <f t="shared" si="496"/>
        <v>609</v>
      </c>
      <c r="AQ863" s="72">
        <f>IF(OR($H863="GIROSSOL II",$H863="GIROSSOL II e III"),INDEX('Resumo Operacional'!$A$1:$P$1103,MATCH("Energia Injetada prevista total Fatura da Usina (TUSD)",'Resumo Operacional'!$B$1:$B$1103,0),MATCH('Detalhe Por UC'!$R863,'Resumo Operacional'!$A$1:$P$1,0))*$S863,INDEX('Resumo Operacional'!$A$1:$P$1103,53,MATCH('Detalhe Por UC'!$R863,'Resumo Operacional'!$A$1:$P$1,0))*$S863)</f>
        <v>783.4319999999999</v>
      </c>
      <c r="AR863" s="71">
        <f t="shared" si="497"/>
        <v>-174.4319999999999</v>
      </c>
      <c r="AS863" s="73">
        <f t="shared" si="498"/>
        <v>156.32</v>
      </c>
      <c r="AT863" s="74">
        <f t="shared" si="499"/>
        <v>156.32</v>
      </c>
      <c r="AU863" s="74">
        <f t="shared" si="500"/>
        <v>0.79486538461538481</v>
      </c>
      <c r="AV863" s="74">
        <f t="shared" si="501"/>
        <v>361.98745614060533</v>
      </c>
      <c r="AW863" s="74">
        <f t="shared" si="502"/>
        <v>0</v>
      </c>
      <c r="AX863" s="74">
        <f t="shared" si="503"/>
        <v>494.91</v>
      </c>
      <c r="AY863" s="74">
        <f t="shared" si="504"/>
        <v>361.99</v>
      </c>
      <c r="AZ863" s="117">
        <v>361.99</v>
      </c>
      <c r="BA863" s="117">
        <v>361.99</v>
      </c>
      <c r="BB863" s="117">
        <v>494.91</v>
      </c>
      <c r="BC863" s="73">
        <f t="shared" si="505"/>
        <v>132.92000000000002</v>
      </c>
      <c r="BD863" s="73">
        <f t="shared" si="506"/>
        <v>651.23</v>
      </c>
      <c r="BE863" s="73">
        <f t="shared" si="507"/>
        <v>518.30745614060538</v>
      </c>
      <c r="BF863" s="77">
        <f t="shared" si="508"/>
        <v>132.91999999999999</v>
      </c>
      <c r="BG863" s="77">
        <f t="shared" si="509"/>
        <v>39.875999999999998</v>
      </c>
      <c r="BH863" s="77">
        <f t="shared" si="510"/>
        <v>494.91000000000008</v>
      </c>
      <c r="BI863" s="78">
        <f t="shared" si="511"/>
        <v>0.27</v>
      </c>
      <c r="BJ863" s="79">
        <f t="shared" si="512"/>
        <v>0.20410607619427851</v>
      </c>
      <c r="BK863" s="80">
        <f t="shared" si="513"/>
        <v>518.30999999999995</v>
      </c>
      <c r="BL863" s="80">
        <f t="shared" si="514"/>
        <v>132.92000000000007</v>
      </c>
      <c r="BM863" s="79">
        <f t="shared" si="515"/>
        <v>0.20410607619427862</v>
      </c>
      <c r="BN863" s="81">
        <f t="shared" si="516"/>
        <v>0.69613461538461541</v>
      </c>
      <c r="BO863" s="82">
        <f t="shared" si="517"/>
        <v>361.99</v>
      </c>
      <c r="BP863" s="81">
        <f t="shared" si="518"/>
        <v>0.69613461538461541</v>
      </c>
      <c r="BQ863" s="81">
        <f t="shared" si="519"/>
        <v>0.8530192307692307</v>
      </c>
      <c r="BR863" s="81">
        <f t="shared" si="520"/>
        <v>1.1086346153846154</v>
      </c>
      <c r="BS863" s="82">
        <f t="shared" si="521"/>
        <v>520</v>
      </c>
      <c r="BT863" s="82">
        <f t="shared" si="522"/>
        <v>576.49</v>
      </c>
      <c r="BU863" s="82">
        <f t="shared" si="523"/>
        <v>494.91</v>
      </c>
      <c r="BW863" s="82">
        <f>IFERROR(INDEX('Infos Clientes'!$T:$T,MATCH('Detalhe Por UC'!$C863,'Infos Clientes'!B:B,0)),"")</f>
        <v>806.81818181818187</v>
      </c>
      <c r="BX863" s="83">
        <f t="shared" si="524"/>
        <v>0</v>
      </c>
      <c r="BY863" s="84">
        <f t="shared" si="525"/>
        <v>0.23056774618813863</v>
      </c>
      <c r="BZ863" s="85">
        <f>IF(_xlfn.MINIFS('Detalhe Por UC'!R:R,'Detalhe Por UC'!C:C,C863,'Detalhe Por UC'!AD:AD,"&gt;"&amp;0)=0,"",_xlfn.MINIFS('Detalhe Por UC'!R:R,'Detalhe Por UC'!C:C,C863,'Detalhe Por UC'!AD:AD,"&gt;"&amp;0))</f>
        <v>45658</v>
      </c>
      <c r="CA863" s="114">
        <f ca="1">IF(OR(S863&gt;0,AD863&gt;0),IFERROR(
SUMIFS(INDIRECT("'Infos Clientes'!$W"&amp;INDEX('Infos Clientes'!$C:$C,MATCH(C863,'Infos Clientes'!$H:$H,0))&amp;":$CZ"&amp;INDEX('Infos Clientes'!$C:$C,MATCH(C863,'Infos Clientes'!$H:$H,0))),'Infos Clientes'!$W$2:$CZ$2,"&gt;"&amp;$R863-365,'Infos Clientes'!$W$2:$CZ$2,"&lt;="&amp;$R863)/
COUNTIFS(INDIRECT("'Infos Clientes'!$W"&amp;INDEX('Infos Clientes'!$C:$C,MATCH(C863,'Infos Clientes'!$H:$H,0))&amp;":$CZ"&amp;INDEX('Infos Clientes'!$C:$C,MATCH(C863,'Infos Clientes'!$H:$H,0))),"&gt;="&amp;0,'Infos Clientes'!$W$2:$CZ$2,"&gt;"&amp;$R863-365,'Infos Clientes'!$W$2:$CZ$2,"&lt;="&amp;$R863),""),"")</f>
        <v>736.08333333333337</v>
      </c>
      <c r="CB863" s="87">
        <f>VLOOKUP(C863,'Infos Clientes'!B:L,11,0)</f>
        <v>0</v>
      </c>
      <c r="CC863" s="88" t="str">
        <f t="shared" si="526"/>
        <v>A Unidade Consumidora 10/61344-8 economizou R$132,92 na fatura referente à set/2025  consumindo 520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3" s="115">
        <f t="shared" si="527"/>
        <v>-156.32</v>
      </c>
    </row>
    <row r="864" spans="1:84" ht="16.2" hidden="1" customHeight="1" x14ac:dyDescent="0.3">
      <c r="A864" s="105" t="str">
        <f>INDEX('Infos Clientes'!$D:$D,MATCH('Detalhe Por UC'!C864,'Infos Clientes'!B:B,0))</f>
        <v>IGREJA DO EVANGELHO QUADRANGULAR</v>
      </c>
      <c r="B864" s="106" t="str">
        <f>INDEX('Infos Clientes'!$F:$F,MATCH('Detalhe Por UC'!C864,'Infos Clientes'!B:B,0))</f>
        <v>62.955.505/0169-18</v>
      </c>
      <c r="C864" s="31" t="s">
        <v>139</v>
      </c>
      <c r="D864" t="s">
        <v>351</v>
      </c>
      <c r="E864" s="1" t="s">
        <v>352</v>
      </c>
      <c r="F864" s="56" t="str">
        <f>INDEX('Infos Clientes'!$I:$I,MATCH('Detalhe Por UC'!C864,'Infos Clientes'!B:B,0))</f>
        <v>BT</v>
      </c>
      <c r="G864" s="56" t="str">
        <f>INDEX('Infos Clientes'!$J:$J,MATCH('Detalhe Por UC'!C864,'Infos Clientes'!B:B,0))</f>
        <v>bifasico</v>
      </c>
      <c r="H864" s="47" t="str">
        <f t="shared" si="528"/>
        <v>GIROSSOL III</v>
      </c>
      <c r="I864" s="58">
        <f>IFERROR(VLOOKUP(C864,'Infos Clientes'!B:E,4,),"")</f>
        <v>351</v>
      </c>
      <c r="J864" s="151">
        <v>0.26857922422136293</v>
      </c>
      <c r="K864" s="79">
        <f>INDEX('Resumo Operacional'!$A$1:$P$151,MATCH("Desconto percentual Ucs",'Resumo Operacional'!$B$1:$B$151,0),MATCH('Detalhe Por UC'!$R864,'Resumo Operacional'!$A$1:$P$1,0))</f>
        <v>0.26857922422136293</v>
      </c>
      <c r="M864" s="56"/>
      <c r="N864" s="56"/>
      <c r="O864" s="56"/>
      <c r="P864" s="56"/>
      <c r="Q864" s="61"/>
      <c r="R864" s="111">
        <v>45901</v>
      </c>
      <c r="S864" s="152">
        <v>4.53E-2</v>
      </c>
      <c r="T864" s="113" t="str">
        <f>IF($H864="GIROSSOL II",AP864/INDEX('Resumo Operacional'!$A$1:$P$1103,17,MATCH('Detalhe Por UC'!$R864,'Resumo Operacional'!$A$1:$P$1,0)),
IF($H864="GIROSSOL II e III",AP864/INDEX('Resumo Operacional'!$A$1:$P$1103,17,MATCH('Detalhe Por UC'!$R864,'Resumo Operacional'!$A$1:$P$1,0)),
""))</f>
        <v/>
      </c>
      <c r="U864" s="113">
        <f>IF($H864="GIROSSOL III",AP864/INDEX('Resumo Operacional'!$A$1:$P$1103,53,MATCH('Detalhe Por UC'!$R864,'Resumo Operacional'!$A$1:$P$1,0)),
IF($H864="GIROSSOL II e III",AP864/INDEX('Resumo Operacional'!$A$1:$P$1103,53,MATCH('Detalhe Por UC'!$R864,'Resumo Operacional'!$A$1:$P$1,0)),
""))</f>
        <v>2.3076923076923078E-2</v>
      </c>
      <c r="X864">
        <v>1.1086269430051814</v>
      </c>
      <c r="Z864" s="18">
        <v>0.95173575129533683</v>
      </c>
      <c r="AB864" s="18">
        <v>386</v>
      </c>
      <c r="AD864" s="143">
        <v>386</v>
      </c>
      <c r="AF864" s="18">
        <v>405</v>
      </c>
      <c r="AG864">
        <v>0</v>
      </c>
      <c r="AH864">
        <v>39.9</v>
      </c>
      <c r="AL864" s="43"/>
      <c r="AN864" s="71">
        <f t="shared" si="494"/>
        <v>-107</v>
      </c>
      <c r="AO864" s="71">
        <f t="shared" si="495"/>
        <v>0</v>
      </c>
      <c r="AP864" s="71">
        <f t="shared" si="496"/>
        <v>279</v>
      </c>
      <c r="AQ864" s="72">
        <f>IF(OR($H864="GIROSSOL II",$H864="GIROSSOL II e III"),INDEX('Resumo Operacional'!$A$1:$P$1103,MATCH("Energia Injetada prevista total Fatura da Usina (TUSD)",'Resumo Operacional'!$B$1:$B$1103,0),MATCH('Detalhe Por UC'!$R864,'Resumo Operacional'!$A$1:$P$1,0))*$S864,INDEX('Resumo Operacional'!$A$1:$P$1103,53,MATCH('Detalhe Por UC'!$R864,'Resumo Operacional'!$A$1:$P$1,0))*$S864)</f>
        <v>547.67700000000002</v>
      </c>
      <c r="AR864" s="71">
        <f t="shared" si="497"/>
        <v>-268.67700000000002</v>
      </c>
      <c r="AS864" s="73">
        <f t="shared" si="498"/>
        <v>100.46000000000001</v>
      </c>
      <c r="AT864" s="74">
        <f t="shared" si="499"/>
        <v>100.46000000000001</v>
      </c>
      <c r="AU864" s="74">
        <f t="shared" si="500"/>
        <v>0.79484455958549227</v>
      </c>
      <c r="AV864" s="74">
        <f t="shared" si="501"/>
        <v>268.7020503977979</v>
      </c>
      <c r="AW864" s="74">
        <f t="shared" si="502"/>
        <v>0</v>
      </c>
      <c r="AX864" s="74">
        <f t="shared" si="503"/>
        <v>367.37</v>
      </c>
      <c r="AY864" s="74">
        <f t="shared" si="504"/>
        <v>268.7</v>
      </c>
      <c r="AZ864" s="117">
        <v>268.7</v>
      </c>
      <c r="BA864" s="117">
        <v>268.7</v>
      </c>
      <c r="BC864" s="73" t="str">
        <f t="shared" si="505"/>
        <v/>
      </c>
      <c r="BD864" s="73">
        <f t="shared" si="506"/>
        <v>467.83</v>
      </c>
      <c r="BE864" s="73">
        <f t="shared" si="507"/>
        <v>369.16205039779788</v>
      </c>
      <c r="BF864" s="77">
        <f t="shared" si="508"/>
        <v>98.67</v>
      </c>
      <c r="BG864" s="77">
        <f t="shared" si="509"/>
        <v>29.600999999999999</v>
      </c>
      <c r="BH864" s="77">
        <f t="shared" si="510"/>
        <v>367.37</v>
      </c>
      <c r="BI864" s="78">
        <f t="shared" si="511"/>
        <v>0.27</v>
      </c>
      <c r="BJ864" s="79">
        <f t="shared" si="512"/>
        <v>0.2109099459205267</v>
      </c>
      <c r="BK864" s="80">
        <f t="shared" si="513"/>
        <v>369.15999999999997</v>
      </c>
      <c r="BL864" s="80">
        <f t="shared" si="514"/>
        <v>98.670000000000016</v>
      </c>
      <c r="BM864" s="79">
        <f t="shared" si="515"/>
        <v>0.21090994592052673</v>
      </c>
      <c r="BN864" s="81">
        <f t="shared" si="516"/>
        <v>0.69611398963730564</v>
      </c>
      <c r="BO864" s="82">
        <f t="shared" si="517"/>
        <v>268.7</v>
      </c>
      <c r="BP864" s="81">
        <f t="shared" si="518"/>
        <v>0.69611398963730564</v>
      </c>
      <c r="BQ864" s="81">
        <f t="shared" si="519"/>
        <v>0.8530051813471502</v>
      </c>
      <c r="BR864" s="81">
        <f t="shared" si="520"/>
        <v>1.1086269430051814</v>
      </c>
      <c r="BS864" s="82">
        <f t="shared" si="521"/>
        <v>386</v>
      </c>
      <c r="BT864" s="82">
        <f t="shared" si="522"/>
        <v>427.93</v>
      </c>
      <c r="BU864" s="82">
        <f t="shared" si="523"/>
        <v>367.37</v>
      </c>
      <c r="BW864" s="82">
        <f>IFERROR(INDEX('Infos Clientes'!$T:$T,MATCH('Detalhe Por UC'!$C864,'Infos Clientes'!B:B,0)),"")</f>
        <v>547.4545454545455</v>
      </c>
      <c r="BX864" s="83">
        <f t="shared" si="524"/>
        <v>0</v>
      </c>
      <c r="BY864" s="84">
        <f t="shared" si="525"/>
        <v>0.23057509405743939</v>
      </c>
      <c r="BZ864" s="85">
        <f>IF(_xlfn.MINIFS('Detalhe Por UC'!R:R,'Detalhe Por UC'!C:C,C864,'Detalhe Por UC'!AD:AD,"&gt;"&amp;0)=0,"",_xlfn.MINIFS('Detalhe Por UC'!R:R,'Detalhe Por UC'!C:C,C864,'Detalhe Por UC'!AD:AD,"&gt;"&amp;0))</f>
        <v>45658</v>
      </c>
      <c r="CA864" s="114">
        <f ca="1">IF(OR(S864&gt;0,AD864&gt;0),IFERROR(
SUMIFS(INDIRECT("'Infos Clientes'!$W"&amp;INDEX('Infos Clientes'!$C:$C,MATCH(C864,'Infos Clientes'!$H:$H,0))&amp;":$CZ"&amp;INDEX('Infos Clientes'!$C:$C,MATCH(C864,'Infos Clientes'!$H:$H,0))),'Infos Clientes'!$W$2:$CZ$2,"&gt;"&amp;$R864-365,'Infos Clientes'!$W$2:$CZ$2,"&lt;="&amp;$R864)/
COUNTIFS(INDIRECT("'Infos Clientes'!$W"&amp;INDEX('Infos Clientes'!$C:$C,MATCH(C864,'Infos Clientes'!$H:$H,0))&amp;":$CZ"&amp;INDEX('Infos Clientes'!$C:$C,MATCH(C864,'Infos Clientes'!$H:$H,0))),"&gt;="&amp;0,'Infos Clientes'!$W$2:$CZ$2,"&gt;"&amp;$R864-365,'Infos Clientes'!$W$2:$CZ$2,"&lt;="&amp;$R864),""),"")</f>
        <v>540.16666666666663</v>
      </c>
      <c r="CB864" s="87">
        <f>VLOOKUP(C864,'Infos Clientes'!B:L,11,0)</f>
        <v>0</v>
      </c>
      <c r="CC864" s="88" t="str">
        <f t="shared" si="526"/>
        <v>A Unidade Consumidora 10/1081489-5 economizou R$98,67 na fatura referente à set/2025  consumindo 386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4" s="115">
        <f t="shared" si="527"/>
        <v>-100.46000000000001</v>
      </c>
    </row>
    <row r="865" spans="1:84" ht="16.2" hidden="1" customHeight="1" x14ac:dyDescent="0.3">
      <c r="A865" s="105" t="str">
        <f>INDEX('Infos Clientes'!$D:$D,MATCH('Detalhe Por UC'!C865,'Infos Clientes'!B:B,0))</f>
        <v>IGREJA DO EVANGELHO QUADRANGULAR</v>
      </c>
      <c r="B865" s="106" t="str">
        <f>INDEX('Infos Clientes'!$F:$F,MATCH('Detalhe Por UC'!C865,'Infos Clientes'!B:B,0))</f>
        <v>62.955.505/2132-33</v>
      </c>
      <c r="C865" s="31" t="s">
        <v>197</v>
      </c>
      <c r="D865" t="s">
        <v>351</v>
      </c>
      <c r="E865" s="1" t="s">
        <v>352</v>
      </c>
      <c r="F865" s="56" t="str">
        <f>INDEX('Infos Clientes'!$I:$I,MATCH('Detalhe Por UC'!C865,'Infos Clientes'!B:B,0))</f>
        <v>BT</v>
      </c>
      <c r="G865" s="56" t="str">
        <f>INDEX('Infos Clientes'!$J:$J,MATCH('Detalhe Por UC'!C865,'Infos Clientes'!B:B,0))</f>
        <v>trifasico</v>
      </c>
      <c r="H865" s="47" t="str">
        <f t="shared" si="528"/>
        <v>GIROSSOL III</v>
      </c>
      <c r="I865" s="58">
        <f>IFERROR(VLOOKUP(C865,'Infos Clientes'!B:E,4,),"")</f>
        <v>306</v>
      </c>
      <c r="J865" s="151">
        <v>0.26857922422136293</v>
      </c>
      <c r="K865" s="79">
        <f>INDEX('Resumo Operacional'!$A$1:$P$151,MATCH("Desconto percentual Ucs",'Resumo Operacional'!$B$1:$B$151,0),MATCH('Detalhe Por UC'!$R865,'Resumo Operacional'!$A$1:$P$1,0))</f>
        <v>0.26857922422136293</v>
      </c>
      <c r="M865" s="56"/>
      <c r="N865" s="56"/>
      <c r="O865" s="56"/>
      <c r="P865" s="56"/>
      <c r="Q865" s="61"/>
      <c r="R865" s="111">
        <v>45901</v>
      </c>
      <c r="S865" s="152">
        <v>4.1300000000000003E-2</v>
      </c>
      <c r="T865" s="113" t="str">
        <f>IF($H865="GIROSSOL II",AP865/INDEX('Resumo Operacional'!$A$1:$P$1103,17,MATCH('Detalhe Por UC'!$R865,'Resumo Operacional'!$A$1:$P$1,0)),
IF($H865="GIROSSOL II e III",AP865/INDEX('Resumo Operacional'!$A$1:$P$1103,17,MATCH('Detalhe Por UC'!$R865,'Resumo Operacional'!$A$1:$P$1,0)),
""))</f>
        <v/>
      </c>
      <c r="U865" s="113">
        <f>IF($H865="GIROSSOL III",AP865/INDEX('Resumo Operacional'!$A$1:$P$1103,53,MATCH('Detalhe Por UC'!$R865,'Resumo Operacional'!$A$1:$P$1,0)),
IF($H865="GIROSSOL II e III",AP865/INDEX('Resumo Operacional'!$A$1:$P$1103,53,MATCH('Detalhe Por UC'!$R865,'Resumo Operacional'!$A$1:$P$1,0)),
""))</f>
        <v>3.7220843672456573E-2</v>
      </c>
      <c r="X865">
        <v>1.2081608379194035</v>
      </c>
      <c r="Z865" s="18">
        <v>1.0512777408637872</v>
      </c>
      <c r="AB865" s="18">
        <v>393</v>
      </c>
      <c r="AD865" s="143">
        <v>350</v>
      </c>
      <c r="AF865" s="18">
        <v>1177</v>
      </c>
      <c r="AG865">
        <v>0</v>
      </c>
      <c r="AH865">
        <v>2.36</v>
      </c>
      <c r="AL865" s="43"/>
      <c r="AN865" s="71">
        <f t="shared" si="494"/>
        <v>100</v>
      </c>
      <c r="AO865" s="71">
        <f t="shared" si="495"/>
        <v>0</v>
      </c>
      <c r="AP865" s="71">
        <f t="shared" si="496"/>
        <v>450</v>
      </c>
      <c r="AQ865" s="72">
        <f>IF(OR($H865="GIROSSOL II",$H865="GIROSSOL II e III"),INDEX('Resumo Operacional'!$A$1:$P$1103,MATCH("Energia Injetada prevista total Fatura da Usina (TUSD)",'Resumo Operacional'!$B$1:$B$1103,0),MATCH('Detalhe Por UC'!$R865,'Resumo Operacional'!$A$1:$P$1,0))*$S865,INDEX('Resumo Operacional'!$A$1:$P$1103,53,MATCH('Detalhe Por UC'!$R865,'Resumo Operacional'!$A$1:$P$1,0))*$S865)</f>
        <v>499.31700000000006</v>
      </c>
      <c r="AR865" s="71">
        <f t="shared" si="497"/>
        <v>-49.317000000000064</v>
      </c>
      <c r="AS865" s="73">
        <f t="shared" si="498"/>
        <v>109.22000000000007</v>
      </c>
      <c r="AT865" s="74">
        <f t="shared" si="499"/>
        <v>109.22000000000007</v>
      </c>
      <c r="AU865" s="74">
        <f t="shared" si="500"/>
        <v>0.89439464380817091</v>
      </c>
      <c r="AV865" s="74">
        <f t="shared" si="501"/>
        <v>269.12423327349148</v>
      </c>
      <c r="AW865" s="74">
        <f t="shared" si="502"/>
        <v>0</v>
      </c>
      <c r="AX865" s="74">
        <f t="shared" si="503"/>
        <v>367.94720930232552</v>
      </c>
      <c r="AY865" s="74">
        <f t="shared" si="504"/>
        <v>269.12</v>
      </c>
      <c r="AZ865" s="117">
        <v>269.12</v>
      </c>
      <c r="BA865" s="117">
        <v>269.12</v>
      </c>
      <c r="BB865" s="117">
        <v>269.12</v>
      </c>
      <c r="BC865" s="73" t="str">
        <f t="shared" si="505"/>
        <v/>
      </c>
      <c r="BD865" s="73">
        <f t="shared" si="506"/>
        <v>477.1672093023256</v>
      </c>
      <c r="BE865" s="73">
        <f t="shared" si="507"/>
        <v>378.34423327349157</v>
      </c>
      <c r="BF865" s="77">
        <f t="shared" si="508"/>
        <v>98.82</v>
      </c>
      <c r="BG865" s="77">
        <f t="shared" si="509"/>
        <v>29.645999999999997</v>
      </c>
      <c r="BH865" s="77">
        <f t="shared" si="510"/>
        <v>367.94720930232552</v>
      </c>
      <c r="BI865" s="78">
        <f t="shared" si="511"/>
        <v>0.27</v>
      </c>
      <c r="BJ865" s="79">
        <f t="shared" si="512"/>
        <v>0.20709721471533304</v>
      </c>
      <c r="BK865" s="80">
        <f t="shared" si="513"/>
        <v>378.34000000000009</v>
      </c>
      <c r="BL865" s="80">
        <f t="shared" si="514"/>
        <v>98.827209302325514</v>
      </c>
      <c r="BM865" s="79">
        <f t="shared" si="515"/>
        <v>0.20711232326048237</v>
      </c>
      <c r="BN865" s="81">
        <f t="shared" si="516"/>
        <v>0.76891428571428577</v>
      </c>
      <c r="BO865" s="82">
        <f t="shared" si="517"/>
        <v>269.12</v>
      </c>
      <c r="BP865" s="81">
        <f t="shared" si="518"/>
        <v>0.76891428571428577</v>
      </c>
      <c r="BQ865" s="81">
        <f t="shared" si="519"/>
        <v>0.92579738276990209</v>
      </c>
      <c r="BR865" s="81">
        <f t="shared" si="520"/>
        <v>1.2081608379194035</v>
      </c>
      <c r="BS865" s="82">
        <f t="shared" si="521"/>
        <v>350</v>
      </c>
      <c r="BT865" s="82">
        <f t="shared" si="522"/>
        <v>422.85629327179123</v>
      </c>
      <c r="BU865" s="82">
        <f t="shared" si="523"/>
        <v>367.94720930232552</v>
      </c>
      <c r="BW865" s="82">
        <f>IFERROR(INDEX('Infos Clientes'!$T:$T,MATCH('Detalhe Por UC'!$C865,'Infos Clientes'!B:B,0)),"")</f>
        <v>659.09090909090912</v>
      </c>
      <c r="BX865" s="83">
        <f t="shared" si="524"/>
        <v>0</v>
      </c>
      <c r="BY865" s="84">
        <f t="shared" si="525"/>
        <v>0.23371346453818587</v>
      </c>
      <c r="BZ865" s="85">
        <f>IF(_xlfn.MINIFS('Detalhe Por UC'!R:R,'Detalhe Por UC'!C:C,C865,'Detalhe Por UC'!AD:AD,"&gt;"&amp;0)=0,"",_xlfn.MINIFS('Detalhe Por UC'!R:R,'Detalhe Por UC'!C:C,C865,'Detalhe Por UC'!AD:AD,"&gt;"&amp;0))</f>
        <v>45658</v>
      </c>
      <c r="CA865" s="114">
        <f ca="1">IF(OR(S865&gt;0,AD865&gt;0),IFERROR(
SUMIFS(INDIRECT("'Infos Clientes'!$W"&amp;INDEX('Infos Clientes'!$C:$C,MATCH(C865,'Infos Clientes'!$H:$H,0))&amp;":$CZ"&amp;INDEX('Infos Clientes'!$C:$C,MATCH(C865,'Infos Clientes'!$H:$H,0))),'Infos Clientes'!$W$2:$CZ$2,"&gt;"&amp;$R865-365,'Infos Clientes'!$W$2:$CZ$2,"&lt;="&amp;$R865)/
COUNTIFS(INDIRECT("'Infos Clientes'!$W"&amp;INDEX('Infos Clientes'!$C:$C,MATCH(C865,'Infos Clientes'!$H:$H,0))&amp;":$CZ"&amp;INDEX('Infos Clientes'!$C:$C,MATCH(C865,'Infos Clientes'!$H:$H,0))),"&gt;="&amp;0,'Infos Clientes'!$W$2:$CZ$2,"&gt;"&amp;$R865-365,'Infos Clientes'!$W$2:$CZ$2,"&lt;="&amp;$R865),""),"")</f>
        <v>538.16666666666663</v>
      </c>
      <c r="CB865" s="87">
        <f>VLOOKUP(C865,'Infos Clientes'!B:L,11,0)</f>
        <v>0</v>
      </c>
      <c r="CC865" s="88" t="str">
        <f t="shared" si="526"/>
        <v>A Unidade Consumidora 10/399338-3 economizou R$98,82 na fatura referente à set/2025  consumindo 350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5" s="115">
        <f t="shared" si="527"/>
        <v>-109.22000000000007</v>
      </c>
    </row>
    <row r="866" spans="1:84" ht="16.2" hidden="1" customHeight="1" x14ac:dyDescent="0.3">
      <c r="A866" s="105" t="str">
        <f>INDEX('Infos Clientes'!$D:$D,MATCH('Detalhe Por UC'!C866,'Infos Clientes'!B:B,0))</f>
        <v>IGREJA DO EVANGELHO QUADRANGULAR</v>
      </c>
      <c r="B866" s="106" t="str">
        <f>INDEX('Infos Clientes'!$F:$F,MATCH('Detalhe Por UC'!C866,'Infos Clientes'!B:B,0))</f>
        <v>62.955.505/1138-75</v>
      </c>
      <c r="C866" s="31" t="s">
        <v>157</v>
      </c>
      <c r="D866" t="s">
        <v>351</v>
      </c>
      <c r="E866" s="1" t="s">
        <v>352</v>
      </c>
      <c r="F866" s="56" t="str">
        <f>INDEX('Infos Clientes'!$I:$I,MATCH('Detalhe Por UC'!C866,'Infos Clientes'!B:B,0))</f>
        <v>BT</v>
      </c>
      <c r="G866" s="56" t="str">
        <f>INDEX('Infos Clientes'!$J:$J,MATCH('Detalhe Por UC'!C866,'Infos Clientes'!B:B,0))</f>
        <v>bifasico</v>
      </c>
      <c r="H866" s="47" t="str">
        <f t="shared" si="528"/>
        <v>GIROSSOL III</v>
      </c>
      <c r="I866" s="58">
        <f>IFERROR(VLOOKUP(C866,'Infos Clientes'!B:E,4,),"")</f>
        <v>358</v>
      </c>
      <c r="J866" s="151">
        <v>0.26857922422136293</v>
      </c>
      <c r="K866" s="79">
        <f>INDEX('Resumo Operacional'!$A$1:$P$151,MATCH("Desconto percentual Ucs",'Resumo Operacional'!$B$1:$B$151,0),MATCH('Detalhe Por UC'!$R866,'Resumo Operacional'!$A$1:$P$1,0))</f>
        <v>0.26857922422136293</v>
      </c>
      <c r="M866" s="56"/>
      <c r="N866" s="56"/>
      <c r="O866" s="56"/>
      <c r="P866" s="56"/>
      <c r="Q866" s="61"/>
      <c r="R866" s="111">
        <v>45901</v>
      </c>
      <c r="S866" s="152">
        <v>3.73E-2</v>
      </c>
      <c r="T866" s="113" t="str">
        <f>IF($H866="GIROSSOL II",AP866/INDEX('Resumo Operacional'!$A$1:$P$1103,17,MATCH('Detalhe Por UC'!$R866,'Resumo Operacional'!$A$1:$P$1,0)),
IF($H866="GIROSSOL II e III",AP866/INDEX('Resumo Operacional'!$A$1:$P$1103,17,MATCH('Detalhe Por UC'!$R866,'Resumo Operacional'!$A$1:$P$1,0)),
""))</f>
        <v/>
      </c>
      <c r="U866" s="113">
        <f>IF($H866="GIROSSOL III",AP866/INDEX('Resumo Operacional'!$A$1:$P$1103,53,MATCH('Detalhe Por UC'!$R866,'Resumo Operacional'!$A$1:$P$1,0)),
IF($H866="GIROSSOL II e III",AP866/INDEX('Resumo Operacional'!$A$1:$P$1103,53,MATCH('Detalhe Por UC'!$R866,'Resumo Operacional'!$A$1:$P$1,0)),
""))</f>
        <v>3.9619520264681553E-2</v>
      </c>
      <c r="X866">
        <v>1.1086274509803922</v>
      </c>
      <c r="Z866" s="18">
        <v>0.95173202614379093</v>
      </c>
      <c r="AB866" s="18">
        <v>306</v>
      </c>
      <c r="AD866" s="143">
        <v>306</v>
      </c>
      <c r="AF866" s="18">
        <v>729</v>
      </c>
      <c r="AG866">
        <v>0</v>
      </c>
      <c r="AH866">
        <v>61.529999999999994</v>
      </c>
      <c r="AL866" s="43"/>
      <c r="AN866" s="71">
        <f t="shared" si="494"/>
        <v>173</v>
      </c>
      <c r="AO866" s="71">
        <f t="shared" si="495"/>
        <v>0</v>
      </c>
      <c r="AP866" s="71">
        <f t="shared" si="496"/>
        <v>479</v>
      </c>
      <c r="AQ866" s="72">
        <f>IF(OR($H866="GIROSSOL II",$H866="GIROSSOL II e III"),INDEX('Resumo Operacional'!$A$1:$P$1103,MATCH("Energia Injetada prevista total Fatura da Usina (TUSD)",'Resumo Operacional'!$B$1:$B$1103,0),MATCH('Detalhe Por UC'!$R866,'Resumo Operacional'!$A$1:$P$1,0))*$S866,INDEX('Resumo Operacional'!$A$1:$P$1103,53,MATCH('Detalhe Por UC'!$R866,'Resumo Operacional'!$A$1:$P$1,0))*$S866)</f>
        <v>450.95699999999999</v>
      </c>
      <c r="AR866" s="71">
        <f t="shared" si="497"/>
        <v>28.043000000000006</v>
      </c>
      <c r="AS866" s="73">
        <f t="shared" si="498"/>
        <v>109.53999999999999</v>
      </c>
      <c r="AT866" s="74">
        <f t="shared" si="499"/>
        <v>109.53999999999999</v>
      </c>
      <c r="AU866" s="74">
        <f t="shared" si="500"/>
        <v>0.79483660130718969</v>
      </c>
      <c r="AV866" s="74">
        <f t="shared" si="501"/>
        <v>213.0116725300125</v>
      </c>
      <c r="AW866" s="74">
        <f t="shared" si="502"/>
        <v>0</v>
      </c>
      <c r="AX866" s="74">
        <f t="shared" si="503"/>
        <v>291.23</v>
      </c>
      <c r="AY866" s="74">
        <f t="shared" si="504"/>
        <v>213.01</v>
      </c>
      <c r="AZ866" s="117">
        <v>213.01</v>
      </c>
      <c r="BA866" s="117">
        <v>213.01</v>
      </c>
      <c r="BB866" s="117">
        <v>213.01</v>
      </c>
      <c r="BC866" s="73" t="str">
        <f t="shared" si="505"/>
        <v/>
      </c>
      <c r="BD866" s="73">
        <f t="shared" si="506"/>
        <v>400.77</v>
      </c>
      <c r="BE866" s="73">
        <f t="shared" si="507"/>
        <v>322.55167253001252</v>
      </c>
      <c r="BF866" s="77">
        <f t="shared" si="508"/>
        <v>78.22</v>
      </c>
      <c r="BG866" s="77">
        <f t="shared" si="509"/>
        <v>23.465999999999998</v>
      </c>
      <c r="BH866" s="77">
        <f t="shared" si="510"/>
        <v>291.23</v>
      </c>
      <c r="BI866" s="78">
        <f t="shared" si="511"/>
        <v>0.27</v>
      </c>
      <c r="BJ866" s="79">
        <f t="shared" si="512"/>
        <v>0.1951742894927265</v>
      </c>
      <c r="BK866" s="80">
        <f t="shared" si="513"/>
        <v>322.54999999999995</v>
      </c>
      <c r="BL866" s="80">
        <f t="shared" si="514"/>
        <v>78.220000000000027</v>
      </c>
      <c r="BM866" s="79">
        <f t="shared" si="515"/>
        <v>0.19517428949272658</v>
      </c>
      <c r="BN866" s="81">
        <f t="shared" si="516"/>
        <v>0.69611111111111112</v>
      </c>
      <c r="BO866" s="82">
        <f t="shared" si="517"/>
        <v>213.01</v>
      </c>
      <c r="BP866" s="81">
        <f t="shared" si="518"/>
        <v>0.69611111111111112</v>
      </c>
      <c r="BQ866" s="81">
        <f t="shared" si="519"/>
        <v>0.85300653594771236</v>
      </c>
      <c r="BR866" s="81">
        <f t="shared" si="520"/>
        <v>1.1086274509803922</v>
      </c>
      <c r="BS866" s="82">
        <f t="shared" si="521"/>
        <v>306</v>
      </c>
      <c r="BT866" s="82">
        <f t="shared" si="522"/>
        <v>339.24</v>
      </c>
      <c r="BU866" s="82">
        <f t="shared" si="523"/>
        <v>291.23</v>
      </c>
      <c r="BW866" s="82">
        <f>IFERROR(INDEX('Infos Clientes'!$T:$T,MATCH('Detalhe Por UC'!$C866,'Infos Clientes'!B:B,0)),"")</f>
        <v>449.81818181818181</v>
      </c>
      <c r="BX866" s="83">
        <f t="shared" si="524"/>
        <v>0</v>
      </c>
      <c r="BY866" s="84">
        <f t="shared" si="525"/>
        <v>0.23057422473764891</v>
      </c>
      <c r="BZ866" s="85">
        <f>IF(_xlfn.MINIFS('Detalhe Por UC'!R:R,'Detalhe Por UC'!C:C,C866,'Detalhe Por UC'!AD:AD,"&gt;"&amp;0)=0,"",_xlfn.MINIFS('Detalhe Por UC'!R:R,'Detalhe Por UC'!C:C,C866,'Detalhe Por UC'!AD:AD,"&gt;"&amp;0))</f>
        <v>45658</v>
      </c>
      <c r="CA866" s="114">
        <f ca="1">IF(OR(S866&gt;0,AD866&gt;0),IFERROR(
SUMIFS(INDIRECT("'Infos Clientes'!$W"&amp;INDEX('Infos Clientes'!$C:$C,MATCH(C866,'Infos Clientes'!$H:$H,0))&amp;":$CZ"&amp;INDEX('Infos Clientes'!$C:$C,MATCH(C866,'Infos Clientes'!$H:$H,0))),'Infos Clientes'!$W$2:$CZ$2,"&gt;"&amp;$R866-365,'Infos Clientes'!$W$2:$CZ$2,"&lt;="&amp;$R866)/
COUNTIFS(INDIRECT("'Infos Clientes'!$W"&amp;INDEX('Infos Clientes'!$C:$C,MATCH(C866,'Infos Clientes'!$H:$H,0))&amp;":$CZ"&amp;INDEX('Infos Clientes'!$C:$C,MATCH(C866,'Infos Clientes'!$H:$H,0))),"&gt;="&amp;0,'Infos Clientes'!$W$2:$CZ$2,"&gt;"&amp;$R866-365,'Infos Clientes'!$W$2:$CZ$2,"&lt;="&amp;$R866),""),"")</f>
        <v>450.41666666666669</v>
      </c>
      <c r="CB866" s="87">
        <f>VLOOKUP(C866,'Infos Clientes'!B:L,11,0)</f>
        <v>0</v>
      </c>
      <c r="CC866" s="88" t="str">
        <f t="shared" si="526"/>
        <v>A Unidade Consumidora 10/142353-2 economizou R$78,22 na fatura referente à set/2025  consumindo 306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6" s="115">
        <f t="shared" si="527"/>
        <v>-109.53999999999999</v>
      </c>
    </row>
    <row r="867" spans="1:84" ht="16.2" hidden="1" customHeight="1" x14ac:dyDescent="0.3">
      <c r="A867" s="105" t="str">
        <f>INDEX('Infos Clientes'!$D:$D,MATCH('Detalhe Por UC'!C867,'Infos Clientes'!B:B,0))</f>
        <v>IGREJA DO EVANGELHO QUADRANGULAR</v>
      </c>
      <c r="B867" s="106" t="str">
        <f>INDEX('Infos Clientes'!$F:$F,MATCH('Detalhe Por UC'!C867,'Infos Clientes'!B:B,0))</f>
        <v>62.955.505/3124-87</v>
      </c>
      <c r="C867" s="31" t="s">
        <v>160</v>
      </c>
      <c r="D867" t="s">
        <v>351</v>
      </c>
      <c r="E867" s="1" t="s">
        <v>352</v>
      </c>
      <c r="F867" s="56" t="str">
        <f>INDEX('Infos Clientes'!$I:$I,MATCH('Detalhe Por UC'!C867,'Infos Clientes'!B:B,0))</f>
        <v>BT</v>
      </c>
      <c r="G867" s="56" t="str">
        <f>INDEX('Infos Clientes'!$J:$J,MATCH('Detalhe Por UC'!C867,'Infos Clientes'!B:B,0))</f>
        <v>trifasico</v>
      </c>
      <c r="H867" s="47" t="str">
        <f t="shared" si="528"/>
        <v>GIROSSOL III</v>
      </c>
      <c r="I867" s="58">
        <f>IFERROR(VLOOKUP(C867,'Infos Clientes'!B:E,4,),"")</f>
        <v>357</v>
      </c>
      <c r="J867" s="151">
        <v>0.26857922422136293</v>
      </c>
      <c r="K867" s="79">
        <f>INDEX('Resumo Operacional'!$A$1:$P$151,MATCH("Desconto percentual Ucs",'Resumo Operacional'!$B$1:$B$151,0),MATCH('Detalhe Por UC'!$R867,'Resumo Operacional'!$A$1:$P$1,0))</f>
        <v>0.26857922422136293</v>
      </c>
      <c r="M867" s="56"/>
      <c r="N867" s="56"/>
      <c r="O867" s="56"/>
      <c r="P867" s="56"/>
      <c r="Q867" s="61"/>
      <c r="R867" s="111">
        <v>45901</v>
      </c>
      <c r="S867" s="152">
        <v>3.6900000000000002E-2</v>
      </c>
      <c r="T867" s="113" t="str">
        <f>IF($H867="GIROSSOL II",AP867/INDEX('Resumo Operacional'!$A$1:$P$1103,17,MATCH('Detalhe Por UC'!$R867,'Resumo Operacional'!$A$1:$P$1,0)),
IF($H867="GIROSSOL II e III",AP867/INDEX('Resumo Operacional'!$A$1:$P$1103,17,MATCH('Detalhe Por UC'!$R867,'Resumo Operacional'!$A$1:$P$1,0)),
""))</f>
        <v/>
      </c>
      <c r="U867" s="113">
        <f>IF($H867="GIROSSOL III",AP867/INDEX('Resumo Operacional'!$A$1:$P$1103,53,MATCH('Detalhe Por UC'!$R867,'Resumo Operacional'!$A$1:$P$1,0)),
IF($H867="GIROSSOL II e III",AP867/INDEX('Resumo Operacional'!$A$1:$P$1103,53,MATCH('Detalhe Por UC'!$R867,'Resumo Operacional'!$A$1:$P$1,0)),
""))</f>
        <v>3.5235732009925559E-2</v>
      </c>
      <c r="X867">
        <v>1.2086388384754991</v>
      </c>
      <c r="Z867" s="18">
        <v>1.051743970315399</v>
      </c>
      <c r="AB867" s="18">
        <v>551</v>
      </c>
      <c r="AD867" s="143">
        <v>539</v>
      </c>
      <c r="AF867" s="18">
        <v>641</v>
      </c>
      <c r="AG867">
        <v>0</v>
      </c>
      <c r="AH867">
        <v>0</v>
      </c>
      <c r="AL867" s="43"/>
      <c r="AN867" s="71">
        <f t="shared" si="494"/>
        <v>-113</v>
      </c>
      <c r="AO867" s="71">
        <f t="shared" si="495"/>
        <v>0</v>
      </c>
      <c r="AP867" s="71">
        <f t="shared" si="496"/>
        <v>426</v>
      </c>
      <c r="AQ867" s="72">
        <f>IF(OR($H867="GIROSSOL II",$H867="GIROSSOL II e III"),INDEX('Resumo Operacional'!$A$1:$P$1103,MATCH("Energia Injetada prevista total Fatura da Usina (TUSD)",'Resumo Operacional'!$B$1:$B$1103,0),MATCH('Detalhe Por UC'!$R867,'Resumo Operacional'!$A$1:$P$1,0))*$S867,INDEX('Resumo Operacional'!$A$1:$P$1103,53,MATCH('Detalhe Por UC'!$R867,'Resumo Operacional'!$A$1:$P$1,0))*$S867)</f>
        <v>446.12100000000004</v>
      </c>
      <c r="AR867" s="71">
        <f t="shared" si="497"/>
        <v>-20.121000000000038</v>
      </c>
      <c r="AS867" s="73">
        <f t="shared" si="498"/>
        <v>99.069999999999936</v>
      </c>
      <c r="AT867" s="74">
        <f t="shared" si="499"/>
        <v>99.069999999999936</v>
      </c>
      <c r="AU867" s="74">
        <f t="shared" si="500"/>
        <v>0.89484910215529889</v>
      </c>
      <c r="AV867" s="74">
        <f t="shared" si="501"/>
        <v>414.63512358115162</v>
      </c>
      <c r="AW867" s="74">
        <f t="shared" si="502"/>
        <v>0</v>
      </c>
      <c r="AX867" s="74">
        <f t="shared" si="503"/>
        <v>566.8900000000001</v>
      </c>
      <c r="AY867" s="74">
        <f t="shared" si="504"/>
        <v>414.64</v>
      </c>
      <c r="AZ867" s="117">
        <v>414.64</v>
      </c>
      <c r="BA867" s="117">
        <v>414.64</v>
      </c>
      <c r="BB867" s="117">
        <v>414.64</v>
      </c>
      <c r="BC867" s="73" t="str">
        <f t="shared" si="505"/>
        <v/>
      </c>
      <c r="BD867" s="73">
        <f t="shared" si="506"/>
        <v>665.96</v>
      </c>
      <c r="BE867" s="73">
        <f t="shared" si="507"/>
        <v>513.70512358115161</v>
      </c>
      <c r="BF867" s="77">
        <f t="shared" si="508"/>
        <v>152.25</v>
      </c>
      <c r="BG867" s="77">
        <f t="shared" si="509"/>
        <v>45.674999999999997</v>
      </c>
      <c r="BH867" s="77">
        <f t="shared" si="510"/>
        <v>566.8900000000001</v>
      </c>
      <c r="BI867" s="78">
        <f t="shared" si="511"/>
        <v>0.27</v>
      </c>
      <c r="BJ867" s="79">
        <f t="shared" si="512"/>
        <v>0.2286173343744369</v>
      </c>
      <c r="BK867" s="80">
        <f t="shared" si="513"/>
        <v>513.70999999999992</v>
      </c>
      <c r="BL867" s="80">
        <f t="shared" si="514"/>
        <v>152.25000000000011</v>
      </c>
      <c r="BM867" s="79">
        <f t="shared" si="515"/>
        <v>0.22861733437443707</v>
      </c>
      <c r="BN867" s="81">
        <f t="shared" si="516"/>
        <v>0.76927643784786637</v>
      </c>
      <c r="BO867" s="82">
        <f t="shared" si="517"/>
        <v>414.64</v>
      </c>
      <c r="BP867" s="81">
        <f t="shared" si="518"/>
        <v>0.76927643784786637</v>
      </c>
      <c r="BQ867" s="81">
        <f t="shared" si="519"/>
        <v>0.92617130600796649</v>
      </c>
      <c r="BR867" s="81">
        <f t="shared" si="520"/>
        <v>1.2086388384754991</v>
      </c>
      <c r="BS867" s="82">
        <f t="shared" si="521"/>
        <v>539</v>
      </c>
      <c r="BT867" s="82">
        <f t="shared" si="522"/>
        <v>651.45633393829405</v>
      </c>
      <c r="BU867" s="82">
        <f t="shared" si="523"/>
        <v>566.8900000000001</v>
      </c>
      <c r="BW867" s="82">
        <f>IFERROR(INDEX('Infos Clientes'!$T:$T,MATCH('Detalhe Por UC'!$C867,'Infos Clientes'!B:B,0)),"")</f>
        <v>495.18181818181819</v>
      </c>
      <c r="BX867" s="83">
        <f t="shared" si="524"/>
        <v>0</v>
      </c>
      <c r="BY867" s="84">
        <f t="shared" si="525"/>
        <v>0.2337071451582835</v>
      </c>
      <c r="BZ867" s="85">
        <f>IF(_xlfn.MINIFS('Detalhe Por UC'!R:R,'Detalhe Por UC'!C:C,C867,'Detalhe Por UC'!AD:AD,"&gt;"&amp;0)=0,"",_xlfn.MINIFS('Detalhe Por UC'!R:R,'Detalhe Por UC'!C:C,C867,'Detalhe Por UC'!AD:AD,"&gt;"&amp;0))</f>
        <v>45658</v>
      </c>
      <c r="CA867" s="114">
        <f ca="1">IF(OR(S867&gt;0,AD867&gt;0),IFERROR(
SUMIFS(INDIRECT("'Infos Clientes'!$W"&amp;INDEX('Infos Clientes'!$C:$C,MATCH(C867,'Infos Clientes'!$H:$H,0))&amp;":$CZ"&amp;INDEX('Infos Clientes'!$C:$C,MATCH(C867,'Infos Clientes'!$H:$H,0))),'Infos Clientes'!$W$2:$CZ$2,"&gt;"&amp;$R867-365,'Infos Clientes'!$W$2:$CZ$2,"&lt;="&amp;$R867)/
COUNTIFS(INDIRECT("'Infos Clientes'!$W"&amp;INDEX('Infos Clientes'!$C:$C,MATCH(C867,'Infos Clientes'!$H:$H,0))&amp;":$CZ"&amp;INDEX('Infos Clientes'!$C:$C,MATCH(C867,'Infos Clientes'!$H:$H,0))),"&gt;="&amp;0,'Infos Clientes'!$W$2:$CZ$2,"&gt;"&amp;$R867-365,'Infos Clientes'!$W$2:$CZ$2,"&lt;="&amp;$R867),""),"")</f>
        <v>521</v>
      </c>
      <c r="CB867" s="87">
        <f>VLOOKUP(C867,'Infos Clientes'!B:L,11,0)</f>
        <v>0</v>
      </c>
      <c r="CC867" s="88" t="str">
        <f t="shared" si="526"/>
        <v>A Unidade Consumidora 10/15297-5 economizou R$152,25 na fatura referente à set/2025  consumindo 539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7" s="115">
        <f t="shared" si="527"/>
        <v>-99.069999999999936</v>
      </c>
    </row>
    <row r="868" spans="1:84" ht="16.2" hidden="1" customHeight="1" x14ac:dyDescent="0.3">
      <c r="A868" s="105" t="str">
        <f>INDEX('Infos Clientes'!$D:$D,MATCH('Detalhe Por UC'!C868,'Infos Clientes'!B:B,0))</f>
        <v>IGREJA DO EVANGELHO QUADRANGULAR</v>
      </c>
      <c r="B868" s="106" t="str">
        <f>INDEX('Infos Clientes'!$F:$F,MATCH('Detalhe Por UC'!C868,'Infos Clientes'!B:B,0))</f>
        <v>62.955.505/0160-80</v>
      </c>
      <c r="C868" s="31" t="s">
        <v>207</v>
      </c>
      <c r="D868" t="s">
        <v>351</v>
      </c>
      <c r="E868" s="1" t="s">
        <v>352</v>
      </c>
      <c r="F868" s="56" t="str">
        <f>INDEX('Infos Clientes'!$I:$I,MATCH('Detalhe Por UC'!C868,'Infos Clientes'!B:B,0))</f>
        <v>BT</v>
      </c>
      <c r="G868" s="56" t="str">
        <f>INDEX('Infos Clientes'!$J:$J,MATCH('Detalhe Por UC'!C868,'Infos Clientes'!B:B,0))</f>
        <v>trifasico</v>
      </c>
      <c r="H868" s="47" t="str">
        <f t="shared" si="528"/>
        <v>GIROSSOL III</v>
      </c>
      <c r="I868" s="58">
        <f>IFERROR(VLOOKUP(C868,'Infos Clientes'!B:E,4,),"")</f>
        <v>357</v>
      </c>
      <c r="J868" s="151">
        <v>0.26857922422136293</v>
      </c>
      <c r="K868" s="79">
        <f>INDEX('Resumo Operacional'!$A$1:$P$151,MATCH("Desconto percentual Ucs",'Resumo Operacional'!$B$1:$B$151,0),MATCH('Detalhe Por UC'!$R868,'Resumo Operacional'!$A$1:$P$1,0))</f>
        <v>0.26857922422136293</v>
      </c>
      <c r="M868" s="56"/>
      <c r="N868" s="56"/>
      <c r="O868" s="56"/>
      <c r="P868" s="56"/>
      <c r="Q868" s="61"/>
      <c r="R868" s="111">
        <v>45901</v>
      </c>
      <c r="S868" s="152">
        <v>3.5700000000000003E-2</v>
      </c>
      <c r="T868" s="113" t="str">
        <f>IF($H868="GIROSSOL II",AP868/INDEX('Resumo Operacional'!$A$1:$P$1103,17,MATCH('Detalhe Por UC'!$R868,'Resumo Operacional'!$A$1:$P$1,0)),
IF($H868="GIROSSOL II e III",AP868/INDEX('Resumo Operacional'!$A$1:$P$1103,17,MATCH('Detalhe Por UC'!$R868,'Resumo Operacional'!$A$1:$P$1,0)),
""))</f>
        <v/>
      </c>
      <c r="U868" s="113">
        <f>IF($H868="GIROSSOL III",AP868/INDEX('Resumo Operacional'!$A$1:$P$1103,53,MATCH('Detalhe Por UC'!$R868,'Resumo Operacional'!$A$1:$P$1,0)),
IF($H868="GIROSSOL II e III",AP868/INDEX('Resumo Operacional'!$A$1:$P$1103,53,MATCH('Detalhe Por UC'!$R868,'Resumo Operacional'!$A$1:$P$1,0)),
""))</f>
        <v>1.8114143920595533E-2</v>
      </c>
      <c r="X868">
        <v>1.2081219991270187</v>
      </c>
      <c r="Z868" s="18">
        <v>1.0511881849772786</v>
      </c>
      <c r="AB868" s="18">
        <v>316</v>
      </c>
      <c r="AD868" s="143">
        <v>258</v>
      </c>
      <c r="AF868" s="18">
        <v>314</v>
      </c>
      <c r="AG868">
        <v>0</v>
      </c>
      <c r="AH868">
        <v>61.67</v>
      </c>
      <c r="AL868" s="43"/>
      <c r="AN868" s="71">
        <f t="shared" si="494"/>
        <v>-39</v>
      </c>
      <c r="AO868" s="71">
        <f t="shared" si="495"/>
        <v>0</v>
      </c>
      <c r="AP868" s="71">
        <f t="shared" si="496"/>
        <v>219</v>
      </c>
      <c r="AQ868" s="72">
        <f>IF(OR($H868="GIROSSOL II",$H868="GIROSSOL II e III"),INDEX('Resumo Operacional'!$A$1:$P$1103,MATCH("Energia Injetada prevista total Fatura da Usina (TUSD)",'Resumo Operacional'!$B$1:$B$1103,0),MATCH('Detalhe Por UC'!$R868,'Resumo Operacional'!$A$1:$P$1,0))*$S868,INDEX('Resumo Operacional'!$A$1:$P$1103,53,MATCH('Detalhe Por UC'!$R868,'Resumo Operacional'!$A$1:$P$1,0))*$S868)</f>
        <v>431.61300000000006</v>
      </c>
      <c r="AR868" s="71">
        <f t="shared" si="497"/>
        <v>-212.61300000000006</v>
      </c>
      <c r="AS868" s="73">
        <f t="shared" si="498"/>
        <v>172.23000000000002</v>
      </c>
      <c r="AT868" s="74">
        <f t="shared" si="499"/>
        <v>172.23000000000002</v>
      </c>
      <c r="AU868" s="74">
        <f t="shared" si="500"/>
        <v>0.89425437082753856</v>
      </c>
      <c r="AV868" s="74">
        <f t="shared" si="501"/>
        <v>198.366106458318</v>
      </c>
      <c r="AW868" s="74">
        <f t="shared" si="502"/>
        <v>0</v>
      </c>
      <c r="AX868" s="74">
        <f t="shared" si="503"/>
        <v>271.20655172413791</v>
      </c>
      <c r="AY868" s="74">
        <f t="shared" si="504"/>
        <v>198.37</v>
      </c>
      <c r="AZ868" s="117">
        <v>198.37</v>
      </c>
      <c r="BA868" s="117">
        <v>198.37</v>
      </c>
      <c r="BB868" s="117">
        <v>198.37</v>
      </c>
      <c r="BC868" s="73" t="str">
        <f t="shared" si="505"/>
        <v/>
      </c>
      <c r="BD868" s="73">
        <f t="shared" si="506"/>
        <v>443.43655172413793</v>
      </c>
      <c r="BE868" s="73">
        <f t="shared" si="507"/>
        <v>370.59610645831799</v>
      </c>
      <c r="BF868" s="77">
        <f t="shared" si="508"/>
        <v>72.84</v>
      </c>
      <c r="BG868" s="77">
        <f t="shared" si="509"/>
        <v>21.852</v>
      </c>
      <c r="BH868" s="77">
        <f t="shared" si="510"/>
        <v>271.20655172413791</v>
      </c>
      <c r="BI868" s="78">
        <f t="shared" si="511"/>
        <v>0.27</v>
      </c>
      <c r="BJ868" s="79">
        <f t="shared" si="512"/>
        <v>0.16426250771793346</v>
      </c>
      <c r="BK868" s="80">
        <f t="shared" si="513"/>
        <v>370.6</v>
      </c>
      <c r="BL868" s="80">
        <f t="shared" si="514"/>
        <v>72.836551724137905</v>
      </c>
      <c r="BM868" s="79">
        <f t="shared" si="515"/>
        <v>0.16425473146257361</v>
      </c>
      <c r="BN868" s="81">
        <f t="shared" si="516"/>
        <v>0.76887596899224808</v>
      </c>
      <c r="BO868" s="82">
        <f t="shared" si="517"/>
        <v>198.37</v>
      </c>
      <c r="BP868" s="81">
        <f t="shared" si="518"/>
        <v>0.76887596899224808</v>
      </c>
      <c r="BQ868" s="81">
        <f t="shared" si="519"/>
        <v>0.92580978314198814</v>
      </c>
      <c r="BR868" s="81">
        <f t="shared" si="520"/>
        <v>1.2081219991270187</v>
      </c>
      <c r="BS868" s="82">
        <f t="shared" si="521"/>
        <v>258</v>
      </c>
      <c r="BT868" s="82">
        <f t="shared" si="522"/>
        <v>311.69547577477084</v>
      </c>
      <c r="BU868" s="82">
        <f t="shared" si="523"/>
        <v>271.20655172413791</v>
      </c>
      <c r="BW868" s="82">
        <f>IFERROR(INDEX('Infos Clientes'!$T:$T,MATCH('Detalhe Por UC'!$C868,'Infos Clientes'!B:B,0)),"")</f>
        <v>510.45454545454544</v>
      </c>
      <c r="BX868" s="83">
        <f t="shared" si="524"/>
        <v>0</v>
      </c>
      <c r="BY868" s="84">
        <f t="shared" si="525"/>
        <v>0.23367856573179493</v>
      </c>
      <c r="BZ868" s="85">
        <f>IF(_xlfn.MINIFS('Detalhe Por UC'!R:R,'Detalhe Por UC'!C:C,C868,'Detalhe Por UC'!AD:AD,"&gt;"&amp;0)=0,"",_xlfn.MINIFS('Detalhe Por UC'!R:R,'Detalhe Por UC'!C:C,C868,'Detalhe Por UC'!AD:AD,"&gt;"&amp;0))</f>
        <v>45658</v>
      </c>
      <c r="CA868" s="114">
        <f ca="1">IF(OR(S868&gt;0,AD868&gt;0),IFERROR(
SUMIFS(INDIRECT("'Infos Clientes'!$W"&amp;INDEX('Infos Clientes'!$C:$C,MATCH(C868,'Infos Clientes'!$H:$H,0))&amp;":$CZ"&amp;INDEX('Infos Clientes'!$C:$C,MATCH(C868,'Infos Clientes'!$H:$H,0))),'Infos Clientes'!$W$2:$CZ$2,"&gt;"&amp;$R868-365,'Infos Clientes'!$W$2:$CZ$2,"&lt;="&amp;$R868)/
COUNTIFS(INDIRECT("'Infos Clientes'!$W"&amp;INDEX('Infos Clientes'!$C:$C,MATCH(C868,'Infos Clientes'!$H:$H,0))&amp;":$CZ"&amp;INDEX('Infos Clientes'!$C:$C,MATCH(C868,'Infos Clientes'!$H:$H,0))),"&gt;="&amp;0,'Infos Clientes'!$W$2:$CZ$2,"&gt;"&amp;$R868-365,'Infos Clientes'!$W$2:$CZ$2,"&lt;="&amp;$R868),""),"")</f>
        <v>459.5</v>
      </c>
      <c r="CB868" s="87">
        <f>VLOOKUP(C868,'Infos Clientes'!B:L,11,0)</f>
        <v>0</v>
      </c>
      <c r="CC868" s="88" t="str">
        <f t="shared" si="526"/>
        <v>A Unidade Consumidora 10/489076-0 economizou R$72,84 na fatura referente à set/2025  consumindo 258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8" s="115">
        <f t="shared" si="527"/>
        <v>-172.23000000000002</v>
      </c>
    </row>
    <row r="869" spans="1:84" ht="16.2" hidden="1" customHeight="1" x14ac:dyDescent="0.3">
      <c r="A869" s="105" t="str">
        <f>INDEX('Infos Clientes'!$D:$D,MATCH('Detalhe Por UC'!C869,'Infos Clientes'!B:B,0))</f>
        <v>IGREJA DO EVANGELHO QUADRANGULAR</v>
      </c>
      <c r="B869" s="106" t="str">
        <f>INDEX('Infos Clientes'!$F:$F,MATCH('Detalhe Por UC'!C869,'Infos Clientes'!B:B,0))</f>
        <v>62.955.505/3311-98</v>
      </c>
      <c r="C869" s="31" t="s">
        <v>147</v>
      </c>
      <c r="D869" t="s">
        <v>351</v>
      </c>
      <c r="E869" s="1" t="s">
        <v>352</v>
      </c>
      <c r="F869" s="56" t="str">
        <f>INDEX('Infos Clientes'!$I:$I,MATCH('Detalhe Por UC'!C869,'Infos Clientes'!B:B,0))</f>
        <v>BT</v>
      </c>
      <c r="G869" s="56" t="str">
        <f>INDEX('Infos Clientes'!$J:$J,MATCH('Detalhe Por UC'!C869,'Infos Clientes'!B:B,0))</f>
        <v>trifasico</v>
      </c>
      <c r="H869" s="47" t="str">
        <f t="shared" si="528"/>
        <v>GIROSSOL III</v>
      </c>
      <c r="I869" s="58">
        <f>IFERROR(VLOOKUP(C869,'Infos Clientes'!B:E,4,),"")</f>
        <v>360</v>
      </c>
      <c r="J869" s="151">
        <v>0.26857922422136293</v>
      </c>
      <c r="K869" s="79">
        <f>INDEX('Resumo Operacional'!$A$1:$P$151,MATCH("Desconto percentual Ucs",'Resumo Operacional'!$B$1:$B$151,0),MATCH('Detalhe Por UC'!$R869,'Resumo Operacional'!$A$1:$P$1,0))</f>
        <v>0.26857922422136293</v>
      </c>
      <c r="M869" s="56"/>
      <c r="N869" s="56"/>
      <c r="O869" s="56"/>
      <c r="P869" s="56"/>
      <c r="Q869" s="61"/>
      <c r="R869" s="111">
        <v>45901</v>
      </c>
      <c r="S869" s="152">
        <v>3.56E-2</v>
      </c>
      <c r="T869" s="113" t="str">
        <f>IF($H869="GIROSSOL II",AP869/INDEX('Resumo Operacional'!$A$1:$P$1103,17,MATCH('Detalhe Por UC'!$R869,'Resumo Operacional'!$A$1:$P$1,0)),
IF($H869="GIROSSOL II e III",AP869/INDEX('Resumo Operacional'!$A$1:$P$1103,17,MATCH('Detalhe Por UC'!$R869,'Resumo Operacional'!$A$1:$P$1,0)),
""))</f>
        <v/>
      </c>
      <c r="U869" s="113">
        <f>IF($H869="GIROSSOL III",AP869/INDEX('Resumo Operacional'!$A$1:$P$1103,53,MATCH('Detalhe Por UC'!$R869,'Resumo Operacional'!$A$1:$P$1,0)),
IF($H869="GIROSSOL II e III",AP869/INDEX('Resumo Operacional'!$A$1:$P$1103,53,MATCH('Detalhe Por UC'!$R869,'Resumo Operacional'!$A$1:$P$1,0)),
""))</f>
        <v>1.8114143920595533E-2</v>
      </c>
      <c r="X869">
        <v>1.2083485449735449</v>
      </c>
      <c r="Z869" s="18">
        <v>1.0514523209787692</v>
      </c>
      <c r="AB869" s="18">
        <v>432</v>
      </c>
      <c r="AD869" s="143">
        <v>397</v>
      </c>
      <c r="AF869" s="18">
        <v>288</v>
      </c>
      <c r="AG869">
        <v>0</v>
      </c>
      <c r="AH869">
        <v>86.34</v>
      </c>
      <c r="AL869" s="43"/>
      <c r="AN869" s="71">
        <f t="shared" si="494"/>
        <v>-178</v>
      </c>
      <c r="AO869" s="71">
        <f t="shared" si="495"/>
        <v>0</v>
      </c>
      <c r="AP869" s="71">
        <f t="shared" si="496"/>
        <v>219</v>
      </c>
      <c r="AQ869" s="72">
        <f>IF(OR($H869="GIROSSOL II",$H869="GIROSSOL II e III"),INDEX('Resumo Operacional'!$A$1:$P$1103,MATCH("Energia Injetada prevista total Fatura da Usina (TUSD)",'Resumo Operacional'!$B$1:$B$1103,0),MATCH('Detalhe Por UC'!$R869,'Resumo Operacional'!$A$1:$P$1,0))*$S869,INDEX('Resumo Operacional'!$A$1:$P$1103,53,MATCH('Detalhe Por UC'!$R869,'Resumo Operacional'!$A$1:$P$1,0))*$S869)</f>
        <v>430.404</v>
      </c>
      <c r="AR869" s="71">
        <f t="shared" si="497"/>
        <v>-211.404</v>
      </c>
      <c r="AS869" s="73">
        <f t="shared" si="498"/>
        <v>190.92000000000004</v>
      </c>
      <c r="AT869" s="74">
        <f t="shared" si="499"/>
        <v>190.92000000000004</v>
      </c>
      <c r="AU869" s="74">
        <f t="shared" si="500"/>
        <v>0.89455609698399341</v>
      </c>
      <c r="AV869" s="74">
        <f t="shared" si="501"/>
        <v>305.31446670490232</v>
      </c>
      <c r="AW869" s="74">
        <f t="shared" si="502"/>
        <v>0</v>
      </c>
      <c r="AX869" s="74">
        <f t="shared" si="503"/>
        <v>417.42657142857138</v>
      </c>
      <c r="AY869" s="74">
        <f t="shared" si="504"/>
        <v>305.31</v>
      </c>
      <c r="AZ869" s="117">
        <v>305.31</v>
      </c>
      <c r="BA869" s="117">
        <v>305.31</v>
      </c>
      <c r="BB869" s="117">
        <v>305.31</v>
      </c>
      <c r="BC869" s="73" t="str">
        <f t="shared" si="505"/>
        <v/>
      </c>
      <c r="BD869" s="73">
        <f t="shared" si="506"/>
        <v>608.34657142857145</v>
      </c>
      <c r="BE869" s="73">
        <f t="shared" si="507"/>
        <v>496.23446670490239</v>
      </c>
      <c r="BF869" s="77">
        <f t="shared" si="508"/>
        <v>112.11</v>
      </c>
      <c r="BG869" s="77">
        <f t="shared" si="509"/>
        <v>33.632999999999996</v>
      </c>
      <c r="BH869" s="77">
        <f t="shared" si="510"/>
        <v>417.42657142857138</v>
      </c>
      <c r="BI869" s="78">
        <f t="shared" si="511"/>
        <v>0.27</v>
      </c>
      <c r="BJ869" s="79">
        <f t="shared" si="512"/>
        <v>0.18428640065601704</v>
      </c>
      <c r="BK869" s="80">
        <f t="shared" si="513"/>
        <v>496.23</v>
      </c>
      <c r="BL869" s="80">
        <f t="shared" si="514"/>
        <v>112.11657142857143</v>
      </c>
      <c r="BM869" s="79">
        <f t="shared" si="515"/>
        <v>0.18429720276928613</v>
      </c>
      <c r="BN869" s="81">
        <f t="shared" si="516"/>
        <v>0.76904282115869016</v>
      </c>
      <c r="BO869" s="82">
        <f t="shared" si="517"/>
        <v>305.31</v>
      </c>
      <c r="BP869" s="81">
        <f t="shared" si="518"/>
        <v>0.76904282115869016</v>
      </c>
      <c r="BQ869" s="81">
        <f t="shared" si="519"/>
        <v>0.92593904515346592</v>
      </c>
      <c r="BR869" s="81">
        <f t="shared" si="520"/>
        <v>1.2083485449735449</v>
      </c>
      <c r="BS869" s="82">
        <f t="shared" si="521"/>
        <v>397</v>
      </c>
      <c r="BT869" s="82">
        <f t="shared" si="522"/>
        <v>479.71437235449736</v>
      </c>
      <c r="BU869" s="82">
        <f t="shared" si="523"/>
        <v>417.42657142857138</v>
      </c>
      <c r="BW869" s="82">
        <f>IFERROR(INDEX('Infos Clientes'!$T:$T,MATCH('Detalhe Por UC'!$C869,'Infos Clientes'!B:B,0)),"")</f>
        <v>471.63636363636363</v>
      </c>
      <c r="BX869" s="83">
        <f t="shared" si="524"/>
        <v>0</v>
      </c>
      <c r="BY869" s="84">
        <f t="shared" si="525"/>
        <v>0.23371526451936264</v>
      </c>
      <c r="BZ869" s="85">
        <f>IF(_xlfn.MINIFS('Detalhe Por UC'!R:R,'Detalhe Por UC'!C:C,C869,'Detalhe Por UC'!AD:AD,"&gt;"&amp;0)=0,"",_xlfn.MINIFS('Detalhe Por UC'!R:R,'Detalhe Por UC'!C:C,C869,'Detalhe Por UC'!AD:AD,"&gt;"&amp;0))</f>
        <v>45658</v>
      </c>
      <c r="CA869" s="114">
        <f ca="1">IF(OR(S869&gt;0,AD869&gt;0),IFERROR(
SUMIFS(INDIRECT("'Infos Clientes'!$W"&amp;INDEX('Infos Clientes'!$C:$C,MATCH(C869,'Infos Clientes'!$H:$H,0))&amp;":$CZ"&amp;INDEX('Infos Clientes'!$C:$C,MATCH(C869,'Infos Clientes'!$H:$H,0))),'Infos Clientes'!$W$2:$CZ$2,"&gt;"&amp;$R869-365,'Infos Clientes'!$W$2:$CZ$2,"&lt;="&amp;$R869)/
COUNTIFS(INDIRECT("'Infos Clientes'!$W"&amp;INDEX('Infos Clientes'!$C:$C,MATCH(C869,'Infos Clientes'!$H:$H,0))&amp;":$CZ"&amp;INDEX('Infos Clientes'!$C:$C,MATCH(C869,'Infos Clientes'!$H:$H,0))),"&gt;="&amp;0,'Infos Clientes'!$W$2:$CZ$2,"&gt;"&amp;$R869-365,'Infos Clientes'!$W$2:$CZ$2,"&lt;="&amp;$R869),""),"")</f>
        <v>477.75</v>
      </c>
      <c r="CB869" s="87">
        <f>VLOOKUP(C869,'Infos Clientes'!B:L,11,0)</f>
        <v>0</v>
      </c>
      <c r="CC869" s="88" t="str">
        <f t="shared" si="526"/>
        <v>A Unidade Consumidora 10/127464-6 economizou R$112,11 na fatura referente à set/2025  consumindo 397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69" s="115">
        <f t="shared" si="527"/>
        <v>-190.92000000000004</v>
      </c>
    </row>
    <row r="870" spans="1:84" ht="16.2" hidden="1" customHeight="1" x14ac:dyDescent="0.3">
      <c r="A870" s="105" t="str">
        <f>INDEX('Infos Clientes'!$D:$D,MATCH('Detalhe Por UC'!C870,'Infos Clientes'!B:B,0))</f>
        <v>IGREJA DO EVANGELHO QUADRANGULAR</v>
      </c>
      <c r="B870" s="106" t="str">
        <f>INDEX('Infos Clientes'!$F:$F,MATCH('Detalhe Por UC'!C870,'Infos Clientes'!B:B,0))</f>
        <v>62.955.505/1224-32</v>
      </c>
      <c r="C870" s="31" t="s">
        <v>234</v>
      </c>
      <c r="D870" t="s">
        <v>351</v>
      </c>
      <c r="E870" s="1" t="s">
        <v>352</v>
      </c>
      <c r="F870" s="56" t="str">
        <f>INDEX('Infos Clientes'!$I:$I,MATCH('Detalhe Por UC'!C870,'Infos Clientes'!B:B,0))</f>
        <v>BT</v>
      </c>
      <c r="G870" s="56" t="str">
        <f>INDEX('Infos Clientes'!$J:$J,MATCH('Detalhe Por UC'!C870,'Infos Clientes'!B:B,0))</f>
        <v>trifasico</v>
      </c>
      <c r="H870" s="47" t="str">
        <f t="shared" si="528"/>
        <v>GIROSSOL III</v>
      </c>
      <c r="I870" s="58">
        <f>IFERROR(VLOOKUP(C870,'Infos Clientes'!B:E,4,),"")</f>
        <v>302</v>
      </c>
      <c r="J870" s="151">
        <v>0.26857922422136293</v>
      </c>
      <c r="K870" s="79">
        <f>INDEX('Resumo Operacional'!$A$1:$P$151,MATCH("Desconto percentual Ucs",'Resumo Operacional'!$B$1:$B$151,0),MATCH('Detalhe Por UC'!$R870,'Resumo Operacional'!$A$1:$P$1,0))</f>
        <v>0.26857922422136293</v>
      </c>
      <c r="M870" s="56"/>
      <c r="N870" s="56"/>
      <c r="O870" s="56"/>
      <c r="P870" s="56"/>
      <c r="Q870" s="61"/>
      <c r="R870" s="111">
        <v>45901</v>
      </c>
      <c r="S870" s="152">
        <v>3.27E-2</v>
      </c>
      <c r="T870" s="113" t="str">
        <f>IF($H870="GIROSSOL II",AP870/INDEX('Resumo Operacional'!$A$1:$P$1103,17,MATCH('Detalhe Por UC'!$R870,'Resumo Operacional'!$A$1:$P$1,0)),
IF($H870="GIROSSOL II e III",AP870/INDEX('Resumo Operacional'!$A$1:$P$1103,17,MATCH('Detalhe Por UC'!$R870,'Resumo Operacional'!$A$1:$P$1,0)),
""))</f>
        <v/>
      </c>
      <c r="U870" s="113">
        <f>IF($H870="GIROSSOL III",AP870/INDEX('Resumo Operacional'!$A$1:$P$1103,53,MATCH('Detalhe Por UC'!$R870,'Resumo Operacional'!$A$1:$P$1,0)),
IF($H870="GIROSSOL II e III",AP870/INDEX('Resumo Operacional'!$A$1:$P$1103,53,MATCH('Detalhe Por UC'!$R870,'Resumo Operacional'!$A$1:$P$1,0)),
""))</f>
        <v>8.271298593879239E-5</v>
      </c>
      <c r="X870">
        <v>1.2081574618096358</v>
      </c>
      <c r="Z870" s="18">
        <v>1.0512257449757452</v>
      </c>
      <c r="AB870" s="18">
        <v>460</v>
      </c>
      <c r="AD870" s="143">
        <v>312</v>
      </c>
      <c r="AF870" s="18">
        <v>0</v>
      </c>
      <c r="AG870">
        <v>0</v>
      </c>
      <c r="AH870">
        <v>86.34</v>
      </c>
      <c r="AL870" s="43"/>
      <c r="AN870" s="71">
        <f t="shared" si="494"/>
        <v>-311</v>
      </c>
      <c r="AO870" s="71">
        <f t="shared" si="495"/>
        <v>0</v>
      </c>
      <c r="AP870" s="71">
        <f t="shared" si="496"/>
        <v>1</v>
      </c>
      <c r="AQ870" s="72">
        <f>IF(OR($H870="GIROSSOL II",$H870="GIROSSOL II e III"),INDEX('Resumo Operacional'!$A$1:$P$1103,MATCH("Energia Injetada prevista total Fatura da Usina (TUSD)",'Resumo Operacional'!$B$1:$B$1103,0),MATCH('Detalhe Por UC'!$R870,'Resumo Operacional'!$A$1:$P$1,0))*$S870,INDEX('Resumo Operacional'!$A$1:$P$1103,53,MATCH('Detalhe Por UC'!$R870,'Resumo Operacional'!$A$1:$P$1,0))*$S870)</f>
        <v>395.34300000000002</v>
      </c>
      <c r="AR870" s="71">
        <f t="shared" si="497"/>
        <v>-394.34300000000002</v>
      </c>
      <c r="AS870" s="73">
        <f t="shared" si="498"/>
        <v>314.1099999999999</v>
      </c>
      <c r="AT870" s="74">
        <f t="shared" si="499"/>
        <v>314.1099999999999</v>
      </c>
      <c r="AU870" s="74">
        <f t="shared" si="500"/>
        <v>0.89429402814185455</v>
      </c>
      <c r="AV870" s="74">
        <f t="shared" si="501"/>
        <v>239.89316517149419</v>
      </c>
      <c r="AW870" s="74">
        <f t="shared" si="502"/>
        <v>0</v>
      </c>
      <c r="AX870" s="74">
        <f t="shared" si="503"/>
        <v>327.98243243243252</v>
      </c>
      <c r="AY870" s="74">
        <f t="shared" si="504"/>
        <v>239.89</v>
      </c>
      <c r="AZ870" s="117">
        <v>239.89</v>
      </c>
      <c r="BA870" s="117">
        <v>239.89</v>
      </c>
      <c r="BB870" s="117">
        <v>239.89</v>
      </c>
      <c r="BC870" s="73" t="str">
        <f t="shared" si="505"/>
        <v/>
      </c>
      <c r="BD870" s="73">
        <f t="shared" si="506"/>
        <v>642.09243243243247</v>
      </c>
      <c r="BE870" s="73">
        <f t="shared" si="507"/>
        <v>554.00316517149406</v>
      </c>
      <c r="BF870" s="77">
        <f t="shared" si="508"/>
        <v>88.09</v>
      </c>
      <c r="BG870" s="77">
        <f t="shared" si="509"/>
        <v>26.427</v>
      </c>
      <c r="BH870" s="77">
        <f t="shared" si="510"/>
        <v>327.98243243243252</v>
      </c>
      <c r="BI870" s="78">
        <f t="shared" si="511"/>
        <v>0.27</v>
      </c>
      <c r="BJ870" s="79">
        <f t="shared" si="512"/>
        <v>0.13719208567260249</v>
      </c>
      <c r="BK870" s="80">
        <f t="shared" si="513"/>
        <v>553.99999999999989</v>
      </c>
      <c r="BL870" s="80">
        <f t="shared" si="514"/>
        <v>88.092432432432588</v>
      </c>
      <c r="BM870" s="79">
        <f t="shared" si="515"/>
        <v>0.13719587396274535</v>
      </c>
      <c r="BN870" s="81">
        <f t="shared" si="516"/>
        <v>0.76887820512820504</v>
      </c>
      <c r="BO870" s="82">
        <f t="shared" si="517"/>
        <v>239.89</v>
      </c>
      <c r="BP870" s="81">
        <f t="shared" si="518"/>
        <v>0.76887820512820504</v>
      </c>
      <c r="BQ870" s="81">
        <f t="shared" si="519"/>
        <v>0.92580992196209566</v>
      </c>
      <c r="BR870" s="81">
        <f t="shared" si="520"/>
        <v>1.2081574618096358</v>
      </c>
      <c r="BS870" s="82">
        <f t="shared" si="521"/>
        <v>312</v>
      </c>
      <c r="BT870" s="82">
        <f t="shared" si="522"/>
        <v>376.94512808460638</v>
      </c>
      <c r="BU870" s="82">
        <f t="shared" si="523"/>
        <v>327.98243243243252</v>
      </c>
      <c r="BW870" s="82">
        <f>IFERROR(INDEX('Infos Clientes'!$T:$T,MATCH('Detalhe Por UC'!$C870,'Infos Clientes'!B:B,0)),"")</f>
        <v>426.36363636363637</v>
      </c>
      <c r="BX870" s="83">
        <f t="shared" si="524"/>
        <v>0</v>
      </c>
      <c r="BY870" s="84">
        <f t="shared" si="525"/>
        <v>0.23370094443204989</v>
      </c>
      <c r="BZ870" s="85">
        <f>IF(_xlfn.MINIFS('Detalhe Por UC'!R:R,'Detalhe Por UC'!C:C,C870,'Detalhe Por UC'!AD:AD,"&gt;"&amp;0)=0,"",_xlfn.MINIFS('Detalhe Por UC'!R:R,'Detalhe Por UC'!C:C,C870,'Detalhe Por UC'!AD:AD,"&gt;"&amp;0))</f>
        <v>45658</v>
      </c>
      <c r="CA870" s="114">
        <f ca="1">IF(OR(S870&gt;0,AD870&gt;0),IFERROR(
SUMIFS(INDIRECT("'Infos Clientes'!$W"&amp;INDEX('Infos Clientes'!$C:$C,MATCH(C870,'Infos Clientes'!$H:$H,0))&amp;":$CZ"&amp;INDEX('Infos Clientes'!$C:$C,MATCH(C870,'Infos Clientes'!$H:$H,0))),'Infos Clientes'!$W$2:$CZ$2,"&gt;"&amp;$R870-365,'Infos Clientes'!$W$2:$CZ$2,"&lt;="&amp;$R870)/
COUNTIFS(INDIRECT("'Infos Clientes'!$W"&amp;INDEX('Infos Clientes'!$C:$C,MATCH(C870,'Infos Clientes'!$H:$H,0))&amp;":$CZ"&amp;INDEX('Infos Clientes'!$C:$C,MATCH(C870,'Infos Clientes'!$H:$H,0))),"&gt;="&amp;0,'Infos Clientes'!$W$2:$CZ$2,"&gt;"&amp;$R870-365,'Infos Clientes'!$W$2:$CZ$2,"&lt;="&amp;$R870),""),"")</f>
        <v>503.91666666666669</v>
      </c>
      <c r="CB870" s="87">
        <f>VLOOKUP(C870,'Infos Clientes'!B:L,11,0)</f>
        <v>0</v>
      </c>
      <c r="CC870" s="88" t="str">
        <f t="shared" si="526"/>
        <v>A Unidade Consumidora 10/8777-5 economizou R$88,09 na fatura referente à set/2025  consumindo 312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0" s="115">
        <f t="shared" si="527"/>
        <v>-314.1099999999999</v>
      </c>
    </row>
    <row r="871" spans="1:84" ht="16.2" hidden="1" customHeight="1" x14ac:dyDescent="0.3">
      <c r="A871" s="105" t="str">
        <f>INDEX('Infos Clientes'!$D:$D,MATCH('Detalhe Por UC'!C871,'Infos Clientes'!B:B,0))</f>
        <v>IGREJA DO EVANGELHO QUADRANGULAR</v>
      </c>
      <c r="B871" s="106" t="str">
        <f>INDEX('Infos Clientes'!$F:$F,MATCH('Detalhe Por UC'!C871,'Infos Clientes'!B:B,0))</f>
        <v>62.955.505/1822-57</v>
      </c>
      <c r="C871" s="31" t="s">
        <v>192</v>
      </c>
      <c r="D871" t="s">
        <v>351</v>
      </c>
      <c r="E871" s="1" t="s">
        <v>352</v>
      </c>
      <c r="F871" s="56" t="str">
        <f>INDEX('Infos Clientes'!$I:$I,MATCH('Detalhe Por UC'!C871,'Infos Clientes'!B:B,0))</f>
        <v>BT</v>
      </c>
      <c r="G871" s="56" t="str">
        <f>INDEX('Infos Clientes'!$J:$J,MATCH('Detalhe Por UC'!C871,'Infos Clientes'!B:B,0))</f>
        <v>trifasico</v>
      </c>
      <c r="H871" s="47" t="str">
        <f t="shared" si="528"/>
        <v>GIROSSOL III</v>
      </c>
      <c r="I871" s="58">
        <f>IFERROR(VLOOKUP(C871,'Infos Clientes'!B:E,4,),"")</f>
        <v>319</v>
      </c>
      <c r="J871" s="151">
        <v>0.26857922422136293</v>
      </c>
      <c r="K871" s="79">
        <f>INDEX('Resumo Operacional'!$A$1:$P$151,MATCH("Desconto percentual Ucs",'Resumo Operacional'!$B$1:$B$151,0),MATCH('Detalhe Por UC'!$R871,'Resumo Operacional'!$A$1:$P$1,0))</f>
        <v>0.26857922422136293</v>
      </c>
      <c r="M871" s="56"/>
      <c r="N871" s="56"/>
      <c r="O871" s="56"/>
      <c r="P871" s="56"/>
      <c r="Q871" s="61"/>
      <c r="R871" s="111">
        <v>45901</v>
      </c>
      <c r="S871" s="152">
        <v>3.2500000000000001E-2</v>
      </c>
      <c r="T871" s="113" t="str">
        <f>IF($H871="GIROSSOL II",AP871/INDEX('Resumo Operacional'!$A$1:$P$1103,17,MATCH('Detalhe Por UC'!$R871,'Resumo Operacional'!$A$1:$P$1,0)),
IF($H871="GIROSSOL II e III",AP871/INDEX('Resumo Operacional'!$A$1:$P$1103,17,MATCH('Detalhe Por UC'!$R871,'Resumo Operacional'!$A$1:$P$1,0)),
""))</f>
        <v/>
      </c>
      <c r="U871" s="113">
        <f>IF($H871="GIROSSOL III",AP871/INDEX('Resumo Operacional'!$A$1:$P$1103,53,MATCH('Detalhe Por UC'!$R871,'Resumo Operacional'!$A$1:$P$1,0)),
IF($H871="GIROSSOL II e III",AP871/INDEX('Resumo Operacional'!$A$1:$P$1103,53,MATCH('Detalhe Por UC'!$R871,'Resumo Operacional'!$A$1:$P$1,0)),
""))</f>
        <v>1.6542597187758478E-2</v>
      </c>
      <c r="X871">
        <v>1.2082480697661502</v>
      </c>
      <c r="Z871" s="18">
        <v>1.0513296974418906</v>
      </c>
      <c r="AB871" s="18">
        <v>353</v>
      </c>
      <c r="AD871" s="143">
        <v>302</v>
      </c>
      <c r="AF871" s="18">
        <v>13</v>
      </c>
      <c r="AG871">
        <v>0</v>
      </c>
      <c r="AH871">
        <v>73.75</v>
      </c>
      <c r="AL871" s="43"/>
      <c r="AN871" s="71">
        <f t="shared" si="494"/>
        <v>-102</v>
      </c>
      <c r="AO871" s="71">
        <f t="shared" si="495"/>
        <v>0</v>
      </c>
      <c r="AP871" s="71">
        <f t="shared" si="496"/>
        <v>200</v>
      </c>
      <c r="AQ871" s="72">
        <f>IF(OR($H871="GIROSSOL II",$H871="GIROSSOL II e III"),INDEX('Resumo Operacional'!$A$1:$P$1103,MATCH("Energia Injetada prevista total Fatura da Usina (TUSD)",'Resumo Operacional'!$B$1:$B$1103,0),MATCH('Detalhe Por UC'!$R871,'Resumo Operacional'!$A$1:$P$1,0))*$S871,INDEX('Resumo Operacional'!$A$1:$P$1103,53,MATCH('Detalhe Por UC'!$R871,'Resumo Operacional'!$A$1:$P$1,0))*$S871)</f>
        <v>392.92500000000001</v>
      </c>
      <c r="AR871" s="71">
        <f t="shared" si="497"/>
        <v>-192.92500000000001</v>
      </c>
      <c r="AS871" s="73">
        <f t="shared" si="498"/>
        <v>182.76000000000005</v>
      </c>
      <c r="AT871" s="74">
        <f t="shared" si="499"/>
        <v>182.76000000000005</v>
      </c>
      <c r="AU871" s="74">
        <f t="shared" si="500"/>
        <v>0.89441132511763111</v>
      </c>
      <c r="AV871" s="74">
        <f t="shared" si="501"/>
        <v>232.22724363642439</v>
      </c>
      <c r="AW871" s="74">
        <f t="shared" si="502"/>
        <v>0</v>
      </c>
      <c r="AX871" s="74">
        <f t="shared" si="503"/>
        <v>317.50156862745098</v>
      </c>
      <c r="AY871" s="74">
        <f t="shared" si="504"/>
        <v>232.23</v>
      </c>
      <c r="AZ871" s="117">
        <v>232.23</v>
      </c>
      <c r="BA871" s="117">
        <v>232.23</v>
      </c>
      <c r="BB871" s="117">
        <v>232.23</v>
      </c>
      <c r="BC871" s="73" t="str">
        <f t="shared" si="505"/>
        <v/>
      </c>
      <c r="BD871" s="73">
        <f t="shared" si="506"/>
        <v>500.26156862745103</v>
      </c>
      <c r="BE871" s="73">
        <f t="shared" si="507"/>
        <v>414.98724363642441</v>
      </c>
      <c r="BF871" s="77">
        <f t="shared" si="508"/>
        <v>85.27</v>
      </c>
      <c r="BG871" s="77">
        <f t="shared" si="509"/>
        <v>25.581</v>
      </c>
      <c r="BH871" s="77">
        <f t="shared" si="510"/>
        <v>317.50156862745098</v>
      </c>
      <c r="BI871" s="78">
        <f t="shared" si="511"/>
        <v>0.27</v>
      </c>
      <c r="BJ871" s="79">
        <f t="shared" si="512"/>
        <v>0.17045083082026891</v>
      </c>
      <c r="BK871" s="80">
        <f t="shared" si="513"/>
        <v>414.99</v>
      </c>
      <c r="BL871" s="80">
        <f t="shared" si="514"/>
        <v>85.271568627451018</v>
      </c>
      <c r="BM871" s="79">
        <f t="shared" si="515"/>
        <v>0.17045396643481417</v>
      </c>
      <c r="BN871" s="81">
        <f t="shared" si="516"/>
        <v>0.76897350993377478</v>
      </c>
      <c r="BO871" s="82">
        <f t="shared" si="517"/>
        <v>232.23</v>
      </c>
      <c r="BP871" s="81">
        <f t="shared" si="518"/>
        <v>0.76897350993377478</v>
      </c>
      <c r="BQ871" s="81">
        <f t="shared" si="519"/>
        <v>0.92589188225803432</v>
      </c>
      <c r="BR871" s="81">
        <f t="shared" si="520"/>
        <v>1.2082480697661502</v>
      </c>
      <c r="BS871" s="82">
        <f t="shared" si="521"/>
        <v>302</v>
      </c>
      <c r="BT871" s="82">
        <f t="shared" si="522"/>
        <v>364.89091706937734</v>
      </c>
      <c r="BU871" s="82">
        <f t="shared" si="523"/>
        <v>317.50156862745098</v>
      </c>
      <c r="BW871" s="82">
        <f>IFERROR(INDEX('Infos Clientes'!$T:$T,MATCH('Detalhe Por UC'!$C871,'Infos Clientes'!B:B,0)),"")</f>
        <v>502.09090909090907</v>
      </c>
      <c r="BX871" s="83">
        <f t="shared" si="524"/>
        <v>0</v>
      </c>
      <c r="BY871" s="84">
        <f t="shared" si="525"/>
        <v>0.23369057611055349</v>
      </c>
      <c r="BZ871" s="85">
        <f>IF(_xlfn.MINIFS('Detalhe Por UC'!R:R,'Detalhe Por UC'!C:C,C871,'Detalhe Por UC'!AD:AD,"&gt;"&amp;0)=0,"",_xlfn.MINIFS('Detalhe Por UC'!R:R,'Detalhe Por UC'!C:C,C871,'Detalhe Por UC'!AD:AD,"&gt;"&amp;0))</f>
        <v>45658</v>
      </c>
      <c r="CA871" s="114">
        <f ca="1">IF(OR(S871&gt;0,AD871&gt;0),IFERROR(
SUMIFS(INDIRECT("'Infos Clientes'!$W"&amp;INDEX('Infos Clientes'!$C:$C,MATCH(C871,'Infos Clientes'!$H:$H,0))&amp;":$CZ"&amp;INDEX('Infos Clientes'!$C:$C,MATCH(C871,'Infos Clientes'!$H:$H,0))),'Infos Clientes'!$W$2:$CZ$2,"&gt;"&amp;$R871-365,'Infos Clientes'!$W$2:$CZ$2,"&lt;="&amp;$R871)/
COUNTIFS(INDIRECT("'Infos Clientes'!$W"&amp;INDEX('Infos Clientes'!$C:$C,MATCH(C871,'Infos Clientes'!$H:$H,0))&amp;":$CZ"&amp;INDEX('Infos Clientes'!$C:$C,MATCH(C871,'Infos Clientes'!$H:$H,0))),"&gt;="&amp;0,'Infos Clientes'!$W$2:$CZ$2,"&gt;"&amp;$R871-365,'Infos Clientes'!$W$2:$CZ$2,"&lt;="&amp;$R871),""),"")</f>
        <v>448.58333333333331</v>
      </c>
      <c r="CB871" s="87">
        <f>VLOOKUP(C871,'Infos Clientes'!B:L,11,0)</f>
        <v>0</v>
      </c>
      <c r="CC871" s="88" t="str">
        <f t="shared" si="526"/>
        <v>A Unidade Consumidora 10/3139326-7 economizou R$85,27 na fatura referente à set/2025  consumindo 302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1" s="115">
        <f t="shared" si="527"/>
        <v>-182.76000000000005</v>
      </c>
    </row>
    <row r="872" spans="1:84" ht="16.2" hidden="1" customHeight="1" x14ac:dyDescent="0.3">
      <c r="A872" s="105" t="str">
        <f>INDEX('Infos Clientes'!$D:$D,MATCH('Detalhe Por UC'!C872,'Infos Clientes'!B:B,0))</f>
        <v>IGREJA DO EVANGELHO QUADRANGULAR</v>
      </c>
      <c r="B872" s="106" t="str">
        <f>INDEX('Infos Clientes'!$F:$F,MATCH('Detalhe Por UC'!C872,'Infos Clientes'!B:B,0))</f>
        <v>62.955.505/3544-81</v>
      </c>
      <c r="C872" s="31" t="s">
        <v>209</v>
      </c>
      <c r="D872" t="s">
        <v>351</v>
      </c>
      <c r="E872" s="1" t="s">
        <v>352</v>
      </c>
      <c r="F872" s="56" t="str">
        <f>INDEX('Infos Clientes'!$I:$I,MATCH('Detalhe Por UC'!C872,'Infos Clientes'!B:B,0))</f>
        <v>BT</v>
      </c>
      <c r="G872" s="56" t="str">
        <f>INDEX('Infos Clientes'!$J:$J,MATCH('Detalhe Por UC'!C872,'Infos Clientes'!B:B,0))</f>
        <v>trifasico</v>
      </c>
      <c r="H872" s="47" t="str">
        <f t="shared" si="528"/>
        <v>GIROSSOL III</v>
      </c>
      <c r="I872" s="58">
        <f>IFERROR(VLOOKUP(C872,'Infos Clientes'!B:E,4,),"")</f>
        <v>371</v>
      </c>
      <c r="J872" s="151">
        <v>0.26857922422136293</v>
      </c>
      <c r="K872" s="79">
        <f>INDEX('Resumo Operacional'!$A$1:$P$151,MATCH("Desconto percentual Ucs",'Resumo Operacional'!$B$1:$B$151,0),MATCH('Detalhe Por UC'!$R872,'Resumo Operacional'!$A$1:$P$1,0))</f>
        <v>0.26857922422136293</v>
      </c>
      <c r="M872" s="56"/>
      <c r="N872" s="56"/>
      <c r="O872" s="56"/>
      <c r="P872" s="56"/>
      <c r="Q872" s="61"/>
      <c r="R872" s="111">
        <v>45901</v>
      </c>
      <c r="S872" s="152">
        <v>3.1099999999999999E-2</v>
      </c>
      <c r="T872" s="113" t="str">
        <f>IF($H872="GIROSSOL II",AP872/INDEX('Resumo Operacional'!$A$1:$P$1103,17,MATCH('Detalhe Por UC'!$R872,'Resumo Operacional'!$A$1:$P$1,0)),
IF($H872="GIROSSOL II e III",AP872/INDEX('Resumo Operacional'!$A$1:$P$1103,17,MATCH('Detalhe Por UC'!$R872,'Resumo Operacional'!$A$1:$P$1,0)),
""))</f>
        <v/>
      </c>
      <c r="U872" s="113">
        <f>IF($H872="GIROSSOL III",AP872/INDEX('Resumo Operacional'!$A$1:$P$1103,53,MATCH('Detalhe Por UC'!$R872,'Resumo Operacional'!$A$1:$P$1,0)),
IF($H872="GIROSSOL II e III",AP872/INDEX('Resumo Operacional'!$A$1:$P$1103,53,MATCH('Detalhe Por UC'!$R872,'Resumo Operacional'!$A$1:$P$1,0)),
""))</f>
        <v>3.2258064516129031E-2</v>
      </c>
      <c r="X872">
        <v>1.2078967216106078</v>
      </c>
      <c r="Z872" s="18">
        <v>1.0510182926829268</v>
      </c>
      <c r="AB872" s="18">
        <v>401</v>
      </c>
      <c r="AD872" s="143">
        <v>360</v>
      </c>
      <c r="AF872" s="18">
        <v>573</v>
      </c>
      <c r="AG872">
        <v>0</v>
      </c>
      <c r="AH872">
        <v>43.17</v>
      </c>
      <c r="AL872" s="43"/>
      <c r="AN872" s="71">
        <f t="shared" si="494"/>
        <v>30</v>
      </c>
      <c r="AO872" s="71">
        <f t="shared" si="495"/>
        <v>0</v>
      </c>
      <c r="AP872" s="71">
        <f t="shared" si="496"/>
        <v>390</v>
      </c>
      <c r="AQ872" s="72">
        <f>IF(OR($H872="GIROSSOL II",$H872="GIROSSOL II e III"),INDEX('Resumo Operacional'!$A$1:$P$1103,MATCH("Energia Injetada prevista total Fatura da Usina (TUSD)",'Resumo Operacional'!$B$1:$B$1103,0),MATCH('Detalhe Por UC'!$R872,'Resumo Operacional'!$A$1:$P$1,0))*$S872,INDEX('Resumo Operacional'!$A$1:$P$1103,53,MATCH('Detalhe Por UC'!$R872,'Resumo Operacional'!$A$1:$P$1,0))*$S872)</f>
        <v>375.99899999999997</v>
      </c>
      <c r="AR872" s="71">
        <f t="shared" si="497"/>
        <v>14.001000000000033</v>
      </c>
      <c r="AS872" s="73">
        <f t="shared" si="498"/>
        <v>149.17000000000007</v>
      </c>
      <c r="AT872" s="74">
        <f t="shared" si="499"/>
        <v>149.17000000000007</v>
      </c>
      <c r="AU872" s="74">
        <f t="shared" si="500"/>
        <v>0.89413986375524579</v>
      </c>
      <c r="AV872" s="74">
        <f t="shared" si="501"/>
        <v>276.7451813970066</v>
      </c>
      <c r="AW872" s="74">
        <f t="shared" si="502"/>
        <v>0</v>
      </c>
      <c r="AX872" s="74">
        <f t="shared" si="503"/>
        <v>378.36658536585367</v>
      </c>
      <c r="AY872" s="74">
        <f t="shared" si="504"/>
        <v>276.75</v>
      </c>
      <c r="AZ872" s="117">
        <v>276.75</v>
      </c>
      <c r="BA872" s="117">
        <v>276.75</v>
      </c>
      <c r="BB872" s="117">
        <v>276.75</v>
      </c>
      <c r="BC872" s="73" t="str">
        <f t="shared" si="505"/>
        <v/>
      </c>
      <c r="BD872" s="73">
        <f t="shared" si="506"/>
        <v>527.53658536585374</v>
      </c>
      <c r="BE872" s="73">
        <f t="shared" si="507"/>
        <v>425.91518139700668</v>
      </c>
      <c r="BF872" s="77">
        <f t="shared" si="508"/>
        <v>101.62</v>
      </c>
      <c r="BG872" s="77">
        <f t="shared" si="509"/>
        <v>30.486000000000001</v>
      </c>
      <c r="BH872" s="77">
        <f t="shared" si="510"/>
        <v>378.36658536585367</v>
      </c>
      <c r="BI872" s="78">
        <f t="shared" si="511"/>
        <v>0.27</v>
      </c>
      <c r="BJ872" s="79">
        <f t="shared" si="512"/>
        <v>0.19263118960654674</v>
      </c>
      <c r="BK872" s="80">
        <f t="shared" si="513"/>
        <v>425.92000000000007</v>
      </c>
      <c r="BL872" s="80">
        <f t="shared" si="514"/>
        <v>101.61658536585367</v>
      </c>
      <c r="BM872" s="79">
        <f t="shared" si="515"/>
        <v>0.19262471681538673</v>
      </c>
      <c r="BN872" s="81">
        <f t="shared" si="516"/>
        <v>0.76875000000000004</v>
      </c>
      <c r="BO872" s="82">
        <f t="shared" si="517"/>
        <v>276.75</v>
      </c>
      <c r="BP872" s="81">
        <f t="shared" si="518"/>
        <v>0.76875000000000004</v>
      </c>
      <c r="BQ872" s="81">
        <f t="shared" si="519"/>
        <v>0.92562842892768105</v>
      </c>
      <c r="BR872" s="81">
        <f t="shared" si="520"/>
        <v>1.2078967216106078</v>
      </c>
      <c r="BS872" s="82">
        <f t="shared" si="521"/>
        <v>360</v>
      </c>
      <c r="BT872" s="82">
        <f t="shared" si="522"/>
        <v>434.8428197798188</v>
      </c>
      <c r="BU872" s="82">
        <f t="shared" si="523"/>
        <v>378.36658536585367</v>
      </c>
      <c r="BW872" s="82">
        <f>IFERROR(INDEX('Infos Clientes'!$T:$T,MATCH('Detalhe Por UC'!$C872,'Infos Clientes'!B:B,0)),"")</f>
        <v>433.54545454545456</v>
      </c>
      <c r="BX872" s="83">
        <f t="shared" si="524"/>
        <v>0</v>
      </c>
      <c r="BY872" s="84">
        <f t="shared" si="525"/>
        <v>0.23368578425028805</v>
      </c>
      <c r="BZ872" s="85">
        <f>IF(_xlfn.MINIFS('Detalhe Por UC'!R:R,'Detalhe Por UC'!C:C,C872,'Detalhe Por UC'!AD:AD,"&gt;"&amp;0)=0,"",_xlfn.MINIFS('Detalhe Por UC'!R:R,'Detalhe Por UC'!C:C,C872,'Detalhe Por UC'!AD:AD,"&gt;"&amp;0))</f>
        <v>45658</v>
      </c>
      <c r="CA872" s="114">
        <f ca="1">IF(OR(S872&gt;0,AD872&gt;0),IFERROR(
SUMIFS(INDIRECT("'Infos Clientes'!$W"&amp;INDEX('Infos Clientes'!$C:$C,MATCH(C872,'Infos Clientes'!$H:$H,0))&amp;":$CZ"&amp;INDEX('Infos Clientes'!$C:$C,MATCH(C872,'Infos Clientes'!$H:$H,0))),'Infos Clientes'!$W$2:$CZ$2,"&gt;"&amp;$R872-365,'Infos Clientes'!$W$2:$CZ$2,"&lt;="&amp;$R872)/
COUNTIFS(INDIRECT("'Infos Clientes'!$W"&amp;INDEX('Infos Clientes'!$C:$C,MATCH(C872,'Infos Clientes'!$H:$H,0))&amp;":$CZ"&amp;INDEX('Infos Clientes'!$C:$C,MATCH(C872,'Infos Clientes'!$H:$H,0))),"&gt;="&amp;0,'Infos Clientes'!$W$2:$CZ$2,"&gt;"&amp;$R872-365,'Infos Clientes'!$W$2:$CZ$2,"&lt;="&amp;$R872),""),"")</f>
        <v>454.33333333333331</v>
      </c>
      <c r="CB872" s="87">
        <f>VLOOKUP(C872,'Infos Clientes'!B:L,11,0)</f>
        <v>0</v>
      </c>
      <c r="CC872" s="88" t="str">
        <f t="shared" si="526"/>
        <v>A Unidade Consumidora 10/504844-2 economizou R$101,62 na fatura referente à set/2025  consumindo 360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2" s="115">
        <f t="shared" si="527"/>
        <v>-149.17000000000007</v>
      </c>
    </row>
    <row r="873" spans="1:84" ht="16.2" hidden="1" customHeight="1" x14ac:dyDescent="0.3">
      <c r="A873" s="105" t="str">
        <f>INDEX('Infos Clientes'!$D:$D,MATCH('Detalhe Por UC'!C873,'Infos Clientes'!B:B,0))</f>
        <v>IGREJA DO EVANGELHO QUADRANGULAR</v>
      </c>
      <c r="B873" s="106" t="str">
        <f>INDEX('Infos Clientes'!$F:$F,MATCH('Detalhe Por UC'!C873,'Infos Clientes'!B:B,0))</f>
        <v>62.955.505/0161-60</v>
      </c>
      <c r="C873" s="31" t="s">
        <v>163</v>
      </c>
      <c r="D873" t="s">
        <v>351</v>
      </c>
      <c r="E873" s="1" t="s">
        <v>352</v>
      </c>
      <c r="F873" s="56" t="str">
        <f>INDEX('Infos Clientes'!$I:$I,MATCH('Detalhe Por UC'!C873,'Infos Clientes'!B:B,0))</f>
        <v>BT</v>
      </c>
      <c r="G873" s="56" t="str">
        <f>INDEX('Infos Clientes'!$J:$J,MATCH('Detalhe Por UC'!C873,'Infos Clientes'!B:B,0))</f>
        <v>trifasico</v>
      </c>
      <c r="H873" s="47" t="str">
        <f t="shared" si="528"/>
        <v>GIROSSOL III</v>
      </c>
      <c r="I873" s="58">
        <f>IFERROR(VLOOKUP(C873,'Infos Clientes'!B:E,4,),"")</f>
        <v>302</v>
      </c>
      <c r="J873" s="151">
        <v>0.26857922422136293</v>
      </c>
      <c r="K873" s="79">
        <f>INDEX('Resumo Operacional'!$A$1:$P$151,MATCH("Desconto percentual Ucs",'Resumo Operacional'!$B$1:$B$151,0),MATCH('Detalhe Por UC'!$R873,'Resumo Operacional'!$A$1:$P$1,0))</f>
        <v>0.26857922422136293</v>
      </c>
      <c r="M873" s="56"/>
      <c r="N873" s="56"/>
      <c r="O873" s="56"/>
      <c r="P873" s="56"/>
      <c r="Q873" s="61"/>
      <c r="R873" s="111">
        <v>45901</v>
      </c>
      <c r="S873" s="152">
        <v>0.03</v>
      </c>
      <c r="T873" s="113" t="str">
        <f>IF($H873="GIROSSOL II",AP873/INDEX('Resumo Operacional'!$A$1:$P$1103,17,MATCH('Detalhe Por UC'!$R873,'Resumo Operacional'!$A$1:$P$1,0)),
IF($H873="GIROSSOL II e III",AP873/INDEX('Resumo Operacional'!$A$1:$P$1103,17,MATCH('Detalhe Por UC'!$R873,'Resumo Operacional'!$A$1:$P$1,0)),
""))</f>
        <v/>
      </c>
      <c r="U873" s="113">
        <f>IF($H873="GIROSSOL III",AP873/INDEX('Resumo Operacional'!$A$1:$P$1103,53,MATCH('Detalhe Por UC'!$R873,'Resumo Operacional'!$A$1:$P$1,0)),
IF($H873="GIROSSOL II e III",AP873/INDEX('Resumo Operacional'!$A$1:$P$1103,53,MATCH('Detalhe Por UC'!$R873,'Resumo Operacional'!$A$1:$P$1,0)),
""))</f>
        <v>1.52191894127378E-2</v>
      </c>
      <c r="X873">
        <v>1.2083066536748328</v>
      </c>
      <c r="Z873" s="18">
        <v>1.0514380995203836</v>
      </c>
      <c r="AB873" s="18">
        <v>449</v>
      </c>
      <c r="AD873" s="143">
        <v>417</v>
      </c>
      <c r="AF873" s="18">
        <v>198</v>
      </c>
      <c r="AG873">
        <v>0</v>
      </c>
      <c r="AH873">
        <v>74.3</v>
      </c>
      <c r="AL873" s="43"/>
      <c r="AN873" s="71">
        <f t="shared" si="494"/>
        <v>-233</v>
      </c>
      <c r="AO873" s="71">
        <f t="shared" si="495"/>
        <v>0</v>
      </c>
      <c r="AP873" s="71">
        <f t="shared" si="496"/>
        <v>184</v>
      </c>
      <c r="AQ873" s="72">
        <f>IF(OR($H873="GIROSSOL II",$H873="GIROSSOL II e III"),INDEX('Resumo Operacional'!$A$1:$P$1103,MATCH("Energia Injetada prevista total Fatura da Usina (TUSD)",'Resumo Operacional'!$B$1:$B$1103,0),MATCH('Detalhe Por UC'!$R873,'Resumo Operacional'!$A$1:$P$1,0))*$S873,INDEX('Resumo Operacional'!$A$1:$P$1103,53,MATCH('Detalhe Por UC'!$R873,'Resumo Operacional'!$A$1:$P$1,0))*$S873)</f>
        <v>362.7</v>
      </c>
      <c r="AR873" s="71">
        <f t="shared" si="497"/>
        <v>-178.7</v>
      </c>
      <c r="AS873" s="73">
        <f t="shared" si="498"/>
        <v>178.37999999999994</v>
      </c>
      <c r="AT873" s="74">
        <f t="shared" si="499"/>
        <v>178.37999999999994</v>
      </c>
      <c r="AU873" s="74">
        <f t="shared" si="500"/>
        <v>0.89456954536593436</v>
      </c>
      <c r="AV873" s="74">
        <f t="shared" si="501"/>
        <v>320.69121057115098</v>
      </c>
      <c r="AW873" s="74">
        <f t="shared" si="502"/>
        <v>0</v>
      </c>
      <c r="AX873" s="74">
        <f t="shared" si="503"/>
        <v>438.44968749999998</v>
      </c>
      <c r="AY873" s="74">
        <f t="shared" si="504"/>
        <v>320.69</v>
      </c>
      <c r="AZ873" s="117">
        <v>320.69</v>
      </c>
      <c r="BA873" s="117">
        <v>320.69</v>
      </c>
      <c r="BB873" s="117">
        <v>320.69</v>
      </c>
      <c r="BC873" s="73" t="str">
        <f t="shared" si="505"/>
        <v/>
      </c>
      <c r="BD873" s="73">
        <f t="shared" si="506"/>
        <v>616.82968749999986</v>
      </c>
      <c r="BE873" s="73">
        <f t="shared" si="507"/>
        <v>499.07121057115091</v>
      </c>
      <c r="BF873" s="77">
        <f t="shared" si="508"/>
        <v>117.76</v>
      </c>
      <c r="BG873" s="77">
        <f t="shared" si="509"/>
        <v>35.328000000000003</v>
      </c>
      <c r="BH873" s="77">
        <f t="shared" si="510"/>
        <v>438.44968749999998</v>
      </c>
      <c r="BI873" s="78">
        <f t="shared" si="511"/>
        <v>0.27</v>
      </c>
      <c r="BJ873" s="79">
        <f t="shared" si="512"/>
        <v>0.19091169310815642</v>
      </c>
      <c r="BK873" s="80">
        <f t="shared" si="513"/>
        <v>499.06999999999994</v>
      </c>
      <c r="BL873" s="80">
        <f t="shared" si="514"/>
        <v>117.75968749999993</v>
      </c>
      <c r="BM873" s="79">
        <f t="shared" si="515"/>
        <v>0.1909111864853294</v>
      </c>
      <c r="BN873" s="81">
        <f t="shared" si="516"/>
        <v>0.76904076738609117</v>
      </c>
      <c r="BO873" s="82">
        <f t="shared" si="517"/>
        <v>320.69</v>
      </c>
      <c r="BP873" s="81">
        <f t="shared" si="518"/>
        <v>0.76904076738609117</v>
      </c>
      <c r="BQ873" s="81">
        <f t="shared" si="519"/>
        <v>0.9259093215405404</v>
      </c>
      <c r="BR873" s="81">
        <f t="shared" si="520"/>
        <v>1.2083066536748328</v>
      </c>
      <c r="BS873" s="82">
        <f t="shared" si="521"/>
        <v>417</v>
      </c>
      <c r="BT873" s="82">
        <f t="shared" si="522"/>
        <v>503.86387458240529</v>
      </c>
      <c r="BU873" s="82">
        <f t="shared" si="523"/>
        <v>438.44968749999998</v>
      </c>
      <c r="BW873" s="82">
        <f>IFERROR(INDEX('Infos Clientes'!$T:$T,MATCH('Detalhe Por UC'!$C873,'Infos Clientes'!B:B,0)),"")</f>
        <v>393</v>
      </c>
      <c r="BX873" s="83">
        <f t="shared" si="524"/>
        <v>0</v>
      </c>
      <c r="BY873" s="84">
        <f t="shared" si="525"/>
        <v>0.23371329726227619</v>
      </c>
      <c r="BZ873" s="85">
        <f>IF(_xlfn.MINIFS('Detalhe Por UC'!R:R,'Detalhe Por UC'!C:C,C873,'Detalhe Por UC'!AD:AD,"&gt;"&amp;0)=0,"",_xlfn.MINIFS('Detalhe Por UC'!R:R,'Detalhe Por UC'!C:C,C873,'Detalhe Por UC'!AD:AD,"&gt;"&amp;0))</f>
        <v>45658</v>
      </c>
      <c r="CA873" s="114">
        <f ca="1">IF(OR(S873&gt;0,AD873&gt;0),IFERROR(
SUMIFS(INDIRECT("'Infos Clientes'!$W"&amp;INDEX('Infos Clientes'!$C:$C,MATCH(C873,'Infos Clientes'!$H:$H,0))&amp;":$CZ"&amp;INDEX('Infos Clientes'!$C:$C,MATCH(C873,'Infos Clientes'!$H:$H,0))),'Infos Clientes'!$W$2:$CZ$2,"&gt;"&amp;$R873-365,'Infos Clientes'!$W$2:$CZ$2,"&lt;="&amp;$R873)/
COUNTIFS(INDIRECT("'Infos Clientes'!$W"&amp;INDEX('Infos Clientes'!$C:$C,MATCH(C873,'Infos Clientes'!$H:$H,0))&amp;":$CZ"&amp;INDEX('Infos Clientes'!$C:$C,MATCH(C873,'Infos Clientes'!$H:$H,0))),"&gt;="&amp;0,'Infos Clientes'!$W$2:$CZ$2,"&gt;"&amp;$R873-365,'Infos Clientes'!$W$2:$CZ$2,"&lt;="&amp;$R873),""),"")</f>
        <v>233.66666666666666</v>
      </c>
      <c r="CB873" s="87">
        <f>VLOOKUP(C873,'Infos Clientes'!B:L,11,0)</f>
        <v>0</v>
      </c>
      <c r="CC873" s="88" t="str">
        <f t="shared" si="526"/>
        <v>A Unidade Consumidora 10/1674177-9 economizou R$117,76 na fatura referente à set/2025  consumindo 417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3" s="115">
        <f t="shared" si="527"/>
        <v>-178.37999999999994</v>
      </c>
    </row>
    <row r="874" spans="1:84" ht="16.2" hidden="1" customHeight="1" x14ac:dyDescent="0.3">
      <c r="A874" s="105" t="str">
        <f>INDEX('Infos Clientes'!$D:$D,MATCH('Detalhe Por UC'!C874,'Infos Clientes'!B:B,0))</f>
        <v>IGREJA DO EVANGELHO QUADRANGULAR</v>
      </c>
      <c r="B874" s="106" t="str">
        <f>INDEX('Infos Clientes'!$F:$F,MATCH('Detalhe Por UC'!C874,'Infos Clientes'!B:B,0))</f>
        <v>62.955.505/0159-46</v>
      </c>
      <c r="C874" s="31" t="s">
        <v>231</v>
      </c>
      <c r="D874" t="s">
        <v>351</v>
      </c>
      <c r="E874" s="1" t="s">
        <v>352</v>
      </c>
      <c r="F874" s="56" t="str">
        <f>INDEX('Infos Clientes'!$I:$I,MATCH('Detalhe Por UC'!C874,'Infos Clientes'!B:B,0))</f>
        <v>BT</v>
      </c>
      <c r="G874" s="56" t="str">
        <f>INDEX('Infos Clientes'!$J:$J,MATCH('Detalhe Por UC'!C874,'Infos Clientes'!B:B,0))</f>
        <v>trifasico</v>
      </c>
      <c r="H874" s="47" t="str">
        <f t="shared" si="528"/>
        <v>GIROSSOL III</v>
      </c>
      <c r="I874" s="58">
        <f>IFERROR(VLOOKUP(C874,'Infos Clientes'!B:E,4,),"")</f>
        <v>302</v>
      </c>
      <c r="J874" s="151">
        <v>0.26857922422136293</v>
      </c>
      <c r="K874" s="79">
        <f>INDEX('Resumo Operacional'!$A$1:$P$151,MATCH("Desconto percentual Ucs",'Resumo Operacional'!$B$1:$B$151,0),MATCH('Detalhe Por UC'!$R874,'Resumo Operacional'!$A$1:$P$1,0))</f>
        <v>0.26857922422136293</v>
      </c>
      <c r="M874" s="56"/>
      <c r="N874" s="56"/>
      <c r="O874" s="56"/>
      <c r="P874" s="56"/>
      <c r="Q874" s="61"/>
      <c r="R874" s="111">
        <v>45901</v>
      </c>
      <c r="S874" s="152">
        <v>2.93E-2</v>
      </c>
      <c r="T874" s="113" t="str">
        <f>IF($H874="GIROSSOL II",AP874/INDEX('Resumo Operacional'!$A$1:$P$1103,17,MATCH('Detalhe Por UC'!$R874,'Resumo Operacional'!$A$1:$P$1,0)),
IF($H874="GIROSSOL II e III",AP874/INDEX('Resumo Operacional'!$A$1:$P$1103,17,MATCH('Detalhe Por UC'!$R874,'Resumo Operacional'!$A$1:$P$1,0)),
""))</f>
        <v/>
      </c>
      <c r="U874" s="113">
        <f>IF($H874="GIROSSOL III",AP874/INDEX('Resumo Operacional'!$A$1:$P$1103,53,MATCH('Detalhe Por UC'!$R874,'Resumo Operacional'!$A$1:$P$1,0)),
IF($H874="GIROSSOL II e III",AP874/INDEX('Resumo Operacional'!$A$1:$P$1103,53,MATCH('Detalhe Por UC'!$R874,'Resumo Operacional'!$A$1:$P$1,0)),
""))</f>
        <v>2.4234904880066171E-2</v>
      </c>
      <c r="X874">
        <v>1.2082758620689655</v>
      </c>
      <c r="Z874" s="18">
        <v>1.0513793103448277</v>
      </c>
      <c r="AB874" s="18">
        <v>464</v>
      </c>
      <c r="AD874" s="143">
        <v>435</v>
      </c>
      <c r="AF874" s="18">
        <v>522</v>
      </c>
      <c r="AG874">
        <v>0</v>
      </c>
      <c r="AH874">
        <v>52.42</v>
      </c>
      <c r="AL874" s="43"/>
      <c r="AN874" s="71">
        <f t="shared" si="494"/>
        <v>-142</v>
      </c>
      <c r="AO874" s="71">
        <f t="shared" si="495"/>
        <v>0</v>
      </c>
      <c r="AP874" s="71">
        <f t="shared" si="496"/>
        <v>293</v>
      </c>
      <c r="AQ874" s="72">
        <f>IF(OR($H874="GIROSSOL II",$H874="GIROSSOL II e III"),INDEX('Resumo Operacional'!$A$1:$P$1103,MATCH("Energia Injetada prevista total Fatura da Usina (TUSD)",'Resumo Operacional'!$B$1:$B$1103,0),MATCH('Detalhe Por UC'!$R874,'Resumo Operacional'!$A$1:$P$1,0))*$S874,INDEX('Resumo Operacional'!$A$1:$P$1103,53,MATCH('Detalhe Por UC'!$R874,'Resumo Operacional'!$A$1:$P$1,0))*$S874)</f>
        <v>354.23700000000002</v>
      </c>
      <c r="AR874" s="71">
        <f t="shared" si="497"/>
        <v>-61.237000000000023</v>
      </c>
      <c r="AS874" s="73">
        <f t="shared" si="498"/>
        <v>155.70999999999998</v>
      </c>
      <c r="AT874" s="74">
        <f t="shared" si="499"/>
        <v>155.70999999999998</v>
      </c>
      <c r="AU874" s="74">
        <f t="shared" si="500"/>
        <v>0.89448275862068982</v>
      </c>
      <c r="AV874" s="74">
        <f t="shared" si="501"/>
        <v>334.51529180235968</v>
      </c>
      <c r="AW874" s="74">
        <f t="shared" si="502"/>
        <v>0</v>
      </c>
      <c r="AX874" s="74">
        <f t="shared" si="503"/>
        <v>457.35</v>
      </c>
      <c r="AY874" s="74">
        <f t="shared" si="504"/>
        <v>334.52</v>
      </c>
      <c r="AZ874" s="117">
        <v>334.52</v>
      </c>
      <c r="BA874" s="117">
        <v>334.52</v>
      </c>
      <c r="BB874" s="117">
        <v>334.52</v>
      </c>
      <c r="BC874" s="73" t="str">
        <f t="shared" si="505"/>
        <v/>
      </c>
      <c r="BD874" s="73">
        <f t="shared" si="506"/>
        <v>613.05999999999995</v>
      </c>
      <c r="BE874" s="73">
        <f t="shared" si="507"/>
        <v>490.22529180235966</v>
      </c>
      <c r="BF874" s="77">
        <f t="shared" si="508"/>
        <v>122.83</v>
      </c>
      <c r="BG874" s="77">
        <f t="shared" si="509"/>
        <v>36.848999999999997</v>
      </c>
      <c r="BH874" s="77">
        <f t="shared" si="510"/>
        <v>457.35</v>
      </c>
      <c r="BI874" s="78">
        <f t="shared" si="511"/>
        <v>0.27</v>
      </c>
      <c r="BJ874" s="79">
        <f t="shared" si="512"/>
        <v>0.20035559325351518</v>
      </c>
      <c r="BK874" s="80">
        <f t="shared" si="513"/>
        <v>490.22999999999996</v>
      </c>
      <c r="BL874" s="80">
        <f t="shared" si="514"/>
        <v>122.82999999999998</v>
      </c>
      <c r="BM874" s="79">
        <f t="shared" si="515"/>
        <v>0.20035559325351515</v>
      </c>
      <c r="BN874" s="81">
        <f t="shared" si="516"/>
        <v>0.76901149425287352</v>
      </c>
      <c r="BO874" s="82">
        <f t="shared" si="517"/>
        <v>334.52</v>
      </c>
      <c r="BP874" s="81">
        <f t="shared" si="518"/>
        <v>0.76901149425287352</v>
      </c>
      <c r="BQ874" s="81">
        <f t="shared" si="519"/>
        <v>0.92590804597701137</v>
      </c>
      <c r="BR874" s="81">
        <f t="shared" si="520"/>
        <v>1.2082758620689655</v>
      </c>
      <c r="BS874" s="82">
        <f t="shared" si="521"/>
        <v>435</v>
      </c>
      <c r="BT874" s="82">
        <f t="shared" si="522"/>
        <v>525.6</v>
      </c>
      <c r="BU874" s="82">
        <f t="shared" si="523"/>
        <v>457.35</v>
      </c>
      <c r="BW874" s="82">
        <f>IFERROR(INDEX('Infos Clientes'!$T:$T,MATCH('Detalhe Por UC'!$C874,'Infos Clientes'!B:B,0)),"")</f>
        <v>461.45454545454544</v>
      </c>
      <c r="BX874" s="83">
        <f t="shared" si="524"/>
        <v>0</v>
      </c>
      <c r="BY874" s="84">
        <f t="shared" si="525"/>
        <v>0.23369482496194835</v>
      </c>
      <c r="BZ874" s="85">
        <f>IF(_xlfn.MINIFS('Detalhe Por UC'!R:R,'Detalhe Por UC'!C:C,C874,'Detalhe Por UC'!AD:AD,"&gt;"&amp;0)=0,"",_xlfn.MINIFS('Detalhe Por UC'!R:R,'Detalhe Por UC'!C:C,C874,'Detalhe Por UC'!AD:AD,"&gt;"&amp;0))</f>
        <v>45658</v>
      </c>
      <c r="CA874" s="114">
        <f ca="1">IF(OR(S874&gt;0,AD874&gt;0),IFERROR(
SUMIFS(INDIRECT("'Infos Clientes'!$W"&amp;INDEX('Infos Clientes'!$C:$C,MATCH(C874,'Infos Clientes'!$H:$H,0))&amp;":$CZ"&amp;INDEX('Infos Clientes'!$C:$C,MATCH(C874,'Infos Clientes'!$H:$H,0))),'Infos Clientes'!$W$2:$CZ$2,"&gt;"&amp;$R874-365,'Infos Clientes'!$W$2:$CZ$2,"&lt;="&amp;$R874)/
COUNTIFS(INDIRECT("'Infos Clientes'!$W"&amp;INDEX('Infos Clientes'!$C:$C,MATCH(C874,'Infos Clientes'!$H:$H,0))&amp;":$CZ"&amp;INDEX('Infos Clientes'!$C:$C,MATCH(C874,'Infos Clientes'!$H:$H,0))),"&gt;="&amp;0,'Infos Clientes'!$W$2:$CZ$2,"&gt;"&amp;$R874-365,'Infos Clientes'!$W$2:$CZ$2,"&lt;="&amp;$R874),""),"")</f>
        <v>442.66666666666669</v>
      </c>
      <c r="CB874" s="87">
        <f>VLOOKUP(C874,'Infos Clientes'!B:L,11,0)</f>
        <v>0</v>
      </c>
      <c r="CC874" s="88" t="str">
        <f t="shared" si="526"/>
        <v>A Unidade Consumidora 10/81222-2 economizou R$122,83 na fatura referente à set/2025  consumindo 435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4" s="115">
        <f t="shared" si="527"/>
        <v>-155.70999999999998</v>
      </c>
    </row>
    <row r="875" spans="1:84" ht="16.2" hidden="1" customHeight="1" x14ac:dyDescent="0.3">
      <c r="A875" s="105" t="str">
        <f>INDEX('Infos Clientes'!$D:$D,MATCH('Detalhe Por UC'!C875,'Infos Clientes'!B:B,0))</f>
        <v>IGREJA DO EVANGELHO QUADRANGULAR</v>
      </c>
      <c r="B875" s="106" t="str">
        <f>INDEX('Infos Clientes'!$F:$F,MATCH('Detalhe Por UC'!C875,'Infos Clientes'!B:B,0))</f>
        <v>62.955.505/0001-67</v>
      </c>
      <c r="C875" s="31" t="s">
        <v>240</v>
      </c>
      <c r="D875" t="s">
        <v>351</v>
      </c>
      <c r="E875" s="1" t="s">
        <v>352</v>
      </c>
      <c r="F875" s="56" t="str">
        <f>INDEX('Infos Clientes'!$I:$I,MATCH('Detalhe Por UC'!C875,'Infos Clientes'!B:B,0))</f>
        <v>BT</v>
      </c>
      <c r="G875" s="56" t="str">
        <f>INDEX('Infos Clientes'!$J:$J,MATCH('Detalhe Por UC'!C875,'Infos Clientes'!B:B,0))</f>
        <v>trifasico</v>
      </c>
      <c r="H875" s="47" t="str">
        <f t="shared" si="528"/>
        <v>GIROSSOL III</v>
      </c>
      <c r="I875" s="58">
        <f>IFERROR(VLOOKUP(C875,'Infos Clientes'!B:E,4,),"")</f>
        <v>360</v>
      </c>
      <c r="J875" s="151">
        <v>0.26857922422136293</v>
      </c>
      <c r="K875" s="79">
        <f>INDEX('Resumo Operacional'!$A$1:$P$151,MATCH("Desconto percentual Ucs",'Resumo Operacional'!$B$1:$B$151,0),MATCH('Detalhe Por UC'!$R875,'Resumo Operacional'!$A$1:$P$1,0))</f>
        <v>0.26857922422136293</v>
      </c>
      <c r="M875" s="56"/>
      <c r="N875" s="56"/>
      <c r="O875" s="56"/>
      <c r="P875" s="56"/>
      <c r="Q875" s="61"/>
      <c r="R875" s="111">
        <v>45901</v>
      </c>
      <c r="S875" s="152">
        <v>2.7199999999999998E-2</v>
      </c>
      <c r="T875" s="113" t="str">
        <f>IF($H875="GIROSSOL II",AP875/INDEX('Resumo Operacional'!$A$1:$P$1103,17,MATCH('Detalhe Por UC'!$R875,'Resumo Operacional'!$A$1:$P$1,0)),
IF($H875="GIROSSOL II e III",AP875/INDEX('Resumo Operacional'!$A$1:$P$1103,17,MATCH('Detalhe Por UC'!$R875,'Resumo Operacional'!$A$1:$P$1,0)),
""))</f>
        <v/>
      </c>
      <c r="U875" s="113">
        <f>IF($H875="GIROSSOL III",AP875/INDEX('Resumo Operacional'!$A$1:$P$1103,53,MATCH('Detalhe Por UC'!$R875,'Resumo Operacional'!$A$1:$P$1,0)),
IF($H875="GIROSSOL II e III",AP875/INDEX('Resumo Operacional'!$A$1:$P$1103,53,MATCH('Detalhe Por UC'!$R875,'Resumo Operacional'!$A$1:$P$1,0)),
""))</f>
        <v>3.8544251447477251E-2</v>
      </c>
      <c r="X875">
        <v>1.208048128342246</v>
      </c>
      <c r="Z875" s="18">
        <v>1.0511464585834334</v>
      </c>
      <c r="AB875" s="18">
        <v>264</v>
      </c>
      <c r="AD875" s="143">
        <v>196</v>
      </c>
      <c r="AF875" s="18">
        <v>400</v>
      </c>
      <c r="AG875">
        <v>0</v>
      </c>
      <c r="AH875">
        <v>57.66</v>
      </c>
      <c r="AL875" s="43"/>
      <c r="AN875" s="71">
        <f t="shared" si="494"/>
        <v>270</v>
      </c>
      <c r="AO875" s="71">
        <f t="shared" si="495"/>
        <v>0</v>
      </c>
      <c r="AP875" s="71">
        <f t="shared" si="496"/>
        <v>466</v>
      </c>
      <c r="AQ875" s="72">
        <f>IF(OR($H875="GIROSSOL II",$H875="GIROSSOL II e III"),INDEX('Resumo Operacional'!$A$1:$P$1103,MATCH("Energia Injetada prevista total Fatura da Usina (TUSD)",'Resumo Operacional'!$B$1:$B$1103,0),MATCH('Detalhe Por UC'!$R875,'Resumo Operacional'!$A$1:$P$1,0))*$S875,INDEX('Resumo Operacional'!$A$1:$P$1103,53,MATCH('Detalhe Por UC'!$R875,'Resumo Operacional'!$A$1:$P$1,0))*$S875)</f>
        <v>328.84799999999996</v>
      </c>
      <c r="AR875" s="71">
        <f t="shared" si="497"/>
        <v>137.15200000000004</v>
      </c>
      <c r="AS875" s="73">
        <f t="shared" si="498"/>
        <v>170.56</v>
      </c>
      <c r="AT875" s="74">
        <f t="shared" si="499"/>
        <v>170.56</v>
      </c>
      <c r="AU875" s="74">
        <f t="shared" si="500"/>
        <v>0.89424478882462077</v>
      </c>
      <c r="AV875" s="74">
        <f t="shared" si="501"/>
        <v>150.69075020603611</v>
      </c>
      <c r="AW875" s="74">
        <f t="shared" si="502"/>
        <v>0</v>
      </c>
      <c r="AX875" s="74">
        <f t="shared" si="503"/>
        <v>206.02470588235295</v>
      </c>
      <c r="AY875" s="74">
        <f t="shared" si="504"/>
        <v>150.69</v>
      </c>
      <c r="AZ875" s="117">
        <v>150.69</v>
      </c>
      <c r="BA875" s="117">
        <v>150.69</v>
      </c>
      <c r="BB875" s="117">
        <v>150.69</v>
      </c>
      <c r="BC875" s="73" t="str">
        <f t="shared" si="505"/>
        <v/>
      </c>
      <c r="BD875" s="73">
        <f t="shared" si="506"/>
        <v>376.58470588235298</v>
      </c>
      <c r="BE875" s="73">
        <f t="shared" si="507"/>
        <v>321.25075020603612</v>
      </c>
      <c r="BF875" s="77">
        <f t="shared" si="508"/>
        <v>55.33</v>
      </c>
      <c r="BG875" s="77">
        <f t="shared" si="509"/>
        <v>16.599</v>
      </c>
      <c r="BH875" s="77">
        <f t="shared" si="510"/>
        <v>206.02470588235295</v>
      </c>
      <c r="BI875" s="78">
        <f t="shared" si="511"/>
        <v>0.27</v>
      </c>
      <c r="BJ875" s="79">
        <f t="shared" si="512"/>
        <v>0.14692577562426387</v>
      </c>
      <c r="BK875" s="80">
        <f t="shared" si="513"/>
        <v>321.25</v>
      </c>
      <c r="BL875" s="80">
        <f t="shared" si="514"/>
        <v>55.334705882352978</v>
      </c>
      <c r="BM875" s="79">
        <f t="shared" si="515"/>
        <v>0.14693827183634969</v>
      </c>
      <c r="BN875" s="81">
        <f t="shared" si="516"/>
        <v>0.76882653061224493</v>
      </c>
      <c r="BO875" s="82">
        <f t="shared" si="517"/>
        <v>150.69</v>
      </c>
      <c r="BP875" s="81">
        <f t="shared" si="518"/>
        <v>0.76882653061224493</v>
      </c>
      <c r="BQ875" s="81">
        <f t="shared" si="519"/>
        <v>0.92572820037105752</v>
      </c>
      <c r="BR875" s="81">
        <f t="shared" si="520"/>
        <v>1.208048128342246</v>
      </c>
      <c r="BS875" s="82">
        <f t="shared" si="521"/>
        <v>196</v>
      </c>
      <c r="BT875" s="82">
        <f t="shared" si="522"/>
        <v>236.77743315508022</v>
      </c>
      <c r="BU875" s="82">
        <f t="shared" si="523"/>
        <v>206.02470588235295</v>
      </c>
      <c r="BW875" s="82">
        <f>IFERROR(INDEX('Infos Clientes'!$T:$T,MATCH('Detalhe Por UC'!$C875,'Infos Clientes'!B:B,0)),"")</f>
        <v>413.36363636363637</v>
      </c>
      <c r="BX875" s="83">
        <f t="shared" si="524"/>
        <v>0</v>
      </c>
      <c r="BY875" s="84">
        <f t="shared" si="525"/>
        <v>0.23369923875351248</v>
      </c>
      <c r="BZ875" s="85">
        <f>IF(_xlfn.MINIFS('Detalhe Por UC'!R:R,'Detalhe Por UC'!C:C,C875,'Detalhe Por UC'!AD:AD,"&gt;"&amp;0)=0,"",_xlfn.MINIFS('Detalhe Por UC'!R:R,'Detalhe Por UC'!C:C,C875,'Detalhe Por UC'!AD:AD,"&gt;"&amp;0))</f>
        <v>45658</v>
      </c>
      <c r="CA875" s="114">
        <f ca="1">IF(OR(S875&gt;0,AD875&gt;0),IFERROR(
SUMIFS(INDIRECT("'Infos Clientes'!$W"&amp;INDEX('Infos Clientes'!$C:$C,MATCH(C875,'Infos Clientes'!$H:$H,0))&amp;":$CZ"&amp;INDEX('Infos Clientes'!$C:$C,MATCH(C875,'Infos Clientes'!$H:$H,0))),'Infos Clientes'!$W$2:$CZ$2,"&gt;"&amp;$R875-365,'Infos Clientes'!$W$2:$CZ$2,"&lt;="&amp;$R875)/
COUNTIFS(INDIRECT("'Infos Clientes'!$W"&amp;INDEX('Infos Clientes'!$C:$C,MATCH(C875,'Infos Clientes'!$H:$H,0))&amp;":$CZ"&amp;INDEX('Infos Clientes'!$C:$C,MATCH(C875,'Infos Clientes'!$H:$H,0))),"&gt;="&amp;0,'Infos Clientes'!$W$2:$CZ$2,"&gt;"&amp;$R875-365,'Infos Clientes'!$W$2:$CZ$2,"&lt;="&amp;$R875),""),"")</f>
        <v>424.75</v>
      </c>
      <c r="CB875" s="87">
        <f>VLOOKUP(C875,'Infos Clientes'!B:L,11,0)</f>
        <v>0</v>
      </c>
      <c r="CC875" s="88" t="str">
        <f t="shared" si="526"/>
        <v>A Unidade Consumidora 10/260761-2 economizou R$55,33 na fatura referente à set/2025  consumindo 196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5" s="115">
        <f t="shared" si="527"/>
        <v>-170.56</v>
      </c>
    </row>
    <row r="876" spans="1:84" ht="16.2" hidden="1" customHeight="1" x14ac:dyDescent="0.3">
      <c r="A876" s="105" t="str">
        <f>INDEX('Infos Clientes'!$D:$D,MATCH('Detalhe Por UC'!C876,'Infos Clientes'!B:B,0))</f>
        <v>IGREJA DO EVANGELHO QUADRANGULAR</v>
      </c>
      <c r="B876" s="106" t="str">
        <f>INDEX('Infos Clientes'!$F:$F,MATCH('Detalhe Por UC'!C876,'Infos Clientes'!B:B,0))</f>
        <v>62.955.505/3793-95</v>
      </c>
      <c r="C876" s="31" t="s">
        <v>146</v>
      </c>
      <c r="D876" t="s">
        <v>351</v>
      </c>
      <c r="E876" s="1" t="s">
        <v>352</v>
      </c>
      <c r="F876" s="56" t="str">
        <f>INDEX('Infos Clientes'!$I:$I,MATCH('Detalhe Por UC'!C876,'Infos Clientes'!B:B,0))</f>
        <v>BT</v>
      </c>
      <c r="G876" s="56" t="str">
        <f>INDEX('Infos Clientes'!$J:$J,MATCH('Detalhe Por UC'!C876,'Infos Clientes'!B:B,0))</f>
        <v>trifasico</v>
      </c>
      <c r="H876" s="47" t="str">
        <f t="shared" si="528"/>
        <v>GIROSSOL III</v>
      </c>
      <c r="I876" s="58">
        <f>IFERROR(VLOOKUP(C876,'Infos Clientes'!B:E,4,),"")</f>
        <v>306</v>
      </c>
      <c r="J876" s="151">
        <v>0.26857922422136293</v>
      </c>
      <c r="K876" s="79">
        <f>INDEX('Resumo Operacional'!$A$1:$P$151,MATCH("Desconto percentual Ucs",'Resumo Operacional'!$B$1:$B$151,0),MATCH('Detalhe Por UC'!$R876,'Resumo Operacional'!$A$1:$P$1,0))</f>
        <v>0.26857922422136293</v>
      </c>
      <c r="M876" s="56"/>
      <c r="N876" s="56"/>
      <c r="O876" s="56"/>
      <c r="P876" s="56"/>
      <c r="Q876" s="61"/>
      <c r="R876" s="111">
        <v>45901</v>
      </c>
      <c r="S876" s="152">
        <v>2.63E-2</v>
      </c>
      <c r="T876" s="113" t="str">
        <f>IF($H876="GIROSSOL II",AP876/INDEX('Resumo Operacional'!$A$1:$P$1103,17,MATCH('Detalhe Por UC'!$R876,'Resumo Operacional'!$A$1:$P$1,0)),
IF($H876="GIROSSOL II e III",AP876/INDEX('Resumo Operacional'!$A$1:$P$1103,17,MATCH('Detalhe Por UC'!$R876,'Resumo Operacional'!$A$1:$P$1,0)),
""))</f>
        <v/>
      </c>
      <c r="U876" s="113">
        <f>IF($H876="GIROSSOL III",AP876/INDEX('Resumo Operacional'!$A$1:$P$1103,53,MATCH('Detalhe Por UC'!$R876,'Resumo Operacional'!$A$1:$P$1,0)),
IF($H876="GIROSSOL II e III",AP876/INDEX('Resumo Operacional'!$A$1:$P$1103,53,MATCH('Detalhe Por UC'!$R876,'Resumo Operacional'!$A$1:$P$1,0)),
""))</f>
        <v>1.9189412737799835E-2</v>
      </c>
      <c r="X876">
        <v>1.208035674470457</v>
      </c>
      <c r="Z876" s="18">
        <v>1.0512003945671142</v>
      </c>
      <c r="AB876" s="18">
        <v>260</v>
      </c>
      <c r="AD876" s="143">
        <v>191</v>
      </c>
      <c r="AF876" s="18">
        <v>857</v>
      </c>
      <c r="AG876">
        <v>0</v>
      </c>
      <c r="AH876">
        <v>0</v>
      </c>
      <c r="AL876" s="43"/>
      <c r="AN876" s="71">
        <f t="shared" si="494"/>
        <v>41</v>
      </c>
      <c r="AO876" s="71">
        <f t="shared" si="495"/>
        <v>0</v>
      </c>
      <c r="AP876" s="71">
        <f t="shared" si="496"/>
        <v>232</v>
      </c>
      <c r="AQ876" s="72">
        <f>IF(OR($H876="GIROSSOL II",$H876="GIROSSOL II e III"),INDEX('Resumo Operacional'!$A$1:$P$1103,MATCH("Energia Injetada prevista total Fatura da Usina (TUSD)",'Resumo Operacional'!$B$1:$B$1103,0),MATCH('Detalhe Por UC'!$R876,'Resumo Operacional'!$A$1:$P$1,0))*$S876,INDEX('Resumo Operacional'!$A$1:$P$1103,53,MATCH('Detalhe Por UC'!$R876,'Resumo Operacional'!$A$1:$P$1,0))*$S876)</f>
        <v>317.96699999999998</v>
      </c>
      <c r="AR876" s="71">
        <f t="shared" si="497"/>
        <v>-85.966999999999985</v>
      </c>
      <c r="AS876" s="73">
        <f t="shared" si="498"/>
        <v>113.30999999999997</v>
      </c>
      <c r="AT876" s="74">
        <f t="shared" si="499"/>
        <v>113.30999999999997</v>
      </c>
      <c r="AU876" s="74">
        <f t="shared" si="500"/>
        <v>0.89436511466377144</v>
      </c>
      <c r="AV876" s="74">
        <f t="shared" si="501"/>
        <v>146.85413334577981</v>
      </c>
      <c r="AW876" s="74">
        <f t="shared" si="502"/>
        <v>0</v>
      </c>
      <c r="AX876" s="74">
        <f t="shared" si="503"/>
        <v>200.77927536231883</v>
      </c>
      <c r="AY876" s="74">
        <f t="shared" si="504"/>
        <v>146.85</v>
      </c>
      <c r="AZ876" s="117">
        <v>146.85</v>
      </c>
      <c r="BA876" s="117">
        <v>146.85</v>
      </c>
      <c r="BB876" s="117">
        <v>146.85</v>
      </c>
      <c r="BC876" s="73" t="str">
        <f t="shared" si="505"/>
        <v/>
      </c>
      <c r="BD876" s="73">
        <f t="shared" si="506"/>
        <v>314.0892753623188</v>
      </c>
      <c r="BE876" s="73">
        <f t="shared" si="507"/>
        <v>260.16413334577976</v>
      </c>
      <c r="BF876" s="77">
        <f t="shared" si="508"/>
        <v>53.93</v>
      </c>
      <c r="BG876" s="77">
        <f t="shared" si="509"/>
        <v>16.178999999999998</v>
      </c>
      <c r="BH876" s="77">
        <f t="shared" si="510"/>
        <v>200.7792753623188</v>
      </c>
      <c r="BI876" s="78">
        <f t="shared" si="511"/>
        <v>0.27</v>
      </c>
      <c r="BJ876" s="79">
        <f t="shared" si="512"/>
        <v>0.17170277443503557</v>
      </c>
      <c r="BK876" s="80">
        <f t="shared" si="513"/>
        <v>260.15999999999997</v>
      </c>
      <c r="BL876" s="80">
        <f t="shared" si="514"/>
        <v>53.929275362318833</v>
      </c>
      <c r="BM876" s="79">
        <f t="shared" si="515"/>
        <v>0.1717004673276683</v>
      </c>
      <c r="BN876" s="81">
        <f t="shared" si="516"/>
        <v>0.76884816753926699</v>
      </c>
      <c r="BO876" s="82">
        <f t="shared" si="517"/>
        <v>146.85</v>
      </c>
      <c r="BP876" s="81">
        <f t="shared" si="518"/>
        <v>0.76884816753926699</v>
      </c>
      <c r="BQ876" s="81">
        <f t="shared" si="519"/>
        <v>0.92568344744260977</v>
      </c>
      <c r="BR876" s="81">
        <f t="shared" si="520"/>
        <v>1.208035674470457</v>
      </c>
      <c r="BS876" s="82">
        <f t="shared" si="521"/>
        <v>191</v>
      </c>
      <c r="BT876" s="82">
        <f t="shared" si="522"/>
        <v>230.73481382385728</v>
      </c>
      <c r="BU876" s="82">
        <f t="shared" si="523"/>
        <v>200.77927536231883</v>
      </c>
      <c r="BW876" s="82">
        <f>IFERROR(INDEX('Infos Clientes'!$T:$T,MATCH('Detalhe Por UC'!$C876,'Infos Clientes'!B:B,0)),"")</f>
        <v>398.18181818181819</v>
      </c>
      <c r="BX876" s="83">
        <f t="shared" si="524"/>
        <v>0</v>
      </c>
      <c r="BY876" s="84">
        <f t="shared" si="525"/>
        <v>0.23372838484394631</v>
      </c>
      <c r="BZ876" s="85">
        <f>IF(_xlfn.MINIFS('Detalhe Por UC'!R:R,'Detalhe Por UC'!C:C,C876,'Detalhe Por UC'!AD:AD,"&gt;"&amp;0)=0,"",_xlfn.MINIFS('Detalhe Por UC'!R:R,'Detalhe Por UC'!C:C,C876,'Detalhe Por UC'!AD:AD,"&gt;"&amp;0))</f>
        <v>45658</v>
      </c>
      <c r="CA876" s="114">
        <f ca="1">IF(OR(S876&gt;0,AD876&gt;0),IFERROR(
SUMIFS(INDIRECT("'Infos Clientes'!$W"&amp;INDEX('Infos Clientes'!$C:$C,MATCH(C876,'Infos Clientes'!$H:$H,0))&amp;":$CZ"&amp;INDEX('Infos Clientes'!$C:$C,MATCH(C876,'Infos Clientes'!$H:$H,0))),'Infos Clientes'!$W$2:$CZ$2,"&gt;"&amp;$R876-365,'Infos Clientes'!$W$2:$CZ$2,"&lt;="&amp;$R876)/
COUNTIFS(INDIRECT("'Infos Clientes'!$W"&amp;INDEX('Infos Clientes'!$C:$C,MATCH(C876,'Infos Clientes'!$H:$H,0))&amp;":$CZ"&amp;INDEX('Infos Clientes'!$C:$C,MATCH(C876,'Infos Clientes'!$H:$H,0))),"&gt;="&amp;0,'Infos Clientes'!$W$2:$CZ$2,"&gt;"&amp;$R876-365,'Infos Clientes'!$W$2:$CZ$2,"&lt;="&amp;$R876),""),"")</f>
        <v>370.5</v>
      </c>
      <c r="CB876" s="87">
        <f>VLOOKUP(C876,'Infos Clientes'!B:L,11,0)</f>
        <v>0</v>
      </c>
      <c r="CC876" s="88" t="str">
        <f t="shared" si="526"/>
        <v>A Unidade Consumidora 10/1266128-6 economizou R$53,93 na fatura referente à set/2025  consumindo 191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6" s="115">
        <f t="shared" si="527"/>
        <v>-113.30999999999997</v>
      </c>
    </row>
    <row r="877" spans="1:84" ht="16.2" hidden="1" customHeight="1" x14ac:dyDescent="0.3">
      <c r="A877" s="105" t="str">
        <f>INDEX('Infos Clientes'!$D:$D,MATCH('Detalhe Por UC'!C877,'Infos Clientes'!B:B,0))</f>
        <v>IGREJA DO EVANGELHO QUADRANGULAR</v>
      </c>
      <c r="B877" s="106" t="str">
        <f>INDEX('Infos Clientes'!$F:$F,MATCH('Detalhe Por UC'!C877,'Infos Clientes'!B:B,0))</f>
        <v>62.955.505/1355-00</v>
      </c>
      <c r="C877" s="31" t="s">
        <v>219</v>
      </c>
      <c r="D877" t="s">
        <v>351</v>
      </c>
      <c r="E877" s="1" t="s">
        <v>352</v>
      </c>
      <c r="F877" s="56" t="str">
        <f>INDEX('Infos Clientes'!$I:$I,MATCH('Detalhe Por UC'!C877,'Infos Clientes'!B:B,0))</f>
        <v>BT</v>
      </c>
      <c r="G877" s="56" t="str">
        <f>INDEX('Infos Clientes'!$J:$J,MATCH('Detalhe Por UC'!C877,'Infos Clientes'!B:B,0))</f>
        <v>trifasico</v>
      </c>
      <c r="H877" s="47" t="str">
        <f t="shared" si="528"/>
        <v>GIROSSOL III</v>
      </c>
      <c r="I877" s="58">
        <f>IFERROR(VLOOKUP(C877,'Infos Clientes'!B:E,4,),"")</f>
        <v>319</v>
      </c>
      <c r="J877" s="151">
        <v>0.26857922422136293</v>
      </c>
      <c r="K877" s="79">
        <f>INDEX('Resumo Operacional'!$A$1:$P$151,MATCH("Desconto percentual Ucs",'Resumo Operacional'!$B$1:$B$151,0),MATCH('Detalhe Por UC'!$R877,'Resumo Operacional'!$A$1:$P$1,0))</f>
        <v>0.26857922422136293</v>
      </c>
      <c r="M877" s="56"/>
      <c r="N877" s="56"/>
      <c r="O877" s="56"/>
      <c r="P877" s="56"/>
      <c r="Q877" s="61"/>
      <c r="R877" s="111">
        <v>45901</v>
      </c>
      <c r="S877" s="152">
        <v>2.5999999999999999E-2</v>
      </c>
      <c r="T877" s="113" t="str">
        <f>IF($H877="GIROSSOL II",AP877/INDEX('Resumo Operacional'!$A$1:$P$1103,17,MATCH('Detalhe Por UC'!$R877,'Resumo Operacional'!$A$1:$P$1,0)),
IF($H877="GIROSSOL II e III",AP877/INDEX('Resumo Operacional'!$A$1:$P$1103,17,MATCH('Detalhe Por UC'!$R877,'Resumo Operacional'!$A$1:$P$1,0)),
""))</f>
        <v/>
      </c>
      <c r="U877" s="113">
        <f>IF($H877="GIROSSOL III",AP877/INDEX('Resumo Operacional'!$A$1:$P$1103,53,MATCH('Detalhe Por UC'!$R877,'Resumo Operacional'!$A$1:$P$1,0)),
IF($H877="GIROSSOL II e III",AP877/INDEX('Resumo Operacional'!$A$1:$P$1103,53,MATCH('Detalhe Por UC'!$R877,'Resumo Operacional'!$A$1:$P$1,0)),
""))</f>
        <v>1.3234077750206782E-2</v>
      </c>
      <c r="X877">
        <v>1.2082281013783904</v>
      </c>
      <c r="Z877" s="18">
        <v>1.0513500784929357</v>
      </c>
      <c r="AB877" s="18">
        <v>346</v>
      </c>
      <c r="AD877" s="143">
        <v>294</v>
      </c>
      <c r="AF877" s="18">
        <v>49</v>
      </c>
      <c r="AG877">
        <v>0</v>
      </c>
      <c r="AH877">
        <v>69.739999999999995</v>
      </c>
      <c r="AL877" s="43"/>
      <c r="AN877" s="71">
        <f t="shared" si="494"/>
        <v>-134</v>
      </c>
      <c r="AO877" s="71">
        <f t="shared" si="495"/>
        <v>0</v>
      </c>
      <c r="AP877" s="71">
        <f t="shared" si="496"/>
        <v>160</v>
      </c>
      <c r="AQ877" s="72">
        <f>IF(OR($H877="GIROSSOL II",$H877="GIROSSOL II e III"),INDEX('Resumo Operacional'!$A$1:$P$1103,MATCH("Energia Injetada prevista total Fatura da Usina (TUSD)",'Resumo Operacional'!$B$1:$B$1103,0),MATCH('Detalhe Por UC'!$R877,'Resumo Operacional'!$A$1:$P$1,0))*$S877,INDEX('Resumo Operacional'!$A$1:$P$1103,53,MATCH('Detalhe Por UC'!$R877,'Resumo Operacional'!$A$1:$P$1,0))*$S877)</f>
        <v>314.33999999999997</v>
      </c>
      <c r="AR877" s="71">
        <f t="shared" si="497"/>
        <v>-154.33999999999997</v>
      </c>
      <c r="AS877" s="73">
        <f t="shared" si="498"/>
        <v>178.69</v>
      </c>
      <c r="AT877" s="74">
        <f t="shared" si="499"/>
        <v>178.69</v>
      </c>
      <c r="AU877" s="74">
        <f t="shared" si="500"/>
        <v>0.894472055607481</v>
      </c>
      <c r="AV877" s="74">
        <f t="shared" si="501"/>
        <v>226.07991126771279</v>
      </c>
      <c r="AW877" s="74">
        <f t="shared" si="502"/>
        <v>0</v>
      </c>
      <c r="AX877" s="74">
        <f t="shared" si="503"/>
        <v>309.09692307692308</v>
      </c>
      <c r="AY877" s="74">
        <f t="shared" si="504"/>
        <v>226.08</v>
      </c>
      <c r="AZ877" s="117">
        <v>226.08</v>
      </c>
      <c r="BA877" s="117">
        <v>226.08</v>
      </c>
      <c r="BB877" s="117">
        <v>226.08</v>
      </c>
      <c r="BC877" s="73" t="str">
        <f t="shared" si="505"/>
        <v/>
      </c>
      <c r="BD877" s="73">
        <f t="shared" si="506"/>
        <v>487.78692307692307</v>
      </c>
      <c r="BE877" s="73">
        <f t="shared" si="507"/>
        <v>404.76991126771281</v>
      </c>
      <c r="BF877" s="77">
        <f t="shared" si="508"/>
        <v>83.02</v>
      </c>
      <c r="BG877" s="77">
        <f t="shared" si="509"/>
        <v>24.905999999999999</v>
      </c>
      <c r="BH877" s="77">
        <f t="shared" si="510"/>
        <v>309.09692307692308</v>
      </c>
      <c r="BI877" s="78">
        <f t="shared" si="511"/>
        <v>0.27</v>
      </c>
      <c r="BJ877" s="79">
        <f t="shared" si="512"/>
        <v>0.17019726456854584</v>
      </c>
      <c r="BK877" s="80">
        <f t="shared" si="513"/>
        <v>404.77</v>
      </c>
      <c r="BL877" s="80">
        <f t="shared" si="514"/>
        <v>83.016923076923092</v>
      </c>
      <c r="BM877" s="79">
        <f t="shared" si="515"/>
        <v>0.17019095664405803</v>
      </c>
      <c r="BN877" s="81">
        <f t="shared" si="516"/>
        <v>0.7689795918367347</v>
      </c>
      <c r="BO877" s="82">
        <f t="shared" si="517"/>
        <v>226.08</v>
      </c>
      <c r="BP877" s="81">
        <f t="shared" si="518"/>
        <v>0.7689795918367347</v>
      </c>
      <c r="BQ877" s="81">
        <f t="shared" si="519"/>
        <v>0.92585761472218941</v>
      </c>
      <c r="BR877" s="81">
        <f t="shared" si="520"/>
        <v>1.2082281013783904</v>
      </c>
      <c r="BS877" s="82">
        <f t="shared" si="521"/>
        <v>294</v>
      </c>
      <c r="BT877" s="82">
        <f t="shared" si="522"/>
        <v>355.21906180524678</v>
      </c>
      <c r="BU877" s="82">
        <f t="shared" si="523"/>
        <v>309.09692307692308</v>
      </c>
      <c r="BW877" s="82">
        <f>IFERROR(INDEX('Infos Clientes'!$T:$T,MATCH('Detalhe Por UC'!$C877,'Infos Clientes'!B:B,0)),"")</f>
        <v>385.63636363636363</v>
      </c>
      <c r="BX877" s="83">
        <f t="shared" si="524"/>
        <v>0</v>
      </c>
      <c r="BY877" s="84">
        <f t="shared" si="525"/>
        <v>0.23370627312347936</v>
      </c>
      <c r="BZ877" s="85">
        <f>IF(_xlfn.MINIFS('Detalhe Por UC'!R:R,'Detalhe Por UC'!C:C,C877,'Detalhe Por UC'!AD:AD,"&gt;"&amp;0)=0,"",_xlfn.MINIFS('Detalhe Por UC'!R:R,'Detalhe Por UC'!C:C,C877,'Detalhe Por UC'!AD:AD,"&gt;"&amp;0))</f>
        <v>45658</v>
      </c>
      <c r="CA877" s="114">
        <f ca="1">IF(OR(S877&gt;0,AD877&gt;0),IFERROR(
SUMIFS(INDIRECT("'Infos Clientes'!$W"&amp;INDEX('Infos Clientes'!$C:$C,MATCH(C877,'Infos Clientes'!$H:$H,0))&amp;":$CZ"&amp;INDEX('Infos Clientes'!$C:$C,MATCH(C877,'Infos Clientes'!$H:$H,0))),'Infos Clientes'!$W$2:$CZ$2,"&gt;"&amp;$R877-365,'Infos Clientes'!$W$2:$CZ$2,"&lt;="&amp;$R877)/
COUNTIFS(INDIRECT("'Infos Clientes'!$W"&amp;INDEX('Infos Clientes'!$C:$C,MATCH(C877,'Infos Clientes'!$H:$H,0))&amp;":$CZ"&amp;INDEX('Infos Clientes'!$C:$C,MATCH(C877,'Infos Clientes'!$H:$H,0))),"&gt;="&amp;0,'Infos Clientes'!$W$2:$CZ$2,"&gt;"&amp;$R877-365,'Infos Clientes'!$W$2:$CZ$2,"&lt;="&amp;$R877),""),"")</f>
        <v>380.66666666666669</v>
      </c>
      <c r="CB877" s="87">
        <f>VLOOKUP(C877,'Infos Clientes'!B:L,11,0)</f>
        <v>0</v>
      </c>
      <c r="CC877" s="88" t="str">
        <f t="shared" si="526"/>
        <v>A Unidade Consumidora 10/63920-3 economizou R$83,02 na fatura referente à set/2025  consumindo 294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7" s="115">
        <f t="shared" si="527"/>
        <v>-178.69</v>
      </c>
    </row>
    <row r="878" spans="1:84" ht="16.2" hidden="1" customHeight="1" x14ac:dyDescent="0.3">
      <c r="A878" s="105" t="str">
        <f>INDEX('Infos Clientes'!$D:$D,MATCH('Detalhe Por UC'!C878,'Infos Clientes'!B:B,0))</f>
        <v>IGREJA DO EVANGELHO QUADRANGULAR</v>
      </c>
      <c r="B878" s="106" t="str">
        <f>INDEX('Infos Clientes'!$F:$F,MATCH('Detalhe Por UC'!C878,'Infos Clientes'!B:B,0))</f>
        <v>62.955.505/1822-57</v>
      </c>
      <c r="C878" s="31" t="s">
        <v>206</v>
      </c>
      <c r="D878" t="s">
        <v>351</v>
      </c>
      <c r="E878" s="1" t="s">
        <v>352</v>
      </c>
      <c r="F878" s="56" t="str">
        <f>INDEX('Infos Clientes'!$I:$I,MATCH('Detalhe Por UC'!C878,'Infos Clientes'!B:B,0))</f>
        <v>BT</v>
      </c>
      <c r="G878" s="56" t="str">
        <f>INDEX('Infos Clientes'!$J:$J,MATCH('Detalhe Por UC'!C878,'Infos Clientes'!B:B,0))</f>
        <v>trifasico</v>
      </c>
      <c r="H878" s="47" t="str">
        <f t="shared" si="528"/>
        <v>GIROSSOL III</v>
      </c>
      <c r="I878" s="58">
        <f>IFERROR(VLOOKUP(C878,'Infos Clientes'!B:E,4,),"")</f>
        <v>319</v>
      </c>
      <c r="J878" s="151">
        <v>0.26857922422136293</v>
      </c>
      <c r="K878" s="79">
        <f>INDEX('Resumo Operacional'!$A$1:$P$151,MATCH("Desconto percentual Ucs",'Resumo Operacional'!$B$1:$B$151,0),MATCH('Detalhe Por UC'!$R878,'Resumo Operacional'!$A$1:$P$1,0))</f>
        <v>0.26857922422136293</v>
      </c>
      <c r="M878" s="56"/>
      <c r="N878" s="56"/>
      <c r="O878" s="56"/>
      <c r="P878" s="56"/>
      <c r="Q878" s="61"/>
      <c r="R878" s="111">
        <v>45901</v>
      </c>
      <c r="S878" s="152">
        <v>2.46E-2</v>
      </c>
      <c r="T878" s="113" t="str">
        <f>IF($H878="GIROSSOL II",AP878/INDEX('Resumo Operacional'!$A$1:$P$1103,17,MATCH('Detalhe Por UC'!$R878,'Resumo Operacional'!$A$1:$P$1,0)),
IF($H878="GIROSSOL II e III",AP878/INDEX('Resumo Operacional'!$A$1:$P$1103,17,MATCH('Detalhe Por UC'!$R878,'Resumo Operacional'!$A$1:$P$1,0)),
""))</f>
        <v/>
      </c>
      <c r="U878" s="113">
        <f>IF($H878="GIROSSOL III",AP878/INDEX('Resumo Operacional'!$A$1:$P$1103,53,MATCH('Detalhe Por UC'!$R878,'Resumo Operacional'!$A$1:$P$1,0)),
IF($H878="GIROSSOL II e III",AP878/INDEX('Resumo Operacional'!$A$1:$P$1103,53,MATCH('Detalhe Por UC'!$R878,'Resumo Operacional'!$A$1:$P$1,0)),
""))</f>
        <v>1.2489660876757651E-2</v>
      </c>
      <c r="X878">
        <v>1.2081375217770036</v>
      </c>
      <c r="Z878" s="18">
        <v>1.0512801289237668</v>
      </c>
      <c r="AB878" s="18">
        <v>287</v>
      </c>
      <c r="AD878" s="143">
        <v>223</v>
      </c>
      <c r="AF878" s="18">
        <v>199</v>
      </c>
      <c r="AG878">
        <v>0</v>
      </c>
      <c r="AH878">
        <v>61.62</v>
      </c>
      <c r="AL878" s="43"/>
      <c r="AN878" s="71">
        <f t="shared" si="494"/>
        <v>-72</v>
      </c>
      <c r="AO878" s="71">
        <f t="shared" si="495"/>
        <v>0</v>
      </c>
      <c r="AP878" s="71">
        <f t="shared" si="496"/>
        <v>151</v>
      </c>
      <c r="AQ878" s="72">
        <f>IF(OR($H878="GIROSSOL II",$H878="GIROSSOL II e III"),INDEX('Resumo Operacional'!$A$1:$P$1103,MATCH("Energia Injetada prevista total Fatura da Usina (TUSD)",'Resumo Operacional'!$B$1:$B$1103,0),MATCH('Detalhe Por UC'!$R878,'Resumo Operacional'!$A$1:$P$1,0))*$S878,INDEX('Resumo Operacional'!$A$1:$P$1103,53,MATCH('Detalhe Por UC'!$R878,'Resumo Operacional'!$A$1:$P$1,0))*$S878)</f>
        <v>297.41399999999999</v>
      </c>
      <c r="AR878" s="71">
        <f t="shared" si="497"/>
        <v>-146.41399999999999</v>
      </c>
      <c r="AS878" s="73">
        <f t="shared" si="498"/>
        <v>173.92000000000007</v>
      </c>
      <c r="AT878" s="74">
        <f t="shared" si="499"/>
        <v>173.92000000000007</v>
      </c>
      <c r="AU878" s="74">
        <f t="shared" si="500"/>
        <v>0.89442273607052991</v>
      </c>
      <c r="AV878" s="74">
        <f t="shared" si="501"/>
        <v>171.4709724231534</v>
      </c>
      <c r="AW878" s="74">
        <f t="shared" si="502"/>
        <v>0</v>
      </c>
      <c r="AX878" s="74">
        <f t="shared" si="503"/>
        <v>234.43546874999998</v>
      </c>
      <c r="AY878" s="74">
        <f t="shared" si="504"/>
        <v>171.47</v>
      </c>
      <c r="AZ878" s="117">
        <v>171.47</v>
      </c>
      <c r="BA878" s="117">
        <v>171.47</v>
      </c>
      <c r="BB878" s="117">
        <v>171.47</v>
      </c>
      <c r="BC878" s="73" t="str">
        <f t="shared" si="505"/>
        <v/>
      </c>
      <c r="BD878" s="73">
        <f t="shared" si="506"/>
        <v>408.35546875000006</v>
      </c>
      <c r="BE878" s="73">
        <f t="shared" si="507"/>
        <v>345.39097242315347</v>
      </c>
      <c r="BF878" s="77">
        <f t="shared" si="508"/>
        <v>62.96</v>
      </c>
      <c r="BG878" s="77">
        <f t="shared" si="509"/>
        <v>18.887999999999998</v>
      </c>
      <c r="BH878" s="77">
        <f t="shared" si="510"/>
        <v>234.43546875000001</v>
      </c>
      <c r="BI878" s="78">
        <f t="shared" si="511"/>
        <v>0.27</v>
      </c>
      <c r="BJ878" s="79">
        <f t="shared" si="512"/>
        <v>0.15417939716278134</v>
      </c>
      <c r="BK878" s="80">
        <f t="shared" si="513"/>
        <v>345.3900000000001</v>
      </c>
      <c r="BL878" s="80">
        <f t="shared" si="514"/>
        <v>62.965468749999957</v>
      </c>
      <c r="BM878" s="79">
        <f t="shared" si="515"/>
        <v>0.15419278929394759</v>
      </c>
      <c r="BN878" s="81">
        <f t="shared" si="516"/>
        <v>0.76892376681614349</v>
      </c>
      <c r="BO878" s="82">
        <f t="shared" si="517"/>
        <v>171.47</v>
      </c>
      <c r="BP878" s="81">
        <f t="shared" si="518"/>
        <v>0.76892376681614349</v>
      </c>
      <c r="BQ878" s="81">
        <f t="shared" si="519"/>
        <v>0.92578115966938035</v>
      </c>
      <c r="BR878" s="81">
        <f t="shared" si="520"/>
        <v>1.2081375217770036</v>
      </c>
      <c r="BS878" s="82">
        <f t="shared" si="521"/>
        <v>223</v>
      </c>
      <c r="BT878" s="82">
        <f t="shared" si="522"/>
        <v>269.41466735627182</v>
      </c>
      <c r="BU878" s="82">
        <f t="shared" si="523"/>
        <v>234.43546874999998</v>
      </c>
      <c r="BW878" s="82">
        <f>IFERROR(INDEX('Infos Clientes'!$T:$T,MATCH('Detalhe Por UC'!$C878,'Infos Clientes'!B:B,0)),"")</f>
        <v>361.81818181818181</v>
      </c>
      <c r="BX878" s="83">
        <f t="shared" si="524"/>
        <v>0</v>
      </c>
      <c r="BY878" s="84">
        <f t="shared" si="525"/>
        <v>0.23371210397663672</v>
      </c>
      <c r="BZ878" s="85">
        <f>IF(_xlfn.MINIFS('Detalhe Por UC'!R:R,'Detalhe Por UC'!C:C,C878,'Detalhe Por UC'!AD:AD,"&gt;"&amp;0)=0,"",_xlfn.MINIFS('Detalhe Por UC'!R:R,'Detalhe Por UC'!C:C,C878,'Detalhe Por UC'!AD:AD,"&gt;"&amp;0))</f>
        <v>45658</v>
      </c>
      <c r="CA878" s="114">
        <f ca="1">IF(OR(S878&gt;0,AD878&gt;0),IFERROR(
SUMIFS(INDIRECT("'Infos Clientes'!$W"&amp;INDEX('Infos Clientes'!$C:$C,MATCH(C878,'Infos Clientes'!$H:$H,0))&amp;":$CZ"&amp;INDEX('Infos Clientes'!$C:$C,MATCH(C878,'Infos Clientes'!$H:$H,0))),'Infos Clientes'!$W$2:$CZ$2,"&gt;"&amp;$R878-365,'Infos Clientes'!$W$2:$CZ$2,"&lt;="&amp;$R878)/
COUNTIFS(INDIRECT("'Infos Clientes'!$W"&amp;INDEX('Infos Clientes'!$C:$C,MATCH(C878,'Infos Clientes'!$H:$H,0))&amp;":$CZ"&amp;INDEX('Infos Clientes'!$C:$C,MATCH(C878,'Infos Clientes'!$H:$H,0))),"&gt;="&amp;0,'Infos Clientes'!$W$2:$CZ$2,"&gt;"&amp;$R878-365,'Infos Clientes'!$W$2:$CZ$2,"&lt;="&amp;$R878),""),"")</f>
        <v>356.91666666666669</v>
      </c>
      <c r="CB878" s="87">
        <f>VLOOKUP(C878,'Infos Clientes'!B:L,11,0)</f>
        <v>0</v>
      </c>
      <c r="CC878" s="88" t="str">
        <f t="shared" si="526"/>
        <v>A Unidade Consumidora 10/480529-7 economizou R$62,96 na fatura referente à set/2025  consumindo 223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8" s="115">
        <f t="shared" si="527"/>
        <v>-173.92000000000007</v>
      </c>
    </row>
    <row r="879" spans="1:84" ht="16.2" hidden="1" customHeight="1" x14ac:dyDescent="0.3">
      <c r="A879" s="105" t="str">
        <f>INDEX('Infos Clientes'!$D:$D,MATCH('Detalhe Por UC'!C879,'Infos Clientes'!B:B,0))</f>
        <v>IGREJA DO EVANGELHO QUADRANGULAR</v>
      </c>
      <c r="B879" s="106" t="str">
        <f>INDEX('Infos Clientes'!$F:$F,MATCH('Detalhe Por UC'!C879,'Infos Clientes'!B:B,0))</f>
        <v>62.955.505/0585-99</v>
      </c>
      <c r="C879" s="31" t="s">
        <v>225</v>
      </c>
      <c r="D879" t="s">
        <v>351</v>
      </c>
      <c r="E879" s="1" t="s">
        <v>352</v>
      </c>
      <c r="F879" s="56" t="str">
        <f>INDEX('Infos Clientes'!$I:$I,MATCH('Detalhe Por UC'!C879,'Infos Clientes'!B:B,0))</f>
        <v>BT</v>
      </c>
      <c r="G879" s="56" t="str">
        <f>INDEX('Infos Clientes'!$J:$J,MATCH('Detalhe Por UC'!C879,'Infos Clientes'!B:B,0))</f>
        <v>trifasico</v>
      </c>
      <c r="H879" s="47" t="str">
        <f t="shared" si="528"/>
        <v>GIROSSOL III</v>
      </c>
      <c r="I879" s="58">
        <f>IFERROR(VLOOKUP(C879,'Infos Clientes'!B:E,4,),"")</f>
        <v>302</v>
      </c>
      <c r="J879" s="151">
        <v>0.26857922422136293</v>
      </c>
      <c r="K879" s="79">
        <f>INDEX('Resumo Operacional'!$A$1:$P$151,MATCH("Desconto percentual Ucs",'Resumo Operacional'!$B$1:$B$151,0),MATCH('Detalhe Por UC'!$R879,'Resumo Operacional'!$A$1:$P$1,0))</f>
        <v>0.26857922422136293</v>
      </c>
      <c r="M879" s="56"/>
      <c r="N879" s="56"/>
      <c r="O879" s="56"/>
      <c r="P879" s="56"/>
      <c r="Q879" s="61"/>
      <c r="R879" s="111">
        <v>45901</v>
      </c>
      <c r="S879" s="152">
        <v>2.4400000000000002E-2</v>
      </c>
      <c r="T879" s="113" t="str">
        <f>IF($H879="GIROSSOL II",AP879/INDEX('Resumo Operacional'!$A$1:$P$1103,17,MATCH('Detalhe Por UC'!$R879,'Resumo Operacional'!$A$1:$P$1,0)),
IF($H879="GIROSSOL II e III",AP879/INDEX('Resumo Operacional'!$A$1:$P$1103,17,MATCH('Detalhe Por UC'!$R879,'Resumo Operacional'!$A$1:$P$1,0)),
""))</f>
        <v/>
      </c>
      <c r="U879" s="113">
        <f>IF($H879="GIROSSOL III",AP879/INDEX('Resumo Operacional'!$A$1:$P$1103,53,MATCH('Detalhe Por UC'!$R879,'Resumo Operacional'!$A$1:$P$1,0)),
IF($H879="GIROSSOL II e III",AP879/INDEX('Resumo Operacional'!$A$1:$P$1103,53,MATCH('Detalhe Por UC'!$R879,'Resumo Operacional'!$A$1:$P$1,0)),
""))</f>
        <v>1.2406947890818859E-2</v>
      </c>
      <c r="X879">
        <v>1.2080655001726719</v>
      </c>
      <c r="Z879" s="18">
        <v>1.0512096305520964</v>
      </c>
      <c r="AB879" s="18">
        <v>238</v>
      </c>
      <c r="AD879" s="143">
        <v>165</v>
      </c>
      <c r="AF879" s="18">
        <v>460</v>
      </c>
      <c r="AG879">
        <v>0</v>
      </c>
      <c r="AH879">
        <v>38.21</v>
      </c>
      <c r="AL879" s="43"/>
      <c r="AN879" s="71">
        <f t="shared" si="494"/>
        <v>-15</v>
      </c>
      <c r="AO879" s="71">
        <f t="shared" si="495"/>
        <v>0</v>
      </c>
      <c r="AP879" s="71">
        <f t="shared" si="496"/>
        <v>150</v>
      </c>
      <c r="AQ879" s="72">
        <f>IF(OR($H879="GIROSSOL II",$H879="GIROSSOL II e III"),INDEX('Resumo Operacional'!$A$1:$P$1103,MATCH("Energia Injetada prevista total Fatura da Usina (TUSD)",'Resumo Operacional'!$B$1:$B$1103,0),MATCH('Detalhe Por UC'!$R879,'Resumo Operacional'!$A$1:$P$1,0))*$S879,INDEX('Resumo Operacional'!$A$1:$P$1103,53,MATCH('Detalhe Por UC'!$R879,'Resumo Operacional'!$A$1:$P$1,0))*$S879)</f>
        <v>294.99600000000004</v>
      </c>
      <c r="AR879" s="71">
        <f t="shared" si="497"/>
        <v>-144.99600000000004</v>
      </c>
      <c r="AS879" s="73">
        <f t="shared" si="498"/>
        <v>152.28000000000003</v>
      </c>
      <c r="AT879" s="74">
        <f t="shared" si="499"/>
        <v>152.28000000000003</v>
      </c>
      <c r="AU879" s="74">
        <f t="shared" si="500"/>
        <v>0.89435376093152086</v>
      </c>
      <c r="AV879" s="74">
        <f t="shared" si="501"/>
        <v>126.86463297492415</v>
      </c>
      <c r="AW879" s="74">
        <f t="shared" si="502"/>
        <v>0</v>
      </c>
      <c r="AX879" s="74">
        <f t="shared" si="503"/>
        <v>173.44958904109589</v>
      </c>
      <c r="AY879" s="74">
        <f t="shared" si="504"/>
        <v>126.86</v>
      </c>
      <c r="AZ879" s="117">
        <v>126.86</v>
      </c>
      <c r="BA879" s="117">
        <v>126.86</v>
      </c>
      <c r="BB879" s="117">
        <v>126.86</v>
      </c>
      <c r="BC879" s="73" t="str">
        <f t="shared" si="505"/>
        <v/>
      </c>
      <c r="BD879" s="73">
        <f t="shared" si="506"/>
        <v>325.72958904109589</v>
      </c>
      <c r="BE879" s="73">
        <f t="shared" si="507"/>
        <v>279.14463297492421</v>
      </c>
      <c r="BF879" s="77">
        <f t="shared" si="508"/>
        <v>46.58</v>
      </c>
      <c r="BG879" s="77">
        <f t="shared" si="509"/>
        <v>13.973999999999998</v>
      </c>
      <c r="BH879" s="77">
        <f t="shared" si="510"/>
        <v>173.44958904109589</v>
      </c>
      <c r="BI879" s="78">
        <f t="shared" si="511"/>
        <v>0.27</v>
      </c>
      <c r="BJ879" s="79">
        <f t="shared" si="512"/>
        <v>0.14300205313593173</v>
      </c>
      <c r="BK879" s="80">
        <f t="shared" si="513"/>
        <v>279.14000000000004</v>
      </c>
      <c r="BL879" s="80">
        <f t="shared" si="514"/>
        <v>46.589589041095849</v>
      </c>
      <c r="BM879" s="79">
        <f t="shared" si="515"/>
        <v>0.14303149179124111</v>
      </c>
      <c r="BN879" s="81">
        <f t="shared" si="516"/>
        <v>0.76884848484848489</v>
      </c>
      <c r="BO879" s="82">
        <f t="shared" si="517"/>
        <v>126.86000000000001</v>
      </c>
      <c r="BP879" s="81">
        <f t="shared" si="518"/>
        <v>0.76884848484848489</v>
      </c>
      <c r="BQ879" s="81">
        <f t="shared" si="519"/>
        <v>0.92570435446906041</v>
      </c>
      <c r="BR879" s="81">
        <f t="shared" si="520"/>
        <v>1.2080655001726719</v>
      </c>
      <c r="BS879" s="82">
        <f t="shared" si="521"/>
        <v>165</v>
      </c>
      <c r="BT879" s="82">
        <f t="shared" si="522"/>
        <v>199.33080752849085</v>
      </c>
      <c r="BU879" s="82">
        <f t="shared" si="523"/>
        <v>173.44958904109589</v>
      </c>
      <c r="BW879" s="82">
        <f>IFERROR(INDEX('Infos Clientes'!$T:$T,MATCH('Detalhe Por UC'!$C879,'Infos Clientes'!B:B,0)),"")</f>
        <v>352.63636363636363</v>
      </c>
      <c r="BX879" s="83">
        <f t="shared" si="524"/>
        <v>0</v>
      </c>
      <c r="BY879" s="84">
        <f t="shared" si="525"/>
        <v>0.23372999697719443</v>
      </c>
      <c r="BZ879" s="85">
        <f>IF(_xlfn.MINIFS('Detalhe Por UC'!R:R,'Detalhe Por UC'!C:C,C879,'Detalhe Por UC'!AD:AD,"&gt;"&amp;0)=0,"",_xlfn.MINIFS('Detalhe Por UC'!R:R,'Detalhe Por UC'!C:C,C879,'Detalhe Por UC'!AD:AD,"&gt;"&amp;0))</f>
        <v>45658</v>
      </c>
      <c r="CA879" s="114">
        <f ca="1">IF(OR(S879&gt;0,AD879&gt;0),IFERROR(
SUMIFS(INDIRECT("'Infos Clientes'!$W"&amp;INDEX('Infos Clientes'!$C:$C,MATCH(C879,'Infos Clientes'!$H:$H,0))&amp;":$CZ"&amp;INDEX('Infos Clientes'!$C:$C,MATCH(C879,'Infos Clientes'!$H:$H,0))),'Infos Clientes'!$W$2:$CZ$2,"&gt;"&amp;$R879-365,'Infos Clientes'!$W$2:$CZ$2,"&lt;="&amp;$R879)/
COUNTIFS(INDIRECT("'Infos Clientes'!$W"&amp;INDEX('Infos Clientes'!$C:$C,MATCH(C879,'Infos Clientes'!$H:$H,0))&amp;":$CZ"&amp;INDEX('Infos Clientes'!$C:$C,MATCH(C879,'Infos Clientes'!$H:$H,0))),"&gt;="&amp;0,'Infos Clientes'!$W$2:$CZ$2,"&gt;"&amp;$R879-365,'Infos Clientes'!$W$2:$CZ$2,"&lt;="&amp;$R879),""),"")</f>
        <v>351.58333333333331</v>
      </c>
      <c r="CB879" s="87">
        <f>VLOOKUP(C879,'Infos Clientes'!B:L,11,0)</f>
        <v>0</v>
      </c>
      <c r="CC879" s="88" t="str">
        <f t="shared" si="526"/>
        <v>A Unidade Consumidora 10/76927-3 economizou R$46,58 na fatura referente à set/2025  consumindo 165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79" s="115">
        <f t="shared" si="527"/>
        <v>-152.28000000000003</v>
      </c>
    </row>
    <row r="880" spans="1:84" ht="16.2" hidden="1" customHeight="1" x14ac:dyDescent="0.3">
      <c r="A880" s="105" t="str">
        <f>INDEX('Infos Clientes'!$D:$D,MATCH('Detalhe Por UC'!C880,'Infos Clientes'!B:B,0))</f>
        <v>IGREJA DO EVANGELHO QUADRANGULAR</v>
      </c>
      <c r="B880" s="106" t="str">
        <f>INDEX('Infos Clientes'!$F:$F,MATCH('Detalhe Por UC'!C880,'Infos Clientes'!B:B,0))</f>
        <v>62.955.505/3574-05</v>
      </c>
      <c r="C880" s="31" t="s">
        <v>203</v>
      </c>
      <c r="D880" t="s">
        <v>351</v>
      </c>
      <c r="E880" s="1" t="s">
        <v>352</v>
      </c>
      <c r="F880" s="56" t="str">
        <f>INDEX('Infos Clientes'!$I:$I,MATCH('Detalhe Por UC'!C880,'Infos Clientes'!B:B,0))</f>
        <v>BT</v>
      </c>
      <c r="G880" s="56" t="str">
        <f>INDEX('Infos Clientes'!$J:$J,MATCH('Detalhe Por UC'!C880,'Infos Clientes'!B:B,0))</f>
        <v>trifasico</v>
      </c>
      <c r="H880" s="47" t="str">
        <f t="shared" si="528"/>
        <v>GIROSSOL III</v>
      </c>
      <c r="I880" s="58">
        <f>IFERROR(VLOOKUP(C880,'Infos Clientes'!B:E,4,),"")</f>
        <v>306</v>
      </c>
      <c r="J880" s="151">
        <v>0.26857922422136293</v>
      </c>
      <c r="K880" s="79">
        <f>INDEX('Resumo Operacional'!$A$1:$P$151,MATCH("Desconto percentual Ucs",'Resumo Operacional'!$B$1:$B$151,0),MATCH('Detalhe Por UC'!$R880,'Resumo Operacional'!$A$1:$P$1,0))</f>
        <v>0.26857922422136293</v>
      </c>
      <c r="M880" s="56"/>
      <c r="N880" s="56"/>
      <c r="O880" s="56"/>
      <c r="P880" s="56"/>
      <c r="Q880" s="61"/>
      <c r="R880" s="111">
        <v>45901</v>
      </c>
      <c r="S880" s="152">
        <v>2.4299999999999999E-2</v>
      </c>
      <c r="T880" s="113" t="str">
        <f>IF($H880="GIROSSOL II",AP880/INDEX('Resumo Operacional'!$A$1:$P$1103,17,MATCH('Detalhe Por UC'!$R880,'Resumo Operacional'!$A$1:$P$1,0)),
IF($H880="GIROSSOL II e III",AP880/INDEX('Resumo Operacional'!$A$1:$P$1103,17,MATCH('Detalhe Por UC'!$R880,'Resumo Operacional'!$A$1:$P$1,0)),
""))</f>
        <v/>
      </c>
      <c r="U880" s="113">
        <f>IF($H880="GIROSSOL III",AP880/INDEX('Resumo Operacional'!$A$1:$P$1103,53,MATCH('Detalhe Por UC'!$R880,'Resumo Operacional'!$A$1:$P$1,0)),
IF($H880="GIROSSOL II e III",AP880/INDEX('Resumo Operacional'!$A$1:$P$1103,53,MATCH('Detalhe Por UC'!$R880,'Resumo Operacional'!$A$1:$P$1,0)),
""))</f>
        <v>2.4483043837882548E-2</v>
      </c>
      <c r="X880">
        <v>1.2083810593299642</v>
      </c>
      <c r="Z880" s="18">
        <v>1.0514640198511165</v>
      </c>
      <c r="AB880" s="18">
        <v>411</v>
      </c>
      <c r="AD880" s="143">
        <v>372</v>
      </c>
      <c r="AF880" s="18">
        <v>351</v>
      </c>
      <c r="AG880">
        <v>0</v>
      </c>
      <c r="AH880">
        <v>0</v>
      </c>
      <c r="AL880" s="43"/>
      <c r="AN880" s="71">
        <f t="shared" si="494"/>
        <v>-76</v>
      </c>
      <c r="AO880" s="71">
        <f t="shared" si="495"/>
        <v>0</v>
      </c>
      <c r="AP880" s="71">
        <f t="shared" si="496"/>
        <v>296</v>
      </c>
      <c r="AQ880" s="72">
        <f>IF(OR($H880="GIROSSOL II",$H880="GIROSSOL II e III"),INDEX('Resumo Operacional'!$A$1:$P$1103,MATCH("Energia Injetada prevista total Fatura da Usina (TUSD)",'Resumo Operacional'!$B$1:$B$1103,0),MATCH('Detalhe Por UC'!$R880,'Resumo Operacional'!$A$1:$P$1,0))*$S880,INDEX('Resumo Operacional'!$A$1:$P$1103,53,MATCH('Detalhe Por UC'!$R880,'Resumo Operacional'!$A$1:$P$1,0))*$S880)</f>
        <v>293.78699999999998</v>
      </c>
      <c r="AR880" s="71">
        <f t="shared" si="497"/>
        <v>2.2130000000000223</v>
      </c>
      <c r="AS880" s="73">
        <f t="shared" si="498"/>
        <v>105.49999999999994</v>
      </c>
      <c r="AT880" s="74">
        <f t="shared" si="499"/>
        <v>105.49999999999994</v>
      </c>
      <c r="AU880" s="74">
        <f t="shared" si="500"/>
        <v>0.89454698037226876</v>
      </c>
      <c r="AV880" s="74">
        <f t="shared" si="501"/>
        <v>286.09129802625193</v>
      </c>
      <c r="AW880" s="74">
        <f t="shared" si="502"/>
        <v>0</v>
      </c>
      <c r="AX880" s="74">
        <f t="shared" si="503"/>
        <v>391.14461538461535</v>
      </c>
      <c r="AY880" s="74">
        <f t="shared" si="504"/>
        <v>286.08999999999997</v>
      </c>
      <c r="AZ880" s="117">
        <v>286.08999999999997</v>
      </c>
      <c r="BA880" s="117">
        <v>286.08999999999997</v>
      </c>
      <c r="BB880" s="117">
        <v>286.08999999999997</v>
      </c>
      <c r="BC880" s="73" t="str">
        <f t="shared" si="505"/>
        <v/>
      </c>
      <c r="BD880" s="73">
        <f t="shared" si="506"/>
        <v>496.64461538461529</v>
      </c>
      <c r="BE880" s="73">
        <f t="shared" si="507"/>
        <v>391.59129802625188</v>
      </c>
      <c r="BF880" s="77">
        <f t="shared" si="508"/>
        <v>105.05</v>
      </c>
      <c r="BG880" s="77">
        <f t="shared" si="509"/>
        <v>31.514999999999997</v>
      </c>
      <c r="BH880" s="77">
        <f t="shared" si="510"/>
        <v>391.14461538461529</v>
      </c>
      <c r="BI880" s="78">
        <f t="shared" si="511"/>
        <v>0.27</v>
      </c>
      <c r="BJ880" s="79">
        <f t="shared" si="512"/>
        <v>0.21151945827228263</v>
      </c>
      <c r="BK880" s="80">
        <f t="shared" si="513"/>
        <v>391.58999999999992</v>
      </c>
      <c r="BL880" s="80">
        <f t="shared" si="514"/>
        <v>105.05461538461537</v>
      </c>
      <c r="BM880" s="79">
        <f t="shared" si="515"/>
        <v>0.21152875140558644</v>
      </c>
      <c r="BN880" s="81">
        <f t="shared" si="516"/>
        <v>0.76905913978494622</v>
      </c>
      <c r="BO880" s="82">
        <f t="shared" si="517"/>
        <v>286.08999999999997</v>
      </c>
      <c r="BP880" s="81">
        <f t="shared" si="518"/>
        <v>0.76905913978494622</v>
      </c>
      <c r="BQ880" s="81">
        <f t="shared" si="519"/>
        <v>0.92597617926379394</v>
      </c>
      <c r="BR880" s="81">
        <f t="shared" si="520"/>
        <v>1.2083810593299642</v>
      </c>
      <c r="BS880" s="82">
        <f t="shared" si="521"/>
        <v>372</v>
      </c>
      <c r="BT880" s="82">
        <f t="shared" si="522"/>
        <v>449.51775407074666</v>
      </c>
      <c r="BU880" s="82">
        <f t="shared" si="523"/>
        <v>391.14461538461535</v>
      </c>
      <c r="BW880" s="82">
        <f>IFERROR(INDEX('Infos Clientes'!$T:$T,MATCH('Detalhe Por UC'!$C880,'Infos Clientes'!B:B,0)),"")</f>
        <v>378.09090909090907</v>
      </c>
      <c r="BX880" s="83">
        <f t="shared" si="524"/>
        <v>0</v>
      </c>
      <c r="BY880" s="84">
        <f t="shared" si="525"/>
        <v>0.23370515276262363</v>
      </c>
      <c r="BZ880" s="85">
        <f>IF(_xlfn.MINIFS('Detalhe Por UC'!R:R,'Detalhe Por UC'!C:C,C880,'Detalhe Por UC'!AD:AD,"&gt;"&amp;0)=0,"",_xlfn.MINIFS('Detalhe Por UC'!R:R,'Detalhe Por UC'!C:C,C880,'Detalhe Por UC'!AD:AD,"&gt;"&amp;0))</f>
        <v>45658</v>
      </c>
      <c r="CA880" s="114">
        <f ca="1">IF(OR(S880&gt;0,AD880&gt;0),IFERROR(
SUMIFS(INDIRECT("'Infos Clientes'!$W"&amp;INDEX('Infos Clientes'!$C:$C,MATCH(C880,'Infos Clientes'!$H:$H,0))&amp;":$CZ"&amp;INDEX('Infos Clientes'!$C:$C,MATCH(C880,'Infos Clientes'!$H:$H,0))),'Infos Clientes'!$W$2:$CZ$2,"&gt;"&amp;$R880-365,'Infos Clientes'!$W$2:$CZ$2,"&lt;="&amp;$R880)/
COUNTIFS(INDIRECT("'Infos Clientes'!$W"&amp;INDEX('Infos Clientes'!$C:$C,MATCH(C880,'Infos Clientes'!$H:$H,0))&amp;":$CZ"&amp;INDEX('Infos Clientes'!$C:$C,MATCH(C880,'Infos Clientes'!$H:$H,0))),"&gt;="&amp;0,'Infos Clientes'!$W$2:$CZ$2,"&gt;"&amp;$R880-365,'Infos Clientes'!$W$2:$CZ$2,"&lt;="&amp;$R880),""),"")</f>
        <v>361.83333333333331</v>
      </c>
      <c r="CB880" s="87">
        <f>VLOOKUP(C880,'Infos Clientes'!B:L,11,0)</f>
        <v>0</v>
      </c>
      <c r="CC880" s="88" t="str">
        <f t="shared" si="526"/>
        <v>A Unidade Consumidora 10/435964-2 economizou R$105,05 na fatura referente à set/2025  consumindo 372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0" s="115">
        <f t="shared" si="527"/>
        <v>-105.49999999999994</v>
      </c>
    </row>
    <row r="881" spans="1:84" ht="16.2" hidden="1" customHeight="1" x14ac:dyDescent="0.3">
      <c r="A881" s="105" t="str">
        <f>INDEX('Infos Clientes'!$D:$D,MATCH('Detalhe Por UC'!C881,'Infos Clientes'!B:B,0))</f>
        <v>IGREJA DO EVANGELHO QUADRANGULAR</v>
      </c>
      <c r="B881" s="106" t="str">
        <f>INDEX('Infos Clientes'!$F:$F,MATCH('Detalhe Por UC'!C881,'Infos Clientes'!B:B,0))</f>
        <v>62.955.505/3757-21</v>
      </c>
      <c r="C881" s="31" t="s">
        <v>187</v>
      </c>
      <c r="D881" t="s">
        <v>351</v>
      </c>
      <c r="E881" s="1" t="s">
        <v>352</v>
      </c>
      <c r="F881" s="56" t="str">
        <f>INDEX('Infos Clientes'!$I:$I,MATCH('Detalhe Por UC'!C881,'Infos Clientes'!B:B,0))</f>
        <v>BT</v>
      </c>
      <c r="G881" s="56" t="str">
        <f>INDEX('Infos Clientes'!$J:$J,MATCH('Detalhe Por UC'!C881,'Infos Clientes'!B:B,0))</f>
        <v>trifasico</v>
      </c>
      <c r="H881" s="47" t="str">
        <f t="shared" si="528"/>
        <v>GIROSSOL III</v>
      </c>
      <c r="I881" s="58">
        <f>IFERROR(VLOOKUP(C881,'Infos Clientes'!B:E,4,),"")</f>
        <v>362</v>
      </c>
      <c r="J881" s="151">
        <v>0.26857922422136293</v>
      </c>
      <c r="K881" s="79">
        <f>INDEX('Resumo Operacional'!$A$1:$P$151,MATCH("Desconto percentual Ucs",'Resumo Operacional'!$B$1:$B$151,0),MATCH('Detalhe Por UC'!$R881,'Resumo Operacional'!$A$1:$P$1,0))</f>
        <v>0.26857922422136293</v>
      </c>
      <c r="M881" s="56"/>
      <c r="N881" s="56"/>
      <c r="O881" s="56"/>
      <c r="P881" s="56"/>
      <c r="Q881" s="61"/>
      <c r="R881" s="111">
        <v>45901</v>
      </c>
      <c r="S881" s="152">
        <v>2.3900000000000001E-2</v>
      </c>
      <c r="T881" s="113" t="str">
        <f>IF($H881="GIROSSOL II",AP881/INDEX('Resumo Operacional'!$A$1:$P$1103,17,MATCH('Detalhe Por UC'!$R881,'Resumo Operacional'!$A$1:$P$1,0)),
IF($H881="GIROSSOL II e III",AP881/INDEX('Resumo Operacional'!$A$1:$P$1103,17,MATCH('Detalhe Por UC'!$R881,'Resumo Operacional'!$A$1:$P$1,0)),
""))</f>
        <v/>
      </c>
      <c r="U881" s="113">
        <f>IF($H881="GIROSSOL III",AP881/INDEX('Resumo Operacional'!$A$1:$P$1103,53,MATCH('Detalhe Por UC'!$R881,'Resumo Operacional'!$A$1:$P$1,0)),
IF($H881="GIROSSOL II e III",AP881/INDEX('Resumo Operacional'!$A$1:$P$1103,53,MATCH('Detalhe Por UC'!$R881,'Resumo Operacional'!$A$1:$P$1,0)),
""))</f>
        <v>2.6220016542597188E-2</v>
      </c>
      <c r="X881">
        <v>1.2081931857290353</v>
      </c>
      <c r="Z881" s="18">
        <v>1.0512769291030162</v>
      </c>
      <c r="AB881" s="18">
        <v>379</v>
      </c>
      <c r="AD881" s="143">
        <v>333</v>
      </c>
      <c r="AF881" s="18">
        <v>219</v>
      </c>
      <c r="AG881">
        <v>0</v>
      </c>
      <c r="AH881">
        <v>57.03</v>
      </c>
      <c r="AL881" s="43"/>
      <c r="AN881" s="71">
        <f t="shared" si="494"/>
        <v>-16</v>
      </c>
      <c r="AO881" s="71">
        <f t="shared" si="495"/>
        <v>0</v>
      </c>
      <c r="AP881" s="71">
        <f t="shared" si="496"/>
        <v>317</v>
      </c>
      <c r="AQ881" s="72">
        <f>IF(OR($H881="GIROSSOL II",$H881="GIROSSOL II e III"),INDEX('Resumo Operacional'!$A$1:$P$1103,MATCH("Energia Injetada prevista total Fatura da Usina (TUSD)",'Resumo Operacional'!$B$1:$B$1103,0),MATCH('Detalhe Por UC'!$R881,'Resumo Operacional'!$A$1:$P$1,0))*$S881,INDEX('Resumo Operacional'!$A$1:$P$1103,53,MATCH('Detalhe Por UC'!$R881,'Resumo Operacional'!$A$1:$P$1,0))*$S881)</f>
        <v>288.95100000000002</v>
      </c>
      <c r="AR881" s="71">
        <f t="shared" si="497"/>
        <v>28.048999999999978</v>
      </c>
      <c r="AS881" s="73">
        <f t="shared" si="498"/>
        <v>164.86000000000004</v>
      </c>
      <c r="AT881" s="74">
        <f t="shared" si="499"/>
        <v>164.86000000000004</v>
      </c>
      <c r="AU881" s="74">
        <f t="shared" si="500"/>
        <v>0.89436067247699702</v>
      </c>
      <c r="AV881" s="74">
        <f t="shared" si="501"/>
        <v>256.05228708522287</v>
      </c>
      <c r="AW881" s="74">
        <f t="shared" si="502"/>
        <v>0</v>
      </c>
      <c r="AX881" s="74">
        <f t="shared" si="503"/>
        <v>350.07521739130436</v>
      </c>
      <c r="AY881" s="74">
        <f t="shared" si="504"/>
        <v>256.05</v>
      </c>
      <c r="AZ881" s="117">
        <v>256.05</v>
      </c>
      <c r="BA881" s="117">
        <v>256.05</v>
      </c>
      <c r="BC881" s="73" t="str">
        <f t="shared" si="505"/>
        <v/>
      </c>
      <c r="BD881" s="73">
        <f t="shared" si="506"/>
        <v>514.93521739130438</v>
      </c>
      <c r="BE881" s="73">
        <f t="shared" si="507"/>
        <v>420.91228708522294</v>
      </c>
      <c r="BF881" s="77">
        <f t="shared" si="508"/>
        <v>94.02</v>
      </c>
      <c r="BG881" s="77">
        <f t="shared" si="509"/>
        <v>28.206</v>
      </c>
      <c r="BH881" s="77">
        <f t="shared" si="510"/>
        <v>350.07521739130436</v>
      </c>
      <c r="BI881" s="78">
        <f t="shared" si="511"/>
        <v>0.27</v>
      </c>
      <c r="BJ881" s="79">
        <f t="shared" si="512"/>
        <v>0.18258607456742129</v>
      </c>
      <c r="BK881" s="80">
        <f t="shared" si="513"/>
        <v>420.91000000000008</v>
      </c>
      <c r="BL881" s="80">
        <f t="shared" si="514"/>
        <v>94.025217391304295</v>
      </c>
      <c r="BM881" s="79">
        <f t="shared" si="515"/>
        <v>0.18259620669885859</v>
      </c>
      <c r="BN881" s="81">
        <f t="shared" si="516"/>
        <v>0.76891891891891895</v>
      </c>
      <c r="BO881" s="82">
        <f t="shared" si="517"/>
        <v>256.05</v>
      </c>
      <c r="BP881" s="81">
        <f t="shared" si="518"/>
        <v>0.76891891891891895</v>
      </c>
      <c r="BQ881" s="81">
        <f t="shared" si="519"/>
        <v>0.9258351755449381</v>
      </c>
      <c r="BR881" s="81">
        <f t="shared" si="520"/>
        <v>1.2081931857290353</v>
      </c>
      <c r="BS881" s="82">
        <f t="shared" si="521"/>
        <v>333</v>
      </c>
      <c r="BT881" s="82">
        <f t="shared" si="522"/>
        <v>402.32833084776877</v>
      </c>
      <c r="BU881" s="82">
        <f t="shared" si="523"/>
        <v>350.07521739130436</v>
      </c>
      <c r="BW881" s="82">
        <f>IFERROR(INDEX('Infos Clientes'!$T:$T,MATCH('Detalhe Por UC'!$C881,'Infos Clientes'!B:B,0)),"")</f>
        <v>365.90909090909093</v>
      </c>
      <c r="BX881" s="83">
        <f t="shared" si="524"/>
        <v>0</v>
      </c>
      <c r="BY881" s="84">
        <f t="shared" si="525"/>
        <v>0.23370270046153233</v>
      </c>
      <c r="BZ881" s="85">
        <f>IF(_xlfn.MINIFS('Detalhe Por UC'!R:R,'Detalhe Por UC'!C:C,C881,'Detalhe Por UC'!AD:AD,"&gt;"&amp;0)=0,"",_xlfn.MINIFS('Detalhe Por UC'!R:R,'Detalhe Por UC'!C:C,C881,'Detalhe Por UC'!AD:AD,"&gt;"&amp;0))</f>
        <v>45658</v>
      </c>
      <c r="CA881" s="114">
        <f ca="1">IF(OR(S881&gt;0,AD881&gt;0),IFERROR(
SUMIFS(INDIRECT("'Infos Clientes'!$W"&amp;INDEX('Infos Clientes'!$C:$C,MATCH(C881,'Infos Clientes'!$H:$H,0))&amp;":$CZ"&amp;INDEX('Infos Clientes'!$C:$C,MATCH(C881,'Infos Clientes'!$H:$H,0))),'Infos Clientes'!$W$2:$CZ$2,"&gt;"&amp;$R881-365,'Infos Clientes'!$W$2:$CZ$2,"&lt;="&amp;$R881)/
COUNTIFS(INDIRECT("'Infos Clientes'!$W"&amp;INDEX('Infos Clientes'!$C:$C,MATCH(C881,'Infos Clientes'!$H:$H,0))&amp;":$CZ"&amp;INDEX('Infos Clientes'!$C:$C,MATCH(C881,'Infos Clientes'!$H:$H,0))),"&gt;="&amp;0,'Infos Clientes'!$W$2:$CZ$2,"&gt;"&amp;$R881-365,'Infos Clientes'!$W$2:$CZ$2,"&lt;="&amp;$R881),""),"")</f>
        <v>351.75</v>
      </c>
      <c r="CB881" s="87">
        <f>VLOOKUP(C881,'Infos Clientes'!B:L,11,0)</f>
        <v>0</v>
      </c>
      <c r="CC881" s="88" t="str">
        <f t="shared" si="526"/>
        <v>A Unidade Consumidora 10/3123706-8 economizou R$94,02 na fatura referente à set/2025  consumindo 333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1" s="115">
        <f t="shared" si="527"/>
        <v>-164.86000000000004</v>
      </c>
    </row>
    <row r="882" spans="1:84" ht="16.2" hidden="1" customHeight="1" x14ac:dyDescent="0.3">
      <c r="A882" s="105" t="str">
        <f>INDEX('Infos Clientes'!$D:$D,MATCH('Detalhe Por UC'!C882,'Infos Clientes'!B:B,0))</f>
        <v>IGREJA DO EVANGELHO QUADRANGULAR</v>
      </c>
      <c r="B882" s="106" t="str">
        <f>INDEX('Infos Clientes'!$F:$F,MATCH('Detalhe Por UC'!C882,'Infos Clientes'!B:B,0))</f>
        <v>62.955.505/2391-19</v>
      </c>
      <c r="C882" s="31" t="s">
        <v>193</v>
      </c>
      <c r="D882" t="s">
        <v>351</v>
      </c>
      <c r="E882" s="1" t="s">
        <v>352</v>
      </c>
      <c r="F882" s="56" t="str">
        <f>INDEX('Infos Clientes'!$I:$I,MATCH('Detalhe Por UC'!C882,'Infos Clientes'!B:B,0))</f>
        <v>BT</v>
      </c>
      <c r="G882" s="56" t="str">
        <f>INDEX('Infos Clientes'!$J:$J,MATCH('Detalhe Por UC'!C882,'Infos Clientes'!B:B,0))</f>
        <v>bifasico</v>
      </c>
      <c r="H882" s="47" t="str">
        <f t="shared" si="528"/>
        <v>GIROSSOL III</v>
      </c>
      <c r="I882" s="58">
        <f>IFERROR(VLOOKUP(C882,'Infos Clientes'!B:E,4,),"")</f>
        <v>306</v>
      </c>
      <c r="J882" s="151">
        <v>0.26857922422136293</v>
      </c>
      <c r="K882" s="79">
        <f>INDEX('Resumo Operacional'!$A$1:$P$151,MATCH("Desconto percentual Ucs",'Resumo Operacional'!$B$1:$B$151,0),MATCH('Detalhe Por UC'!$R882,'Resumo Operacional'!$A$1:$P$1,0))</f>
        <v>0.26857922422136293</v>
      </c>
      <c r="M882" s="56"/>
      <c r="N882" s="56"/>
      <c r="O882" s="56"/>
      <c r="P882" s="56"/>
      <c r="Q882" s="61"/>
      <c r="R882" s="111">
        <v>45901</v>
      </c>
      <c r="S882" s="152">
        <v>2.3400000000000001E-2</v>
      </c>
      <c r="T882" s="113" t="str">
        <f>IF($H882="GIROSSOL II",AP882/INDEX('Resumo Operacional'!$A$1:$P$1103,17,MATCH('Detalhe Por UC'!$R882,'Resumo Operacional'!$A$1:$P$1,0)),
IF($H882="GIROSSOL II e III",AP882/INDEX('Resumo Operacional'!$A$1:$P$1103,17,MATCH('Detalhe Por UC'!$R882,'Resumo Operacional'!$A$1:$P$1,0)),
""))</f>
        <v/>
      </c>
      <c r="U882" s="113">
        <f>IF($H882="GIROSSOL III",AP882/INDEX('Resumo Operacional'!$A$1:$P$1103,53,MATCH('Detalhe Por UC'!$R882,'Resumo Operacional'!$A$1:$P$1,0)),
IF($H882="GIROSSOL II e III",AP882/INDEX('Resumo Operacional'!$A$1:$P$1103,53,MATCH('Detalhe Por UC'!$R882,'Resumo Operacional'!$A$1:$P$1,0)),
""))</f>
        <v>2.4565756823821339E-2</v>
      </c>
      <c r="X882">
        <v>1.2081822386679002</v>
      </c>
      <c r="Z882" s="18">
        <v>1.0513227931488802</v>
      </c>
      <c r="AB882" s="18">
        <v>188</v>
      </c>
      <c r="AD882" s="143">
        <v>165</v>
      </c>
      <c r="AF882" s="18">
        <v>410</v>
      </c>
      <c r="AG882">
        <v>0</v>
      </c>
      <c r="AH882">
        <v>1.08</v>
      </c>
      <c r="AL882" s="43"/>
      <c r="AN882" s="71">
        <f t="shared" si="494"/>
        <v>132</v>
      </c>
      <c r="AO882" s="71">
        <f t="shared" si="495"/>
        <v>0</v>
      </c>
      <c r="AP882" s="71">
        <f t="shared" si="496"/>
        <v>297</v>
      </c>
      <c r="AQ882" s="72">
        <f>IF(OR($H882="GIROSSOL II",$H882="GIROSSOL II e III"),INDEX('Resumo Operacional'!$A$1:$P$1103,MATCH("Energia Injetada prevista total Fatura da Usina (TUSD)",'Resumo Operacional'!$B$1:$B$1103,0),MATCH('Detalhe Por UC'!$R882,'Resumo Operacional'!$A$1:$P$1,0))*$S882,INDEX('Resumo Operacional'!$A$1:$P$1103,53,MATCH('Detalhe Por UC'!$R882,'Resumo Operacional'!$A$1:$P$1,0))*$S882)</f>
        <v>282.90600000000001</v>
      </c>
      <c r="AR882" s="71">
        <f t="shared" si="497"/>
        <v>14.093999999999994</v>
      </c>
      <c r="AS882" s="73">
        <f t="shared" si="498"/>
        <v>54.750000000000014</v>
      </c>
      <c r="AT882" s="74">
        <f t="shared" si="499"/>
        <v>54.750000000000014</v>
      </c>
      <c r="AU882" s="74">
        <f t="shared" si="500"/>
        <v>0.89446334762986024</v>
      </c>
      <c r="AV882" s="74">
        <f t="shared" si="501"/>
        <v>126.87828993818839</v>
      </c>
      <c r="AW882" s="74">
        <f t="shared" si="502"/>
        <v>0</v>
      </c>
      <c r="AX882" s="74">
        <f t="shared" si="503"/>
        <v>173.46826086956523</v>
      </c>
      <c r="AY882" s="74">
        <f t="shared" si="504"/>
        <v>126.88</v>
      </c>
      <c r="AZ882" s="117">
        <v>126.88</v>
      </c>
      <c r="BA882" s="117">
        <v>126.88</v>
      </c>
      <c r="BB882" s="117">
        <v>126.88</v>
      </c>
      <c r="BC882" s="73" t="str">
        <f t="shared" si="505"/>
        <v/>
      </c>
      <c r="BD882" s="73">
        <f t="shared" si="506"/>
        <v>228.21826086956526</v>
      </c>
      <c r="BE882" s="73">
        <f t="shared" si="507"/>
        <v>181.6282899381884</v>
      </c>
      <c r="BF882" s="77">
        <f t="shared" si="508"/>
        <v>46.59</v>
      </c>
      <c r="BG882" s="77">
        <f t="shared" si="509"/>
        <v>13.977</v>
      </c>
      <c r="BH882" s="77">
        <f t="shared" si="510"/>
        <v>173.46826086956523</v>
      </c>
      <c r="BI882" s="78">
        <f t="shared" si="511"/>
        <v>0.27</v>
      </c>
      <c r="BJ882" s="79">
        <f t="shared" si="512"/>
        <v>0.20414667880861567</v>
      </c>
      <c r="BK882" s="80">
        <f t="shared" si="513"/>
        <v>181.63</v>
      </c>
      <c r="BL882" s="80">
        <f t="shared" si="514"/>
        <v>46.588260869565261</v>
      </c>
      <c r="BM882" s="79">
        <f t="shared" si="515"/>
        <v>0.20413905833850907</v>
      </c>
      <c r="BN882" s="81">
        <f t="shared" si="516"/>
        <v>0.76896969696969697</v>
      </c>
      <c r="BO882" s="82">
        <f t="shared" si="517"/>
        <v>126.88</v>
      </c>
      <c r="BP882" s="81">
        <f t="shared" si="518"/>
        <v>0.76896969696969697</v>
      </c>
      <c r="BQ882" s="81">
        <f t="shared" si="519"/>
        <v>0.92582914248871695</v>
      </c>
      <c r="BR882" s="81">
        <f t="shared" si="520"/>
        <v>1.2081822386679002</v>
      </c>
      <c r="BS882" s="82">
        <f t="shared" si="521"/>
        <v>165</v>
      </c>
      <c r="BT882" s="82">
        <f t="shared" si="522"/>
        <v>199.35006938020354</v>
      </c>
      <c r="BU882" s="82">
        <f t="shared" si="523"/>
        <v>173.46826086956523</v>
      </c>
      <c r="BW882" s="82">
        <f>IFERROR(INDEX('Infos Clientes'!$T:$T,MATCH('Detalhe Por UC'!$C882,'Infos Clientes'!B:B,0)),"")</f>
        <v>330.27272727272725</v>
      </c>
      <c r="BX882" s="83">
        <f t="shared" si="524"/>
        <v>0</v>
      </c>
      <c r="BY882" s="84">
        <f t="shared" si="525"/>
        <v>0.23370075071662696</v>
      </c>
      <c r="BZ882" s="85">
        <f>IF(_xlfn.MINIFS('Detalhe Por UC'!R:R,'Detalhe Por UC'!C:C,C882,'Detalhe Por UC'!AD:AD,"&gt;"&amp;0)=0,"",_xlfn.MINIFS('Detalhe Por UC'!R:R,'Detalhe Por UC'!C:C,C882,'Detalhe Por UC'!AD:AD,"&gt;"&amp;0))</f>
        <v>45658</v>
      </c>
      <c r="CA882" s="114">
        <f ca="1">IF(OR(S882&gt;0,AD882&gt;0),IFERROR(
SUMIFS(INDIRECT("'Infos Clientes'!$W"&amp;INDEX('Infos Clientes'!$C:$C,MATCH(C882,'Infos Clientes'!$H:$H,0))&amp;":$CZ"&amp;INDEX('Infos Clientes'!$C:$C,MATCH(C882,'Infos Clientes'!$H:$H,0))),'Infos Clientes'!$W$2:$CZ$2,"&gt;"&amp;$R882-365,'Infos Clientes'!$W$2:$CZ$2,"&lt;="&amp;$R882)/
COUNTIFS(INDIRECT("'Infos Clientes'!$W"&amp;INDEX('Infos Clientes'!$C:$C,MATCH(C882,'Infos Clientes'!$H:$H,0))&amp;":$CZ"&amp;INDEX('Infos Clientes'!$C:$C,MATCH(C882,'Infos Clientes'!$H:$H,0))),"&gt;="&amp;0,'Infos Clientes'!$W$2:$CZ$2,"&gt;"&amp;$R882-365,'Infos Clientes'!$W$2:$CZ$2,"&lt;="&amp;$R882),""),"")</f>
        <v>285.5</v>
      </c>
      <c r="CB882" s="87">
        <f>VLOOKUP(C882,'Infos Clientes'!B:L,11,0)</f>
        <v>0</v>
      </c>
      <c r="CC882" s="88" t="str">
        <f t="shared" si="526"/>
        <v>A Unidade Consumidora 10/341308-5 economizou R$46,59 na fatura referente à set/2025  consumindo 165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2" s="115">
        <f t="shared" si="527"/>
        <v>-54.750000000000014</v>
      </c>
    </row>
    <row r="883" spans="1:84" ht="16.2" hidden="1" customHeight="1" x14ac:dyDescent="0.3">
      <c r="A883" s="105" t="str">
        <f>INDEX('Infos Clientes'!$D:$D,MATCH('Detalhe Por UC'!C883,'Infos Clientes'!B:B,0))</f>
        <v>IGREJA DO EVANGELHO QUADRANGULAR</v>
      </c>
      <c r="B883" s="106" t="str">
        <f>INDEX('Infos Clientes'!$F:$F,MATCH('Detalhe Por UC'!C883,'Infos Clientes'!B:B,0))</f>
        <v>62.955.505/0001-67</v>
      </c>
      <c r="C883" s="31" t="s">
        <v>142</v>
      </c>
      <c r="D883" t="s">
        <v>351</v>
      </c>
      <c r="E883" s="1" t="s">
        <v>352</v>
      </c>
      <c r="F883" s="56" t="str">
        <f>INDEX('Infos Clientes'!$I:$I,MATCH('Detalhe Por UC'!C883,'Infos Clientes'!B:B,0))</f>
        <v>BT</v>
      </c>
      <c r="G883" s="56" t="str">
        <f>INDEX('Infos Clientes'!$J:$J,MATCH('Detalhe Por UC'!C883,'Infos Clientes'!B:B,0))</f>
        <v>bifasico</v>
      </c>
      <c r="H883" s="47" t="str">
        <f t="shared" si="528"/>
        <v>GIROSSOL III</v>
      </c>
      <c r="I883" s="58">
        <f>IFERROR(VLOOKUP(C883,'Infos Clientes'!B:E,4,),"")</f>
        <v>319</v>
      </c>
      <c r="J883" s="151">
        <v>0.26857922422136293</v>
      </c>
      <c r="K883" s="79">
        <f>INDEX('Resumo Operacional'!$A$1:$P$151,MATCH("Desconto percentual Ucs",'Resumo Operacional'!$B$1:$B$151,0),MATCH('Detalhe Por UC'!$R883,'Resumo Operacional'!$A$1:$P$1,0))</f>
        <v>0.26857922422136293</v>
      </c>
      <c r="M883" s="56"/>
      <c r="N883" s="56"/>
      <c r="O883" s="56"/>
      <c r="P883" s="56"/>
      <c r="Q883" s="61"/>
      <c r="R883" s="111">
        <v>45901</v>
      </c>
      <c r="S883" s="152">
        <v>2.2700000000000001E-2</v>
      </c>
      <c r="T883" s="113" t="str">
        <f>IF($H883="GIROSSOL II",AP883/INDEX('Resumo Operacional'!$A$1:$P$1103,17,MATCH('Detalhe Por UC'!$R883,'Resumo Operacional'!$A$1:$P$1,0)),
IF($H883="GIROSSOL II e III",AP883/INDEX('Resumo Operacional'!$A$1:$P$1103,17,MATCH('Detalhe Por UC'!$R883,'Resumo Operacional'!$A$1:$P$1,0)),
""))</f>
        <v/>
      </c>
      <c r="U883" s="113">
        <f>IF($H883="GIROSSOL III",AP883/INDEX('Resumo Operacional'!$A$1:$P$1103,53,MATCH('Detalhe Por UC'!$R883,'Resumo Operacional'!$A$1:$P$1,0)),
IF($H883="GIROSSOL II e III",AP883/INDEX('Resumo Operacional'!$A$1:$P$1103,53,MATCH('Detalhe Por UC'!$R883,'Resumo Operacional'!$A$1:$P$1,0)),
""))</f>
        <v>1.1497105045492142E-2</v>
      </c>
      <c r="X883">
        <v>1.2080812085656878</v>
      </c>
      <c r="Z883" s="18">
        <v>1.0511793062904173</v>
      </c>
      <c r="AB883" s="18">
        <v>383</v>
      </c>
      <c r="AD883" s="143">
        <v>140</v>
      </c>
      <c r="AF883" s="18">
        <v>0</v>
      </c>
      <c r="AG883">
        <v>0</v>
      </c>
      <c r="AH883">
        <v>0</v>
      </c>
      <c r="AL883" s="43"/>
      <c r="AN883" s="71">
        <f t="shared" si="494"/>
        <v>-1</v>
      </c>
      <c r="AO883" s="71">
        <f t="shared" si="495"/>
        <v>0</v>
      </c>
      <c r="AP883" s="71">
        <f t="shared" si="496"/>
        <v>139</v>
      </c>
      <c r="AQ883" s="72">
        <f>IF(OR($H883="GIROSSOL II",$H883="GIROSSOL II e III"),INDEX('Resumo Operacional'!$A$1:$P$1103,MATCH("Energia Injetada prevista total Fatura da Usina (TUSD)",'Resumo Operacional'!$B$1:$B$1103,0),MATCH('Detalhe Por UC'!$R883,'Resumo Operacional'!$A$1:$P$1,0))*$S883,INDEX('Resumo Operacional'!$A$1:$P$1103,53,MATCH('Detalhe Por UC'!$R883,'Resumo Operacional'!$A$1:$P$1,0))*$S883)</f>
        <v>274.44300000000004</v>
      </c>
      <c r="AR883" s="71">
        <f t="shared" si="497"/>
        <v>-135.44300000000004</v>
      </c>
      <c r="AS883" s="73">
        <f t="shared" si="498"/>
        <v>315.52999999999997</v>
      </c>
      <c r="AT883" s="74">
        <f t="shared" si="499"/>
        <v>315.52999999999997</v>
      </c>
      <c r="AU883" s="74">
        <f t="shared" si="500"/>
        <v>0.89427740401514688</v>
      </c>
      <c r="AV883" s="74">
        <f t="shared" si="501"/>
        <v>107.63961371651413</v>
      </c>
      <c r="AW883" s="74">
        <f t="shared" si="502"/>
        <v>0</v>
      </c>
      <c r="AX883" s="74">
        <f t="shared" si="503"/>
        <v>147.16510288065842</v>
      </c>
      <c r="AY883" s="74">
        <f t="shared" si="504"/>
        <v>107.64</v>
      </c>
      <c r="AZ883" s="117">
        <v>107.64</v>
      </c>
      <c r="BA883" s="117">
        <v>107.64</v>
      </c>
      <c r="BC883" s="73" t="str">
        <f t="shared" si="505"/>
        <v/>
      </c>
      <c r="BD883" s="73">
        <f t="shared" si="506"/>
        <v>462.6951028806584</v>
      </c>
      <c r="BE883" s="73">
        <f t="shared" si="507"/>
        <v>423.16961371651411</v>
      </c>
      <c r="BF883" s="77">
        <f t="shared" si="508"/>
        <v>39.53</v>
      </c>
      <c r="BG883" s="77">
        <f t="shared" si="509"/>
        <v>11.859</v>
      </c>
      <c r="BH883" s="77">
        <f t="shared" si="510"/>
        <v>147.16510288065842</v>
      </c>
      <c r="BI883" s="78">
        <f t="shared" si="511"/>
        <v>0.27</v>
      </c>
      <c r="BJ883" s="79">
        <f t="shared" si="512"/>
        <v>8.5434230347140414E-2</v>
      </c>
      <c r="BK883" s="80">
        <f t="shared" si="513"/>
        <v>423.16999999999996</v>
      </c>
      <c r="BL883" s="80">
        <f t="shared" si="514"/>
        <v>39.525102880658437</v>
      </c>
      <c r="BM883" s="79">
        <f t="shared" si="515"/>
        <v>8.5423646445752496E-2</v>
      </c>
      <c r="BN883" s="81">
        <f t="shared" si="516"/>
        <v>0.76885714285714291</v>
      </c>
      <c r="BO883" s="82">
        <f t="shared" si="517"/>
        <v>107.64</v>
      </c>
      <c r="BP883" s="81">
        <f t="shared" si="518"/>
        <v>0.76885714285714291</v>
      </c>
      <c r="BQ883" s="81">
        <f t="shared" si="519"/>
        <v>0.92575904513241336</v>
      </c>
      <c r="BR883" s="81">
        <f t="shared" si="520"/>
        <v>1.2080812085656878</v>
      </c>
      <c r="BS883" s="82">
        <f t="shared" si="521"/>
        <v>140</v>
      </c>
      <c r="BT883" s="82">
        <f t="shared" si="522"/>
        <v>169.13136919919629</v>
      </c>
      <c r="BU883" s="82">
        <f t="shared" si="523"/>
        <v>147.16510288065842</v>
      </c>
      <c r="BW883" s="82">
        <f>IFERROR(INDEX('Infos Clientes'!$T:$T,MATCH('Detalhe Por UC'!$C883,'Infos Clientes'!B:B,0)),"")</f>
        <v>244.81818181818181</v>
      </c>
      <c r="BX883" s="83">
        <f t="shared" si="524"/>
        <v>0</v>
      </c>
      <c r="BY883" s="84">
        <f t="shared" si="525"/>
        <v>0.23369468991945133</v>
      </c>
      <c r="BZ883" s="85">
        <f>IF(_xlfn.MINIFS('Detalhe Por UC'!R:R,'Detalhe Por UC'!C:C,C883,'Detalhe Por UC'!AD:AD,"&gt;"&amp;0)=0,"",_xlfn.MINIFS('Detalhe Por UC'!R:R,'Detalhe Por UC'!C:C,C883,'Detalhe Por UC'!AD:AD,"&gt;"&amp;0))</f>
        <v>45658</v>
      </c>
      <c r="CA883" s="114">
        <f ca="1">IF(OR(S883&gt;0,AD883&gt;0),IFERROR(
SUMIFS(INDIRECT("'Infos Clientes'!$W"&amp;INDEX('Infos Clientes'!$C:$C,MATCH(C883,'Infos Clientes'!$H:$H,0))&amp;":$CZ"&amp;INDEX('Infos Clientes'!$C:$C,MATCH(C883,'Infos Clientes'!$H:$H,0))),'Infos Clientes'!$W$2:$CZ$2,"&gt;"&amp;$R883-365,'Infos Clientes'!$W$2:$CZ$2,"&lt;="&amp;$R883)/
COUNTIFS(INDIRECT("'Infos Clientes'!$W"&amp;INDEX('Infos Clientes'!$C:$C,MATCH(C883,'Infos Clientes'!$H:$H,0))&amp;":$CZ"&amp;INDEX('Infos Clientes'!$C:$C,MATCH(C883,'Infos Clientes'!$H:$H,0))),"&gt;="&amp;0,'Infos Clientes'!$W$2:$CZ$2,"&gt;"&amp;$R883-365,'Infos Clientes'!$W$2:$CZ$2,"&lt;="&amp;$R883),""),"")</f>
        <v>299.58333333333331</v>
      </c>
      <c r="CB883" s="87">
        <f>VLOOKUP(C883,'Infos Clientes'!B:L,11,0)</f>
        <v>0</v>
      </c>
      <c r="CC883" s="88" t="str">
        <f t="shared" si="526"/>
        <v>A Unidade Consumidora 10/109074-5 economizou R$39,53 na fatura referente à set/2025  consumindo 140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3" s="115">
        <f t="shared" si="527"/>
        <v>-315.52999999999997</v>
      </c>
    </row>
    <row r="884" spans="1:84" ht="16.2" hidden="1" customHeight="1" x14ac:dyDescent="0.3">
      <c r="A884" s="105" t="str">
        <f>INDEX('Infos Clientes'!$D:$D,MATCH('Detalhe Por UC'!C884,'Infos Clientes'!B:B,0))</f>
        <v>IGREJA DO EVANGELHO QUADRANGULAR</v>
      </c>
      <c r="B884" s="106" t="str">
        <f>INDEX('Infos Clientes'!$F:$F,MATCH('Detalhe Por UC'!C884,'Infos Clientes'!B:B,0))</f>
        <v>62.955.505/0154-31</v>
      </c>
      <c r="C884" s="31" t="s">
        <v>183</v>
      </c>
      <c r="D884" t="s">
        <v>351</v>
      </c>
      <c r="E884" s="1" t="s">
        <v>352</v>
      </c>
      <c r="F884" s="56" t="str">
        <f>INDEX('Infos Clientes'!$I:$I,MATCH('Detalhe Por UC'!C884,'Infos Clientes'!B:B,0))</f>
        <v>BT</v>
      </c>
      <c r="G884" s="56" t="str">
        <f>INDEX('Infos Clientes'!$J:$J,MATCH('Detalhe Por UC'!C884,'Infos Clientes'!B:B,0))</f>
        <v>bifasico</v>
      </c>
      <c r="H884" s="47" t="str">
        <f t="shared" si="528"/>
        <v>GIROSSOL III</v>
      </c>
      <c r="I884" s="58">
        <f>IFERROR(VLOOKUP(C884,'Infos Clientes'!B:E,4,),"")</f>
        <v>319</v>
      </c>
      <c r="J884" s="151">
        <v>0.26857922422136293</v>
      </c>
      <c r="K884" s="79">
        <f>INDEX('Resumo Operacional'!$A$1:$P$151,MATCH("Desconto percentual Ucs",'Resumo Operacional'!$B$1:$B$151,0),MATCH('Detalhe Por UC'!$R884,'Resumo Operacional'!$A$1:$P$1,0))</f>
        <v>0.26857922422136293</v>
      </c>
      <c r="M884" s="56"/>
      <c r="N884" s="56"/>
      <c r="O884" s="56"/>
      <c r="P884" s="56"/>
      <c r="Q884" s="61"/>
      <c r="R884" s="111">
        <v>45901</v>
      </c>
      <c r="S884" s="152">
        <v>2.1399999999999999E-2</v>
      </c>
      <c r="T884" s="113" t="str">
        <f>IF($H884="GIROSSOL II",AP884/INDEX('Resumo Operacional'!$A$1:$P$1103,17,MATCH('Detalhe Por UC'!$R884,'Resumo Operacional'!$A$1:$P$1,0)),
IF($H884="GIROSSOL II e III",AP884/INDEX('Resumo Operacional'!$A$1:$P$1103,17,MATCH('Detalhe Por UC'!$R884,'Resumo Operacional'!$A$1:$P$1,0)),
""))</f>
        <v/>
      </c>
      <c r="U884" s="113">
        <f>IF($H884="GIROSSOL III",AP884/INDEX('Resumo Operacional'!$A$1:$P$1103,53,MATCH('Detalhe Por UC'!$R884,'Resumo Operacional'!$A$1:$P$1,0)),
IF($H884="GIROSSOL II e III",AP884/INDEX('Resumo Operacional'!$A$1:$P$1103,53,MATCH('Detalhe Por UC'!$R884,'Resumo Operacional'!$A$1:$P$1,0)),
""))</f>
        <v>2.5392886683209263E-2</v>
      </c>
      <c r="X884">
        <v>1.1086206896551725</v>
      </c>
      <c r="Z884" s="18">
        <v>0.9517241379310345</v>
      </c>
      <c r="AB884" s="18">
        <v>348</v>
      </c>
      <c r="AD884" s="143">
        <v>348</v>
      </c>
      <c r="AF884" s="18">
        <v>112</v>
      </c>
      <c r="AG884">
        <v>0</v>
      </c>
      <c r="AH884">
        <v>61.769999999999996</v>
      </c>
      <c r="AL884" s="43"/>
      <c r="AN884" s="71">
        <f t="shared" si="494"/>
        <v>-41</v>
      </c>
      <c r="AO884" s="71">
        <f t="shared" si="495"/>
        <v>0</v>
      </c>
      <c r="AP884" s="71">
        <f t="shared" si="496"/>
        <v>307</v>
      </c>
      <c r="AQ884" s="72">
        <f>IF(OR($H884="GIROSSOL II",$H884="GIROSSOL II e III"),INDEX('Resumo Operacional'!$A$1:$P$1103,MATCH("Energia Injetada prevista total Fatura da Usina (TUSD)",'Resumo Operacional'!$B$1:$B$1103,0),MATCH('Detalhe Por UC'!$R884,'Resumo Operacional'!$A$1:$P$1,0))*$S884,INDEX('Resumo Operacional'!$A$1:$P$1103,53,MATCH('Detalhe Por UC'!$R884,'Resumo Operacional'!$A$1:$P$1,0))*$S884)</f>
        <v>258.726</v>
      </c>
      <c r="AR884" s="71">
        <f t="shared" si="497"/>
        <v>48.274000000000001</v>
      </c>
      <c r="AS884" s="73">
        <f t="shared" si="498"/>
        <v>116.37000000000002</v>
      </c>
      <c r="AT884" s="74">
        <f t="shared" si="499"/>
        <v>116.37000000000002</v>
      </c>
      <c r="AU884" s="74">
        <f t="shared" si="500"/>
        <v>0.79482758620689653</v>
      </c>
      <c r="AV884" s="74">
        <f t="shared" si="501"/>
        <v>242.2465609378846</v>
      </c>
      <c r="AW884" s="74">
        <f t="shared" si="502"/>
        <v>0</v>
      </c>
      <c r="AX884" s="74">
        <f t="shared" si="503"/>
        <v>331.2</v>
      </c>
      <c r="AY884" s="74">
        <f t="shared" si="504"/>
        <v>242.25</v>
      </c>
      <c r="AZ884" s="117">
        <v>242.25</v>
      </c>
      <c r="BA884" s="117">
        <v>242.25</v>
      </c>
      <c r="BB884" s="117">
        <v>242.25</v>
      </c>
      <c r="BC884" s="73" t="str">
        <f t="shared" si="505"/>
        <v/>
      </c>
      <c r="BD884" s="73">
        <f t="shared" si="506"/>
        <v>447.57</v>
      </c>
      <c r="BE884" s="73">
        <f t="shared" si="507"/>
        <v>358.61656093788463</v>
      </c>
      <c r="BF884" s="77">
        <f t="shared" si="508"/>
        <v>88.95</v>
      </c>
      <c r="BG884" s="77">
        <f t="shared" si="509"/>
        <v>26.684999999999999</v>
      </c>
      <c r="BH884" s="77">
        <f t="shared" si="510"/>
        <v>331.2</v>
      </c>
      <c r="BI884" s="78">
        <f t="shared" si="511"/>
        <v>0.27</v>
      </c>
      <c r="BJ884" s="79">
        <f t="shared" si="512"/>
        <v>0.19873986192104029</v>
      </c>
      <c r="BK884" s="80">
        <f t="shared" si="513"/>
        <v>358.62</v>
      </c>
      <c r="BL884" s="80">
        <f t="shared" si="514"/>
        <v>88.949999999999989</v>
      </c>
      <c r="BM884" s="79">
        <f t="shared" si="515"/>
        <v>0.19873986192104026</v>
      </c>
      <c r="BN884" s="81">
        <f t="shared" si="516"/>
        <v>0.69612068965517238</v>
      </c>
      <c r="BO884" s="82">
        <f t="shared" si="517"/>
        <v>242.25</v>
      </c>
      <c r="BP884" s="81">
        <f t="shared" si="518"/>
        <v>0.69612068965517238</v>
      </c>
      <c r="BQ884" s="81">
        <f t="shared" si="519"/>
        <v>0.85301724137931034</v>
      </c>
      <c r="BR884" s="81">
        <f t="shared" si="520"/>
        <v>1.1086206896551725</v>
      </c>
      <c r="BS884" s="82">
        <f t="shared" si="521"/>
        <v>348</v>
      </c>
      <c r="BT884" s="82">
        <f t="shared" si="522"/>
        <v>385.8</v>
      </c>
      <c r="BU884" s="82">
        <f t="shared" si="523"/>
        <v>331.2</v>
      </c>
      <c r="BW884" s="82">
        <f>IFERROR(INDEX('Infos Clientes'!$T:$T,MATCH('Detalhe Por UC'!$C884,'Infos Clientes'!B:B,0)),"")</f>
        <v>250.27272727272728</v>
      </c>
      <c r="BX884" s="83">
        <f t="shared" si="524"/>
        <v>0</v>
      </c>
      <c r="BY884" s="84">
        <f t="shared" si="525"/>
        <v>0.23055987558320376</v>
      </c>
      <c r="BZ884" s="85">
        <f>IF(_xlfn.MINIFS('Detalhe Por UC'!R:R,'Detalhe Por UC'!C:C,C884,'Detalhe Por UC'!AD:AD,"&gt;"&amp;0)=0,"",_xlfn.MINIFS('Detalhe Por UC'!R:R,'Detalhe Por UC'!C:C,C884,'Detalhe Por UC'!AD:AD,"&gt;"&amp;0))</f>
        <v>45658</v>
      </c>
      <c r="CA884" s="114">
        <f ca="1">IF(OR(S884&gt;0,AD884&gt;0),IFERROR(
SUMIFS(INDIRECT("'Infos Clientes'!$W"&amp;INDEX('Infos Clientes'!$C:$C,MATCH(C884,'Infos Clientes'!$H:$H,0))&amp;":$CZ"&amp;INDEX('Infos Clientes'!$C:$C,MATCH(C884,'Infos Clientes'!$H:$H,0))),'Infos Clientes'!$W$2:$CZ$2,"&gt;"&amp;$R884-365,'Infos Clientes'!$W$2:$CZ$2,"&lt;="&amp;$R884)/
COUNTIFS(INDIRECT("'Infos Clientes'!$W"&amp;INDEX('Infos Clientes'!$C:$C,MATCH(C884,'Infos Clientes'!$H:$H,0))&amp;":$CZ"&amp;INDEX('Infos Clientes'!$C:$C,MATCH(C884,'Infos Clientes'!$H:$H,0))),"&gt;="&amp;0,'Infos Clientes'!$W$2:$CZ$2,"&gt;"&amp;$R884-365,'Infos Clientes'!$W$2:$CZ$2,"&lt;="&amp;$R884),""),"")</f>
        <v>304.08333333333331</v>
      </c>
      <c r="CB884" s="87">
        <f>VLOOKUP(C884,'Infos Clientes'!B:L,11,0)</f>
        <v>0</v>
      </c>
      <c r="CC884" s="88" t="str">
        <f t="shared" si="526"/>
        <v>A Unidade Consumidora 10/3040565-8 economizou R$88,95 na fatura referente à set/2025  consumindo 348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4" s="115">
        <f t="shared" si="527"/>
        <v>-116.37000000000002</v>
      </c>
    </row>
    <row r="885" spans="1:84" ht="16.2" hidden="1" customHeight="1" x14ac:dyDescent="0.3">
      <c r="A885" s="105" t="str">
        <f>INDEX('Infos Clientes'!$D:$D,MATCH('Detalhe Por UC'!C885,'Infos Clientes'!B:B,0))</f>
        <v>IGREJA DO EVANGELHO QUADRANGULAR</v>
      </c>
      <c r="B885" s="106" t="str">
        <f>INDEX('Infos Clientes'!$F:$F,MATCH('Detalhe Por UC'!C885,'Infos Clientes'!B:B,0))</f>
        <v>62.955.505/1822-57</v>
      </c>
      <c r="C885" s="31" t="s">
        <v>222</v>
      </c>
      <c r="D885" t="s">
        <v>351</v>
      </c>
      <c r="E885" s="1" t="s">
        <v>352</v>
      </c>
      <c r="F885" s="56" t="str">
        <f>INDEX('Infos Clientes'!$I:$I,MATCH('Detalhe Por UC'!C885,'Infos Clientes'!B:B,0))</f>
        <v>BT</v>
      </c>
      <c r="G885" s="56" t="str">
        <f>INDEX('Infos Clientes'!$J:$J,MATCH('Detalhe Por UC'!C885,'Infos Clientes'!B:B,0))</f>
        <v>trifasico</v>
      </c>
      <c r="H885" s="47" t="str">
        <f t="shared" si="528"/>
        <v>GIROSSOL III</v>
      </c>
      <c r="I885" s="58">
        <f>IFERROR(VLOOKUP(C885,'Infos Clientes'!B:E,4,),"")</f>
        <v>319</v>
      </c>
      <c r="J885" s="151">
        <v>0.26857922422136293</v>
      </c>
      <c r="K885" s="79">
        <f>INDEX('Resumo Operacional'!$A$1:$P$151,MATCH("Desconto percentual Ucs",'Resumo Operacional'!$B$1:$B$151,0),MATCH('Detalhe Por UC'!$R885,'Resumo Operacional'!$A$1:$P$1,0))</f>
        <v>0.26857922422136293</v>
      </c>
      <c r="M885" s="56"/>
      <c r="N885" s="56"/>
      <c r="O885" s="56"/>
      <c r="P885" s="56"/>
      <c r="Q885" s="61"/>
      <c r="R885" s="111">
        <v>45901</v>
      </c>
      <c r="S885" s="152">
        <v>2.1299999999999999E-2</v>
      </c>
      <c r="T885" s="113" t="str">
        <f>IF($H885="GIROSSOL II",AP885/INDEX('Resumo Operacional'!$A$1:$P$1103,17,MATCH('Detalhe Por UC'!$R885,'Resumo Operacional'!$A$1:$P$1,0)),
IF($H885="GIROSSOL II e III",AP885/INDEX('Resumo Operacional'!$A$1:$P$1103,17,MATCH('Detalhe Por UC'!$R885,'Resumo Operacional'!$A$1:$P$1,0)),
""))</f>
        <v/>
      </c>
      <c r="U885" s="113">
        <f>IF($H885="GIROSSOL III",AP885/INDEX('Resumo Operacional'!$A$1:$P$1103,53,MATCH('Detalhe Por UC'!$R885,'Resumo Operacional'!$A$1:$P$1,0)),
IF($H885="GIROSSOL II e III",AP885/INDEX('Resumo Operacional'!$A$1:$P$1103,53,MATCH('Detalhe Por UC'!$R885,'Resumo Operacional'!$A$1:$P$1,0)),
""))</f>
        <v>2.3655913978494623E-2</v>
      </c>
      <c r="X885">
        <v>1.2080514685622967</v>
      </c>
      <c r="Z885" s="18">
        <v>1.0511728671746601</v>
      </c>
      <c r="AB885" s="18">
        <v>263</v>
      </c>
      <c r="AD885" s="143">
        <v>194</v>
      </c>
      <c r="AF885" s="18">
        <v>354</v>
      </c>
      <c r="AG885">
        <v>0</v>
      </c>
      <c r="AH885">
        <v>62.269999999999996</v>
      </c>
      <c r="AL885" s="43"/>
      <c r="AN885" s="71">
        <f t="shared" si="494"/>
        <v>92</v>
      </c>
      <c r="AO885" s="71">
        <f t="shared" si="495"/>
        <v>0</v>
      </c>
      <c r="AP885" s="71">
        <f t="shared" si="496"/>
        <v>286</v>
      </c>
      <c r="AQ885" s="72">
        <f>IF(OR($H885="GIROSSOL II",$H885="GIROSSOL II e III"),INDEX('Resumo Operacional'!$A$1:$P$1103,MATCH("Energia Injetada prevista total Fatura da Usina (TUSD)",'Resumo Operacional'!$B$1:$B$1103,0),MATCH('Detalhe Por UC'!$R885,'Resumo Operacional'!$A$1:$P$1,0))*$S885,INDEX('Resumo Operacional'!$A$1:$P$1103,53,MATCH('Detalhe Por UC'!$R885,'Resumo Operacional'!$A$1:$P$1,0))*$S885)</f>
        <v>257.517</v>
      </c>
      <c r="AR885" s="71">
        <f t="shared" si="497"/>
        <v>28.483000000000004</v>
      </c>
      <c r="AS885" s="73">
        <f t="shared" si="498"/>
        <v>176.05999999999995</v>
      </c>
      <c r="AT885" s="74">
        <f t="shared" si="499"/>
        <v>176.05999999999995</v>
      </c>
      <c r="AU885" s="74">
        <f t="shared" si="500"/>
        <v>0.89429426578702342</v>
      </c>
      <c r="AV885" s="74">
        <f t="shared" si="501"/>
        <v>149.15683675335075</v>
      </c>
      <c r="AW885" s="74">
        <f t="shared" si="502"/>
        <v>0</v>
      </c>
      <c r="AX885" s="74">
        <f t="shared" si="503"/>
        <v>203.92753623188406</v>
      </c>
      <c r="AY885" s="74">
        <f t="shared" si="504"/>
        <v>149.16</v>
      </c>
      <c r="AZ885" s="117">
        <v>149.16</v>
      </c>
      <c r="BA885" s="117">
        <v>149.16</v>
      </c>
      <c r="BB885" s="117">
        <v>149.16</v>
      </c>
      <c r="BC885" s="73" t="str">
        <f t="shared" si="505"/>
        <v/>
      </c>
      <c r="BD885" s="73">
        <f t="shared" si="506"/>
        <v>379.98753623188401</v>
      </c>
      <c r="BE885" s="73">
        <f t="shared" si="507"/>
        <v>325.21683675335066</v>
      </c>
      <c r="BF885" s="77">
        <f t="shared" si="508"/>
        <v>54.77</v>
      </c>
      <c r="BG885" s="77">
        <f t="shared" si="509"/>
        <v>16.431000000000001</v>
      </c>
      <c r="BH885" s="77">
        <f t="shared" si="510"/>
        <v>203.92753623188406</v>
      </c>
      <c r="BI885" s="78">
        <f t="shared" si="511"/>
        <v>0.27</v>
      </c>
      <c r="BJ885" s="79">
        <f t="shared" si="512"/>
        <v>0.1441363065302676</v>
      </c>
      <c r="BK885" s="80">
        <f t="shared" si="513"/>
        <v>325.21999999999991</v>
      </c>
      <c r="BL885" s="80">
        <f t="shared" si="514"/>
        <v>54.767536231884094</v>
      </c>
      <c r="BM885" s="79">
        <f t="shared" si="515"/>
        <v>0.14412982271729749</v>
      </c>
      <c r="BN885" s="81">
        <f t="shared" si="516"/>
        <v>0.7688659793814433</v>
      </c>
      <c r="BO885" s="82">
        <f t="shared" si="517"/>
        <v>149.16</v>
      </c>
      <c r="BP885" s="81">
        <f t="shared" si="518"/>
        <v>0.7688659793814433</v>
      </c>
      <c r="BQ885" s="81">
        <f t="shared" si="519"/>
        <v>0.92574458076907995</v>
      </c>
      <c r="BR885" s="81">
        <f t="shared" si="520"/>
        <v>1.2080514685622967</v>
      </c>
      <c r="BS885" s="82">
        <f t="shared" si="521"/>
        <v>194</v>
      </c>
      <c r="BT885" s="82">
        <f t="shared" si="522"/>
        <v>234.36198490108558</v>
      </c>
      <c r="BU885" s="82">
        <f t="shared" si="523"/>
        <v>203.92753623188406</v>
      </c>
      <c r="BW885" s="82">
        <f>IFERROR(INDEX('Infos Clientes'!$T:$T,MATCH('Detalhe Por UC'!$C885,'Infos Clientes'!B:B,0)),"")</f>
        <v>392</v>
      </c>
      <c r="BX885" s="83">
        <f t="shared" si="524"/>
        <v>0</v>
      </c>
      <c r="BY885" s="84">
        <f t="shared" si="525"/>
        <v>0.23368779819388863</v>
      </c>
      <c r="BZ885" s="85">
        <f>IF(_xlfn.MINIFS('Detalhe Por UC'!R:R,'Detalhe Por UC'!C:C,C885,'Detalhe Por UC'!AD:AD,"&gt;"&amp;0)=0,"",_xlfn.MINIFS('Detalhe Por UC'!R:R,'Detalhe Por UC'!C:C,C885,'Detalhe Por UC'!AD:AD,"&gt;"&amp;0))</f>
        <v>45748</v>
      </c>
      <c r="CA885" s="114">
        <f ca="1">IF(OR(S885&gt;0,AD885&gt;0),IFERROR(
SUMIFS(INDIRECT("'Infos Clientes'!$W"&amp;INDEX('Infos Clientes'!$C:$C,MATCH(C885,'Infos Clientes'!$H:$H,0))&amp;":$CZ"&amp;INDEX('Infos Clientes'!$C:$C,MATCH(C885,'Infos Clientes'!$H:$H,0))),'Infos Clientes'!$W$2:$CZ$2,"&gt;"&amp;$R885-365,'Infos Clientes'!$W$2:$CZ$2,"&lt;="&amp;$R885)/
COUNTIFS(INDIRECT("'Infos Clientes'!$W"&amp;INDEX('Infos Clientes'!$C:$C,MATCH(C885,'Infos Clientes'!$H:$H,0))&amp;":$CZ"&amp;INDEX('Infos Clientes'!$C:$C,MATCH(C885,'Infos Clientes'!$H:$H,0))),"&gt;="&amp;0,'Infos Clientes'!$W$2:$CZ$2,"&gt;"&amp;$R885-365,'Infos Clientes'!$W$2:$CZ$2,"&lt;="&amp;$R885),""),"")</f>
        <v>214.41666666666666</v>
      </c>
      <c r="CB885" s="87">
        <f>VLOOKUP(C885,'Infos Clientes'!B:L,11,0)</f>
        <v>0</v>
      </c>
      <c r="CC885" s="88" t="str">
        <f t="shared" si="526"/>
        <v>A Unidade Consumidora 10/69319-2 economizou R$54,77 na fatura referente à set/2025  consumindo 194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5" s="115">
        <f t="shared" si="527"/>
        <v>-176.05999999999995</v>
      </c>
    </row>
    <row r="886" spans="1:84" ht="16.2" hidden="1" customHeight="1" x14ac:dyDescent="0.3">
      <c r="A886" s="105" t="str">
        <f>INDEX('Infos Clientes'!$D:$D,MATCH('Detalhe Por UC'!C886,'Infos Clientes'!B:B,0))</f>
        <v>IGREJA DO EVANGELHO QUADRANGULAR</v>
      </c>
      <c r="B886" s="106" t="str">
        <f>INDEX('Infos Clientes'!$F:$F,MATCH('Detalhe Por UC'!C886,'Infos Clientes'!B:B,0))</f>
        <v>62.955.505/2690-26</v>
      </c>
      <c r="C886" s="31" t="s">
        <v>201</v>
      </c>
      <c r="D886" t="s">
        <v>351</v>
      </c>
      <c r="E886" s="1" t="s">
        <v>352</v>
      </c>
      <c r="F886" s="56" t="str">
        <f>INDEX('Infos Clientes'!$I:$I,MATCH('Detalhe Por UC'!C886,'Infos Clientes'!B:B,0))</f>
        <v>BT</v>
      </c>
      <c r="G886" s="56" t="str">
        <f>INDEX('Infos Clientes'!$J:$J,MATCH('Detalhe Por UC'!C886,'Infos Clientes'!B:B,0))</f>
        <v>bifasico</v>
      </c>
      <c r="H886" s="47" t="str">
        <f t="shared" si="528"/>
        <v>GIROSSOL III</v>
      </c>
      <c r="I886" s="58">
        <f>IFERROR(VLOOKUP(C886,'Infos Clientes'!B:E,4,),"")</f>
        <v>319</v>
      </c>
      <c r="J886" s="151">
        <v>0.26857922422136293</v>
      </c>
      <c r="K886" s="79">
        <f>INDEX('Resumo Operacional'!$A$1:$P$151,MATCH("Desconto percentual Ucs",'Resumo Operacional'!$B$1:$B$151,0),MATCH('Detalhe Por UC'!$R886,'Resumo Operacional'!$A$1:$P$1,0))</f>
        <v>0.26857922422136293</v>
      </c>
      <c r="M886" s="56"/>
      <c r="N886" s="56"/>
      <c r="O886" s="56"/>
      <c r="P886" s="56"/>
      <c r="Q886" s="61"/>
      <c r="R886" s="111">
        <v>45901</v>
      </c>
      <c r="S886" s="152">
        <v>2.1100000000000001E-2</v>
      </c>
      <c r="T886" s="113" t="str">
        <f>IF($H886="GIROSSOL II",AP886/INDEX('Resumo Operacional'!$A$1:$P$1103,17,MATCH('Detalhe Por UC'!$R886,'Resumo Operacional'!$A$1:$P$1,0)),
IF($H886="GIROSSOL II e III",AP886/INDEX('Resumo Operacional'!$A$1:$P$1103,17,MATCH('Detalhe Por UC'!$R886,'Resumo Operacional'!$A$1:$P$1,0)),
""))</f>
        <v/>
      </c>
      <c r="U886" s="113">
        <f>IF($H886="GIROSSOL III",AP886/INDEX('Resumo Operacional'!$A$1:$P$1103,53,MATCH('Detalhe Por UC'!$R886,'Resumo Operacional'!$A$1:$P$1,0)),
IF($H886="GIROSSOL II e III",AP886/INDEX('Resumo Operacional'!$A$1:$P$1103,53,MATCH('Detalhe Por UC'!$R886,'Resumo Operacional'!$A$1:$P$1,0)),
""))</f>
        <v>2.5971877584780811E-2</v>
      </c>
      <c r="X886">
        <v>1.2080794534412955</v>
      </c>
      <c r="Z886" s="18">
        <v>1.0512197159565582</v>
      </c>
      <c r="AB886" s="18">
        <v>208</v>
      </c>
      <c r="AD886" s="143">
        <v>189</v>
      </c>
      <c r="AF886" s="18">
        <v>382</v>
      </c>
      <c r="AG886">
        <v>0</v>
      </c>
      <c r="AH886">
        <v>50.510000000000005</v>
      </c>
      <c r="AL886" s="43"/>
      <c r="AN886" s="71">
        <f t="shared" si="494"/>
        <v>125</v>
      </c>
      <c r="AO886" s="71">
        <f t="shared" si="495"/>
        <v>0</v>
      </c>
      <c r="AP886" s="71">
        <f t="shared" si="496"/>
        <v>314</v>
      </c>
      <c r="AQ886" s="72">
        <f>IF(OR($H886="GIROSSOL II",$H886="GIROSSOL II e III"),INDEX('Resumo Operacional'!$A$1:$P$1103,MATCH("Energia Injetada prevista total Fatura da Usina (TUSD)",'Resumo Operacional'!$B$1:$B$1103,0),MATCH('Detalhe Por UC'!$R886,'Resumo Operacional'!$A$1:$P$1,0))*$S886,INDEX('Resumo Operacional'!$A$1:$P$1103,53,MATCH('Detalhe Por UC'!$R886,'Resumo Operacional'!$A$1:$P$1,0))*$S886)</f>
        <v>255.09900000000002</v>
      </c>
      <c r="AR886" s="71">
        <f t="shared" si="497"/>
        <v>58.900999999999982</v>
      </c>
      <c r="AS886" s="73">
        <f t="shared" si="498"/>
        <v>103.10999999999997</v>
      </c>
      <c r="AT886" s="74">
        <f t="shared" si="499"/>
        <v>103.10999999999997</v>
      </c>
      <c r="AU886" s="74">
        <f t="shared" si="500"/>
        <v>0.8943599784718208</v>
      </c>
      <c r="AV886" s="74">
        <f t="shared" si="501"/>
        <v>145.31906469000268</v>
      </c>
      <c r="AW886" s="74">
        <f t="shared" si="502"/>
        <v>0</v>
      </c>
      <c r="AX886" s="74">
        <f t="shared" si="503"/>
        <v>198.68052631578951</v>
      </c>
      <c r="AY886" s="74">
        <f t="shared" si="504"/>
        <v>145.32</v>
      </c>
      <c r="AZ886" s="117">
        <v>145.32</v>
      </c>
      <c r="BA886" s="117">
        <v>145.32</v>
      </c>
      <c r="BB886" s="117">
        <v>198.68052631578951</v>
      </c>
      <c r="BC886" s="73">
        <f t="shared" si="505"/>
        <v>53.360526315789514</v>
      </c>
      <c r="BD886" s="73">
        <f t="shared" si="506"/>
        <v>301.79052631578946</v>
      </c>
      <c r="BE886" s="73">
        <f t="shared" si="507"/>
        <v>248.42906469000263</v>
      </c>
      <c r="BF886" s="77">
        <f t="shared" si="508"/>
        <v>53.36</v>
      </c>
      <c r="BG886" s="77">
        <f t="shared" si="509"/>
        <v>16.007999999999999</v>
      </c>
      <c r="BH886" s="77">
        <f t="shared" si="510"/>
        <v>198.68052631578948</v>
      </c>
      <c r="BI886" s="78">
        <f t="shared" si="511"/>
        <v>0.27</v>
      </c>
      <c r="BJ886" s="79">
        <f t="shared" si="512"/>
        <v>0.17681138189263379</v>
      </c>
      <c r="BK886" s="80">
        <f t="shared" si="513"/>
        <v>248.42999999999995</v>
      </c>
      <c r="BL886" s="80">
        <f t="shared" si="514"/>
        <v>53.360526315789514</v>
      </c>
      <c r="BM886" s="79">
        <f t="shared" si="515"/>
        <v>0.17681312586980877</v>
      </c>
      <c r="BN886" s="81">
        <f t="shared" si="516"/>
        <v>0.76888888888888884</v>
      </c>
      <c r="BO886" s="82">
        <f t="shared" si="517"/>
        <v>145.32</v>
      </c>
      <c r="BP886" s="81">
        <f t="shared" si="518"/>
        <v>0.76888888888888884</v>
      </c>
      <c r="BQ886" s="81">
        <f t="shared" si="519"/>
        <v>0.9257486263736262</v>
      </c>
      <c r="BR886" s="81">
        <f t="shared" si="520"/>
        <v>1.2080794534412955</v>
      </c>
      <c r="BS886" s="82">
        <f t="shared" si="521"/>
        <v>189</v>
      </c>
      <c r="BT886" s="82">
        <f t="shared" si="522"/>
        <v>228.32701670040484</v>
      </c>
      <c r="BU886" s="82">
        <f t="shared" si="523"/>
        <v>198.68052631578951</v>
      </c>
      <c r="BW886" s="82">
        <f>IFERROR(INDEX('Infos Clientes'!$T:$T,MATCH('Detalhe Por UC'!$C886,'Infos Clientes'!B:B,0)),"")</f>
        <v>293</v>
      </c>
      <c r="BX886" s="83">
        <f t="shared" si="524"/>
        <v>0</v>
      </c>
      <c r="BY886" s="84">
        <f t="shared" si="525"/>
        <v>0.23370220084732918</v>
      </c>
      <c r="BZ886" s="85">
        <f>IF(_xlfn.MINIFS('Detalhe Por UC'!R:R,'Detalhe Por UC'!C:C,C886,'Detalhe Por UC'!AD:AD,"&gt;"&amp;0)=0,"",_xlfn.MINIFS('Detalhe Por UC'!R:R,'Detalhe Por UC'!C:C,C886,'Detalhe Por UC'!AD:AD,"&gt;"&amp;0))</f>
        <v>45658</v>
      </c>
      <c r="CA886" s="114">
        <f ca="1">IF(OR(S886&gt;0,AD886&gt;0),IFERROR(
SUMIFS(INDIRECT("'Infos Clientes'!$W"&amp;INDEX('Infos Clientes'!$C:$C,MATCH(C886,'Infos Clientes'!$H:$H,0))&amp;":$CZ"&amp;INDEX('Infos Clientes'!$C:$C,MATCH(C886,'Infos Clientes'!$H:$H,0))),'Infos Clientes'!$W$2:$CZ$2,"&gt;"&amp;$R886-365,'Infos Clientes'!$W$2:$CZ$2,"&lt;="&amp;$R886)/
COUNTIFS(INDIRECT("'Infos Clientes'!$W"&amp;INDEX('Infos Clientes'!$C:$C,MATCH(C886,'Infos Clientes'!$H:$H,0))&amp;":$CZ"&amp;INDEX('Infos Clientes'!$C:$C,MATCH(C886,'Infos Clientes'!$H:$H,0))),"&gt;="&amp;0,'Infos Clientes'!$W$2:$CZ$2,"&gt;"&amp;$R886-365,'Infos Clientes'!$W$2:$CZ$2,"&lt;="&amp;$R886),""),"")</f>
        <v>276.91666666666669</v>
      </c>
      <c r="CB886" s="87">
        <f>VLOOKUP(C886,'Infos Clientes'!B:L,11,0)</f>
        <v>0</v>
      </c>
      <c r="CC886" s="88" t="str">
        <f t="shared" si="526"/>
        <v>A Unidade Consumidora 10/41548-9 economizou R$53,36 na fatura referente à set/2025  consumindo 189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6" s="115">
        <f t="shared" si="527"/>
        <v>-103.10999999999997</v>
      </c>
    </row>
    <row r="887" spans="1:84" ht="16.2" hidden="1" customHeight="1" x14ac:dyDescent="0.3">
      <c r="A887" s="105" t="str">
        <f>INDEX('Infos Clientes'!$D:$D,MATCH('Detalhe Por UC'!C887,'Infos Clientes'!B:B,0))</f>
        <v>IGREJA DO EVANGELHO QUADRANGULAR</v>
      </c>
      <c r="B887" s="106" t="str">
        <f>INDEX('Infos Clientes'!$F:$F,MATCH('Detalhe Por UC'!C887,'Infos Clientes'!B:B,0))</f>
        <v>62.955.505/1975-21</v>
      </c>
      <c r="C887" s="31" t="s">
        <v>154</v>
      </c>
      <c r="D887" t="s">
        <v>351</v>
      </c>
      <c r="E887" s="1" t="s">
        <v>352</v>
      </c>
      <c r="F887" s="56" t="str">
        <f>INDEX('Infos Clientes'!$I:$I,MATCH('Detalhe Por UC'!C887,'Infos Clientes'!B:B,0))</f>
        <v>BT</v>
      </c>
      <c r="G887" s="56" t="str">
        <f>INDEX('Infos Clientes'!$J:$J,MATCH('Detalhe Por UC'!C887,'Infos Clientes'!B:B,0))</f>
        <v>bifasico</v>
      </c>
      <c r="H887" s="47" t="str">
        <f t="shared" si="528"/>
        <v>GIROSSOL III</v>
      </c>
      <c r="I887" s="58">
        <f>IFERROR(VLOOKUP(C887,'Infos Clientes'!B:E,4,),"")</f>
        <v>357</v>
      </c>
      <c r="J887" s="151">
        <v>0.26857922422136293</v>
      </c>
      <c r="K887" s="79">
        <f>INDEX('Resumo Operacional'!$A$1:$P$151,MATCH("Desconto percentual Ucs",'Resumo Operacional'!$B$1:$B$151,0),MATCH('Detalhe Por UC'!$R887,'Resumo Operacional'!$A$1:$P$1,0))</f>
        <v>0.26857922422136293</v>
      </c>
      <c r="M887" s="56"/>
      <c r="N887" s="56"/>
      <c r="O887" s="56"/>
      <c r="P887" s="56"/>
      <c r="Q887" s="61"/>
      <c r="R887" s="111">
        <v>45901</v>
      </c>
      <c r="S887" s="152">
        <v>2.06E-2</v>
      </c>
      <c r="T887" s="113" t="str">
        <f>IF($H887="GIROSSOL II",AP887/INDEX('Resumo Operacional'!$A$1:$P$1103,17,MATCH('Detalhe Por UC'!$R887,'Resumo Operacional'!$A$1:$P$1,0)),
IF($H887="GIROSSOL II e III",AP887/INDEX('Resumo Operacional'!$A$1:$P$1103,17,MATCH('Detalhe Por UC'!$R887,'Resumo Operacional'!$A$1:$P$1,0)),
""))</f>
        <v/>
      </c>
      <c r="U887" s="113">
        <f>IF($H887="GIROSSOL III",AP887/INDEX('Resumo Operacional'!$A$1:$P$1103,53,MATCH('Detalhe Por UC'!$R887,'Resumo Operacional'!$A$1:$P$1,0)),
IF($H887="GIROSSOL II e III",AP887/INDEX('Resumo Operacional'!$A$1:$P$1103,53,MATCH('Detalhe Por UC'!$R887,'Resumo Operacional'!$A$1:$P$1,0)),
""))</f>
        <v>2.3738626964433417E-2</v>
      </c>
      <c r="X887">
        <v>1.2075095785440613</v>
      </c>
      <c r="Z887" s="18">
        <v>1.0506349206349206</v>
      </c>
      <c r="AB887" s="18">
        <v>261</v>
      </c>
      <c r="AD887" s="143">
        <v>252</v>
      </c>
      <c r="AF887" s="18">
        <v>272</v>
      </c>
      <c r="AG887">
        <v>0</v>
      </c>
      <c r="AH887">
        <v>0</v>
      </c>
      <c r="AL887" s="43"/>
      <c r="AN887" s="71">
        <f t="shared" si="494"/>
        <v>35</v>
      </c>
      <c r="AO887" s="71">
        <f t="shared" si="495"/>
        <v>0</v>
      </c>
      <c r="AP887" s="71">
        <f t="shared" si="496"/>
        <v>287</v>
      </c>
      <c r="AQ887" s="72">
        <f>IF(OR($H887="GIROSSOL II",$H887="GIROSSOL II e III"),INDEX('Resumo Operacional'!$A$1:$P$1103,MATCH("Energia Injetada prevista total Fatura da Usina (TUSD)",'Resumo Operacional'!$B$1:$B$1103,0),MATCH('Detalhe Por UC'!$R887,'Resumo Operacional'!$A$1:$P$1,0))*$S887,INDEX('Resumo Operacional'!$A$1:$P$1103,53,MATCH('Detalhe Por UC'!$R887,'Resumo Operacional'!$A$1:$P$1,0))*$S887)</f>
        <v>249.054</v>
      </c>
      <c r="AR887" s="71">
        <f t="shared" si="497"/>
        <v>37.945999999999998</v>
      </c>
      <c r="AS887" s="73">
        <f t="shared" si="498"/>
        <v>50.399999999999977</v>
      </c>
      <c r="AT887" s="74">
        <f t="shared" si="499"/>
        <v>50.399999999999977</v>
      </c>
      <c r="AU887" s="74">
        <f t="shared" si="500"/>
        <v>0.89376026272577991</v>
      </c>
      <c r="AV887" s="74">
        <f t="shared" si="501"/>
        <v>193.65096459515192</v>
      </c>
      <c r="AW887" s="74">
        <f t="shared" si="502"/>
        <v>0</v>
      </c>
      <c r="AX887" s="74">
        <f t="shared" si="503"/>
        <v>264.76</v>
      </c>
      <c r="AY887" s="74">
        <f t="shared" si="504"/>
        <v>193.65</v>
      </c>
      <c r="AZ887" s="117">
        <v>193.65</v>
      </c>
      <c r="BA887" s="117">
        <v>193.65</v>
      </c>
      <c r="BB887" s="117">
        <v>193.65</v>
      </c>
      <c r="BC887" s="73" t="str">
        <f t="shared" si="505"/>
        <v/>
      </c>
      <c r="BD887" s="73">
        <f t="shared" si="506"/>
        <v>315.15999999999997</v>
      </c>
      <c r="BE887" s="73">
        <f t="shared" si="507"/>
        <v>244.0509645951519</v>
      </c>
      <c r="BF887" s="77">
        <f t="shared" si="508"/>
        <v>71.11</v>
      </c>
      <c r="BG887" s="77">
        <f t="shared" si="509"/>
        <v>21.332999999999998</v>
      </c>
      <c r="BH887" s="77">
        <f t="shared" si="510"/>
        <v>264.76</v>
      </c>
      <c r="BI887" s="78">
        <f t="shared" si="511"/>
        <v>0.27</v>
      </c>
      <c r="BJ887" s="79">
        <f t="shared" si="512"/>
        <v>0.22563142530778019</v>
      </c>
      <c r="BK887" s="80">
        <f t="shared" si="513"/>
        <v>244.04999999999998</v>
      </c>
      <c r="BL887" s="80">
        <f t="shared" si="514"/>
        <v>71.109999999999985</v>
      </c>
      <c r="BM887" s="79">
        <f t="shared" si="515"/>
        <v>0.22563142530778016</v>
      </c>
      <c r="BN887" s="81">
        <f t="shared" si="516"/>
        <v>0.768452380952381</v>
      </c>
      <c r="BO887" s="82">
        <f t="shared" si="517"/>
        <v>193.65</v>
      </c>
      <c r="BP887" s="81">
        <f t="shared" si="518"/>
        <v>0.768452380952381</v>
      </c>
      <c r="BQ887" s="81">
        <f t="shared" si="519"/>
        <v>0.92532703886152168</v>
      </c>
      <c r="BR887" s="81">
        <f t="shared" si="520"/>
        <v>1.2075095785440613</v>
      </c>
      <c r="BS887" s="82">
        <f t="shared" si="521"/>
        <v>252</v>
      </c>
      <c r="BT887" s="82">
        <f t="shared" si="522"/>
        <v>304.29241379310344</v>
      </c>
      <c r="BU887" s="82">
        <f t="shared" si="523"/>
        <v>264.76</v>
      </c>
      <c r="BW887" s="82">
        <f>IFERROR(INDEX('Infos Clientes'!$T:$T,MATCH('Detalhe Por UC'!$C887,'Infos Clientes'!B:B,0)),"")</f>
        <v>278.36363636363637</v>
      </c>
      <c r="BX887" s="83">
        <f t="shared" si="524"/>
        <v>0</v>
      </c>
      <c r="BY887" s="84">
        <f t="shared" si="525"/>
        <v>0.23368969049734367</v>
      </c>
      <c r="BZ887" s="85">
        <f>IF(_xlfn.MINIFS('Detalhe Por UC'!R:R,'Detalhe Por UC'!C:C,C887,'Detalhe Por UC'!AD:AD,"&gt;"&amp;0)=0,"",_xlfn.MINIFS('Detalhe Por UC'!R:R,'Detalhe Por UC'!C:C,C887,'Detalhe Por UC'!AD:AD,"&gt;"&amp;0))</f>
        <v>45658</v>
      </c>
      <c r="CA887" s="114">
        <f ca="1">IF(OR(S887&gt;0,AD887&gt;0),IFERROR(
SUMIFS(INDIRECT("'Infos Clientes'!$W"&amp;INDEX('Infos Clientes'!$C:$C,MATCH(C887,'Infos Clientes'!$H:$H,0))&amp;":$CZ"&amp;INDEX('Infos Clientes'!$C:$C,MATCH(C887,'Infos Clientes'!$H:$H,0))),'Infos Clientes'!$W$2:$CZ$2,"&gt;"&amp;$R887-365,'Infos Clientes'!$W$2:$CZ$2,"&lt;="&amp;$R887)/
COUNTIFS(INDIRECT("'Infos Clientes'!$W"&amp;INDEX('Infos Clientes'!$C:$C,MATCH(C887,'Infos Clientes'!$H:$H,0))&amp;":$CZ"&amp;INDEX('Infos Clientes'!$C:$C,MATCH(C887,'Infos Clientes'!$H:$H,0))),"&gt;="&amp;0,'Infos Clientes'!$W$2:$CZ$2,"&gt;"&amp;$R887-365,'Infos Clientes'!$W$2:$CZ$2,"&lt;="&amp;$R887),""),"")</f>
        <v>285.08333333333331</v>
      </c>
      <c r="CB887" s="87">
        <f>VLOOKUP(C887,'Infos Clientes'!B:L,11,0)</f>
        <v>0</v>
      </c>
      <c r="CC887" s="88" t="str">
        <f t="shared" si="526"/>
        <v>A Unidade Consumidora 10/13786-9 economizou R$71,11 na fatura referente à set/2025  consumindo 252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7" s="115">
        <f t="shared" si="527"/>
        <v>-50.399999999999977</v>
      </c>
    </row>
    <row r="888" spans="1:84" ht="16.2" hidden="1" customHeight="1" x14ac:dyDescent="0.3">
      <c r="A888" s="105" t="str">
        <f>INDEX('Infos Clientes'!$D:$D,MATCH('Detalhe Por UC'!C888,'Infos Clientes'!B:B,0))</f>
        <v>IGREJA DO EVANGELHO QUADRANGULAR</v>
      </c>
      <c r="B888" s="106" t="str">
        <f>INDEX('Infos Clientes'!$F:$F,MATCH('Detalhe Por UC'!C888,'Infos Clientes'!B:B,0))</f>
        <v>62.955.505/0165-94</v>
      </c>
      <c r="C888" s="31" t="s">
        <v>169</v>
      </c>
      <c r="D888" t="s">
        <v>351</v>
      </c>
      <c r="E888" s="1" t="s">
        <v>352</v>
      </c>
      <c r="F888" s="56" t="str">
        <f>INDEX('Infos Clientes'!$I:$I,MATCH('Detalhe Por UC'!C888,'Infos Clientes'!B:B,0))</f>
        <v>BT</v>
      </c>
      <c r="G888" s="56" t="str">
        <f>INDEX('Infos Clientes'!$J:$J,MATCH('Detalhe Por UC'!C888,'Infos Clientes'!B:B,0))</f>
        <v>bifasico</v>
      </c>
      <c r="H888" s="47" t="str">
        <f t="shared" si="528"/>
        <v>GIROSSOL III</v>
      </c>
      <c r="I888" s="58">
        <f>IFERROR(VLOOKUP(C888,'Infos Clientes'!B:E,4,),"")</f>
        <v>302</v>
      </c>
      <c r="J888" s="151">
        <v>0.26857922422136293</v>
      </c>
      <c r="K888" s="79">
        <f>INDEX('Resumo Operacional'!$A$1:$P$151,MATCH("Desconto percentual Ucs",'Resumo Operacional'!$B$1:$B$151,0),MATCH('Detalhe Por UC'!$R888,'Resumo Operacional'!$A$1:$P$1,0))</f>
        <v>0.26857922422136293</v>
      </c>
      <c r="M888" s="56"/>
      <c r="N888" s="56"/>
      <c r="O888" s="56"/>
      <c r="P888" s="56"/>
      <c r="Q888" s="61"/>
      <c r="R888" s="111">
        <v>45901</v>
      </c>
      <c r="S888" s="152">
        <v>2.0500000000000001E-2</v>
      </c>
      <c r="T888" s="113" t="str">
        <f>IF($H888="GIROSSOL II",AP888/INDEX('Resumo Operacional'!$A$1:$P$1103,17,MATCH('Detalhe Por UC'!$R888,'Resumo Operacional'!$A$1:$P$1,0)),
IF($H888="GIROSSOL II e III",AP888/INDEX('Resumo Operacional'!$A$1:$P$1103,17,MATCH('Detalhe Por UC'!$R888,'Resumo Operacional'!$A$1:$P$1,0)),
""))</f>
        <v/>
      </c>
      <c r="U888" s="113">
        <f>IF($H888="GIROSSOL III",AP888/INDEX('Resumo Operacional'!$A$1:$P$1103,53,MATCH('Detalhe Por UC'!$R888,'Resumo Operacional'!$A$1:$P$1,0)),
IF($H888="GIROSSOL II e III",AP888/INDEX('Resumo Operacional'!$A$1:$P$1103,53,MATCH('Detalhe Por UC'!$R888,'Resumo Operacional'!$A$1:$P$1,0)),
""))</f>
        <v>1.0421836228287842E-2</v>
      </c>
      <c r="X888">
        <v>1.208287356321839</v>
      </c>
      <c r="Z888" s="18">
        <v>1.0513498349834982</v>
      </c>
      <c r="AB888" s="18">
        <v>232</v>
      </c>
      <c r="AD888" s="143">
        <v>202</v>
      </c>
      <c r="AF888" s="18">
        <v>0</v>
      </c>
      <c r="AG888">
        <v>0</v>
      </c>
      <c r="AH888">
        <v>43.17</v>
      </c>
      <c r="AL888" s="43"/>
      <c r="AN888" s="71">
        <f t="shared" si="494"/>
        <v>-76</v>
      </c>
      <c r="AO888" s="71">
        <f t="shared" si="495"/>
        <v>0</v>
      </c>
      <c r="AP888" s="71">
        <f t="shared" si="496"/>
        <v>126</v>
      </c>
      <c r="AQ888" s="72">
        <f>IF(OR($H888="GIROSSOL II",$H888="GIROSSOL II e III"),INDEX('Resumo Operacional'!$A$1:$P$1103,MATCH("Energia Injetada prevista total Fatura da Usina (TUSD)",'Resumo Operacional'!$B$1:$B$1103,0),MATCH('Detalhe Por UC'!$R888,'Resumo Operacional'!$A$1:$P$1,0))*$S888,INDEX('Resumo Operacional'!$A$1:$P$1103,53,MATCH('Detalhe Por UC'!$R888,'Resumo Operacional'!$A$1:$P$1,0))*$S888)</f>
        <v>247.845</v>
      </c>
      <c r="AR888" s="71">
        <f t="shared" si="497"/>
        <v>-121.845</v>
      </c>
      <c r="AS888" s="73">
        <f t="shared" si="498"/>
        <v>111.11999999999999</v>
      </c>
      <c r="AT888" s="74">
        <f t="shared" si="499"/>
        <v>111.11999999999999</v>
      </c>
      <c r="AU888" s="74">
        <f t="shared" si="500"/>
        <v>0.89441231364515739</v>
      </c>
      <c r="AV888" s="74">
        <f t="shared" si="501"/>
        <v>155.33378060751122</v>
      </c>
      <c r="AW888" s="74">
        <f t="shared" si="502"/>
        <v>0</v>
      </c>
      <c r="AX888" s="74">
        <f t="shared" si="503"/>
        <v>212.37266666666665</v>
      </c>
      <c r="AY888" s="74">
        <f t="shared" si="504"/>
        <v>155.33000000000001</v>
      </c>
      <c r="AZ888" s="117">
        <v>155.33000000000001</v>
      </c>
      <c r="BA888" s="117">
        <v>155.33000000000001</v>
      </c>
      <c r="BB888" s="117">
        <v>155.33000000000001</v>
      </c>
      <c r="BC888" s="73" t="str">
        <f t="shared" si="505"/>
        <v/>
      </c>
      <c r="BD888" s="73">
        <f t="shared" si="506"/>
        <v>323.49266666666665</v>
      </c>
      <c r="BE888" s="73">
        <f t="shared" si="507"/>
        <v>266.45378060751119</v>
      </c>
      <c r="BF888" s="77">
        <f t="shared" si="508"/>
        <v>57.04</v>
      </c>
      <c r="BG888" s="77">
        <f t="shared" si="509"/>
        <v>17.111999999999998</v>
      </c>
      <c r="BH888" s="77">
        <f t="shared" si="510"/>
        <v>212.37266666666665</v>
      </c>
      <c r="BI888" s="78">
        <f t="shared" si="511"/>
        <v>0.27</v>
      </c>
      <c r="BJ888" s="79">
        <f t="shared" si="512"/>
        <v>0.17632548084552149</v>
      </c>
      <c r="BK888" s="80">
        <f t="shared" si="513"/>
        <v>266.45</v>
      </c>
      <c r="BL888" s="80">
        <f t="shared" si="514"/>
        <v>57.042666666666662</v>
      </c>
      <c r="BM888" s="79">
        <f t="shared" si="515"/>
        <v>0.17633372420600982</v>
      </c>
      <c r="BN888" s="81">
        <f t="shared" si="516"/>
        <v>0.76896039603960398</v>
      </c>
      <c r="BO888" s="82">
        <f t="shared" si="517"/>
        <v>155.33000000000001</v>
      </c>
      <c r="BP888" s="81">
        <f t="shared" si="518"/>
        <v>0.76896039603960398</v>
      </c>
      <c r="BQ888" s="81">
        <f t="shared" si="519"/>
        <v>0.9258979173779448</v>
      </c>
      <c r="BR888" s="81">
        <f t="shared" si="520"/>
        <v>1.208287356321839</v>
      </c>
      <c r="BS888" s="82">
        <f t="shared" si="521"/>
        <v>202</v>
      </c>
      <c r="BT888" s="82">
        <f t="shared" si="522"/>
        <v>244.07404597701148</v>
      </c>
      <c r="BU888" s="82">
        <f t="shared" si="523"/>
        <v>212.37266666666665</v>
      </c>
      <c r="BW888" s="82">
        <f>IFERROR(INDEX('Infos Clientes'!$T:$T,MATCH('Detalhe Por UC'!$C888,'Infos Clientes'!B:B,0)),"")</f>
        <v>287.36363636363637</v>
      </c>
      <c r="BX888" s="83">
        <f t="shared" si="524"/>
        <v>0</v>
      </c>
      <c r="BY888" s="84">
        <f t="shared" si="525"/>
        <v>0.23371049731375082</v>
      </c>
      <c r="BZ888" s="85">
        <f>IF(_xlfn.MINIFS('Detalhe Por UC'!R:R,'Detalhe Por UC'!C:C,C888,'Detalhe Por UC'!AD:AD,"&gt;"&amp;0)=0,"",_xlfn.MINIFS('Detalhe Por UC'!R:R,'Detalhe Por UC'!C:C,C888,'Detalhe Por UC'!AD:AD,"&gt;"&amp;0))</f>
        <v>45658</v>
      </c>
      <c r="CA888" s="114">
        <f ca="1">IF(OR(S888&gt;0,AD888&gt;0),IFERROR(
SUMIFS(INDIRECT("'Infos Clientes'!$W"&amp;INDEX('Infos Clientes'!$C:$C,MATCH(C888,'Infos Clientes'!$H:$H,0))&amp;":$CZ"&amp;INDEX('Infos Clientes'!$C:$C,MATCH(C888,'Infos Clientes'!$H:$H,0))),'Infos Clientes'!$W$2:$CZ$2,"&gt;"&amp;$R888-365,'Infos Clientes'!$W$2:$CZ$2,"&lt;="&amp;$R888)/
COUNTIFS(INDIRECT("'Infos Clientes'!$W"&amp;INDEX('Infos Clientes'!$C:$C,MATCH(C888,'Infos Clientes'!$H:$H,0))&amp;":$CZ"&amp;INDEX('Infos Clientes'!$C:$C,MATCH(C888,'Infos Clientes'!$H:$H,0))),"&gt;="&amp;0,'Infos Clientes'!$W$2:$CZ$2,"&gt;"&amp;$R888-365,'Infos Clientes'!$W$2:$CZ$2,"&lt;="&amp;$R888),""),"")</f>
        <v>277.91666666666669</v>
      </c>
      <c r="CB888" s="87">
        <f>VLOOKUP(C888,'Infos Clientes'!B:L,11,0)</f>
        <v>0</v>
      </c>
      <c r="CC888" s="88" t="str">
        <f t="shared" si="526"/>
        <v>A Unidade Consumidora 10/239312-2 economizou R$57,04 na fatura referente à set/2025  consumindo 202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8" s="115">
        <f t="shared" si="527"/>
        <v>-111.11999999999999</v>
      </c>
    </row>
    <row r="889" spans="1:84" ht="16.2" hidden="1" customHeight="1" x14ac:dyDescent="0.3">
      <c r="A889" s="105" t="str">
        <f>INDEX('Infos Clientes'!$D:$D,MATCH('Detalhe Por UC'!C889,'Infos Clientes'!B:B,0))</f>
        <v>IGREJA DO EVANGELHO QUADRANGULAR</v>
      </c>
      <c r="B889" s="106" t="str">
        <f>INDEX('Infos Clientes'!$F:$F,MATCH('Detalhe Por UC'!C889,'Infos Clientes'!B:B,0))</f>
        <v>62.955.505/4051-40</v>
      </c>
      <c r="C889" s="31" t="s">
        <v>152</v>
      </c>
      <c r="D889" t="s">
        <v>351</v>
      </c>
      <c r="E889" s="1" t="s">
        <v>352</v>
      </c>
      <c r="F889" s="56" t="str">
        <f>INDEX('Infos Clientes'!$I:$I,MATCH('Detalhe Por UC'!C889,'Infos Clientes'!B:B,0))</f>
        <v>BT</v>
      </c>
      <c r="G889" s="56" t="str">
        <f>INDEX('Infos Clientes'!$J:$J,MATCH('Detalhe Por UC'!C889,'Infos Clientes'!B:B,0))</f>
        <v>bifasico</v>
      </c>
      <c r="H889" s="47" t="str">
        <f t="shared" si="528"/>
        <v>GIROSSOL III</v>
      </c>
      <c r="I889" s="58">
        <f>IFERROR(VLOOKUP(C889,'Infos Clientes'!B:E,4,),"")</f>
        <v>351</v>
      </c>
      <c r="J889" s="151">
        <v>0.26857922422136293</v>
      </c>
      <c r="K889" s="79">
        <f>INDEX('Resumo Operacional'!$A$1:$P$151,MATCH("Desconto percentual Ucs",'Resumo Operacional'!$B$1:$B$151,0),MATCH('Detalhe Por UC'!$R889,'Resumo Operacional'!$A$1:$P$1,0))</f>
        <v>0.26857922422136293</v>
      </c>
      <c r="M889" s="56"/>
      <c r="N889" s="56"/>
      <c r="O889" s="56"/>
      <c r="P889" s="56"/>
      <c r="Q889" s="61"/>
      <c r="R889" s="111">
        <v>45901</v>
      </c>
      <c r="S889" s="152">
        <v>2.01E-2</v>
      </c>
      <c r="T889" s="113" t="str">
        <f>IF($H889="GIROSSOL II",AP889/INDEX('Resumo Operacional'!$A$1:$P$1103,17,MATCH('Detalhe Por UC'!$R889,'Resumo Operacional'!$A$1:$P$1,0)),
IF($H889="GIROSSOL II e III",AP889/INDEX('Resumo Operacional'!$A$1:$P$1103,17,MATCH('Detalhe Por UC'!$R889,'Resumo Operacional'!$A$1:$P$1,0)),
""))</f>
        <v/>
      </c>
      <c r="U889" s="113">
        <f>IF($H889="GIROSSOL III",AP889/INDEX('Resumo Operacional'!$A$1:$P$1103,53,MATCH('Detalhe Por UC'!$R889,'Resumo Operacional'!$A$1:$P$1,0)),
IF($H889="GIROSSOL II e III",AP889/INDEX('Resumo Operacional'!$A$1:$P$1103,53,MATCH('Detalhe Por UC'!$R889,'Resumo Operacional'!$A$1:$P$1,0)),
""))</f>
        <v>2.1339950372208438E-2</v>
      </c>
      <c r="X889">
        <v>1.2086363636363637</v>
      </c>
      <c r="Z889" s="18">
        <v>1.0517647058823532</v>
      </c>
      <c r="AB889" s="18">
        <v>264</v>
      </c>
      <c r="AD889" s="143">
        <v>255</v>
      </c>
      <c r="AF889" s="18">
        <v>293</v>
      </c>
      <c r="AG889">
        <v>0</v>
      </c>
      <c r="AH889">
        <v>26.64</v>
      </c>
      <c r="AL889" s="43"/>
      <c r="AN889" s="71">
        <f t="shared" si="494"/>
        <v>3</v>
      </c>
      <c r="AO889" s="71">
        <f t="shared" si="495"/>
        <v>0</v>
      </c>
      <c r="AP889" s="71">
        <f t="shared" si="496"/>
        <v>258</v>
      </c>
      <c r="AQ889" s="72">
        <f>IF(OR($H889="GIROSSOL II",$H889="GIROSSOL II e III"),INDEX('Resumo Operacional'!$A$1:$P$1103,MATCH("Energia Injetada prevista total Fatura da Usina (TUSD)",'Resumo Operacional'!$B$1:$B$1103,0),MATCH('Detalhe Por UC'!$R889,'Resumo Operacional'!$A$1:$P$1,0))*$S889,INDEX('Resumo Operacional'!$A$1:$P$1103,53,MATCH('Detalhe Por UC'!$R889,'Resumo Operacional'!$A$1:$P$1,0))*$S889)</f>
        <v>243.00899999999999</v>
      </c>
      <c r="AR889" s="71">
        <f t="shared" si="497"/>
        <v>14.991000000000014</v>
      </c>
      <c r="AS889" s="73">
        <f t="shared" si="498"/>
        <v>77.52</v>
      </c>
      <c r="AT889" s="74">
        <f t="shared" si="499"/>
        <v>77.52</v>
      </c>
      <c r="AU889" s="74">
        <f t="shared" si="500"/>
        <v>0.89489304812834258</v>
      </c>
      <c r="AV889" s="74">
        <f t="shared" si="501"/>
        <v>196.16705206383051</v>
      </c>
      <c r="AW889" s="74">
        <f t="shared" si="502"/>
        <v>0</v>
      </c>
      <c r="AX889" s="74">
        <f t="shared" si="503"/>
        <v>268.20000000000005</v>
      </c>
      <c r="AY889" s="74">
        <f t="shared" si="504"/>
        <v>196.17</v>
      </c>
      <c r="AZ889" s="117">
        <v>196.17</v>
      </c>
      <c r="BA889" s="117">
        <v>196.17</v>
      </c>
      <c r="BC889" s="73" t="str">
        <f t="shared" si="505"/>
        <v/>
      </c>
      <c r="BD889" s="73">
        <f t="shared" si="506"/>
        <v>345.72</v>
      </c>
      <c r="BE889" s="73">
        <f t="shared" si="507"/>
        <v>273.68705206383049</v>
      </c>
      <c r="BF889" s="77">
        <f t="shared" si="508"/>
        <v>72.03</v>
      </c>
      <c r="BG889" s="77">
        <f t="shared" si="509"/>
        <v>21.608999999999998</v>
      </c>
      <c r="BH889" s="77">
        <f t="shared" si="510"/>
        <v>268.20000000000005</v>
      </c>
      <c r="BI889" s="78">
        <f t="shared" si="511"/>
        <v>0.27</v>
      </c>
      <c r="BJ889" s="79">
        <f t="shared" si="512"/>
        <v>0.20834779590419991</v>
      </c>
      <c r="BK889" s="80">
        <f t="shared" si="513"/>
        <v>273.69</v>
      </c>
      <c r="BL889" s="80">
        <f t="shared" si="514"/>
        <v>72.03000000000003</v>
      </c>
      <c r="BM889" s="79">
        <f t="shared" si="515"/>
        <v>0.20834779590419999</v>
      </c>
      <c r="BN889" s="81">
        <f t="shared" si="516"/>
        <v>0.76929411764705879</v>
      </c>
      <c r="BO889" s="82">
        <f t="shared" si="517"/>
        <v>196.17</v>
      </c>
      <c r="BP889" s="81">
        <f t="shared" si="518"/>
        <v>0.76929411764705879</v>
      </c>
      <c r="BQ889" s="81">
        <f t="shared" si="519"/>
        <v>0.92616577540106937</v>
      </c>
      <c r="BR889" s="81">
        <f t="shared" si="520"/>
        <v>1.2086363636363637</v>
      </c>
      <c r="BS889" s="82">
        <f t="shared" si="521"/>
        <v>255</v>
      </c>
      <c r="BT889" s="82">
        <f t="shared" si="522"/>
        <v>308.20227272727277</v>
      </c>
      <c r="BU889" s="82">
        <f t="shared" si="523"/>
        <v>268.20000000000005</v>
      </c>
      <c r="BW889" s="82">
        <f>IFERROR(INDEX('Infos Clientes'!$T:$T,MATCH('Detalhe Por UC'!$C889,'Infos Clientes'!B:B,0)),"")</f>
        <v>246.72727272727272</v>
      </c>
      <c r="BX889" s="83">
        <f t="shared" si="524"/>
        <v>0</v>
      </c>
      <c r="BY889" s="84">
        <f t="shared" si="525"/>
        <v>0.23371015198106337</v>
      </c>
      <c r="BZ889" s="85">
        <f>IF(_xlfn.MINIFS('Detalhe Por UC'!R:R,'Detalhe Por UC'!C:C,C889,'Detalhe Por UC'!AD:AD,"&gt;"&amp;0)=0,"",_xlfn.MINIFS('Detalhe Por UC'!R:R,'Detalhe Por UC'!C:C,C889,'Detalhe Por UC'!AD:AD,"&gt;"&amp;0))</f>
        <v>45658</v>
      </c>
      <c r="CA889" s="114">
        <f ca="1">IF(OR(S889&gt;0,AD889&gt;0),IFERROR(
SUMIFS(INDIRECT("'Infos Clientes'!$W"&amp;INDEX('Infos Clientes'!$C:$C,MATCH(C889,'Infos Clientes'!$H:$H,0))&amp;":$CZ"&amp;INDEX('Infos Clientes'!$C:$C,MATCH(C889,'Infos Clientes'!$H:$H,0))),'Infos Clientes'!$W$2:$CZ$2,"&gt;"&amp;$R889-365,'Infos Clientes'!$W$2:$CZ$2,"&lt;="&amp;$R889)/
COUNTIFS(INDIRECT("'Infos Clientes'!$W"&amp;INDEX('Infos Clientes'!$C:$C,MATCH(C889,'Infos Clientes'!$H:$H,0))&amp;":$CZ"&amp;INDEX('Infos Clientes'!$C:$C,MATCH(C889,'Infos Clientes'!$H:$H,0))),"&gt;="&amp;0,'Infos Clientes'!$W$2:$CZ$2,"&gt;"&amp;$R889-365,'Infos Clientes'!$W$2:$CZ$2,"&lt;="&amp;$R889),""),"")</f>
        <v>278.33333333333331</v>
      </c>
      <c r="CB889" s="87">
        <f>VLOOKUP(C889,'Infos Clientes'!B:L,11,0)</f>
        <v>0</v>
      </c>
      <c r="CC889" s="88" t="str">
        <f t="shared" si="526"/>
        <v>A Unidade Consumidora 10/129490-9 economizou R$72,03 na fatura referente à set/2025  consumindo 255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89" s="115">
        <f t="shared" si="527"/>
        <v>-77.52</v>
      </c>
    </row>
    <row r="890" spans="1:84" ht="16.2" hidden="1" customHeight="1" x14ac:dyDescent="0.3">
      <c r="A890" s="105" t="str">
        <f>INDEX('Infos Clientes'!$D:$D,MATCH('Detalhe Por UC'!C890,'Infos Clientes'!B:B,0))</f>
        <v>IGREJA DO EVANGELHO QUADRANGULAR</v>
      </c>
      <c r="B890" s="106" t="str">
        <f>INDEX('Infos Clientes'!$F:$F,MATCH('Detalhe Por UC'!C890,'Infos Clientes'!B:B,0))</f>
        <v>62.955.505/0168-37</v>
      </c>
      <c r="C890" s="31" t="s">
        <v>228</v>
      </c>
      <c r="D890" t="s">
        <v>351</v>
      </c>
      <c r="E890" s="1" t="s">
        <v>352</v>
      </c>
      <c r="F890" s="56" t="str">
        <f>INDEX('Infos Clientes'!$I:$I,MATCH('Detalhe Por UC'!C890,'Infos Clientes'!B:B,0))</f>
        <v>BT</v>
      </c>
      <c r="G890" s="56" t="str">
        <f>INDEX('Infos Clientes'!$J:$J,MATCH('Detalhe Por UC'!C890,'Infos Clientes'!B:B,0))</f>
        <v>trifasico</v>
      </c>
      <c r="H890" s="47" t="str">
        <f t="shared" si="528"/>
        <v>GIROSSOL III</v>
      </c>
      <c r="I890" s="58">
        <f>IFERROR(VLOOKUP(C890,'Infos Clientes'!B:E,4,),"")</f>
        <v>302</v>
      </c>
      <c r="J890" s="151">
        <v>0.26857922422136293</v>
      </c>
      <c r="K890" s="79">
        <f>INDEX('Resumo Operacional'!$A$1:$P$151,MATCH("Desconto percentual Ucs",'Resumo Operacional'!$B$1:$B$151,0),MATCH('Detalhe Por UC'!$R890,'Resumo Operacional'!$A$1:$P$1,0))</f>
        <v>0.26857922422136293</v>
      </c>
      <c r="M890" s="56"/>
      <c r="N890" s="56"/>
      <c r="O890" s="56"/>
      <c r="P890" s="56"/>
      <c r="Q890" s="61"/>
      <c r="R890" s="111">
        <v>45901</v>
      </c>
      <c r="S890" s="152">
        <v>1.9E-2</v>
      </c>
      <c r="T890" s="113" t="str">
        <f>IF($H890="GIROSSOL II",AP890/INDEX('Resumo Operacional'!$A$1:$P$1103,17,MATCH('Detalhe Por UC'!$R890,'Resumo Operacional'!$A$1:$P$1,0)),
IF($H890="GIROSSOL II e III",AP890/INDEX('Resumo Operacional'!$A$1:$P$1103,17,MATCH('Detalhe Por UC'!$R890,'Resumo Operacional'!$A$1:$P$1,0)),
""))</f>
        <v/>
      </c>
      <c r="U890" s="113">
        <f>IF($H890="GIROSSOL III",AP890/INDEX('Resumo Operacional'!$A$1:$P$1103,53,MATCH('Detalhe Por UC'!$R890,'Resumo Operacional'!$A$1:$P$1,0)),
IF($H890="GIROSSOL II e III",AP890/INDEX('Resumo Operacional'!$A$1:$P$1103,53,MATCH('Detalhe Por UC'!$R890,'Resumo Operacional'!$A$1:$P$1,0)),
""))</f>
        <v>9.6774193548387101E-3</v>
      </c>
      <c r="X890">
        <v>1.2081625971143173</v>
      </c>
      <c r="Z890" s="18">
        <v>1.0512847118542847</v>
      </c>
      <c r="AB890" s="18">
        <v>265</v>
      </c>
      <c r="AD890" s="143">
        <v>197</v>
      </c>
      <c r="AF890" s="18">
        <v>265</v>
      </c>
      <c r="AG890">
        <v>0</v>
      </c>
      <c r="AH890">
        <v>45.199999999999996</v>
      </c>
      <c r="AL890" s="43"/>
      <c r="AN890" s="71">
        <f t="shared" si="494"/>
        <v>-80</v>
      </c>
      <c r="AO890" s="71">
        <f t="shared" si="495"/>
        <v>0</v>
      </c>
      <c r="AP890" s="71">
        <f t="shared" si="496"/>
        <v>117</v>
      </c>
      <c r="AQ890" s="72">
        <f>IF(OR($H890="GIROSSOL II",$H890="GIROSSOL II e III"),INDEX('Resumo Operacional'!$A$1:$P$1103,MATCH("Energia Injetada prevista total Fatura da Usina (TUSD)",'Resumo Operacional'!$B$1:$B$1103,0),MATCH('Detalhe Por UC'!$R890,'Resumo Operacional'!$A$1:$P$1,0))*$S890,INDEX('Resumo Operacional'!$A$1:$P$1103,53,MATCH('Detalhe Por UC'!$R890,'Resumo Operacional'!$A$1:$P$1,0))*$S890)</f>
        <v>229.71</v>
      </c>
      <c r="AR890" s="71">
        <f t="shared" si="497"/>
        <v>-112.71000000000001</v>
      </c>
      <c r="AS890" s="73">
        <f t="shared" si="498"/>
        <v>158.26</v>
      </c>
      <c r="AT890" s="74">
        <f t="shared" si="499"/>
        <v>158.26</v>
      </c>
      <c r="AU890" s="74">
        <f t="shared" si="500"/>
        <v>0.89440682659425219</v>
      </c>
      <c r="AV890" s="74">
        <f t="shared" si="501"/>
        <v>151.47950146321034</v>
      </c>
      <c r="AW890" s="74">
        <f t="shared" si="502"/>
        <v>0</v>
      </c>
      <c r="AX890" s="74">
        <f t="shared" si="503"/>
        <v>207.10308823529408</v>
      </c>
      <c r="AY890" s="74">
        <f t="shared" si="504"/>
        <v>151.47999999999999</v>
      </c>
      <c r="AZ890" s="117">
        <v>151.47999999999999</v>
      </c>
      <c r="BA890" s="117">
        <v>151.47999999999999</v>
      </c>
      <c r="BB890" s="117">
        <v>151.47999999999999</v>
      </c>
      <c r="BC890" s="73" t="str">
        <f t="shared" si="505"/>
        <v/>
      </c>
      <c r="BD890" s="73">
        <f t="shared" si="506"/>
        <v>365.36308823529407</v>
      </c>
      <c r="BE890" s="73">
        <f t="shared" si="507"/>
        <v>309.73950146321033</v>
      </c>
      <c r="BF890" s="77">
        <f t="shared" si="508"/>
        <v>55.62</v>
      </c>
      <c r="BG890" s="77">
        <f t="shared" si="509"/>
        <v>16.686</v>
      </c>
      <c r="BH890" s="77">
        <f t="shared" si="510"/>
        <v>207.10308823529411</v>
      </c>
      <c r="BI890" s="78">
        <f t="shared" si="511"/>
        <v>0.27</v>
      </c>
      <c r="BJ890" s="79">
        <f t="shared" si="512"/>
        <v>0.15223212686493573</v>
      </c>
      <c r="BK890" s="80">
        <f t="shared" si="513"/>
        <v>309.74</v>
      </c>
      <c r="BL890" s="80">
        <f t="shared" si="514"/>
        <v>55.623088235294063</v>
      </c>
      <c r="BM890" s="79">
        <f t="shared" si="515"/>
        <v>0.15224057937531105</v>
      </c>
      <c r="BN890" s="81">
        <f t="shared" si="516"/>
        <v>0.76893401015228424</v>
      </c>
      <c r="BO890" s="82">
        <f t="shared" si="517"/>
        <v>151.47999999999999</v>
      </c>
      <c r="BP890" s="81">
        <f t="shared" si="518"/>
        <v>0.76893401015228424</v>
      </c>
      <c r="BQ890" s="81">
        <f t="shared" si="519"/>
        <v>0.92581189541231679</v>
      </c>
      <c r="BR890" s="81">
        <f t="shared" si="520"/>
        <v>1.2081625971143173</v>
      </c>
      <c r="BS890" s="82">
        <f t="shared" si="521"/>
        <v>197</v>
      </c>
      <c r="BT890" s="82">
        <f t="shared" si="522"/>
        <v>238.00803163152051</v>
      </c>
      <c r="BU890" s="82">
        <f t="shared" si="523"/>
        <v>207.10308823529408</v>
      </c>
      <c r="BW890" s="82">
        <f>IFERROR(INDEX('Infos Clientes'!$T:$T,MATCH('Detalhe Por UC'!$C890,'Infos Clientes'!B:B,0)),"")</f>
        <v>286.18181818181819</v>
      </c>
      <c r="BX890" s="83">
        <f t="shared" si="524"/>
        <v>0</v>
      </c>
      <c r="BY890" s="84">
        <f t="shared" si="525"/>
        <v>0.23370256816126567</v>
      </c>
      <c r="BZ890" s="85">
        <f>IF(_xlfn.MINIFS('Detalhe Por UC'!R:R,'Detalhe Por UC'!C:C,C890,'Detalhe Por UC'!AD:AD,"&gt;"&amp;0)=0,"",_xlfn.MINIFS('Detalhe Por UC'!R:R,'Detalhe Por UC'!C:C,C890,'Detalhe Por UC'!AD:AD,"&gt;"&amp;0))</f>
        <v>45658</v>
      </c>
      <c r="CA890" s="114">
        <f ca="1">IF(OR(S890&gt;0,AD890&gt;0),IFERROR(
SUMIFS(INDIRECT("'Infos Clientes'!$W"&amp;INDEX('Infos Clientes'!$C:$C,MATCH(C890,'Infos Clientes'!$H:$H,0))&amp;":$CZ"&amp;INDEX('Infos Clientes'!$C:$C,MATCH(C890,'Infos Clientes'!$H:$H,0))),'Infos Clientes'!$W$2:$CZ$2,"&gt;"&amp;$R890-365,'Infos Clientes'!$W$2:$CZ$2,"&lt;="&amp;$R890)/
COUNTIFS(INDIRECT("'Infos Clientes'!$W"&amp;INDEX('Infos Clientes'!$C:$C,MATCH(C890,'Infos Clientes'!$H:$H,0))&amp;":$CZ"&amp;INDEX('Infos Clientes'!$C:$C,MATCH(C890,'Infos Clientes'!$H:$H,0))),"&gt;="&amp;0,'Infos Clientes'!$W$2:$CZ$2,"&gt;"&amp;$R890-365,'Infos Clientes'!$W$2:$CZ$2,"&lt;="&amp;$R890),""),"")</f>
        <v>312.75</v>
      </c>
      <c r="CB890" s="87">
        <f>VLOOKUP(C890,'Infos Clientes'!B:L,11,0)</f>
        <v>0</v>
      </c>
      <c r="CC890" s="88" t="str">
        <f t="shared" si="526"/>
        <v>A Unidade Consumidora 10/78338-1 economizou R$55,62 na fatura referente à set/2025  consumindo 197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0" s="115">
        <f t="shared" si="527"/>
        <v>-158.26</v>
      </c>
    </row>
    <row r="891" spans="1:84" ht="16.2" hidden="1" customHeight="1" x14ac:dyDescent="0.3">
      <c r="A891" s="105" t="str">
        <f>INDEX('Infos Clientes'!$D:$D,MATCH('Detalhe Por UC'!C891,'Infos Clientes'!B:B,0))</f>
        <v>IGREJA DO EVANGELHO QUADRANGULAR</v>
      </c>
      <c r="B891" s="106" t="str">
        <f>INDEX('Infos Clientes'!$F:$F,MATCH('Detalhe Por UC'!C891,'Infos Clientes'!B:B,0))</f>
        <v>62.955.505/2488-86</v>
      </c>
      <c r="C891" s="31" t="s">
        <v>195</v>
      </c>
      <c r="D891" t="s">
        <v>351</v>
      </c>
      <c r="E891" s="1" t="s">
        <v>352</v>
      </c>
      <c r="F891" s="56" t="str">
        <f>INDEX('Infos Clientes'!$I:$I,MATCH('Detalhe Por UC'!C891,'Infos Clientes'!B:B,0))</f>
        <v>BT</v>
      </c>
      <c r="G891" s="56" t="str">
        <f>INDEX('Infos Clientes'!$J:$J,MATCH('Detalhe Por UC'!C891,'Infos Clientes'!B:B,0))</f>
        <v>trifasico</v>
      </c>
      <c r="H891" s="47" t="str">
        <f t="shared" si="528"/>
        <v>GIROSSOL III</v>
      </c>
      <c r="I891" s="58">
        <f>IFERROR(VLOOKUP(C891,'Infos Clientes'!B:E,4,),"")</f>
        <v>306</v>
      </c>
      <c r="J891" s="151">
        <v>0.26857922422136293</v>
      </c>
      <c r="K891" s="79">
        <f>INDEX('Resumo Operacional'!$A$1:$P$151,MATCH("Desconto percentual Ucs",'Resumo Operacional'!$B$1:$B$151,0),MATCH('Detalhe Por UC'!$R891,'Resumo Operacional'!$A$1:$P$1,0))</f>
        <v>0.26857922422136293</v>
      </c>
      <c r="M891" s="56"/>
      <c r="N891" s="56"/>
      <c r="O891" s="56"/>
      <c r="P891" s="56"/>
      <c r="Q891" s="61"/>
      <c r="R891" s="111">
        <v>45901</v>
      </c>
      <c r="S891" s="152">
        <v>1.72E-2</v>
      </c>
      <c r="T891" s="113" t="str">
        <f>IF($H891="GIROSSOL II",AP891/INDEX('Resumo Operacional'!$A$1:$P$1103,17,MATCH('Detalhe Por UC'!$R891,'Resumo Operacional'!$A$1:$P$1,0)),
IF($H891="GIROSSOL II e III",AP891/INDEX('Resumo Operacional'!$A$1:$P$1103,17,MATCH('Detalhe Por UC'!$R891,'Resumo Operacional'!$A$1:$P$1,0)),
""))</f>
        <v/>
      </c>
      <c r="U891" s="113">
        <f>IF($H891="GIROSSOL III",AP891/INDEX('Resumo Operacional'!$A$1:$P$1103,53,MATCH('Detalhe Por UC'!$R891,'Resumo Operacional'!$A$1:$P$1,0)),
IF($H891="GIROSSOL II e III",AP891/INDEX('Resumo Operacional'!$A$1:$P$1103,53,MATCH('Detalhe Por UC'!$R891,'Resumo Operacional'!$A$1:$P$1,0)),
""))</f>
        <v>2.0347394540942927E-2</v>
      </c>
      <c r="X891">
        <v>1.2080711578709205</v>
      </c>
      <c r="Z891" s="18">
        <v>1.0511781927520181</v>
      </c>
      <c r="AB891" s="18">
        <v>249</v>
      </c>
      <c r="AD891" s="143">
        <v>178</v>
      </c>
      <c r="AF891" s="18">
        <v>254</v>
      </c>
      <c r="AG891">
        <v>0</v>
      </c>
      <c r="AH891">
        <v>0</v>
      </c>
      <c r="AL891" s="43"/>
      <c r="AN891" s="71">
        <f t="shared" si="494"/>
        <v>68</v>
      </c>
      <c r="AO891" s="71">
        <f t="shared" si="495"/>
        <v>0</v>
      </c>
      <c r="AP891" s="71">
        <f t="shared" si="496"/>
        <v>246</v>
      </c>
      <c r="AQ891" s="72">
        <f>IF(OR($H891="GIROSSOL II",$H891="GIROSSOL II e III"),INDEX('Resumo Operacional'!$A$1:$P$1103,MATCH("Energia Injetada prevista total Fatura da Usina (TUSD)",'Resumo Operacional'!$B$1:$B$1103,0),MATCH('Detalhe Por UC'!$R891,'Resumo Operacional'!$A$1:$P$1,0))*$S891,INDEX('Resumo Operacional'!$A$1:$P$1103,53,MATCH('Detalhe Por UC'!$R891,'Resumo Operacional'!$A$1:$P$1,0))*$S891)</f>
        <v>207.94800000000001</v>
      </c>
      <c r="AR891" s="71">
        <f t="shared" si="497"/>
        <v>38.051999999999992</v>
      </c>
      <c r="AS891" s="73">
        <f t="shared" si="498"/>
        <v>113.69999999999999</v>
      </c>
      <c r="AT891" s="74">
        <f t="shared" si="499"/>
        <v>113.69999999999999</v>
      </c>
      <c r="AU891" s="74">
        <f t="shared" si="500"/>
        <v>0.89428522763311569</v>
      </c>
      <c r="AV891" s="74">
        <f t="shared" si="501"/>
        <v>136.85593532191947</v>
      </c>
      <c r="AW891" s="74">
        <f t="shared" si="502"/>
        <v>0</v>
      </c>
      <c r="AX891" s="74">
        <f t="shared" si="503"/>
        <v>187.1097183098592</v>
      </c>
      <c r="AY891" s="74">
        <f t="shared" si="504"/>
        <v>136.86000000000001</v>
      </c>
      <c r="AZ891" s="117">
        <v>136.86000000000001</v>
      </c>
      <c r="BA891" s="117">
        <v>136.86000000000001</v>
      </c>
      <c r="BB891" s="117">
        <v>136.86000000000001</v>
      </c>
      <c r="BC891" s="73" t="str">
        <f t="shared" si="505"/>
        <v/>
      </c>
      <c r="BD891" s="73">
        <f t="shared" si="506"/>
        <v>300.80971830985919</v>
      </c>
      <c r="BE891" s="73">
        <f t="shared" si="507"/>
        <v>250.55593532191946</v>
      </c>
      <c r="BF891" s="77">
        <f t="shared" si="508"/>
        <v>50.25</v>
      </c>
      <c r="BG891" s="77">
        <f t="shared" si="509"/>
        <v>15.074999999999999</v>
      </c>
      <c r="BH891" s="77">
        <f t="shared" si="510"/>
        <v>187.10971830985923</v>
      </c>
      <c r="BI891" s="78">
        <f t="shared" si="511"/>
        <v>0.27</v>
      </c>
      <c r="BJ891" s="79">
        <f t="shared" si="512"/>
        <v>0.16704912421824847</v>
      </c>
      <c r="BK891" s="80">
        <f t="shared" si="513"/>
        <v>250.56</v>
      </c>
      <c r="BL891" s="80">
        <f t="shared" si="514"/>
        <v>50.24971830985919</v>
      </c>
      <c r="BM891" s="79">
        <f t="shared" si="515"/>
        <v>0.16704818777862016</v>
      </c>
      <c r="BN891" s="81">
        <f t="shared" si="516"/>
        <v>0.7688764044943821</v>
      </c>
      <c r="BO891" s="82">
        <f t="shared" si="517"/>
        <v>136.86000000000001</v>
      </c>
      <c r="BP891" s="81">
        <f t="shared" si="518"/>
        <v>0.7688764044943821</v>
      </c>
      <c r="BQ891" s="81">
        <f t="shared" si="519"/>
        <v>0.92576936961328449</v>
      </c>
      <c r="BR891" s="81">
        <f t="shared" si="520"/>
        <v>1.2080711578709205</v>
      </c>
      <c r="BS891" s="82">
        <f t="shared" si="521"/>
        <v>178</v>
      </c>
      <c r="BT891" s="82">
        <f t="shared" si="522"/>
        <v>215.03666610102385</v>
      </c>
      <c r="BU891" s="82">
        <f t="shared" si="523"/>
        <v>187.1097183098592</v>
      </c>
      <c r="BW891" s="82">
        <f>IFERROR(INDEX('Infos Clientes'!$T:$T,MATCH('Detalhe Por UC'!$C891,'Infos Clientes'!B:B,0)),"")</f>
        <v>249.81818181818181</v>
      </c>
      <c r="BX891" s="83">
        <f t="shared" si="524"/>
        <v>0</v>
      </c>
      <c r="BY891" s="84">
        <f t="shared" si="525"/>
        <v>0.23367976829705858</v>
      </c>
      <c r="BZ891" s="85">
        <f>IF(_xlfn.MINIFS('Detalhe Por UC'!R:R,'Detalhe Por UC'!C:C,C891,'Detalhe Por UC'!AD:AD,"&gt;"&amp;0)=0,"",_xlfn.MINIFS('Detalhe Por UC'!R:R,'Detalhe Por UC'!C:C,C891,'Detalhe Por UC'!AD:AD,"&gt;"&amp;0))</f>
        <v>45658</v>
      </c>
      <c r="CA891" s="114">
        <f ca="1">IF(OR(S891&gt;0,AD891&gt;0),IFERROR(
SUMIFS(INDIRECT("'Infos Clientes'!$W"&amp;INDEX('Infos Clientes'!$C:$C,MATCH(C891,'Infos Clientes'!$H:$H,0))&amp;":$CZ"&amp;INDEX('Infos Clientes'!$C:$C,MATCH(C891,'Infos Clientes'!$H:$H,0))),'Infos Clientes'!$W$2:$CZ$2,"&gt;"&amp;$R891-365,'Infos Clientes'!$W$2:$CZ$2,"&lt;="&amp;$R891)/
COUNTIFS(INDIRECT("'Infos Clientes'!$W"&amp;INDEX('Infos Clientes'!$C:$C,MATCH(C891,'Infos Clientes'!$H:$H,0))&amp;":$CZ"&amp;INDEX('Infos Clientes'!$C:$C,MATCH(C891,'Infos Clientes'!$H:$H,0))),"&gt;="&amp;0,'Infos Clientes'!$W$2:$CZ$2,"&gt;"&amp;$R891-365,'Infos Clientes'!$W$2:$CZ$2,"&lt;="&amp;$R891),""),"")</f>
        <v>307.08333333333331</v>
      </c>
      <c r="CB891" s="87">
        <f>VLOOKUP(C891,'Infos Clientes'!B:L,11,0)</f>
        <v>0</v>
      </c>
      <c r="CC891" s="88" t="str">
        <f t="shared" si="526"/>
        <v>A Unidade Consumidora 10/395471-6 economizou R$50,25 na fatura referente à set/2025  consumindo 178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1" s="115">
        <f t="shared" si="527"/>
        <v>-113.69999999999999</v>
      </c>
    </row>
    <row r="892" spans="1:84" ht="16.2" hidden="1" customHeight="1" x14ac:dyDescent="0.3">
      <c r="A892" s="105" t="str">
        <f>INDEX('Infos Clientes'!$D:$D,MATCH('Detalhe Por UC'!C892,'Infos Clientes'!B:B,0))</f>
        <v>IGREJA DO EVANGELHO QUADRANGULAR</v>
      </c>
      <c r="B892" s="106" t="str">
        <f>INDEX('Infos Clientes'!$F:$F,MATCH('Detalhe Por UC'!C892,'Infos Clientes'!B:B,0))</f>
        <v>62.955.505/2740-20</v>
      </c>
      <c r="C892" s="31" t="s">
        <v>175</v>
      </c>
      <c r="D892" t="s">
        <v>351</v>
      </c>
      <c r="E892" s="1" t="s">
        <v>352</v>
      </c>
      <c r="F892" s="56" t="str">
        <f>INDEX('Infos Clientes'!$I:$I,MATCH('Detalhe Por UC'!C892,'Infos Clientes'!B:B,0))</f>
        <v>BT</v>
      </c>
      <c r="G892" s="56" t="str">
        <f>INDEX('Infos Clientes'!$J:$J,MATCH('Detalhe Por UC'!C892,'Infos Clientes'!B:B,0))</f>
        <v>trifasico</v>
      </c>
      <c r="H892" s="47" t="str">
        <f t="shared" si="528"/>
        <v>GIROSSOL III</v>
      </c>
      <c r="I892" s="58">
        <f>IFERROR(VLOOKUP(C892,'Infos Clientes'!B:E,4,),"")</f>
        <v>371</v>
      </c>
      <c r="J892" s="151">
        <v>0.26857922422136293</v>
      </c>
      <c r="K892" s="79">
        <f>INDEX('Resumo Operacional'!$A$1:$P$151,MATCH("Desconto percentual Ucs",'Resumo Operacional'!$B$1:$B$151,0),MATCH('Detalhe Por UC'!$R892,'Resumo Operacional'!$A$1:$P$1,0))</f>
        <v>0.26857922422136293</v>
      </c>
      <c r="M892" s="56"/>
      <c r="N892" s="56"/>
      <c r="O892" s="56"/>
      <c r="P892" s="56"/>
      <c r="Q892" s="61"/>
      <c r="R892" s="111">
        <v>45901</v>
      </c>
      <c r="S892" s="152">
        <v>1.7000000000000001E-2</v>
      </c>
      <c r="T892" s="113" t="str">
        <f>IF($H892="GIROSSOL II",AP892/INDEX('Resumo Operacional'!$A$1:$P$1103,17,MATCH('Detalhe Por UC'!$R892,'Resumo Operacional'!$A$1:$P$1,0)),
IF($H892="GIROSSOL II e III",AP892/INDEX('Resumo Operacional'!$A$1:$P$1103,17,MATCH('Detalhe Por UC'!$R892,'Resumo Operacional'!$A$1:$P$1,0)),
""))</f>
        <v/>
      </c>
      <c r="U892" s="113">
        <f>IF($H892="GIROSSOL III",AP892/INDEX('Resumo Operacional'!$A$1:$P$1103,53,MATCH('Detalhe Por UC'!$R892,'Resumo Operacional'!$A$1:$P$1,0)),
IF($H892="GIROSSOL II e III",AP892/INDEX('Resumo Operacional'!$A$1:$P$1103,53,MATCH('Detalhe Por UC'!$R892,'Resumo Operacional'!$A$1:$P$1,0)),
""))</f>
        <v>1.3068651778329199E-2</v>
      </c>
      <c r="X892">
        <v>1.2080959064327486</v>
      </c>
      <c r="Z892" s="18">
        <v>1.0512186506534793</v>
      </c>
      <c r="AB892" s="18">
        <v>225</v>
      </c>
      <c r="AD892" s="143">
        <v>149</v>
      </c>
      <c r="AF892" s="18">
        <v>615</v>
      </c>
      <c r="AG892">
        <v>0</v>
      </c>
      <c r="AH892">
        <v>45.980000000000004</v>
      </c>
      <c r="AL892" s="43"/>
      <c r="AN892" s="71">
        <f t="shared" si="494"/>
        <v>9</v>
      </c>
      <c r="AO892" s="71">
        <f t="shared" si="495"/>
        <v>0</v>
      </c>
      <c r="AP892" s="71">
        <f t="shared" si="496"/>
        <v>158</v>
      </c>
      <c r="AQ892" s="72">
        <f>IF(OR($H892="GIROSSOL II",$H892="GIROSSOL II e III"),INDEX('Resumo Operacional'!$A$1:$P$1103,MATCH("Energia Injetada prevista total Fatura da Usina (TUSD)",'Resumo Operacional'!$B$1:$B$1103,0),MATCH('Detalhe Por UC'!$R892,'Resumo Operacional'!$A$1:$P$1,0))*$S892,INDEX('Resumo Operacional'!$A$1:$P$1103,53,MATCH('Detalhe Por UC'!$R892,'Resumo Operacional'!$A$1:$P$1,0))*$S892)</f>
        <v>205.53</v>
      </c>
      <c r="AR892" s="71">
        <f t="shared" si="497"/>
        <v>-47.53</v>
      </c>
      <c r="AS892" s="73">
        <f t="shared" si="498"/>
        <v>161.17000000000002</v>
      </c>
      <c r="AT892" s="74">
        <f t="shared" si="499"/>
        <v>161.17000000000002</v>
      </c>
      <c r="AU892" s="74">
        <f t="shared" si="500"/>
        <v>0.89434139487421005</v>
      </c>
      <c r="AV892" s="74">
        <f t="shared" si="501"/>
        <v>114.56359098511705</v>
      </c>
      <c r="AW892" s="74">
        <f t="shared" si="502"/>
        <v>0</v>
      </c>
      <c r="AX892" s="74">
        <f t="shared" si="503"/>
        <v>156.63157894736841</v>
      </c>
      <c r="AY892" s="74">
        <f t="shared" si="504"/>
        <v>114.56</v>
      </c>
      <c r="AZ892" s="117">
        <v>114.56</v>
      </c>
      <c r="BA892" s="117">
        <v>114.56</v>
      </c>
      <c r="BB892" s="117">
        <v>114.56</v>
      </c>
      <c r="BC892" s="73" t="str">
        <f t="shared" si="505"/>
        <v/>
      </c>
      <c r="BD892" s="73">
        <f t="shared" si="506"/>
        <v>317.80157894736845</v>
      </c>
      <c r="BE892" s="73">
        <f t="shared" si="507"/>
        <v>275.73359098511708</v>
      </c>
      <c r="BF892" s="77">
        <f t="shared" si="508"/>
        <v>42.07</v>
      </c>
      <c r="BG892" s="77">
        <f t="shared" si="509"/>
        <v>12.621</v>
      </c>
      <c r="BH892" s="77">
        <f t="shared" si="510"/>
        <v>156.63157894736841</v>
      </c>
      <c r="BI892" s="78">
        <f t="shared" si="511"/>
        <v>0.27</v>
      </c>
      <c r="BJ892" s="79">
        <f t="shared" si="512"/>
        <v>0.13237819692194566</v>
      </c>
      <c r="BK892" s="80">
        <f t="shared" si="513"/>
        <v>275.73</v>
      </c>
      <c r="BL892" s="80">
        <f t="shared" si="514"/>
        <v>42.071578947368437</v>
      </c>
      <c r="BM892" s="79">
        <f t="shared" si="515"/>
        <v>0.13238316526531785</v>
      </c>
      <c r="BN892" s="81">
        <f t="shared" si="516"/>
        <v>0.76885906040268459</v>
      </c>
      <c r="BO892" s="82">
        <f t="shared" si="517"/>
        <v>114.56</v>
      </c>
      <c r="BP892" s="81">
        <f t="shared" si="518"/>
        <v>0.76885906040268459</v>
      </c>
      <c r="BQ892" s="81">
        <f t="shared" si="519"/>
        <v>0.92573631618195384</v>
      </c>
      <c r="BR892" s="81">
        <f t="shared" si="520"/>
        <v>1.2080959064327486</v>
      </c>
      <c r="BS892" s="82">
        <f t="shared" si="521"/>
        <v>149</v>
      </c>
      <c r="BT892" s="82">
        <f t="shared" si="522"/>
        <v>180.00629005847952</v>
      </c>
      <c r="BU892" s="82">
        <f t="shared" si="523"/>
        <v>156.63157894736841</v>
      </c>
      <c r="BW892" s="82">
        <f>IFERROR(INDEX('Infos Clientes'!$T:$T,MATCH('Detalhe Por UC'!$C892,'Infos Clientes'!B:B,0)),"")</f>
        <v>384.90909090909093</v>
      </c>
      <c r="BX892" s="83">
        <f t="shared" si="524"/>
        <v>0</v>
      </c>
      <c r="BY892" s="84">
        <f t="shared" si="525"/>
        <v>0.23372282676177822</v>
      </c>
      <c r="BZ892" s="85">
        <f>IF(_xlfn.MINIFS('Detalhe Por UC'!R:R,'Detalhe Por UC'!C:C,C892,'Detalhe Por UC'!AD:AD,"&gt;"&amp;0)=0,"",_xlfn.MINIFS('Detalhe Por UC'!R:R,'Detalhe Por UC'!C:C,C892,'Detalhe Por UC'!AD:AD,"&gt;"&amp;0))</f>
        <v>45658</v>
      </c>
      <c r="CA892" s="114">
        <f ca="1">IF(OR(S892&gt;0,AD892&gt;0),IFERROR(
SUMIFS(INDIRECT("'Infos Clientes'!$W"&amp;INDEX('Infos Clientes'!$C:$C,MATCH(C892,'Infos Clientes'!$H:$H,0))&amp;":$CZ"&amp;INDEX('Infos Clientes'!$C:$C,MATCH(C892,'Infos Clientes'!$H:$H,0))),'Infos Clientes'!$W$2:$CZ$2,"&gt;"&amp;$R892-365,'Infos Clientes'!$W$2:$CZ$2,"&lt;="&amp;$R892)/
COUNTIFS(INDIRECT("'Infos Clientes'!$W"&amp;INDEX('Infos Clientes'!$C:$C,MATCH(C892,'Infos Clientes'!$H:$H,0))&amp;":$CZ"&amp;INDEX('Infos Clientes'!$C:$C,MATCH(C892,'Infos Clientes'!$H:$H,0))),"&gt;="&amp;0,'Infos Clientes'!$W$2:$CZ$2,"&gt;"&amp;$R892-365,'Infos Clientes'!$W$2:$CZ$2,"&lt;="&amp;$R892),""),"")</f>
        <v>274.36363636363637</v>
      </c>
      <c r="CB892" s="87">
        <f>VLOOKUP(C892,'Infos Clientes'!B:L,11,0)</f>
        <v>0</v>
      </c>
      <c r="CC892" s="88" t="str">
        <f t="shared" si="526"/>
        <v>A Unidade Consumidora 10/252817-2 economizou R$42,07 na fatura referente à set/2025  consumindo 149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2" s="115">
        <f t="shared" si="527"/>
        <v>-161.17000000000002</v>
      </c>
    </row>
    <row r="893" spans="1:84" ht="16.2" hidden="1" customHeight="1" x14ac:dyDescent="0.3">
      <c r="A893" s="105" t="str">
        <f>INDEX('Infos Clientes'!$D:$D,MATCH('Detalhe Por UC'!C893,'Infos Clientes'!B:B,0))</f>
        <v>IGREJA DO EVANGELHO QUADRANGULAR</v>
      </c>
      <c r="B893" s="106" t="str">
        <f>INDEX('Infos Clientes'!$F:$F,MATCH('Detalhe Por UC'!C893,'Infos Clientes'!B:B,0))</f>
        <v>62.955.505/0408-94</v>
      </c>
      <c r="C893" s="31" t="s">
        <v>144</v>
      </c>
      <c r="D893" t="s">
        <v>351</v>
      </c>
      <c r="E893" s="1" t="s">
        <v>352</v>
      </c>
      <c r="F893" s="56" t="str">
        <f>INDEX('Infos Clientes'!$I:$I,MATCH('Detalhe Por UC'!C893,'Infos Clientes'!B:B,0))</f>
        <v>BT</v>
      </c>
      <c r="G893" s="56" t="str">
        <f>INDEX('Infos Clientes'!$J:$J,MATCH('Detalhe Por UC'!C893,'Infos Clientes'!B:B,0))</f>
        <v>bifasico</v>
      </c>
      <c r="H893" s="47" t="str">
        <f t="shared" si="528"/>
        <v>GIROSSOL III</v>
      </c>
      <c r="I893" s="58">
        <f>IFERROR(VLOOKUP(C893,'Infos Clientes'!B:E,4,),"")</f>
        <v>371</v>
      </c>
      <c r="J893" s="151">
        <v>0.26857922422136293</v>
      </c>
      <c r="K893" s="79">
        <f>INDEX('Resumo Operacional'!$A$1:$P$151,MATCH("Desconto percentual Ucs",'Resumo Operacional'!$B$1:$B$151,0),MATCH('Detalhe Por UC'!$R893,'Resumo Operacional'!$A$1:$P$1,0))</f>
        <v>0.26857922422136293</v>
      </c>
      <c r="M893" s="56"/>
      <c r="N893" s="56"/>
      <c r="O893" s="56"/>
      <c r="P893" s="56"/>
      <c r="Q893" s="61"/>
      <c r="R893" s="111">
        <v>45901</v>
      </c>
      <c r="S893" s="152">
        <v>1.6299999999999999E-2</v>
      </c>
      <c r="T893" s="113" t="str">
        <f>IF($H893="GIROSSOL II",AP893/INDEX('Resumo Operacional'!$A$1:$P$1103,17,MATCH('Detalhe Por UC'!$R893,'Resumo Operacional'!$A$1:$P$1,0)),
IF($H893="GIROSSOL II e III",AP893/INDEX('Resumo Operacional'!$A$1:$P$1103,17,MATCH('Detalhe Por UC'!$R893,'Resumo Operacional'!$A$1:$P$1,0)),
""))</f>
        <v/>
      </c>
      <c r="U893" s="113">
        <f>IF($H893="GIROSSOL III",AP893/INDEX('Resumo Operacional'!$A$1:$P$1103,53,MATCH('Detalhe Por UC'!$R893,'Resumo Operacional'!$A$1:$P$1,0)),
IF($H893="GIROSSOL II e III",AP893/INDEX('Resumo Operacional'!$A$1:$P$1103,53,MATCH('Detalhe Por UC'!$R893,'Resumo Operacional'!$A$1:$P$1,0)),
""))</f>
        <v>1.2324234904880067E-2</v>
      </c>
      <c r="X893">
        <v>1.2086222222222223</v>
      </c>
      <c r="Z893" s="18">
        <v>1.0516746411483255</v>
      </c>
      <c r="AB893" s="18">
        <v>225</v>
      </c>
      <c r="AD893" s="143">
        <v>209</v>
      </c>
      <c r="AF893" s="18">
        <v>396</v>
      </c>
      <c r="AG893">
        <v>0</v>
      </c>
      <c r="AH893">
        <v>17.82</v>
      </c>
      <c r="AL893" s="43"/>
      <c r="AN893" s="71">
        <f t="shared" si="494"/>
        <v>-60</v>
      </c>
      <c r="AO893" s="71">
        <f t="shared" si="495"/>
        <v>0</v>
      </c>
      <c r="AP893" s="71">
        <f t="shared" si="496"/>
        <v>149</v>
      </c>
      <c r="AQ893" s="72">
        <f>IF(OR($H893="GIROSSOL II",$H893="GIROSSOL II e III"),INDEX('Resumo Operacional'!$A$1:$P$1103,MATCH("Energia Injetada prevista total Fatura da Usina (TUSD)",'Resumo Operacional'!$B$1:$B$1103,0),MATCH('Detalhe Por UC'!$R893,'Resumo Operacional'!$A$1:$P$1,0))*$S893,INDEX('Resumo Operacional'!$A$1:$P$1103,53,MATCH('Detalhe Por UC'!$R893,'Resumo Operacional'!$A$1:$P$1,0))*$S893)</f>
        <v>197.06699999999998</v>
      </c>
      <c r="AR893" s="71">
        <f t="shared" si="497"/>
        <v>-48.066999999999979</v>
      </c>
      <c r="AS893" s="73">
        <f t="shared" si="498"/>
        <v>69.959999999999951</v>
      </c>
      <c r="AT893" s="74">
        <f t="shared" si="499"/>
        <v>69.959999999999951</v>
      </c>
      <c r="AU893" s="74">
        <f t="shared" si="500"/>
        <v>0.89472706007442881</v>
      </c>
      <c r="AV893" s="74">
        <f t="shared" si="501"/>
        <v>160.76628651614445</v>
      </c>
      <c r="AW893" s="74">
        <f t="shared" si="502"/>
        <v>0</v>
      </c>
      <c r="AX893" s="74">
        <f t="shared" si="503"/>
        <v>219.80000000000004</v>
      </c>
      <c r="AY893" s="74">
        <f t="shared" si="504"/>
        <v>160.77000000000001</v>
      </c>
      <c r="AZ893" s="117">
        <v>160.77000000000001</v>
      </c>
      <c r="BA893" s="117">
        <v>160.77000000000001</v>
      </c>
      <c r="BB893" s="117">
        <v>160.77000000000001</v>
      </c>
      <c r="BC893" s="73" t="str">
        <f t="shared" si="505"/>
        <v/>
      </c>
      <c r="BD893" s="73">
        <f t="shared" si="506"/>
        <v>289.76</v>
      </c>
      <c r="BE893" s="73">
        <f t="shared" si="507"/>
        <v>230.7262865161444</v>
      </c>
      <c r="BF893" s="77">
        <f t="shared" si="508"/>
        <v>59.03</v>
      </c>
      <c r="BG893" s="77">
        <f t="shared" si="509"/>
        <v>17.709</v>
      </c>
      <c r="BH893" s="77">
        <f t="shared" si="510"/>
        <v>219.80000000000004</v>
      </c>
      <c r="BI893" s="78">
        <f t="shared" si="511"/>
        <v>0.27</v>
      </c>
      <c r="BJ893" s="79">
        <f t="shared" si="512"/>
        <v>0.20372032026504694</v>
      </c>
      <c r="BK893" s="80">
        <f t="shared" si="513"/>
        <v>230.72999999999996</v>
      </c>
      <c r="BL893" s="80">
        <f t="shared" si="514"/>
        <v>59.03000000000003</v>
      </c>
      <c r="BM893" s="79">
        <f t="shared" si="515"/>
        <v>0.20372032026504705</v>
      </c>
      <c r="BN893" s="81">
        <f t="shared" si="516"/>
        <v>0.7692344497607656</v>
      </c>
      <c r="BO893" s="82">
        <f t="shared" si="517"/>
        <v>160.77000000000001</v>
      </c>
      <c r="BP893" s="81">
        <f t="shared" si="518"/>
        <v>0.7692344497607656</v>
      </c>
      <c r="BQ893" s="81">
        <f t="shared" si="519"/>
        <v>0.92618203083466233</v>
      </c>
      <c r="BR893" s="81">
        <f t="shared" si="520"/>
        <v>1.2086222222222223</v>
      </c>
      <c r="BS893" s="82">
        <f t="shared" si="521"/>
        <v>209</v>
      </c>
      <c r="BT893" s="82">
        <f t="shared" si="522"/>
        <v>252.60204444444446</v>
      </c>
      <c r="BU893" s="82">
        <f t="shared" si="523"/>
        <v>219.80000000000004</v>
      </c>
      <c r="BW893" s="82">
        <f>IFERROR(INDEX('Infos Clientes'!$T:$T,MATCH('Detalhe Por UC'!$C893,'Infos Clientes'!B:B,0)),"")</f>
        <v>238.54545454545453</v>
      </c>
      <c r="BX893" s="83">
        <f t="shared" si="524"/>
        <v>0</v>
      </c>
      <c r="BY893" s="84">
        <f t="shared" si="525"/>
        <v>0.2336877364940832</v>
      </c>
      <c r="BZ893" s="85">
        <f>IF(_xlfn.MINIFS('Detalhe Por UC'!R:R,'Detalhe Por UC'!C:C,C893,'Detalhe Por UC'!AD:AD,"&gt;"&amp;0)=0,"",_xlfn.MINIFS('Detalhe Por UC'!R:R,'Detalhe Por UC'!C:C,C893,'Detalhe Por UC'!AD:AD,"&gt;"&amp;0))</f>
        <v>45658</v>
      </c>
      <c r="CA893" s="114">
        <f ca="1">IF(OR(S893&gt;0,AD893&gt;0),IFERROR(
SUMIFS(INDIRECT("'Infos Clientes'!$W"&amp;INDEX('Infos Clientes'!$C:$C,MATCH(C893,'Infos Clientes'!$H:$H,0))&amp;":$CZ"&amp;INDEX('Infos Clientes'!$C:$C,MATCH(C893,'Infos Clientes'!$H:$H,0))),'Infos Clientes'!$W$2:$CZ$2,"&gt;"&amp;$R893-365,'Infos Clientes'!$W$2:$CZ$2,"&lt;="&amp;$R893)/
COUNTIFS(INDIRECT("'Infos Clientes'!$W"&amp;INDEX('Infos Clientes'!$C:$C,MATCH(C893,'Infos Clientes'!$H:$H,0))&amp;":$CZ"&amp;INDEX('Infos Clientes'!$C:$C,MATCH(C893,'Infos Clientes'!$H:$H,0))),"&gt;="&amp;0,'Infos Clientes'!$W$2:$CZ$2,"&gt;"&amp;$R893-365,'Infos Clientes'!$W$2:$CZ$2,"&lt;="&amp;$R893),""),"")</f>
        <v>233.66666666666666</v>
      </c>
      <c r="CB893" s="87">
        <f>VLOOKUP(C893,'Infos Clientes'!B:L,11,0)</f>
        <v>0</v>
      </c>
      <c r="CC893" s="88" t="str">
        <f t="shared" si="526"/>
        <v>A Unidade Consumidora 10/1130988-7 economizou R$59,03 na fatura referente à set/2025  consumindo 209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3" s="115">
        <f t="shared" si="527"/>
        <v>-69.959999999999951</v>
      </c>
    </row>
    <row r="894" spans="1:84" ht="16.2" hidden="1" customHeight="1" x14ac:dyDescent="0.3">
      <c r="A894" s="105" t="str">
        <f>INDEX('Infos Clientes'!$D:$D,MATCH('Detalhe Por UC'!C894,'Infos Clientes'!B:B,0))</f>
        <v>IGREJA DO EVANGELHO QUADRANGULAR</v>
      </c>
      <c r="B894" s="106" t="str">
        <f>INDEX('Infos Clientes'!$F:$F,MATCH('Detalhe Por UC'!C894,'Infos Clientes'!B:B,0))</f>
        <v>62.955.505/8432-53</v>
      </c>
      <c r="C894" s="31" t="s">
        <v>178</v>
      </c>
      <c r="D894" t="s">
        <v>351</v>
      </c>
      <c r="E894" s="1" t="s">
        <v>352</v>
      </c>
      <c r="F894" s="56" t="str">
        <f>INDEX('Infos Clientes'!$I:$I,MATCH('Detalhe Por UC'!C894,'Infos Clientes'!B:B,0))</f>
        <v>BT</v>
      </c>
      <c r="G894" s="56" t="str">
        <f>INDEX('Infos Clientes'!$J:$J,MATCH('Detalhe Por UC'!C894,'Infos Clientes'!B:B,0))</f>
        <v>trifasico</v>
      </c>
      <c r="H894" s="47" t="str">
        <f t="shared" si="528"/>
        <v>GIROSSOL III</v>
      </c>
      <c r="I894" s="58">
        <f>IFERROR(VLOOKUP(C894,'Infos Clientes'!B:E,4,),"")</f>
        <v>349</v>
      </c>
      <c r="J894" s="151">
        <v>0.26857922422136293</v>
      </c>
      <c r="K894" s="79">
        <f>INDEX('Resumo Operacional'!$A$1:$P$151,MATCH("Desconto percentual Ucs",'Resumo Operacional'!$B$1:$B$151,0),MATCH('Detalhe Por UC'!$R894,'Resumo Operacional'!$A$1:$P$1,0))</f>
        <v>0.26857922422136293</v>
      </c>
      <c r="M894" s="56"/>
      <c r="N894" s="56"/>
      <c r="O894" s="56"/>
      <c r="P894" s="56"/>
      <c r="Q894" s="61"/>
      <c r="R894" s="111">
        <v>45901</v>
      </c>
      <c r="S894" s="152">
        <v>1.52E-2</v>
      </c>
      <c r="T894" s="113" t="str">
        <f>IF($H894="GIROSSOL II",AP894/INDEX('Resumo Operacional'!$A$1:$P$1103,17,MATCH('Detalhe Por UC'!$R894,'Resumo Operacional'!$A$1:$P$1,0)),
IF($H894="GIROSSOL II e III",AP894/INDEX('Resumo Operacional'!$A$1:$P$1103,17,MATCH('Detalhe Por UC'!$R894,'Resumo Operacional'!$A$1:$P$1,0)),
""))</f>
        <v/>
      </c>
      <c r="U894" s="113">
        <f>IF($H894="GIROSSOL III",AP894/INDEX('Resumo Operacional'!$A$1:$P$1103,53,MATCH('Detalhe Por UC'!$R894,'Resumo Operacional'!$A$1:$P$1,0)),
IF($H894="GIROSSOL II e III",AP894/INDEX('Resumo Operacional'!$A$1:$P$1103,53,MATCH('Detalhe Por UC'!$R894,'Resumo Operacional'!$A$1:$P$1,0)),
""))</f>
        <v>1.4722911497105046E-2</v>
      </c>
      <c r="X894">
        <v>1.2080514685622967</v>
      </c>
      <c r="Z894" s="18">
        <v>1.0511213207829075</v>
      </c>
      <c r="AB894" s="18">
        <v>263</v>
      </c>
      <c r="AD894" s="143">
        <v>194</v>
      </c>
      <c r="AF894" s="18">
        <v>378</v>
      </c>
      <c r="AG894">
        <v>0</v>
      </c>
      <c r="AH894">
        <v>45.86</v>
      </c>
      <c r="AL894" s="43"/>
      <c r="AN894" s="71">
        <f t="shared" si="494"/>
        <v>-16</v>
      </c>
      <c r="AO894" s="71">
        <f t="shared" si="495"/>
        <v>0</v>
      </c>
      <c r="AP894" s="71">
        <f t="shared" si="496"/>
        <v>178</v>
      </c>
      <c r="AQ894" s="72">
        <f>IF(OR($H894="GIROSSOL II",$H894="GIROSSOL II e III"),INDEX('Resumo Operacional'!$A$1:$P$1103,MATCH("Energia Injetada prevista total Fatura da Usina (TUSD)",'Resumo Operacional'!$B$1:$B$1103,0),MATCH('Detalhe Por UC'!$R894,'Resumo Operacional'!$A$1:$P$1,0))*$S894,INDEX('Resumo Operacional'!$A$1:$P$1103,53,MATCH('Detalhe Por UC'!$R894,'Resumo Operacional'!$A$1:$P$1,0))*$S894)</f>
        <v>183.768</v>
      </c>
      <c r="AR894" s="71">
        <f t="shared" si="497"/>
        <v>-5.7680000000000007</v>
      </c>
      <c r="AS894" s="73">
        <f t="shared" si="498"/>
        <v>159.65999999999997</v>
      </c>
      <c r="AT894" s="74">
        <f t="shared" si="499"/>
        <v>159.65999999999997</v>
      </c>
      <c r="AU894" s="74">
        <f t="shared" si="500"/>
        <v>0.89419117300351836</v>
      </c>
      <c r="AV894" s="74">
        <f t="shared" si="501"/>
        <v>149.14952254559299</v>
      </c>
      <c r="AW894" s="74">
        <f t="shared" si="502"/>
        <v>0</v>
      </c>
      <c r="AX894" s="74">
        <f t="shared" si="503"/>
        <v>203.91753623188407</v>
      </c>
      <c r="AY894" s="74">
        <f t="shared" si="504"/>
        <v>149.15</v>
      </c>
      <c r="AZ894" s="117">
        <v>149.15</v>
      </c>
      <c r="BA894" s="117">
        <v>149.15</v>
      </c>
      <c r="BB894" s="117">
        <v>149.15</v>
      </c>
      <c r="BC894" s="73" t="str">
        <f t="shared" si="505"/>
        <v/>
      </c>
      <c r="BD894" s="73">
        <f t="shared" si="506"/>
        <v>363.57753623188404</v>
      </c>
      <c r="BE894" s="73">
        <f t="shared" si="507"/>
        <v>308.80952254559293</v>
      </c>
      <c r="BF894" s="77">
        <f t="shared" si="508"/>
        <v>54.77</v>
      </c>
      <c r="BG894" s="77">
        <f t="shared" si="509"/>
        <v>16.431000000000001</v>
      </c>
      <c r="BH894" s="77">
        <f t="shared" si="510"/>
        <v>203.91753623188407</v>
      </c>
      <c r="BI894" s="78">
        <f t="shared" si="511"/>
        <v>0.27</v>
      </c>
      <c r="BJ894" s="79">
        <f t="shared" si="512"/>
        <v>0.1506418701431228</v>
      </c>
      <c r="BK894" s="80">
        <f t="shared" si="513"/>
        <v>308.80999999999995</v>
      </c>
      <c r="BL894" s="80">
        <f t="shared" si="514"/>
        <v>54.767536231884094</v>
      </c>
      <c r="BM894" s="79">
        <f t="shared" si="515"/>
        <v>0.15063509368454001</v>
      </c>
      <c r="BN894" s="81">
        <f t="shared" si="516"/>
        <v>0.76881443298969077</v>
      </c>
      <c r="BO894" s="82">
        <f t="shared" si="517"/>
        <v>149.15</v>
      </c>
      <c r="BP894" s="81">
        <f t="shared" si="518"/>
        <v>0.76881443298969077</v>
      </c>
      <c r="BQ894" s="81">
        <f t="shared" si="519"/>
        <v>0.92574458076907995</v>
      </c>
      <c r="BR894" s="81">
        <f t="shared" si="520"/>
        <v>1.2080514685622967</v>
      </c>
      <c r="BS894" s="82">
        <f t="shared" si="521"/>
        <v>194</v>
      </c>
      <c r="BT894" s="82">
        <f t="shared" si="522"/>
        <v>234.36198490108558</v>
      </c>
      <c r="BU894" s="82">
        <f t="shared" si="523"/>
        <v>203.91753623188407</v>
      </c>
      <c r="BW894" s="82">
        <f>IFERROR(INDEX('Infos Clientes'!$T:$T,MATCH('Detalhe Por UC'!$C894,'Infos Clientes'!B:B,0)),"")</f>
        <v>290.18181818181819</v>
      </c>
      <c r="BX894" s="83">
        <f t="shared" si="524"/>
        <v>0</v>
      </c>
      <c r="BY894" s="84">
        <f t="shared" si="525"/>
        <v>0.23368779819388863</v>
      </c>
      <c r="BZ894" s="85">
        <f>IF(_xlfn.MINIFS('Detalhe Por UC'!R:R,'Detalhe Por UC'!C:C,C894,'Detalhe Por UC'!AD:AD,"&gt;"&amp;0)=0,"",_xlfn.MINIFS('Detalhe Por UC'!R:R,'Detalhe Por UC'!C:C,C894,'Detalhe Por UC'!AD:AD,"&gt;"&amp;0))</f>
        <v>45658</v>
      </c>
      <c r="CA894" s="114">
        <f ca="1">IF(OR(S894&gt;0,AD894&gt;0),IFERROR(
SUMIFS(INDIRECT("'Infos Clientes'!$W"&amp;INDEX('Infos Clientes'!$C:$C,MATCH(C894,'Infos Clientes'!$H:$H,0))&amp;":$CZ"&amp;INDEX('Infos Clientes'!$C:$C,MATCH(C894,'Infos Clientes'!$H:$H,0))),'Infos Clientes'!$W$2:$CZ$2,"&gt;"&amp;$R894-365,'Infos Clientes'!$W$2:$CZ$2,"&lt;="&amp;$R894)/
COUNTIFS(INDIRECT("'Infos Clientes'!$W"&amp;INDEX('Infos Clientes'!$C:$C,MATCH(C894,'Infos Clientes'!$H:$H,0))&amp;":$CZ"&amp;INDEX('Infos Clientes'!$C:$C,MATCH(C894,'Infos Clientes'!$H:$H,0))),"&gt;="&amp;0,'Infos Clientes'!$W$2:$CZ$2,"&gt;"&amp;$R894-365,'Infos Clientes'!$W$2:$CZ$2,"&lt;="&amp;$R894),""),"")</f>
        <v>268.41666666666669</v>
      </c>
      <c r="CB894" s="87">
        <f>VLOOKUP(C894,'Infos Clientes'!B:L,11,0)</f>
        <v>0</v>
      </c>
      <c r="CC894" s="88" t="str">
        <f t="shared" si="526"/>
        <v>A Unidade Consumidora 10/280638-8 economizou R$54,77 na fatura referente à set/2025  consumindo 194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4" s="115">
        <f t="shared" si="527"/>
        <v>-159.65999999999997</v>
      </c>
    </row>
    <row r="895" spans="1:84" ht="16.2" hidden="1" customHeight="1" x14ac:dyDescent="0.3">
      <c r="A895" s="105" t="str">
        <f>INDEX('Infos Clientes'!$D:$D,MATCH('Detalhe Por UC'!C895,'Infos Clientes'!B:B,0))</f>
        <v>IGREJA DO EVANGELHO QUADRANGULAR</v>
      </c>
      <c r="B895" s="106" t="str">
        <f>INDEX('Infos Clientes'!$F:$F,MATCH('Detalhe Por UC'!C895,'Infos Clientes'!B:B,0))</f>
        <v>62.955.505/1822-57</v>
      </c>
      <c r="C895" s="31" t="s">
        <v>216</v>
      </c>
      <c r="D895" t="s">
        <v>351</v>
      </c>
      <c r="E895" s="1" t="s">
        <v>352</v>
      </c>
      <c r="F895" s="56" t="str">
        <f>INDEX('Infos Clientes'!$I:$I,MATCH('Detalhe Por UC'!C895,'Infos Clientes'!B:B,0))</f>
        <v>BT</v>
      </c>
      <c r="G895" s="56" t="str">
        <f>INDEX('Infos Clientes'!$J:$J,MATCH('Detalhe Por UC'!C895,'Infos Clientes'!B:B,0))</f>
        <v>trifasico</v>
      </c>
      <c r="H895" s="47" t="str">
        <f t="shared" si="528"/>
        <v>GIROSSOL III</v>
      </c>
      <c r="I895" s="58">
        <f>IFERROR(VLOOKUP(C895,'Infos Clientes'!B:E,4,),"")</f>
        <v>319</v>
      </c>
      <c r="J895" s="151">
        <v>0.26857922422136293</v>
      </c>
      <c r="K895" s="79">
        <f>INDEX('Resumo Operacional'!$A$1:$P$151,MATCH("Desconto percentual Ucs",'Resumo Operacional'!$B$1:$B$151,0),MATCH('Detalhe Por UC'!$R895,'Resumo Operacional'!$A$1:$P$1,0))</f>
        <v>0.26857922422136293</v>
      </c>
      <c r="M895" s="56"/>
      <c r="N895" s="56"/>
      <c r="O895" s="56"/>
      <c r="P895" s="56"/>
      <c r="Q895" s="61"/>
      <c r="R895" s="111">
        <v>45901</v>
      </c>
      <c r="S895" s="152">
        <v>1.5100000000000001E-2</v>
      </c>
      <c r="T895" s="113" t="str">
        <f>IF($H895="GIROSSOL II",AP895/INDEX('Resumo Operacional'!$A$1:$P$1103,17,MATCH('Detalhe Por UC'!$R895,'Resumo Operacional'!$A$1:$P$1,0)),
IF($H895="GIROSSOL II e III",AP895/INDEX('Resumo Operacional'!$A$1:$P$1103,17,MATCH('Detalhe Por UC'!$R895,'Resumo Operacional'!$A$1:$P$1,0)),
""))</f>
        <v/>
      </c>
      <c r="U895" s="113">
        <f>IF($H895="GIROSSOL III",AP895/INDEX('Resumo Operacional'!$A$1:$P$1103,53,MATCH('Detalhe Por UC'!$R895,'Resumo Operacional'!$A$1:$P$1,0)),
IF($H895="GIROSSOL II e III",AP895/INDEX('Resumo Operacional'!$A$1:$P$1103,53,MATCH('Detalhe Por UC'!$R895,'Resumo Operacional'!$A$1:$P$1,0)),
""))</f>
        <v>1.3978494623655914E-2</v>
      </c>
      <c r="X895">
        <v>1.2081132313913814</v>
      </c>
      <c r="Z895" s="18">
        <v>1.0512239068336628</v>
      </c>
      <c r="AB895" s="18">
        <v>193</v>
      </c>
      <c r="AD895" s="143">
        <v>111</v>
      </c>
      <c r="AF895" s="18">
        <v>359</v>
      </c>
      <c r="AG895">
        <v>0</v>
      </c>
      <c r="AH895">
        <v>92.76</v>
      </c>
      <c r="AL895" s="43"/>
      <c r="AN895" s="71">
        <f t="shared" si="494"/>
        <v>58</v>
      </c>
      <c r="AO895" s="71">
        <f t="shared" si="495"/>
        <v>0</v>
      </c>
      <c r="AP895" s="71">
        <f t="shared" si="496"/>
        <v>169</v>
      </c>
      <c r="AQ895" s="72">
        <f>IF(OR($H895="GIROSSOL II",$H895="GIROSSOL II e III"),INDEX('Resumo Operacional'!$A$1:$P$1103,MATCH("Energia Injetada prevista total Fatura da Usina (TUSD)",'Resumo Operacional'!$B$1:$B$1103,0),MATCH('Detalhe Por UC'!$R895,'Resumo Operacional'!$A$1:$P$1,0))*$S895,INDEX('Resumo Operacional'!$A$1:$P$1103,53,MATCH('Detalhe Por UC'!$R895,'Resumo Operacional'!$A$1:$P$1,0))*$S895)</f>
        <v>182.559</v>
      </c>
      <c r="AR895" s="71">
        <f t="shared" si="497"/>
        <v>-13.558999999999997</v>
      </c>
      <c r="AS895" s="73">
        <f t="shared" si="498"/>
        <v>209.24000000000004</v>
      </c>
      <c r="AT895" s="74">
        <f t="shared" si="499"/>
        <v>209.24000000000004</v>
      </c>
      <c r="AU895" s="74">
        <f t="shared" si="500"/>
        <v>0.89433458227594431</v>
      </c>
      <c r="AV895" s="74">
        <f t="shared" si="501"/>
        <v>85.34645760531933</v>
      </c>
      <c r="AW895" s="74">
        <f t="shared" si="502"/>
        <v>0</v>
      </c>
      <c r="AX895" s="74">
        <f t="shared" si="503"/>
        <v>116.68585365853657</v>
      </c>
      <c r="AY895" s="74">
        <f t="shared" si="504"/>
        <v>85.35</v>
      </c>
      <c r="AZ895" s="117">
        <v>85.35</v>
      </c>
      <c r="BA895" s="117">
        <v>85.35</v>
      </c>
      <c r="BB895" s="117">
        <v>85.35</v>
      </c>
      <c r="BC895" s="73" t="str">
        <f t="shared" si="505"/>
        <v/>
      </c>
      <c r="BD895" s="73">
        <f t="shared" si="506"/>
        <v>325.9258536585366</v>
      </c>
      <c r="BE895" s="73">
        <f t="shared" si="507"/>
        <v>294.58645760531937</v>
      </c>
      <c r="BF895" s="77">
        <f t="shared" si="508"/>
        <v>31.34</v>
      </c>
      <c r="BG895" s="77">
        <f t="shared" si="509"/>
        <v>9.4019999999999992</v>
      </c>
      <c r="BH895" s="77">
        <f t="shared" si="510"/>
        <v>116.68585365853659</v>
      </c>
      <c r="BI895" s="78">
        <f t="shared" si="511"/>
        <v>0.27</v>
      </c>
      <c r="BJ895" s="79">
        <f t="shared" si="512"/>
        <v>9.6156839502625158E-2</v>
      </c>
      <c r="BK895" s="80">
        <f t="shared" si="513"/>
        <v>294.59000000000003</v>
      </c>
      <c r="BL895" s="80">
        <f t="shared" si="514"/>
        <v>31.335853658536564</v>
      </c>
      <c r="BM895" s="79">
        <f t="shared" si="515"/>
        <v>9.61441177703143E-2</v>
      </c>
      <c r="BN895" s="81">
        <f t="shared" si="516"/>
        <v>0.76891891891891884</v>
      </c>
      <c r="BO895" s="82">
        <f t="shared" si="517"/>
        <v>85.35</v>
      </c>
      <c r="BP895" s="81">
        <f t="shared" si="518"/>
        <v>0.76891891891891884</v>
      </c>
      <c r="BQ895" s="81">
        <f t="shared" si="519"/>
        <v>0.92580824347663737</v>
      </c>
      <c r="BR895" s="81">
        <f t="shared" si="520"/>
        <v>1.2081132313913814</v>
      </c>
      <c r="BS895" s="82">
        <f t="shared" si="521"/>
        <v>111</v>
      </c>
      <c r="BT895" s="82">
        <f t="shared" si="522"/>
        <v>134.10056868444335</v>
      </c>
      <c r="BU895" s="82">
        <f t="shared" si="523"/>
        <v>116.68585365853657</v>
      </c>
      <c r="BW895" s="82">
        <f>IFERROR(INDEX('Infos Clientes'!$T:$T,MATCH('Detalhe Por UC'!$C895,'Infos Clientes'!B:B,0)),"")</f>
        <v>264</v>
      </c>
      <c r="BX895" s="83">
        <f t="shared" si="524"/>
        <v>0</v>
      </c>
      <c r="BY895" s="84">
        <f t="shared" si="525"/>
        <v>0.23367427868463453</v>
      </c>
      <c r="BZ895" s="85">
        <f>IF(_xlfn.MINIFS('Detalhe Por UC'!R:R,'Detalhe Por UC'!C:C,C895,'Detalhe Por UC'!AD:AD,"&gt;"&amp;0)=0,"",_xlfn.MINIFS('Detalhe Por UC'!R:R,'Detalhe Por UC'!C:C,C895,'Detalhe Por UC'!AD:AD,"&gt;"&amp;0))</f>
        <v>45658</v>
      </c>
      <c r="CA895" s="114">
        <f ca="1">IF(OR(S895&gt;0,AD895&gt;0),IFERROR(
SUMIFS(INDIRECT("'Infos Clientes'!$W"&amp;INDEX('Infos Clientes'!$C:$C,MATCH(C895,'Infos Clientes'!$H:$H,0))&amp;":$CZ"&amp;INDEX('Infos Clientes'!$C:$C,MATCH(C895,'Infos Clientes'!$H:$H,0))),'Infos Clientes'!$W$2:$CZ$2,"&gt;"&amp;$R895-365,'Infos Clientes'!$W$2:$CZ$2,"&lt;="&amp;$R895)/
COUNTIFS(INDIRECT("'Infos Clientes'!$W"&amp;INDEX('Infos Clientes'!$C:$C,MATCH(C895,'Infos Clientes'!$H:$H,0))&amp;":$CZ"&amp;INDEX('Infos Clientes'!$C:$C,MATCH(C895,'Infos Clientes'!$H:$H,0))),"&gt;="&amp;0,'Infos Clientes'!$W$2:$CZ$2,"&gt;"&amp;$R895-365,'Infos Clientes'!$W$2:$CZ$2,"&lt;="&amp;$R895),""),"")</f>
        <v>275.08333333333331</v>
      </c>
      <c r="CB895" s="87">
        <f>VLOOKUP(C895,'Infos Clientes'!B:L,11,0)</f>
        <v>0</v>
      </c>
      <c r="CC895" s="88" t="str">
        <f t="shared" si="526"/>
        <v>A Unidade Consumidora 10/52987-5 economizou R$31,34 na fatura referente à set/2025  consumindo 111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5" s="115">
        <f t="shared" si="527"/>
        <v>-209.24000000000004</v>
      </c>
    </row>
    <row r="896" spans="1:84" ht="16.2" hidden="1" customHeight="1" x14ac:dyDescent="0.3">
      <c r="A896" s="105" t="str">
        <f>INDEX('Infos Clientes'!$D:$D,MATCH('Detalhe Por UC'!C896,'Infos Clientes'!B:B,0))</f>
        <v>IGREJA DO EVANGELHO QUADRANGULAR</v>
      </c>
      <c r="B896" s="106" t="str">
        <f>INDEX('Infos Clientes'!$F:$F,MATCH('Detalhe Por UC'!C896,'Infos Clientes'!B:B,0))</f>
        <v>62.955.505/1893-40</v>
      </c>
      <c r="C896" s="107" t="s">
        <v>214</v>
      </c>
      <c r="D896" t="s">
        <v>351</v>
      </c>
      <c r="E896" s="1" t="s">
        <v>352</v>
      </c>
      <c r="F896" s="56" t="str">
        <f>INDEX('Infos Clientes'!$I:$I,MATCH('Detalhe Por UC'!C896,'Infos Clientes'!B:B,0))</f>
        <v>BT</v>
      </c>
      <c r="G896" s="56" t="str">
        <f>INDEX('Infos Clientes'!$J:$J,MATCH('Detalhe Por UC'!C896,'Infos Clientes'!B:B,0))</f>
        <v>trifasico</v>
      </c>
      <c r="H896" s="47" t="str">
        <f t="shared" si="528"/>
        <v>GIROSSOL III</v>
      </c>
      <c r="I896" s="58">
        <f>IFERROR(VLOOKUP(C896,'Infos Clientes'!B:E,4,),"")</f>
        <v>349</v>
      </c>
      <c r="J896" s="151">
        <v>0.26857922422136293</v>
      </c>
      <c r="K896" s="79">
        <f>INDEX('Resumo Operacional'!$A$1:$P$151,MATCH("Desconto percentual Ucs",'Resumo Operacional'!$B$1:$B$151,0),MATCH('Detalhe Por UC'!$R896,'Resumo Operacional'!$A$1:$P$1,0))</f>
        <v>0.26857922422136293</v>
      </c>
      <c r="M896" s="56"/>
      <c r="N896" s="56"/>
      <c r="O896" s="56"/>
      <c r="P896" s="56"/>
      <c r="Q896" s="61"/>
      <c r="R896" s="111">
        <v>45901</v>
      </c>
      <c r="S896" s="152">
        <v>1.29E-2</v>
      </c>
      <c r="T896" s="113" t="str">
        <f>IF($H896="GIROSSOL II",AP896/INDEX('Resumo Operacional'!$A$1:$P$1103,17,MATCH('Detalhe Por UC'!$R896,'Resumo Operacional'!$A$1:$P$1,0)),
IF($H896="GIROSSOL II e III",AP896/INDEX('Resumo Operacional'!$A$1:$P$1103,17,MATCH('Detalhe Por UC'!$R896,'Resumo Operacional'!$A$1:$P$1,0)),
""))</f>
        <v/>
      </c>
      <c r="U896" s="113">
        <f>IF($H896="GIROSSOL III",AP896/INDEX('Resumo Operacional'!$A$1:$P$1103,53,MATCH('Detalhe Por UC'!$R896,'Resumo Operacional'!$A$1:$P$1,0)),
IF($H896="GIROSSOL II e III",AP896/INDEX('Resumo Operacional'!$A$1:$P$1103,53,MATCH('Detalhe Por UC'!$R896,'Resumo Operacional'!$A$1:$P$1,0)),
""))</f>
        <v>0</v>
      </c>
      <c r="Z896" s="18"/>
      <c r="AB896" s="18"/>
      <c r="AD896" s="143"/>
      <c r="AF896" s="18"/>
      <c r="AL896" s="43"/>
      <c r="AN896" s="71" t="str">
        <f t="shared" si="494"/>
        <v/>
      </c>
      <c r="AO896" s="71" t="str">
        <f t="shared" si="495"/>
        <v/>
      </c>
      <c r="AP896" s="71">
        <f t="shared" si="496"/>
        <v>0</v>
      </c>
      <c r="AQ896" s="72">
        <f>IF(OR($H896="GIROSSOL II",$H896="GIROSSOL II e III"),INDEX('Resumo Operacional'!$A$1:$P$1103,MATCH("Energia Injetada prevista total Fatura da Usina (TUSD)",'Resumo Operacional'!$B$1:$B$1103,0),MATCH('Detalhe Por UC'!$R896,'Resumo Operacional'!$A$1:$P$1,0))*$S896,INDEX('Resumo Operacional'!$A$1:$P$1103,53,MATCH('Detalhe Por UC'!$R896,'Resumo Operacional'!$A$1:$P$1,0))*$S896)</f>
        <v>155.96100000000001</v>
      </c>
      <c r="AR896" s="71" t="str">
        <f t="shared" si="497"/>
        <v/>
      </c>
      <c r="AS896" s="73">
        <f t="shared" si="498"/>
        <v>0</v>
      </c>
      <c r="AT896" s="74">
        <f t="shared" si="499"/>
        <v>0</v>
      </c>
      <c r="AU896" s="74" t="str">
        <f t="shared" si="500"/>
        <v/>
      </c>
      <c r="AV896" s="74">
        <f t="shared" si="501"/>
        <v>0</v>
      </c>
      <c r="AW896" s="74">
        <f t="shared" si="502"/>
        <v>0</v>
      </c>
      <c r="AX896" s="74">
        <f t="shared" si="503"/>
        <v>0</v>
      </c>
      <c r="AY896" s="74" t="str">
        <f t="shared" si="504"/>
        <v/>
      </c>
      <c r="AZ896" s="117">
        <v>0</v>
      </c>
      <c r="BA896" s="117">
        <v>1E-10</v>
      </c>
      <c r="BC896" s="73" t="str">
        <f t="shared" si="505"/>
        <v/>
      </c>
      <c r="BD896" s="73">
        <f t="shared" si="506"/>
        <v>0</v>
      </c>
      <c r="BE896" s="73">
        <f t="shared" si="507"/>
        <v>0</v>
      </c>
      <c r="BF896" s="77">
        <f t="shared" si="508"/>
        <v>0</v>
      </c>
      <c r="BG896" s="77">
        <f t="shared" si="509"/>
        <v>0</v>
      </c>
      <c r="BH896" s="77">
        <f t="shared" si="510"/>
        <v>0</v>
      </c>
      <c r="BI896" s="78" t="str">
        <f t="shared" si="511"/>
        <v/>
      </c>
      <c r="BJ896" s="79" t="str">
        <f t="shared" si="512"/>
        <v/>
      </c>
      <c r="BK896" s="80" t="str">
        <f t="shared" si="513"/>
        <v/>
      </c>
      <c r="BL896" s="80" t="str">
        <f t="shared" si="514"/>
        <v/>
      </c>
      <c r="BM896" s="79" t="str">
        <f t="shared" si="515"/>
        <v/>
      </c>
      <c r="BN896" s="81" t="str">
        <f t="shared" si="516"/>
        <v/>
      </c>
      <c r="BO896" s="82" t="str">
        <f t="shared" si="517"/>
        <v/>
      </c>
      <c r="BP896" s="81" t="str">
        <f t="shared" si="518"/>
        <v/>
      </c>
      <c r="BQ896" s="81" t="str">
        <f t="shared" si="519"/>
        <v/>
      </c>
      <c r="BR896" s="81" t="str">
        <f t="shared" si="520"/>
        <v/>
      </c>
      <c r="BS896" s="82">
        <f t="shared" si="521"/>
        <v>0</v>
      </c>
      <c r="BT896" s="82" t="str">
        <f t="shared" si="522"/>
        <v/>
      </c>
      <c r="BU896" s="82">
        <f t="shared" si="523"/>
        <v>0</v>
      </c>
      <c r="BW896" s="82">
        <f>IFERROR(INDEX('Infos Clientes'!$T:$T,MATCH('Detalhe Por UC'!$C896,'Infos Clientes'!B:B,0)),"")</f>
        <v>254.09090909090909</v>
      </c>
      <c r="BX896" s="83">
        <f t="shared" si="524"/>
        <v>0</v>
      </c>
      <c r="BY896" s="84" t="str">
        <f t="shared" si="525"/>
        <v/>
      </c>
      <c r="BZ896" s="85">
        <f>IF(_xlfn.MINIFS('Detalhe Por UC'!R:R,'Detalhe Por UC'!C:C,C896,'Detalhe Por UC'!AD:AD,"&gt;"&amp;0)=0,"",_xlfn.MINIFS('Detalhe Por UC'!R:R,'Detalhe Por UC'!C:C,C896,'Detalhe Por UC'!AD:AD,"&gt;"&amp;0))</f>
        <v>45658</v>
      </c>
      <c r="CA896" s="114">
        <f ca="1">IF(OR(S896&gt;0,AD896&gt;0),IFERROR(
SUMIFS(INDIRECT("'Infos Clientes'!$W"&amp;INDEX('Infos Clientes'!$C:$C,MATCH(C896,'Infos Clientes'!$H:$H,0))&amp;":$CZ"&amp;INDEX('Infos Clientes'!$C:$C,MATCH(C896,'Infos Clientes'!$H:$H,0))),'Infos Clientes'!$W$2:$CZ$2,"&gt;"&amp;$R896-365,'Infos Clientes'!$W$2:$CZ$2,"&lt;="&amp;$R896)/
COUNTIFS(INDIRECT("'Infos Clientes'!$W"&amp;INDEX('Infos Clientes'!$C:$C,MATCH(C896,'Infos Clientes'!$H:$H,0))&amp;":$CZ"&amp;INDEX('Infos Clientes'!$C:$C,MATCH(C896,'Infos Clientes'!$H:$H,0))),"&gt;="&amp;0,'Infos Clientes'!$W$2:$CZ$2,"&gt;"&amp;$R896-365,'Infos Clientes'!$W$2:$CZ$2,"&lt;="&amp;$R896),""),"")</f>
        <v>258</v>
      </c>
      <c r="CB896" s="87">
        <f>VLOOKUP(C896,'Infos Clientes'!B:L,11,0)</f>
        <v>0</v>
      </c>
      <c r="CC896" s="88" t="str">
        <f t="shared" si="526"/>
        <v>A Unidade Consumidora 10/512142-1 economizou R$0 na fatura referente à set/2025  consumindo 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6" s="115">
        <f t="shared" si="527"/>
        <v>0</v>
      </c>
    </row>
    <row r="897" spans="1:84" ht="16.2" hidden="1" customHeight="1" x14ac:dyDescent="0.3">
      <c r="A897" s="105" t="str">
        <f>INDEX('Infos Clientes'!$D:$D,MATCH('Detalhe Por UC'!C897,'Infos Clientes'!B:B,0))</f>
        <v>IGREJA DO EVANGELHO QUADRANGULAR</v>
      </c>
      <c r="B897" s="106" t="str">
        <f>INDEX('Infos Clientes'!$F:$F,MATCH('Detalhe Por UC'!C897,'Infos Clientes'!B:B,0))</f>
        <v>62.955.505/0155-12</v>
      </c>
      <c r="C897" s="31" t="s">
        <v>189</v>
      </c>
      <c r="D897" t="s">
        <v>351</v>
      </c>
      <c r="E897" s="1" t="s">
        <v>352</v>
      </c>
      <c r="F897" s="56" t="str">
        <f>INDEX('Infos Clientes'!$I:$I,MATCH('Detalhe Por UC'!C897,'Infos Clientes'!B:B,0))</f>
        <v>BT</v>
      </c>
      <c r="G897" s="56" t="str">
        <f>INDEX('Infos Clientes'!$J:$J,MATCH('Detalhe Por UC'!C897,'Infos Clientes'!B:B,0))</f>
        <v>bifasico</v>
      </c>
      <c r="H897" s="47" t="str">
        <f t="shared" si="528"/>
        <v>GIROSSOL III</v>
      </c>
      <c r="I897" s="58">
        <f>IFERROR(VLOOKUP(C897,'Infos Clientes'!B:E,4,),"")</f>
        <v>358</v>
      </c>
      <c r="J897" s="151">
        <v>0.26857922422136293</v>
      </c>
      <c r="K897" s="79">
        <f>INDEX('Resumo Operacional'!$A$1:$P$151,MATCH("Desconto percentual Ucs",'Resumo Operacional'!$B$1:$B$151,0),MATCH('Detalhe Por UC'!$R897,'Resumo Operacional'!$A$1:$P$1,0))</f>
        <v>0.26857922422136293</v>
      </c>
      <c r="M897" s="56"/>
      <c r="N897" s="56"/>
      <c r="O897" s="56"/>
      <c r="P897" s="56"/>
      <c r="Q897" s="61"/>
      <c r="R897" s="111">
        <v>45901</v>
      </c>
      <c r="S897" s="152">
        <v>1.23E-2</v>
      </c>
      <c r="T897" s="113" t="str">
        <f>IF($H897="GIROSSOL II",AP897/INDEX('Resumo Operacional'!$A$1:$P$1103,17,MATCH('Detalhe Por UC'!$R897,'Resumo Operacional'!$A$1:$P$1,0)),
IF($H897="GIROSSOL II e III",AP897/INDEX('Resumo Operacional'!$A$1:$P$1103,17,MATCH('Detalhe Por UC'!$R897,'Resumo Operacional'!$A$1:$P$1,0)),
""))</f>
        <v/>
      </c>
      <c r="U897" s="113">
        <f>IF($H897="GIROSSOL III",AP897/INDEX('Resumo Operacional'!$A$1:$P$1103,53,MATCH('Detalhe Por UC'!$R897,'Resumo Operacional'!$A$1:$P$1,0)),
IF($H897="GIROSSOL II e III",AP897/INDEX('Resumo Operacional'!$A$1:$P$1103,53,MATCH('Detalhe Por UC'!$R897,'Resumo Operacional'!$A$1:$P$1,0)),
""))</f>
        <v>3.3085194375516956E-3</v>
      </c>
      <c r="X897">
        <v>1.2081111111111111</v>
      </c>
      <c r="Z897" s="18">
        <v>1.05125</v>
      </c>
      <c r="AB897" s="18">
        <v>180</v>
      </c>
      <c r="AD897" s="143">
        <v>40</v>
      </c>
      <c r="AF897" s="18">
        <v>0</v>
      </c>
      <c r="AG897">
        <v>0</v>
      </c>
      <c r="AH897">
        <v>79.540000000000006</v>
      </c>
      <c r="AL897" s="43"/>
      <c r="AN897" s="71">
        <f t="shared" si="494"/>
        <v>0</v>
      </c>
      <c r="AO897" s="71">
        <f t="shared" si="495"/>
        <v>0</v>
      </c>
      <c r="AP897" s="71">
        <f t="shared" si="496"/>
        <v>40</v>
      </c>
      <c r="AQ897" s="72">
        <f>IF(OR($H897="GIROSSOL II",$H897="GIROSSOL II e III"),INDEX('Resumo Operacional'!$A$1:$P$1103,MATCH("Energia Injetada prevista total Fatura da Usina (TUSD)",'Resumo Operacional'!$B$1:$B$1103,0),MATCH('Detalhe Por UC'!$R897,'Resumo Operacional'!$A$1:$P$1,0))*$S897,INDEX('Resumo Operacional'!$A$1:$P$1103,53,MATCH('Detalhe Por UC'!$R897,'Resumo Operacional'!$A$1:$P$1,0))*$S897)</f>
        <v>148.70699999999999</v>
      </c>
      <c r="AR897" s="71">
        <f t="shared" si="497"/>
        <v>-108.70699999999999</v>
      </c>
      <c r="AS897" s="73">
        <f t="shared" si="498"/>
        <v>254.95000000000005</v>
      </c>
      <c r="AT897" s="74">
        <f t="shared" si="499"/>
        <v>254.95000000000005</v>
      </c>
      <c r="AU897" s="74">
        <f t="shared" si="500"/>
        <v>0.8943888888888889</v>
      </c>
      <c r="AV897" s="74">
        <f t="shared" si="501"/>
        <v>30.756243621491688</v>
      </c>
      <c r="AW897" s="74">
        <f t="shared" si="502"/>
        <v>0</v>
      </c>
      <c r="AX897" s="74">
        <f t="shared" si="503"/>
        <v>42.05</v>
      </c>
      <c r="AY897" s="74">
        <f t="shared" si="504"/>
        <v>30.76</v>
      </c>
      <c r="AZ897" s="117">
        <v>30.76</v>
      </c>
      <c r="BA897" s="117">
        <v>30.76</v>
      </c>
      <c r="BB897" s="117">
        <v>30.76</v>
      </c>
      <c r="BC897" s="73" t="str">
        <f t="shared" si="505"/>
        <v/>
      </c>
      <c r="BD897" s="73">
        <f t="shared" si="506"/>
        <v>297</v>
      </c>
      <c r="BE897" s="73">
        <f t="shared" si="507"/>
        <v>285.70624362149175</v>
      </c>
      <c r="BF897" s="77">
        <f t="shared" si="508"/>
        <v>11.29</v>
      </c>
      <c r="BG897" s="77">
        <f t="shared" si="509"/>
        <v>3.3869999999999996</v>
      </c>
      <c r="BH897" s="77">
        <f t="shared" si="510"/>
        <v>42.05</v>
      </c>
      <c r="BI897" s="78">
        <f t="shared" si="511"/>
        <v>0.27</v>
      </c>
      <c r="BJ897" s="79">
        <f t="shared" si="512"/>
        <v>3.8013468013468013E-2</v>
      </c>
      <c r="BK897" s="80">
        <f t="shared" si="513"/>
        <v>285.71000000000004</v>
      </c>
      <c r="BL897" s="80">
        <f t="shared" si="514"/>
        <v>11.289999999999964</v>
      </c>
      <c r="BM897" s="79">
        <f t="shared" si="515"/>
        <v>3.8013468013467888E-2</v>
      </c>
      <c r="BN897" s="81">
        <f t="shared" si="516"/>
        <v>0.76900000000000002</v>
      </c>
      <c r="BO897" s="82">
        <f t="shared" si="517"/>
        <v>30.76</v>
      </c>
      <c r="BP897" s="81">
        <f t="shared" si="518"/>
        <v>0.76900000000000002</v>
      </c>
      <c r="BQ897" s="81">
        <f t="shared" si="519"/>
        <v>0.92586111111111113</v>
      </c>
      <c r="BR897" s="81">
        <f t="shared" si="520"/>
        <v>1.2081111111111111</v>
      </c>
      <c r="BS897" s="82">
        <f t="shared" si="521"/>
        <v>40</v>
      </c>
      <c r="BT897" s="82">
        <f t="shared" si="522"/>
        <v>48.324444444444445</v>
      </c>
      <c r="BU897" s="82">
        <f t="shared" si="523"/>
        <v>42.05</v>
      </c>
      <c r="BW897" s="82">
        <f>IFERROR(INDEX('Infos Clientes'!$T:$T,MATCH('Detalhe Por UC'!$C897,'Infos Clientes'!B:B,0)),"")</f>
        <v>164.36363636363637</v>
      </c>
      <c r="BX897" s="83">
        <f t="shared" si="524"/>
        <v>0</v>
      </c>
      <c r="BY897" s="84">
        <f t="shared" si="525"/>
        <v>0.23362917318127471</v>
      </c>
      <c r="BZ897" s="85">
        <f>IF(_xlfn.MINIFS('Detalhe Por UC'!R:R,'Detalhe Por UC'!C:C,C897,'Detalhe Por UC'!AD:AD,"&gt;"&amp;0)=0,"",_xlfn.MINIFS('Detalhe Por UC'!R:R,'Detalhe Por UC'!C:C,C897,'Detalhe Por UC'!AD:AD,"&gt;"&amp;0))</f>
        <v>45658</v>
      </c>
      <c r="CA897" s="114">
        <f ca="1">IF(OR(S897&gt;0,AD897&gt;0),IFERROR(
SUMIFS(INDIRECT("'Infos Clientes'!$W"&amp;INDEX('Infos Clientes'!$C:$C,MATCH(C897,'Infos Clientes'!$H:$H,0))&amp;":$CZ"&amp;INDEX('Infos Clientes'!$C:$C,MATCH(C897,'Infos Clientes'!$H:$H,0))),'Infos Clientes'!$W$2:$CZ$2,"&gt;"&amp;$R897-365,'Infos Clientes'!$W$2:$CZ$2,"&lt;="&amp;$R897)/
COUNTIFS(INDIRECT("'Infos Clientes'!$W"&amp;INDEX('Infos Clientes'!$C:$C,MATCH(C897,'Infos Clientes'!$H:$H,0))&amp;":$CZ"&amp;INDEX('Infos Clientes'!$C:$C,MATCH(C897,'Infos Clientes'!$H:$H,0))),"&gt;="&amp;0,'Infos Clientes'!$W$2:$CZ$2,"&gt;"&amp;$R897-365,'Infos Clientes'!$W$2:$CZ$2,"&lt;="&amp;$R897),""),"")</f>
        <v>189.75</v>
      </c>
      <c r="CB897" s="87">
        <f>VLOOKUP(C897,'Infos Clientes'!B:L,11,0)</f>
        <v>0</v>
      </c>
      <c r="CC897" s="88" t="str">
        <f t="shared" si="526"/>
        <v>A Unidade Consumidora 10/3125732-2 economizou R$11,29 na fatura referente à set/2025  consumindo 40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7" s="115">
        <f t="shared" si="527"/>
        <v>-254.95000000000005</v>
      </c>
    </row>
    <row r="898" spans="1:84" ht="16.2" hidden="1" customHeight="1" x14ac:dyDescent="0.3">
      <c r="A898" s="105" t="str">
        <f>INDEX('Infos Clientes'!$D:$D,MATCH('Detalhe Por UC'!C898,'Infos Clientes'!B:B,0))</f>
        <v>IGREJA DO EVANGELHO QUADRANGULAR</v>
      </c>
      <c r="B898" s="106" t="str">
        <f>INDEX('Infos Clientes'!$F:$F,MATCH('Detalhe Por UC'!C898,'Infos Clientes'!B:B,0))</f>
        <v>62.955.505/3358-51</v>
      </c>
      <c r="C898" s="31" t="s">
        <v>150</v>
      </c>
      <c r="D898" t="s">
        <v>351</v>
      </c>
      <c r="E898" s="1" t="s">
        <v>352</v>
      </c>
      <c r="F898" s="56" t="str">
        <f>INDEX('Infos Clientes'!$I:$I,MATCH('Detalhe Por UC'!C898,'Infos Clientes'!B:B,0))</f>
        <v>BT</v>
      </c>
      <c r="G898" s="56" t="str">
        <f>INDEX('Infos Clientes'!$J:$J,MATCH('Detalhe Por UC'!C898,'Infos Clientes'!B:B,0))</f>
        <v>trifasico</v>
      </c>
      <c r="H898" s="47" t="str">
        <f t="shared" si="528"/>
        <v>GIROSSOL III</v>
      </c>
      <c r="I898" s="58">
        <f>IFERROR(VLOOKUP(C898,'Infos Clientes'!B:E,4,),"")</f>
        <v>306</v>
      </c>
      <c r="J898" s="151">
        <v>0.26857922422136293</v>
      </c>
      <c r="K898" s="79">
        <f>INDEX('Resumo Operacional'!$A$1:$P$151,MATCH("Desconto percentual Ucs",'Resumo Operacional'!$B$1:$B$151,0),MATCH('Detalhe Por UC'!$R898,'Resumo Operacional'!$A$1:$P$1,0))</f>
        <v>0.26857922422136293</v>
      </c>
      <c r="M898" s="56"/>
      <c r="N898" s="56"/>
      <c r="O898" s="56"/>
      <c r="P898" s="56"/>
      <c r="Q898" s="61"/>
      <c r="R898" s="111">
        <v>45901</v>
      </c>
      <c r="S898" s="152">
        <v>1.0800000000000001E-2</v>
      </c>
      <c r="T898" s="113" t="str">
        <f>IF($H898="GIROSSOL II",AP898/INDEX('Resumo Operacional'!$A$1:$P$1103,17,MATCH('Detalhe Por UC'!$R898,'Resumo Operacional'!$A$1:$P$1,0)),
IF($H898="GIROSSOL II e III",AP898/INDEX('Resumo Operacional'!$A$1:$P$1103,17,MATCH('Detalhe Por UC'!$R898,'Resumo Operacional'!$A$1:$P$1,0)),
""))</f>
        <v/>
      </c>
      <c r="U898" s="113">
        <f>IF($H898="GIROSSOL III",AP898/INDEX('Resumo Operacional'!$A$1:$P$1103,53,MATCH('Detalhe Por UC'!$R898,'Resumo Operacional'!$A$1:$P$1,0)),
IF($H898="GIROSSOL II e III",AP898/INDEX('Resumo Operacional'!$A$1:$P$1103,53,MATCH('Detalhe Por UC'!$R898,'Resumo Operacional'!$A$1:$P$1,0)),
""))</f>
        <v>5.4590570719602978E-3</v>
      </c>
      <c r="X898">
        <v>1.2080613724226803</v>
      </c>
      <c r="Z898" s="18">
        <v>1.0512713068181818</v>
      </c>
      <c r="AB898" s="18">
        <v>194</v>
      </c>
      <c r="AD898" s="143">
        <v>66</v>
      </c>
      <c r="AF898" s="18">
        <v>0</v>
      </c>
      <c r="AG898">
        <v>0</v>
      </c>
      <c r="AH898">
        <v>2.38</v>
      </c>
      <c r="AL898" s="43"/>
      <c r="AN898" s="71">
        <f t="shared" si="494"/>
        <v>0</v>
      </c>
      <c r="AO898" s="71">
        <f t="shared" si="495"/>
        <v>0</v>
      </c>
      <c r="AP898" s="71">
        <f t="shared" si="496"/>
        <v>66</v>
      </c>
      <c r="AQ898" s="72">
        <f>IF(OR($H898="GIROSSOL II",$H898="GIROSSOL II e III"),INDEX('Resumo Operacional'!$A$1:$P$1103,MATCH("Energia Injetada prevista total Fatura da Usina (TUSD)",'Resumo Operacional'!$B$1:$B$1103,0),MATCH('Detalhe Por UC'!$R898,'Resumo Operacional'!$A$1:$P$1,0))*$S898,INDEX('Resumo Operacional'!$A$1:$P$1103,53,MATCH('Detalhe Por UC'!$R898,'Resumo Operacional'!$A$1:$P$1,0))*$S898)</f>
        <v>130.572</v>
      </c>
      <c r="AR898" s="71">
        <f t="shared" si="497"/>
        <v>-64.572000000000003</v>
      </c>
      <c r="AS898" s="73">
        <f t="shared" si="498"/>
        <v>167.35999999999999</v>
      </c>
      <c r="AT898" s="74">
        <f t="shared" si="499"/>
        <v>167.35999999999999</v>
      </c>
      <c r="AU898" s="74">
        <f t="shared" si="500"/>
        <v>0.89448124121368333</v>
      </c>
      <c r="AV898" s="74">
        <f t="shared" si="501"/>
        <v>50.748830535927219</v>
      </c>
      <c r="AW898" s="74">
        <f t="shared" si="502"/>
        <v>0</v>
      </c>
      <c r="AX898" s="74">
        <f t="shared" si="503"/>
        <v>69.383906249999995</v>
      </c>
      <c r="AY898" s="74">
        <f t="shared" si="504"/>
        <v>50.75</v>
      </c>
      <c r="AZ898" s="117">
        <v>50.75</v>
      </c>
      <c r="BA898" s="117">
        <v>50.75</v>
      </c>
      <c r="BB898" s="117">
        <v>50.75</v>
      </c>
      <c r="BC898" s="73" t="str">
        <f t="shared" si="505"/>
        <v/>
      </c>
      <c r="BD898" s="73">
        <f t="shared" si="506"/>
        <v>236.74390624999998</v>
      </c>
      <c r="BE898" s="73">
        <f t="shared" si="507"/>
        <v>218.10883053592721</v>
      </c>
      <c r="BF898" s="77">
        <f t="shared" si="508"/>
        <v>18.64</v>
      </c>
      <c r="BG898" s="77">
        <f t="shared" si="509"/>
        <v>5.5919999999999996</v>
      </c>
      <c r="BH898" s="77">
        <f t="shared" si="510"/>
        <v>69.38390625000001</v>
      </c>
      <c r="BI898" s="78">
        <f t="shared" si="511"/>
        <v>0.27</v>
      </c>
      <c r="BJ898" s="79">
        <f t="shared" si="512"/>
        <v>7.8734867119731836E-2</v>
      </c>
      <c r="BK898" s="80">
        <f t="shared" si="513"/>
        <v>218.10999999999999</v>
      </c>
      <c r="BL898" s="80">
        <f t="shared" si="514"/>
        <v>18.633906249999995</v>
      </c>
      <c r="BM898" s="79">
        <f t="shared" si="515"/>
        <v>7.8709127280863211E-2</v>
      </c>
      <c r="BN898" s="81">
        <f t="shared" si="516"/>
        <v>0.76893939393939392</v>
      </c>
      <c r="BO898" s="82">
        <f t="shared" si="517"/>
        <v>50.75</v>
      </c>
      <c r="BP898" s="81">
        <f t="shared" si="518"/>
        <v>0.76893939393939392</v>
      </c>
      <c r="BQ898" s="81">
        <f t="shared" si="519"/>
        <v>0.92572945954389241</v>
      </c>
      <c r="BR898" s="81">
        <f t="shared" si="520"/>
        <v>1.2080613724226803</v>
      </c>
      <c r="BS898" s="82">
        <f t="shared" si="521"/>
        <v>66</v>
      </c>
      <c r="BT898" s="82">
        <f t="shared" si="522"/>
        <v>79.732050579896907</v>
      </c>
      <c r="BU898" s="82">
        <f t="shared" si="523"/>
        <v>69.383906249999995</v>
      </c>
      <c r="BW898" s="82">
        <f>IFERROR(INDEX('Infos Clientes'!$T:$T,MATCH('Detalhe Por UC'!$C898,'Infos Clientes'!B:B,0)),"")</f>
        <v>209.54545454545453</v>
      </c>
      <c r="BX898" s="83">
        <f t="shared" si="524"/>
        <v>0</v>
      </c>
      <c r="BY898" s="84">
        <f t="shared" si="525"/>
        <v>0.23370659746581543</v>
      </c>
      <c r="BZ898" s="85">
        <f>IF(_xlfn.MINIFS('Detalhe Por UC'!R:R,'Detalhe Por UC'!C:C,C898,'Detalhe Por UC'!AD:AD,"&gt;"&amp;0)=0,"",_xlfn.MINIFS('Detalhe Por UC'!R:R,'Detalhe Por UC'!C:C,C898,'Detalhe Por UC'!AD:AD,"&gt;"&amp;0))</f>
        <v>45658</v>
      </c>
      <c r="CA898" s="114">
        <f ca="1">IF(OR(S898&gt;0,AD898&gt;0),IFERROR(
SUMIFS(INDIRECT("'Infos Clientes'!$W"&amp;INDEX('Infos Clientes'!$C:$C,MATCH(C898,'Infos Clientes'!$H:$H,0))&amp;":$CZ"&amp;INDEX('Infos Clientes'!$C:$C,MATCH(C898,'Infos Clientes'!$H:$H,0))),'Infos Clientes'!$W$2:$CZ$2,"&gt;"&amp;$R898-365,'Infos Clientes'!$W$2:$CZ$2,"&lt;="&amp;$R898)/
COUNTIFS(INDIRECT("'Infos Clientes'!$W"&amp;INDEX('Infos Clientes'!$C:$C,MATCH(C898,'Infos Clientes'!$H:$H,0))&amp;":$CZ"&amp;INDEX('Infos Clientes'!$C:$C,MATCH(C898,'Infos Clientes'!$H:$H,0))),"&gt;="&amp;0,'Infos Clientes'!$W$2:$CZ$2,"&gt;"&amp;$R898-365,'Infos Clientes'!$W$2:$CZ$2,"&lt;="&amp;$R898),""),"")</f>
        <v>226</v>
      </c>
      <c r="CB898" s="87">
        <f>VLOOKUP(C898,'Infos Clientes'!B:L,11,0)</f>
        <v>0</v>
      </c>
      <c r="CC898" s="88" t="str">
        <f t="shared" si="526"/>
        <v>A Unidade Consumidora 10/1288241-1 economizou R$18,64 na fatura referente à set/2025  consumindo 66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8" s="115">
        <f t="shared" si="527"/>
        <v>-167.35999999999999</v>
      </c>
    </row>
    <row r="899" spans="1:84" ht="16.2" hidden="1" customHeight="1" x14ac:dyDescent="0.3">
      <c r="A899" s="105" t="str">
        <f>INDEX('Infos Clientes'!$D:$D,MATCH('Detalhe Por UC'!C899,'Infos Clientes'!B:B,0))</f>
        <v>IGREJA DO EVANGELHO QUADRANGULAR</v>
      </c>
      <c r="B899" s="106" t="str">
        <f>INDEX('Infos Clientes'!$F:$F,MATCH('Detalhe Por UC'!C899,'Infos Clientes'!B:B,0))</f>
        <v>62.955.505/0155-12</v>
      </c>
      <c r="C899" s="31" t="s">
        <v>205</v>
      </c>
      <c r="D899" t="s">
        <v>351</v>
      </c>
      <c r="E899" s="1" t="s">
        <v>352</v>
      </c>
      <c r="F899" s="56" t="str">
        <f>INDEX('Infos Clientes'!$I:$I,MATCH('Detalhe Por UC'!C899,'Infos Clientes'!B:B,0))</f>
        <v>BT</v>
      </c>
      <c r="G899" s="56" t="str">
        <f>INDEX('Infos Clientes'!$J:$J,MATCH('Detalhe Por UC'!C899,'Infos Clientes'!B:B,0))</f>
        <v>bifasico</v>
      </c>
      <c r="H899" s="47" t="str">
        <f t="shared" si="528"/>
        <v>GIROSSOL III</v>
      </c>
      <c r="I899" s="58">
        <f>IFERROR(VLOOKUP(C899,'Infos Clientes'!B:E,4,),"")</f>
        <v>358</v>
      </c>
      <c r="J899" s="151">
        <v>0.26857922422136293</v>
      </c>
      <c r="K899" s="79">
        <f>INDEX('Resumo Operacional'!$A$1:$P$151,MATCH("Desconto percentual Ucs",'Resumo Operacional'!$B$1:$B$151,0),MATCH('Detalhe Por UC'!$R899,'Resumo Operacional'!$A$1:$P$1,0))</f>
        <v>0.26857922422136293</v>
      </c>
      <c r="M899" s="56"/>
      <c r="N899" s="56"/>
      <c r="O899" s="56"/>
      <c r="P899" s="56"/>
      <c r="Q899" s="61"/>
      <c r="R899" s="111">
        <v>45901</v>
      </c>
      <c r="S899" s="152">
        <v>1.0800000000000001E-2</v>
      </c>
      <c r="T899" s="113" t="str">
        <f>IF($H899="GIROSSOL II",AP899/INDEX('Resumo Operacional'!$A$1:$P$1103,17,MATCH('Detalhe Por UC'!$R899,'Resumo Operacional'!$A$1:$P$1,0)),
IF($H899="GIROSSOL II e III",AP899/INDEX('Resumo Operacional'!$A$1:$P$1103,17,MATCH('Detalhe Por UC'!$R899,'Resumo Operacional'!$A$1:$P$1,0)),
""))</f>
        <v/>
      </c>
      <c r="U899" s="113">
        <f>IF($H899="GIROSSOL III",AP899/INDEX('Resumo Operacional'!$A$1:$P$1103,53,MATCH('Detalhe Por UC'!$R899,'Resumo Operacional'!$A$1:$P$1,0)),
IF($H899="GIROSSOL II e III",AP899/INDEX('Resumo Operacional'!$A$1:$P$1103,53,MATCH('Detalhe Por UC'!$R899,'Resumo Operacional'!$A$1:$P$1,0)),
""))</f>
        <v>5.4590570719602978E-3</v>
      </c>
      <c r="X899">
        <v>1.2080432507847925</v>
      </c>
      <c r="Z899" s="18">
        <v>1.0512444113263786</v>
      </c>
      <c r="AB899" s="18">
        <v>188</v>
      </c>
      <c r="AD899" s="143">
        <v>66</v>
      </c>
      <c r="AF899" s="18">
        <v>0</v>
      </c>
      <c r="AG899">
        <v>0</v>
      </c>
      <c r="AH899">
        <v>52.15</v>
      </c>
      <c r="AL899" s="43"/>
      <c r="AN899" s="71">
        <f t="shared" si="494"/>
        <v>0</v>
      </c>
      <c r="AO899" s="71">
        <f t="shared" si="495"/>
        <v>0</v>
      </c>
      <c r="AP899" s="71">
        <f t="shared" si="496"/>
        <v>66</v>
      </c>
      <c r="AQ899" s="72">
        <f>IF(OR($H899="GIROSSOL II",$H899="GIROSSOL II e III"),INDEX('Resumo Operacional'!$A$1:$P$1103,MATCH("Energia Injetada prevista total Fatura da Usina (TUSD)",'Resumo Operacional'!$B$1:$B$1103,0),MATCH('Detalhe Por UC'!$R899,'Resumo Operacional'!$A$1:$P$1,0))*$S899,INDEX('Resumo Operacional'!$A$1:$P$1103,53,MATCH('Detalhe Por UC'!$R899,'Resumo Operacional'!$A$1:$P$1,0))*$S899)</f>
        <v>130.572</v>
      </c>
      <c r="AR899" s="71">
        <f t="shared" si="497"/>
        <v>-64.572000000000003</v>
      </c>
      <c r="AS899" s="73">
        <f t="shared" si="498"/>
        <v>209.88000000000002</v>
      </c>
      <c r="AT899" s="74">
        <f t="shared" si="499"/>
        <v>209.88000000000002</v>
      </c>
      <c r="AU899" s="74">
        <f t="shared" si="500"/>
        <v>0.89444557186796469</v>
      </c>
      <c r="AV899" s="74">
        <f t="shared" si="501"/>
        <v>50.747532189109563</v>
      </c>
      <c r="AW899" s="74">
        <f t="shared" si="502"/>
        <v>0</v>
      </c>
      <c r="AX899" s="74">
        <f t="shared" si="503"/>
        <v>69.382131147540989</v>
      </c>
      <c r="AY899" s="74">
        <f t="shared" si="504"/>
        <v>50.75</v>
      </c>
      <c r="AZ899" s="117">
        <v>50.75</v>
      </c>
      <c r="BA899" s="117">
        <v>50.75</v>
      </c>
      <c r="BB899" s="117">
        <v>50.75</v>
      </c>
      <c r="BC899" s="73" t="str">
        <f t="shared" si="505"/>
        <v/>
      </c>
      <c r="BD899" s="73">
        <f t="shared" si="506"/>
        <v>279.26213114754097</v>
      </c>
      <c r="BE899" s="73">
        <f t="shared" si="507"/>
        <v>260.62753218910962</v>
      </c>
      <c r="BF899" s="77">
        <f t="shared" si="508"/>
        <v>18.63</v>
      </c>
      <c r="BG899" s="77">
        <f t="shared" si="509"/>
        <v>5.5889999999999995</v>
      </c>
      <c r="BH899" s="77">
        <f t="shared" si="510"/>
        <v>69.382131147540974</v>
      </c>
      <c r="BI899" s="78">
        <f t="shared" si="511"/>
        <v>0.27</v>
      </c>
      <c r="BJ899" s="79">
        <f t="shared" si="512"/>
        <v>6.67115155336164E-2</v>
      </c>
      <c r="BK899" s="80">
        <f t="shared" si="513"/>
        <v>260.63</v>
      </c>
      <c r="BL899" s="80">
        <f t="shared" si="514"/>
        <v>18.632131147540974</v>
      </c>
      <c r="BM899" s="79">
        <f t="shared" si="515"/>
        <v>6.6719146885322475E-2</v>
      </c>
      <c r="BN899" s="81">
        <f t="shared" si="516"/>
        <v>0.76893939393939392</v>
      </c>
      <c r="BO899" s="82">
        <f t="shared" si="517"/>
        <v>50.75</v>
      </c>
      <c r="BP899" s="81">
        <f t="shared" si="518"/>
        <v>0.76893939393939392</v>
      </c>
      <c r="BQ899" s="81">
        <f t="shared" si="519"/>
        <v>0.92573823339780781</v>
      </c>
      <c r="BR899" s="81">
        <f t="shared" si="520"/>
        <v>1.2080432507847925</v>
      </c>
      <c r="BS899" s="82">
        <f t="shared" si="521"/>
        <v>66</v>
      </c>
      <c r="BT899" s="82">
        <f t="shared" si="522"/>
        <v>79.730854551796298</v>
      </c>
      <c r="BU899" s="82">
        <f t="shared" si="523"/>
        <v>69.382131147540989</v>
      </c>
      <c r="BW899" s="82">
        <f>IFERROR(INDEX('Infos Clientes'!$T:$T,MATCH('Detalhe Por UC'!$C899,'Infos Clientes'!B:B,0)),"")</f>
        <v>178</v>
      </c>
      <c r="BX899" s="83">
        <f t="shared" si="524"/>
        <v>0</v>
      </c>
      <c r="BY899" s="84">
        <f t="shared" si="525"/>
        <v>0.23368783957328365</v>
      </c>
      <c r="BZ899" s="85">
        <f>IF(_xlfn.MINIFS('Detalhe Por UC'!R:R,'Detalhe Por UC'!C:C,C899,'Detalhe Por UC'!AD:AD,"&gt;"&amp;0)=0,"",_xlfn.MINIFS('Detalhe Por UC'!R:R,'Detalhe Por UC'!C:C,C899,'Detalhe Por UC'!AD:AD,"&gt;"&amp;0))</f>
        <v>45658</v>
      </c>
      <c r="CA899" s="114">
        <f ca="1">IF(OR(S899&gt;0,AD899&gt;0),IFERROR(
SUMIFS(INDIRECT("'Infos Clientes'!$W"&amp;INDEX('Infos Clientes'!$C:$C,MATCH(C899,'Infos Clientes'!$H:$H,0))&amp;":$CZ"&amp;INDEX('Infos Clientes'!$C:$C,MATCH(C899,'Infos Clientes'!$H:$H,0))),'Infos Clientes'!$W$2:$CZ$2,"&gt;"&amp;$R899-365,'Infos Clientes'!$W$2:$CZ$2,"&lt;="&amp;$R899)/
COUNTIFS(INDIRECT("'Infos Clientes'!$W"&amp;INDEX('Infos Clientes'!$C:$C,MATCH(C899,'Infos Clientes'!$H:$H,0))&amp;":$CZ"&amp;INDEX('Infos Clientes'!$C:$C,MATCH(C899,'Infos Clientes'!$H:$H,0))),"&gt;="&amp;0,'Infos Clientes'!$W$2:$CZ$2,"&gt;"&amp;$R899-365,'Infos Clientes'!$W$2:$CZ$2,"&lt;="&amp;$R899),""),"")</f>
        <v>172.83333333333334</v>
      </c>
      <c r="CB899" s="87">
        <f>VLOOKUP(C899,'Infos Clientes'!B:L,11,0)</f>
        <v>0</v>
      </c>
      <c r="CC899" s="88" t="str">
        <f t="shared" si="526"/>
        <v>A Unidade Consumidora 10/466560-0 economizou R$18,63 na fatura referente à set/2025  consumindo 66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899" s="115">
        <f t="shared" si="527"/>
        <v>-209.88000000000002</v>
      </c>
    </row>
    <row r="900" spans="1:84" ht="16.2" hidden="1" customHeight="1" x14ac:dyDescent="0.3">
      <c r="A900" s="105" t="str">
        <f>INDEX('Infos Clientes'!$D:$D,MATCH('Detalhe Por UC'!C900,'Infos Clientes'!B:B,0))</f>
        <v>IGREJA DO EVANGELHO QUADRANGULAR</v>
      </c>
      <c r="B900" s="106" t="str">
        <f>INDEX('Infos Clientes'!$F:$F,MATCH('Detalhe Por UC'!C900,'Infos Clientes'!B:B,0))</f>
        <v>62.955.505/0160-80</v>
      </c>
      <c r="C900" s="107" t="s">
        <v>190</v>
      </c>
      <c r="D900" t="s">
        <v>351</v>
      </c>
      <c r="E900" s="1" t="s">
        <v>352</v>
      </c>
      <c r="F900" s="56" t="str">
        <f>INDEX('Infos Clientes'!$I:$I,MATCH('Detalhe Por UC'!C900,'Infos Clientes'!B:B,0))</f>
        <v>BT</v>
      </c>
      <c r="G900" s="56" t="str">
        <f>INDEX('Infos Clientes'!$J:$J,MATCH('Detalhe Por UC'!C900,'Infos Clientes'!B:B,0))</f>
        <v>bifasico</v>
      </c>
      <c r="H900" s="47" t="str">
        <f t="shared" si="528"/>
        <v>GIROSSOL III</v>
      </c>
      <c r="I900" s="58">
        <f>IFERROR(VLOOKUP(C900,'Infos Clientes'!B:E,4,),"")</f>
        <v>357</v>
      </c>
      <c r="J900" s="151">
        <v>0.26857922422136293</v>
      </c>
      <c r="K900" s="79">
        <f>INDEX('Resumo Operacional'!$A$1:$P$151,MATCH("Desconto percentual Ucs",'Resumo Operacional'!$B$1:$B$151,0),MATCH('Detalhe Por UC'!$R900,'Resumo Operacional'!$A$1:$P$1,0))</f>
        <v>0.26857922422136293</v>
      </c>
      <c r="M900" s="56"/>
      <c r="N900" s="56"/>
      <c r="O900" s="56"/>
      <c r="P900" s="56"/>
      <c r="Q900" s="61"/>
      <c r="R900" s="111">
        <v>45901</v>
      </c>
      <c r="S900" s="152">
        <v>1.0200000000000001E-2</v>
      </c>
      <c r="T900" s="113" t="str">
        <f>IF($H900="GIROSSOL II",AP900/INDEX('Resumo Operacional'!$A$1:$P$1103,17,MATCH('Detalhe Por UC'!$R900,'Resumo Operacional'!$A$1:$P$1,0)),
IF($H900="GIROSSOL II e III",AP900/INDEX('Resumo Operacional'!$A$1:$P$1103,17,MATCH('Detalhe Por UC'!$R900,'Resumo Operacional'!$A$1:$P$1,0)),
""))</f>
        <v/>
      </c>
      <c r="U900" s="113">
        <f>IF($H900="GIROSSOL III",AP900/INDEX('Resumo Operacional'!$A$1:$P$1103,53,MATCH('Detalhe Por UC'!$R900,'Resumo Operacional'!$A$1:$P$1,0)),
IF($H900="GIROSSOL II e III",AP900/INDEX('Resumo Operacional'!$A$1:$P$1103,53,MATCH('Detalhe Por UC'!$R900,'Resumo Operacional'!$A$1:$P$1,0)),
""))</f>
        <v>0</v>
      </c>
      <c r="Z900" s="18"/>
      <c r="AB900" s="18"/>
      <c r="AD900" s="143"/>
      <c r="AF900" s="18"/>
      <c r="AL900" s="43"/>
      <c r="AN900" s="71" t="str">
        <f t="shared" si="494"/>
        <v/>
      </c>
      <c r="AO900" s="71" t="str">
        <f t="shared" si="495"/>
        <v/>
      </c>
      <c r="AP900" s="71">
        <f t="shared" si="496"/>
        <v>0</v>
      </c>
      <c r="AQ900" s="72">
        <f>IF(OR($H900="GIROSSOL II",$H900="GIROSSOL II e III"),INDEX('Resumo Operacional'!$A$1:$P$1103,MATCH("Energia Injetada prevista total Fatura da Usina (TUSD)",'Resumo Operacional'!$B$1:$B$1103,0),MATCH('Detalhe Por UC'!$R900,'Resumo Operacional'!$A$1:$P$1,0))*$S900,INDEX('Resumo Operacional'!$A$1:$P$1103,53,MATCH('Detalhe Por UC'!$R900,'Resumo Operacional'!$A$1:$P$1,0))*$S900)</f>
        <v>123.31800000000001</v>
      </c>
      <c r="AR900" s="71" t="str">
        <f t="shared" si="497"/>
        <v/>
      </c>
      <c r="AS900" s="73">
        <f t="shared" si="498"/>
        <v>0</v>
      </c>
      <c r="AT900" s="74">
        <f t="shared" si="499"/>
        <v>0</v>
      </c>
      <c r="AU900" s="74" t="str">
        <f t="shared" si="500"/>
        <v/>
      </c>
      <c r="AV900" s="74">
        <f t="shared" si="501"/>
        <v>0</v>
      </c>
      <c r="AW900" s="74">
        <f t="shared" si="502"/>
        <v>0</v>
      </c>
      <c r="AX900" s="74">
        <f t="shared" si="503"/>
        <v>0</v>
      </c>
      <c r="AY900" s="74" t="str">
        <f t="shared" si="504"/>
        <v/>
      </c>
      <c r="AZ900" s="117">
        <v>0</v>
      </c>
      <c r="BA900" s="117">
        <v>1E-10</v>
      </c>
      <c r="BC900" s="73" t="str">
        <f t="shared" si="505"/>
        <v/>
      </c>
      <c r="BD900" s="73">
        <f t="shared" si="506"/>
        <v>0</v>
      </c>
      <c r="BE900" s="73">
        <f t="shared" si="507"/>
        <v>0</v>
      </c>
      <c r="BF900" s="77">
        <f t="shared" si="508"/>
        <v>0</v>
      </c>
      <c r="BG900" s="77">
        <f t="shared" si="509"/>
        <v>0</v>
      </c>
      <c r="BH900" s="77">
        <f t="shared" si="510"/>
        <v>0</v>
      </c>
      <c r="BI900" s="78" t="str">
        <f t="shared" si="511"/>
        <v/>
      </c>
      <c r="BJ900" s="79" t="str">
        <f t="shared" si="512"/>
        <v/>
      </c>
      <c r="BK900" s="80" t="str">
        <f t="shared" si="513"/>
        <v/>
      </c>
      <c r="BL900" s="80" t="str">
        <f t="shared" si="514"/>
        <v/>
      </c>
      <c r="BM900" s="79" t="str">
        <f t="shared" si="515"/>
        <v/>
      </c>
      <c r="BN900" s="81" t="str">
        <f t="shared" si="516"/>
        <v/>
      </c>
      <c r="BO900" s="82" t="str">
        <f t="shared" si="517"/>
        <v/>
      </c>
      <c r="BP900" s="81" t="str">
        <f t="shared" si="518"/>
        <v/>
      </c>
      <c r="BQ900" s="81" t="str">
        <f t="shared" si="519"/>
        <v/>
      </c>
      <c r="BR900" s="81" t="str">
        <f t="shared" si="520"/>
        <v/>
      </c>
      <c r="BS900" s="82">
        <f t="shared" si="521"/>
        <v>0</v>
      </c>
      <c r="BT900" s="82" t="str">
        <f t="shared" si="522"/>
        <v/>
      </c>
      <c r="BU900" s="82">
        <f t="shared" si="523"/>
        <v>0</v>
      </c>
      <c r="BW900" s="82">
        <f>IFERROR(INDEX('Infos Clientes'!$T:$T,MATCH('Detalhe Por UC'!$C900,'Infos Clientes'!B:B,0)),"")</f>
        <v>167.54545454545453</v>
      </c>
      <c r="BX900" s="83">
        <f t="shared" si="524"/>
        <v>0</v>
      </c>
      <c r="BY900" s="84" t="str">
        <f t="shared" si="525"/>
        <v/>
      </c>
      <c r="BZ900" s="85">
        <f>IF(_xlfn.MINIFS('Detalhe Por UC'!R:R,'Detalhe Por UC'!C:C,C900,'Detalhe Por UC'!AD:AD,"&gt;"&amp;0)=0,"",_xlfn.MINIFS('Detalhe Por UC'!R:R,'Detalhe Por UC'!C:C,C900,'Detalhe Por UC'!AD:AD,"&gt;"&amp;0))</f>
        <v>45658</v>
      </c>
      <c r="CA900" s="114">
        <f ca="1">IF(OR(S900&gt;0,AD900&gt;0),IFERROR(
SUMIFS(INDIRECT("'Infos Clientes'!$W"&amp;INDEX('Infos Clientes'!$C:$C,MATCH(C900,'Infos Clientes'!$H:$H,0))&amp;":$CZ"&amp;INDEX('Infos Clientes'!$C:$C,MATCH(C900,'Infos Clientes'!$H:$H,0))),'Infos Clientes'!$W$2:$CZ$2,"&gt;"&amp;$R900-365,'Infos Clientes'!$W$2:$CZ$2,"&lt;="&amp;$R900)/
COUNTIFS(INDIRECT("'Infos Clientes'!$W"&amp;INDEX('Infos Clientes'!$C:$C,MATCH(C900,'Infos Clientes'!$H:$H,0))&amp;":$CZ"&amp;INDEX('Infos Clientes'!$C:$C,MATCH(C900,'Infos Clientes'!$H:$H,0))),"&gt;="&amp;0,'Infos Clientes'!$W$2:$CZ$2,"&gt;"&amp;$R900-365,'Infos Clientes'!$W$2:$CZ$2,"&lt;="&amp;$R900),""),"")</f>
        <v>370.5</v>
      </c>
      <c r="CB900" s="87">
        <f>VLOOKUP(C900,'Infos Clientes'!B:L,11,0)</f>
        <v>0</v>
      </c>
      <c r="CC900" s="88" t="str">
        <f t="shared" si="526"/>
        <v>A Unidade Consumidora 10/31292-6 economizou R$0 na fatura referente à set/2025  consumindo 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0" s="115">
        <f t="shared" si="527"/>
        <v>0</v>
      </c>
    </row>
    <row r="901" spans="1:84" ht="16.2" hidden="1" customHeight="1" x14ac:dyDescent="0.3">
      <c r="A901" s="105" t="str">
        <f>INDEX('Infos Clientes'!$D:$D,MATCH('Detalhe Por UC'!C901,'Infos Clientes'!B:B,0))</f>
        <v>IGREJA DO EVANGELHO QUADRANGULAR</v>
      </c>
      <c r="B901" s="106" t="str">
        <f>INDEX('Infos Clientes'!$F:$F,MATCH('Detalhe Por UC'!C901,'Infos Clientes'!B:B,0))</f>
        <v>62.955.505/1364-92</v>
      </c>
      <c r="C901" s="31" t="s">
        <v>223</v>
      </c>
      <c r="D901" t="s">
        <v>351</v>
      </c>
      <c r="E901" s="1" t="s">
        <v>352</v>
      </c>
      <c r="F901" s="56" t="str">
        <f>INDEX('Infos Clientes'!$I:$I,MATCH('Detalhe Por UC'!C901,'Infos Clientes'!B:B,0))</f>
        <v>BT</v>
      </c>
      <c r="G901" s="56" t="str">
        <f>INDEX('Infos Clientes'!$J:$J,MATCH('Detalhe Por UC'!C901,'Infos Clientes'!B:B,0))</f>
        <v>trifasico</v>
      </c>
      <c r="H901" s="47" t="str">
        <f t="shared" si="528"/>
        <v>GIROSSOL III</v>
      </c>
      <c r="I901" s="58">
        <f>IFERROR(VLOOKUP(C901,'Infos Clientes'!B:E,4,),"")</f>
        <v>319</v>
      </c>
      <c r="J901" s="151">
        <v>0.26857922422136293</v>
      </c>
      <c r="K901" s="79">
        <f>INDEX('Resumo Operacional'!$A$1:$P$151,MATCH("Desconto percentual Ucs",'Resumo Operacional'!$B$1:$B$151,0),MATCH('Detalhe Por UC'!$R901,'Resumo Operacional'!$A$1:$P$1,0))</f>
        <v>0.26857922422136293</v>
      </c>
      <c r="M901" s="56"/>
      <c r="N901" s="56"/>
      <c r="O901" s="56"/>
      <c r="P901" s="56"/>
      <c r="Q901" s="61"/>
      <c r="R901" s="111">
        <v>45901</v>
      </c>
      <c r="S901" s="152">
        <v>9.7999999999999997E-3</v>
      </c>
      <c r="T901" s="113" t="str">
        <f>IF($H901="GIROSSOL II",AP901/INDEX('Resumo Operacional'!$A$1:$P$1103,17,MATCH('Detalhe Por UC'!$R901,'Resumo Operacional'!$A$1:$P$1,0)),
IF($H901="GIROSSOL II e III",AP901/INDEX('Resumo Operacional'!$A$1:$P$1103,17,MATCH('Detalhe Por UC'!$R901,'Resumo Operacional'!$A$1:$P$1,0)),
""))</f>
        <v/>
      </c>
      <c r="U901" s="113">
        <f>IF($H901="GIROSSOL III",AP901/INDEX('Resumo Operacional'!$A$1:$P$1103,53,MATCH('Detalhe Por UC'!$R901,'Resumo Operacional'!$A$1:$P$1,0)),
IF($H901="GIROSSOL II e III",AP901/INDEX('Resumo Operacional'!$A$1:$P$1103,53,MATCH('Detalhe Por UC'!$R901,'Resumo Operacional'!$A$1:$P$1,0)),
""))</f>
        <v>3.4739454094292804E-3</v>
      </c>
      <c r="X901">
        <v>1.2081555733761027</v>
      </c>
      <c r="Z901" s="18">
        <v>1.0512394291754759</v>
      </c>
      <c r="AB901" s="18">
        <v>174</v>
      </c>
      <c r="AD901" s="143">
        <v>88</v>
      </c>
      <c r="AF901" s="18">
        <v>680</v>
      </c>
      <c r="AG901">
        <v>0</v>
      </c>
      <c r="AH901">
        <v>42.61</v>
      </c>
      <c r="AL901" s="43"/>
      <c r="AN901" s="71">
        <f t="shared" si="494"/>
        <v>-46</v>
      </c>
      <c r="AO901" s="71">
        <f t="shared" si="495"/>
        <v>0</v>
      </c>
      <c r="AP901" s="71">
        <f t="shared" si="496"/>
        <v>42</v>
      </c>
      <c r="AQ901" s="72">
        <f>IF(OR($H901="GIROSSOL II",$H901="GIROSSOL II e III"),INDEX('Resumo Operacional'!$A$1:$P$1103,MATCH("Energia Injetada prevista total Fatura da Usina (TUSD)",'Resumo Operacional'!$B$1:$B$1103,0),MATCH('Detalhe Por UC'!$R901,'Resumo Operacional'!$A$1:$P$1,0))*$S901,INDEX('Resumo Operacional'!$A$1:$P$1103,53,MATCH('Detalhe Por UC'!$R901,'Resumo Operacional'!$A$1:$P$1,0))*$S901)</f>
        <v>118.482</v>
      </c>
      <c r="AR901" s="71">
        <f t="shared" si="497"/>
        <v>-76.481999999999999</v>
      </c>
      <c r="AS901" s="73">
        <f t="shared" si="498"/>
        <v>160.32</v>
      </c>
      <c r="AT901" s="74">
        <f t="shared" si="499"/>
        <v>160.32</v>
      </c>
      <c r="AU901" s="74">
        <f t="shared" si="500"/>
        <v>0.89432328497484903</v>
      </c>
      <c r="AV901" s="74">
        <f t="shared" si="501"/>
        <v>67.663055575862401</v>
      </c>
      <c r="AW901" s="74">
        <f t="shared" si="502"/>
        <v>0</v>
      </c>
      <c r="AX901" s="74">
        <f t="shared" si="503"/>
        <v>92.509069767441872</v>
      </c>
      <c r="AY901" s="74">
        <f t="shared" si="504"/>
        <v>67.66</v>
      </c>
      <c r="AZ901" s="117">
        <v>67.66</v>
      </c>
      <c r="BA901" s="117">
        <v>67.66</v>
      </c>
      <c r="BB901" s="117">
        <v>67.66</v>
      </c>
      <c r="BC901" s="73" t="str">
        <f t="shared" si="505"/>
        <v/>
      </c>
      <c r="BD901" s="73">
        <f t="shared" si="506"/>
        <v>252.82906976744187</v>
      </c>
      <c r="BE901" s="73">
        <f t="shared" si="507"/>
        <v>227.98305557586241</v>
      </c>
      <c r="BF901" s="77">
        <f t="shared" si="508"/>
        <v>24.85</v>
      </c>
      <c r="BG901" s="77">
        <f t="shared" si="509"/>
        <v>7.4550000000000001</v>
      </c>
      <c r="BH901" s="77">
        <f t="shared" si="510"/>
        <v>92.509069767441872</v>
      </c>
      <c r="BI901" s="78">
        <f t="shared" si="511"/>
        <v>0.27</v>
      </c>
      <c r="BJ901" s="79">
        <f t="shared" si="512"/>
        <v>9.8287748409854991E-2</v>
      </c>
      <c r="BK901" s="80">
        <f t="shared" si="513"/>
        <v>227.98</v>
      </c>
      <c r="BL901" s="80">
        <f t="shared" si="514"/>
        <v>24.849069767441875</v>
      </c>
      <c r="BM901" s="79">
        <f t="shared" si="515"/>
        <v>9.8284069115543701E-2</v>
      </c>
      <c r="BN901" s="81">
        <f t="shared" si="516"/>
        <v>0.7688636363636363</v>
      </c>
      <c r="BO901" s="82">
        <f t="shared" si="517"/>
        <v>67.66</v>
      </c>
      <c r="BP901" s="81">
        <f t="shared" si="518"/>
        <v>0.7688636363636363</v>
      </c>
      <c r="BQ901" s="81">
        <f t="shared" si="519"/>
        <v>0.92577978056426313</v>
      </c>
      <c r="BR901" s="81">
        <f t="shared" si="520"/>
        <v>1.2081555733761027</v>
      </c>
      <c r="BS901" s="82">
        <f t="shared" si="521"/>
        <v>88</v>
      </c>
      <c r="BT901" s="82">
        <f t="shared" si="522"/>
        <v>106.31769045709703</v>
      </c>
      <c r="BU901" s="82">
        <f t="shared" si="523"/>
        <v>92.509069767441872</v>
      </c>
      <c r="BW901" s="82">
        <f>IFERROR(INDEX('Infos Clientes'!$T:$T,MATCH('Detalhe Por UC'!$C901,'Infos Clientes'!B:B,0)),"")</f>
        <v>315</v>
      </c>
      <c r="BX901" s="83">
        <f t="shared" si="524"/>
        <v>0</v>
      </c>
      <c r="BY901" s="84">
        <f t="shared" si="525"/>
        <v>0.23372469492712844</v>
      </c>
      <c r="BZ901" s="85">
        <f>IF(_xlfn.MINIFS('Detalhe Por UC'!R:R,'Detalhe Por UC'!C:C,C901,'Detalhe Por UC'!AD:AD,"&gt;"&amp;0)=0,"",_xlfn.MINIFS('Detalhe Por UC'!R:R,'Detalhe Por UC'!C:C,C901,'Detalhe Por UC'!AD:AD,"&gt;"&amp;0))</f>
        <v>45658</v>
      </c>
      <c r="CA901" s="114">
        <f ca="1">IF(OR(S901&gt;0,AD901&gt;0),IFERROR(
SUMIFS(INDIRECT("'Infos Clientes'!$W"&amp;INDEX('Infos Clientes'!$C:$C,MATCH(C901,'Infos Clientes'!$H:$H,0))&amp;":$CZ"&amp;INDEX('Infos Clientes'!$C:$C,MATCH(C901,'Infos Clientes'!$H:$H,0))),'Infos Clientes'!$W$2:$CZ$2,"&gt;"&amp;$R901-365,'Infos Clientes'!$W$2:$CZ$2,"&lt;="&amp;$R901)/
COUNTIFS(INDIRECT("'Infos Clientes'!$W"&amp;INDEX('Infos Clientes'!$C:$C,MATCH(C901,'Infos Clientes'!$H:$H,0))&amp;":$CZ"&amp;INDEX('Infos Clientes'!$C:$C,MATCH(C901,'Infos Clientes'!$H:$H,0))),"&gt;="&amp;0,'Infos Clientes'!$W$2:$CZ$2,"&gt;"&amp;$R901-365,'Infos Clientes'!$W$2:$CZ$2,"&lt;="&amp;$R901),""),"")</f>
        <v>299.16666666666669</v>
      </c>
      <c r="CB901" s="87">
        <f>VLOOKUP(C901,'Infos Clientes'!B:L,11,0)</f>
        <v>0</v>
      </c>
      <c r="CC901" s="88" t="str">
        <f t="shared" si="526"/>
        <v>A Unidade Consumidora 10/72605-9 economizou R$24,85 na fatura referente à set/2025  consumindo 88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1" s="115">
        <f t="shared" si="527"/>
        <v>-160.32</v>
      </c>
    </row>
    <row r="902" spans="1:84" ht="16.2" hidden="1" customHeight="1" x14ac:dyDescent="0.3">
      <c r="A902" s="105" t="str">
        <f>INDEX('Infos Clientes'!$D:$D,MATCH('Detalhe Por UC'!C902,'Infos Clientes'!B:B,0))</f>
        <v>IGREJA DO EVANGELHO QUADRANGULAR</v>
      </c>
      <c r="B902" s="106" t="str">
        <f>INDEX('Infos Clientes'!$F:$F,MATCH('Detalhe Por UC'!C902,'Infos Clientes'!B:B,0))</f>
        <v>62.955.505/1570-66</v>
      </c>
      <c r="C902" s="31" t="s">
        <v>172</v>
      </c>
      <c r="D902" t="s">
        <v>351</v>
      </c>
      <c r="E902" s="1" t="s">
        <v>352</v>
      </c>
      <c r="F902" s="56" t="str">
        <f>INDEX('Infos Clientes'!$I:$I,MATCH('Detalhe Por UC'!C902,'Infos Clientes'!B:B,0))</f>
        <v>BT</v>
      </c>
      <c r="G902" s="56" t="str">
        <f>INDEX('Infos Clientes'!$J:$J,MATCH('Detalhe Por UC'!C902,'Infos Clientes'!B:B,0))</f>
        <v>trifasico</v>
      </c>
      <c r="H902" s="47" t="str">
        <f t="shared" si="528"/>
        <v>GIROSSOL III</v>
      </c>
      <c r="I902" s="58">
        <f>IFERROR(VLOOKUP(C902,'Infos Clientes'!B:E,4,),"")</f>
        <v>357</v>
      </c>
      <c r="J902" s="151">
        <v>0.26857922422136293</v>
      </c>
      <c r="K902" s="79">
        <f>INDEX('Resumo Operacional'!$A$1:$P$151,MATCH("Desconto percentual Ucs",'Resumo Operacional'!$B$1:$B$151,0),MATCH('Detalhe Por UC'!$R902,'Resumo Operacional'!$A$1:$P$1,0))</f>
        <v>0.26857922422136293</v>
      </c>
      <c r="M902" s="56"/>
      <c r="N902" s="56"/>
      <c r="O902" s="56"/>
      <c r="P902" s="56"/>
      <c r="Q902" s="61"/>
      <c r="R902" s="111">
        <v>45901</v>
      </c>
      <c r="S902" s="152">
        <v>8.6999999999999994E-3</v>
      </c>
      <c r="T902" s="113" t="str">
        <f>IF($H902="GIROSSOL II",AP902/INDEX('Resumo Operacional'!$A$1:$P$1103,17,MATCH('Detalhe Por UC'!$R902,'Resumo Operacional'!$A$1:$P$1,0)),
IF($H902="GIROSSOL II e III",AP902/INDEX('Resumo Operacional'!$A$1:$P$1103,17,MATCH('Detalhe Por UC'!$R902,'Resumo Operacional'!$A$1:$P$1,0)),
""))</f>
        <v/>
      </c>
      <c r="U902" s="113">
        <f>IF($H902="GIROSSOL III",AP902/INDEX('Resumo Operacional'!$A$1:$P$1103,53,MATCH('Detalhe Por UC'!$R902,'Resumo Operacional'!$A$1:$P$1,0)),
IF($H902="GIROSSOL II e III",AP902/INDEX('Resumo Operacional'!$A$1:$P$1103,53,MATCH('Detalhe Por UC'!$R902,'Resumo Operacional'!$A$1:$P$1,0)),
""))</f>
        <v>4.3837882547559971E-3</v>
      </c>
      <c r="X902">
        <v>1.2081481962950926</v>
      </c>
      <c r="Z902" s="18">
        <v>1.0511960784313725</v>
      </c>
      <c r="AB902" s="18">
        <v>181</v>
      </c>
      <c r="AD902" s="143">
        <v>96</v>
      </c>
      <c r="AF902" s="18">
        <v>500</v>
      </c>
      <c r="AG902">
        <v>0</v>
      </c>
      <c r="AH902">
        <v>0</v>
      </c>
      <c r="AL902" s="43"/>
      <c r="AN902" s="71">
        <f t="shared" si="494"/>
        <v>-43</v>
      </c>
      <c r="AO902" s="71">
        <f t="shared" si="495"/>
        <v>0</v>
      </c>
      <c r="AP902" s="71">
        <f t="shared" si="496"/>
        <v>53</v>
      </c>
      <c r="AQ902" s="72">
        <f>IF(OR($H902="GIROSSOL II",$H902="GIROSSOL II e III"),INDEX('Resumo Operacional'!$A$1:$P$1103,MATCH("Energia Injetada prevista total Fatura da Usina (TUSD)",'Resumo Operacional'!$B$1:$B$1103,0),MATCH('Detalhe Por UC'!$R902,'Resumo Operacional'!$A$1:$P$1,0))*$S902,INDEX('Resumo Operacional'!$A$1:$P$1103,53,MATCH('Detalhe Por UC'!$R902,'Resumo Operacional'!$A$1:$P$1,0))*$S902)</f>
        <v>105.18299999999999</v>
      </c>
      <c r="AR902" s="71">
        <f t="shared" si="497"/>
        <v>-52.182999999999993</v>
      </c>
      <c r="AS902" s="73">
        <f t="shared" si="498"/>
        <v>117.75999999999999</v>
      </c>
      <c r="AT902" s="74">
        <f t="shared" si="499"/>
        <v>117.75999999999999</v>
      </c>
      <c r="AU902" s="74">
        <f t="shared" si="500"/>
        <v>0.89424396056765243</v>
      </c>
      <c r="AV902" s="74">
        <f t="shared" si="501"/>
        <v>73.811198513446612</v>
      </c>
      <c r="AW902" s="74">
        <f t="shared" si="502"/>
        <v>0</v>
      </c>
      <c r="AX902" s="74">
        <f t="shared" si="503"/>
        <v>100.91482352941176</v>
      </c>
      <c r="AY902" s="74">
        <f t="shared" si="504"/>
        <v>73.81</v>
      </c>
      <c r="AZ902" s="117">
        <v>73.81</v>
      </c>
      <c r="BA902" s="117">
        <v>73.81</v>
      </c>
      <c r="BB902" s="117">
        <v>73.81</v>
      </c>
      <c r="BC902" s="73" t="str">
        <f t="shared" si="505"/>
        <v/>
      </c>
      <c r="BD902" s="73">
        <f t="shared" si="506"/>
        <v>218.67482352941175</v>
      </c>
      <c r="BE902" s="73">
        <f t="shared" si="507"/>
        <v>191.5711985134466</v>
      </c>
      <c r="BF902" s="77">
        <f t="shared" si="508"/>
        <v>27.1</v>
      </c>
      <c r="BG902" s="77">
        <f t="shared" si="509"/>
        <v>8.1300000000000008</v>
      </c>
      <c r="BH902" s="77">
        <f t="shared" si="510"/>
        <v>100.91482352941176</v>
      </c>
      <c r="BI902" s="78">
        <f t="shared" si="511"/>
        <v>0.27</v>
      </c>
      <c r="BJ902" s="79">
        <f t="shared" si="512"/>
        <v>0.12392830396570574</v>
      </c>
      <c r="BK902" s="80">
        <f t="shared" si="513"/>
        <v>191.57</v>
      </c>
      <c r="BL902" s="80">
        <f t="shared" si="514"/>
        <v>27.10482352941176</v>
      </c>
      <c r="BM902" s="79">
        <f t="shared" si="515"/>
        <v>0.12395036196641157</v>
      </c>
      <c r="BN902" s="81">
        <f t="shared" si="516"/>
        <v>0.76885416666666673</v>
      </c>
      <c r="BO902" s="82">
        <f t="shared" si="517"/>
        <v>73.81</v>
      </c>
      <c r="BP902" s="81">
        <f t="shared" si="518"/>
        <v>0.76885416666666673</v>
      </c>
      <c r="BQ902" s="81">
        <f t="shared" si="519"/>
        <v>0.92580628453038682</v>
      </c>
      <c r="BR902" s="81">
        <f t="shared" si="520"/>
        <v>1.2081481962950926</v>
      </c>
      <c r="BS902" s="82">
        <f t="shared" si="521"/>
        <v>96</v>
      </c>
      <c r="BT902" s="82">
        <f t="shared" si="522"/>
        <v>115.98222684432889</v>
      </c>
      <c r="BU902" s="82">
        <f t="shared" si="523"/>
        <v>100.91482352941176</v>
      </c>
      <c r="BW902" s="82">
        <f>IFERROR(INDEX('Infos Clientes'!$T:$T,MATCH('Detalhe Por UC'!$C902,'Infos Clientes'!B:B,0)),"")</f>
        <v>324.72727272727275</v>
      </c>
      <c r="BX902" s="83">
        <f t="shared" si="524"/>
        <v>0</v>
      </c>
      <c r="BY902" s="84">
        <f t="shared" si="525"/>
        <v>0.23369807829083844</v>
      </c>
      <c r="BZ902" s="85">
        <f>IF(_xlfn.MINIFS('Detalhe Por UC'!R:R,'Detalhe Por UC'!C:C,C902,'Detalhe Por UC'!AD:AD,"&gt;"&amp;0)=0,"",_xlfn.MINIFS('Detalhe Por UC'!R:R,'Detalhe Por UC'!C:C,C902,'Detalhe Por UC'!AD:AD,"&gt;"&amp;0))</f>
        <v>45658</v>
      </c>
      <c r="CA902" s="114">
        <f ca="1">IF(OR(S902&gt;0,AD902&gt;0),IFERROR(
SUMIFS(INDIRECT("'Infos Clientes'!$W"&amp;INDEX('Infos Clientes'!$C:$C,MATCH(C902,'Infos Clientes'!$H:$H,0))&amp;":$CZ"&amp;INDEX('Infos Clientes'!$C:$C,MATCH(C902,'Infos Clientes'!$H:$H,0))),'Infos Clientes'!$W$2:$CZ$2,"&gt;"&amp;$R902-365,'Infos Clientes'!$W$2:$CZ$2,"&lt;="&amp;$R902)/
COUNTIFS(INDIRECT("'Infos Clientes'!$W"&amp;INDEX('Infos Clientes'!$C:$C,MATCH(C902,'Infos Clientes'!$H:$H,0))&amp;":$CZ"&amp;INDEX('Infos Clientes'!$C:$C,MATCH(C902,'Infos Clientes'!$H:$H,0))),"&gt;="&amp;0,'Infos Clientes'!$W$2:$CZ$2,"&gt;"&amp;$R902-365,'Infos Clientes'!$W$2:$CZ$2,"&lt;="&amp;$R902),""),"")</f>
        <v>261.5</v>
      </c>
      <c r="CB902" s="87">
        <f>VLOOKUP(C902,'Infos Clientes'!B:L,11,0)</f>
        <v>0</v>
      </c>
      <c r="CC902" s="88" t="str">
        <f t="shared" si="526"/>
        <v>A Unidade Consumidora 10/24514-2 economizou R$27,1 na fatura referente à set/2025  consumindo 96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2" s="115">
        <f t="shared" si="527"/>
        <v>-117.75999999999999</v>
      </c>
    </row>
    <row r="903" spans="1:84" ht="16.2" hidden="1" customHeight="1" x14ac:dyDescent="0.3">
      <c r="A903" s="105" t="str">
        <f>INDEX('Infos Clientes'!$D:$D,MATCH('Detalhe Por UC'!C903,'Infos Clientes'!B:B,0))</f>
        <v>IGREJA DO EVANGELHO QUADRANGULAR</v>
      </c>
      <c r="B903" s="106" t="str">
        <f>INDEX('Infos Clientes'!$F:$F,MATCH('Detalhe Por UC'!C903,'Infos Clientes'!B:B,0))</f>
        <v>62.955.505/8979-30</v>
      </c>
      <c r="C903" s="31" t="s">
        <v>238</v>
      </c>
      <c r="D903" t="s">
        <v>351</v>
      </c>
      <c r="E903" s="1" t="s">
        <v>352</v>
      </c>
      <c r="F903" s="56" t="str">
        <f>INDEX('Infos Clientes'!$I:$I,MATCH('Detalhe Por UC'!C903,'Infos Clientes'!B:B,0))</f>
        <v>BT</v>
      </c>
      <c r="G903" s="56" t="str">
        <f>INDEX('Infos Clientes'!$J:$J,MATCH('Detalhe Por UC'!C903,'Infos Clientes'!B:B,0))</f>
        <v>bifasico</v>
      </c>
      <c r="H903" s="47" t="str">
        <f t="shared" si="528"/>
        <v>GIROSSOL III</v>
      </c>
      <c r="I903" s="58">
        <f>IFERROR(VLOOKUP(C903,'Infos Clientes'!B:E,4,),"")</f>
        <v>360</v>
      </c>
      <c r="J903" s="151">
        <v>0.26857922422136293</v>
      </c>
      <c r="K903" s="79">
        <f>INDEX('Resumo Operacional'!$A$1:$P$151,MATCH("Desconto percentual Ucs",'Resumo Operacional'!$B$1:$B$151,0),MATCH('Detalhe Por UC'!$R903,'Resumo Operacional'!$A$1:$P$1,0))</f>
        <v>0.26857922422136293</v>
      </c>
      <c r="M903" s="56"/>
      <c r="N903" s="56"/>
      <c r="O903" s="56"/>
      <c r="P903" s="56"/>
      <c r="Q903" s="61"/>
      <c r="R903" s="111">
        <v>45901</v>
      </c>
      <c r="S903" s="152">
        <v>8.2000000000000007E-3</v>
      </c>
      <c r="T903" s="113" t="str">
        <f>IF($H903="GIROSSOL II",AP903/INDEX('Resumo Operacional'!$A$1:$P$1103,17,MATCH('Detalhe Por UC'!$R903,'Resumo Operacional'!$A$1:$P$1,0)),
IF($H903="GIROSSOL II e III",AP903/INDEX('Resumo Operacional'!$A$1:$P$1103,17,MATCH('Detalhe Por UC'!$R903,'Resumo Operacional'!$A$1:$P$1,0)),
""))</f>
        <v/>
      </c>
      <c r="U903" s="113">
        <f>IF($H903="GIROSSOL III",AP903/INDEX('Resumo Operacional'!$A$1:$P$1103,53,MATCH('Detalhe Por UC'!$R903,'Resumo Operacional'!$A$1:$P$1,0)),
IF($H903="GIROSSOL II e III",AP903/INDEX('Resumo Operacional'!$A$1:$P$1103,53,MATCH('Detalhe Por UC'!$R903,'Resumo Operacional'!$A$1:$P$1,0)),
""))</f>
        <v>1.0339123242349049E-2</v>
      </c>
      <c r="X903">
        <v>1.2080940366458095</v>
      </c>
      <c r="Z903" s="18">
        <v>1.0511610778443115</v>
      </c>
      <c r="AB903" s="18">
        <v>534</v>
      </c>
      <c r="AD903" s="143">
        <v>200</v>
      </c>
      <c r="AF903" s="18">
        <v>0</v>
      </c>
      <c r="AG903">
        <v>0</v>
      </c>
      <c r="AH903">
        <v>22.18</v>
      </c>
      <c r="AL903" s="43"/>
      <c r="AN903" s="71">
        <f t="shared" si="494"/>
        <v>-75</v>
      </c>
      <c r="AO903" s="71">
        <f t="shared" si="495"/>
        <v>0</v>
      </c>
      <c r="AP903" s="71">
        <f t="shared" si="496"/>
        <v>125</v>
      </c>
      <c r="AQ903" s="72">
        <f>IF(OR($H903="GIROSSOL II",$H903="GIROSSOL II e III"),INDEX('Resumo Operacional'!$A$1:$P$1103,MATCH("Energia Injetada prevista total Fatura da Usina (TUSD)",'Resumo Operacional'!$B$1:$B$1103,0),MATCH('Detalhe Por UC'!$R903,'Resumo Operacional'!$A$1:$P$1,0))*$S903,INDEX('Resumo Operacional'!$A$1:$P$1103,53,MATCH('Detalhe Por UC'!$R903,'Resumo Operacional'!$A$1:$P$1,0))*$S903)</f>
        <v>99.138000000000005</v>
      </c>
      <c r="AR903" s="71">
        <f t="shared" si="497"/>
        <v>25.861999999999995</v>
      </c>
      <c r="AS903" s="73">
        <f t="shared" si="498"/>
        <v>457.07</v>
      </c>
      <c r="AT903" s="74">
        <f t="shared" si="499"/>
        <v>457.07</v>
      </c>
      <c r="AU903" s="74">
        <f t="shared" si="500"/>
        <v>0.89422811904281341</v>
      </c>
      <c r="AV903" s="74">
        <f t="shared" si="501"/>
        <v>153.76821020503891</v>
      </c>
      <c r="AW903" s="74">
        <f t="shared" si="502"/>
        <v>0</v>
      </c>
      <c r="AX903" s="74">
        <f t="shared" si="503"/>
        <v>210.2322155688623</v>
      </c>
      <c r="AY903" s="74">
        <f t="shared" si="504"/>
        <v>153.77000000000001</v>
      </c>
      <c r="AZ903" s="117">
        <v>153.77000000000001</v>
      </c>
      <c r="BA903" s="117">
        <v>153.77000000000001</v>
      </c>
      <c r="BB903" s="117">
        <v>153.77000000000001</v>
      </c>
      <c r="BC903" s="73" t="str">
        <f t="shared" si="505"/>
        <v/>
      </c>
      <c r="BD903" s="73">
        <f t="shared" si="506"/>
        <v>667.30221556886227</v>
      </c>
      <c r="BE903" s="73">
        <f t="shared" si="507"/>
        <v>610.83821020503888</v>
      </c>
      <c r="BF903" s="77">
        <f t="shared" si="508"/>
        <v>56.46</v>
      </c>
      <c r="BG903" s="77">
        <f t="shared" si="509"/>
        <v>16.937999999999999</v>
      </c>
      <c r="BH903" s="77">
        <f t="shared" si="510"/>
        <v>210.2322155688623</v>
      </c>
      <c r="BI903" s="78">
        <f t="shared" si="511"/>
        <v>0.27</v>
      </c>
      <c r="BJ903" s="79">
        <f t="shared" si="512"/>
        <v>8.460933994032814E-2</v>
      </c>
      <c r="BK903" s="80">
        <f t="shared" si="513"/>
        <v>610.84</v>
      </c>
      <c r="BL903" s="80">
        <f t="shared" si="514"/>
        <v>56.462215568862234</v>
      </c>
      <c r="BM903" s="79">
        <f t="shared" si="515"/>
        <v>8.4612660128408665E-2</v>
      </c>
      <c r="BN903" s="81">
        <f t="shared" si="516"/>
        <v>0.76885000000000003</v>
      </c>
      <c r="BO903" s="82">
        <f t="shared" si="517"/>
        <v>153.77000000000001</v>
      </c>
      <c r="BP903" s="81">
        <f t="shared" si="518"/>
        <v>0.76885000000000003</v>
      </c>
      <c r="BQ903" s="81">
        <f t="shared" si="519"/>
        <v>0.92578295880149808</v>
      </c>
      <c r="BR903" s="81">
        <f t="shared" si="520"/>
        <v>1.2080940366458095</v>
      </c>
      <c r="BS903" s="82">
        <f t="shared" si="521"/>
        <v>200</v>
      </c>
      <c r="BT903" s="82">
        <f t="shared" si="522"/>
        <v>241.61880732916191</v>
      </c>
      <c r="BU903" s="82">
        <f t="shared" si="523"/>
        <v>210.2322155688623</v>
      </c>
      <c r="BW903" s="82">
        <f>IFERROR(INDEX('Infos Clientes'!$T:$T,MATCH('Detalhe Por UC'!$C903,'Infos Clientes'!B:B,0)),"")</f>
        <v>162.36363636363637</v>
      </c>
      <c r="BX903" s="83">
        <f t="shared" si="524"/>
        <v>0</v>
      </c>
      <c r="BY903" s="84">
        <f t="shared" si="525"/>
        <v>0.23368303234748913</v>
      </c>
      <c r="BZ903" s="85">
        <f>IF(_xlfn.MINIFS('Detalhe Por UC'!R:R,'Detalhe Por UC'!C:C,C903,'Detalhe Por UC'!AD:AD,"&gt;"&amp;0)=0,"",_xlfn.MINIFS('Detalhe Por UC'!R:R,'Detalhe Por UC'!C:C,C903,'Detalhe Por UC'!AD:AD,"&gt;"&amp;0))</f>
        <v>45658</v>
      </c>
      <c r="CA903" s="114">
        <f ca="1">IF(OR(S903&gt;0,AD903&gt;0),IFERROR(
SUMIFS(INDIRECT("'Infos Clientes'!$W"&amp;INDEX('Infos Clientes'!$C:$C,MATCH(C903,'Infos Clientes'!$H:$H,0))&amp;":$CZ"&amp;INDEX('Infos Clientes'!$C:$C,MATCH(C903,'Infos Clientes'!$H:$H,0))),'Infos Clientes'!$W$2:$CZ$2,"&gt;"&amp;$R903-365,'Infos Clientes'!$W$2:$CZ$2,"&lt;="&amp;$R903)/
COUNTIFS(INDIRECT("'Infos Clientes'!$W"&amp;INDEX('Infos Clientes'!$C:$C,MATCH(C903,'Infos Clientes'!$H:$H,0))&amp;":$CZ"&amp;INDEX('Infos Clientes'!$C:$C,MATCH(C903,'Infos Clientes'!$H:$H,0))),"&gt;="&amp;0,'Infos Clientes'!$W$2:$CZ$2,"&gt;"&amp;$R903-365,'Infos Clientes'!$W$2:$CZ$2,"&lt;="&amp;$R903),""),"")</f>
        <v>176.33333333333334</v>
      </c>
      <c r="CB903" s="87">
        <f>VLOOKUP(C903,'Infos Clientes'!B:L,11,0)</f>
        <v>0</v>
      </c>
      <c r="CC903" s="88" t="str">
        <f t="shared" si="526"/>
        <v>A Unidade Consumidora 10/952579-1 economizou R$56,46 na fatura referente à set/2025  consumindo 200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3" s="115">
        <f t="shared" si="527"/>
        <v>-457.07</v>
      </c>
    </row>
    <row r="904" spans="1:84" ht="16.2" hidden="1" customHeight="1" x14ac:dyDescent="0.3">
      <c r="A904" s="105" t="str">
        <f>INDEX('Infos Clientes'!$D:$D,MATCH('Detalhe Por UC'!C904,'Infos Clientes'!B:B,0))</f>
        <v>IGREJA DO EVANGELHO QUADRANGULAR</v>
      </c>
      <c r="B904" s="106" t="str">
        <f>INDEX('Infos Clientes'!$F:$F,MATCH('Detalhe Por UC'!C904,'Infos Clientes'!B:B,0))</f>
        <v>62.955.505/3671-17</v>
      </c>
      <c r="C904" s="31" t="s">
        <v>217</v>
      </c>
      <c r="D904" t="s">
        <v>351</v>
      </c>
      <c r="E904" s="1" t="s">
        <v>352</v>
      </c>
      <c r="F904" s="56" t="str">
        <f>INDEX('Infos Clientes'!$I:$I,MATCH('Detalhe Por UC'!C904,'Infos Clientes'!B:B,0))</f>
        <v>BT</v>
      </c>
      <c r="G904" s="56" t="str">
        <f>INDEX('Infos Clientes'!$J:$J,MATCH('Detalhe Por UC'!C904,'Infos Clientes'!B:B,0))</f>
        <v>bifasico</v>
      </c>
      <c r="H904" s="47" t="str">
        <f t="shared" si="528"/>
        <v>GIROSSOL III</v>
      </c>
      <c r="I904" s="58">
        <f>IFERROR(VLOOKUP(C904,'Infos Clientes'!B:E,4,),"")</f>
        <v>362</v>
      </c>
      <c r="J904" s="151">
        <v>0.26857922422136293</v>
      </c>
      <c r="K904" s="79">
        <f>INDEX('Resumo Operacional'!$A$1:$P$151,MATCH("Desconto percentual Ucs",'Resumo Operacional'!$B$1:$B$151,0),MATCH('Detalhe Por UC'!$R904,'Resumo Operacional'!$A$1:$P$1,0))</f>
        <v>0.26857922422136293</v>
      </c>
      <c r="M904" s="56"/>
      <c r="N904" s="56"/>
      <c r="O904" s="56"/>
      <c r="P904" s="56"/>
      <c r="Q904" s="61"/>
      <c r="R904" s="111">
        <v>45901</v>
      </c>
      <c r="S904" s="152">
        <v>7.0000000000000001E-3</v>
      </c>
      <c r="T904" s="113" t="str">
        <f>IF($H904="GIROSSOL II",AP904/INDEX('Resumo Operacional'!$A$1:$P$1103,17,MATCH('Detalhe Por UC'!$R904,'Resumo Operacional'!$A$1:$P$1,0)),
IF($H904="GIROSSOL II e III",AP904/INDEX('Resumo Operacional'!$A$1:$P$1103,17,MATCH('Detalhe Por UC'!$R904,'Resumo Operacional'!$A$1:$P$1,0)),
""))</f>
        <v/>
      </c>
      <c r="U904" s="113">
        <f>IF($H904="GIROSSOL III",AP904/INDEX('Resumo Operacional'!$A$1:$P$1103,53,MATCH('Detalhe Por UC'!$R904,'Resumo Operacional'!$A$1:$P$1,0)),
IF($H904="GIROSSOL II e III",AP904/INDEX('Resumo Operacional'!$A$1:$P$1103,53,MATCH('Detalhe Por UC'!$R904,'Resumo Operacional'!$A$1:$P$1,0)),
""))</f>
        <v>3.5566583953680728E-3</v>
      </c>
      <c r="X904">
        <v>1.2079464285714285</v>
      </c>
      <c r="Z904" s="18">
        <v>1.0507083333333336</v>
      </c>
      <c r="AB904" s="18">
        <v>63</v>
      </c>
      <c r="AD904" s="143">
        <v>15</v>
      </c>
      <c r="AF904" s="18">
        <v>293</v>
      </c>
      <c r="AG904">
        <v>0</v>
      </c>
      <c r="AH904">
        <v>17.310000000000002</v>
      </c>
      <c r="AL904" s="43"/>
      <c r="AN904" s="71">
        <f t="shared" si="494"/>
        <v>28</v>
      </c>
      <c r="AO904" s="71">
        <f t="shared" si="495"/>
        <v>0</v>
      </c>
      <c r="AP904" s="71">
        <f t="shared" si="496"/>
        <v>43</v>
      </c>
      <c r="AQ904" s="72">
        <f>IF(OR($H904="GIROSSOL II",$H904="GIROSSOL II e III"),INDEX('Resumo Operacional'!$A$1:$P$1103,MATCH("Energia Injetada prevista total Fatura da Usina (TUSD)",'Resumo Operacional'!$B$1:$B$1103,0),MATCH('Detalhe Por UC'!$R904,'Resumo Operacional'!$A$1:$P$1,0))*$S904,INDEX('Resumo Operacional'!$A$1:$P$1103,53,MATCH('Detalhe Por UC'!$R904,'Resumo Operacional'!$A$1:$P$1,0))*$S904)</f>
        <v>84.63</v>
      </c>
      <c r="AR904" s="71">
        <f t="shared" si="497"/>
        <v>-41.629999999999995</v>
      </c>
      <c r="AS904" s="73">
        <f t="shared" si="498"/>
        <v>77.649999999999991</v>
      </c>
      <c r="AT904" s="74">
        <f t="shared" si="499"/>
        <v>77.649999999999991</v>
      </c>
      <c r="AU904" s="74">
        <f t="shared" si="500"/>
        <v>0.89347023809523862</v>
      </c>
      <c r="AV904" s="74">
        <f t="shared" si="501"/>
        <v>11.527648564256184</v>
      </c>
      <c r="AW904" s="74">
        <f t="shared" si="502"/>
        <v>0.82999999999999829</v>
      </c>
      <c r="AX904" s="74">
        <f t="shared" si="503"/>
        <v>16.590625000000003</v>
      </c>
      <c r="AY904" s="74">
        <f t="shared" si="504"/>
        <v>11.53</v>
      </c>
      <c r="AZ904" s="117">
        <v>11.53</v>
      </c>
      <c r="BA904" s="117">
        <v>11.53</v>
      </c>
      <c r="BB904" s="117">
        <v>11.53</v>
      </c>
      <c r="BC904" s="73" t="str">
        <f t="shared" si="505"/>
        <v/>
      </c>
      <c r="BD904" s="73">
        <f t="shared" si="506"/>
        <v>93.410624999999996</v>
      </c>
      <c r="BE904" s="73">
        <f t="shared" si="507"/>
        <v>89.177648564256174</v>
      </c>
      <c r="BF904" s="77">
        <f t="shared" si="508"/>
        <v>4.2300000000000004</v>
      </c>
      <c r="BG904" s="77">
        <f t="shared" si="509"/>
        <v>1.2690000000000001</v>
      </c>
      <c r="BH904" s="77">
        <f t="shared" si="510"/>
        <v>15.760625000000005</v>
      </c>
      <c r="BI904" s="78">
        <f t="shared" si="511"/>
        <v>0.27</v>
      </c>
      <c r="BJ904" s="79">
        <f t="shared" si="512"/>
        <v>4.5283927818703711E-2</v>
      </c>
      <c r="BK904" s="80">
        <f t="shared" si="513"/>
        <v>89.179999999999993</v>
      </c>
      <c r="BL904" s="80">
        <f t="shared" si="514"/>
        <v>4.2306250000000034</v>
      </c>
      <c r="BM904" s="79">
        <f t="shared" si="515"/>
        <v>4.5290618706383817E-2</v>
      </c>
      <c r="BN904" s="81">
        <f t="shared" si="516"/>
        <v>0.76866666666666661</v>
      </c>
      <c r="BO904" s="82">
        <f t="shared" si="517"/>
        <v>11.53</v>
      </c>
      <c r="BP904" s="81">
        <f t="shared" si="518"/>
        <v>0.76866666666666661</v>
      </c>
      <c r="BQ904" s="81">
        <f t="shared" si="519"/>
        <v>0.92590476190476156</v>
      </c>
      <c r="BR904" s="81">
        <f t="shared" si="520"/>
        <v>1.2079464285714285</v>
      </c>
      <c r="BS904" s="82">
        <f t="shared" si="521"/>
        <v>15</v>
      </c>
      <c r="BT904" s="82">
        <f t="shared" si="522"/>
        <v>18.119196428571428</v>
      </c>
      <c r="BU904" s="82">
        <f t="shared" si="523"/>
        <v>15.760625000000005</v>
      </c>
      <c r="BW904" s="82">
        <f>IFERROR(INDEX('Infos Clientes'!$T:$T,MATCH('Detalhe Por UC'!$C904,'Infos Clientes'!B:B,0)),"")</f>
        <v>122.45454545454545</v>
      </c>
      <c r="BX904" s="83">
        <f t="shared" si="524"/>
        <v>0</v>
      </c>
      <c r="BY904" s="84">
        <f t="shared" si="525"/>
        <v>0.23348855544878927</v>
      </c>
      <c r="BZ904" s="85">
        <f>IF(_xlfn.MINIFS('Detalhe Por UC'!R:R,'Detalhe Por UC'!C:C,C904,'Detalhe Por UC'!AD:AD,"&gt;"&amp;0)=0,"",_xlfn.MINIFS('Detalhe Por UC'!R:R,'Detalhe Por UC'!C:C,C904,'Detalhe Por UC'!AD:AD,"&gt;"&amp;0))</f>
        <v>45658</v>
      </c>
      <c r="CA904" s="114">
        <f ca="1">IF(OR(S904&gt;0,AD904&gt;0),IFERROR(
SUMIFS(INDIRECT("'Infos Clientes'!$W"&amp;INDEX('Infos Clientes'!$C:$C,MATCH(C904,'Infos Clientes'!$H:$H,0))&amp;":$CZ"&amp;INDEX('Infos Clientes'!$C:$C,MATCH(C904,'Infos Clientes'!$H:$H,0))),'Infos Clientes'!$W$2:$CZ$2,"&gt;"&amp;$R904-365,'Infos Clientes'!$W$2:$CZ$2,"&lt;="&amp;$R904)/
COUNTIFS(INDIRECT("'Infos Clientes'!$W"&amp;INDEX('Infos Clientes'!$C:$C,MATCH(C904,'Infos Clientes'!$H:$H,0))&amp;":$CZ"&amp;INDEX('Infos Clientes'!$C:$C,MATCH(C904,'Infos Clientes'!$H:$H,0))),"&gt;="&amp;0,'Infos Clientes'!$W$2:$CZ$2,"&gt;"&amp;$R904-365,'Infos Clientes'!$W$2:$CZ$2,"&lt;="&amp;$R904),""),"")</f>
        <v>150.69999999999999</v>
      </c>
      <c r="CB904" s="87">
        <f>VLOOKUP(C904,'Infos Clientes'!B:L,11,0)</f>
        <v>0</v>
      </c>
      <c r="CC904" s="88" t="str">
        <f t="shared" si="526"/>
        <v>A Unidade Consumidora 10/530195-7 economizou R$4,23 na fatura referente à set/2025  consumindo 15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4" s="115">
        <f t="shared" si="527"/>
        <v>-77.649999999999991</v>
      </c>
    </row>
    <row r="905" spans="1:84" ht="16.2" hidden="1" customHeight="1" x14ac:dyDescent="0.3">
      <c r="A905" s="105" t="str">
        <f>INDEX('Infos Clientes'!$D:$D,MATCH('Detalhe Por UC'!C905,'Infos Clientes'!B:B,0))</f>
        <v>IGREJA DO EVANGELHO QUADRANGULAR</v>
      </c>
      <c r="B905" s="106" t="str">
        <f>INDEX('Infos Clientes'!$F:$F,MATCH('Detalhe Por UC'!C905,'Infos Clientes'!B:B,0))</f>
        <v>62.955.505/3124-87</v>
      </c>
      <c r="C905" s="31" t="s">
        <v>185</v>
      </c>
      <c r="D905" t="s">
        <v>351</v>
      </c>
      <c r="E905" s="1" t="s">
        <v>352</v>
      </c>
      <c r="F905" s="56" t="str">
        <f>INDEX('Infos Clientes'!$I:$I,MATCH('Detalhe Por UC'!C905,'Infos Clientes'!B:B,0))</f>
        <v>BT</v>
      </c>
      <c r="G905" s="56" t="str">
        <f>INDEX('Infos Clientes'!$J:$J,MATCH('Detalhe Por UC'!C905,'Infos Clientes'!B:B,0))</f>
        <v>trifasico</v>
      </c>
      <c r="H905" s="47" t="str">
        <f t="shared" si="528"/>
        <v>GIROSSOL III</v>
      </c>
      <c r="I905" s="58">
        <f>IFERROR(VLOOKUP(C905,'Infos Clientes'!B:E,4,),"")</f>
        <v>357</v>
      </c>
      <c r="J905" s="151">
        <v>0.26857922422136293</v>
      </c>
      <c r="K905" s="79">
        <f>INDEX('Resumo Operacional'!$A$1:$P$151,MATCH("Desconto percentual Ucs",'Resumo Operacional'!$B$1:$B$151,0),MATCH('Detalhe Por UC'!$R905,'Resumo Operacional'!$A$1:$P$1,0))</f>
        <v>0.26857922422136293</v>
      </c>
      <c r="M905" s="56"/>
      <c r="N905" s="56"/>
      <c r="O905" s="56"/>
      <c r="P905" s="56"/>
      <c r="Q905" s="61"/>
      <c r="R905" s="111">
        <v>45901</v>
      </c>
      <c r="S905" s="152">
        <v>5.7999999999999996E-3</v>
      </c>
      <c r="T905" s="113" t="str">
        <f>IF($H905="GIROSSOL II",AP905/INDEX('Resumo Operacional'!$A$1:$P$1103,17,MATCH('Detalhe Por UC'!$R905,'Resumo Operacional'!$A$1:$P$1,0)),
IF($H905="GIROSSOL II e III",AP905/INDEX('Resumo Operacional'!$A$1:$P$1103,17,MATCH('Detalhe Por UC'!$R905,'Resumo Operacional'!$A$1:$P$1,0)),
""))</f>
        <v/>
      </c>
      <c r="U905" s="113">
        <f>IF($H905="GIROSSOL III",AP905/INDEX('Resumo Operacional'!$A$1:$P$1103,53,MATCH('Detalhe Por UC'!$R905,'Resumo Operacional'!$A$1:$P$1,0)),
IF($H905="GIROSSOL II e III",AP905/INDEX('Resumo Operacional'!$A$1:$P$1103,53,MATCH('Detalhe Por UC'!$R905,'Resumo Operacional'!$A$1:$P$1,0)),
""))</f>
        <v>3.986765922249793E-2</v>
      </c>
      <c r="X905">
        <v>1.208</v>
      </c>
      <c r="Z905" s="18">
        <v>0</v>
      </c>
      <c r="AB905" s="18">
        <v>0</v>
      </c>
      <c r="AD905" s="143">
        <v>0</v>
      </c>
      <c r="AF905" s="18">
        <v>482</v>
      </c>
      <c r="AG905">
        <v>0</v>
      </c>
      <c r="AH905">
        <v>27.770000000000003</v>
      </c>
      <c r="AL905" s="43"/>
      <c r="AN905" s="71">
        <f t="shared" ref="AN905:AN968" si="529">IF(X905="","",AF905-SUMIFS(AF:AF,$C:$C,$C905,$R:$R,EDATE($R905,-1)))</f>
        <v>482</v>
      </c>
      <c r="AO905" s="71">
        <f t="shared" ref="AO905:AO968" si="530">IF(X905="","",AG905-SUMIFS(AG:AG,$H:$H,$H905,$C:$C,$C905,$R:$R,EDATE($R905,-1)))</f>
        <v>0</v>
      </c>
      <c r="AP905" s="71">
        <f t="shared" ref="AP905:AP968" si="531">IFERROR(IF(D905="CRÉD. CONSUMIDO",SUM(AD905,AE905,AN905,AO905),IF(D905="GERADO",AQ905)),"")</f>
        <v>482</v>
      </c>
      <c r="AQ905" s="72">
        <f>IF(OR($H905="GIROSSOL II",$H905="GIROSSOL II e III"),INDEX('Resumo Operacional'!$A$1:$P$1103,MATCH("Energia Injetada prevista total Fatura da Usina (TUSD)",'Resumo Operacional'!$B$1:$B$1103,0),MATCH('Detalhe Por UC'!$R905,'Resumo Operacional'!$A$1:$P$1,0))*$S905,INDEX('Resumo Operacional'!$A$1:$P$1103,53,MATCH('Detalhe Por UC'!$R905,'Resumo Operacional'!$A$1:$P$1,0))*$S905)</f>
        <v>70.122</v>
      </c>
      <c r="AR905" s="71">
        <f t="shared" ref="AR905:AR968" si="532">IF(X905="","",AP905-AQ905)</f>
        <v>411.87799999999999</v>
      </c>
      <c r="AS905" s="73">
        <f t="shared" ref="AS905:AS968" si="533">IFERROR((X905*AB905-Z905*AD905+Y905*AC905-AA905*AE905)+AH905+
IF(F905&lt;&gt;"BT",0,
IF(AND(G905="trifasico",AD905=0,AB905&lt;100),X905*(100-(AB905-AD905)),
IF(AND(G905="bifasico",AD905=0,AB905&lt;50),X905*(50-(AB905-AD905)),
IF(AND(G905="monofasico",AD905=0,AB905&lt;30),X905*(30-(AB905-AD905)),0)))),"")</f>
        <v>148.57</v>
      </c>
      <c r="AT905" s="74">
        <f t="shared" ref="AT905:AT968" si="534">IFERROR(AS905+AI905+AJ905,"")</f>
        <v>148.57</v>
      </c>
      <c r="AU905" s="74" t="str">
        <f t="shared" ref="AU905:AU968" si="535">IFERROR((Z905*AD905+AA905*AE905)/(AD905+AE905)-((X905-Z905)*AD905+(Y905-AA905)*AE905)/(AD905+AE905),"")</f>
        <v/>
      </c>
      <c r="AV905" s="74">
        <f t="shared" ref="AV905:AV968" si="536">IFERROR(IF(AND(E905="FINAL-Ñ.COMP",D905="CRÉD. CONSUMIDO"),(X905*(1-J905)-(X905-Z905))*AD905+(Y905*(1-J905)-(Y905-AA905))*AE905,
IF(AND(E905="T.COMP",D905="CRÉD. CONSUMIDO"),Z905*(1-J905)*AD905+AA905*(1-J905)*AE905,
IF(AND(E905="T.S.IMP",D905="CRÉD. CONSUMIDO"),V905*(1-J905)*AD905+W905*(1-J905)*AE905,
IF(AND(E905="T.S.IMP",D905="GERADO"),V905*(1-J905)*AQ905+W905*(1-J905)*AQ905,
IF(AND(E905="T.COMP",D905="GERADO"),AU905*(1-J905)*AQ905,
IF(AND(E905="FINAL-Ñ.COMP",D905="GERADO"),(AU905*(1-J905)-(X905-Z905))*AQ905,"ERRO")))))),"")</f>
        <v>0</v>
      </c>
      <c r="AW905" s="74">
        <f t="shared" ref="AW905:AW968" si="537">IF(45658=R905,0,IF(
SUMIFS($BA:$BA,$C:$C,$C905,$R:$R,EDATE($R905,-1))
&gt;=0,
SUMIFS(AY:AY,$C:$C,$C905,$R:$R,EDATE($R905,-1))-SUMIFS(BA:BA,$C:$C,$C905,$R:$R,EDATE($R905,-1)),0))</f>
        <v>0</v>
      </c>
      <c r="AX905" s="74">
        <f t="shared" ref="AX905:AX968" si="538">IFERROR(IF(AND(E905="FINAL-Ñ.COMP",D905="CRÉD. CONSUMIDO"),(X905-(X905-Z905))*AD905+(Y905-(Y905-AA905))*AE905,
IF(AND(E905="T.COMP",D905="CRÉD. CONSUMIDO"),Z905*AD905+AA905*AE905,
IF(AND(E905="T.S.IMP",D905="CRÉD. CONSUMIDO"),V905*AD905+W905*AE905,
IF(AND(E905="T.S.IMP",D905="GERADO"),V905*AQ905+W905*AQ905,
IF(AND(E905="T.COMP",D905="GERADO"),AU905*AQ905,
IF(AND(E905="FINAL-Ñ.COMP",D905="GERADO"),(AU905-(X905-Z905))*AQ905,"ERRO"))))))+AW905,"")</f>
        <v>0</v>
      </c>
      <c r="AY905" s="74" t="str">
        <f t="shared" ref="AY905:AY968" si="539">IF(AV905=0,IF(AW905=0,"",AW905),IFERROR(ROUND(IF(SUMIFS($BA:$BA,$C:$C,$C905,$R:$R,EDATE($R905,-1))&gt;0,AV905+AW905,AV905),2),""))</f>
        <v/>
      </c>
      <c r="AZ905" s="117">
        <v>0</v>
      </c>
      <c r="BA905" s="117">
        <v>1E-10</v>
      </c>
      <c r="BC905" s="73" t="str">
        <f t="shared" ref="BC905:BC968" si="540">IF(BB905&gt;BA905,BB905-BA905,"")</f>
        <v/>
      </c>
      <c r="BD905" s="73">
        <f t="shared" ref="BD905:BD968" si="541">IF(AB905&gt;0,X905*AB905+Y905*AC905+AH905,AH905+
IF(AND(G905="trifasico",AB905-AD905=0),X905*(100-(AB905-AD905)),
IF(AND(G905="bifasico",AB905-AD905=0),X905*(50-(AB905-AD905)),
IF(AND(G905="monofasico",AB905-AD905=0),X905*(30-(AB905-AD905)),0))))</f>
        <v>148.57</v>
      </c>
      <c r="BE905" s="73">
        <f t="shared" ref="BE905:BE968" si="542">IFERROR(AS905+AV905,"")</f>
        <v>148.57</v>
      </c>
      <c r="BF905" s="77">
        <f t="shared" ref="BF905:BF968" si="543">ROUND(BD905-BE905,2)</f>
        <v>0</v>
      </c>
      <c r="BG905" s="77">
        <f t="shared" ref="BG905:BG968" si="544">BF905*0.3</f>
        <v>0</v>
      </c>
      <c r="BH905" s="77">
        <f t="shared" ref="BH905:BH968" si="545">(X905*AD905)-((X905-Z905)*AD905)</f>
        <v>0</v>
      </c>
      <c r="BI905" s="78" t="str">
        <f t="shared" ref="BI905:BI968" si="546">IFERROR(ROUND(IFERROR(IF(BF905=0,"",BF905/(AY905+Z905*J905*AD905+AA905*J905*AE905)),0),2),"")</f>
        <v/>
      </c>
      <c r="BJ905" s="79">
        <f t="shared" ref="BJ905:BJ968" si="547">IFERROR(BF905/BD905,"")</f>
        <v>0</v>
      </c>
      <c r="BK905" s="80" t="str">
        <f t="shared" ref="BK905:BK968" si="548">IFERROR(AS905+AY905,"")</f>
        <v/>
      </c>
      <c r="BL905" s="80" t="str">
        <f t="shared" ref="BL905:BL968" si="549">IFERROR(BD905-BK905,"")</f>
        <v/>
      </c>
      <c r="BM905" s="79" t="str">
        <f t="shared" ref="BM905:BM968" si="550">IFERROR(IF(BL905=0,"",BL905/BD905),"")</f>
        <v/>
      </c>
      <c r="BN905" s="81" t="str">
        <f t="shared" ref="BN905:BN968" si="551">IFERROR(IF(AD905="","",AY905/(AD905+AE905)),"")</f>
        <v/>
      </c>
      <c r="BO905" s="82" t="str">
        <f t="shared" ref="BO905:BO968" si="552">IF(OR(BN905="",BN905=0),"",BN905*(AD905+AE905))</f>
        <v/>
      </c>
      <c r="BP905" s="81" t="str">
        <f t="shared" ref="BP905:BP968" si="553">IFERROR(IF(AD905="","",AY905/AD905),"")</f>
        <v/>
      </c>
      <c r="BQ905" s="81" t="str">
        <f t="shared" ref="BQ905:BQ968" si="554">IFERROR(BP905+(X905-Z905),"")</f>
        <v/>
      </c>
      <c r="BR905" s="81" t="str">
        <f t="shared" ref="BR905:BR968" si="555">IFERROR(IF(AD905="","",(X905*AD905+Y905*AE905)/(AD905+AE905)),"")</f>
        <v/>
      </c>
      <c r="BS905" s="82">
        <f t="shared" ref="BS905:BS968" si="556">IFERROR(IF(D905="gerado",AQ905,AD905),"")</f>
        <v>0</v>
      </c>
      <c r="BT905" s="82" t="str">
        <f t="shared" ref="BT905:BT968" si="557">IF(OR(BR905="",BR905=0),"",BR905*(AD905+AE905))</f>
        <v/>
      </c>
      <c r="BU905" s="82">
        <f t="shared" ref="BU905:BU968" si="558">IFERROR(BS905*Z905,"")</f>
        <v>0</v>
      </c>
      <c r="BW905" s="82">
        <f>IFERROR(INDEX('Infos Clientes'!$T:$T,MATCH('Detalhe Por UC'!$C905,'Infos Clientes'!B:B,0)),"")</f>
        <v>178.4</v>
      </c>
      <c r="BX905" s="83">
        <f t="shared" ref="BX905:BX968" si="559">IFERROR(BW905*Q905,"")</f>
        <v>0</v>
      </c>
      <c r="BY905" s="84" t="str">
        <f t="shared" ref="BY905:BY968" si="560">IFERROR((X905-BQ905)/X905,"")</f>
        <v/>
      </c>
      <c r="BZ905" s="85">
        <f>IF(_xlfn.MINIFS('Detalhe Por UC'!R:R,'Detalhe Por UC'!C:C,C905,'Detalhe Por UC'!AD:AD,"&gt;"&amp;0)=0,"",_xlfn.MINIFS('Detalhe Por UC'!R:R,'Detalhe Por UC'!C:C,C905,'Detalhe Por UC'!AD:AD,"&gt;"&amp;0))</f>
        <v>45689</v>
      </c>
      <c r="CA905" s="114">
        <f ca="1">IF(OR(S905&gt;0,AD905&gt;0),IFERROR(
SUMIFS(INDIRECT("'Infos Clientes'!$W"&amp;INDEX('Infos Clientes'!$C:$C,MATCH(C905,'Infos Clientes'!$H:$H,0))&amp;":$CZ"&amp;INDEX('Infos Clientes'!$C:$C,MATCH(C905,'Infos Clientes'!$H:$H,0))),'Infos Clientes'!$W$2:$CZ$2,"&gt;"&amp;$R905-365,'Infos Clientes'!$W$2:$CZ$2,"&lt;="&amp;$R905)/
COUNTIFS(INDIRECT("'Infos Clientes'!$W"&amp;INDEX('Infos Clientes'!$C:$C,MATCH(C905,'Infos Clientes'!$H:$H,0))&amp;":$CZ"&amp;INDEX('Infos Clientes'!$C:$C,MATCH(C905,'Infos Clientes'!$H:$H,0))),"&gt;="&amp;0,'Infos Clientes'!$W$2:$CZ$2,"&gt;"&amp;$R905-365,'Infos Clientes'!$W$2:$CZ$2,"&lt;="&amp;$R905),""),"")</f>
        <v>144.14285714285714</v>
      </c>
      <c r="CB905" s="87">
        <f>VLOOKUP(C905,'Infos Clientes'!B:L,11,0)</f>
        <v>0</v>
      </c>
      <c r="CC905" s="88" t="str">
        <f t="shared" ref="CC905:CC968" si="561">"A Unidade Consumidora "&amp;C905&amp;" economizou R$"&amp;BF905&amp;" na fatura referente à "&amp;TEXT(R905,"mmm/aaaa")&amp;"  consumindo "&amp;AD905&amp;" kWh em créditos de energia renovável conforme fatura de energia. A economia foi de "&amp;$J905*100&amp;"% em relação ao que seria pago para a Energisa considerando os créditos consumidos. Atenção: Mantenha as contas da Energisa em dia para evitar cortes."</f>
        <v>A Unidade Consumidora 10/3054052-0 economizou R$0 na fatura referente à set/2025  consumindo 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5" s="115">
        <f t="shared" ref="CF905:CF968" si="562">CE905-AT905</f>
        <v>-148.57</v>
      </c>
    </row>
    <row r="906" spans="1:84" ht="16.2" hidden="1" customHeight="1" x14ac:dyDescent="0.3">
      <c r="A906" s="105" t="str">
        <f>INDEX('Infos Clientes'!$D:$D,MATCH('Detalhe Por UC'!C906,'Infos Clientes'!B:B,0))</f>
        <v>IGREJA DO EVANGELHO QUADRANGULAR</v>
      </c>
      <c r="B906" s="106" t="str">
        <f>INDEX('Infos Clientes'!$F:$F,MATCH('Detalhe Por UC'!C906,'Infos Clientes'!B:B,0))</f>
        <v>62.955.505/1344-49</v>
      </c>
      <c r="C906" s="31" t="s">
        <v>166</v>
      </c>
      <c r="D906" t="s">
        <v>351</v>
      </c>
      <c r="E906" s="1" t="s">
        <v>352</v>
      </c>
      <c r="F906" s="56" t="str">
        <f>INDEX('Infos Clientes'!$I:$I,MATCH('Detalhe Por UC'!C906,'Infos Clientes'!B:B,0))</f>
        <v>BT</v>
      </c>
      <c r="G906" s="56" t="str">
        <f>INDEX('Infos Clientes'!$J:$J,MATCH('Detalhe Por UC'!C906,'Infos Clientes'!B:B,0))</f>
        <v>bifasico</v>
      </c>
      <c r="H906" s="47" t="str">
        <f t="shared" si="528"/>
        <v>GIROSSOL III</v>
      </c>
      <c r="I906" s="58">
        <f>IFERROR(VLOOKUP(C906,'Infos Clientes'!B:E,4,),"")</f>
        <v>362</v>
      </c>
      <c r="J906" s="151">
        <v>0.26857922422136293</v>
      </c>
      <c r="K906" s="79">
        <f>INDEX('Resumo Operacional'!$A$1:$P$151,MATCH("Desconto percentual Ucs",'Resumo Operacional'!$B$1:$B$151,0),MATCH('Detalhe Por UC'!$R906,'Resumo Operacional'!$A$1:$P$1,0))</f>
        <v>0.26857922422136293</v>
      </c>
      <c r="M906" s="56"/>
      <c r="N906" s="56"/>
      <c r="O906" s="56"/>
      <c r="P906" s="56"/>
      <c r="Q906" s="61"/>
      <c r="R906" s="111">
        <v>45901</v>
      </c>
      <c r="S906" s="152">
        <v>3.3999999999999998E-3</v>
      </c>
      <c r="T906" s="113" t="str">
        <f>IF($H906="GIROSSOL II",AP906/INDEX('Resumo Operacional'!$A$1:$P$1103,17,MATCH('Detalhe Por UC'!$R906,'Resumo Operacional'!$A$1:$P$1,0)),
IF($H906="GIROSSOL II e III",AP906/INDEX('Resumo Operacional'!$A$1:$P$1103,17,MATCH('Detalhe Por UC'!$R906,'Resumo Operacional'!$A$1:$P$1,0)),
""))</f>
        <v/>
      </c>
      <c r="U906" s="113">
        <f>IF($H906="GIROSSOL III",AP906/INDEX('Resumo Operacional'!$A$1:$P$1103,53,MATCH('Detalhe Por UC'!$R906,'Resumo Operacional'!$A$1:$P$1,0)),
IF($H906="GIROSSOL II e III",AP906/INDEX('Resumo Operacional'!$A$1:$P$1103,53,MATCH('Detalhe Por UC'!$R906,'Resumo Operacional'!$A$1:$P$1,0)),
""))</f>
        <v>4.4665012406947891E-3</v>
      </c>
      <c r="X906">
        <v>1.2080639730639733</v>
      </c>
      <c r="Z906" s="18">
        <v>1.0511670761670762</v>
      </c>
      <c r="AB906" s="18">
        <v>81</v>
      </c>
      <c r="AD906" s="143">
        <v>37</v>
      </c>
      <c r="AF906" s="18">
        <v>288</v>
      </c>
      <c r="AG906">
        <v>0</v>
      </c>
      <c r="AH906">
        <v>20.350000000000001</v>
      </c>
      <c r="AL906" s="43"/>
      <c r="AN906" s="71">
        <f t="shared" si="529"/>
        <v>17</v>
      </c>
      <c r="AO906" s="71">
        <f t="shared" si="530"/>
        <v>0</v>
      </c>
      <c r="AP906" s="71">
        <f t="shared" si="531"/>
        <v>54</v>
      </c>
      <c r="AQ906" s="72">
        <f>IF(OR($H906="GIROSSOL II",$H906="GIROSSOL II e III"),INDEX('Resumo Operacional'!$A$1:$P$1103,MATCH("Energia Injetada prevista total Fatura da Usina (TUSD)",'Resumo Operacional'!$B$1:$B$1103,0),MATCH('Detalhe Por UC'!$R906,'Resumo Operacional'!$A$1:$P$1,0))*$S906,INDEX('Resumo Operacional'!$A$1:$P$1103,53,MATCH('Detalhe Por UC'!$R906,'Resumo Operacional'!$A$1:$P$1,0))*$S906)</f>
        <v>41.105999999999995</v>
      </c>
      <c r="AR906" s="71">
        <f t="shared" si="532"/>
        <v>12.894000000000005</v>
      </c>
      <c r="AS906" s="73">
        <f t="shared" si="533"/>
        <v>79.310000000000031</v>
      </c>
      <c r="AT906" s="74">
        <f t="shared" si="534"/>
        <v>79.310000000000031</v>
      </c>
      <c r="AU906" s="74">
        <f t="shared" si="535"/>
        <v>0.89427017927017904</v>
      </c>
      <c r="AV906" s="74">
        <f t="shared" si="536"/>
        <v>28.447281217954128</v>
      </c>
      <c r="AW906" s="74">
        <f t="shared" si="537"/>
        <v>-149.23000000000002</v>
      </c>
      <c r="AX906" s="74">
        <f t="shared" si="538"/>
        <v>-110.3368181818182</v>
      </c>
      <c r="AY906" s="74">
        <f t="shared" si="539"/>
        <v>-120.78</v>
      </c>
      <c r="AZ906" s="129">
        <v>0</v>
      </c>
      <c r="BA906" s="117">
        <v>9.9999999999999998E-13</v>
      </c>
      <c r="BC906" s="73" t="str">
        <f t="shared" si="540"/>
        <v/>
      </c>
      <c r="BD906" s="73">
        <f t="shared" si="541"/>
        <v>118.20318181818183</v>
      </c>
      <c r="BE906" s="73">
        <f t="shared" si="542"/>
        <v>107.75728121795416</v>
      </c>
      <c r="BF906" s="77">
        <f t="shared" si="543"/>
        <v>10.45</v>
      </c>
      <c r="BG906" s="77">
        <f t="shared" si="544"/>
        <v>3.1349999999999998</v>
      </c>
      <c r="BH906" s="77">
        <f t="shared" si="545"/>
        <v>38.893181818181816</v>
      </c>
      <c r="BI906" s="78">
        <f t="shared" si="546"/>
        <v>-0.09</v>
      </c>
      <c r="BJ906" s="79">
        <f t="shared" si="547"/>
        <v>8.8407095640403444E-2</v>
      </c>
      <c r="BK906" s="80">
        <f t="shared" si="548"/>
        <v>-41.46999999999997</v>
      </c>
      <c r="BL906" s="80">
        <f t="shared" si="549"/>
        <v>159.6731818181818</v>
      </c>
      <c r="BM906" s="79">
        <f t="shared" si="550"/>
        <v>1.3508365795413904</v>
      </c>
      <c r="BN906" s="81">
        <f t="shared" si="551"/>
        <v>-3.2643243243243245</v>
      </c>
      <c r="BO906" s="82">
        <f t="shared" si="552"/>
        <v>-120.78</v>
      </c>
      <c r="BP906" s="81">
        <f t="shared" si="553"/>
        <v>-3.2643243243243245</v>
      </c>
      <c r="BQ906" s="81">
        <f t="shared" si="554"/>
        <v>-3.1074274274274272</v>
      </c>
      <c r="BR906" s="81">
        <f t="shared" si="555"/>
        <v>1.2080639730639733</v>
      </c>
      <c r="BS906" s="82">
        <f t="shared" si="556"/>
        <v>37</v>
      </c>
      <c r="BT906" s="82">
        <f t="shared" si="557"/>
        <v>44.698367003367011</v>
      </c>
      <c r="BU906" s="82">
        <f t="shared" si="558"/>
        <v>38.893181818181816</v>
      </c>
      <c r="BW906" s="82">
        <f>IFERROR(INDEX('Infos Clientes'!$T:$T,MATCH('Detalhe Por UC'!$C906,'Infos Clientes'!B:B,0)),"")</f>
        <v>140.81818181818181</v>
      </c>
      <c r="BX906" s="83">
        <f t="shared" si="559"/>
        <v>0</v>
      </c>
      <c r="BY906" s="84">
        <f t="shared" si="560"/>
        <v>3.5722374780750727</v>
      </c>
      <c r="BZ906" s="85">
        <f>IF(_xlfn.MINIFS('Detalhe Por UC'!R:R,'Detalhe Por UC'!C:C,C906,'Detalhe Por UC'!AD:AD,"&gt;"&amp;0)=0,"",_xlfn.MINIFS('Detalhe Por UC'!R:R,'Detalhe Por UC'!C:C,C906,'Detalhe Por UC'!AD:AD,"&gt;"&amp;0))</f>
        <v>45658</v>
      </c>
      <c r="CA906" s="114">
        <f ca="1">IF(OR(S906&gt;0,AD906&gt;0),IFERROR(
SUMIFS(INDIRECT("'Infos Clientes'!$W"&amp;INDEX('Infos Clientes'!$C:$C,MATCH(C906,'Infos Clientes'!$H:$H,0))&amp;":$CZ"&amp;INDEX('Infos Clientes'!$C:$C,MATCH(C906,'Infos Clientes'!$H:$H,0))),'Infos Clientes'!$W$2:$CZ$2,"&gt;"&amp;$R906-365,'Infos Clientes'!$W$2:$CZ$2,"&lt;="&amp;$R906)/
COUNTIFS(INDIRECT("'Infos Clientes'!$W"&amp;INDEX('Infos Clientes'!$C:$C,MATCH(C906,'Infos Clientes'!$H:$H,0))&amp;":$CZ"&amp;INDEX('Infos Clientes'!$C:$C,MATCH(C906,'Infos Clientes'!$H:$H,0))),"&gt;="&amp;0,'Infos Clientes'!$W$2:$CZ$2,"&gt;"&amp;$R906-365,'Infos Clientes'!$W$2:$CZ$2,"&lt;="&amp;$R906),""),"")</f>
        <v>88.083333333333329</v>
      </c>
      <c r="CB906" s="87">
        <f>VLOOKUP(C906,'Infos Clientes'!B:L,11,0)</f>
        <v>0</v>
      </c>
      <c r="CC906" s="88" t="str">
        <f t="shared" si="561"/>
        <v>A Unidade Consumidora 10/175073-6 economizou R$10,45 na fatura referente à set/2025  consumindo 37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6" s="115">
        <f t="shared" si="562"/>
        <v>-79.310000000000031</v>
      </c>
    </row>
    <row r="907" spans="1:84" ht="16.2" hidden="1" customHeight="1" x14ac:dyDescent="0.3">
      <c r="A907" s="105" t="str">
        <f>INDEX('Infos Clientes'!$D:$D,MATCH('Detalhe Por UC'!C907,'Infos Clientes'!B:B,0))</f>
        <v>IGREJA DO EVANGELHO QUADRANGULAR</v>
      </c>
      <c r="B907" s="106" t="str">
        <f>INDEX('Infos Clientes'!$F:$F,MATCH('Detalhe Por UC'!C907,'Infos Clientes'!B:B,0))</f>
        <v>62.955.505/8873-82</v>
      </c>
      <c r="C907" s="31" t="s">
        <v>212</v>
      </c>
      <c r="D907" t="s">
        <v>351</v>
      </c>
      <c r="E907" s="1" t="s">
        <v>352</v>
      </c>
      <c r="F907" s="56" t="str">
        <f>INDEX('Infos Clientes'!$I:$I,MATCH('Detalhe Por UC'!C907,'Infos Clientes'!B:B,0))</f>
        <v>BT</v>
      </c>
      <c r="G907" s="56" t="str">
        <f>INDEX('Infos Clientes'!$J:$J,MATCH('Detalhe Por UC'!C907,'Infos Clientes'!B:B,0))</f>
        <v>trifasico</v>
      </c>
      <c r="H907" s="47" t="str">
        <f t="shared" si="528"/>
        <v>GIROSSOL III</v>
      </c>
      <c r="I907" s="58">
        <f>IFERROR(VLOOKUP(C907,'Infos Clientes'!B:E,4,),"")</f>
        <v>351</v>
      </c>
      <c r="J907" s="151">
        <v>0.26857922422136293</v>
      </c>
      <c r="K907" s="79">
        <f>INDEX('Resumo Operacional'!$A$1:$P$151,MATCH("Desconto percentual Ucs",'Resumo Operacional'!$B$1:$B$151,0),MATCH('Detalhe Por UC'!$R907,'Resumo Operacional'!$A$1:$P$1,0))</f>
        <v>0.26857922422136293</v>
      </c>
      <c r="M907" s="56"/>
      <c r="N907" s="56"/>
      <c r="O907" s="56"/>
      <c r="P907" s="56"/>
      <c r="Q907" s="61"/>
      <c r="R907" s="111">
        <v>45901</v>
      </c>
      <c r="S907" s="152">
        <v>0</v>
      </c>
      <c r="T907" s="113" t="str">
        <f>IF($H907="GIROSSOL II",AP907/INDEX('Resumo Operacional'!$A$1:$P$1103,17,MATCH('Detalhe Por UC'!$R907,'Resumo Operacional'!$A$1:$P$1,0)),
IF($H907="GIROSSOL II e III",AP907/INDEX('Resumo Operacional'!$A$1:$P$1103,17,MATCH('Detalhe Por UC'!$R907,'Resumo Operacional'!$A$1:$P$1,0)),
""))</f>
        <v/>
      </c>
      <c r="U907" s="113">
        <f>IF($H907="GIROSSOL III",AP907/INDEX('Resumo Operacional'!$A$1:$P$1103,53,MATCH('Detalhe Por UC'!$R907,'Resumo Operacional'!$A$1:$P$1,0)),
IF($H907="GIROSSOL II e III",AP907/INDEX('Resumo Operacional'!$A$1:$P$1103,53,MATCH('Detalhe Por UC'!$R907,'Resumo Operacional'!$A$1:$P$1,0)),
""))</f>
        <v>4.0942928039702231E-2</v>
      </c>
      <c r="X907">
        <v>1.208</v>
      </c>
      <c r="Z907" s="18">
        <v>0</v>
      </c>
      <c r="AB907" s="18">
        <v>0</v>
      </c>
      <c r="AD907" s="143">
        <v>0</v>
      </c>
      <c r="AF907" s="18">
        <v>495</v>
      </c>
      <c r="AG907">
        <v>0</v>
      </c>
      <c r="AH907">
        <v>2.87</v>
      </c>
      <c r="AL907" s="43"/>
      <c r="AN907" s="71">
        <f t="shared" si="529"/>
        <v>495</v>
      </c>
      <c r="AO907" s="71">
        <f t="shared" si="530"/>
        <v>0</v>
      </c>
      <c r="AP907" s="71">
        <f t="shared" si="531"/>
        <v>495</v>
      </c>
      <c r="AQ907" s="72">
        <f>IF(OR($H907="GIROSSOL II",$H907="GIROSSOL II e III"),INDEX('Resumo Operacional'!$A$1:$P$1103,MATCH("Energia Injetada prevista total Fatura da Usina (TUSD)",'Resumo Operacional'!$B$1:$B$1103,0),MATCH('Detalhe Por UC'!$R907,'Resumo Operacional'!$A$1:$P$1,0))*$S907,INDEX('Resumo Operacional'!$A$1:$P$1103,53,MATCH('Detalhe Por UC'!$R907,'Resumo Operacional'!$A$1:$P$1,0))*$S907)</f>
        <v>0</v>
      </c>
      <c r="AR907" s="71">
        <f t="shared" si="532"/>
        <v>495</v>
      </c>
      <c r="AS907" s="73">
        <f t="shared" si="533"/>
        <v>123.67</v>
      </c>
      <c r="AT907" s="74">
        <f t="shared" si="534"/>
        <v>123.67</v>
      </c>
      <c r="AU907" s="74" t="str">
        <f t="shared" si="535"/>
        <v/>
      </c>
      <c r="AV907" s="74">
        <f t="shared" si="536"/>
        <v>0</v>
      </c>
      <c r="AW907" s="74">
        <f t="shared" si="537"/>
        <v>0</v>
      </c>
      <c r="AX907" s="74">
        <f t="shared" si="538"/>
        <v>0</v>
      </c>
      <c r="AY907" s="74" t="str">
        <f t="shared" si="539"/>
        <v/>
      </c>
      <c r="AZ907" s="117">
        <v>0</v>
      </c>
      <c r="BA907" s="117">
        <v>1E-10</v>
      </c>
      <c r="BC907" s="73" t="str">
        <f t="shared" si="540"/>
        <v/>
      </c>
      <c r="BD907" s="73">
        <f t="shared" si="541"/>
        <v>123.67</v>
      </c>
      <c r="BE907" s="73">
        <f t="shared" si="542"/>
        <v>123.67</v>
      </c>
      <c r="BF907" s="77">
        <f t="shared" si="543"/>
        <v>0</v>
      </c>
      <c r="BG907" s="77">
        <f t="shared" si="544"/>
        <v>0</v>
      </c>
      <c r="BH907" s="77">
        <f t="shared" si="545"/>
        <v>0</v>
      </c>
      <c r="BI907" s="78" t="str">
        <f t="shared" si="546"/>
        <v/>
      </c>
      <c r="BJ907" s="79">
        <f t="shared" si="547"/>
        <v>0</v>
      </c>
      <c r="BK907" s="80" t="str">
        <f t="shared" si="548"/>
        <v/>
      </c>
      <c r="BL907" s="80" t="str">
        <f t="shared" si="549"/>
        <v/>
      </c>
      <c r="BM907" s="79" t="str">
        <f t="shared" si="550"/>
        <v/>
      </c>
      <c r="BN907" s="81" t="str">
        <f t="shared" si="551"/>
        <v/>
      </c>
      <c r="BO907" s="82" t="str">
        <f t="shared" si="552"/>
        <v/>
      </c>
      <c r="BP907" s="81" t="str">
        <f t="shared" si="553"/>
        <v/>
      </c>
      <c r="BQ907" s="81" t="str">
        <f t="shared" si="554"/>
        <v/>
      </c>
      <c r="BR907" s="81" t="str">
        <f t="shared" si="555"/>
        <v/>
      </c>
      <c r="BS907" s="82">
        <f t="shared" si="556"/>
        <v>0</v>
      </c>
      <c r="BT907" s="82" t="str">
        <f t="shared" si="557"/>
        <v/>
      </c>
      <c r="BU907" s="82">
        <f t="shared" si="558"/>
        <v>0</v>
      </c>
      <c r="BW907" s="82">
        <f>IFERROR(INDEX('Infos Clientes'!$T:$T,MATCH('Detalhe Por UC'!$C907,'Infos Clientes'!B:B,0)),"")</f>
        <v>93.7</v>
      </c>
      <c r="BX907" s="83">
        <f t="shared" si="559"/>
        <v>0</v>
      </c>
      <c r="BY907" s="84" t="str">
        <f t="shared" si="560"/>
        <v/>
      </c>
      <c r="BZ907" s="85">
        <f>IF(_xlfn.MINIFS('Detalhe Por UC'!R:R,'Detalhe Por UC'!C:C,C907,'Detalhe Por UC'!AD:AD,"&gt;"&amp;0)=0,"",_xlfn.MINIFS('Detalhe Por UC'!R:R,'Detalhe Por UC'!C:C,C907,'Detalhe Por UC'!AD:AD,"&gt;"&amp;0))</f>
        <v>45689</v>
      </c>
      <c r="CA907" s="114" t="str">
        <f ca="1">IF(OR(S907&gt;0,AD907&gt;0),IFERROR(
SUMIFS(INDIRECT("'Infos Clientes'!$W"&amp;INDEX('Infos Clientes'!$C:$C,MATCH(C907,'Infos Clientes'!$H:$H,0))&amp;":$CZ"&amp;INDEX('Infos Clientes'!$C:$C,MATCH(C907,'Infos Clientes'!$H:$H,0))),'Infos Clientes'!$W$2:$CZ$2,"&gt;"&amp;$R907-365,'Infos Clientes'!$W$2:$CZ$2,"&lt;="&amp;$R907)/
COUNTIFS(INDIRECT("'Infos Clientes'!$W"&amp;INDEX('Infos Clientes'!$C:$C,MATCH(C907,'Infos Clientes'!$H:$H,0))&amp;":$CZ"&amp;INDEX('Infos Clientes'!$C:$C,MATCH(C907,'Infos Clientes'!$H:$H,0))),"&gt;="&amp;0,'Infos Clientes'!$W$2:$CZ$2,"&gt;"&amp;$R907-365,'Infos Clientes'!$W$2:$CZ$2,"&lt;="&amp;$R907),""),"")</f>
        <v/>
      </c>
      <c r="CB907" s="87">
        <f>VLOOKUP(C907,'Infos Clientes'!B:L,11,0)</f>
        <v>0</v>
      </c>
      <c r="CC907" s="88" t="str">
        <f t="shared" si="561"/>
        <v>A Unidade Consumidora 10/505854-0 economizou R$0 na fatura referente à set/2025  consumindo 0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7" s="115">
        <f t="shared" si="562"/>
        <v>-123.67</v>
      </c>
    </row>
    <row r="908" spans="1:84" ht="16.2" hidden="1" customHeight="1" x14ac:dyDescent="0.3">
      <c r="A908" s="105" t="str">
        <f>INDEX('Infos Clientes'!$D:$D,MATCH('Detalhe Por UC'!C908,'Infos Clientes'!B:B,0))</f>
        <v>IGREJA DO EVANGELHO QUADRANGULAR</v>
      </c>
      <c r="B908" s="106" t="str">
        <f>INDEX('Infos Clientes'!$F:$F,MATCH('Detalhe Por UC'!C908,'Infos Clientes'!B:B,0))</f>
        <v>62.955.505/2876-01</v>
      </c>
      <c r="C908" s="31" t="s">
        <v>180</v>
      </c>
      <c r="D908" t="s">
        <v>351</v>
      </c>
      <c r="E908" s="1" t="s">
        <v>352</v>
      </c>
      <c r="F908" s="56" t="str">
        <f>INDEX('Infos Clientes'!$I:$I,MATCH('Detalhe Por UC'!C908,'Infos Clientes'!B:B,0))</f>
        <v>BT</v>
      </c>
      <c r="G908" s="56" t="str">
        <f>INDEX('Infos Clientes'!$J:$J,MATCH('Detalhe Por UC'!C908,'Infos Clientes'!B:B,0))</f>
        <v>trifasico</v>
      </c>
      <c r="H908" s="47" t="str">
        <f t="shared" si="528"/>
        <v>GIROSSOL III</v>
      </c>
      <c r="I908" s="58">
        <f>IFERROR(VLOOKUP(C908,'Infos Clientes'!B:E,4,),"")</f>
        <v>994</v>
      </c>
      <c r="J908" s="151">
        <v>0.26857922422136293</v>
      </c>
      <c r="K908" s="79">
        <f>INDEX('Resumo Operacional'!$A$1:$P$151,MATCH("Desconto percentual Ucs",'Resumo Operacional'!$B$1:$B$151,0),MATCH('Detalhe Por UC'!$R908,'Resumo Operacional'!$A$1:$P$1,0))</f>
        <v>0.26857922422136293</v>
      </c>
      <c r="M908" s="56"/>
      <c r="N908" s="56"/>
      <c r="O908" s="56"/>
      <c r="P908" s="56"/>
      <c r="Q908" s="61"/>
      <c r="R908" s="111">
        <v>45901</v>
      </c>
      <c r="S908" s="152">
        <v>0</v>
      </c>
      <c r="T908" s="113" t="str">
        <f>IF($H908="GIROSSOL II",AP908/INDEX('Resumo Operacional'!$A$1:$P$1103,17,MATCH('Detalhe Por UC'!$R908,'Resumo Operacional'!$A$1:$P$1,0)),
IF($H908="GIROSSOL II e III",AP908/INDEX('Resumo Operacional'!$A$1:$P$1103,17,MATCH('Detalhe Por UC'!$R908,'Resumo Operacional'!$A$1:$P$1,0)),
""))</f>
        <v/>
      </c>
      <c r="U908" s="113">
        <f>IF($H908="GIROSSOL III",AP908/INDEX('Resumo Operacional'!$A$1:$P$1103,53,MATCH('Detalhe Por UC'!$R908,'Resumo Operacional'!$A$1:$P$1,0)),
IF($H908="GIROSSOL II e III",AP908/INDEX('Resumo Operacional'!$A$1:$P$1103,53,MATCH('Detalhe Por UC'!$R908,'Resumo Operacional'!$A$1:$P$1,0)),
""))</f>
        <v>2.1091811414392061E-2</v>
      </c>
      <c r="X908">
        <v>1.2080579203405288</v>
      </c>
      <c r="Z908" s="18">
        <v>1.0512212276214834</v>
      </c>
      <c r="AB908" s="18">
        <v>143</v>
      </c>
      <c r="AD908" s="143">
        <v>51</v>
      </c>
      <c r="AF908" s="18">
        <v>204</v>
      </c>
      <c r="AG908">
        <v>0</v>
      </c>
      <c r="AH908">
        <v>23.99</v>
      </c>
      <c r="AL908" s="43"/>
      <c r="AN908" s="71">
        <f t="shared" si="529"/>
        <v>204</v>
      </c>
      <c r="AO908" s="71">
        <f t="shared" si="530"/>
        <v>0</v>
      </c>
      <c r="AP908" s="71">
        <f t="shared" si="531"/>
        <v>255</v>
      </c>
      <c r="AQ908" s="72">
        <f>IF(OR($H908="GIROSSOL II",$H908="GIROSSOL II e III"),INDEX('Resumo Operacional'!$A$1:$P$1103,MATCH("Energia Injetada prevista total Fatura da Usina (TUSD)",'Resumo Operacional'!$B$1:$B$1103,0),MATCH('Detalhe Por UC'!$R908,'Resumo Operacional'!$A$1:$P$1,0))*$S908,INDEX('Resumo Operacional'!$A$1:$P$1103,53,MATCH('Detalhe Por UC'!$R908,'Resumo Operacional'!$A$1:$P$1,0))*$S908)</f>
        <v>0</v>
      </c>
      <c r="AR908" s="71">
        <f t="shared" si="532"/>
        <v>255</v>
      </c>
      <c r="AS908" s="73">
        <f t="shared" si="533"/>
        <v>143.12999999999997</v>
      </c>
      <c r="AT908" s="74">
        <f t="shared" si="534"/>
        <v>143.12999999999997</v>
      </c>
      <c r="AU908" s="74">
        <f t="shared" si="535"/>
        <v>0.89438453490243797</v>
      </c>
      <c r="AV908" s="74">
        <f t="shared" si="536"/>
        <v>39.213137336915707</v>
      </c>
      <c r="AW908" s="74">
        <f t="shared" si="537"/>
        <v>0</v>
      </c>
      <c r="AX908" s="74">
        <f t="shared" si="538"/>
        <v>53.612282608695651</v>
      </c>
      <c r="AY908" s="74">
        <f t="shared" si="539"/>
        <v>39.21</v>
      </c>
      <c r="AZ908" s="117">
        <v>39.21</v>
      </c>
      <c r="BA908" s="117">
        <v>39.21</v>
      </c>
      <c r="BB908" s="117">
        <v>39.21</v>
      </c>
      <c r="BC908" s="73" t="str">
        <f t="shared" si="540"/>
        <v/>
      </c>
      <c r="BD908" s="73">
        <f t="shared" si="541"/>
        <v>196.74228260869563</v>
      </c>
      <c r="BE908" s="73">
        <f t="shared" si="542"/>
        <v>182.34313733691567</v>
      </c>
      <c r="BF908" s="77">
        <f t="shared" si="543"/>
        <v>14.4</v>
      </c>
      <c r="BG908" s="77">
        <f t="shared" si="544"/>
        <v>4.32</v>
      </c>
      <c r="BH908" s="77">
        <f t="shared" si="545"/>
        <v>53.612282608695651</v>
      </c>
      <c r="BI908" s="78">
        <f t="shared" si="546"/>
        <v>0.27</v>
      </c>
      <c r="BJ908" s="79">
        <f t="shared" si="547"/>
        <v>7.3192197473079174E-2</v>
      </c>
      <c r="BK908" s="80">
        <f t="shared" si="548"/>
        <v>182.33999999999997</v>
      </c>
      <c r="BL908" s="80">
        <f t="shared" si="549"/>
        <v>14.402282608695657</v>
      </c>
      <c r="BM908" s="79">
        <f t="shared" si="550"/>
        <v>7.3203799497135166E-2</v>
      </c>
      <c r="BN908" s="81">
        <f t="shared" si="551"/>
        <v>0.76882352941176468</v>
      </c>
      <c r="BO908" s="82">
        <f t="shared" si="552"/>
        <v>39.21</v>
      </c>
      <c r="BP908" s="81">
        <f t="shared" si="553"/>
        <v>0.76882352941176468</v>
      </c>
      <c r="BQ908" s="81">
        <f t="shared" si="554"/>
        <v>0.92566022213081012</v>
      </c>
      <c r="BR908" s="81">
        <f t="shared" si="555"/>
        <v>1.2080579203405288</v>
      </c>
      <c r="BS908" s="82">
        <f t="shared" si="556"/>
        <v>51</v>
      </c>
      <c r="BT908" s="82">
        <f t="shared" si="557"/>
        <v>61.610953937366972</v>
      </c>
      <c r="BU908" s="82">
        <f t="shared" si="558"/>
        <v>53.612282608695651</v>
      </c>
      <c r="BW908" s="82">
        <f>IFERROR(INDEX('Infos Clientes'!$T:$T,MATCH('Detalhe Por UC'!$C908,'Infos Clientes'!B:B,0)),"")</f>
        <v>143.63636363636363</v>
      </c>
      <c r="BX908" s="83">
        <f t="shared" si="559"/>
        <v>0</v>
      </c>
      <c r="BY908" s="84">
        <f t="shared" si="560"/>
        <v>0.23376172073779056</v>
      </c>
      <c r="BZ908" s="85">
        <f>IF(_xlfn.MINIFS('Detalhe Por UC'!R:R,'Detalhe Por UC'!C:C,C908,'Detalhe Por UC'!AD:AD,"&gt;"&amp;0)=0,"",_xlfn.MINIFS('Detalhe Por UC'!R:R,'Detalhe Por UC'!C:C,C908,'Detalhe Por UC'!AD:AD,"&gt;"&amp;0))</f>
        <v>45658</v>
      </c>
      <c r="CA908" s="114">
        <f ca="1">IF(OR(S908&gt;0,AD908&gt;0),IFERROR(
SUMIFS(INDIRECT("'Infos Clientes'!$W"&amp;INDEX('Infos Clientes'!$C:$C,MATCH(C908,'Infos Clientes'!$H:$H,0))&amp;":$CZ"&amp;INDEX('Infos Clientes'!$C:$C,MATCH(C908,'Infos Clientes'!$H:$H,0))),'Infos Clientes'!$W$2:$CZ$2,"&gt;"&amp;$R908-365,'Infos Clientes'!$W$2:$CZ$2,"&lt;="&amp;$R908)/
COUNTIFS(INDIRECT("'Infos Clientes'!$W"&amp;INDEX('Infos Clientes'!$C:$C,MATCH(C908,'Infos Clientes'!$H:$H,0))&amp;":$CZ"&amp;INDEX('Infos Clientes'!$C:$C,MATCH(C908,'Infos Clientes'!$H:$H,0))),"&gt;="&amp;0,'Infos Clientes'!$W$2:$CZ$2,"&gt;"&amp;$R908-365,'Infos Clientes'!$W$2:$CZ$2,"&lt;="&amp;$R908),""),"")</f>
        <v>148.16666666666666</v>
      </c>
      <c r="CB908" s="87">
        <f>VLOOKUP(C908,'Infos Clientes'!B:L,11,0)</f>
        <v>0</v>
      </c>
      <c r="CC908" s="88" t="str">
        <f t="shared" si="561"/>
        <v>A Unidade Consumidora 10/283183-2 economizou R$14,4 na fatura referente à set/2025  consumindo 51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8" s="115">
        <f t="shared" si="562"/>
        <v>-143.12999999999997</v>
      </c>
    </row>
    <row r="909" spans="1:84" ht="16.2" hidden="1" customHeight="1" x14ac:dyDescent="0.3">
      <c r="A909" s="105" t="str">
        <f>INDEX('Infos Clientes'!$D:$D,MATCH('Detalhe Por UC'!C909,'Infos Clientes'!B:B,0))</f>
        <v>IGREJA DO EVANGELHO QUADRANGULAR</v>
      </c>
      <c r="B909" s="106" t="str">
        <f>INDEX('Infos Clientes'!$F:$F,MATCH('Detalhe Por UC'!C909,'Infos Clientes'!B:B,0))</f>
        <v>62.955.505/3586-30</v>
      </c>
      <c r="C909" s="31" t="s">
        <v>242</v>
      </c>
      <c r="D909" t="s">
        <v>351</v>
      </c>
      <c r="E909" s="1" t="s">
        <v>352</v>
      </c>
      <c r="F909" s="56" t="str">
        <f>INDEX('Infos Clientes'!$I:$I,MATCH('Detalhe Por UC'!C909,'Infos Clientes'!B:B,0))</f>
        <v>BT</v>
      </c>
      <c r="G909" s="56" t="str">
        <f>INDEX('Infos Clientes'!$J:$J,MATCH('Detalhe Por UC'!C909,'Infos Clientes'!B:B,0))</f>
        <v>trifasico</v>
      </c>
      <c r="H909" s="47" t="str">
        <f t="shared" si="528"/>
        <v>GIROSSOL III</v>
      </c>
      <c r="I909" s="58">
        <f>IFERROR(VLOOKUP(C909,'Infos Clientes'!B:E,4,),"")</f>
        <v>371</v>
      </c>
      <c r="J909" s="151">
        <v>0.26857922422136293</v>
      </c>
      <c r="K909" s="79">
        <f>INDEX('Resumo Operacional'!$A$1:$P$151,MATCH("Desconto percentual Ucs",'Resumo Operacional'!$B$1:$B$151,0),MATCH('Detalhe Por UC'!$R909,'Resumo Operacional'!$A$1:$P$1,0))</f>
        <v>0.26857922422136293</v>
      </c>
      <c r="M909" s="56"/>
      <c r="N909" s="56"/>
      <c r="O909" s="56"/>
      <c r="P909" s="56"/>
      <c r="Q909" s="61"/>
      <c r="R909" s="111">
        <v>45901</v>
      </c>
      <c r="S909" s="152">
        <v>0</v>
      </c>
      <c r="T909" s="113" t="str">
        <f>IF($H909="GIROSSOL II",AP909/INDEX('Resumo Operacional'!$A$1:$P$1103,17,MATCH('Detalhe Por UC'!$R909,'Resumo Operacional'!$A$1:$P$1,0)),
IF($H909="GIROSSOL II e III",AP909/INDEX('Resumo Operacional'!$A$1:$P$1103,17,MATCH('Detalhe Por UC'!$R909,'Resumo Operacional'!$A$1:$P$1,0)),
""))</f>
        <v/>
      </c>
      <c r="U909" s="113">
        <f>IF($H909="GIROSSOL III",AP909/INDEX('Resumo Operacional'!$A$1:$P$1103,53,MATCH('Detalhe Por UC'!$R909,'Resumo Operacional'!$A$1:$P$1,0)),
IF($H909="GIROSSOL II e III",AP909/INDEX('Resumo Operacional'!$A$1:$P$1103,53,MATCH('Detalhe Por UC'!$R909,'Resumo Operacional'!$A$1:$P$1,0)),
""))</f>
        <v>3.4904880066170388E-2</v>
      </c>
      <c r="X909">
        <v>1.2080970528455284</v>
      </c>
      <c r="Z909" s="18">
        <v>1.0513310185185185</v>
      </c>
      <c r="AB909" s="18">
        <v>123</v>
      </c>
      <c r="AD909" s="143">
        <v>27</v>
      </c>
      <c r="AF909" s="18">
        <v>395</v>
      </c>
      <c r="AG909">
        <v>0</v>
      </c>
      <c r="AH909">
        <v>28.68</v>
      </c>
      <c r="AL909" s="43"/>
      <c r="AN909" s="71">
        <f t="shared" si="529"/>
        <v>395</v>
      </c>
      <c r="AO909" s="71">
        <f t="shared" si="530"/>
        <v>0</v>
      </c>
      <c r="AP909" s="71">
        <f t="shared" si="531"/>
        <v>422</v>
      </c>
      <c r="AQ909" s="72">
        <f>IF(OR($H909="GIROSSOL II",$H909="GIROSSOL II e III"),INDEX('Resumo Operacional'!$A$1:$P$1103,MATCH("Energia Injetada prevista total Fatura da Usina (TUSD)",'Resumo Operacional'!$B$1:$B$1103,0),MATCH('Detalhe Por UC'!$R909,'Resumo Operacional'!$A$1:$P$1,0))*$S909,INDEX('Resumo Operacional'!$A$1:$P$1103,53,MATCH('Detalhe Por UC'!$R909,'Resumo Operacional'!$A$1:$P$1,0))*$S909)</f>
        <v>0</v>
      </c>
      <c r="AR909" s="71">
        <f t="shared" si="532"/>
        <v>422</v>
      </c>
      <c r="AS909" s="73">
        <f t="shared" si="533"/>
        <v>148.88999999999999</v>
      </c>
      <c r="AT909" s="74">
        <f t="shared" si="534"/>
        <v>148.88999999999999</v>
      </c>
      <c r="AU909" s="74">
        <f t="shared" si="535"/>
        <v>0.89456498419150865</v>
      </c>
      <c r="AV909" s="74">
        <f t="shared" si="536"/>
        <v>20.762064427453907</v>
      </c>
      <c r="AW909" s="74">
        <f t="shared" si="537"/>
        <v>0</v>
      </c>
      <c r="AX909" s="74">
        <f t="shared" si="538"/>
        <v>28.385937500000001</v>
      </c>
      <c r="AY909" s="74">
        <f t="shared" si="539"/>
        <v>20.76</v>
      </c>
      <c r="AZ909" s="117">
        <v>20.76</v>
      </c>
      <c r="BA909" s="117">
        <v>20.76</v>
      </c>
      <c r="BB909" s="117">
        <v>20.76</v>
      </c>
      <c r="BC909" s="73" t="str">
        <f t="shared" si="540"/>
        <v/>
      </c>
      <c r="BD909" s="73">
        <f t="shared" si="541"/>
        <v>177.2759375</v>
      </c>
      <c r="BE909" s="73">
        <f t="shared" si="542"/>
        <v>169.65206442745389</v>
      </c>
      <c r="BF909" s="77">
        <f t="shared" si="543"/>
        <v>7.62</v>
      </c>
      <c r="BG909" s="77">
        <f t="shared" si="544"/>
        <v>2.286</v>
      </c>
      <c r="BH909" s="77">
        <f t="shared" si="545"/>
        <v>28.385937500000001</v>
      </c>
      <c r="BI909" s="78">
        <f t="shared" si="546"/>
        <v>0.27</v>
      </c>
      <c r="BJ909" s="79">
        <f t="shared" si="547"/>
        <v>4.2983836991413456E-2</v>
      </c>
      <c r="BK909" s="80">
        <f t="shared" si="548"/>
        <v>169.64999999999998</v>
      </c>
      <c r="BL909" s="80">
        <f t="shared" si="549"/>
        <v>7.6259375000000205</v>
      </c>
      <c r="BM909" s="79">
        <f t="shared" si="550"/>
        <v>4.3017329974633589E-2</v>
      </c>
      <c r="BN909" s="81">
        <f t="shared" si="551"/>
        <v>0.76888888888888896</v>
      </c>
      <c r="BO909" s="82">
        <f t="shared" si="552"/>
        <v>20.76</v>
      </c>
      <c r="BP909" s="81">
        <f t="shared" si="553"/>
        <v>0.76888888888888896</v>
      </c>
      <c r="BQ909" s="81">
        <f t="shared" si="554"/>
        <v>0.92565492321589882</v>
      </c>
      <c r="BR909" s="81">
        <f t="shared" si="555"/>
        <v>1.2080970528455284</v>
      </c>
      <c r="BS909" s="82">
        <f t="shared" si="556"/>
        <v>27</v>
      </c>
      <c r="BT909" s="82">
        <f t="shared" si="557"/>
        <v>32.618620426829267</v>
      </c>
      <c r="BU909" s="82">
        <f t="shared" si="558"/>
        <v>28.385937500000001</v>
      </c>
      <c r="BW909" s="82">
        <f>IFERROR(INDEX('Infos Clientes'!$T:$T,MATCH('Detalhe Por UC'!$C909,'Infos Clientes'!B:B,0)),"")</f>
        <v>175.90909090909091</v>
      </c>
      <c r="BX909" s="83">
        <f t="shared" si="559"/>
        <v>0</v>
      </c>
      <c r="BY909" s="84">
        <f t="shared" si="560"/>
        <v>0.23379092678387953</v>
      </c>
      <c r="BZ909" s="85">
        <f>IF(_xlfn.MINIFS('Detalhe Por UC'!R:R,'Detalhe Por UC'!C:C,C909,'Detalhe Por UC'!AD:AD,"&gt;"&amp;0)=0,"",_xlfn.MINIFS('Detalhe Por UC'!R:R,'Detalhe Por UC'!C:C,C909,'Detalhe Por UC'!AD:AD,"&gt;"&amp;0))</f>
        <v>45658</v>
      </c>
      <c r="CA909" s="114">
        <f ca="1">IF(OR(S909&gt;0,AD909&gt;0),IFERROR(
SUMIFS(INDIRECT("'Infos Clientes'!$W"&amp;INDEX('Infos Clientes'!$C:$C,MATCH(C909,'Infos Clientes'!$H:$H,0))&amp;":$CZ"&amp;INDEX('Infos Clientes'!$C:$C,MATCH(C909,'Infos Clientes'!$H:$H,0))),'Infos Clientes'!$W$2:$CZ$2,"&gt;"&amp;$R909-365,'Infos Clientes'!$W$2:$CZ$2,"&lt;="&amp;$R909)/
COUNTIFS(INDIRECT("'Infos Clientes'!$W"&amp;INDEX('Infos Clientes'!$C:$C,MATCH(C909,'Infos Clientes'!$H:$H,0))&amp;":$CZ"&amp;INDEX('Infos Clientes'!$C:$C,MATCH(C909,'Infos Clientes'!$H:$H,0))),"&gt;="&amp;0,'Infos Clientes'!$W$2:$CZ$2,"&gt;"&amp;$R909-365,'Infos Clientes'!$W$2:$CZ$2,"&lt;="&amp;$R909),""),"")</f>
        <v>163.9</v>
      </c>
      <c r="CB909" s="87">
        <f>VLOOKUP(C909,'Infos Clientes'!B:L,11,0)</f>
        <v>0</v>
      </c>
      <c r="CC909" s="88" t="str">
        <f t="shared" si="561"/>
        <v>A Unidade Consumidora 10/908866-7 economizou R$7,62 na fatura referente à set/2025  consumindo 27 kWh em créditos de energia renovável conforme fatura de energia. A economia foi de 26,8579224221363% em relação ao que seria pago para a Energisa considerando os créditos consumidos. Atenção: Mantenha as contas da Energisa em dia para evitar cortes.</v>
      </c>
      <c r="CF909" s="115">
        <f t="shared" si="562"/>
        <v>-148.88999999999999</v>
      </c>
    </row>
    <row r="910" spans="1:84" ht="16.2" hidden="1" customHeight="1" x14ac:dyDescent="0.3">
      <c r="A910" s="105" t="str">
        <f>INDEX('Infos Clientes'!$D:$D,MATCH('Detalhe Por UC'!C910,'Infos Clientes'!B:B,0))</f>
        <v>IGREJA DO EVANGELHO QUADRANGULAR</v>
      </c>
      <c r="B910" s="106" t="str">
        <f>INDEX('Infos Clientes'!$F:$F,MATCH('Detalhe Por UC'!C910,'Infos Clientes'!B:B,0))</f>
        <v>62.955.505/0154-31</v>
      </c>
      <c r="C910" s="31" t="s">
        <v>218</v>
      </c>
      <c r="D910" s="31" t="s">
        <v>351</v>
      </c>
      <c r="E910" s="31" t="s">
        <v>352</v>
      </c>
      <c r="F910" s="56" t="str">
        <f>INDEX('Infos Clientes'!$I:$I,MATCH('Detalhe Por UC'!C910,'Infos Clientes'!B:B,0))</f>
        <v>BT</v>
      </c>
      <c r="G910" s="56" t="str">
        <f>INDEX('Infos Clientes'!$J:$J,MATCH('Detalhe Por UC'!C910,'Infos Clientes'!B:B,0))</f>
        <v>bifasico</v>
      </c>
      <c r="H910" s="156" t="s">
        <v>138</v>
      </c>
      <c r="I910" s="58">
        <f>IFERROR(VLOOKUP(C910,'Infos Clientes'!B:E,4,),"")</f>
        <v>319</v>
      </c>
      <c r="J910" s="152">
        <v>0.2796792317717392</v>
      </c>
      <c r="K910" s="79">
        <f>INDEX('Resumo Operacional'!$A$1:$P$151,MATCH("Desconto percentual Ucs",'Resumo Operacional'!$B$1:$B$151,0),MATCH('Detalhe Por UC'!$R910,'Resumo Operacional'!$A$1:$P$1,0))</f>
        <v>0.26414553913427991</v>
      </c>
      <c r="M910" s="56"/>
      <c r="N910" s="56"/>
      <c r="O910" s="56"/>
      <c r="P910" s="56"/>
      <c r="Q910" s="61"/>
      <c r="R910" s="111">
        <v>45931</v>
      </c>
      <c r="S910" s="151">
        <v>5.04E-2</v>
      </c>
      <c r="T910" s="113" t="str">
        <f>IF($H910="GIROSSOL II",AP910/INDEX('Resumo Operacional'!$A$1:$P$1103,17,MATCH('Detalhe Por UC'!$R910,'Resumo Operacional'!$A$1:$P$1,0)),
IF($H910="GIROSSOL II e III",AP910/INDEX('Resumo Operacional'!$A$1:$P$1103,17,MATCH('Detalhe Por UC'!$R910,'Resumo Operacional'!$A$1:$P$1,0)),
""))</f>
        <v/>
      </c>
      <c r="U910" s="113">
        <f>IF($H910="GIROSSOL III",AP910/INDEX('Resumo Operacional'!$A$1:$P$1103,53,MATCH('Detalhe Por UC'!$R910,'Resumo Operacional'!$A$1:$P$1,0)),
IF($H910="GIROSSOL II e III",AP910/INDEX('Resumo Operacional'!$A$1:$P$1103,53,MATCH('Detalhe Por UC'!$R910,'Resumo Operacional'!$A$1:$P$1,0)),
""))</f>
        <v>-3.3773968622893669E-2</v>
      </c>
      <c r="X910">
        <v>1.1381229235880399</v>
      </c>
      <c r="Z910" s="54">
        <v>0.98122923588039856</v>
      </c>
      <c r="AB910" s="18">
        <v>602</v>
      </c>
      <c r="AD910" s="143">
        <v>602</v>
      </c>
      <c r="AF910" s="18">
        <v>918</v>
      </c>
      <c r="AH910">
        <v>74.900000000000006</v>
      </c>
      <c r="AL910" s="43"/>
      <c r="AN910" s="71">
        <f t="shared" si="529"/>
        <v>-1067</v>
      </c>
      <c r="AO910" s="71">
        <f t="shared" si="530"/>
        <v>0</v>
      </c>
      <c r="AP910" s="71">
        <f t="shared" si="531"/>
        <v>-465</v>
      </c>
      <c r="AQ910" s="72">
        <f>IF(OR($H910="GIROSSOL II",$H910="GIROSSOL II e III"),INDEX('Resumo Operacional'!$A$1:$P$1103,MATCH("Energia Injetada prevista total Fatura da Usina (TUSD)",'Resumo Operacional'!$B$1:$B$1103,0),MATCH('Detalhe Por UC'!$R910,'Resumo Operacional'!$A$1:$P$1,0))*$S910,INDEX('Resumo Operacional'!$A$1:$P$1103,53,MATCH('Detalhe Por UC'!$R910,'Resumo Operacional'!$A$1:$P$1,0))*$S910)</f>
        <v>693.90719999999999</v>
      </c>
      <c r="AR910" s="71">
        <f t="shared" si="532"/>
        <v>-1158.9072000000001</v>
      </c>
      <c r="AS910" s="73">
        <f t="shared" si="533"/>
        <v>169.35000000000005</v>
      </c>
      <c r="AT910" s="74">
        <f t="shared" si="534"/>
        <v>169.35000000000005</v>
      </c>
      <c r="AU910" s="74">
        <f t="shared" si="535"/>
        <v>0.82433554817275723</v>
      </c>
      <c r="AV910" s="74">
        <f t="shared" si="536"/>
        <v>425.49347779243362</v>
      </c>
      <c r="AW910" s="74">
        <f t="shared" si="537"/>
        <v>0</v>
      </c>
      <c r="AX910" s="74">
        <f t="shared" si="538"/>
        <v>590.69999999999993</v>
      </c>
      <c r="AY910" s="74">
        <f t="shared" si="539"/>
        <v>425.49</v>
      </c>
      <c r="AZ910" s="129">
        <v>425.49</v>
      </c>
      <c r="BA910" s="117">
        <v>425.49</v>
      </c>
      <c r="BC910" s="73" t="str">
        <f t="shared" si="540"/>
        <v/>
      </c>
      <c r="BD910" s="73">
        <f t="shared" si="541"/>
        <v>760.05</v>
      </c>
      <c r="BE910" s="73">
        <f t="shared" si="542"/>
        <v>594.84347779243365</v>
      </c>
      <c r="BF910" s="77">
        <f t="shared" si="543"/>
        <v>165.21</v>
      </c>
      <c r="BG910" s="77">
        <f t="shared" si="544"/>
        <v>49.563000000000002</v>
      </c>
      <c r="BH910" s="77">
        <f t="shared" si="545"/>
        <v>590.69999999999993</v>
      </c>
      <c r="BI910" s="78">
        <f t="shared" si="546"/>
        <v>0.28000000000000003</v>
      </c>
      <c r="BJ910" s="79">
        <f t="shared" si="547"/>
        <v>0.21736727846852183</v>
      </c>
      <c r="BK910" s="80">
        <f t="shared" si="548"/>
        <v>594.84</v>
      </c>
      <c r="BL910" s="80">
        <f t="shared" si="549"/>
        <v>165.20999999999992</v>
      </c>
      <c r="BM910" s="79">
        <f t="shared" si="550"/>
        <v>0.21736727846852172</v>
      </c>
      <c r="BN910" s="81">
        <f t="shared" si="551"/>
        <v>0.70679401993355484</v>
      </c>
      <c r="BO910" s="82">
        <f t="shared" si="552"/>
        <v>425.49</v>
      </c>
      <c r="BP910" s="81">
        <f t="shared" si="553"/>
        <v>0.70679401993355484</v>
      </c>
      <c r="BQ910" s="81">
        <f t="shared" si="554"/>
        <v>0.86368770764119618</v>
      </c>
      <c r="BR910" s="81">
        <f t="shared" si="555"/>
        <v>1.1381229235880399</v>
      </c>
      <c r="BS910" s="82">
        <f t="shared" si="556"/>
        <v>602</v>
      </c>
      <c r="BT910" s="82">
        <f t="shared" si="557"/>
        <v>685.15</v>
      </c>
      <c r="BU910" s="82">
        <f t="shared" si="558"/>
        <v>590.69999999999993</v>
      </c>
      <c r="BW910" s="82">
        <f>IFERROR(INDEX('Infos Clientes'!$T:$T,MATCH('Detalhe Por UC'!$C910,'Infos Clientes'!B:B,0)),"")</f>
        <v>806.81818181818187</v>
      </c>
      <c r="BX910" s="83">
        <f t="shared" si="559"/>
        <v>0</v>
      </c>
      <c r="BY910" s="84">
        <f t="shared" si="560"/>
        <v>0.2411296796321972</v>
      </c>
      <c r="BZ910" s="85">
        <f>IF(_xlfn.MINIFS('Detalhe Por UC'!R:R,'Detalhe Por UC'!C:C,C910,'Detalhe Por UC'!AD:AD,"&gt;"&amp;0)=0,"",_xlfn.MINIFS('Detalhe Por UC'!R:R,'Detalhe Por UC'!C:C,C910,'Detalhe Por UC'!AD:AD,"&gt;"&amp;0))</f>
        <v>45658</v>
      </c>
      <c r="CA910" s="114">
        <f ca="1">IF(OR(S910&gt;0,AD910&gt;0),IFERROR(
SUMIFS(INDIRECT("'Infos Clientes'!$W"&amp;INDEX('Infos Clientes'!$C:$C,MATCH(C910,'Infos Clientes'!$H:$H,0))&amp;":$CZ"&amp;INDEX('Infos Clientes'!$C:$C,MATCH(C910,'Infos Clientes'!$H:$H,0))),'Infos Clientes'!$W$2:$CZ$2,"&gt;"&amp;$R910-365,'Infos Clientes'!$W$2:$CZ$2,"&lt;="&amp;$R910)/
COUNTIFS(INDIRECT("'Infos Clientes'!$W"&amp;INDEX('Infos Clientes'!$C:$C,MATCH(C910,'Infos Clientes'!$H:$H,0))&amp;":$CZ"&amp;INDEX('Infos Clientes'!$C:$C,MATCH(C910,'Infos Clientes'!$H:$H,0))),"&gt;="&amp;0,'Infos Clientes'!$W$2:$CZ$2,"&gt;"&amp;$R910-365,'Infos Clientes'!$W$2:$CZ$2,"&lt;="&amp;$R910),""),"")</f>
        <v>712.33333333333337</v>
      </c>
      <c r="CB910" s="87">
        <f>VLOOKUP(C910,'Infos Clientes'!B:L,11,0)</f>
        <v>0</v>
      </c>
      <c r="CC910" s="88" t="str">
        <f t="shared" si="561"/>
        <v>A Unidade Consumidora 10/61344-8 economizou R$165,21 na fatura referente à out/2025  consumindo 602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0" s="115">
        <f t="shared" si="562"/>
        <v>-169.35000000000005</v>
      </c>
    </row>
    <row r="911" spans="1:84" ht="16.2" hidden="1" customHeight="1" x14ac:dyDescent="0.3">
      <c r="A911" s="105" t="str">
        <f>INDEX('Infos Clientes'!$D:$D,MATCH('Detalhe Por UC'!C911,'Infos Clientes'!B:B,0))</f>
        <v>IGREJA DO EVANGELHO QUADRANGULAR</v>
      </c>
      <c r="B911" s="106" t="str">
        <f>INDEX('Infos Clientes'!$F:$F,MATCH('Detalhe Por UC'!C911,'Infos Clientes'!B:B,0))</f>
        <v>62.955.505/0169-18</v>
      </c>
      <c r="C911" s="31" t="s">
        <v>139</v>
      </c>
      <c r="D911" s="31" t="s">
        <v>351</v>
      </c>
      <c r="E911" s="31" t="s">
        <v>352</v>
      </c>
      <c r="F911" s="56" t="str">
        <f>INDEX('Infos Clientes'!$I:$I,MATCH('Detalhe Por UC'!C911,'Infos Clientes'!B:B,0))</f>
        <v>BT</v>
      </c>
      <c r="G911" s="56" t="str">
        <f>INDEX('Infos Clientes'!$J:$J,MATCH('Detalhe Por UC'!C911,'Infos Clientes'!B:B,0))</f>
        <v>bifasico</v>
      </c>
      <c r="H911" s="156" t="s">
        <v>138</v>
      </c>
      <c r="I911" s="58">
        <f>IFERROR(VLOOKUP(C911,'Infos Clientes'!B:E,4,),"")</f>
        <v>351</v>
      </c>
      <c r="J911" s="152">
        <v>0.2796792317717392</v>
      </c>
      <c r="K911" s="79">
        <f>INDEX('Resumo Operacional'!$A$1:$P$151,MATCH("Desconto percentual Ucs",'Resumo Operacional'!$B$1:$B$151,0),MATCH('Detalhe Por UC'!$R911,'Resumo Operacional'!$A$1:$P$1,0))</f>
        <v>0.26414553913427991</v>
      </c>
      <c r="M911" s="56"/>
      <c r="N911" s="56"/>
      <c r="O911" s="56"/>
      <c r="P911" s="56"/>
      <c r="Q911" s="61"/>
      <c r="R911" s="111">
        <v>45931</v>
      </c>
      <c r="S911" s="151">
        <v>4.8000000000000001E-2</v>
      </c>
      <c r="T911" s="113" t="str">
        <f>IF($H911="GIROSSOL II",AP911/INDEX('Resumo Operacional'!$A$1:$P$1103,17,MATCH('Detalhe Por UC'!$R911,'Resumo Operacional'!$A$1:$P$1,0)),
IF($H911="GIROSSOL II e III",AP911/INDEX('Resumo Operacional'!$A$1:$P$1103,17,MATCH('Detalhe Por UC'!$R911,'Resumo Operacional'!$A$1:$P$1,0)),
""))</f>
        <v/>
      </c>
      <c r="U911" s="113">
        <f>IF($H911="GIROSSOL III",AP911/INDEX('Resumo Operacional'!$A$1:$P$1103,53,MATCH('Detalhe Por UC'!$R911,'Resumo Operacional'!$A$1:$P$1,0)),
IF($H911="GIROSSOL II e III",AP911/INDEX('Resumo Operacional'!$A$1:$P$1103,53,MATCH('Detalhe Por UC'!$R911,'Resumo Operacional'!$A$1:$P$1,0)),
""))</f>
        <v>4.21266705403835E-2</v>
      </c>
      <c r="X911">
        <v>1.1381261950286807</v>
      </c>
      <c r="Z911" s="54">
        <v>0.98120458891013373</v>
      </c>
      <c r="AB911" s="18">
        <v>523</v>
      </c>
      <c r="AD911" s="143">
        <v>523</v>
      </c>
      <c r="AF911" s="18">
        <v>462</v>
      </c>
      <c r="AG911">
        <v>0</v>
      </c>
      <c r="AH911">
        <v>60.680000000000007</v>
      </c>
      <c r="AL911" s="43"/>
      <c r="AN911" s="71">
        <f t="shared" si="529"/>
        <v>57</v>
      </c>
      <c r="AO911" s="71">
        <f t="shared" si="530"/>
        <v>0</v>
      </c>
      <c r="AP911" s="71">
        <f t="shared" si="531"/>
        <v>580</v>
      </c>
      <c r="AQ911" s="72">
        <f>IF(OR($H911="GIROSSOL II",$H911="GIROSSOL II e III"),INDEX('Resumo Operacional'!$A$1:$P$1103,MATCH("Energia Injetada prevista total Fatura da Usina (TUSD)",'Resumo Operacional'!$B$1:$B$1103,0),MATCH('Detalhe Por UC'!$R911,'Resumo Operacional'!$A$1:$P$1,0))*$S911,INDEX('Resumo Operacional'!$A$1:$P$1103,53,MATCH('Detalhe Por UC'!$R911,'Resumo Operacional'!$A$1:$P$1,0))*$S911)</f>
        <v>660.86400000000003</v>
      </c>
      <c r="AR911" s="71">
        <f t="shared" si="532"/>
        <v>-80.864000000000033</v>
      </c>
      <c r="AS911" s="73">
        <f t="shared" si="533"/>
        <v>142.75000000000006</v>
      </c>
      <c r="AT911" s="74">
        <f t="shared" si="534"/>
        <v>142.75000000000006</v>
      </c>
      <c r="AU911" s="74">
        <f t="shared" si="535"/>
        <v>0.82428298279158674</v>
      </c>
      <c r="AV911" s="74">
        <f t="shared" si="536"/>
        <v>369.64700863169662</v>
      </c>
      <c r="AW911" s="74">
        <f t="shared" si="537"/>
        <v>0</v>
      </c>
      <c r="AX911" s="74">
        <f t="shared" si="538"/>
        <v>513.16999999999996</v>
      </c>
      <c r="AY911" s="74">
        <f t="shared" si="539"/>
        <v>369.65</v>
      </c>
      <c r="AZ911" s="129">
        <v>369.65</v>
      </c>
      <c r="BA911" s="117">
        <v>369.65</v>
      </c>
      <c r="BB911" s="49">
        <v>369.65</v>
      </c>
      <c r="BC911" s="73" t="str">
        <f t="shared" si="540"/>
        <v/>
      </c>
      <c r="BD911" s="73">
        <f t="shared" si="541"/>
        <v>655.92000000000007</v>
      </c>
      <c r="BE911" s="73">
        <f t="shared" si="542"/>
        <v>512.39700863169674</v>
      </c>
      <c r="BF911" s="77">
        <f t="shared" si="543"/>
        <v>143.52000000000001</v>
      </c>
      <c r="BG911" s="77">
        <f t="shared" si="544"/>
        <v>43.056000000000004</v>
      </c>
      <c r="BH911" s="77">
        <f t="shared" si="545"/>
        <v>513.16999999999996</v>
      </c>
      <c r="BI911" s="78">
        <f t="shared" si="546"/>
        <v>0.28000000000000003</v>
      </c>
      <c r="BJ911" s="79">
        <f t="shared" si="547"/>
        <v>0.21880717160629345</v>
      </c>
      <c r="BK911" s="80">
        <f t="shared" si="548"/>
        <v>512.40000000000009</v>
      </c>
      <c r="BL911" s="80">
        <f t="shared" si="549"/>
        <v>143.51999999999998</v>
      </c>
      <c r="BM911" s="79">
        <f t="shared" si="550"/>
        <v>0.2188071716062934</v>
      </c>
      <c r="BN911" s="81">
        <f t="shared" si="551"/>
        <v>0.70678776290630974</v>
      </c>
      <c r="BO911" s="82">
        <f t="shared" si="552"/>
        <v>369.65</v>
      </c>
      <c r="BP911" s="81">
        <f t="shared" si="553"/>
        <v>0.70678776290630974</v>
      </c>
      <c r="BQ911" s="81">
        <f t="shared" si="554"/>
        <v>0.86370936902485673</v>
      </c>
      <c r="BR911" s="81">
        <f t="shared" si="555"/>
        <v>1.1381261950286807</v>
      </c>
      <c r="BS911" s="82">
        <f t="shared" si="556"/>
        <v>523</v>
      </c>
      <c r="BT911" s="82">
        <f t="shared" si="557"/>
        <v>595.24</v>
      </c>
      <c r="BU911" s="82">
        <f t="shared" si="558"/>
        <v>513.16999999999996</v>
      </c>
      <c r="BW911" s="82">
        <f>IFERROR(INDEX('Infos Clientes'!$T:$T,MATCH('Detalhe Por UC'!$C911,'Infos Clientes'!B:B,0)),"")</f>
        <v>547.4545454545455</v>
      </c>
      <c r="BX911" s="83">
        <f t="shared" si="559"/>
        <v>0</v>
      </c>
      <c r="BY911" s="84">
        <f t="shared" si="560"/>
        <v>0.24111282843894891</v>
      </c>
      <c r="BZ911" s="85">
        <f>IF(_xlfn.MINIFS('Detalhe Por UC'!R:R,'Detalhe Por UC'!C:C,C911,'Detalhe Por UC'!AD:AD,"&gt;"&amp;0)=0,"",_xlfn.MINIFS('Detalhe Por UC'!R:R,'Detalhe Por UC'!C:C,C911,'Detalhe Por UC'!AD:AD,"&gt;"&amp;0))</f>
        <v>45658</v>
      </c>
      <c r="CA911" s="114">
        <f ca="1">IF(OR(S911&gt;0,AD911&gt;0),IFERROR(
SUMIFS(INDIRECT("'Infos Clientes'!$W"&amp;INDEX('Infos Clientes'!$C:$C,MATCH(C911,'Infos Clientes'!$H:$H,0))&amp;":$CZ"&amp;INDEX('Infos Clientes'!$C:$C,MATCH(C911,'Infos Clientes'!$H:$H,0))),'Infos Clientes'!$W$2:$CZ$2,"&gt;"&amp;$R911-365,'Infos Clientes'!$W$2:$CZ$2,"&lt;="&amp;$R911)/
COUNTIFS(INDIRECT("'Infos Clientes'!$W"&amp;INDEX('Infos Clientes'!$C:$C,MATCH(C911,'Infos Clientes'!$H:$H,0))&amp;":$CZ"&amp;INDEX('Infos Clientes'!$C:$C,MATCH(C911,'Infos Clientes'!$H:$H,0))),"&gt;="&amp;0,'Infos Clientes'!$W$2:$CZ$2,"&gt;"&amp;$R911-365,'Infos Clientes'!$W$2:$CZ$2,"&lt;="&amp;$R911),""),"")</f>
        <v>538.66666666666663</v>
      </c>
      <c r="CB911" s="87">
        <f>VLOOKUP(C911,'Infos Clientes'!B:L,11,0)</f>
        <v>0</v>
      </c>
      <c r="CC911" s="88" t="str">
        <f t="shared" si="561"/>
        <v>A Unidade Consumidora 10/1081489-5 economizou R$143,52 na fatura referente à out/2025  consumindo 523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1" s="115">
        <f t="shared" si="562"/>
        <v>-142.75000000000006</v>
      </c>
    </row>
    <row r="912" spans="1:84" ht="16.2" hidden="1" customHeight="1" x14ac:dyDescent="0.3">
      <c r="A912" s="105" t="str">
        <f>INDEX('Infos Clientes'!$D:$D,MATCH('Detalhe Por UC'!C912,'Infos Clientes'!B:B,0))</f>
        <v>IGREJA DO EVANGELHO QUADRANGULAR</v>
      </c>
      <c r="B912" s="106" t="str">
        <f>INDEX('Infos Clientes'!$F:$F,MATCH('Detalhe Por UC'!C912,'Infos Clientes'!B:B,0))</f>
        <v>62.955.505/1138-75</v>
      </c>
      <c r="C912" s="31" t="s">
        <v>157</v>
      </c>
      <c r="D912" s="31" t="s">
        <v>351</v>
      </c>
      <c r="E912" s="31" t="s">
        <v>352</v>
      </c>
      <c r="F912" s="56" t="str">
        <f>INDEX('Infos Clientes'!$I:$I,MATCH('Detalhe Por UC'!C912,'Infos Clientes'!B:B,0))</f>
        <v>BT</v>
      </c>
      <c r="G912" s="56" t="str">
        <f>INDEX('Infos Clientes'!$J:$J,MATCH('Detalhe Por UC'!C912,'Infos Clientes'!B:B,0))</f>
        <v>bifasico</v>
      </c>
      <c r="H912" s="156" t="s">
        <v>138</v>
      </c>
      <c r="I912" s="58">
        <f>IFERROR(VLOOKUP(C912,'Infos Clientes'!B:E,4,),"")</f>
        <v>358</v>
      </c>
      <c r="J912" s="152">
        <v>0.2796792317717392</v>
      </c>
      <c r="K912" s="79">
        <f>INDEX('Resumo Operacional'!$A$1:$P$151,MATCH("Desconto percentual Ucs",'Resumo Operacional'!$B$1:$B$151,0),MATCH('Detalhe Por UC'!$R912,'Resumo Operacional'!$A$1:$P$1,0))</f>
        <v>0.26414553913427991</v>
      </c>
      <c r="M912" s="56"/>
      <c r="N912" s="56"/>
      <c r="O912" s="56"/>
      <c r="P912" s="56"/>
      <c r="Q912" s="61"/>
      <c r="R912" s="111">
        <v>45931</v>
      </c>
      <c r="S912" s="151">
        <v>3.9699999999999999E-2</v>
      </c>
      <c r="T912" s="113" t="str">
        <f>IF($H912="GIROSSOL II",AP912/INDEX('Resumo Operacional'!$A$1:$P$1103,17,MATCH('Detalhe Por UC'!$R912,'Resumo Operacional'!$A$1:$P$1,0)),
IF($H912="GIROSSOL II e III",AP912/INDEX('Resumo Operacional'!$A$1:$P$1103,17,MATCH('Detalhe Por UC'!$R912,'Resumo Operacional'!$A$1:$P$1,0)),
""))</f>
        <v/>
      </c>
      <c r="U912" s="113">
        <f>IF($H912="GIROSSOL III",AP912/INDEX('Resumo Operacional'!$A$1:$P$1103,53,MATCH('Detalhe Por UC'!$R912,'Resumo Operacional'!$A$1:$P$1,0)),
IF($H912="GIROSSOL II e III",AP912/INDEX('Resumo Operacional'!$A$1:$P$1103,53,MATCH('Detalhe Por UC'!$R912,'Resumo Operacional'!$A$1:$P$1,0)),
""))</f>
        <v>0</v>
      </c>
      <c r="X912">
        <v>1.1381137724550898</v>
      </c>
      <c r="Z912" s="54">
        <v>0.98119760479041929</v>
      </c>
      <c r="AB912" s="18">
        <v>334</v>
      </c>
      <c r="AD912" s="143">
        <v>334</v>
      </c>
      <c r="AF912" s="18">
        <v>395</v>
      </c>
      <c r="AG912">
        <v>0</v>
      </c>
      <c r="AH912">
        <v>61.47</v>
      </c>
      <c r="AL912" s="43"/>
      <c r="AN912" s="71">
        <f t="shared" si="529"/>
        <v>-334</v>
      </c>
      <c r="AO912" s="71">
        <f t="shared" si="530"/>
        <v>0</v>
      </c>
      <c r="AP912" s="71">
        <f t="shared" si="531"/>
        <v>0</v>
      </c>
      <c r="AQ912" s="72">
        <f>IF(OR($H912="GIROSSOL II",$H912="GIROSSOL II e III"),INDEX('Resumo Operacional'!$A$1:$P$1103,MATCH("Energia Injetada prevista total Fatura da Usina (TUSD)",'Resumo Operacional'!$B$1:$B$1103,0),MATCH('Detalhe Por UC'!$R912,'Resumo Operacional'!$A$1:$P$1,0))*$S912,INDEX('Resumo Operacional'!$A$1:$P$1103,53,MATCH('Detalhe Por UC'!$R912,'Resumo Operacional'!$A$1:$P$1,0))*$S912)</f>
        <v>546.58960000000002</v>
      </c>
      <c r="AR912" s="71">
        <f t="shared" si="532"/>
        <v>-546.58960000000002</v>
      </c>
      <c r="AS912" s="73">
        <f t="shared" si="533"/>
        <v>113.87999999999997</v>
      </c>
      <c r="AT912" s="74">
        <f t="shared" si="534"/>
        <v>113.87999999999997</v>
      </c>
      <c r="AU912" s="74">
        <f t="shared" si="535"/>
        <v>0.82428143712574875</v>
      </c>
      <c r="AV912" s="74">
        <f t="shared" si="536"/>
        <v>236.06352216376567</v>
      </c>
      <c r="AW912" s="74">
        <f t="shared" si="537"/>
        <v>0</v>
      </c>
      <c r="AX912" s="74">
        <f t="shared" si="538"/>
        <v>327.72</v>
      </c>
      <c r="AY912" s="74">
        <f t="shared" si="539"/>
        <v>236.06</v>
      </c>
      <c r="AZ912" s="129">
        <v>236.06</v>
      </c>
      <c r="BA912" s="117">
        <v>236.06</v>
      </c>
      <c r="BC912" s="73" t="str">
        <f t="shared" si="540"/>
        <v/>
      </c>
      <c r="BD912" s="73">
        <f t="shared" si="541"/>
        <v>441.6</v>
      </c>
      <c r="BE912" s="73">
        <f t="shared" si="542"/>
        <v>349.94352216376564</v>
      </c>
      <c r="BF912" s="77">
        <f t="shared" si="543"/>
        <v>91.66</v>
      </c>
      <c r="BG912" s="77">
        <f t="shared" si="544"/>
        <v>27.497999999999998</v>
      </c>
      <c r="BH912" s="77">
        <f t="shared" si="545"/>
        <v>327.72</v>
      </c>
      <c r="BI912" s="78">
        <f t="shared" si="546"/>
        <v>0.28000000000000003</v>
      </c>
      <c r="BJ912" s="79">
        <f t="shared" si="547"/>
        <v>0.20756340579710142</v>
      </c>
      <c r="BK912" s="80">
        <f t="shared" si="548"/>
        <v>349.93999999999994</v>
      </c>
      <c r="BL912" s="80">
        <f t="shared" si="549"/>
        <v>91.660000000000082</v>
      </c>
      <c r="BM912" s="79">
        <f t="shared" si="550"/>
        <v>0.20756340579710161</v>
      </c>
      <c r="BN912" s="81">
        <f t="shared" si="551"/>
        <v>0.70676646706586832</v>
      </c>
      <c r="BO912" s="82">
        <f t="shared" si="552"/>
        <v>236.06000000000003</v>
      </c>
      <c r="BP912" s="81">
        <f t="shared" si="553"/>
        <v>0.70676646706586832</v>
      </c>
      <c r="BQ912" s="81">
        <f t="shared" si="554"/>
        <v>0.86368263473053886</v>
      </c>
      <c r="BR912" s="81">
        <f t="shared" si="555"/>
        <v>1.1381137724550898</v>
      </c>
      <c r="BS912" s="82">
        <f t="shared" si="556"/>
        <v>334</v>
      </c>
      <c r="BT912" s="82">
        <f t="shared" si="557"/>
        <v>380.13</v>
      </c>
      <c r="BU912" s="82">
        <f t="shared" si="558"/>
        <v>327.72</v>
      </c>
      <c r="BW912" s="82">
        <f>IFERROR(INDEX('Infos Clientes'!$T:$T,MATCH('Detalhe Por UC'!$C912,'Infos Clientes'!B:B,0)),"")</f>
        <v>449.81818181818181</v>
      </c>
      <c r="BX912" s="83">
        <f t="shared" si="559"/>
        <v>0</v>
      </c>
      <c r="BY912" s="84">
        <f t="shared" si="560"/>
        <v>0.24112803514587122</v>
      </c>
      <c r="BZ912" s="85">
        <f>IF(_xlfn.MINIFS('Detalhe Por UC'!R:R,'Detalhe Por UC'!C:C,C912,'Detalhe Por UC'!AD:AD,"&gt;"&amp;0)=0,"",_xlfn.MINIFS('Detalhe Por UC'!R:R,'Detalhe Por UC'!C:C,C912,'Detalhe Por UC'!AD:AD,"&gt;"&amp;0))</f>
        <v>45658</v>
      </c>
      <c r="CA912" s="114">
        <f ca="1">IF(OR(S912&gt;0,AD912&gt;0),IFERROR(
SUMIFS(INDIRECT("'Infos Clientes'!$W"&amp;INDEX('Infos Clientes'!$C:$C,MATCH(C912,'Infos Clientes'!$H:$H,0))&amp;":$CZ"&amp;INDEX('Infos Clientes'!$C:$C,MATCH(C912,'Infos Clientes'!$H:$H,0))),'Infos Clientes'!$W$2:$CZ$2,"&gt;"&amp;$R912-365,'Infos Clientes'!$W$2:$CZ$2,"&lt;="&amp;$R912)/
COUNTIFS(INDIRECT("'Infos Clientes'!$W"&amp;INDEX('Infos Clientes'!$C:$C,MATCH(C912,'Infos Clientes'!$H:$H,0))&amp;":$CZ"&amp;INDEX('Infos Clientes'!$C:$C,MATCH(C912,'Infos Clientes'!$H:$H,0))),"&gt;="&amp;0,'Infos Clientes'!$W$2:$CZ$2,"&gt;"&amp;$R912-365,'Infos Clientes'!$W$2:$CZ$2,"&lt;="&amp;$R912),""),"")</f>
        <v>438.33333333333331</v>
      </c>
      <c r="CB912" s="87">
        <f>VLOOKUP(C912,'Infos Clientes'!B:L,11,0)</f>
        <v>0</v>
      </c>
      <c r="CC912" s="88" t="str">
        <f t="shared" si="561"/>
        <v>A Unidade Consumidora 10/142353-2 economizou R$91,66 na fatura referente à out/2025  consumindo 334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2" s="115">
        <f t="shared" si="562"/>
        <v>-113.87999999999997</v>
      </c>
    </row>
    <row r="913" spans="1:84" ht="16.2" hidden="1" customHeight="1" x14ac:dyDescent="0.3">
      <c r="A913" s="105" t="str">
        <f>INDEX('Infos Clientes'!$D:$D,MATCH('Detalhe Por UC'!C913,'Infos Clientes'!B:B,0))</f>
        <v>IGREJA DO EVANGELHO QUADRANGULAR</v>
      </c>
      <c r="B913" s="106" t="str">
        <f>INDEX('Infos Clientes'!$F:$F,MATCH('Detalhe Por UC'!C913,'Infos Clientes'!B:B,0))</f>
        <v>62.955.505/0001-67</v>
      </c>
      <c r="C913" s="31" t="s">
        <v>240</v>
      </c>
      <c r="D913" s="31" t="s">
        <v>351</v>
      </c>
      <c r="E913" s="31" t="s">
        <v>352</v>
      </c>
      <c r="F913" s="56" t="str">
        <f>INDEX('Infos Clientes'!$I:$I,MATCH('Detalhe Por UC'!C913,'Infos Clientes'!B:B,0))</f>
        <v>BT</v>
      </c>
      <c r="G913" s="56" t="str">
        <f>INDEX('Infos Clientes'!$J:$J,MATCH('Detalhe Por UC'!C913,'Infos Clientes'!B:B,0))</f>
        <v>trifasico</v>
      </c>
      <c r="H913" s="156" t="s">
        <v>138</v>
      </c>
      <c r="I913" s="58">
        <f>IFERROR(VLOOKUP(C913,'Infos Clientes'!B:E,4,),"")</f>
        <v>360</v>
      </c>
      <c r="J913" s="152">
        <v>0.2796792317717392</v>
      </c>
      <c r="K913" s="79">
        <f>INDEX('Resumo Operacional'!$A$1:$P$151,MATCH("Desconto percentual Ucs",'Resumo Operacional'!$B$1:$B$151,0),MATCH('Detalhe Por UC'!$R913,'Resumo Operacional'!$A$1:$P$1,0))</f>
        <v>0.26414553913427991</v>
      </c>
      <c r="M913" s="56"/>
      <c r="N913" s="56"/>
      <c r="O913" s="56"/>
      <c r="P913" s="56"/>
      <c r="Q913" s="61"/>
      <c r="R913" s="111">
        <v>45931</v>
      </c>
      <c r="S913" s="151">
        <v>3.8600000000000002E-2</v>
      </c>
      <c r="T913" s="113" t="str">
        <f>IF($H913="GIROSSOL II",AP913/INDEX('Resumo Operacional'!$A$1:$P$1103,17,MATCH('Detalhe Por UC'!$R913,'Resumo Operacional'!$A$1:$P$1,0)),
IF($H913="GIROSSOL II e III",AP913/INDEX('Resumo Operacional'!$A$1:$P$1103,17,MATCH('Detalhe Por UC'!$R913,'Resumo Operacional'!$A$1:$P$1,0)),
""))</f>
        <v/>
      </c>
      <c r="U913" s="113">
        <f>IF($H913="GIROSSOL III",AP913/INDEX('Resumo Operacional'!$A$1:$P$1103,53,MATCH('Detalhe Por UC'!$R913,'Resumo Operacional'!$A$1:$P$1,0)),
IF($H913="GIROSSOL II e III",AP913/INDEX('Resumo Operacional'!$A$1:$P$1103,53,MATCH('Detalhe Por UC'!$R913,'Resumo Operacional'!$A$1:$P$1,0)),
""))</f>
        <v>-1.7940151074956421E-2</v>
      </c>
      <c r="X913">
        <v>1.2188217502124046</v>
      </c>
      <c r="Z913" s="54">
        <v>1.0619327391562687</v>
      </c>
      <c r="AB913" s="18">
        <v>428</v>
      </c>
      <c r="AD913" s="143">
        <v>153</v>
      </c>
      <c r="AF913" s="18">
        <v>0</v>
      </c>
      <c r="AG913">
        <v>0</v>
      </c>
      <c r="AH913">
        <v>94.81</v>
      </c>
      <c r="AL913" s="43"/>
      <c r="AN913" s="71">
        <f t="shared" si="529"/>
        <v>-400</v>
      </c>
      <c r="AO913" s="71">
        <f t="shared" si="530"/>
        <v>0</v>
      </c>
      <c r="AP913" s="71">
        <f t="shared" si="531"/>
        <v>-247</v>
      </c>
      <c r="AQ913" s="72">
        <f>IF(OR($H913="GIROSSOL II",$H913="GIROSSOL II e III"),INDEX('Resumo Operacional'!$A$1:$P$1103,MATCH("Energia Injetada prevista total Fatura da Usina (TUSD)",'Resumo Operacional'!$B$1:$B$1103,0),MATCH('Detalhe Por UC'!$R913,'Resumo Operacional'!$A$1:$P$1,0))*$S913,INDEX('Resumo Operacional'!$A$1:$P$1103,53,MATCH('Detalhe Por UC'!$R913,'Resumo Operacional'!$A$1:$P$1,0))*$S913)</f>
        <v>531.44479999999999</v>
      </c>
      <c r="AR913" s="71">
        <f t="shared" si="532"/>
        <v>-778.44479999999999</v>
      </c>
      <c r="AS913" s="73">
        <f t="shared" si="533"/>
        <v>453.99</v>
      </c>
      <c r="AT913" s="74">
        <f t="shared" si="534"/>
        <v>453.99</v>
      </c>
      <c r="AU913" s="74">
        <f t="shared" si="535"/>
        <v>0.90504372810013289</v>
      </c>
      <c r="AV913" s="74">
        <f t="shared" si="536"/>
        <v>117.03462759079508</v>
      </c>
      <c r="AW913" s="74">
        <f t="shared" si="537"/>
        <v>0</v>
      </c>
      <c r="AX913" s="74">
        <f t="shared" si="538"/>
        <v>162.47570909090911</v>
      </c>
      <c r="AY913" s="74">
        <f t="shared" si="539"/>
        <v>117.03</v>
      </c>
      <c r="AZ913" s="129">
        <v>117.03</v>
      </c>
      <c r="BA913" s="117">
        <v>117.03</v>
      </c>
      <c r="BB913" s="49">
        <v>117.03</v>
      </c>
      <c r="BC913" s="73" t="str">
        <f t="shared" si="540"/>
        <v/>
      </c>
      <c r="BD913" s="73">
        <f t="shared" si="541"/>
        <v>616.46570909090906</v>
      </c>
      <c r="BE913" s="73">
        <f t="shared" si="542"/>
        <v>571.02462759079503</v>
      </c>
      <c r="BF913" s="77">
        <f t="shared" si="543"/>
        <v>45.44</v>
      </c>
      <c r="BG913" s="77">
        <f t="shared" si="544"/>
        <v>13.632</v>
      </c>
      <c r="BH913" s="77">
        <f t="shared" si="545"/>
        <v>162.47570909090911</v>
      </c>
      <c r="BI913" s="78">
        <f t="shared" si="546"/>
        <v>0.28000000000000003</v>
      </c>
      <c r="BJ913" s="79">
        <f t="shared" si="547"/>
        <v>7.371050705644204E-2</v>
      </c>
      <c r="BK913" s="80">
        <f t="shared" si="548"/>
        <v>571.02</v>
      </c>
      <c r="BL913" s="80">
        <f t="shared" si="549"/>
        <v>45.445709090909077</v>
      </c>
      <c r="BM913" s="79">
        <f t="shared" si="550"/>
        <v>7.3719768059649332E-2</v>
      </c>
      <c r="BN913" s="81">
        <f t="shared" si="551"/>
        <v>0.76490196078431372</v>
      </c>
      <c r="BO913" s="82">
        <f t="shared" si="552"/>
        <v>117.03</v>
      </c>
      <c r="BP913" s="81">
        <f t="shared" si="553"/>
        <v>0.76490196078431372</v>
      </c>
      <c r="BQ913" s="81">
        <f t="shared" si="554"/>
        <v>0.92179097184044956</v>
      </c>
      <c r="BR913" s="81">
        <f t="shared" si="555"/>
        <v>1.2188217502124046</v>
      </c>
      <c r="BS913" s="82">
        <f t="shared" si="556"/>
        <v>153</v>
      </c>
      <c r="BT913" s="82">
        <f t="shared" si="557"/>
        <v>186.47972778249789</v>
      </c>
      <c r="BU913" s="82">
        <f t="shared" si="558"/>
        <v>162.47570909090911</v>
      </c>
      <c r="BW913" s="82">
        <f>IFERROR(INDEX('Infos Clientes'!$T:$T,MATCH('Detalhe Por UC'!$C913,'Infos Clientes'!B:B,0)),"")</f>
        <v>413.36363636363637</v>
      </c>
      <c r="BX913" s="83">
        <f t="shared" si="559"/>
        <v>0</v>
      </c>
      <c r="BY913" s="84">
        <f t="shared" si="560"/>
        <v>0.24370321445296766</v>
      </c>
      <c r="BZ913" s="85">
        <f>IF(_xlfn.MINIFS('Detalhe Por UC'!R:R,'Detalhe Por UC'!C:C,C913,'Detalhe Por UC'!AD:AD,"&gt;"&amp;0)=0,"",_xlfn.MINIFS('Detalhe Por UC'!R:R,'Detalhe Por UC'!C:C,C913,'Detalhe Por UC'!AD:AD,"&gt;"&amp;0))</f>
        <v>45658</v>
      </c>
      <c r="CA913" s="114">
        <f ca="1">IF(OR(S913&gt;0,AD913&gt;0),IFERROR(
SUMIFS(INDIRECT("'Infos Clientes'!$W"&amp;INDEX('Infos Clientes'!$C:$C,MATCH(C913,'Infos Clientes'!$H:$H,0))&amp;":$CZ"&amp;INDEX('Infos Clientes'!$C:$C,MATCH(C913,'Infos Clientes'!$H:$H,0))),'Infos Clientes'!$W$2:$CZ$2,"&gt;"&amp;$R913-365,'Infos Clientes'!$W$2:$CZ$2,"&lt;="&amp;$R913)/
COUNTIFS(INDIRECT("'Infos Clientes'!$W"&amp;INDEX('Infos Clientes'!$C:$C,MATCH(C913,'Infos Clientes'!$H:$H,0))&amp;":$CZ"&amp;INDEX('Infos Clientes'!$C:$C,MATCH(C913,'Infos Clientes'!$H:$H,0))),"&gt;="&amp;0,'Infos Clientes'!$W$2:$CZ$2,"&gt;"&amp;$R913-365,'Infos Clientes'!$W$2:$CZ$2,"&lt;="&amp;$R913),""),"")</f>
        <v>417.66666666666669</v>
      </c>
      <c r="CB913" s="87">
        <f>VLOOKUP(C913,'Infos Clientes'!B:L,11,0)</f>
        <v>0</v>
      </c>
      <c r="CC913" s="88" t="str">
        <f t="shared" si="561"/>
        <v>A Unidade Consumidora 10/260761-2 economizou R$45,44 na fatura referente à out/2025  consumindo 153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3" s="115">
        <f t="shared" si="562"/>
        <v>-453.99</v>
      </c>
    </row>
    <row r="914" spans="1:84" ht="16.2" hidden="1" customHeight="1" x14ac:dyDescent="0.3">
      <c r="A914" s="105" t="str">
        <f>INDEX('Infos Clientes'!$D:$D,MATCH('Detalhe Por UC'!C914,'Infos Clientes'!B:B,0))</f>
        <v>IGREJA DO EVANGELHO QUADRANGULAR</v>
      </c>
      <c r="B914" s="106" t="str">
        <f>INDEX('Infos Clientes'!$F:$F,MATCH('Detalhe Por UC'!C914,'Infos Clientes'!B:B,0))</f>
        <v>62.955.505/2132-33</v>
      </c>
      <c r="C914" s="31" t="s">
        <v>197</v>
      </c>
      <c r="D914" s="31" t="s">
        <v>351</v>
      </c>
      <c r="E914" s="31" t="s">
        <v>352</v>
      </c>
      <c r="F914" s="56" t="str">
        <f>INDEX('Infos Clientes'!$I:$I,MATCH('Detalhe Por UC'!C914,'Infos Clientes'!B:B,0))</f>
        <v>BT</v>
      </c>
      <c r="G914" s="56" t="str">
        <f>INDEX('Infos Clientes'!$J:$J,MATCH('Detalhe Por UC'!C914,'Infos Clientes'!B:B,0))</f>
        <v>trifasico</v>
      </c>
      <c r="H914" s="156" t="s">
        <v>138</v>
      </c>
      <c r="I914" s="58">
        <f>IFERROR(VLOOKUP(C914,'Infos Clientes'!B:E,4,),"")</f>
        <v>306</v>
      </c>
      <c r="J914" s="152">
        <v>0.2796792317717392</v>
      </c>
      <c r="K914" s="79">
        <f>INDEX('Resumo Operacional'!$A$1:$P$151,MATCH("Desconto percentual Ucs",'Resumo Operacional'!$B$1:$B$151,0),MATCH('Detalhe Por UC'!$R914,'Resumo Operacional'!$A$1:$P$1,0))</f>
        <v>0.26414553913427991</v>
      </c>
      <c r="M914" s="56"/>
      <c r="N914" s="56"/>
      <c r="O914" s="56"/>
      <c r="P914" s="56"/>
      <c r="Q914" s="61"/>
      <c r="R914" s="111">
        <v>45931</v>
      </c>
      <c r="S914" s="151">
        <v>3.73E-2</v>
      </c>
      <c r="T914" s="113" t="str">
        <f>IF($H914="GIROSSOL II",AP914/INDEX('Resumo Operacional'!$A$1:$P$1103,17,MATCH('Detalhe Por UC'!$R914,'Resumo Operacional'!$A$1:$P$1,0)),
IF($H914="GIROSSOL II e III",AP914/INDEX('Resumo Operacional'!$A$1:$P$1103,17,MATCH('Detalhe Por UC'!$R914,'Resumo Operacional'!$A$1:$P$1,0)),
""))</f>
        <v/>
      </c>
      <c r="U914" s="113">
        <f>IF($H914="GIROSSOL III",AP914/INDEX('Resumo Operacional'!$A$1:$P$1103,53,MATCH('Detalhe Por UC'!$R914,'Resumo Operacional'!$A$1:$P$1,0)),
IF($H914="GIROSSOL II e III",AP914/INDEX('Resumo Operacional'!$A$1:$P$1103,53,MATCH('Detalhe Por UC'!$R914,'Resumo Operacional'!$A$1:$P$1,0)),
""))</f>
        <v>2.7454968041836142E-2</v>
      </c>
      <c r="X914">
        <v>1.2208497217068646</v>
      </c>
      <c r="Z914" s="18">
        <v>1.0639665889665888</v>
      </c>
      <c r="AB914" s="18">
        <v>490</v>
      </c>
      <c r="AD914" s="143">
        <v>468</v>
      </c>
      <c r="AF914" s="18">
        <v>1087</v>
      </c>
      <c r="AH914">
        <v>0</v>
      </c>
      <c r="AL914" s="43"/>
      <c r="AN914" s="71">
        <f t="shared" si="529"/>
        <v>-90</v>
      </c>
      <c r="AO914" s="71">
        <f t="shared" si="530"/>
        <v>0</v>
      </c>
      <c r="AP914" s="71">
        <f t="shared" si="531"/>
        <v>378</v>
      </c>
      <c r="AQ914" s="72">
        <f>IF(OR($H914="GIROSSOL II",$H914="GIROSSOL II e III"),INDEX('Resumo Operacional'!$A$1:$P$1103,MATCH("Energia Injetada prevista total Fatura da Usina (TUSD)",'Resumo Operacional'!$B$1:$B$1103,0),MATCH('Detalhe Por UC'!$R914,'Resumo Operacional'!$A$1:$P$1,0))*$S914,INDEX('Resumo Operacional'!$A$1:$P$1103,53,MATCH('Detalhe Por UC'!$R914,'Resumo Operacional'!$A$1:$P$1,0))*$S914)</f>
        <v>513.54639999999995</v>
      </c>
      <c r="AR914" s="71">
        <f t="shared" si="532"/>
        <v>-135.54639999999995</v>
      </c>
      <c r="AS914" s="73">
        <f t="shared" si="533"/>
        <v>100.28000000000009</v>
      </c>
      <c r="AT914" s="74">
        <f t="shared" si="534"/>
        <v>100.28000000000009</v>
      </c>
      <c r="AU914" s="74">
        <f t="shared" si="535"/>
        <v>0.90708345622631303</v>
      </c>
      <c r="AV914" s="74">
        <f t="shared" si="536"/>
        <v>358.67390398333208</v>
      </c>
      <c r="AW914" s="74">
        <f t="shared" si="537"/>
        <v>0</v>
      </c>
      <c r="AX914" s="74">
        <f t="shared" si="538"/>
        <v>497.93636363636358</v>
      </c>
      <c r="AY914" s="74">
        <f t="shared" si="539"/>
        <v>358.67</v>
      </c>
      <c r="AZ914" s="129">
        <v>357.75</v>
      </c>
      <c r="BA914" s="117">
        <v>357.75</v>
      </c>
      <c r="BB914" s="49">
        <v>357.75</v>
      </c>
      <c r="BC914" s="73" t="str">
        <f t="shared" si="540"/>
        <v/>
      </c>
      <c r="BD914" s="73">
        <f t="shared" si="541"/>
        <v>598.21636363636367</v>
      </c>
      <c r="BE914" s="73">
        <f t="shared" si="542"/>
        <v>458.95390398333217</v>
      </c>
      <c r="BF914" s="77">
        <f t="shared" si="543"/>
        <v>139.26</v>
      </c>
      <c r="BG914" s="77">
        <f t="shared" si="544"/>
        <v>41.777999999999999</v>
      </c>
      <c r="BH914" s="77">
        <f t="shared" si="545"/>
        <v>497.93636363636352</v>
      </c>
      <c r="BI914" s="78">
        <f t="shared" si="546"/>
        <v>0.28000000000000003</v>
      </c>
      <c r="BJ914" s="79">
        <f t="shared" si="547"/>
        <v>0.23279202720815512</v>
      </c>
      <c r="BK914" s="80">
        <f t="shared" si="548"/>
        <v>458.9500000000001</v>
      </c>
      <c r="BL914" s="80">
        <f t="shared" si="549"/>
        <v>139.26636363636356</v>
      </c>
      <c r="BM914" s="79">
        <f t="shared" si="550"/>
        <v>0.23280266489169305</v>
      </c>
      <c r="BN914" s="81">
        <f t="shared" si="551"/>
        <v>0.7663888888888889</v>
      </c>
      <c r="BO914" s="82">
        <f t="shared" si="552"/>
        <v>358.67</v>
      </c>
      <c r="BP914" s="81">
        <f t="shared" si="553"/>
        <v>0.7663888888888889</v>
      </c>
      <c r="BQ914" s="81">
        <f t="shared" si="554"/>
        <v>0.92327202162916466</v>
      </c>
      <c r="BR914" s="81">
        <f t="shared" si="555"/>
        <v>1.2208497217068643</v>
      </c>
      <c r="BS914" s="82">
        <f t="shared" si="556"/>
        <v>468</v>
      </c>
      <c r="BT914" s="82">
        <f t="shared" si="557"/>
        <v>571.35766975881256</v>
      </c>
      <c r="BU914" s="82">
        <f t="shared" si="558"/>
        <v>497.93636363636358</v>
      </c>
      <c r="BW914" s="82">
        <f>IFERROR(INDEX('Infos Clientes'!$T:$T,MATCH('Detalhe Por UC'!$C914,'Infos Clientes'!B:B,0)),"")</f>
        <v>659.09090909090912</v>
      </c>
      <c r="BX914" s="83">
        <f t="shared" si="559"/>
        <v>0</v>
      </c>
      <c r="BY914" s="84">
        <f t="shared" si="560"/>
        <v>0.24374637990796921</v>
      </c>
      <c r="BZ914" s="85">
        <f>IF(_xlfn.MINIFS('Detalhe Por UC'!R:R,'Detalhe Por UC'!C:C,C914,'Detalhe Por UC'!AD:AD,"&gt;"&amp;0)=0,"",_xlfn.MINIFS('Detalhe Por UC'!R:R,'Detalhe Por UC'!C:C,C914,'Detalhe Por UC'!AD:AD,"&gt;"&amp;0))</f>
        <v>45658</v>
      </c>
      <c r="CA914" s="114">
        <f ca="1">IF(OR(S914&gt;0,AD914&gt;0),IFERROR(
SUMIFS(INDIRECT("'Infos Clientes'!$W"&amp;INDEX('Infos Clientes'!$C:$C,MATCH(C914,'Infos Clientes'!$H:$H,0))&amp;":$CZ"&amp;INDEX('Infos Clientes'!$C:$C,MATCH(C914,'Infos Clientes'!$H:$H,0))),'Infos Clientes'!$W$2:$CZ$2,"&gt;"&amp;$R914-365,'Infos Clientes'!$W$2:$CZ$2,"&lt;="&amp;$R914)/
COUNTIFS(INDIRECT("'Infos Clientes'!$W"&amp;INDEX('Infos Clientes'!$C:$C,MATCH(C914,'Infos Clientes'!$H:$H,0))&amp;":$CZ"&amp;INDEX('Infos Clientes'!$C:$C,MATCH(C914,'Infos Clientes'!$H:$H,0))),"&gt;="&amp;0,'Infos Clientes'!$W$2:$CZ$2,"&gt;"&amp;$R914-365,'Infos Clientes'!$W$2:$CZ$2,"&lt;="&amp;$R914),""),"")</f>
        <v>517.75</v>
      </c>
      <c r="CB914" s="87">
        <f>VLOOKUP(C914,'Infos Clientes'!B:L,11,0)</f>
        <v>0</v>
      </c>
      <c r="CC914" s="88" t="str">
        <f t="shared" si="561"/>
        <v>A Unidade Consumidora 10/399338-3 economizou R$139,26 na fatura referente à out/2025  consumindo 468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4" s="115">
        <f t="shared" si="562"/>
        <v>-100.28000000000009</v>
      </c>
    </row>
    <row r="915" spans="1:84" ht="16.2" hidden="1" customHeight="1" x14ac:dyDescent="0.3">
      <c r="A915" s="105" t="str">
        <f>INDEX('Infos Clientes'!$D:$D,MATCH('Detalhe Por UC'!C915,'Infos Clientes'!B:B,0))</f>
        <v>IGREJA DO EVANGELHO QUADRANGULAR</v>
      </c>
      <c r="B915" s="106" t="str">
        <f>INDEX('Infos Clientes'!$F:$F,MATCH('Detalhe Por UC'!C915,'Infos Clientes'!B:B,0))</f>
        <v>62.955.505/1822-57</v>
      </c>
      <c r="C915" s="31" t="s">
        <v>192</v>
      </c>
      <c r="D915" s="31" t="s">
        <v>351</v>
      </c>
      <c r="E915" s="31" t="s">
        <v>352</v>
      </c>
      <c r="F915" s="56" t="str">
        <f>INDEX('Infos Clientes'!$I:$I,MATCH('Detalhe Por UC'!C915,'Infos Clientes'!B:B,0))</f>
        <v>BT</v>
      </c>
      <c r="G915" s="56" t="str">
        <f>INDEX('Infos Clientes'!$J:$J,MATCH('Detalhe Por UC'!C915,'Infos Clientes'!B:B,0))</f>
        <v>trifasico</v>
      </c>
      <c r="H915" s="156" t="s">
        <v>138</v>
      </c>
      <c r="I915" s="58">
        <f>IFERROR(VLOOKUP(C915,'Infos Clientes'!B:E,4,),"")</f>
        <v>319</v>
      </c>
      <c r="J915" s="152">
        <v>0.2796792317717392</v>
      </c>
      <c r="K915" s="79">
        <f>INDEX('Resumo Operacional'!$A$1:$P$151,MATCH("Desconto percentual Ucs",'Resumo Operacional'!$B$1:$B$151,0),MATCH('Detalhe Por UC'!$R915,'Resumo Operacional'!$A$1:$P$1,0))</f>
        <v>0.26414553913427991</v>
      </c>
      <c r="M915" s="56"/>
      <c r="N915" s="56"/>
      <c r="O915" s="56"/>
      <c r="P915" s="56"/>
      <c r="Q915" s="61"/>
      <c r="R915" s="111">
        <v>45931</v>
      </c>
      <c r="S915" s="151">
        <v>3.6799999999999999E-2</v>
      </c>
      <c r="T915" s="113" t="str">
        <f>IF($H915="GIROSSOL II",AP915/INDEX('Resumo Operacional'!$A$1:$P$1103,17,MATCH('Detalhe Por UC'!$R915,'Resumo Operacional'!$A$1:$P$1,0)),
IF($H915="GIROSSOL II e III",AP915/INDEX('Resumo Operacional'!$A$1:$P$1103,17,MATCH('Detalhe Por UC'!$R915,'Resumo Operacional'!$A$1:$P$1,0)),
""))</f>
        <v/>
      </c>
      <c r="U915" s="113">
        <f>IF($H915="GIROSSOL III",AP915/INDEX('Resumo Operacional'!$A$1:$P$1103,53,MATCH('Detalhe Por UC'!$R915,'Resumo Operacional'!$A$1:$P$1,0)),
IF($H915="GIROSSOL II e III",AP915/INDEX('Resumo Operacional'!$A$1:$P$1103,53,MATCH('Detalhe Por UC'!$R915,'Resumo Operacional'!$A$1:$P$1,0)),
""))</f>
        <v>3.2248692620569439E-2</v>
      </c>
      <c r="X915">
        <v>1.2360646599777034</v>
      </c>
      <c r="Z915" s="54">
        <v>1.0791753846153849</v>
      </c>
      <c r="AB915" s="18">
        <v>414</v>
      </c>
      <c r="AD915" s="143">
        <v>375</v>
      </c>
      <c r="AF915" s="18">
        <v>82</v>
      </c>
      <c r="AG915">
        <v>0</v>
      </c>
      <c r="AH915">
        <v>74.150000000000006</v>
      </c>
      <c r="AL915" s="43"/>
      <c r="AN915" s="71">
        <f t="shared" si="529"/>
        <v>69</v>
      </c>
      <c r="AO915" s="71">
        <f t="shared" si="530"/>
        <v>0</v>
      </c>
      <c r="AP915" s="71">
        <f t="shared" si="531"/>
        <v>444</v>
      </c>
      <c r="AQ915" s="72">
        <f>IF(OR($H915="GIROSSOL II",$H915="GIROSSOL II e III"),INDEX('Resumo Operacional'!$A$1:$P$1103,MATCH("Energia Injetada prevista total Fatura da Usina (TUSD)",'Resumo Operacional'!$B$1:$B$1103,0),MATCH('Detalhe Por UC'!$R915,'Resumo Operacional'!$A$1:$P$1,0))*$S915,INDEX('Resumo Operacional'!$A$1:$P$1103,53,MATCH('Detalhe Por UC'!$R915,'Resumo Operacional'!$A$1:$P$1,0))*$S915)</f>
        <v>506.66239999999999</v>
      </c>
      <c r="AR915" s="71">
        <f t="shared" si="532"/>
        <v>-62.662399999999991</v>
      </c>
      <c r="AS915" s="73">
        <f t="shared" si="533"/>
        <v>181.18999999999991</v>
      </c>
      <c r="AT915" s="74">
        <f t="shared" si="534"/>
        <v>181.18999999999991</v>
      </c>
      <c r="AU915" s="74">
        <f t="shared" si="535"/>
        <v>0.92228610925306631</v>
      </c>
      <c r="AV915" s="74">
        <f t="shared" si="536"/>
        <v>291.50716578719357</v>
      </c>
      <c r="AW915" s="74">
        <f t="shared" si="537"/>
        <v>0</v>
      </c>
      <c r="AX915" s="74">
        <f t="shared" si="538"/>
        <v>404.69076923076932</v>
      </c>
      <c r="AY915" s="74">
        <f t="shared" si="539"/>
        <v>291.51</v>
      </c>
      <c r="AZ915" s="129">
        <v>291.51</v>
      </c>
      <c r="BA915" s="117">
        <v>291.51</v>
      </c>
      <c r="BB915" s="49">
        <v>291.51</v>
      </c>
      <c r="BC915" s="73" t="str">
        <f t="shared" si="540"/>
        <v/>
      </c>
      <c r="BD915" s="73">
        <f t="shared" si="541"/>
        <v>585.88076923076926</v>
      </c>
      <c r="BE915" s="73">
        <f t="shared" si="542"/>
        <v>472.69716578719351</v>
      </c>
      <c r="BF915" s="77">
        <f t="shared" si="543"/>
        <v>113.18</v>
      </c>
      <c r="BG915" s="77">
        <f t="shared" si="544"/>
        <v>33.954000000000001</v>
      </c>
      <c r="BH915" s="77">
        <f t="shared" si="545"/>
        <v>404.69076923076932</v>
      </c>
      <c r="BI915" s="78">
        <f t="shared" si="546"/>
        <v>0.28000000000000003</v>
      </c>
      <c r="BJ915" s="79">
        <f t="shared" si="547"/>
        <v>0.19317923704613041</v>
      </c>
      <c r="BK915" s="80">
        <f t="shared" si="548"/>
        <v>472.69999999999993</v>
      </c>
      <c r="BL915" s="80">
        <f t="shared" si="549"/>
        <v>113.18076923076933</v>
      </c>
      <c r="BM915" s="79">
        <f t="shared" si="550"/>
        <v>0.19318054999376366</v>
      </c>
      <c r="BN915" s="81">
        <f t="shared" si="551"/>
        <v>0.77735999999999994</v>
      </c>
      <c r="BO915" s="82">
        <f t="shared" si="552"/>
        <v>291.51</v>
      </c>
      <c r="BP915" s="81">
        <f t="shared" si="553"/>
        <v>0.77735999999999994</v>
      </c>
      <c r="BQ915" s="81">
        <f t="shared" si="554"/>
        <v>0.9342492753623185</v>
      </c>
      <c r="BR915" s="81">
        <f t="shared" si="555"/>
        <v>1.2360646599777034</v>
      </c>
      <c r="BS915" s="82">
        <f t="shared" si="556"/>
        <v>375</v>
      </c>
      <c r="BT915" s="82">
        <f t="shared" si="557"/>
        <v>463.52424749163879</v>
      </c>
      <c r="BU915" s="82">
        <f t="shared" si="558"/>
        <v>404.69076923076932</v>
      </c>
      <c r="BW915" s="82">
        <f>IFERROR(INDEX('Infos Clientes'!$T:$T,MATCH('Detalhe Por UC'!$C915,'Infos Clientes'!B:B,0)),"")</f>
        <v>502.09090909090907</v>
      </c>
      <c r="BX915" s="83">
        <f t="shared" si="559"/>
        <v>0</v>
      </c>
      <c r="BY915" s="84">
        <f t="shared" si="560"/>
        <v>0.24417443066516373</v>
      </c>
      <c r="BZ915" s="85">
        <f>IF(_xlfn.MINIFS('Detalhe Por UC'!R:R,'Detalhe Por UC'!C:C,C915,'Detalhe Por UC'!AD:AD,"&gt;"&amp;0)=0,"",_xlfn.MINIFS('Detalhe Por UC'!R:R,'Detalhe Por UC'!C:C,C915,'Detalhe Por UC'!AD:AD,"&gt;"&amp;0))</f>
        <v>45658</v>
      </c>
      <c r="CA915" s="114">
        <f ca="1">IF(OR(S915&gt;0,AD915&gt;0),IFERROR(
SUMIFS(INDIRECT("'Infos Clientes'!$W"&amp;INDEX('Infos Clientes'!$C:$C,MATCH(C915,'Infos Clientes'!$H:$H,0))&amp;":$CZ"&amp;INDEX('Infos Clientes'!$C:$C,MATCH(C915,'Infos Clientes'!$H:$H,0))),'Infos Clientes'!$W$2:$CZ$2,"&gt;"&amp;$R915-365,'Infos Clientes'!$W$2:$CZ$2,"&lt;="&amp;$R915)/
COUNTIFS(INDIRECT("'Infos Clientes'!$W"&amp;INDEX('Infos Clientes'!$C:$C,MATCH(C915,'Infos Clientes'!$H:$H,0))&amp;":$CZ"&amp;INDEX('Infos Clientes'!$C:$C,MATCH(C915,'Infos Clientes'!$H:$H,0))),"&gt;="&amp;0,'Infos Clientes'!$W$2:$CZ$2,"&gt;"&amp;$R915-365,'Infos Clientes'!$W$2:$CZ$2,"&lt;="&amp;$R915),""),"")</f>
        <v>445.66666666666669</v>
      </c>
      <c r="CB915" s="87">
        <f>VLOOKUP(C915,'Infos Clientes'!B:L,11,0)</f>
        <v>0</v>
      </c>
      <c r="CC915" s="88" t="str">
        <f t="shared" si="561"/>
        <v>A Unidade Consumidora 10/3139326-7 economizou R$113,18 na fatura referente à out/2025  consumindo 375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5" s="115">
        <f t="shared" si="562"/>
        <v>-181.18999999999991</v>
      </c>
    </row>
    <row r="916" spans="1:84" ht="16.2" hidden="1" customHeight="1" x14ac:dyDescent="0.3">
      <c r="A916" s="105" t="str">
        <f>INDEX('Infos Clientes'!$D:$D,MATCH('Detalhe Por UC'!C916,'Infos Clientes'!B:B,0))</f>
        <v>IGREJA DO EVANGELHO QUADRANGULAR</v>
      </c>
      <c r="B916" s="106" t="str">
        <f>INDEX('Infos Clientes'!$F:$F,MATCH('Detalhe Por UC'!C916,'Infos Clientes'!B:B,0))</f>
        <v>62.955.505/3311-98</v>
      </c>
      <c r="C916" s="31" t="s">
        <v>147</v>
      </c>
      <c r="D916" s="31" t="s">
        <v>351</v>
      </c>
      <c r="E916" s="31" t="s">
        <v>352</v>
      </c>
      <c r="F916" s="56" t="str">
        <f>INDEX('Infos Clientes'!$I:$I,MATCH('Detalhe Por UC'!C916,'Infos Clientes'!B:B,0))</f>
        <v>BT</v>
      </c>
      <c r="G916" s="56" t="str">
        <f>INDEX('Infos Clientes'!$J:$J,MATCH('Detalhe Por UC'!C916,'Infos Clientes'!B:B,0))</f>
        <v>trifasico</v>
      </c>
      <c r="H916" s="156" t="s">
        <v>138</v>
      </c>
      <c r="I916" s="58">
        <f>IFERROR(VLOOKUP(C916,'Infos Clientes'!B:E,4,),"")</f>
        <v>360</v>
      </c>
      <c r="J916" s="152">
        <v>0.2796792317717392</v>
      </c>
      <c r="K916" s="79">
        <f>INDEX('Resumo Operacional'!$A$1:$P$151,MATCH("Desconto percentual Ucs",'Resumo Operacional'!$B$1:$B$151,0),MATCH('Detalhe Por UC'!$R916,'Resumo Operacional'!$A$1:$P$1,0))</f>
        <v>0.26414553913427991</v>
      </c>
      <c r="M916" s="56"/>
      <c r="N916" s="56"/>
      <c r="O916" s="56"/>
      <c r="P916" s="56"/>
      <c r="Q916" s="61"/>
      <c r="R916" s="111">
        <v>45931</v>
      </c>
      <c r="S916" s="151">
        <v>3.5700000000000003E-2</v>
      </c>
      <c r="T916" s="113" t="str">
        <f>IF($H916="GIROSSOL II",AP916/INDEX('Resumo Operacional'!$A$1:$P$1103,17,MATCH('Detalhe Por UC'!$R916,'Resumo Operacional'!$A$1:$P$1,0)),
IF($H916="GIROSSOL II e III",AP916/INDEX('Resumo Operacional'!$A$1:$P$1103,17,MATCH('Detalhe Por UC'!$R916,'Resumo Operacional'!$A$1:$P$1,0)),
""))</f>
        <v/>
      </c>
      <c r="U916" s="113">
        <f>IF($H916="GIROSSOL III",AP916/INDEX('Resumo Operacional'!$A$1:$P$1103,53,MATCH('Detalhe Por UC'!$R916,'Resumo Operacional'!$A$1:$P$1,0)),
IF($H916="GIROSSOL II e III",AP916/INDEX('Resumo Operacional'!$A$1:$P$1103,53,MATCH('Detalhe Por UC'!$R916,'Resumo Operacional'!$A$1:$P$1,0)),
""))</f>
        <v>3.1304474142940152E-2</v>
      </c>
      <c r="X916">
        <v>1.2361239242685027</v>
      </c>
      <c r="Z916" s="54">
        <v>1.0792326388888887</v>
      </c>
      <c r="AB916" s="18">
        <v>581</v>
      </c>
      <c r="AD916" s="143">
        <v>576</v>
      </c>
      <c r="AF916" s="18">
        <v>143</v>
      </c>
      <c r="AG916">
        <v>0</v>
      </c>
      <c r="AH916">
        <v>107.93</v>
      </c>
      <c r="AL916" s="43"/>
      <c r="AN916" s="71">
        <f t="shared" si="529"/>
        <v>-145</v>
      </c>
      <c r="AO916" s="71">
        <f t="shared" si="530"/>
        <v>0</v>
      </c>
      <c r="AP916" s="71">
        <f t="shared" si="531"/>
        <v>431</v>
      </c>
      <c r="AQ916" s="72">
        <f>IF(OR($H916="GIROSSOL II",$H916="GIROSSOL II e III"),INDEX('Resumo Operacional'!$A$1:$P$1103,MATCH("Energia Injetada prevista total Fatura da Usina (TUSD)",'Resumo Operacional'!$B$1:$B$1103,0),MATCH('Detalhe Por UC'!$R916,'Resumo Operacional'!$A$1:$P$1,0))*$S916,INDEX('Resumo Operacional'!$A$1:$P$1103,53,MATCH('Detalhe Por UC'!$R916,'Resumo Operacional'!$A$1:$P$1,0))*$S916)</f>
        <v>491.51760000000002</v>
      </c>
      <c r="AR916" s="71">
        <f t="shared" si="532"/>
        <v>-60.517600000000016</v>
      </c>
      <c r="AS916" s="73">
        <f t="shared" si="533"/>
        <v>204.48000000000019</v>
      </c>
      <c r="AT916" s="74">
        <f t="shared" si="534"/>
        <v>204.48000000000019</v>
      </c>
      <c r="AU916" s="74">
        <f t="shared" si="535"/>
        <v>0.9223413535092746</v>
      </c>
      <c r="AV916" s="74">
        <f t="shared" si="536"/>
        <v>447.77876171987953</v>
      </c>
      <c r="AW916" s="74">
        <f t="shared" si="537"/>
        <v>0</v>
      </c>
      <c r="AX916" s="74">
        <f t="shared" si="538"/>
        <v>621.63799999999992</v>
      </c>
      <c r="AY916" s="74">
        <f t="shared" si="539"/>
        <v>447.78</v>
      </c>
      <c r="AZ916" s="129">
        <v>447.78</v>
      </c>
      <c r="BA916" s="117">
        <v>447.78</v>
      </c>
      <c r="BB916" s="49">
        <v>447.78</v>
      </c>
      <c r="BC916" s="73" t="str">
        <f t="shared" si="540"/>
        <v/>
      </c>
      <c r="BD916" s="73">
        <f t="shared" si="541"/>
        <v>826.11800000000017</v>
      </c>
      <c r="BE916" s="73">
        <f t="shared" si="542"/>
        <v>652.25876171987966</v>
      </c>
      <c r="BF916" s="77">
        <f t="shared" si="543"/>
        <v>173.86</v>
      </c>
      <c r="BG916" s="77">
        <f t="shared" si="544"/>
        <v>52.158000000000001</v>
      </c>
      <c r="BH916" s="77">
        <f t="shared" si="545"/>
        <v>621.63799999999992</v>
      </c>
      <c r="BI916" s="78">
        <f t="shared" si="546"/>
        <v>0.28000000000000003</v>
      </c>
      <c r="BJ916" s="79">
        <f t="shared" si="547"/>
        <v>0.21045419661597978</v>
      </c>
      <c r="BK916" s="80">
        <f t="shared" si="548"/>
        <v>652.26000000000022</v>
      </c>
      <c r="BL916" s="80">
        <f t="shared" si="549"/>
        <v>173.85799999999995</v>
      </c>
      <c r="BM916" s="79">
        <f t="shared" si="550"/>
        <v>0.2104517756543253</v>
      </c>
      <c r="BN916" s="81">
        <f t="shared" si="551"/>
        <v>0.77739583333333329</v>
      </c>
      <c r="BO916" s="82">
        <f t="shared" si="552"/>
        <v>447.78</v>
      </c>
      <c r="BP916" s="81">
        <f t="shared" si="553"/>
        <v>0.77739583333333329</v>
      </c>
      <c r="BQ916" s="81">
        <f t="shared" si="554"/>
        <v>0.93428711871294734</v>
      </c>
      <c r="BR916" s="81">
        <f t="shared" si="555"/>
        <v>1.2361239242685027</v>
      </c>
      <c r="BS916" s="82">
        <f t="shared" si="556"/>
        <v>576</v>
      </c>
      <c r="BT916" s="82">
        <f t="shared" si="557"/>
        <v>712.00738037865756</v>
      </c>
      <c r="BU916" s="82">
        <f t="shared" si="558"/>
        <v>621.63799999999992</v>
      </c>
      <c r="BW916" s="82">
        <f>IFERROR(INDEX('Infos Clientes'!$T:$T,MATCH('Detalhe Por UC'!$C916,'Infos Clientes'!B:B,0)),"")</f>
        <v>471.63636363636363</v>
      </c>
      <c r="BX916" s="83">
        <f t="shared" si="559"/>
        <v>0</v>
      </c>
      <c r="BY916" s="84">
        <f t="shared" si="560"/>
        <v>0.24418005317239727</v>
      </c>
      <c r="BZ916" s="85">
        <f>IF(_xlfn.MINIFS('Detalhe Por UC'!R:R,'Detalhe Por UC'!C:C,C916,'Detalhe Por UC'!AD:AD,"&gt;"&amp;0)=0,"",_xlfn.MINIFS('Detalhe Por UC'!R:R,'Detalhe Por UC'!C:C,C916,'Detalhe Por UC'!AD:AD,"&gt;"&amp;0))</f>
        <v>45658</v>
      </c>
      <c r="CA916" s="114">
        <f ca="1">IF(OR(S916&gt;0,AD916&gt;0),IFERROR(
SUMIFS(INDIRECT("'Infos Clientes'!$W"&amp;INDEX('Infos Clientes'!$C:$C,MATCH(C916,'Infos Clientes'!$H:$H,0))&amp;":$CZ"&amp;INDEX('Infos Clientes'!$C:$C,MATCH(C916,'Infos Clientes'!$H:$H,0))),'Infos Clientes'!$W$2:$CZ$2,"&gt;"&amp;$R916-365,'Infos Clientes'!$W$2:$CZ$2,"&lt;="&amp;$R916)/
COUNTIFS(INDIRECT("'Infos Clientes'!$W"&amp;INDEX('Infos Clientes'!$C:$C,MATCH(C916,'Infos Clientes'!$H:$H,0))&amp;":$CZ"&amp;INDEX('Infos Clientes'!$C:$C,MATCH(C916,'Infos Clientes'!$H:$H,0))),"&gt;="&amp;0,'Infos Clientes'!$W$2:$CZ$2,"&gt;"&amp;$R916-365,'Infos Clientes'!$W$2:$CZ$2,"&lt;="&amp;$R916),""),"")</f>
        <v>482.16666666666669</v>
      </c>
      <c r="CB916" s="87">
        <f>VLOOKUP(C916,'Infos Clientes'!B:L,11,0)</f>
        <v>0</v>
      </c>
      <c r="CC916" s="88" t="str">
        <f t="shared" si="561"/>
        <v>A Unidade Consumidora 10/127464-6 economizou R$173,86 na fatura referente à out/2025  consumindo 576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6" s="115">
        <f t="shared" si="562"/>
        <v>-204.48000000000019</v>
      </c>
    </row>
    <row r="917" spans="1:84" ht="16.2" hidden="1" customHeight="1" x14ac:dyDescent="0.3">
      <c r="A917" s="105" t="str">
        <f>INDEX('Infos Clientes'!$D:$D,MATCH('Detalhe Por UC'!C917,'Infos Clientes'!B:B,0))</f>
        <v>IGREJA DO EVANGELHO QUADRANGULAR</v>
      </c>
      <c r="B917" s="106" t="str">
        <f>INDEX('Infos Clientes'!$F:$F,MATCH('Detalhe Por UC'!C917,'Infos Clientes'!B:B,0))</f>
        <v>62.955.505/3124-87</v>
      </c>
      <c r="C917" s="31" t="s">
        <v>160</v>
      </c>
      <c r="D917" s="31" t="s">
        <v>351</v>
      </c>
      <c r="E917" s="31" t="s">
        <v>352</v>
      </c>
      <c r="F917" s="56" t="str">
        <f>INDEX('Infos Clientes'!$I:$I,MATCH('Detalhe Por UC'!C917,'Infos Clientes'!B:B,0))</f>
        <v>BT</v>
      </c>
      <c r="G917" s="56" t="str">
        <f>INDEX('Infos Clientes'!$J:$J,MATCH('Detalhe Por UC'!C917,'Infos Clientes'!B:B,0))</f>
        <v>trifasico</v>
      </c>
      <c r="H917" s="156" t="s">
        <v>138</v>
      </c>
      <c r="I917" s="58">
        <f>IFERROR(VLOOKUP(C917,'Infos Clientes'!B:E,4,),"")</f>
        <v>357</v>
      </c>
      <c r="J917" s="152">
        <v>0.2796792317717392</v>
      </c>
      <c r="K917" s="79">
        <f>INDEX('Resumo Operacional'!$A$1:$P$151,MATCH("Desconto percentual Ucs",'Resumo Operacional'!$B$1:$B$151,0),MATCH('Detalhe Por UC'!$R917,'Resumo Operacional'!$A$1:$P$1,0))</f>
        <v>0.26414553913427991</v>
      </c>
      <c r="M917" s="56"/>
      <c r="N917" s="56"/>
      <c r="O917" s="56"/>
      <c r="P917" s="56"/>
      <c r="Q917" s="61"/>
      <c r="R917" s="111">
        <v>45931</v>
      </c>
      <c r="S917" s="151">
        <v>3.5299999999999998E-2</v>
      </c>
      <c r="T917" s="113" t="str">
        <f>IF($H917="GIROSSOL II",AP917/INDEX('Resumo Operacional'!$A$1:$P$1103,17,MATCH('Detalhe Por UC'!$R917,'Resumo Operacional'!$A$1:$P$1,0)),
IF($H917="GIROSSOL II e III",AP917/INDEX('Resumo Operacional'!$A$1:$P$1103,17,MATCH('Detalhe Por UC'!$R917,'Resumo Operacional'!$A$1:$P$1,0)),
""))</f>
        <v/>
      </c>
      <c r="U917" s="113">
        <f>IF($H917="GIROSSOL III",AP917/INDEX('Resumo Operacional'!$A$1:$P$1103,53,MATCH('Detalhe Por UC'!$R917,'Resumo Operacional'!$A$1:$P$1,0)),
IF($H917="GIROSSOL II e III",AP917/INDEX('Resumo Operacional'!$A$1:$P$1103,53,MATCH('Detalhe Por UC'!$R917,'Resumo Operacional'!$A$1:$P$1,0)),
""))</f>
        <v>3.0868680999418942E-2</v>
      </c>
      <c r="X917">
        <v>1.2206172291296624</v>
      </c>
      <c r="Z917" s="18">
        <v>1.0637072072072071</v>
      </c>
      <c r="AB917" s="18">
        <v>563</v>
      </c>
      <c r="AD917" s="143">
        <v>555</v>
      </c>
      <c r="AF917" s="18">
        <v>511</v>
      </c>
      <c r="AH917">
        <v>0</v>
      </c>
      <c r="AL917" s="43"/>
      <c r="AN917" s="71">
        <f t="shared" si="529"/>
        <v>-130</v>
      </c>
      <c r="AO917" s="71">
        <f t="shared" si="530"/>
        <v>0</v>
      </c>
      <c r="AP917" s="71">
        <f t="shared" si="531"/>
        <v>425</v>
      </c>
      <c r="AQ917" s="72">
        <f>IF(OR($H917="GIROSSOL II",$H917="GIROSSOL II e III"),INDEX('Resumo Operacional'!$A$1:$P$1103,MATCH("Energia Injetada prevista total Fatura da Usina (TUSD)",'Resumo Operacional'!$B$1:$B$1103,0),MATCH('Detalhe Por UC'!$R917,'Resumo Operacional'!$A$1:$P$1,0))*$S917,INDEX('Resumo Operacional'!$A$1:$P$1103,53,MATCH('Detalhe Por UC'!$R917,'Resumo Operacional'!$A$1:$P$1,0))*$S917)</f>
        <v>486.01039999999995</v>
      </c>
      <c r="AR917" s="71">
        <f t="shared" si="532"/>
        <v>-61.010399999999947</v>
      </c>
      <c r="AS917" s="73">
        <f t="shared" si="533"/>
        <v>96.850000000000023</v>
      </c>
      <c r="AT917" s="74">
        <f t="shared" si="534"/>
        <v>96.850000000000023</v>
      </c>
      <c r="AU917" s="74">
        <f t="shared" si="535"/>
        <v>0.90679718528475184</v>
      </c>
      <c r="AV917" s="74">
        <f t="shared" si="536"/>
        <v>425.24676792931552</v>
      </c>
      <c r="AW917" s="74">
        <f t="shared" si="537"/>
        <v>0</v>
      </c>
      <c r="AX917" s="74">
        <f t="shared" si="538"/>
        <v>590.35749999999996</v>
      </c>
      <c r="AY917" s="74">
        <f t="shared" si="539"/>
        <v>425.25</v>
      </c>
      <c r="AZ917" s="129">
        <v>425.25</v>
      </c>
      <c r="BA917" s="117">
        <v>425.25</v>
      </c>
      <c r="BB917" s="49">
        <v>425.25</v>
      </c>
      <c r="BC917" s="73" t="str">
        <f t="shared" si="540"/>
        <v/>
      </c>
      <c r="BD917" s="73">
        <f t="shared" si="541"/>
        <v>687.20749999999998</v>
      </c>
      <c r="BE917" s="73">
        <f t="shared" si="542"/>
        <v>522.09676792931555</v>
      </c>
      <c r="BF917" s="77">
        <f t="shared" si="543"/>
        <v>165.11</v>
      </c>
      <c r="BG917" s="77">
        <f t="shared" si="544"/>
        <v>49.533000000000001</v>
      </c>
      <c r="BH917" s="77">
        <f t="shared" si="545"/>
        <v>590.35749999999996</v>
      </c>
      <c r="BI917" s="78">
        <f t="shared" si="546"/>
        <v>0.28000000000000003</v>
      </c>
      <c r="BJ917" s="79">
        <f t="shared" si="547"/>
        <v>0.24026222065387823</v>
      </c>
      <c r="BK917" s="80">
        <f t="shared" si="548"/>
        <v>522.1</v>
      </c>
      <c r="BL917" s="80">
        <f t="shared" si="549"/>
        <v>165.10749999999996</v>
      </c>
      <c r="BM917" s="79">
        <f t="shared" si="550"/>
        <v>0.24025858274247583</v>
      </c>
      <c r="BN917" s="81">
        <f t="shared" si="551"/>
        <v>0.76621621621621616</v>
      </c>
      <c r="BO917" s="82">
        <f t="shared" si="552"/>
        <v>425.24999999999994</v>
      </c>
      <c r="BP917" s="81">
        <f t="shared" si="553"/>
        <v>0.76621621621621616</v>
      </c>
      <c r="BQ917" s="81">
        <f t="shared" si="554"/>
        <v>0.92312623813867145</v>
      </c>
      <c r="BR917" s="81">
        <f t="shared" si="555"/>
        <v>1.2206172291296624</v>
      </c>
      <c r="BS917" s="82">
        <f t="shared" si="556"/>
        <v>555</v>
      </c>
      <c r="BT917" s="82">
        <f t="shared" si="557"/>
        <v>677.4425621669626</v>
      </c>
      <c r="BU917" s="82">
        <f t="shared" si="558"/>
        <v>590.35749999999996</v>
      </c>
      <c r="BW917" s="82">
        <f>IFERROR(INDEX('Infos Clientes'!$T:$T,MATCH('Detalhe Por UC'!$C917,'Infos Clientes'!B:B,0)),"")</f>
        <v>495.18181818181819</v>
      </c>
      <c r="BX917" s="83">
        <f t="shared" si="559"/>
        <v>0</v>
      </c>
      <c r="BY917" s="84">
        <f t="shared" si="560"/>
        <v>0.24372176952074581</v>
      </c>
      <c r="BZ917" s="85">
        <f>IF(_xlfn.MINIFS('Detalhe Por UC'!R:R,'Detalhe Por UC'!C:C,C917,'Detalhe Por UC'!AD:AD,"&gt;"&amp;0)=0,"",_xlfn.MINIFS('Detalhe Por UC'!R:R,'Detalhe Por UC'!C:C,C917,'Detalhe Por UC'!AD:AD,"&gt;"&amp;0))</f>
        <v>45658</v>
      </c>
      <c r="CA917" s="114">
        <f ca="1">IF(OR(S917&gt;0,AD917&gt;0),IFERROR(
SUMIFS(INDIRECT("'Infos Clientes'!$W"&amp;INDEX('Infos Clientes'!$C:$C,MATCH(C917,'Infos Clientes'!$H:$H,0))&amp;":$CZ"&amp;INDEX('Infos Clientes'!$C:$C,MATCH(C917,'Infos Clientes'!$H:$H,0))),'Infos Clientes'!$W$2:$CZ$2,"&gt;"&amp;$R917-365,'Infos Clientes'!$W$2:$CZ$2,"&lt;="&amp;$R917)/
COUNTIFS(INDIRECT("'Infos Clientes'!$W"&amp;INDEX('Infos Clientes'!$C:$C,MATCH(C917,'Infos Clientes'!$H:$H,0))&amp;":$CZ"&amp;INDEX('Infos Clientes'!$C:$C,MATCH(C917,'Infos Clientes'!$H:$H,0))),"&gt;="&amp;0,'Infos Clientes'!$W$2:$CZ$2,"&gt;"&amp;$R917-365,'Infos Clientes'!$W$2:$CZ$2,"&lt;="&amp;$R917),""),"")</f>
        <v>526.58333333333337</v>
      </c>
      <c r="CB917" s="87">
        <f>VLOOKUP(C917,'Infos Clientes'!B:L,11,0)</f>
        <v>0</v>
      </c>
      <c r="CC917" s="88" t="str">
        <f t="shared" si="561"/>
        <v>A Unidade Consumidora 10/15297-5 economizou R$165,11 na fatura referente à out/2025  consumindo 555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7" s="115">
        <f t="shared" si="562"/>
        <v>-96.850000000000023</v>
      </c>
    </row>
    <row r="918" spans="1:84" ht="16.2" hidden="1" customHeight="1" x14ac:dyDescent="0.3">
      <c r="A918" s="105" t="str">
        <f>INDEX('Infos Clientes'!$D:$D,MATCH('Detalhe Por UC'!C918,'Infos Clientes'!B:B,0))</f>
        <v>IGREJA DO EVANGELHO QUADRANGULAR</v>
      </c>
      <c r="B918" s="106" t="str">
        <f>INDEX('Infos Clientes'!$F:$F,MATCH('Detalhe Por UC'!C918,'Infos Clientes'!B:B,0))</f>
        <v>62.955.505/0160-80</v>
      </c>
      <c r="C918" s="31" t="s">
        <v>207</v>
      </c>
      <c r="D918" s="31" t="s">
        <v>351</v>
      </c>
      <c r="E918" s="31" t="s">
        <v>352</v>
      </c>
      <c r="F918" s="56" t="str">
        <f>INDEX('Infos Clientes'!$I:$I,MATCH('Detalhe Por UC'!C918,'Infos Clientes'!B:B,0))</f>
        <v>BT</v>
      </c>
      <c r="G918" s="56" t="str">
        <f>INDEX('Infos Clientes'!$J:$J,MATCH('Detalhe Por UC'!C918,'Infos Clientes'!B:B,0))</f>
        <v>trifasico</v>
      </c>
      <c r="H918" s="156" t="s">
        <v>138</v>
      </c>
      <c r="I918" s="58">
        <f>IFERROR(VLOOKUP(C918,'Infos Clientes'!B:E,4,),"")</f>
        <v>357</v>
      </c>
      <c r="J918" s="152">
        <v>0.2796792317717392</v>
      </c>
      <c r="K918" s="79">
        <f>INDEX('Resumo Operacional'!$A$1:$P$151,MATCH("Desconto percentual Ucs",'Resumo Operacional'!$B$1:$B$151,0),MATCH('Detalhe Por UC'!$R918,'Resumo Operacional'!$A$1:$P$1,0))</f>
        <v>0.26414553913427991</v>
      </c>
      <c r="M918" s="56"/>
      <c r="N918" s="56"/>
      <c r="O918" s="56"/>
      <c r="P918" s="56"/>
      <c r="Q918" s="61"/>
      <c r="R918" s="111">
        <v>45931</v>
      </c>
      <c r="S918" s="151">
        <v>3.5299999999999998E-2</v>
      </c>
      <c r="T918" s="113" t="str">
        <f>IF($H918="GIROSSOL II",AP918/INDEX('Resumo Operacional'!$A$1:$P$1103,17,MATCH('Detalhe Por UC'!$R918,'Resumo Operacional'!$A$1:$P$1,0)),
IF($H918="GIROSSOL II e III",AP918/INDEX('Resumo Operacional'!$A$1:$P$1103,17,MATCH('Detalhe Por UC'!$R918,'Resumo Operacional'!$A$1:$P$1,0)),
""))</f>
        <v/>
      </c>
      <c r="U918" s="113">
        <f>IF($H918="GIROSSOL III",AP918/INDEX('Resumo Operacional'!$A$1:$P$1103,53,MATCH('Detalhe Por UC'!$R918,'Resumo Operacional'!$A$1:$P$1,0)),
IF($H918="GIROSSOL II e III",AP918/INDEX('Resumo Operacional'!$A$1:$P$1103,53,MATCH('Detalhe Por UC'!$R918,'Resumo Operacional'!$A$1:$P$1,0)),
""))</f>
        <v>3.0941313190005811E-2</v>
      </c>
      <c r="X918">
        <v>1.231090622537431</v>
      </c>
      <c r="Z918" s="54">
        <v>1.0741819245882451</v>
      </c>
      <c r="AB918" s="18">
        <v>470</v>
      </c>
      <c r="AD918" s="143">
        <v>443</v>
      </c>
      <c r="AF918" s="18">
        <v>297</v>
      </c>
      <c r="AG918">
        <v>0</v>
      </c>
      <c r="AH918">
        <v>74.010000000000005</v>
      </c>
      <c r="AL918" s="43"/>
      <c r="AN918" s="71">
        <f t="shared" si="529"/>
        <v>-17</v>
      </c>
      <c r="AO918" s="71">
        <f t="shared" si="530"/>
        <v>0</v>
      </c>
      <c r="AP918" s="71">
        <f t="shared" si="531"/>
        <v>426</v>
      </c>
      <c r="AQ918" s="72">
        <f>IF(OR($H918="GIROSSOL II",$H918="GIROSSOL II e III"),INDEX('Resumo Operacional'!$A$1:$P$1103,MATCH("Energia Injetada prevista total Fatura da Usina (TUSD)",'Resumo Operacional'!$B$1:$B$1103,0),MATCH('Detalhe Por UC'!$R918,'Resumo Operacional'!$A$1:$P$1,0))*$S918,INDEX('Resumo Operacional'!$A$1:$P$1103,53,MATCH('Detalhe Por UC'!$R918,'Resumo Operacional'!$A$1:$P$1,0))*$S918)</f>
        <v>486.01039999999995</v>
      </c>
      <c r="AR918" s="71">
        <f t="shared" si="532"/>
        <v>-60.010399999999947</v>
      </c>
      <c r="AS918" s="73">
        <f t="shared" si="533"/>
        <v>176.76</v>
      </c>
      <c r="AT918" s="74">
        <f t="shared" si="534"/>
        <v>176.76</v>
      </c>
      <c r="AU918" s="74">
        <f t="shared" si="535"/>
        <v>0.9172732266390593</v>
      </c>
      <c r="AV918" s="74">
        <f t="shared" si="536"/>
        <v>342.7737082673882</v>
      </c>
      <c r="AW918" s="74">
        <f t="shared" si="537"/>
        <v>0</v>
      </c>
      <c r="AX918" s="74">
        <f t="shared" si="538"/>
        <v>475.86259259259259</v>
      </c>
      <c r="AY918" s="74">
        <f t="shared" si="539"/>
        <v>342.77</v>
      </c>
      <c r="AZ918" s="129">
        <v>342.77</v>
      </c>
      <c r="BA918" s="117">
        <v>342.77</v>
      </c>
      <c r="BB918" s="49">
        <v>342.77</v>
      </c>
      <c r="BC918" s="73" t="str">
        <f t="shared" si="540"/>
        <v/>
      </c>
      <c r="BD918" s="73">
        <f t="shared" si="541"/>
        <v>652.62259259259258</v>
      </c>
      <c r="BE918" s="73">
        <f t="shared" si="542"/>
        <v>519.53370826738819</v>
      </c>
      <c r="BF918" s="77">
        <f t="shared" si="543"/>
        <v>133.09</v>
      </c>
      <c r="BG918" s="77">
        <f t="shared" si="544"/>
        <v>39.927</v>
      </c>
      <c r="BH918" s="77">
        <f t="shared" si="545"/>
        <v>475.86259259259259</v>
      </c>
      <c r="BI918" s="78">
        <f t="shared" si="546"/>
        <v>0.28000000000000003</v>
      </c>
      <c r="BJ918" s="79">
        <f t="shared" si="547"/>
        <v>0.20393103381740113</v>
      </c>
      <c r="BK918" s="80">
        <f t="shared" si="548"/>
        <v>519.53</v>
      </c>
      <c r="BL918" s="80">
        <f t="shared" si="549"/>
        <v>133.09259259259261</v>
      </c>
      <c r="BM918" s="79">
        <f t="shared" si="550"/>
        <v>0.20393500639300921</v>
      </c>
      <c r="BN918" s="81">
        <f t="shared" si="551"/>
        <v>0.77374717832957107</v>
      </c>
      <c r="BO918" s="82">
        <f t="shared" si="552"/>
        <v>342.77</v>
      </c>
      <c r="BP918" s="81">
        <f t="shared" si="553"/>
        <v>0.77374717832957107</v>
      </c>
      <c r="BQ918" s="81">
        <f t="shared" si="554"/>
        <v>0.9306558762787569</v>
      </c>
      <c r="BR918" s="81">
        <f t="shared" si="555"/>
        <v>1.231090622537431</v>
      </c>
      <c r="BS918" s="82">
        <f t="shared" si="556"/>
        <v>443</v>
      </c>
      <c r="BT918" s="82">
        <f t="shared" si="557"/>
        <v>545.37314578408188</v>
      </c>
      <c r="BU918" s="82">
        <f t="shared" si="558"/>
        <v>475.86259259259259</v>
      </c>
      <c r="BW918" s="82">
        <f>IFERROR(INDEX('Infos Clientes'!$T:$T,MATCH('Detalhe Por UC'!$C918,'Infos Clientes'!B:B,0)),"")</f>
        <v>510.45454545454544</v>
      </c>
      <c r="BX918" s="83">
        <f t="shared" si="559"/>
        <v>0</v>
      </c>
      <c r="BY918" s="84">
        <f t="shared" si="560"/>
        <v>0.24403950510112787</v>
      </c>
      <c r="BZ918" s="85">
        <f>IF(_xlfn.MINIFS('Detalhe Por UC'!R:R,'Detalhe Por UC'!C:C,C918,'Detalhe Por UC'!AD:AD,"&gt;"&amp;0)=0,"",_xlfn.MINIFS('Detalhe Por UC'!R:R,'Detalhe Por UC'!C:C,C918,'Detalhe Por UC'!AD:AD,"&gt;"&amp;0))</f>
        <v>45658</v>
      </c>
      <c r="CA918" s="114">
        <f ca="1">IF(OR(S918&gt;0,AD918&gt;0),IFERROR(
SUMIFS(INDIRECT("'Infos Clientes'!$W"&amp;INDEX('Infos Clientes'!$C:$C,MATCH(C918,'Infos Clientes'!$H:$H,0))&amp;":$CZ"&amp;INDEX('Infos Clientes'!$C:$C,MATCH(C918,'Infos Clientes'!$H:$H,0))),'Infos Clientes'!$W$2:$CZ$2,"&gt;"&amp;$R918-365,'Infos Clientes'!$W$2:$CZ$2,"&lt;="&amp;$R918)/
COUNTIFS(INDIRECT("'Infos Clientes'!$W"&amp;INDEX('Infos Clientes'!$C:$C,MATCH(C918,'Infos Clientes'!$H:$H,0))&amp;":$CZ"&amp;INDEX('Infos Clientes'!$C:$C,MATCH(C918,'Infos Clientes'!$H:$H,0))),"&gt;="&amp;0,'Infos Clientes'!$W$2:$CZ$2,"&gt;"&amp;$R918-365,'Infos Clientes'!$W$2:$CZ$2,"&lt;="&amp;$R918),""),"")</f>
        <v>452.5</v>
      </c>
      <c r="CB918" s="87">
        <f>VLOOKUP(C918,'Infos Clientes'!B:L,11,0)</f>
        <v>0</v>
      </c>
      <c r="CC918" s="88" t="str">
        <f t="shared" si="561"/>
        <v>A Unidade Consumidora 10/489076-0 economizou R$133,09 na fatura referente à out/2025  consumindo 443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8" s="115">
        <f t="shared" si="562"/>
        <v>-176.76</v>
      </c>
    </row>
    <row r="919" spans="1:84" ht="16.2" hidden="1" customHeight="1" x14ac:dyDescent="0.3">
      <c r="A919" s="105" t="str">
        <f>INDEX('Infos Clientes'!$D:$D,MATCH('Detalhe Por UC'!C919,'Infos Clientes'!B:B,0))</f>
        <v>IGREJA DO EVANGELHO QUADRANGULAR</v>
      </c>
      <c r="B919" s="106" t="str">
        <f>INDEX('Infos Clientes'!$F:$F,MATCH('Detalhe Por UC'!C919,'Infos Clientes'!B:B,0))</f>
        <v>62.955.505/3544-81</v>
      </c>
      <c r="C919" s="31" t="s">
        <v>209</v>
      </c>
      <c r="D919" s="31" t="s">
        <v>351</v>
      </c>
      <c r="E919" s="31" t="s">
        <v>352</v>
      </c>
      <c r="F919" s="56" t="str">
        <f>INDEX('Infos Clientes'!$I:$I,MATCH('Detalhe Por UC'!C919,'Infos Clientes'!B:B,0))</f>
        <v>BT</v>
      </c>
      <c r="G919" s="56" t="str">
        <f>INDEX('Infos Clientes'!$J:$J,MATCH('Detalhe Por UC'!C919,'Infos Clientes'!B:B,0))</f>
        <v>trifasico</v>
      </c>
      <c r="H919" s="156" t="s">
        <v>138</v>
      </c>
      <c r="I919" s="58">
        <f>IFERROR(VLOOKUP(C919,'Infos Clientes'!B:E,4,),"")</f>
        <v>371</v>
      </c>
      <c r="J919" s="152">
        <v>0.2796792317717392</v>
      </c>
      <c r="K919" s="79">
        <f>INDEX('Resumo Operacional'!$A$1:$P$151,MATCH("Desconto percentual Ucs",'Resumo Operacional'!$B$1:$B$151,0),MATCH('Detalhe Por UC'!$R919,'Resumo Operacional'!$A$1:$P$1,0))</f>
        <v>0.26414553913427991</v>
      </c>
      <c r="M919" s="56"/>
      <c r="N919" s="56"/>
      <c r="O919" s="56"/>
      <c r="P919" s="56"/>
      <c r="Q919" s="61"/>
      <c r="R919" s="111">
        <v>45931</v>
      </c>
      <c r="S919" s="151">
        <v>3.2300000000000002E-2</v>
      </c>
      <c r="T919" s="113" t="str">
        <f>IF($H919="GIROSSOL II",AP919/INDEX('Resumo Operacional'!$A$1:$P$1103,17,MATCH('Detalhe Por UC'!$R919,'Resumo Operacional'!$A$1:$P$1,0)),
IF($H919="GIROSSOL II e III",AP919/INDEX('Resumo Operacional'!$A$1:$P$1103,17,MATCH('Detalhe Por UC'!$R919,'Resumo Operacional'!$A$1:$P$1,0)),
""))</f>
        <v/>
      </c>
      <c r="U919" s="113">
        <f>IF($H919="GIROSSOL III",AP919/INDEX('Resumo Operacional'!$A$1:$P$1103,53,MATCH('Detalhe Por UC'!$R919,'Resumo Operacional'!$A$1:$P$1,0)),
IF($H919="GIROSSOL II e III",AP919/INDEX('Resumo Operacional'!$A$1:$P$1103,53,MATCH('Detalhe Por UC'!$R919,'Resumo Operacional'!$A$1:$P$1,0)),
""))</f>
        <v>-2.0046484601975594E-2</v>
      </c>
      <c r="X919">
        <v>1.2188575298338091</v>
      </c>
      <c r="Z919" s="54">
        <v>1.0619929176825729</v>
      </c>
      <c r="AB919" s="18">
        <v>471</v>
      </c>
      <c r="AD919" s="143">
        <v>297</v>
      </c>
      <c r="AF919" s="18">
        <v>0</v>
      </c>
      <c r="AG919">
        <v>0</v>
      </c>
      <c r="AH919">
        <v>46.07</v>
      </c>
      <c r="AL919" s="43"/>
      <c r="AN919" s="71">
        <f t="shared" si="529"/>
        <v>-573</v>
      </c>
      <c r="AO919" s="71">
        <f t="shared" si="530"/>
        <v>0</v>
      </c>
      <c r="AP919" s="71">
        <f t="shared" si="531"/>
        <v>-276</v>
      </c>
      <c r="AQ919" s="72">
        <f>IF(OR($H919="GIROSSOL II",$H919="GIROSSOL II e III"),INDEX('Resumo Operacional'!$A$1:$P$1103,MATCH("Energia Injetada prevista total Fatura da Usina (TUSD)",'Resumo Operacional'!$B$1:$B$1103,0),MATCH('Detalhe Por UC'!$R919,'Resumo Operacional'!$A$1:$P$1,0))*$S919,INDEX('Resumo Operacional'!$A$1:$P$1103,53,MATCH('Detalhe Por UC'!$R919,'Resumo Operacional'!$A$1:$P$1,0))*$S919)</f>
        <v>444.70640000000003</v>
      </c>
      <c r="AR919" s="71">
        <f t="shared" si="532"/>
        <v>-720.70640000000003</v>
      </c>
      <c r="AS919" s="73">
        <f t="shared" si="533"/>
        <v>304.7399999999999</v>
      </c>
      <c r="AT919" s="74">
        <f t="shared" si="534"/>
        <v>304.7399999999999</v>
      </c>
      <c r="AU919" s="74">
        <f t="shared" si="535"/>
        <v>0.90512830553133661</v>
      </c>
      <c r="AV919" s="74">
        <f t="shared" si="536"/>
        <v>227.19773963247067</v>
      </c>
      <c r="AW919" s="74">
        <f t="shared" si="537"/>
        <v>0</v>
      </c>
      <c r="AX919" s="74">
        <f t="shared" si="538"/>
        <v>315.41189655172417</v>
      </c>
      <c r="AY919" s="74">
        <f t="shared" si="539"/>
        <v>227.2</v>
      </c>
      <c r="AZ919" s="129">
        <v>227.2</v>
      </c>
      <c r="BA919" s="117">
        <v>227.2</v>
      </c>
      <c r="BB919" s="49">
        <v>227.2</v>
      </c>
      <c r="BC919" s="73" t="str">
        <f t="shared" si="540"/>
        <v/>
      </c>
      <c r="BD919" s="73">
        <f t="shared" si="541"/>
        <v>620.15189655172412</v>
      </c>
      <c r="BE919" s="73">
        <f t="shared" si="542"/>
        <v>531.93773963247054</v>
      </c>
      <c r="BF919" s="77">
        <f t="shared" si="543"/>
        <v>88.21</v>
      </c>
      <c r="BG919" s="77">
        <f t="shared" si="544"/>
        <v>26.462999999999997</v>
      </c>
      <c r="BH919" s="77">
        <f t="shared" si="545"/>
        <v>315.41189655172417</v>
      </c>
      <c r="BI919" s="78">
        <f t="shared" si="546"/>
        <v>0.28000000000000003</v>
      </c>
      <c r="BJ919" s="79">
        <f t="shared" si="547"/>
        <v>0.14223934569978822</v>
      </c>
      <c r="BK919" s="80">
        <f t="shared" si="548"/>
        <v>531.93999999999983</v>
      </c>
      <c r="BL919" s="80">
        <f t="shared" si="549"/>
        <v>88.211896551724294</v>
      </c>
      <c r="BM919" s="79">
        <f t="shared" si="550"/>
        <v>0.142242403904939</v>
      </c>
      <c r="BN919" s="81">
        <f t="shared" si="551"/>
        <v>0.76498316498316499</v>
      </c>
      <c r="BO919" s="82">
        <f t="shared" si="552"/>
        <v>227.2</v>
      </c>
      <c r="BP919" s="81">
        <f t="shared" si="553"/>
        <v>0.76498316498316499</v>
      </c>
      <c r="BQ919" s="81">
        <f t="shared" si="554"/>
        <v>0.92184777713440125</v>
      </c>
      <c r="BR919" s="81">
        <f t="shared" si="555"/>
        <v>1.2188575298338091</v>
      </c>
      <c r="BS919" s="82">
        <f t="shared" si="556"/>
        <v>297</v>
      </c>
      <c r="BT919" s="82">
        <f t="shared" si="557"/>
        <v>362.00068636064134</v>
      </c>
      <c r="BU919" s="82">
        <f t="shared" si="558"/>
        <v>315.41189655172417</v>
      </c>
      <c r="BW919" s="82">
        <f>IFERROR(INDEX('Infos Clientes'!$T:$T,MATCH('Detalhe Por UC'!$C919,'Infos Clientes'!B:B,0)),"")</f>
        <v>433.54545454545456</v>
      </c>
      <c r="BX919" s="83">
        <f t="shared" si="559"/>
        <v>0</v>
      </c>
      <c r="BY919" s="84">
        <f t="shared" si="560"/>
        <v>0.24367881022149085</v>
      </c>
      <c r="BZ919" s="85">
        <f>IF(_xlfn.MINIFS('Detalhe Por UC'!R:R,'Detalhe Por UC'!C:C,C919,'Detalhe Por UC'!AD:AD,"&gt;"&amp;0)=0,"",_xlfn.MINIFS('Detalhe Por UC'!R:R,'Detalhe Por UC'!C:C,C919,'Detalhe Por UC'!AD:AD,"&gt;"&amp;0))</f>
        <v>45658</v>
      </c>
      <c r="CA919" s="114">
        <f ca="1">IF(OR(S919&gt;0,AD919&gt;0),IFERROR(
SUMIFS(INDIRECT("'Infos Clientes'!$W"&amp;INDEX('Infos Clientes'!$C:$C,MATCH(C919,'Infos Clientes'!$H:$H,0))&amp;":$CZ"&amp;INDEX('Infos Clientes'!$C:$C,MATCH(C919,'Infos Clientes'!$H:$H,0))),'Infos Clientes'!$W$2:$CZ$2,"&gt;"&amp;$R919-365,'Infos Clientes'!$W$2:$CZ$2,"&lt;="&amp;$R919)/
COUNTIFS(INDIRECT("'Infos Clientes'!$W"&amp;INDEX('Infos Clientes'!$C:$C,MATCH(C919,'Infos Clientes'!$H:$H,0))&amp;":$CZ"&amp;INDEX('Infos Clientes'!$C:$C,MATCH(C919,'Infos Clientes'!$H:$H,0))),"&gt;="&amp;0,'Infos Clientes'!$W$2:$CZ$2,"&gt;"&amp;$R919-365,'Infos Clientes'!$W$2:$CZ$2,"&lt;="&amp;$R919),""),"")</f>
        <v>449.16666666666669</v>
      </c>
      <c r="CB919" s="87">
        <f>VLOOKUP(C919,'Infos Clientes'!B:L,11,0)</f>
        <v>0</v>
      </c>
      <c r="CC919" s="88" t="str">
        <f t="shared" si="561"/>
        <v>A Unidade Consumidora 10/504844-2 economizou R$88,21 na fatura referente à out/2025  consumindo 297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19" s="115">
        <f t="shared" si="562"/>
        <v>-304.7399999999999</v>
      </c>
    </row>
    <row r="920" spans="1:84" ht="16.2" hidden="1" customHeight="1" x14ac:dyDescent="0.3">
      <c r="A920" s="105" t="str">
        <f>INDEX('Infos Clientes'!$D:$D,MATCH('Detalhe Por UC'!C920,'Infos Clientes'!B:B,0))</f>
        <v>IGREJA DO EVANGELHO QUADRANGULAR</v>
      </c>
      <c r="B920" s="106">
        <f>INDEX('Infos Clientes'!$F:$F,MATCH('Detalhe Por UC'!C920,'Infos Clientes'!B:B,0))</f>
        <v>0</v>
      </c>
      <c r="C920" s="31" t="s">
        <v>252</v>
      </c>
      <c r="D920" s="31" t="s">
        <v>351</v>
      </c>
      <c r="E920" s="31" t="s">
        <v>352</v>
      </c>
      <c r="F920" s="56" t="str">
        <f>INDEX('Infos Clientes'!$I:$I,MATCH('Detalhe Por UC'!C920,'Infos Clientes'!B:B,0))</f>
        <v>BT</v>
      </c>
      <c r="G920" s="56" t="str">
        <f>INDEX('Infos Clientes'!$J:$J,MATCH('Detalhe Por UC'!C920,'Infos Clientes'!B:B,0))</f>
        <v>bifasico</v>
      </c>
      <c r="H920" s="156" t="s">
        <v>138</v>
      </c>
      <c r="I920" s="58">
        <f>IFERROR(VLOOKUP(C920,'Infos Clientes'!B:E,4,),"")</f>
        <v>0</v>
      </c>
      <c r="J920" s="152">
        <v>0.2796792317717392</v>
      </c>
      <c r="K920" s="79">
        <f>INDEX('Resumo Operacional'!$A$1:$P$151,MATCH("Desconto percentual Ucs",'Resumo Operacional'!$B$1:$B$151,0),MATCH('Detalhe Por UC'!$R920,'Resumo Operacional'!$A$1:$P$1,0))</f>
        <v>0.26414553913427991</v>
      </c>
      <c r="M920" s="56"/>
      <c r="N920" s="56"/>
      <c r="O920" s="56"/>
      <c r="P920" s="56"/>
      <c r="Q920" s="61"/>
      <c r="R920" s="111">
        <v>45931</v>
      </c>
      <c r="S920" s="151">
        <v>3.15E-2</v>
      </c>
      <c r="T920" s="113" t="str">
        <f>IF($H920="GIROSSOL II",AP920/INDEX('Resumo Operacional'!$A$1:$P$1103,17,MATCH('Detalhe Por UC'!$R920,'Resumo Operacional'!$A$1:$P$1,0)),
IF($H920="GIROSSOL II e III",AP920/INDEX('Resumo Operacional'!$A$1:$P$1103,17,MATCH('Detalhe Por UC'!$R920,'Resumo Operacional'!$A$1:$P$1,0)),
""))</f>
        <v/>
      </c>
      <c r="U920" s="113">
        <f>IF($H920="GIROSSOL III",AP920/INDEX('Resumo Operacional'!$A$1:$P$1103,53,MATCH('Detalhe Por UC'!$R920,'Resumo Operacional'!$A$1:$P$1,0)),
IF($H920="GIROSSOL II e III",AP920/INDEX('Resumo Operacional'!$A$1:$P$1103,53,MATCH('Detalhe Por UC'!$R920,'Resumo Operacional'!$A$1:$P$1,0)),
""))</f>
        <v>2.9343404997094712E-2</v>
      </c>
      <c r="X920">
        <v>1.1381198910081745</v>
      </c>
      <c r="Z920" s="54">
        <v>0.98122615803814717</v>
      </c>
      <c r="AB920" s="18">
        <v>367</v>
      </c>
      <c r="AD920" s="143">
        <v>367</v>
      </c>
      <c r="AF920" s="18">
        <v>37</v>
      </c>
      <c r="AH920">
        <v>0</v>
      </c>
      <c r="AL920" s="43"/>
      <c r="AN920" s="71">
        <f t="shared" si="529"/>
        <v>37</v>
      </c>
      <c r="AO920" s="71">
        <f t="shared" si="530"/>
        <v>0</v>
      </c>
      <c r="AP920" s="71">
        <f t="shared" si="531"/>
        <v>404</v>
      </c>
      <c r="AQ920" s="72">
        <f>IF(OR($H920="GIROSSOL II",$H920="GIROSSOL II e III"),INDEX('Resumo Operacional'!$A$1:$P$1103,MATCH("Energia Injetada prevista total Fatura da Usina (TUSD)",'Resumo Operacional'!$B$1:$B$1103,0),MATCH('Detalhe Por UC'!$R920,'Resumo Operacional'!$A$1:$P$1,0))*$S920,INDEX('Resumo Operacional'!$A$1:$P$1103,53,MATCH('Detalhe Por UC'!$R920,'Resumo Operacional'!$A$1:$P$1,0))*$S920)</f>
        <v>433.69200000000001</v>
      </c>
      <c r="AR920" s="71">
        <f t="shared" si="532"/>
        <v>-29.692000000000007</v>
      </c>
      <c r="AS920" s="73">
        <f t="shared" si="533"/>
        <v>57.579999999999984</v>
      </c>
      <c r="AT920" s="74">
        <f t="shared" si="534"/>
        <v>57.579999999999984</v>
      </c>
      <c r="AU920" s="74">
        <f t="shared" si="535"/>
        <v>0.82433242506811988</v>
      </c>
      <c r="AV920" s="74">
        <f t="shared" si="536"/>
        <v>259.394711846679</v>
      </c>
      <c r="AW920" s="74">
        <f t="shared" si="537"/>
        <v>0</v>
      </c>
      <c r="AX920" s="74">
        <f t="shared" si="538"/>
        <v>360.11</v>
      </c>
      <c r="AY920" s="74">
        <f t="shared" si="539"/>
        <v>259.39</v>
      </c>
      <c r="AZ920" s="129">
        <v>259.39</v>
      </c>
      <c r="BA920" s="117">
        <v>259.39</v>
      </c>
      <c r="BB920" s="49">
        <v>259.39</v>
      </c>
      <c r="BC920" s="73" t="str">
        <f t="shared" si="540"/>
        <v/>
      </c>
      <c r="BD920" s="73">
        <f t="shared" si="541"/>
        <v>417.69</v>
      </c>
      <c r="BE920" s="73">
        <f t="shared" si="542"/>
        <v>316.97471184667899</v>
      </c>
      <c r="BF920" s="77">
        <f t="shared" si="543"/>
        <v>100.72</v>
      </c>
      <c r="BG920" s="77">
        <f t="shared" si="544"/>
        <v>30.215999999999998</v>
      </c>
      <c r="BH920" s="77">
        <f t="shared" si="545"/>
        <v>360.11</v>
      </c>
      <c r="BI920" s="78">
        <f t="shared" si="546"/>
        <v>0.28000000000000003</v>
      </c>
      <c r="BJ920" s="79">
        <f t="shared" si="547"/>
        <v>0.24113577054753524</v>
      </c>
      <c r="BK920" s="80">
        <f t="shared" si="548"/>
        <v>316.96999999999997</v>
      </c>
      <c r="BL920" s="80">
        <f t="shared" si="549"/>
        <v>100.72000000000003</v>
      </c>
      <c r="BM920" s="79">
        <f t="shared" si="550"/>
        <v>0.24113577054753532</v>
      </c>
      <c r="BN920" s="81">
        <f t="shared" si="551"/>
        <v>0.70678474114441414</v>
      </c>
      <c r="BO920" s="82">
        <f t="shared" si="552"/>
        <v>259.39</v>
      </c>
      <c r="BP920" s="81">
        <f t="shared" si="553"/>
        <v>0.70678474114441414</v>
      </c>
      <c r="BQ920" s="81">
        <f t="shared" si="554"/>
        <v>0.86367847411444143</v>
      </c>
      <c r="BR920" s="81">
        <f t="shared" si="555"/>
        <v>1.1381198910081745</v>
      </c>
      <c r="BS920" s="82">
        <f t="shared" si="556"/>
        <v>367</v>
      </c>
      <c r="BT920" s="82">
        <f t="shared" si="557"/>
        <v>417.69</v>
      </c>
      <c r="BU920" s="82">
        <f t="shared" si="558"/>
        <v>360.11</v>
      </c>
      <c r="BW920" s="82">
        <f>IFERROR(INDEX('Infos Clientes'!$T:$T,MATCH('Detalhe Por UC'!$C920,'Infos Clientes'!B:B,0)),"")</f>
        <v>0</v>
      </c>
      <c r="BX920" s="83">
        <f t="shared" si="559"/>
        <v>0</v>
      </c>
      <c r="BY920" s="84">
        <f t="shared" si="560"/>
        <v>0.24113577054753529</v>
      </c>
      <c r="BZ920" s="85">
        <f>IF(_xlfn.MINIFS('Detalhe Por UC'!R:R,'Detalhe Por UC'!C:C,C920,'Detalhe Por UC'!AD:AD,"&gt;"&amp;0)=0,"",_xlfn.MINIFS('Detalhe Por UC'!R:R,'Detalhe Por UC'!C:C,C920,'Detalhe Por UC'!AD:AD,"&gt;"&amp;0))</f>
        <v>45839</v>
      </c>
      <c r="CA920" s="114">
        <f ca="1">IF(OR(S920&gt;0,AD920&gt;0),IFERROR(
SUMIFS(INDIRECT("'Infos Clientes'!$W"&amp;INDEX('Infos Clientes'!$C:$C,MATCH(C920,'Infos Clientes'!$H:$H,0))&amp;":$CZ"&amp;INDEX('Infos Clientes'!$C:$C,MATCH(C920,'Infos Clientes'!$H:$H,0))),'Infos Clientes'!$W$2:$CZ$2,"&gt;"&amp;$R920-365,'Infos Clientes'!$W$2:$CZ$2,"&lt;="&amp;$R920)/
COUNTIFS(INDIRECT("'Infos Clientes'!$W"&amp;INDEX('Infos Clientes'!$C:$C,MATCH(C920,'Infos Clientes'!$H:$H,0))&amp;":$CZ"&amp;INDEX('Infos Clientes'!$C:$C,MATCH(C920,'Infos Clientes'!$H:$H,0))),"&gt;="&amp;0,'Infos Clientes'!$W$2:$CZ$2,"&gt;"&amp;$R920-365,'Infos Clientes'!$W$2:$CZ$2,"&lt;="&amp;$R920),""),"")</f>
        <v>296.5</v>
      </c>
      <c r="CB920" s="87">
        <f>VLOOKUP(C920,'Infos Clientes'!B:L,11,0)</f>
        <v>0</v>
      </c>
      <c r="CC920" s="88" t="str">
        <f t="shared" si="561"/>
        <v>A Unidade Consumidora 10/3556072-1 economizou R$100,72 na fatura referente à out/2025  consumindo 367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0" s="115">
        <f t="shared" si="562"/>
        <v>-57.579999999999984</v>
      </c>
    </row>
    <row r="921" spans="1:84" ht="16.2" hidden="1" customHeight="1" x14ac:dyDescent="0.3">
      <c r="A921" s="105" t="str">
        <f>INDEX('Infos Clientes'!$D:$D,MATCH('Detalhe Por UC'!C921,'Infos Clientes'!B:B,0))</f>
        <v>IGREJA DO EVANGELHO QUADRANGULAR</v>
      </c>
      <c r="B921" s="106" t="str">
        <f>INDEX('Infos Clientes'!$F:$F,MATCH('Detalhe Por UC'!C921,'Infos Clientes'!B:B,0))</f>
        <v>62.955.505/0161-60</v>
      </c>
      <c r="C921" s="31" t="s">
        <v>163</v>
      </c>
      <c r="D921" s="31" t="s">
        <v>351</v>
      </c>
      <c r="E921" s="31" t="s">
        <v>352</v>
      </c>
      <c r="F921" s="56" t="str">
        <f>INDEX('Infos Clientes'!$I:$I,MATCH('Detalhe Por UC'!C921,'Infos Clientes'!B:B,0))</f>
        <v>BT</v>
      </c>
      <c r="G921" s="56" t="str">
        <f>INDEX('Infos Clientes'!$J:$J,MATCH('Detalhe Por UC'!C921,'Infos Clientes'!B:B,0))</f>
        <v>trifasico</v>
      </c>
      <c r="H921" s="156" t="s">
        <v>138</v>
      </c>
      <c r="I921" s="58">
        <f>IFERROR(VLOOKUP(C921,'Infos Clientes'!B:E,4,),"")</f>
        <v>302</v>
      </c>
      <c r="J921" s="152">
        <v>0.2796792317717392</v>
      </c>
      <c r="K921" s="79">
        <f>INDEX('Resumo Operacional'!$A$1:$P$151,MATCH("Desconto percentual Ucs",'Resumo Operacional'!$B$1:$B$151,0),MATCH('Detalhe Por UC'!$R921,'Resumo Operacional'!$A$1:$P$1,0))</f>
        <v>0.26414553913427991</v>
      </c>
      <c r="M921" s="56"/>
      <c r="N921" s="56"/>
      <c r="O921" s="56"/>
      <c r="P921" s="56"/>
      <c r="Q921" s="61"/>
      <c r="R921" s="111">
        <v>45931</v>
      </c>
      <c r="S921" s="151">
        <v>2.92E-2</v>
      </c>
      <c r="T921" s="113" t="str">
        <f>IF($H921="GIROSSOL II",AP921/INDEX('Resumo Operacional'!$A$1:$P$1103,17,MATCH('Detalhe Por UC'!$R921,'Resumo Operacional'!$A$1:$P$1,0)),
IF($H921="GIROSSOL II e III",AP921/INDEX('Resumo Operacional'!$A$1:$P$1103,17,MATCH('Detalhe Por UC'!$R921,'Resumo Operacional'!$A$1:$P$1,0)),
""))</f>
        <v/>
      </c>
      <c r="U921" s="113">
        <f>IF($H921="GIROSSOL III",AP921/INDEX('Resumo Operacional'!$A$1:$P$1103,53,MATCH('Detalhe Por UC'!$R921,'Resumo Operacional'!$A$1:$P$1,0)),
IF($H921="GIROSSOL II e III",AP921/INDEX('Resumo Operacional'!$A$1:$P$1103,53,MATCH('Detalhe Por UC'!$R921,'Resumo Operacional'!$A$1:$P$1,0)),
""))</f>
        <v>5.8033120278907613E-2</v>
      </c>
      <c r="X921">
        <v>1.1381214203894616</v>
      </c>
      <c r="Z921" s="18">
        <v>0.98121420389461611</v>
      </c>
      <c r="AB921" s="18">
        <v>873</v>
      </c>
      <c r="AD921" s="143">
        <v>873</v>
      </c>
      <c r="AF921" s="18">
        <v>124</v>
      </c>
      <c r="AH921">
        <v>127.30000000000001</v>
      </c>
      <c r="AL921" s="43"/>
      <c r="AN921" s="71">
        <f t="shared" si="529"/>
        <v>-74</v>
      </c>
      <c r="AO921" s="71">
        <f t="shared" si="530"/>
        <v>0</v>
      </c>
      <c r="AP921" s="71">
        <f t="shared" si="531"/>
        <v>799</v>
      </c>
      <c r="AQ921" s="72">
        <f>IF(OR($H921="GIROSSOL II",$H921="GIROSSOL II e III"),INDEX('Resumo Operacional'!$A$1:$P$1103,MATCH("Energia Injetada prevista total Fatura da Usina (TUSD)",'Resumo Operacional'!$B$1:$B$1103,0),MATCH('Detalhe Por UC'!$R921,'Resumo Operacional'!$A$1:$P$1,0))*$S921,INDEX('Resumo Operacional'!$A$1:$P$1103,53,MATCH('Detalhe Por UC'!$R921,'Resumo Operacional'!$A$1:$P$1,0))*$S921)</f>
        <v>402.0256</v>
      </c>
      <c r="AR921" s="71">
        <f t="shared" si="532"/>
        <v>396.9744</v>
      </c>
      <c r="AS921" s="73">
        <f t="shared" si="533"/>
        <v>264.28000000000014</v>
      </c>
      <c r="AT921" s="74">
        <f t="shared" si="534"/>
        <v>264.28000000000014</v>
      </c>
      <c r="AU921" s="74">
        <f t="shared" si="535"/>
        <v>0.8243069873997706</v>
      </c>
      <c r="AV921" s="74">
        <f t="shared" si="536"/>
        <v>617.02677006432816</v>
      </c>
      <c r="AW921" s="74">
        <f t="shared" si="537"/>
        <v>0</v>
      </c>
      <c r="AX921" s="74">
        <f t="shared" si="538"/>
        <v>856.59999999999991</v>
      </c>
      <c r="AY921" s="74">
        <f t="shared" si="539"/>
        <v>617.03</v>
      </c>
      <c r="AZ921" s="129">
        <v>424.53</v>
      </c>
      <c r="BA921" s="117">
        <v>424.53</v>
      </c>
      <c r="BB921" s="49">
        <v>424.53</v>
      </c>
      <c r="BC921" s="73" t="str">
        <f t="shared" si="540"/>
        <v/>
      </c>
      <c r="BD921" s="73">
        <f t="shared" si="541"/>
        <v>1120.8800000000001</v>
      </c>
      <c r="BE921" s="73">
        <f t="shared" si="542"/>
        <v>881.30677006432825</v>
      </c>
      <c r="BF921" s="77">
        <f t="shared" si="543"/>
        <v>239.57</v>
      </c>
      <c r="BG921" s="77">
        <f t="shared" si="544"/>
        <v>71.870999999999995</v>
      </c>
      <c r="BH921" s="77">
        <f t="shared" si="545"/>
        <v>856.59999999999991</v>
      </c>
      <c r="BI921" s="78">
        <f t="shared" si="546"/>
        <v>0.28000000000000003</v>
      </c>
      <c r="BJ921" s="79">
        <f t="shared" si="547"/>
        <v>0.21373385197344941</v>
      </c>
      <c r="BK921" s="80">
        <f t="shared" si="548"/>
        <v>881.31000000000017</v>
      </c>
      <c r="BL921" s="80">
        <f t="shared" si="549"/>
        <v>239.56999999999994</v>
      </c>
      <c r="BM921" s="79">
        <f t="shared" si="550"/>
        <v>0.21373385197344935</v>
      </c>
      <c r="BN921" s="81">
        <f t="shared" si="551"/>
        <v>0.70679266895761739</v>
      </c>
      <c r="BO921" s="82">
        <f t="shared" si="552"/>
        <v>617.03</v>
      </c>
      <c r="BP921" s="81">
        <f t="shared" si="553"/>
        <v>0.70679266895761739</v>
      </c>
      <c r="BQ921" s="81">
        <f t="shared" si="554"/>
        <v>0.8636998854524629</v>
      </c>
      <c r="BR921" s="81">
        <f t="shared" si="555"/>
        <v>1.1381214203894616</v>
      </c>
      <c r="BS921" s="82">
        <f t="shared" si="556"/>
        <v>873</v>
      </c>
      <c r="BT921" s="82">
        <f t="shared" si="557"/>
        <v>993.58</v>
      </c>
      <c r="BU921" s="82">
        <f t="shared" si="558"/>
        <v>856.59999999999991</v>
      </c>
      <c r="BW921" s="82">
        <f>IFERROR(INDEX('Infos Clientes'!$T:$T,MATCH('Detalhe Por UC'!$C921,'Infos Clientes'!B:B,0)),"")</f>
        <v>393</v>
      </c>
      <c r="BX921" s="83">
        <f t="shared" si="559"/>
        <v>0</v>
      </c>
      <c r="BY921" s="84">
        <f t="shared" si="560"/>
        <v>0.24111797741500421</v>
      </c>
      <c r="BZ921" s="85">
        <f>IF(_xlfn.MINIFS('Detalhe Por UC'!R:R,'Detalhe Por UC'!C:C,C921,'Detalhe Por UC'!AD:AD,"&gt;"&amp;0)=0,"",_xlfn.MINIFS('Detalhe Por UC'!R:R,'Detalhe Por UC'!C:C,C921,'Detalhe Por UC'!AD:AD,"&gt;"&amp;0))</f>
        <v>45658</v>
      </c>
      <c r="CA921" s="114">
        <f ca="1">IF(OR(S921&gt;0,AD921&gt;0),IFERROR(
SUMIFS(INDIRECT("'Infos Clientes'!$W"&amp;INDEX('Infos Clientes'!$C:$C,MATCH(C921,'Infos Clientes'!$H:$H,0))&amp;":$CZ"&amp;INDEX('Infos Clientes'!$C:$C,MATCH(C921,'Infos Clientes'!$H:$H,0))),'Infos Clientes'!$W$2:$CZ$2,"&gt;"&amp;$R921-365,'Infos Clientes'!$W$2:$CZ$2,"&lt;="&amp;$R921)/
COUNTIFS(INDIRECT("'Infos Clientes'!$W"&amp;INDEX('Infos Clientes'!$C:$C,MATCH(C921,'Infos Clientes'!$H:$H,0))&amp;":$CZ"&amp;INDEX('Infos Clientes'!$C:$C,MATCH(C921,'Infos Clientes'!$H:$H,0))),"&gt;="&amp;0,'Infos Clientes'!$W$2:$CZ$2,"&gt;"&amp;$R921-365,'Infos Clientes'!$W$2:$CZ$2,"&lt;="&amp;$R921),""),"")</f>
        <v>240.83333333333334</v>
      </c>
      <c r="CB921" s="87">
        <f>VLOOKUP(C921,'Infos Clientes'!B:L,11,0)</f>
        <v>0</v>
      </c>
      <c r="CC921" s="88" t="str">
        <f t="shared" si="561"/>
        <v>A Unidade Consumidora 10/1674177-9 economizou R$239,57 na fatura referente à out/2025  consumindo 873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1" s="115">
        <f t="shared" si="562"/>
        <v>-264.28000000000014</v>
      </c>
    </row>
    <row r="922" spans="1:84" ht="16.2" hidden="1" customHeight="1" x14ac:dyDescent="0.3">
      <c r="A922" s="105" t="str">
        <f>INDEX('Infos Clientes'!$D:$D,MATCH('Detalhe Por UC'!C922,'Infos Clientes'!B:B,0))</f>
        <v>IGREJA DO EVANGELHO QUADRANGULAR</v>
      </c>
      <c r="B922" s="106" t="str">
        <f>INDEX('Infos Clientes'!$F:$F,MATCH('Detalhe Por UC'!C922,'Infos Clientes'!B:B,0))</f>
        <v>62.955.505/1355-00</v>
      </c>
      <c r="C922" s="31" t="s">
        <v>219</v>
      </c>
      <c r="D922" s="31" t="s">
        <v>351</v>
      </c>
      <c r="E922" s="31" t="s">
        <v>352</v>
      </c>
      <c r="F922" s="56" t="str">
        <f>INDEX('Infos Clientes'!$I:$I,MATCH('Detalhe Por UC'!C922,'Infos Clientes'!B:B,0))</f>
        <v>BT</v>
      </c>
      <c r="G922" s="56" t="str">
        <f>INDEX('Infos Clientes'!$J:$J,MATCH('Detalhe Por UC'!C922,'Infos Clientes'!B:B,0))</f>
        <v>trifasico</v>
      </c>
      <c r="H922" s="156" t="s">
        <v>138</v>
      </c>
      <c r="I922" s="58">
        <f>IFERROR(VLOOKUP(C922,'Infos Clientes'!B:E,4,),"")</f>
        <v>319</v>
      </c>
      <c r="J922" s="152">
        <v>0.2796792317717392</v>
      </c>
      <c r="K922" s="79">
        <f>INDEX('Resumo Operacional'!$A$1:$P$151,MATCH("Desconto percentual Ucs",'Resumo Operacional'!$B$1:$B$151,0),MATCH('Detalhe Por UC'!$R922,'Resumo Operacional'!$A$1:$P$1,0))</f>
        <v>0.26414553913427991</v>
      </c>
      <c r="M922" s="56"/>
      <c r="N922" s="56"/>
      <c r="O922" s="56"/>
      <c r="P922" s="56"/>
      <c r="Q922" s="61"/>
      <c r="R922" s="111">
        <v>45931</v>
      </c>
      <c r="S922" s="151">
        <v>2.8500000000000001E-2</v>
      </c>
      <c r="T922" s="113" t="str">
        <f>IF($H922="GIROSSOL II",AP922/INDEX('Resumo Operacional'!$A$1:$P$1103,17,MATCH('Detalhe Por UC'!$R922,'Resumo Operacional'!$A$1:$P$1,0)),
IF($H922="GIROSSOL II e III",AP922/INDEX('Resumo Operacional'!$A$1:$P$1103,17,MATCH('Detalhe Por UC'!$R922,'Resumo Operacional'!$A$1:$P$1,0)),
""))</f>
        <v/>
      </c>
      <c r="U922" s="113">
        <f>IF($H922="GIROSSOL III",AP922/INDEX('Resumo Operacional'!$A$1:$P$1103,53,MATCH('Detalhe Por UC'!$R922,'Resumo Operacional'!$A$1:$P$1,0)),
IF($H922="GIROSSOL II e III",AP922/INDEX('Resumo Operacional'!$A$1:$P$1103,53,MATCH('Detalhe Por UC'!$R922,'Resumo Operacional'!$A$1:$P$1,0)),
""))</f>
        <v>5.7960488088320744E-2</v>
      </c>
      <c r="X922">
        <v>1.2245973893880318</v>
      </c>
      <c r="Z922" s="18">
        <v>1.0676868044515104</v>
      </c>
      <c r="AB922" s="18">
        <v>347</v>
      </c>
      <c r="AD922" s="143">
        <v>296</v>
      </c>
      <c r="AF922" s="18">
        <v>551</v>
      </c>
      <c r="AH922">
        <v>66.3</v>
      </c>
      <c r="AL922" s="43"/>
      <c r="AN922" s="71">
        <f t="shared" si="529"/>
        <v>502</v>
      </c>
      <c r="AO922" s="71">
        <f t="shared" si="530"/>
        <v>0</v>
      </c>
      <c r="AP922" s="71">
        <f t="shared" si="531"/>
        <v>798</v>
      </c>
      <c r="AQ922" s="72">
        <f>IF(OR($H922="GIROSSOL II",$H922="GIROSSOL II e III"),INDEX('Resumo Operacional'!$A$1:$P$1103,MATCH("Energia Injetada prevista total Fatura da Usina (TUSD)",'Resumo Operacional'!$B$1:$B$1103,0),MATCH('Detalhe Por UC'!$R922,'Resumo Operacional'!$A$1:$P$1,0))*$S922,INDEX('Resumo Operacional'!$A$1:$P$1103,53,MATCH('Detalhe Por UC'!$R922,'Resumo Operacional'!$A$1:$P$1,0))*$S922)</f>
        <v>392.38800000000003</v>
      </c>
      <c r="AR922" s="71">
        <f t="shared" si="532"/>
        <v>405.61199999999997</v>
      </c>
      <c r="AS922" s="73">
        <f t="shared" si="533"/>
        <v>175.19999999999993</v>
      </c>
      <c r="AT922" s="74">
        <f t="shared" si="534"/>
        <v>175.19999999999993</v>
      </c>
      <c r="AU922" s="74">
        <f t="shared" si="535"/>
        <v>0.9107762195149891</v>
      </c>
      <c r="AV922" s="74">
        <f t="shared" si="536"/>
        <v>227.6467858460679</v>
      </c>
      <c r="AW922" s="74">
        <f t="shared" si="537"/>
        <v>0</v>
      </c>
      <c r="AX922" s="74">
        <f t="shared" si="538"/>
        <v>316.03529411764708</v>
      </c>
      <c r="AY922" s="74">
        <f t="shared" si="539"/>
        <v>227.65</v>
      </c>
      <c r="AZ922" s="129">
        <v>227.72</v>
      </c>
      <c r="BA922" s="117">
        <v>227.72</v>
      </c>
      <c r="BB922" s="49">
        <v>227.72</v>
      </c>
      <c r="BC922" s="73" t="str">
        <f t="shared" si="540"/>
        <v/>
      </c>
      <c r="BD922" s="73">
        <f t="shared" si="541"/>
        <v>491.23529411764702</v>
      </c>
      <c r="BE922" s="73">
        <f t="shared" si="542"/>
        <v>402.84678584606786</v>
      </c>
      <c r="BF922" s="77">
        <f t="shared" si="543"/>
        <v>88.39</v>
      </c>
      <c r="BG922" s="77">
        <f t="shared" si="544"/>
        <v>26.516999999999999</v>
      </c>
      <c r="BH922" s="77">
        <f t="shared" si="545"/>
        <v>316.03529411764708</v>
      </c>
      <c r="BI922" s="78">
        <f t="shared" si="546"/>
        <v>0.28000000000000003</v>
      </c>
      <c r="BJ922" s="79">
        <f t="shared" si="547"/>
        <v>0.17993413962399715</v>
      </c>
      <c r="BK922" s="80">
        <f t="shared" si="548"/>
        <v>402.84999999999991</v>
      </c>
      <c r="BL922" s="80">
        <f t="shared" si="549"/>
        <v>88.385294117647106</v>
      </c>
      <c r="BM922" s="79">
        <f t="shared" si="550"/>
        <v>0.17992455993294226</v>
      </c>
      <c r="BN922" s="81">
        <f t="shared" si="551"/>
        <v>0.76908783783783785</v>
      </c>
      <c r="BO922" s="82">
        <f t="shared" si="552"/>
        <v>227.65</v>
      </c>
      <c r="BP922" s="81">
        <f t="shared" si="553"/>
        <v>0.76908783783783785</v>
      </c>
      <c r="BQ922" s="81">
        <f t="shared" si="554"/>
        <v>0.92599842277435918</v>
      </c>
      <c r="BR922" s="81">
        <f t="shared" si="555"/>
        <v>1.2245973893880318</v>
      </c>
      <c r="BS922" s="82">
        <f t="shared" si="556"/>
        <v>296</v>
      </c>
      <c r="BT922" s="82">
        <f t="shared" si="557"/>
        <v>362.4808272588574</v>
      </c>
      <c r="BU922" s="82">
        <f t="shared" si="558"/>
        <v>316.03529411764708</v>
      </c>
      <c r="BW922" s="82">
        <f>IFERROR(INDEX('Infos Clientes'!$T:$T,MATCH('Detalhe Por UC'!$C922,'Infos Clientes'!B:B,0)),"")</f>
        <v>385.63636363636363</v>
      </c>
      <c r="BX922" s="83">
        <f t="shared" si="559"/>
        <v>0</v>
      </c>
      <c r="BY922" s="84">
        <f t="shared" si="560"/>
        <v>0.24383439749360522</v>
      </c>
      <c r="BZ922" s="85">
        <f>IF(_xlfn.MINIFS('Detalhe Por UC'!R:R,'Detalhe Por UC'!C:C,C922,'Detalhe Por UC'!AD:AD,"&gt;"&amp;0)=0,"",_xlfn.MINIFS('Detalhe Por UC'!R:R,'Detalhe Por UC'!C:C,C922,'Detalhe Por UC'!AD:AD,"&gt;"&amp;0))</f>
        <v>45658</v>
      </c>
      <c r="CA922" s="114">
        <f ca="1">IF(OR(S922&gt;0,AD922&gt;0),IFERROR(
SUMIFS(INDIRECT("'Infos Clientes'!$W"&amp;INDEX('Infos Clientes'!$C:$C,MATCH(C922,'Infos Clientes'!$H:$H,0))&amp;":$CZ"&amp;INDEX('Infos Clientes'!$C:$C,MATCH(C922,'Infos Clientes'!$H:$H,0))),'Infos Clientes'!$W$2:$CZ$2,"&gt;"&amp;$R922-365,'Infos Clientes'!$W$2:$CZ$2,"&lt;="&amp;$R922)/
COUNTIFS(INDIRECT("'Infos Clientes'!$W"&amp;INDEX('Infos Clientes'!$C:$C,MATCH(C922,'Infos Clientes'!$H:$H,0))&amp;":$CZ"&amp;INDEX('Infos Clientes'!$C:$C,MATCH(C922,'Infos Clientes'!$H:$H,0))),"&gt;="&amp;0,'Infos Clientes'!$W$2:$CZ$2,"&gt;"&amp;$R922-365,'Infos Clientes'!$W$2:$CZ$2,"&lt;="&amp;$R922),""),"")</f>
        <v>374.33333333333331</v>
      </c>
      <c r="CB922" s="87">
        <f>VLOOKUP(C922,'Infos Clientes'!B:L,11,0)</f>
        <v>0</v>
      </c>
      <c r="CC922" s="88" t="str">
        <f t="shared" si="561"/>
        <v>A Unidade Consumidora 10/63920-3 economizou R$88,39 na fatura referente à out/2025  consumindo 296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2" s="115">
        <f t="shared" si="562"/>
        <v>-175.19999999999993</v>
      </c>
    </row>
    <row r="923" spans="1:84" ht="16.2" hidden="1" customHeight="1" x14ac:dyDescent="0.3">
      <c r="A923" s="105" t="str">
        <f>INDEX('Infos Clientes'!$D:$D,MATCH('Detalhe Por UC'!C923,'Infos Clientes'!B:B,0))</f>
        <v>IGREJA DO EVANGELHO QUADRANGULAR</v>
      </c>
      <c r="B923" s="106" t="str">
        <f>INDEX('Infos Clientes'!$F:$F,MATCH('Detalhe Por UC'!C923,'Infos Clientes'!B:B,0))</f>
        <v>62.955.505/2690-26</v>
      </c>
      <c r="C923" s="31" t="s">
        <v>201</v>
      </c>
      <c r="D923" s="31" t="s">
        <v>351</v>
      </c>
      <c r="E923" s="31" t="s">
        <v>352</v>
      </c>
      <c r="F923" s="56" t="str">
        <f>INDEX('Infos Clientes'!$I:$I,MATCH('Detalhe Por UC'!C923,'Infos Clientes'!B:B,0))</f>
        <v>BT</v>
      </c>
      <c r="G923" s="56" t="str">
        <f>INDEX('Infos Clientes'!$J:$J,MATCH('Detalhe Por UC'!C923,'Infos Clientes'!B:B,0))</f>
        <v>bifasico</v>
      </c>
      <c r="H923" s="156" t="s">
        <v>138</v>
      </c>
      <c r="I923" s="58">
        <f>IFERROR(VLOOKUP(C923,'Infos Clientes'!B:E,4,),"")</f>
        <v>319</v>
      </c>
      <c r="J923" s="152">
        <v>0.2796792317717392</v>
      </c>
      <c r="K923" s="79">
        <f>INDEX('Resumo Operacional'!$A$1:$P$151,MATCH("Desconto percentual Ucs",'Resumo Operacional'!$B$1:$B$151,0),MATCH('Detalhe Por UC'!$R923,'Resumo Operacional'!$A$1:$P$1,0))</f>
        <v>0.26414553913427991</v>
      </c>
      <c r="M923" s="56"/>
      <c r="N923" s="56"/>
      <c r="O923" s="56"/>
      <c r="P923" s="56"/>
      <c r="Q923" s="61"/>
      <c r="R923" s="111">
        <v>45931</v>
      </c>
      <c r="S923" s="151">
        <v>2.7300000000000001E-2</v>
      </c>
      <c r="T923" s="113" t="str">
        <f>IF($H923="GIROSSOL II",AP923/INDEX('Resumo Operacional'!$A$1:$P$1103,17,MATCH('Detalhe Por UC'!$R923,'Resumo Operacional'!$A$1:$P$1,0)),
IF($H923="GIROSSOL II e III",AP923/INDEX('Resumo Operacional'!$A$1:$P$1103,17,MATCH('Detalhe Por UC'!$R923,'Resumo Operacional'!$A$1:$P$1,0)),
""))</f>
        <v/>
      </c>
      <c r="U923" s="113">
        <f>IF($H923="GIROSSOL III",AP923/INDEX('Resumo Operacional'!$A$1:$P$1103,53,MATCH('Detalhe Por UC'!$R923,'Resumo Operacional'!$A$1:$P$1,0)),
IF($H923="GIROSSOL II e III",AP923/INDEX('Resumo Operacional'!$A$1:$P$1103,53,MATCH('Detalhe Por UC'!$R923,'Resumo Operacional'!$A$1:$P$1,0)),
""))</f>
        <v>5.5926786751888434E-3</v>
      </c>
      <c r="X923">
        <v>1.2361102362204726</v>
      </c>
      <c r="Z923" s="54">
        <v>1.079188524590164</v>
      </c>
      <c r="AB923" s="18">
        <v>254</v>
      </c>
      <c r="AD923" s="143">
        <v>244</v>
      </c>
      <c r="AF923" s="18">
        <v>215</v>
      </c>
      <c r="AG923">
        <v>0</v>
      </c>
      <c r="AH923">
        <v>59.51</v>
      </c>
      <c r="AL923" s="43"/>
      <c r="AN923" s="71">
        <f t="shared" si="529"/>
        <v>-167</v>
      </c>
      <c r="AO923" s="71">
        <f t="shared" si="530"/>
        <v>0</v>
      </c>
      <c r="AP923" s="71">
        <f t="shared" si="531"/>
        <v>77</v>
      </c>
      <c r="AQ923" s="72">
        <f>IF(OR($H923="GIROSSOL II",$H923="GIROSSOL II e III"),INDEX('Resumo Operacional'!$A$1:$P$1103,MATCH("Energia Injetada prevista total Fatura da Usina (TUSD)",'Resumo Operacional'!$B$1:$B$1103,0),MATCH('Detalhe Por UC'!$R923,'Resumo Operacional'!$A$1:$P$1,0))*$S923,INDEX('Resumo Operacional'!$A$1:$P$1103,53,MATCH('Detalhe Por UC'!$R923,'Resumo Operacional'!$A$1:$P$1,0))*$S923)</f>
        <v>375.8664</v>
      </c>
      <c r="AR923" s="71">
        <f t="shared" si="532"/>
        <v>-298.8664</v>
      </c>
      <c r="AS923" s="73">
        <f t="shared" si="533"/>
        <v>110.16000000000003</v>
      </c>
      <c r="AT923" s="74">
        <f t="shared" si="534"/>
        <v>110.16000000000003</v>
      </c>
      <c r="AU923" s="74">
        <f t="shared" si="535"/>
        <v>0.92226681295985546</v>
      </c>
      <c r="AV923" s="74">
        <f t="shared" si="536"/>
        <v>189.67630533140212</v>
      </c>
      <c r="AW923" s="74">
        <f t="shared" si="537"/>
        <v>0</v>
      </c>
      <c r="AX923" s="74">
        <f t="shared" si="538"/>
        <v>263.322</v>
      </c>
      <c r="AY923" s="74">
        <f t="shared" si="539"/>
        <v>189.68</v>
      </c>
      <c r="AZ923" s="129">
        <v>189.68</v>
      </c>
      <c r="BA923" s="136">
        <f>189.68+147.17</f>
        <v>336.85</v>
      </c>
      <c r="BB923" s="117">
        <v>189.68</v>
      </c>
      <c r="BC923" s="73" t="str">
        <f t="shared" si="540"/>
        <v/>
      </c>
      <c r="BD923" s="73">
        <f t="shared" si="541"/>
        <v>373.48200000000003</v>
      </c>
      <c r="BE923" s="73">
        <f t="shared" si="542"/>
        <v>299.83630533140217</v>
      </c>
      <c r="BF923" s="77">
        <f t="shared" si="543"/>
        <v>73.650000000000006</v>
      </c>
      <c r="BG923" s="77">
        <f t="shared" si="544"/>
        <v>22.095000000000002</v>
      </c>
      <c r="BH923" s="77">
        <f t="shared" si="545"/>
        <v>263.322</v>
      </c>
      <c r="BI923" s="78">
        <f t="shared" si="546"/>
        <v>0.28000000000000003</v>
      </c>
      <c r="BJ923" s="79">
        <f t="shared" si="547"/>
        <v>0.19719825855061288</v>
      </c>
      <c r="BK923" s="80">
        <f t="shared" si="548"/>
        <v>299.84000000000003</v>
      </c>
      <c r="BL923" s="80">
        <f t="shared" si="549"/>
        <v>73.641999999999996</v>
      </c>
      <c r="BM923" s="79">
        <f t="shared" si="550"/>
        <v>0.19717683850895087</v>
      </c>
      <c r="BN923" s="81">
        <f t="shared" si="551"/>
        <v>0.77737704918032791</v>
      </c>
      <c r="BO923" s="82">
        <f t="shared" si="552"/>
        <v>189.68</v>
      </c>
      <c r="BP923" s="81">
        <f t="shared" si="553"/>
        <v>0.77737704918032791</v>
      </c>
      <c r="BQ923" s="81">
        <f t="shared" si="554"/>
        <v>0.93429876081063645</v>
      </c>
      <c r="BR923" s="81">
        <f t="shared" si="555"/>
        <v>1.2361102362204726</v>
      </c>
      <c r="BS923" s="82">
        <f t="shared" si="556"/>
        <v>244</v>
      </c>
      <c r="BT923" s="82">
        <f t="shared" si="557"/>
        <v>301.61089763779529</v>
      </c>
      <c r="BU923" s="82">
        <f t="shared" si="558"/>
        <v>263.322</v>
      </c>
      <c r="BW923" s="82">
        <f>IFERROR(INDEX('Infos Clientes'!$T:$T,MATCH('Detalhe Por UC'!$C923,'Infos Clientes'!B:B,0)),"")</f>
        <v>293</v>
      </c>
      <c r="BX923" s="83">
        <f t="shared" si="559"/>
        <v>0</v>
      </c>
      <c r="BY923" s="84">
        <f t="shared" si="560"/>
        <v>0.24416226527874577</v>
      </c>
      <c r="BZ923" s="85">
        <f>IF(_xlfn.MINIFS('Detalhe Por UC'!R:R,'Detalhe Por UC'!C:C,C923,'Detalhe Por UC'!AD:AD,"&gt;"&amp;0)=0,"",_xlfn.MINIFS('Detalhe Por UC'!R:R,'Detalhe Por UC'!C:C,C923,'Detalhe Por UC'!AD:AD,"&gt;"&amp;0))</f>
        <v>45658</v>
      </c>
      <c r="CA923" s="114">
        <f ca="1">IF(OR(S923&gt;0,AD923&gt;0),IFERROR(
SUMIFS(INDIRECT("'Infos Clientes'!$W"&amp;INDEX('Infos Clientes'!$C:$C,MATCH(C923,'Infos Clientes'!$H:$H,0))&amp;":$CZ"&amp;INDEX('Infos Clientes'!$C:$C,MATCH(C923,'Infos Clientes'!$H:$H,0))),'Infos Clientes'!$W$2:$CZ$2,"&gt;"&amp;$R923-365,'Infos Clientes'!$W$2:$CZ$2,"&lt;="&amp;$R923)/
COUNTIFS(INDIRECT("'Infos Clientes'!$W"&amp;INDEX('Infos Clientes'!$C:$C,MATCH(C923,'Infos Clientes'!$H:$H,0))&amp;":$CZ"&amp;INDEX('Infos Clientes'!$C:$C,MATCH(C923,'Infos Clientes'!$H:$H,0))),"&gt;="&amp;0,'Infos Clientes'!$W$2:$CZ$2,"&gt;"&amp;$R923-365,'Infos Clientes'!$W$2:$CZ$2,"&lt;="&amp;$R923),""),"")</f>
        <v>272</v>
      </c>
      <c r="CB923" s="87">
        <f>VLOOKUP(C923,'Infos Clientes'!B:L,11,0)</f>
        <v>0</v>
      </c>
      <c r="CC923" s="88" t="str">
        <f t="shared" si="561"/>
        <v>A Unidade Consumidora 10/41548-9 economizou R$73,65 na fatura referente à out/2025  consumindo 244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3" s="115">
        <f t="shared" si="562"/>
        <v>-110.16000000000003</v>
      </c>
    </row>
    <row r="924" spans="1:84" ht="16.2" hidden="1" customHeight="1" x14ac:dyDescent="0.3">
      <c r="A924" s="105" t="str">
        <f>INDEX('Infos Clientes'!$D:$D,MATCH('Detalhe Por UC'!C924,'Infos Clientes'!B:B,0))</f>
        <v>IGREJA DO EVANGELHO QUADRANGULAR</v>
      </c>
      <c r="B924" s="106" t="str">
        <f>INDEX('Infos Clientes'!$F:$F,MATCH('Detalhe Por UC'!C924,'Infos Clientes'!B:B,0))</f>
        <v>62.955.505/3757-21</v>
      </c>
      <c r="C924" s="31" t="s">
        <v>187</v>
      </c>
      <c r="D924" s="31" t="s">
        <v>351</v>
      </c>
      <c r="E924" s="31" t="s">
        <v>352</v>
      </c>
      <c r="F924" s="56" t="str">
        <f>INDEX('Infos Clientes'!$I:$I,MATCH('Detalhe Por UC'!C924,'Infos Clientes'!B:B,0))</f>
        <v>BT</v>
      </c>
      <c r="G924" s="56" t="str">
        <f>INDEX('Infos Clientes'!$J:$J,MATCH('Detalhe Por UC'!C924,'Infos Clientes'!B:B,0))</f>
        <v>trifasico</v>
      </c>
      <c r="H924" s="156" t="s">
        <v>138</v>
      </c>
      <c r="I924" s="58">
        <f>IFERROR(VLOOKUP(C924,'Infos Clientes'!B:E,4,),"")</f>
        <v>362</v>
      </c>
      <c r="J924" s="152">
        <v>0.2796792317717392</v>
      </c>
      <c r="K924" s="79">
        <f>INDEX('Resumo Operacional'!$A$1:$P$151,MATCH("Desconto percentual Ucs",'Resumo Operacional'!$B$1:$B$151,0),MATCH('Detalhe Por UC'!$R924,'Resumo Operacional'!$A$1:$P$1,0))</f>
        <v>0.26414553913427991</v>
      </c>
      <c r="M924" s="56"/>
      <c r="N924" s="56"/>
      <c r="O924" s="56"/>
      <c r="P924" s="56"/>
      <c r="Q924" s="61"/>
      <c r="R924" s="111">
        <v>45931</v>
      </c>
      <c r="S924" s="151">
        <v>2.63E-2</v>
      </c>
      <c r="T924" s="113" t="str">
        <f>IF($H924="GIROSSOL II",AP924/INDEX('Resumo Operacional'!$A$1:$P$1103,17,MATCH('Detalhe Por UC'!$R924,'Resumo Operacional'!$A$1:$P$1,0)),
IF($H924="GIROSSOL II e III",AP924/INDEX('Resumo Operacional'!$A$1:$P$1103,17,MATCH('Detalhe Por UC'!$R924,'Resumo Operacional'!$A$1:$P$1,0)),
""))</f>
        <v/>
      </c>
      <c r="U924" s="113">
        <f>IF($H924="GIROSSOL III",AP924/INDEX('Resumo Operacional'!$A$1:$P$1103,53,MATCH('Detalhe Por UC'!$R924,'Resumo Operacional'!$A$1:$P$1,0)),
IF($H924="GIROSSOL II e III",AP924/INDEX('Resumo Operacional'!$A$1:$P$1103,53,MATCH('Detalhe Por UC'!$R924,'Resumo Operacional'!$A$1:$P$1,0)),
""))</f>
        <v>1.2928529924462522E-2</v>
      </c>
      <c r="X924">
        <v>1.2062694050135909</v>
      </c>
      <c r="Z924" s="54">
        <v>1.0493676050591596</v>
      </c>
      <c r="AB924" s="18">
        <v>385</v>
      </c>
      <c r="AD924" s="143">
        <v>342</v>
      </c>
      <c r="AF924" s="18">
        <v>55</v>
      </c>
      <c r="AH924">
        <v>56.21</v>
      </c>
      <c r="AL924" s="43"/>
      <c r="AN924" s="71">
        <f t="shared" si="529"/>
        <v>-164</v>
      </c>
      <c r="AO924" s="71">
        <f t="shared" si="530"/>
        <v>0</v>
      </c>
      <c r="AP924" s="71">
        <f t="shared" si="531"/>
        <v>178</v>
      </c>
      <c r="AQ924" s="72">
        <f>IF(OR($H924="GIROSSOL II",$H924="GIROSSOL II e III"),INDEX('Resumo Operacional'!$A$1:$P$1103,MATCH("Energia Injetada prevista total Fatura da Usina (TUSD)",'Resumo Operacional'!$B$1:$B$1103,0),MATCH('Detalhe Por UC'!$R924,'Resumo Operacional'!$A$1:$P$1,0))*$S924,INDEX('Resumo Operacional'!$A$1:$P$1103,53,MATCH('Detalhe Por UC'!$R924,'Resumo Operacional'!$A$1:$P$1,0))*$S924)</f>
        <v>362.09840000000003</v>
      </c>
      <c r="AR924" s="71">
        <f t="shared" si="532"/>
        <v>-184.09840000000003</v>
      </c>
      <c r="AS924" s="73">
        <f t="shared" si="533"/>
        <v>161.73999999999992</v>
      </c>
      <c r="AT924" s="74">
        <f t="shared" si="534"/>
        <v>161.73999999999992</v>
      </c>
      <c r="AU924" s="74">
        <f t="shared" si="535"/>
        <v>0.89246580510472828</v>
      </c>
      <c r="AV924" s="74">
        <f t="shared" si="536"/>
        <v>258.51139756508195</v>
      </c>
      <c r="AW924" s="74">
        <f t="shared" si="537"/>
        <v>0</v>
      </c>
      <c r="AX924" s="74">
        <f t="shared" si="538"/>
        <v>358.88372093023258</v>
      </c>
      <c r="AY924" s="74">
        <f t="shared" si="539"/>
        <v>258.51</v>
      </c>
      <c r="AZ924" s="129">
        <v>258.51</v>
      </c>
      <c r="BA924" s="117">
        <v>258.51</v>
      </c>
      <c r="BB924" s="117">
        <v>258.51</v>
      </c>
      <c r="BC924" s="73" t="str">
        <f t="shared" si="540"/>
        <v/>
      </c>
      <c r="BD924" s="73">
        <f t="shared" si="541"/>
        <v>520.62372093023248</v>
      </c>
      <c r="BE924" s="73">
        <f t="shared" si="542"/>
        <v>420.2513975650819</v>
      </c>
      <c r="BF924" s="77">
        <f t="shared" si="543"/>
        <v>100.37</v>
      </c>
      <c r="BG924" s="77">
        <f t="shared" si="544"/>
        <v>30.111000000000001</v>
      </c>
      <c r="BH924" s="77">
        <f t="shared" si="545"/>
        <v>358.88372093023258</v>
      </c>
      <c r="BI924" s="78">
        <f t="shared" si="546"/>
        <v>0.28000000000000003</v>
      </c>
      <c r="BJ924" s="79">
        <f t="shared" si="547"/>
        <v>0.19278798864689137</v>
      </c>
      <c r="BK924" s="80">
        <f t="shared" si="548"/>
        <v>420.24999999999989</v>
      </c>
      <c r="BL924" s="80">
        <f t="shared" si="549"/>
        <v>100.37372093023259</v>
      </c>
      <c r="BM924" s="79">
        <f t="shared" si="550"/>
        <v>0.19279513570931478</v>
      </c>
      <c r="BN924" s="81">
        <f t="shared" si="551"/>
        <v>0.75587719298245615</v>
      </c>
      <c r="BO924" s="82">
        <f t="shared" si="552"/>
        <v>258.51</v>
      </c>
      <c r="BP924" s="81">
        <f t="shared" si="553"/>
        <v>0.75587719298245615</v>
      </c>
      <c r="BQ924" s="81">
        <f t="shared" si="554"/>
        <v>0.91277899293688747</v>
      </c>
      <c r="BR924" s="81">
        <f t="shared" si="555"/>
        <v>1.2062694050135909</v>
      </c>
      <c r="BS924" s="82">
        <f t="shared" si="556"/>
        <v>342</v>
      </c>
      <c r="BT924" s="82">
        <f t="shared" si="557"/>
        <v>412.54413651464807</v>
      </c>
      <c r="BU924" s="82">
        <f t="shared" si="558"/>
        <v>358.88372093023258</v>
      </c>
      <c r="BW924" s="82">
        <f>IFERROR(INDEX('Infos Clientes'!$T:$T,MATCH('Detalhe Por UC'!$C924,'Infos Clientes'!B:B,0)),"")</f>
        <v>365.90909090909093</v>
      </c>
      <c r="BX924" s="83">
        <f t="shared" si="559"/>
        <v>0</v>
      </c>
      <c r="BY924" s="84">
        <f t="shared" si="560"/>
        <v>0.24330419958997196</v>
      </c>
      <c r="BZ924" s="85">
        <f>IF(_xlfn.MINIFS('Detalhe Por UC'!R:R,'Detalhe Por UC'!C:C,C924,'Detalhe Por UC'!AD:AD,"&gt;"&amp;0)=0,"",_xlfn.MINIFS('Detalhe Por UC'!R:R,'Detalhe Por UC'!C:C,C924,'Detalhe Por UC'!AD:AD,"&gt;"&amp;0))</f>
        <v>45658</v>
      </c>
      <c r="CA924" s="114">
        <f ca="1">IF(OR(S924&gt;0,AD924&gt;0),IFERROR(
SUMIFS(INDIRECT("'Infos Clientes'!$W"&amp;INDEX('Infos Clientes'!$C:$C,MATCH(C924,'Infos Clientes'!$H:$H,0))&amp;":$CZ"&amp;INDEX('Infos Clientes'!$C:$C,MATCH(C924,'Infos Clientes'!$H:$H,0))),'Infos Clientes'!$W$2:$CZ$2,"&gt;"&amp;$R924-365,'Infos Clientes'!$W$2:$CZ$2,"&lt;="&amp;$R924)/
COUNTIFS(INDIRECT("'Infos Clientes'!$W"&amp;INDEX('Infos Clientes'!$C:$C,MATCH(C924,'Infos Clientes'!$H:$H,0))&amp;":$CZ"&amp;INDEX('Infos Clientes'!$C:$C,MATCH(C924,'Infos Clientes'!$H:$H,0))),"&gt;="&amp;0,'Infos Clientes'!$W$2:$CZ$2,"&gt;"&amp;$R924-365,'Infos Clientes'!$W$2:$CZ$2,"&lt;="&amp;$R924),""),"")</f>
        <v>350.75</v>
      </c>
      <c r="CB924" s="87">
        <f>VLOOKUP(C924,'Infos Clientes'!B:L,11,0)</f>
        <v>0</v>
      </c>
      <c r="CC924" s="88" t="str">
        <f t="shared" si="561"/>
        <v>A Unidade Consumidora 10/3123706-8 economizou R$100,37 na fatura referente à out/2025  consumindo 342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4" s="115">
        <f t="shared" si="562"/>
        <v>-161.73999999999992</v>
      </c>
    </row>
    <row r="925" spans="1:84" ht="16.2" hidden="1" customHeight="1" x14ac:dyDescent="0.3">
      <c r="A925" s="105" t="str">
        <f>INDEX('Infos Clientes'!$D:$D,MATCH('Detalhe Por UC'!C925,'Infos Clientes'!B:B,0))</f>
        <v>IGREJA DO EVANGELHO QUADRANGULAR</v>
      </c>
      <c r="B925" s="106" t="str">
        <f>INDEX('Infos Clientes'!$F:$F,MATCH('Detalhe Por UC'!C925,'Infos Clientes'!B:B,0))</f>
        <v>62.955.505/0001-67</v>
      </c>
      <c r="C925" s="31" t="s">
        <v>142</v>
      </c>
      <c r="D925" s="31" t="s">
        <v>351</v>
      </c>
      <c r="E925" s="31" t="s">
        <v>352</v>
      </c>
      <c r="F925" s="56" t="str">
        <f>INDEX('Infos Clientes'!$I:$I,MATCH('Detalhe Por UC'!C925,'Infos Clientes'!B:B,0))</f>
        <v>BT</v>
      </c>
      <c r="G925" s="56" t="str">
        <f>INDEX('Infos Clientes'!$J:$J,MATCH('Detalhe Por UC'!C925,'Infos Clientes'!B:B,0))</f>
        <v>bifasico</v>
      </c>
      <c r="H925" s="156" t="s">
        <v>138</v>
      </c>
      <c r="I925" s="58">
        <f>IFERROR(VLOOKUP(C925,'Infos Clientes'!B:E,4,),"")</f>
        <v>319</v>
      </c>
      <c r="J925" s="152">
        <v>0.2796792317717392</v>
      </c>
      <c r="K925" s="79">
        <f>INDEX('Resumo Operacional'!$A$1:$P$151,MATCH("Desconto percentual Ucs",'Resumo Operacional'!$B$1:$B$151,0),MATCH('Detalhe Por UC'!$R925,'Resumo Operacional'!$A$1:$P$1,0))</f>
        <v>0.26414553913427991</v>
      </c>
      <c r="M925" s="56"/>
      <c r="N925" s="56"/>
      <c r="O925" s="56"/>
      <c r="P925" s="56"/>
      <c r="Q925" s="61"/>
      <c r="R925" s="111">
        <v>45931</v>
      </c>
      <c r="S925" s="151">
        <v>2.6100000000000002E-2</v>
      </c>
      <c r="T925" s="113" t="str">
        <f>IF($H925="GIROSSOL II",AP925/INDEX('Resumo Operacional'!$A$1:$P$1103,17,MATCH('Detalhe Por UC'!$R925,'Resumo Operacional'!$A$1:$P$1,0)),
IF($H925="GIROSSOL II e III",AP925/INDEX('Resumo Operacional'!$A$1:$P$1103,17,MATCH('Detalhe Por UC'!$R925,'Resumo Operacional'!$A$1:$P$1,0)),
""))</f>
        <v/>
      </c>
      <c r="U925" s="113">
        <f>IF($H925="GIROSSOL III",AP925/INDEX('Resumo Operacional'!$A$1:$P$1103,53,MATCH('Detalhe Por UC'!$R925,'Resumo Operacional'!$A$1:$P$1,0)),
IF($H925="GIROSSOL II e III",AP925/INDEX('Resumo Operacional'!$A$1:$P$1103,53,MATCH('Detalhe Por UC'!$R925,'Resumo Operacional'!$A$1:$P$1,0)),
""))</f>
        <v>2.2879140034863452E-2</v>
      </c>
      <c r="X925">
        <v>1.2278285714285713</v>
      </c>
      <c r="Z925" s="54">
        <v>1.0709523809523809</v>
      </c>
      <c r="AB925" s="18">
        <v>350</v>
      </c>
      <c r="AD925" s="143">
        <v>315</v>
      </c>
      <c r="AF925" s="18">
        <v>0</v>
      </c>
      <c r="AG925">
        <v>0</v>
      </c>
      <c r="AH925">
        <v>1.75</v>
      </c>
      <c r="AL925" s="43"/>
      <c r="AN925" s="71">
        <f t="shared" si="529"/>
        <v>0</v>
      </c>
      <c r="AO925" s="71">
        <f t="shared" si="530"/>
        <v>0</v>
      </c>
      <c r="AP925" s="71">
        <f t="shared" si="531"/>
        <v>315</v>
      </c>
      <c r="AQ925" s="72">
        <f>IF(OR($H925="GIROSSOL II",$H925="GIROSSOL II e III"),INDEX('Resumo Operacional'!$A$1:$P$1103,MATCH("Energia Injetada prevista total Fatura da Usina (TUSD)",'Resumo Operacional'!$B$1:$B$1103,0),MATCH('Detalhe Por UC'!$R925,'Resumo Operacional'!$A$1:$P$1,0))*$S925,INDEX('Resumo Operacional'!$A$1:$P$1103,53,MATCH('Detalhe Por UC'!$R925,'Resumo Operacional'!$A$1:$P$1,0))*$S925)</f>
        <v>359.34480000000002</v>
      </c>
      <c r="AR925" s="71">
        <f t="shared" si="532"/>
        <v>-44.344800000000021</v>
      </c>
      <c r="AS925" s="73">
        <f t="shared" si="533"/>
        <v>94.139999999999986</v>
      </c>
      <c r="AT925" s="74">
        <f t="shared" si="534"/>
        <v>94.139999999999986</v>
      </c>
      <c r="AU925" s="74">
        <f t="shared" si="535"/>
        <v>0.91407619047619049</v>
      </c>
      <c r="AV925" s="74">
        <f t="shared" si="536"/>
        <v>243.00021116180378</v>
      </c>
      <c r="AW925" s="74">
        <f t="shared" si="537"/>
        <v>0</v>
      </c>
      <c r="AX925" s="74">
        <f t="shared" si="538"/>
        <v>337.34999999999997</v>
      </c>
      <c r="AY925" s="74">
        <f t="shared" si="539"/>
        <v>243</v>
      </c>
      <c r="AZ925" s="129">
        <v>243</v>
      </c>
      <c r="BA925" s="117">
        <v>243</v>
      </c>
      <c r="BC925" s="73" t="str">
        <f t="shared" si="540"/>
        <v/>
      </c>
      <c r="BD925" s="73">
        <f t="shared" si="541"/>
        <v>431.48999999999995</v>
      </c>
      <c r="BE925" s="73">
        <f t="shared" si="542"/>
        <v>337.14021116180379</v>
      </c>
      <c r="BF925" s="77">
        <f t="shared" si="543"/>
        <v>94.35</v>
      </c>
      <c r="BG925" s="77">
        <f t="shared" si="544"/>
        <v>28.304999999999996</v>
      </c>
      <c r="BH925" s="77">
        <f t="shared" si="545"/>
        <v>337.34999999999997</v>
      </c>
      <c r="BI925" s="78">
        <f t="shared" si="546"/>
        <v>0.28000000000000003</v>
      </c>
      <c r="BJ925" s="79">
        <f t="shared" si="547"/>
        <v>0.21866091914065217</v>
      </c>
      <c r="BK925" s="80">
        <f t="shared" si="548"/>
        <v>337.14</v>
      </c>
      <c r="BL925" s="80">
        <f t="shared" si="549"/>
        <v>94.349999999999966</v>
      </c>
      <c r="BM925" s="79">
        <f t="shared" si="550"/>
        <v>0.21866091914065211</v>
      </c>
      <c r="BN925" s="81">
        <f t="shared" si="551"/>
        <v>0.77142857142857146</v>
      </c>
      <c r="BO925" s="82">
        <f t="shared" si="552"/>
        <v>243</v>
      </c>
      <c r="BP925" s="81">
        <f t="shared" si="553"/>
        <v>0.77142857142857146</v>
      </c>
      <c r="BQ925" s="81">
        <f t="shared" si="554"/>
        <v>0.92830476190476185</v>
      </c>
      <c r="BR925" s="81">
        <f t="shared" si="555"/>
        <v>1.2278285714285713</v>
      </c>
      <c r="BS925" s="82">
        <f t="shared" si="556"/>
        <v>315</v>
      </c>
      <c r="BT925" s="82">
        <f t="shared" si="557"/>
        <v>386.76599999999996</v>
      </c>
      <c r="BU925" s="82">
        <f t="shared" si="558"/>
        <v>337.34999999999997</v>
      </c>
      <c r="BW925" s="82">
        <f>IFERROR(INDEX('Infos Clientes'!$T:$T,MATCH('Detalhe Por UC'!$C925,'Infos Clientes'!B:B,0)),"")</f>
        <v>244.81818181818181</v>
      </c>
      <c r="BX925" s="83">
        <f t="shared" si="559"/>
        <v>0</v>
      </c>
      <c r="BY925" s="84">
        <f t="shared" si="560"/>
        <v>0.24394595181582657</v>
      </c>
      <c r="BZ925" s="85">
        <f>IF(_xlfn.MINIFS('Detalhe Por UC'!R:R,'Detalhe Por UC'!C:C,C925,'Detalhe Por UC'!AD:AD,"&gt;"&amp;0)=0,"",_xlfn.MINIFS('Detalhe Por UC'!R:R,'Detalhe Por UC'!C:C,C925,'Detalhe Por UC'!AD:AD,"&gt;"&amp;0))</f>
        <v>45658</v>
      </c>
      <c r="CA925" s="114">
        <f ca="1">IF(OR(S925&gt;0,AD925&gt;0),IFERROR(
SUMIFS(INDIRECT("'Infos Clientes'!$W"&amp;INDEX('Infos Clientes'!$C:$C,MATCH(C925,'Infos Clientes'!$H:$H,0))&amp;":$CZ"&amp;INDEX('Infos Clientes'!$C:$C,MATCH(C925,'Infos Clientes'!$H:$H,0))),'Infos Clientes'!$W$2:$CZ$2,"&gt;"&amp;$R925-365,'Infos Clientes'!$W$2:$CZ$2,"&lt;="&amp;$R925)/
COUNTIFS(INDIRECT("'Infos Clientes'!$W"&amp;INDEX('Infos Clientes'!$C:$C,MATCH(C925,'Infos Clientes'!$H:$H,0))&amp;":$CZ"&amp;INDEX('Infos Clientes'!$C:$C,MATCH(C925,'Infos Clientes'!$H:$H,0))),"&gt;="&amp;0,'Infos Clientes'!$W$2:$CZ$2,"&gt;"&amp;$R925-365,'Infos Clientes'!$W$2:$CZ$2,"&lt;="&amp;$R925),""),"")</f>
        <v>305.5</v>
      </c>
      <c r="CB925" s="87">
        <f>VLOOKUP(C925,'Infos Clientes'!B:L,11,0)</f>
        <v>0</v>
      </c>
      <c r="CC925" s="88" t="str">
        <f t="shared" si="561"/>
        <v>A Unidade Consumidora 10/109074-5 economizou R$94,35 na fatura referente à out/2025  consumindo 315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5" s="115">
        <f t="shared" si="562"/>
        <v>-94.139999999999986</v>
      </c>
    </row>
    <row r="926" spans="1:84" ht="16.2" hidden="1" customHeight="1" x14ac:dyDescent="0.3">
      <c r="A926" s="105" t="str">
        <f>INDEX('Infos Clientes'!$D:$D,MATCH('Detalhe Por UC'!C926,'Infos Clientes'!B:B,0))</f>
        <v>IGREJA DO EVANGELHO QUADRANGULAR</v>
      </c>
      <c r="B926" s="106" t="str">
        <f>INDEX('Infos Clientes'!$F:$F,MATCH('Detalhe Por UC'!C926,'Infos Clientes'!B:B,0))</f>
        <v>62.955.505/0154-31</v>
      </c>
      <c r="C926" s="31" t="s">
        <v>183</v>
      </c>
      <c r="D926" s="31" t="s">
        <v>351</v>
      </c>
      <c r="E926" s="31" t="s">
        <v>352</v>
      </c>
      <c r="F926" s="56" t="str">
        <f>INDEX('Infos Clientes'!$I:$I,MATCH('Detalhe Por UC'!C926,'Infos Clientes'!B:B,0))</f>
        <v>BT</v>
      </c>
      <c r="G926" s="56" t="str">
        <f>INDEX('Infos Clientes'!$J:$J,MATCH('Detalhe Por UC'!C926,'Infos Clientes'!B:B,0))</f>
        <v>bifasico</v>
      </c>
      <c r="H926" s="156" t="s">
        <v>138</v>
      </c>
      <c r="I926" s="58">
        <f>IFERROR(VLOOKUP(C926,'Infos Clientes'!B:E,4,),"")</f>
        <v>319</v>
      </c>
      <c r="J926" s="152">
        <v>0.2796792317717392</v>
      </c>
      <c r="K926" s="79">
        <f>INDEX('Resumo Operacional'!$A$1:$P$151,MATCH("Desconto percentual Ucs",'Resumo Operacional'!$B$1:$B$151,0),MATCH('Detalhe Por UC'!$R926,'Resumo Operacional'!$A$1:$P$1,0))</f>
        <v>0.26414553913427991</v>
      </c>
      <c r="M926" s="56"/>
      <c r="N926" s="56"/>
      <c r="O926" s="56"/>
      <c r="P926" s="56"/>
      <c r="Q926" s="61"/>
      <c r="R926" s="111">
        <v>45931</v>
      </c>
      <c r="S926" s="151">
        <v>2.5399999999999999E-2</v>
      </c>
      <c r="T926" s="113" t="str">
        <f>IF($H926="GIROSSOL II",AP926/INDEX('Resumo Operacional'!$A$1:$P$1103,17,MATCH('Detalhe Por UC'!$R926,'Resumo Operacional'!$A$1:$P$1,0)),
IF($H926="GIROSSOL II e III",AP926/INDEX('Resumo Operacional'!$A$1:$P$1103,17,MATCH('Detalhe Por UC'!$R926,'Resumo Operacional'!$A$1:$P$1,0)),
""))</f>
        <v/>
      </c>
      <c r="U926" s="113">
        <f>IF($H926="GIROSSOL III",AP926/INDEX('Resumo Operacional'!$A$1:$P$1103,53,MATCH('Detalhe Por UC'!$R926,'Resumo Operacional'!$A$1:$P$1,0)),
IF($H926="GIROSSOL II e III",AP926/INDEX('Resumo Operacional'!$A$1:$P$1103,53,MATCH('Detalhe Por UC'!$R926,'Resumo Operacional'!$A$1:$P$1,0)),
""))</f>
        <v>1.7141196978500872E-2</v>
      </c>
      <c r="X926">
        <v>1.1381065088757396</v>
      </c>
      <c r="Z926" s="54">
        <v>0.98121301775147918</v>
      </c>
      <c r="AB926" s="18">
        <v>338</v>
      </c>
      <c r="AD926" s="143">
        <v>338</v>
      </c>
      <c r="AF926" s="18">
        <v>10</v>
      </c>
      <c r="AH926">
        <v>60.31</v>
      </c>
      <c r="AL926" s="43"/>
      <c r="AN926" s="71">
        <f t="shared" si="529"/>
        <v>-102</v>
      </c>
      <c r="AO926" s="71">
        <f t="shared" si="530"/>
        <v>0</v>
      </c>
      <c r="AP926" s="71">
        <f t="shared" si="531"/>
        <v>236</v>
      </c>
      <c r="AQ926" s="72">
        <f>IF(OR($H926="GIROSSOL II",$H926="GIROSSOL II e III"),INDEX('Resumo Operacional'!$A$1:$P$1103,MATCH("Energia Injetada prevista total Fatura da Usina (TUSD)",'Resumo Operacional'!$B$1:$B$1103,0),MATCH('Detalhe Por UC'!$R926,'Resumo Operacional'!$A$1:$P$1,0))*$S926,INDEX('Resumo Operacional'!$A$1:$P$1103,53,MATCH('Detalhe Por UC'!$R926,'Resumo Operacional'!$A$1:$P$1,0))*$S926)</f>
        <v>349.7072</v>
      </c>
      <c r="AR926" s="71">
        <f t="shared" si="532"/>
        <v>-113.7072</v>
      </c>
      <c r="AS926" s="73">
        <f t="shared" si="533"/>
        <v>113.34000000000003</v>
      </c>
      <c r="AT926" s="74">
        <f t="shared" si="534"/>
        <v>113.34000000000003</v>
      </c>
      <c r="AU926" s="74">
        <f t="shared" si="535"/>
        <v>0.82431952662721875</v>
      </c>
      <c r="AV926" s="74">
        <f t="shared" si="536"/>
        <v>238.89438278290268</v>
      </c>
      <c r="AW926" s="74">
        <f t="shared" si="537"/>
        <v>0</v>
      </c>
      <c r="AX926" s="74">
        <f t="shared" si="538"/>
        <v>331.65</v>
      </c>
      <c r="AY926" s="74">
        <f t="shared" si="539"/>
        <v>238.89</v>
      </c>
      <c r="AZ926" s="129">
        <v>238.89</v>
      </c>
      <c r="BA926" s="117">
        <v>238.89</v>
      </c>
      <c r="BB926" s="49">
        <v>238.89</v>
      </c>
      <c r="BC926" s="73" t="str">
        <f t="shared" si="540"/>
        <v/>
      </c>
      <c r="BD926" s="73">
        <f t="shared" si="541"/>
        <v>444.99</v>
      </c>
      <c r="BE926" s="73">
        <f t="shared" si="542"/>
        <v>352.23438278290268</v>
      </c>
      <c r="BF926" s="77">
        <f t="shared" si="543"/>
        <v>92.76</v>
      </c>
      <c r="BG926" s="77">
        <f t="shared" si="544"/>
        <v>27.827999999999999</v>
      </c>
      <c r="BH926" s="77">
        <f t="shared" si="545"/>
        <v>331.65</v>
      </c>
      <c r="BI926" s="78">
        <f t="shared" si="546"/>
        <v>0.28000000000000003</v>
      </c>
      <c r="BJ926" s="79">
        <f t="shared" si="547"/>
        <v>0.20845412256455201</v>
      </c>
      <c r="BK926" s="80">
        <f t="shared" si="548"/>
        <v>352.23</v>
      </c>
      <c r="BL926" s="80">
        <f t="shared" si="549"/>
        <v>92.759999999999991</v>
      </c>
      <c r="BM926" s="79">
        <f t="shared" si="550"/>
        <v>0.20845412256455198</v>
      </c>
      <c r="BN926" s="81">
        <f t="shared" si="551"/>
        <v>0.7067751479289941</v>
      </c>
      <c r="BO926" s="82">
        <f t="shared" si="552"/>
        <v>238.89000000000001</v>
      </c>
      <c r="BP926" s="81">
        <f t="shared" si="553"/>
        <v>0.7067751479289941</v>
      </c>
      <c r="BQ926" s="81">
        <f t="shared" si="554"/>
        <v>0.86366863905325453</v>
      </c>
      <c r="BR926" s="81">
        <f t="shared" si="555"/>
        <v>1.1381065088757396</v>
      </c>
      <c r="BS926" s="82">
        <f t="shared" si="556"/>
        <v>338</v>
      </c>
      <c r="BT926" s="82">
        <f t="shared" si="557"/>
        <v>384.68</v>
      </c>
      <c r="BU926" s="82">
        <f t="shared" si="558"/>
        <v>331.65</v>
      </c>
      <c r="BW926" s="82">
        <f>IFERROR(INDEX('Infos Clientes'!$T:$T,MATCH('Detalhe Por UC'!$C926,'Infos Clientes'!B:B,0)),"")</f>
        <v>250.27272727272728</v>
      </c>
      <c r="BX926" s="83">
        <f t="shared" si="559"/>
        <v>0</v>
      </c>
      <c r="BY926" s="84">
        <f t="shared" si="560"/>
        <v>0.24113548923780795</v>
      </c>
      <c r="BZ926" s="85">
        <f>IF(_xlfn.MINIFS('Detalhe Por UC'!R:R,'Detalhe Por UC'!C:C,C926,'Detalhe Por UC'!AD:AD,"&gt;"&amp;0)=0,"",_xlfn.MINIFS('Detalhe Por UC'!R:R,'Detalhe Por UC'!C:C,C926,'Detalhe Por UC'!AD:AD,"&gt;"&amp;0))</f>
        <v>45658</v>
      </c>
      <c r="CA926" s="114">
        <f ca="1">IF(OR(S926&gt;0,AD926&gt;0),IFERROR(
SUMIFS(INDIRECT("'Infos Clientes'!$W"&amp;INDEX('Infos Clientes'!$C:$C,MATCH(C926,'Infos Clientes'!$H:$H,0))&amp;":$CZ"&amp;INDEX('Infos Clientes'!$C:$C,MATCH(C926,'Infos Clientes'!$H:$H,0))),'Infos Clientes'!$W$2:$CZ$2,"&gt;"&amp;$R926-365,'Infos Clientes'!$W$2:$CZ$2,"&lt;="&amp;$R926)/
COUNTIFS(INDIRECT("'Infos Clientes'!$W"&amp;INDEX('Infos Clientes'!$C:$C,MATCH(C926,'Infos Clientes'!$H:$H,0))&amp;":$CZ"&amp;INDEX('Infos Clientes'!$C:$C,MATCH(C926,'Infos Clientes'!$H:$H,0))),"&gt;="&amp;0,'Infos Clientes'!$W$2:$CZ$2,"&gt;"&amp;$R926-365,'Infos Clientes'!$W$2:$CZ$2,"&lt;="&amp;$R926),""),"")</f>
        <v>309.5</v>
      </c>
      <c r="CB926" s="87">
        <f>VLOOKUP(C926,'Infos Clientes'!B:L,11,0)</f>
        <v>0</v>
      </c>
      <c r="CC926" s="88" t="str">
        <f t="shared" si="561"/>
        <v>A Unidade Consumidora 10/3040565-8 economizou R$92,76 na fatura referente à out/2025  consumindo 338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6" s="115">
        <f t="shared" si="562"/>
        <v>-113.34000000000003</v>
      </c>
    </row>
    <row r="927" spans="1:84" ht="16.2" hidden="1" customHeight="1" x14ac:dyDescent="0.3">
      <c r="A927" s="105" t="str">
        <f>INDEX('Infos Clientes'!$D:$D,MATCH('Detalhe Por UC'!C927,'Infos Clientes'!B:B,0))</f>
        <v>IGREJA DO EVANGELHO QUADRANGULAR</v>
      </c>
      <c r="B927" s="106" t="str">
        <f>INDEX('Infos Clientes'!$F:$F,MATCH('Detalhe Por UC'!C927,'Infos Clientes'!B:B,0))</f>
        <v>62.955.505/1822-57</v>
      </c>
      <c r="C927" s="31" t="s">
        <v>206</v>
      </c>
      <c r="D927" s="31" t="s">
        <v>351</v>
      </c>
      <c r="E927" s="31" t="s">
        <v>352</v>
      </c>
      <c r="F927" s="56" t="str">
        <f>INDEX('Infos Clientes'!$I:$I,MATCH('Detalhe Por UC'!C927,'Infos Clientes'!B:B,0))</f>
        <v>BT</v>
      </c>
      <c r="G927" s="56" t="str">
        <f>INDEX('Infos Clientes'!$J:$J,MATCH('Detalhe Por UC'!C927,'Infos Clientes'!B:B,0))</f>
        <v>trifasico</v>
      </c>
      <c r="H927" s="156" t="s">
        <v>138</v>
      </c>
      <c r="I927" s="58">
        <f>IFERROR(VLOOKUP(C927,'Infos Clientes'!B:E,4,),"")</f>
        <v>319</v>
      </c>
      <c r="J927" s="152">
        <v>0.2796792317717392</v>
      </c>
      <c r="K927" s="79">
        <f>INDEX('Resumo Operacional'!$A$1:$P$151,MATCH("Desconto percentual Ucs",'Resumo Operacional'!$B$1:$B$151,0),MATCH('Detalhe Por UC'!$R927,'Resumo Operacional'!$A$1:$P$1,0))</f>
        <v>0.26414553913427991</v>
      </c>
      <c r="M927" s="56"/>
      <c r="N927" s="56"/>
      <c r="O927" s="56"/>
      <c r="P927" s="56"/>
      <c r="Q927" s="61"/>
      <c r="R927" s="111">
        <v>45931</v>
      </c>
      <c r="S927" s="151">
        <v>2.52E-2</v>
      </c>
      <c r="T927" s="113" t="str">
        <f>IF($H927="GIROSSOL II",AP927/INDEX('Resumo Operacional'!$A$1:$P$1103,17,MATCH('Detalhe Por UC'!$R927,'Resumo Operacional'!$A$1:$P$1,0)),
IF($H927="GIROSSOL II e III",AP927/INDEX('Resumo Operacional'!$A$1:$P$1103,17,MATCH('Detalhe Por UC'!$R927,'Resumo Operacional'!$A$1:$P$1,0)),
""))</f>
        <v/>
      </c>
      <c r="U927" s="113">
        <f>IF($H927="GIROSSOL III",AP927/INDEX('Resumo Operacional'!$A$1:$P$1103,53,MATCH('Detalhe Por UC'!$R927,'Resumo Operacional'!$A$1:$P$1,0)),
IF($H927="GIROSSOL II e III",AP927/INDEX('Resumo Operacional'!$A$1:$P$1103,53,MATCH('Detalhe Por UC'!$R927,'Resumo Operacional'!$A$1:$P$1,0)),
""))</f>
        <v>2.2080185938407902E-2</v>
      </c>
      <c r="X927">
        <v>1.2257378678297355</v>
      </c>
      <c r="Z927" s="54">
        <v>1.0687964734827777</v>
      </c>
      <c r="AB927" s="18">
        <v>307</v>
      </c>
      <c r="AD927" s="143">
        <v>248</v>
      </c>
      <c r="AF927" s="18">
        <v>255</v>
      </c>
      <c r="AG927">
        <v>0</v>
      </c>
      <c r="AH927">
        <v>68.59</v>
      </c>
      <c r="AL927" s="43"/>
      <c r="AN927" s="71">
        <f t="shared" si="529"/>
        <v>56</v>
      </c>
      <c r="AO927" s="71">
        <f t="shared" si="530"/>
        <v>0</v>
      </c>
      <c r="AP927" s="71">
        <f t="shared" si="531"/>
        <v>304</v>
      </c>
      <c r="AQ927" s="72">
        <f>IF(OR($H927="GIROSSOL II",$H927="GIROSSOL II e III"),INDEX('Resumo Operacional'!$A$1:$P$1103,MATCH("Energia Injetada prevista total Fatura da Usina (TUSD)",'Resumo Operacional'!$B$1:$B$1103,0),MATCH('Detalhe Por UC'!$R927,'Resumo Operacional'!$A$1:$P$1,0))*$S927,INDEX('Resumo Operacional'!$A$1:$P$1103,53,MATCH('Detalhe Por UC'!$R927,'Resumo Operacional'!$A$1:$P$1,0))*$S927)</f>
        <v>346.95359999999999</v>
      </c>
      <c r="AR927" s="71">
        <f t="shared" si="532"/>
        <v>-42.953599999999994</v>
      </c>
      <c r="AS927" s="73">
        <f t="shared" si="533"/>
        <v>179.8299999999999</v>
      </c>
      <c r="AT927" s="74">
        <f t="shared" si="534"/>
        <v>179.8299999999999</v>
      </c>
      <c r="AU927" s="74">
        <f t="shared" si="535"/>
        <v>0.91185507913581998</v>
      </c>
      <c r="AV927" s="74">
        <f t="shared" si="536"/>
        <v>190.92932162097509</v>
      </c>
      <c r="AW927" s="74">
        <f t="shared" si="537"/>
        <v>0</v>
      </c>
      <c r="AX927" s="74">
        <f t="shared" si="538"/>
        <v>265.06152542372888</v>
      </c>
      <c r="AY927" s="74">
        <f t="shared" si="539"/>
        <v>190.93</v>
      </c>
      <c r="AZ927" s="129">
        <v>190.93</v>
      </c>
      <c r="BA927" s="117">
        <v>190.93</v>
      </c>
      <c r="BB927" s="49">
        <v>190.93</v>
      </c>
      <c r="BC927" s="73" t="str">
        <f t="shared" si="540"/>
        <v/>
      </c>
      <c r="BD927" s="73">
        <f t="shared" si="541"/>
        <v>444.89152542372881</v>
      </c>
      <c r="BE927" s="73">
        <f t="shared" si="542"/>
        <v>370.75932162097502</v>
      </c>
      <c r="BF927" s="77">
        <f t="shared" si="543"/>
        <v>74.13</v>
      </c>
      <c r="BG927" s="77">
        <f t="shared" si="544"/>
        <v>22.238999999999997</v>
      </c>
      <c r="BH927" s="77">
        <f t="shared" si="545"/>
        <v>265.06152542372888</v>
      </c>
      <c r="BI927" s="78">
        <f t="shared" si="546"/>
        <v>0.28000000000000003</v>
      </c>
      <c r="BJ927" s="79">
        <f t="shared" si="547"/>
        <v>0.16662488666062189</v>
      </c>
      <c r="BK927" s="80">
        <f t="shared" si="548"/>
        <v>370.75999999999988</v>
      </c>
      <c r="BL927" s="80">
        <f t="shared" si="549"/>
        <v>74.131525423728931</v>
      </c>
      <c r="BM927" s="79">
        <f t="shared" si="550"/>
        <v>0.16662831541491763</v>
      </c>
      <c r="BN927" s="81">
        <f t="shared" si="551"/>
        <v>0.76987903225806453</v>
      </c>
      <c r="BO927" s="82">
        <f t="shared" si="552"/>
        <v>190.93</v>
      </c>
      <c r="BP927" s="81">
        <f t="shared" si="553"/>
        <v>0.76987903225806453</v>
      </c>
      <c r="BQ927" s="81">
        <f t="shared" si="554"/>
        <v>0.92682042660502229</v>
      </c>
      <c r="BR927" s="81">
        <f t="shared" si="555"/>
        <v>1.2257378678297355</v>
      </c>
      <c r="BS927" s="82">
        <f t="shared" si="556"/>
        <v>248</v>
      </c>
      <c r="BT927" s="82">
        <f t="shared" si="557"/>
        <v>303.9829912217744</v>
      </c>
      <c r="BU927" s="82">
        <f t="shared" si="558"/>
        <v>265.06152542372888</v>
      </c>
      <c r="BW927" s="82">
        <f>IFERROR(INDEX('Infos Clientes'!$T:$T,MATCH('Detalhe Por UC'!$C927,'Infos Clientes'!B:B,0)),"")</f>
        <v>361.81818181818181</v>
      </c>
      <c r="BX927" s="83">
        <f t="shared" si="559"/>
        <v>0</v>
      </c>
      <c r="BY927" s="84">
        <f t="shared" si="560"/>
        <v>0.24386734641230418</v>
      </c>
      <c r="BZ927" s="85">
        <f>IF(_xlfn.MINIFS('Detalhe Por UC'!R:R,'Detalhe Por UC'!C:C,C927,'Detalhe Por UC'!AD:AD,"&gt;"&amp;0)=0,"",_xlfn.MINIFS('Detalhe Por UC'!R:R,'Detalhe Por UC'!C:C,C927,'Detalhe Por UC'!AD:AD,"&gt;"&amp;0))</f>
        <v>45658</v>
      </c>
      <c r="CA927" s="114">
        <f ca="1">IF(OR(S927&gt;0,AD927&gt;0),IFERROR(
SUMIFS(INDIRECT("'Infos Clientes'!$W"&amp;INDEX('Infos Clientes'!$C:$C,MATCH(C927,'Infos Clientes'!$H:$H,0))&amp;":$CZ"&amp;INDEX('Infos Clientes'!$C:$C,MATCH(C927,'Infos Clientes'!$H:$H,0))),'Infos Clientes'!$W$2:$CZ$2,"&gt;"&amp;$R927-365,'Infos Clientes'!$W$2:$CZ$2,"&lt;="&amp;$R927)/
COUNTIFS(INDIRECT("'Infos Clientes'!$W"&amp;INDEX('Infos Clientes'!$C:$C,MATCH(C927,'Infos Clientes'!$H:$H,0))&amp;":$CZ"&amp;INDEX('Infos Clientes'!$C:$C,MATCH(C927,'Infos Clientes'!$H:$H,0))),"&gt;="&amp;0,'Infos Clientes'!$W$2:$CZ$2,"&gt;"&amp;$R927-365,'Infos Clientes'!$W$2:$CZ$2,"&lt;="&amp;$R927),""),"")</f>
        <v>352.16666666666669</v>
      </c>
      <c r="CB927" s="87">
        <f>VLOOKUP(C927,'Infos Clientes'!B:L,11,0)</f>
        <v>0</v>
      </c>
      <c r="CC927" s="88" t="str">
        <f t="shared" si="561"/>
        <v>A Unidade Consumidora 10/480529-7 economizou R$74,13 na fatura referente à out/2025  consumindo 248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7" s="115">
        <f t="shared" si="562"/>
        <v>-179.8299999999999</v>
      </c>
    </row>
    <row r="928" spans="1:84" ht="16.2" hidden="1" customHeight="1" x14ac:dyDescent="0.3">
      <c r="A928" s="105" t="str">
        <f>INDEX('Infos Clientes'!$D:$D,MATCH('Detalhe Por UC'!C928,'Infos Clientes'!B:B,0))</f>
        <v>IGREJA DO EVANGELHO QUADRANGULAR</v>
      </c>
      <c r="B928" s="106" t="str">
        <f>INDEX('Infos Clientes'!$F:$F,MATCH('Detalhe Por UC'!C928,'Infos Clientes'!B:B,0))</f>
        <v>62.955.505/2391-19</v>
      </c>
      <c r="C928" s="31" t="s">
        <v>193</v>
      </c>
      <c r="D928" s="31" t="s">
        <v>351</v>
      </c>
      <c r="E928" s="31" t="s">
        <v>352</v>
      </c>
      <c r="F928" s="56" t="str">
        <f>INDEX('Infos Clientes'!$I:$I,MATCH('Detalhe Por UC'!C928,'Infos Clientes'!B:B,0))</f>
        <v>BT</v>
      </c>
      <c r="G928" s="56" t="str">
        <f>INDEX('Infos Clientes'!$J:$J,MATCH('Detalhe Por UC'!C928,'Infos Clientes'!B:B,0))</f>
        <v>bifasico</v>
      </c>
      <c r="H928" s="156" t="s">
        <v>138</v>
      </c>
      <c r="I928" s="58">
        <f>IFERROR(VLOOKUP(C928,'Infos Clientes'!B:E,4,),"")</f>
        <v>306</v>
      </c>
      <c r="J928" s="152">
        <v>0.2796792317717392</v>
      </c>
      <c r="K928" s="79">
        <f>INDEX('Resumo Operacional'!$A$1:$P$151,MATCH("Desconto percentual Ucs",'Resumo Operacional'!$B$1:$B$151,0),MATCH('Detalhe Por UC'!$R928,'Resumo Operacional'!$A$1:$P$1,0))</f>
        <v>0.26414553913427991</v>
      </c>
      <c r="M928" s="56"/>
      <c r="N928" s="56"/>
      <c r="O928" s="56"/>
      <c r="P928" s="56"/>
      <c r="Q928" s="61"/>
      <c r="R928" s="111">
        <v>45931</v>
      </c>
      <c r="S928" s="151">
        <v>2.46E-2</v>
      </c>
      <c r="T928" s="113" t="str">
        <f>IF($H928="GIROSSOL II",AP928/INDEX('Resumo Operacional'!$A$1:$P$1103,17,MATCH('Detalhe Por UC'!$R928,'Resumo Operacional'!$A$1:$P$1,0)),
IF($H928="GIROSSOL II e III",AP928/INDEX('Resumo Operacional'!$A$1:$P$1103,17,MATCH('Detalhe Por UC'!$R928,'Resumo Operacional'!$A$1:$P$1,0)),
""))</f>
        <v/>
      </c>
      <c r="U928" s="113">
        <f>IF($H928="GIROSSOL III",AP928/INDEX('Resumo Operacional'!$A$1:$P$1103,53,MATCH('Detalhe Por UC'!$R928,'Resumo Operacional'!$A$1:$P$1,0)),
IF($H928="GIROSSOL II e III",AP928/INDEX('Resumo Operacional'!$A$1:$P$1103,53,MATCH('Detalhe Por UC'!$R928,'Resumo Operacional'!$A$1:$P$1,0)),
""))</f>
        <v>2.1862289366647299E-2</v>
      </c>
      <c r="X928">
        <v>1.2180985915492959</v>
      </c>
      <c r="Z928" s="18">
        <v>1.0612142857142859</v>
      </c>
      <c r="AB928" s="18">
        <v>284</v>
      </c>
      <c r="AD928" s="143">
        <v>280</v>
      </c>
      <c r="AF928" s="18">
        <v>431</v>
      </c>
      <c r="AH928">
        <v>1.17</v>
      </c>
      <c r="AL928" s="43"/>
      <c r="AN928" s="71">
        <f t="shared" si="529"/>
        <v>21</v>
      </c>
      <c r="AO928" s="71">
        <f t="shared" si="530"/>
        <v>0</v>
      </c>
      <c r="AP928" s="71">
        <f t="shared" si="531"/>
        <v>301</v>
      </c>
      <c r="AQ928" s="72">
        <f>IF(OR($H928="GIROSSOL II",$H928="GIROSSOL II e III"),INDEX('Resumo Operacional'!$A$1:$P$1103,MATCH("Energia Injetada prevista total Fatura da Usina (TUSD)",'Resumo Operacional'!$B$1:$B$1103,0),MATCH('Detalhe Por UC'!$R928,'Resumo Operacional'!$A$1:$P$1,0))*$S928,INDEX('Resumo Operacional'!$A$1:$P$1103,53,MATCH('Detalhe Por UC'!$R928,'Resumo Operacional'!$A$1:$P$1,0))*$S928)</f>
        <v>338.69279999999998</v>
      </c>
      <c r="AR928" s="71">
        <f t="shared" si="532"/>
        <v>-37.692799999999977</v>
      </c>
      <c r="AS928" s="73">
        <f t="shared" si="533"/>
        <v>49.970000000000013</v>
      </c>
      <c r="AT928" s="74">
        <f t="shared" si="534"/>
        <v>49.970000000000013</v>
      </c>
      <c r="AU928" s="74">
        <f t="shared" si="535"/>
        <v>0.90432997987927588</v>
      </c>
      <c r="AV928" s="74">
        <f t="shared" si="536"/>
        <v>214.03611307134545</v>
      </c>
      <c r="AW928" s="74">
        <f t="shared" si="537"/>
        <v>0</v>
      </c>
      <c r="AX928" s="74">
        <f t="shared" si="538"/>
        <v>297.14000000000004</v>
      </c>
      <c r="AY928" s="74">
        <f t="shared" si="539"/>
        <v>214.04</v>
      </c>
      <c r="AZ928" s="129">
        <v>217.05</v>
      </c>
      <c r="BA928" s="117">
        <v>217.05</v>
      </c>
      <c r="BB928" s="117">
        <v>217.05</v>
      </c>
      <c r="BC928" s="73" t="str">
        <f t="shared" si="540"/>
        <v/>
      </c>
      <c r="BD928" s="73">
        <f t="shared" si="541"/>
        <v>347.11000000000007</v>
      </c>
      <c r="BE928" s="73">
        <f t="shared" si="542"/>
        <v>264.00611307134545</v>
      </c>
      <c r="BF928" s="77">
        <f t="shared" si="543"/>
        <v>83.1</v>
      </c>
      <c r="BG928" s="77">
        <f t="shared" si="544"/>
        <v>24.929999999999996</v>
      </c>
      <c r="BH928" s="77">
        <f t="shared" si="545"/>
        <v>297.14000000000004</v>
      </c>
      <c r="BI928" s="78">
        <f t="shared" si="546"/>
        <v>0.28000000000000003</v>
      </c>
      <c r="BJ928" s="79">
        <f t="shared" si="547"/>
        <v>0.23940537581746413</v>
      </c>
      <c r="BK928" s="80">
        <f t="shared" si="548"/>
        <v>264.01</v>
      </c>
      <c r="BL928" s="80">
        <f t="shared" si="549"/>
        <v>83.10000000000008</v>
      </c>
      <c r="BM928" s="79">
        <f t="shared" si="550"/>
        <v>0.23940537581746438</v>
      </c>
      <c r="BN928" s="81">
        <f t="shared" si="551"/>
        <v>0.76442857142857135</v>
      </c>
      <c r="BO928" s="82">
        <f t="shared" si="552"/>
        <v>214.03999999999996</v>
      </c>
      <c r="BP928" s="81">
        <f t="shared" si="553"/>
        <v>0.76442857142857135</v>
      </c>
      <c r="BQ928" s="81">
        <f t="shared" si="554"/>
        <v>0.92131287726358135</v>
      </c>
      <c r="BR928" s="81">
        <f t="shared" si="555"/>
        <v>1.2180985915492959</v>
      </c>
      <c r="BS928" s="82">
        <f t="shared" si="556"/>
        <v>280</v>
      </c>
      <c r="BT928" s="82">
        <f t="shared" si="557"/>
        <v>341.06760563380283</v>
      </c>
      <c r="BU928" s="82">
        <f t="shared" si="558"/>
        <v>297.14000000000004</v>
      </c>
      <c r="BW928" s="82">
        <f>IFERROR(INDEX('Infos Clientes'!$T:$T,MATCH('Detalhe Por UC'!$C928,'Infos Clientes'!B:B,0)),"")</f>
        <v>330.27272727272725</v>
      </c>
      <c r="BX928" s="83">
        <f t="shared" si="559"/>
        <v>0</v>
      </c>
      <c r="BY928" s="84">
        <f t="shared" si="560"/>
        <v>0.24364670999925686</v>
      </c>
      <c r="BZ928" s="85">
        <f>IF(_xlfn.MINIFS('Detalhe Por UC'!R:R,'Detalhe Por UC'!C:C,C928,'Detalhe Por UC'!AD:AD,"&gt;"&amp;0)=0,"",_xlfn.MINIFS('Detalhe Por UC'!R:R,'Detalhe Por UC'!C:C,C928,'Detalhe Por UC'!AD:AD,"&gt;"&amp;0))</f>
        <v>45658</v>
      </c>
      <c r="CA928" s="114">
        <f ca="1">IF(OR(S928&gt;0,AD928&gt;0),IFERROR(
SUMIFS(INDIRECT("'Infos Clientes'!$W"&amp;INDEX('Infos Clientes'!$C:$C,MATCH(C928,'Infos Clientes'!$H:$H,0))&amp;":$CZ"&amp;INDEX('Infos Clientes'!$C:$C,MATCH(C928,'Infos Clientes'!$H:$H,0))),'Infos Clientes'!$W$2:$CZ$2,"&gt;"&amp;$R928-365,'Infos Clientes'!$W$2:$CZ$2,"&lt;="&amp;$R928)/
COUNTIFS(INDIRECT("'Infos Clientes'!$W"&amp;INDEX('Infos Clientes'!$C:$C,MATCH(C928,'Infos Clientes'!$H:$H,0))&amp;":$CZ"&amp;INDEX('Infos Clientes'!$C:$C,MATCH(C928,'Infos Clientes'!$H:$H,0))),"&gt;="&amp;0,'Infos Clientes'!$W$2:$CZ$2,"&gt;"&amp;$R928-365,'Infos Clientes'!$W$2:$CZ$2,"&lt;="&amp;$R928),""),"")</f>
        <v>281.25</v>
      </c>
      <c r="CB928" s="87">
        <f>VLOOKUP(C928,'Infos Clientes'!B:L,11,0)</f>
        <v>0</v>
      </c>
      <c r="CC928" s="88" t="str">
        <f t="shared" si="561"/>
        <v>A Unidade Consumidora 10/341308-5 economizou R$83,1 na fatura referente à out/2025  consumindo 280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8" s="115">
        <f t="shared" si="562"/>
        <v>-49.970000000000013</v>
      </c>
    </row>
    <row r="929" spans="1:84" ht="16.2" hidden="1" customHeight="1" x14ac:dyDescent="0.3">
      <c r="A929" s="105" t="str">
        <f>INDEX('Infos Clientes'!$D:$D,MATCH('Detalhe Por UC'!C929,'Infos Clientes'!B:B,0))</f>
        <v>IGREJA DO EVANGELHO QUADRANGULAR</v>
      </c>
      <c r="B929" s="106" t="str">
        <f>INDEX('Infos Clientes'!$F:$F,MATCH('Detalhe Por UC'!C929,'Infos Clientes'!B:B,0))</f>
        <v>62.955.505/3574-05</v>
      </c>
      <c r="C929" s="31" t="s">
        <v>203</v>
      </c>
      <c r="D929" s="31" t="s">
        <v>351</v>
      </c>
      <c r="E929" s="31" t="s">
        <v>352</v>
      </c>
      <c r="F929" s="56" t="str">
        <f>INDEX('Infos Clientes'!$I:$I,MATCH('Detalhe Por UC'!C929,'Infos Clientes'!B:B,0))</f>
        <v>BT</v>
      </c>
      <c r="G929" s="56" t="str">
        <f>INDEX('Infos Clientes'!$J:$J,MATCH('Detalhe Por UC'!C929,'Infos Clientes'!B:B,0))</f>
        <v>trifasico</v>
      </c>
      <c r="H929" s="156" t="s">
        <v>138</v>
      </c>
      <c r="I929" s="58">
        <f>IFERROR(VLOOKUP(C929,'Infos Clientes'!B:E,4,),"")</f>
        <v>306</v>
      </c>
      <c r="J929" s="152">
        <v>0.2796792317717392</v>
      </c>
      <c r="K929" s="79">
        <f>INDEX('Resumo Operacional'!$A$1:$P$151,MATCH("Desconto percentual Ucs",'Resumo Operacional'!$B$1:$B$151,0),MATCH('Detalhe Por UC'!$R929,'Resumo Operacional'!$A$1:$P$1,0))</f>
        <v>0.26414553913427991</v>
      </c>
      <c r="M929" s="56"/>
      <c r="N929" s="56"/>
      <c r="O929" s="56"/>
      <c r="P929" s="56"/>
      <c r="Q929" s="61"/>
      <c r="R929" s="111">
        <v>45931</v>
      </c>
      <c r="S929" s="151">
        <v>2.4500000000000001E-2</v>
      </c>
      <c r="T929" s="113" t="str">
        <f>IF($H929="GIROSSOL II",AP929/INDEX('Resumo Operacional'!$A$1:$P$1103,17,MATCH('Detalhe Por UC'!$R929,'Resumo Operacional'!$A$1:$P$1,0)),
IF($H929="GIROSSOL II e III",AP929/INDEX('Resumo Operacional'!$A$1:$P$1103,17,MATCH('Detalhe Por UC'!$R929,'Resumo Operacional'!$A$1:$P$1,0)),
""))</f>
        <v/>
      </c>
      <c r="U929" s="113">
        <f>IF($H929="GIROSSOL III",AP929/INDEX('Resumo Operacional'!$A$1:$P$1103,53,MATCH('Detalhe Por UC'!$R929,'Resumo Operacional'!$A$1:$P$1,0)),
IF($H929="GIROSSOL II e III",AP929/INDEX('Resumo Operacional'!$A$1:$P$1103,53,MATCH('Detalhe Por UC'!$R929,'Resumo Operacional'!$A$1:$P$1,0)),
""))</f>
        <v>0</v>
      </c>
      <c r="X929">
        <v>1.2188610375711149</v>
      </c>
      <c r="Z929" s="54">
        <v>1.0619282885136545</v>
      </c>
      <c r="AB929" s="18">
        <v>433</v>
      </c>
      <c r="AD929" s="143">
        <v>351</v>
      </c>
      <c r="AF929" s="18">
        <v>0</v>
      </c>
      <c r="AG929">
        <v>0</v>
      </c>
      <c r="AH929">
        <v>0</v>
      </c>
      <c r="AL929" s="43"/>
      <c r="AN929" s="71">
        <f t="shared" si="529"/>
        <v>-351</v>
      </c>
      <c r="AO929" s="71">
        <f t="shared" si="530"/>
        <v>0</v>
      </c>
      <c r="AP929" s="71">
        <f t="shared" si="531"/>
        <v>0</v>
      </c>
      <c r="AQ929" s="72">
        <f>IF(OR($H929="GIROSSOL II",$H929="GIROSSOL II e III"),INDEX('Resumo Operacional'!$A$1:$P$1103,MATCH("Energia Injetada prevista total Fatura da Usina (TUSD)",'Resumo Operacional'!$B$1:$B$1103,0),MATCH('Detalhe Por UC'!$R929,'Resumo Operacional'!$A$1:$P$1,0))*$S929,INDEX('Resumo Operacional'!$A$1:$P$1103,53,MATCH('Detalhe Por UC'!$R929,'Resumo Operacional'!$A$1:$P$1,0))*$S929)</f>
        <v>337.31600000000003</v>
      </c>
      <c r="AR929" s="71">
        <f t="shared" si="532"/>
        <v>-337.31600000000003</v>
      </c>
      <c r="AS929" s="73">
        <f t="shared" si="533"/>
        <v>155.03000000000003</v>
      </c>
      <c r="AT929" s="74">
        <f t="shared" si="534"/>
        <v>155.03000000000003</v>
      </c>
      <c r="AU929" s="74">
        <f t="shared" si="535"/>
        <v>0.90499553945619415</v>
      </c>
      <c r="AV929" s="74">
        <f t="shared" si="536"/>
        <v>268.49007920550275</v>
      </c>
      <c r="AW929" s="74">
        <f t="shared" si="537"/>
        <v>0</v>
      </c>
      <c r="AX929" s="74">
        <f t="shared" si="538"/>
        <v>372.73682926829275</v>
      </c>
      <c r="AY929" s="74">
        <f t="shared" si="539"/>
        <v>268.49</v>
      </c>
      <c r="AZ929" s="129">
        <v>268.49</v>
      </c>
      <c r="BA929" s="117">
        <v>268.49</v>
      </c>
      <c r="BB929" s="49">
        <v>268.49</v>
      </c>
      <c r="BC929" s="73" t="str">
        <f t="shared" si="540"/>
        <v/>
      </c>
      <c r="BD929" s="73">
        <f t="shared" si="541"/>
        <v>527.76682926829278</v>
      </c>
      <c r="BE929" s="73">
        <f t="shared" si="542"/>
        <v>423.52007920550278</v>
      </c>
      <c r="BF929" s="77">
        <f t="shared" si="543"/>
        <v>104.25</v>
      </c>
      <c r="BG929" s="77">
        <f t="shared" si="544"/>
        <v>31.274999999999999</v>
      </c>
      <c r="BH929" s="77">
        <f t="shared" si="545"/>
        <v>372.73682926829269</v>
      </c>
      <c r="BI929" s="78">
        <f t="shared" si="546"/>
        <v>0.28000000000000003</v>
      </c>
      <c r="BJ929" s="79">
        <f t="shared" si="547"/>
        <v>0.19753041346788397</v>
      </c>
      <c r="BK929" s="80">
        <f t="shared" si="548"/>
        <v>423.52000000000004</v>
      </c>
      <c r="BL929" s="80">
        <f t="shared" si="549"/>
        <v>104.24682926829274</v>
      </c>
      <c r="BM929" s="79">
        <f t="shared" si="550"/>
        <v>0.19752440564107218</v>
      </c>
      <c r="BN929" s="81">
        <f t="shared" si="551"/>
        <v>0.76492877492877498</v>
      </c>
      <c r="BO929" s="82">
        <f t="shared" si="552"/>
        <v>268.49</v>
      </c>
      <c r="BP929" s="81">
        <f t="shared" si="553"/>
        <v>0.76492877492877498</v>
      </c>
      <c r="BQ929" s="81">
        <f t="shared" si="554"/>
        <v>0.92186152398623533</v>
      </c>
      <c r="BR929" s="81">
        <f t="shared" si="555"/>
        <v>1.2188610375711149</v>
      </c>
      <c r="BS929" s="82">
        <f t="shared" si="556"/>
        <v>351</v>
      </c>
      <c r="BT929" s="82">
        <f t="shared" si="557"/>
        <v>427.82022418746129</v>
      </c>
      <c r="BU929" s="82">
        <f t="shared" si="558"/>
        <v>372.73682926829275</v>
      </c>
      <c r="BW929" s="82">
        <f>IFERROR(INDEX('Infos Clientes'!$T:$T,MATCH('Detalhe Por UC'!$C929,'Infos Clientes'!B:B,0)),"")</f>
        <v>378.09090909090907</v>
      </c>
      <c r="BX929" s="83">
        <f t="shared" si="559"/>
        <v>0</v>
      </c>
      <c r="BY929" s="84">
        <f t="shared" si="560"/>
        <v>0.24366970838343086</v>
      </c>
      <c r="BZ929" s="85">
        <f>IF(_xlfn.MINIFS('Detalhe Por UC'!R:R,'Detalhe Por UC'!C:C,C929,'Detalhe Por UC'!AD:AD,"&gt;"&amp;0)=0,"",_xlfn.MINIFS('Detalhe Por UC'!R:R,'Detalhe Por UC'!C:C,C929,'Detalhe Por UC'!AD:AD,"&gt;"&amp;0))</f>
        <v>45658</v>
      </c>
      <c r="CA929" s="114">
        <f ca="1">IF(OR(S929&gt;0,AD929&gt;0),IFERROR(
SUMIFS(INDIRECT("'Infos Clientes'!$W"&amp;INDEX('Infos Clientes'!$C:$C,MATCH(C929,'Infos Clientes'!$H:$H,0))&amp;":$CZ"&amp;INDEX('Infos Clientes'!$C:$C,MATCH(C929,'Infos Clientes'!$H:$H,0))),'Infos Clientes'!$W$2:$CZ$2,"&gt;"&amp;$R929-365,'Infos Clientes'!$W$2:$CZ$2,"&lt;="&amp;$R929)/
COUNTIFS(INDIRECT("'Infos Clientes'!$W"&amp;INDEX('Infos Clientes'!$C:$C,MATCH(C929,'Infos Clientes'!$H:$H,0))&amp;":$CZ"&amp;INDEX('Infos Clientes'!$C:$C,MATCH(C929,'Infos Clientes'!$H:$H,0))),"&gt;="&amp;0,'Infos Clientes'!$W$2:$CZ$2,"&gt;"&amp;$R929-365,'Infos Clientes'!$W$2:$CZ$2,"&lt;="&amp;$R929),""),"")</f>
        <v>361.58333333333331</v>
      </c>
      <c r="CB929" s="87">
        <f>VLOOKUP(C929,'Infos Clientes'!B:L,11,0)</f>
        <v>0</v>
      </c>
      <c r="CC929" s="88" t="str">
        <f t="shared" si="561"/>
        <v>A Unidade Consumidora 10/435964-2 economizou R$104,25 na fatura referente à out/2025  consumindo 351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29" s="115">
        <f t="shared" si="562"/>
        <v>-155.03000000000003</v>
      </c>
    </row>
    <row r="930" spans="1:84" ht="16.2" hidden="1" customHeight="1" x14ac:dyDescent="0.3">
      <c r="A930" s="105" t="str">
        <f>INDEX('Infos Clientes'!$D:$D,MATCH('Detalhe Por UC'!C930,'Infos Clientes'!B:B,0))</f>
        <v>IGREJA DO EVANGELHO QUADRANGULAR</v>
      </c>
      <c r="B930" s="106" t="str">
        <f>INDEX('Infos Clientes'!$F:$F,MATCH('Detalhe Por UC'!C930,'Infos Clientes'!B:B,0))</f>
        <v>62.955.505/0159-46</v>
      </c>
      <c r="C930" s="31" t="s">
        <v>231</v>
      </c>
      <c r="D930" s="31" t="s">
        <v>351</v>
      </c>
      <c r="E930" s="31" t="s">
        <v>352</v>
      </c>
      <c r="F930" s="56" t="str">
        <f>INDEX('Infos Clientes'!$I:$I,MATCH('Detalhe Por UC'!C930,'Infos Clientes'!B:B,0))</f>
        <v>BT</v>
      </c>
      <c r="G930" s="56" t="str">
        <f>INDEX('Infos Clientes'!$J:$J,MATCH('Detalhe Por UC'!C930,'Infos Clientes'!B:B,0))</f>
        <v>trifasico</v>
      </c>
      <c r="H930" s="156" t="s">
        <v>138</v>
      </c>
      <c r="I930" s="58">
        <f>IFERROR(VLOOKUP(C930,'Infos Clientes'!B:E,4,),"")</f>
        <v>302</v>
      </c>
      <c r="J930" s="152">
        <v>0.2796792317717392</v>
      </c>
      <c r="K930" s="79">
        <f>INDEX('Resumo Operacional'!$A$1:$P$151,MATCH("Desconto percentual Ucs",'Resumo Operacional'!$B$1:$B$151,0),MATCH('Detalhe Por UC'!$R930,'Resumo Operacional'!$A$1:$P$1,0))</f>
        <v>0.26414553913427991</v>
      </c>
      <c r="M930" s="56"/>
      <c r="N930" s="56"/>
      <c r="O930" s="56"/>
      <c r="P930" s="56"/>
      <c r="Q930" s="61"/>
      <c r="R930" s="111">
        <v>45931</v>
      </c>
      <c r="S930" s="151">
        <v>2.4299999999999999E-2</v>
      </c>
      <c r="T930" s="113" t="str">
        <f>IF($H930="GIROSSOL II",AP930/INDEX('Resumo Operacional'!$A$1:$P$1103,17,MATCH('Detalhe Por UC'!$R930,'Resumo Operacional'!$A$1:$P$1,0)),
IF($H930="GIROSSOL II e III",AP930/INDEX('Resumo Operacional'!$A$1:$P$1103,17,MATCH('Detalhe Por UC'!$R930,'Resumo Operacional'!$A$1:$P$1,0)),
""))</f>
        <v/>
      </c>
      <c r="U930" s="113">
        <f>IF($H930="GIROSSOL III",AP930/INDEX('Resumo Operacional'!$A$1:$P$1103,53,MATCH('Detalhe Por UC'!$R930,'Resumo Operacional'!$A$1:$P$1,0)),
IF($H930="GIROSSOL II e III",AP930/INDEX('Resumo Operacional'!$A$1:$P$1103,53,MATCH('Detalhe Por UC'!$R930,'Resumo Operacional'!$A$1:$P$1,0)),
""))</f>
        <v>2.6147588611272515E-2</v>
      </c>
      <c r="X930">
        <v>1.2231218274111675</v>
      </c>
      <c r="Z930" s="18">
        <v>1.0662224108658747</v>
      </c>
      <c r="AB930" s="18">
        <v>591</v>
      </c>
      <c r="AD930" s="143">
        <v>589</v>
      </c>
      <c r="AF930" s="18">
        <v>293</v>
      </c>
      <c r="AH930">
        <v>52.42</v>
      </c>
      <c r="AL930" s="43"/>
      <c r="AN930" s="71">
        <f t="shared" si="529"/>
        <v>-229</v>
      </c>
      <c r="AO930" s="71">
        <f t="shared" si="530"/>
        <v>0</v>
      </c>
      <c r="AP930" s="71">
        <f t="shared" si="531"/>
        <v>360</v>
      </c>
      <c r="AQ930" s="72">
        <f>IF(OR($H930="GIROSSOL II",$H930="GIROSSOL II e III"),INDEX('Resumo Operacional'!$A$1:$P$1103,MATCH("Energia Injetada prevista total Fatura da Usina (TUSD)",'Resumo Operacional'!$B$1:$B$1103,0),MATCH('Detalhe Por UC'!$R930,'Resumo Operacional'!$A$1:$P$1,0))*$S930,INDEX('Resumo Operacional'!$A$1:$P$1103,53,MATCH('Detalhe Por UC'!$R930,'Resumo Operacional'!$A$1:$P$1,0))*$S930)</f>
        <v>334.56239999999997</v>
      </c>
      <c r="AR930" s="71">
        <f t="shared" si="532"/>
        <v>25.437600000000032</v>
      </c>
      <c r="AS930" s="73">
        <f t="shared" si="533"/>
        <v>147.2799999999998</v>
      </c>
      <c r="AT930" s="74">
        <f t="shared" si="534"/>
        <v>147.2799999999998</v>
      </c>
      <c r="AU930" s="74">
        <f t="shared" si="535"/>
        <v>0.90932299432058183</v>
      </c>
      <c r="AV930" s="74">
        <f t="shared" si="536"/>
        <v>452.36504405118905</v>
      </c>
      <c r="AW930" s="74">
        <f t="shared" si="537"/>
        <v>0</v>
      </c>
      <c r="AX930" s="74">
        <f t="shared" si="538"/>
        <v>628.00500000000022</v>
      </c>
      <c r="AY930" s="74">
        <f t="shared" si="539"/>
        <v>452.37</v>
      </c>
      <c r="AZ930" s="129">
        <v>398.21</v>
      </c>
      <c r="BA930" s="117">
        <v>398.21</v>
      </c>
      <c r="BB930" s="49">
        <v>398.21</v>
      </c>
      <c r="BC930" s="73" t="str">
        <f t="shared" si="540"/>
        <v/>
      </c>
      <c r="BD930" s="73">
        <f t="shared" si="541"/>
        <v>775.28499999999997</v>
      </c>
      <c r="BE930" s="73">
        <f t="shared" si="542"/>
        <v>599.64504405118885</v>
      </c>
      <c r="BF930" s="77">
        <f t="shared" si="543"/>
        <v>175.64</v>
      </c>
      <c r="BG930" s="77">
        <f t="shared" si="544"/>
        <v>52.691999999999993</v>
      </c>
      <c r="BH930" s="77">
        <f t="shared" si="545"/>
        <v>628.00500000000011</v>
      </c>
      <c r="BI930" s="78">
        <f t="shared" si="546"/>
        <v>0.28000000000000003</v>
      </c>
      <c r="BJ930" s="79">
        <f t="shared" si="547"/>
        <v>0.22654894651644233</v>
      </c>
      <c r="BK930" s="80">
        <f t="shared" si="548"/>
        <v>599.64999999999986</v>
      </c>
      <c r="BL930" s="80">
        <f t="shared" si="549"/>
        <v>175.6350000000001</v>
      </c>
      <c r="BM930" s="79">
        <f t="shared" si="550"/>
        <v>0.22654249727519571</v>
      </c>
      <c r="BN930" s="81">
        <f t="shared" si="551"/>
        <v>0.76803056027164684</v>
      </c>
      <c r="BO930" s="82">
        <f t="shared" si="552"/>
        <v>452.37</v>
      </c>
      <c r="BP930" s="81">
        <f t="shared" si="553"/>
        <v>0.76803056027164684</v>
      </c>
      <c r="BQ930" s="81">
        <f t="shared" si="554"/>
        <v>0.92492997681693967</v>
      </c>
      <c r="BR930" s="81">
        <f t="shared" si="555"/>
        <v>1.2231218274111675</v>
      </c>
      <c r="BS930" s="82">
        <f t="shared" si="556"/>
        <v>589</v>
      </c>
      <c r="BT930" s="82">
        <f t="shared" si="557"/>
        <v>720.4187563451776</v>
      </c>
      <c r="BU930" s="82">
        <f t="shared" si="558"/>
        <v>628.00500000000022</v>
      </c>
      <c r="BW930" s="82">
        <f>IFERROR(INDEX('Infos Clientes'!$T:$T,MATCH('Detalhe Por UC'!$C930,'Infos Clientes'!B:B,0)),"")</f>
        <v>461.45454545454544</v>
      </c>
      <c r="BX930" s="83">
        <f t="shared" si="559"/>
        <v>0</v>
      </c>
      <c r="BY930" s="84">
        <f t="shared" si="560"/>
        <v>0.2437957069455412</v>
      </c>
      <c r="BZ930" s="85">
        <f>IF(_xlfn.MINIFS('Detalhe Por UC'!R:R,'Detalhe Por UC'!C:C,C930,'Detalhe Por UC'!AD:AD,"&gt;"&amp;0)=0,"",_xlfn.MINIFS('Detalhe Por UC'!R:R,'Detalhe Por UC'!C:C,C930,'Detalhe Por UC'!AD:AD,"&gt;"&amp;0))</f>
        <v>45658</v>
      </c>
      <c r="CA930" s="114">
        <f ca="1">IF(OR(S930&gt;0,AD930&gt;0),IFERROR(
SUMIFS(INDIRECT("'Infos Clientes'!$W"&amp;INDEX('Infos Clientes'!$C:$C,MATCH(C930,'Infos Clientes'!$H:$H,0))&amp;":$CZ"&amp;INDEX('Infos Clientes'!$C:$C,MATCH(C930,'Infos Clientes'!$H:$H,0))),'Infos Clientes'!$W$2:$CZ$2,"&gt;"&amp;$R930-365,'Infos Clientes'!$W$2:$CZ$2,"&lt;="&amp;$R930)/
COUNTIFS(INDIRECT("'Infos Clientes'!$W"&amp;INDEX('Infos Clientes'!$C:$C,MATCH(C930,'Infos Clientes'!$H:$H,0))&amp;":$CZ"&amp;INDEX('Infos Clientes'!$C:$C,MATCH(C930,'Infos Clientes'!$H:$H,0))),"&gt;="&amp;0,'Infos Clientes'!$W$2:$CZ$2,"&gt;"&amp;$R930-365,'Infos Clientes'!$W$2:$CZ$2,"&lt;="&amp;$R930),""),"")</f>
        <v>441.58333333333331</v>
      </c>
      <c r="CB930" s="87">
        <f>VLOOKUP(C930,'Infos Clientes'!B:L,11,0)</f>
        <v>0</v>
      </c>
      <c r="CC930" s="88" t="str">
        <f t="shared" si="561"/>
        <v>A Unidade Consumidora 10/81222-2 economizou R$175,64 na fatura referente à out/2025  consumindo 589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0" s="115">
        <f t="shared" si="562"/>
        <v>-147.2799999999998</v>
      </c>
    </row>
    <row r="931" spans="1:84" ht="16.2" hidden="1" customHeight="1" x14ac:dyDescent="0.3">
      <c r="A931" s="105" t="str">
        <f>INDEX('Infos Clientes'!$D:$D,MATCH('Detalhe Por UC'!C931,'Infos Clientes'!B:B,0))</f>
        <v>IGREJA DO EVANGELHO QUADRANGULAR</v>
      </c>
      <c r="B931" s="106" t="str">
        <f>INDEX('Infos Clientes'!$F:$F,MATCH('Detalhe Por UC'!C931,'Infos Clientes'!B:B,0))</f>
        <v>62.955.505/1975-21</v>
      </c>
      <c r="C931" s="31" t="s">
        <v>154</v>
      </c>
      <c r="D931" s="31" t="s">
        <v>351</v>
      </c>
      <c r="E931" s="31" t="s">
        <v>352</v>
      </c>
      <c r="F931" s="56" t="str">
        <f>INDEX('Infos Clientes'!$I:$I,MATCH('Detalhe Por UC'!C931,'Infos Clientes'!B:B,0))</f>
        <v>BT</v>
      </c>
      <c r="G931" s="56" t="str">
        <f>INDEX('Infos Clientes'!$J:$J,MATCH('Detalhe Por UC'!C931,'Infos Clientes'!B:B,0))</f>
        <v>bifasico</v>
      </c>
      <c r="H931" s="156" t="s">
        <v>138</v>
      </c>
      <c r="I931" s="58">
        <f>IFERROR(VLOOKUP(C931,'Infos Clientes'!B:E,4,),"")</f>
        <v>357</v>
      </c>
      <c r="J931" s="152">
        <v>0.2796792317717392</v>
      </c>
      <c r="K931" s="79">
        <f>INDEX('Resumo Operacional'!$A$1:$P$151,MATCH("Desconto percentual Ucs",'Resumo Operacional'!$B$1:$B$151,0),MATCH('Detalhe Por UC'!$R931,'Resumo Operacional'!$A$1:$P$1,0))</f>
        <v>0.26414553913427991</v>
      </c>
      <c r="M931" s="56"/>
      <c r="N931" s="56"/>
      <c r="O931" s="56"/>
      <c r="P931" s="56"/>
      <c r="Q931" s="61"/>
      <c r="R931" s="111">
        <v>45931</v>
      </c>
      <c r="S931" s="151">
        <v>2.3800000000000002E-2</v>
      </c>
      <c r="T931" s="113" t="str">
        <f>IF($H931="GIROSSOL II",AP931/INDEX('Resumo Operacional'!$A$1:$P$1103,17,MATCH('Detalhe Por UC'!$R931,'Resumo Operacional'!$A$1:$P$1,0)),
IF($H931="GIROSSOL II e III",AP931/INDEX('Resumo Operacional'!$A$1:$P$1103,17,MATCH('Detalhe Por UC'!$R931,'Resumo Operacional'!$A$1:$P$1,0)),
""))</f>
        <v/>
      </c>
      <c r="U931" s="113">
        <f>IF($H931="GIROSSOL III",AP931/INDEX('Resumo Operacional'!$A$1:$P$1103,53,MATCH('Detalhe Por UC'!$R931,'Resumo Operacional'!$A$1:$P$1,0)),
IF($H931="GIROSSOL II e III",AP931/INDEX('Resumo Operacional'!$A$1:$P$1103,53,MATCH('Detalhe Por UC'!$R931,'Resumo Operacional'!$A$1:$P$1,0)),
""))</f>
        <v>2.1644392794886693E-2</v>
      </c>
      <c r="X931">
        <v>1.214109090909091</v>
      </c>
      <c r="Z931" s="18">
        <v>1.0572222222222223</v>
      </c>
      <c r="AB931" s="18">
        <v>275</v>
      </c>
      <c r="AD931" s="143">
        <v>270</v>
      </c>
      <c r="AF931" s="18">
        <v>300</v>
      </c>
      <c r="AH931">
        <v>0</v>
      </c>
      <c r="AL931" s="43"/>
      <c r="AN931" s="71">
        <f t="shared" si="529"/>
        <v>28</v>
      </c>
      <c r="AO931" s="71">
        <f t="shared" si="530"/>
        <v>0</v>
      </c>
      <c r="AP931" s="71">
        <f t="shared" si="531"/>
        <v>298</v>
      </c>
      <c r="AQ931" s="72">
        <f>IF(OR($H931="GIROSSOL II",$H931="GIROSSOL II e III"),INDEX('Resumo Operacional'!$A$1:$P$1103,MATCH("Energia Injetada prevista total Fatura da Usina (TUSD)",'Resumo Operacional'!$B$1:$B$1103,0),MATCH('Detalhe Por UC'!$R931,'Resumo Operacional'!$A$1:$P$1,0))*$S931,INDEX('Resumo Operacional'!$A$1:$P$1103,53,MATCH('Detalhe Por UC'!$R931,'Resumo Operacional'!$A$1:$P$1,0))*$S931)</f>
        <v>327.67840000000001</v>
      </c>
      <c r="AR931" s="71">
        <f t="shared" si="532"/>
        <v>-29.678400000000011</v>
      </c>
      <c r="AS931" s="73">
        <f t="shared" si="533"/>
        <v>48.430000000000007</v>
      </c>
      <c r="AT931" s="74">
        <f t="shared" si="534"/>
        <v>48.430000000000007</v>
      </c>
      <c r="AU931" s="74">
        <f t="shared" si="535"/>
        <v>0.90033535353535354</v>
      </c>
      <c r="AV931" s="74">
        <f t="shared" si="536"/>
        <v>205.61556329075705</v>
      </c>
      <c r="AW931" s="74">
        <f t="shared" si="537"/>
        <v>0</v>
      </c>
      <c r="AX931" s="74">
        <f t="shared" si="538"/>
        <v>285.45000000000005</v>
      </c>
      <c r="AY931" s="74">
        <f t="shared" si="539"/>
        <v>205.62</v>
      </c>
      <c r="AZ931" s="129">
        <v>206</v>
      </c>
      <c r="BA931" s="117">
        <v>206</v>
      </c>
      <c r="BB931" s="49">
        <v>206</v>
      </c>
      <c r="BC931" s="73" t="str">
        <f t="shared" si="540"/>
        <v/>
      </c>
      <c r="BD931" s="73">
        <f t="shared" si="541"/>
        <v>333.88000000000005</v>
      </c>
      <c r="BE931" s="73">
        <f t="shared" si="542"/>
        <v>254.04556329075706</v>
      </c>
      <c r="BF931" s="77">
        <f t="shared" si="543"/>
        <v>79.83</v>
      </c>
      <c r="BG931" s="77">
        <f t="shared" si="544"/>
        <v>23.948999999999998</v>
      </c>
      <c r="BH931" s="77">
        <f t="shared" si="545"/>
        <v>285.45</v>
      </c>
      <c r="BI931" s="78">
        <f t="shared" si="546"/>
        <v>0.28000000000000003</v>
      </c>
      <c r="BJ931" s="79">
        <f t="shared" si="547"/>
        <v>0.23909787947765659</v>
      </c>
      <c r="BK931" s="80">
        <f t="shared" si="548"/>
        <v>254.05</v>
      </c>
      <c r="BL931" s="80">
        <f t="shared" si="549"/>
        <v>79.830000000000041</v>
      </c>
      <c r="BM931" s="79">
        <f t="shared" si="550"/>
        <v>0.23909787947765673</v>
      </c>
      <c r="BN931" s="81">
        <f t="shared" si="551"/>
        <v>0.76155555555555554</v>
      </c>
      <c r="BO931" s="82">
        <f t="shared" si="552"/>
        <v>205.62</v>
      </c>
      <c r="BP931" s="81">
        <f t="shared" si="553"/>
        <v>0.76155555555555554</v>
      </c>
      <c r="BQ931" s="81">
        <f t="shared" si="554"/>
        <v>0.91844242424242428</v>
      </c>
      <c r="BR931" s="81">
        <f t="shared" si="555"/>
        <v>1.214109090909091</v>
      </c>
      <c r="BS931" s="82">
        <f t="shared" si="556"/>
        <v>270</v>
      </c>
      <c r="BT931" s="82">
        <f t="shared" si="557"/>
        <v>327.80945454545457</v>
      </c>
      <c r="BU931" s="82">
        <f t="shared" si="558"/>
        <v>285.45000000000005</v>
      </c>
      <c r="BW931" s="82">
        <f>IFERROR(INDEX('Infos Clientes'!$T:$T,MATCH('Detalhe Por UC'!$C931,'Infos Clientes'!B:B,0)),"")</f>
        <v>278.36363636363637</v>
      </c>
      <c r="BX931" s="83">
        <f t="shared" si="559"/>
        <v>0</v>
      </c>
      <c r="BY931" s="84">
        <f t="shared" si="560"/>
        <v>0.24352561798650219</v>
      </c>
      <c r="BZ931" s="85">
        <f>IF(_xlfn.MINIFS('Detalhe Por UC'!R:R,'Detalhe Por UC'!C:C,C931,'Detalhe Por UC'!AD:AD,"&gt;"&amp;0)=0,"",_xlfn.MINIFS('Detalhe Por UC'!R:R,'Detalhe Por UC'!C:C,C931,'Detalhe Por UC'!AD:AD,"&gt;"&amp;0))</f>
        <v>45658</v>
      </c>
      <c r="CA931" s="114">
        <f ca="1">IF(OR(S931&gt;0,AD931&gt;0),IFERROR(
SUMIFS(INDIRECT("'Infos Clientes'!$W"&amp;INDEX('Infos Clientes'!$C:$C,MATCH(C931,'Infos Clientes'!$H:$H,0))&amp;":$CZ"&amp;INDEX('Infos Clientes'!$C:$C,MATCH(C931,'Infos Clientes'!$H:$H,0))),'Infos Clientes'!$W$2:$CZ$2,"&gt;"&amp;$R931-365,'Infos Clientes'!$W$2:$CZ$2,"&lt;="&amp;$R931)/
COUNTIFS(INDIRECT("'Infos Clientes'!$W"&amp;INDEX('Infos Clientes'!$C:$C,MATCH(C931,'Infos Clientes'!$H:$H,0))&amp;":$CZ"&amp;INDEX('Infos Clientes'!$C:$C,MATCH(C931,'Infos Clientes'!$H:$H,0))),"&gt;="&amp;0,'Infos Clientes'!$W$2:$CZ$2,"&gt;"&amp;$R931-365,'Infos Clientes'!$W$2:$CZ$2,"&lt;="&amp;$R931),""),"")</f>
        <v>283.5</v>
      </c>
      <c r="CB931" s="87">
        <f>VLOOKUP(C931,'Infos Clientes'!B:L,11,0)</f>
        <v>0</v>
      </c>
      <c r="CC931" s="88" t="str">
        <f t="shared" si="561"/>
        <v>A Unidade Consumidora 10/13786-9 economizou R$79,83 na fatura referente à out/2025  consumindo 270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1" s="115">
        <f t="shared" si="562"/>
        <v>-48.430000000000007</v>
      </c>
    </row>
    <row r="932" spans="1:84" ht="16.2" hidden="1" customHeight="1" x14ac:dyDescent="0.3">
      <c r="A932" s="105" t="str">
        <f>INDEX('Infos Clientes'!$D:$D,MATCH('Detalhe Por UC'!C932,'Infos Clientes'!B:B,0))</f>
        <v>IGREJA DO EVANGELHO QUADRANGULAR</v>
      </c>
      <c r="B932" s="106" t="str">
        <f>INDEX('Infos Clientes'!$F:$F,MATCH('Detalhe Por UC'!C932,'Infos Clientes'!B:B,0))</f>
        <v>62.955.505/1822-57</v>
      </c>
      <c r="C932" s="31" t="s">
        <v>222</v>
      </c>
      <c r="D932" s="31" t="s">
        <v>351</v>
      </c>
      <c r="E932" s="31" t="s">
        <v>352</v>
      </c>
      <c r="F932" s="56" t="str">
        <f>INDEX('Infos Clientes'!$I:$I,MATCH('Detalhe Por UC'!C932,'Infos Clientes'!B:B,0))</f>
        <v>BT</v>
      </c>
      <c r="G932" s="56" t="str">
        <f>INDEX('Infos Clientes'!$J:$J,MATCH('Detalhe Por UC'!C932,'Infos Clientes'!B:B,0))</f>
        <v>trifasico</v>
      </c>
      <c r="H932" s="156" t="s">
        <v>138</v>
      </c>
      <c r="I932" s="58">
        <f>IFERROR(VLOOKUP(C932,'Infos Clientes'!B:E,4,),"")</f>
        <v>319</v>
      </c>
      <c r="J932" s="152">
        <v>0.2796792317717392</v>
      </c>
      <c r="K932" s="79">
        <f>INDEX('Resumo Operacional'!$A$1:$P$151,MATCH("Desconto percentual Ucs",'Resumo Operacional'!$B$1:$B$151,0),MATCH('Detalhe Por UC'!$R932,'Resumo Operacional'!$A$1:$P$1,0))</f>
        <v>0.26414553913427991</v>
      </c>
      <c r="M932" s="56"/>
      <c r="N932" s="56"/>
      <c r="O932" s="56"/>
      <c r="P932" s="56"/>
      <c r="Q932" s="61"/>
      <c r="R932" s="111">
        <v>45931</v>
      </c>
      <c r="S932" s="151">
        <v>2.3699999999999999E-2</v>
      </c>
      <c r="T932" s="113" t="str">
        <f>IF($H932="GIROSSOL II",AP932/INDEX('Resumo Operacional'!$A$1:$P$1103,17,MATCH('Detalhe Por UC'!$R932,'Resumo Operacional'!$A$1:$P$1,0)),
IF($H932="GIROSSOL II e III",AP932/INDEX('Resumo Operacional'!$A$1:$P$1103,17,MATCH('Detalhe Por UC'!$R932,'Resumo Operacional'!$A$1:$P$1,0)),
""))</f>
        <v/>
      </c>
      <c r="U932" s="113">
        <f>IF($H932="GIROSSOL III",AP932/INDEX('Resumo Operacional'!$A$1:$P$1103,53,MATCH('Detalhe Por UC'!$R932,'Resumo Operacional'!$A$1:$P$1,0)),
IF($H932="GIROSSOL II e III",AP932/INDEX('Resumo Operacional'!$A$1:$P$1103,53,MATCH('Detalhe Por UC'!$R932,'Resumo Operacional'!$A$1:$P$1,0)),
""))</f>
        <v>2.2080185938407902E-2</v>
      </c>
      <c r="X932">
        <v>1.2172729789590253</v>
      </c>
      <c r="Z932" s="18">
        <v>1.0603699861687412</v>
      </c>
      <c r="AB932" s="18">
        <v>301</v>
      </c>
      <c r="AD932" s="143">
        <v>241</v>
      </c>
      <c r="AF932" s="18">
        <v>417</v>
      </c>
      <c r="AH932">
        <v>66.3</v>
      </c>
      <c r="AL932" s="43"/>
      <c r="AN932" s="71">
        <f t="shared" si="529"/>
        <v>63</v>
      </c>
      <c r="AO932" s="71">
        <f t="shared" si="530"/>
        <v>0</v>
      </c>
      <c r="AP932" s="71">
        <f t="shared" si="531"/>
        <v>304</v>
      </c>
      <c r="AQ932" s="72">
        <f>IF(OR($H932="GIROSSOL II",$H932="GIROSSOL II e III"),INDEX('Resumo Operacional'!$A$1:$P$1103,MATCH("Energia Injetada prevista total Fatura da Usina (TUSD)",'Resumo Operacional'!$B$1:$B$1103,0),MATCH('Detalhe Por UC'!$R932,'Resumo Operacional'!$A$1:$P$1,0))*$S932,INDEX('Resumo Operacional'!$A$1:$P$1103,53,MATCH('Detalhe Por UC'!$R932,'Resumo Operacional'!$A$1:$P$1,0))*$S932)</f>
        <v>326.30160000000001</v>
      </c>
      <c r="AR932" s="71">
        <f t="shared" si="532"/>
        <v>-22.301600000000008</v>
      </c>
      <c r="AS932" s="73">
        <f t="shared" si="533"/>
        <v>177.14999999999998</v>
      </c>
      <c r="AT932" s="74">
        <f t="shared" si="534"/>
        <v>177.14999999999998</v>
      </c>
      <c r="AU932" s="74">
        <f t="shared" si="535"/>
        <v>0.90346699337845715</v>
      </c>
      <c r="AV932" s="74">
        <f t="shared" si="536"/>
        <v>184.07737205342519</v>
      </c>
      <c r="AW932" s="74">
        <f t="shared" si="537"/>
        <v>0</v>
      </c>
      <c r="AX932" s="74">
        <f t="shared" si="538"/>
        <v>255.54916666666665</v>
      </c>
      <c r="AY932" s="74">
        <f t="shared" si="539"/>
        <v>184.08</v>
      </c>
      <c r="AZ932" s="129">
        <v>184.14</v>
      </c>
      <c r="BA932" s="117">
        <v>184.14</v>
      </c>
      <c r="BB932" s="49">
        <v>184.14</v>
      </c>
      <c r="BC932" s="73" t="str">
        <f t="shared" si="540"/>
        <v/>
      </c>
      <c r="BD932" s="73">
        <f t="shared" si="541"/>
        <v>432.69916666666666</v>
      </c>
      <c r="BE932" s="73">
        <f t="shared" si="542"/>
        <v>361.22737205342514</v>
      </c>
      <c r="BF932" s="77">
        <f t="shared" si="543"/>
        <v>71.47</v>
      </c>
      <c r="BG932" s="77">
        <f t="shared" si="544"/>
        <v>21.440999999999999</v>
      </c>
      <c r="BH932" s="77">
        <f t="shared" si="545"/>
        <v>255.54916666666662</v>
      </c>
      <c r="BI932" s="78">
        <f t="shared" si="546"/>
        <v>0.28000000000000003</v>
      </c>
      <c r="BJ932" s="79">
        <f t="shared" si="547"/>
        <v>0.1651724928212249</v>
      </c>
      <c r="BK932" s="80">
        <f t="shared" si="548"/>
        <v>361.23</v>
      </c>
      <c r="BL932" s="80">
        <f t="shared" si="549"/>
        <v>71.469166666666638</v>
      </c>
      <c r="BM932" s="79">
        <f t="shared" si="550"/>
        <v>0.16517056692582793</v>
      </c>
      <c r="BN932" s="81">
        <f t="shared" si="551"/>
        <v>0.7638174273858922</v>
      </c>
      <c r="BO932" s="82">
        <f t="shared" si="552"/>
        <v>184.08</v>
      </c>
      <c r="BP932" s="81">
        <f t="shared" si="553"/>
        <v>0.7638174273858922</v>
      </c>
      <c r="BQ932" s="81">
        <f t="shared" si="554"/>
        <v>0.92072042017617628</v>
      </c>
      <c r="BR932" s="81">
        <f t="shared" si="555"/>
        <v>1.2172729789590253</v>
      </c>
      <c r="BS932" s="82">
        <f t="shared" si="556"/>
        <v>241</v>
      </c>
      <c r="BT932" s="82">
        <f t="shared" si="557"/>
        <v>293.36278792912509</v>
      </c>
      <c r="BU932" s="82">
        <f t="shared" si="558"/>
        <v>255.54916666666665</v>
      </c>
      <c r="BW932" s="82">
        <f>IFERROR(INDEX('Infos Clientes'!$T:$T,MATCH('Detalhe Por UC'!$C932,'Infos Clientes'!B:B,0)),"")</f>
        <v>392</v>
      </c>
      <c r="BX932" s="83">
        <f t="shared" si="559"/>
        <v>0</v>
      </c>
      <c r="BY932" s="84">
        <f t="shared" si="560"/>
        <v>0.24362042360987241</v>
      </c>
      <c r="BZ932" s="85">
        <f>IF(_xlfn.MINIFS('Detalhe Por UC'!R:R,'Detalhe Por UC'!C:C,C932,'Detalhe Por UC'!AD:AD,"&gt;"&amp;0)=0,"",_xlfn.MINIFS('Detalhe Por UC'!R:R,'Detalhe Por UC'!C:C,C932,'Detalhe Por UC'!AD:AD,"&gt;"&amp;0))</f>
        <v>45748</v>
      </c>
      <c r="CA932" s="114">
        <f ca="1">IF(OR(S932&gt;0,AD932&gt;0),IFERROR(
SUMIFS(INDIRECT("'Infos Clientes'!$W"&amp;INDEX('Infos Clientes'!$C:$C,MATCH(C932,'Infos Clientes'!$H:$H,0))&amp;":$CZ"&amp;INDEX('Infos Clientes'!$C:$C,MATCH(C932,'Infos Clientes'!$H:$H,0))),'Infos Clientes'!$W$2:$CZ$2,"&gt;"&amp;$R932-365,'Infos Clientes'!$W$2:$CZ$2,"&lt;="&amp;$R932)/
COUNTIFS(INDIRECT("'Infos Clientes'!$W"&amp;INDEX('Infos Clientes'!$C:$C,MATCH(C932,'Infos Clientes'!$H:$H,0))&amp;":$CZ"&amp;INDEX('Infos Clientes'!$C:$C,MATCH(C932,'Infos Clientes'!$H:$H,0))),"&gt;="&amp;0,'Infos Clientes'!$W$2:$CZ$2,"&gt;"&amp;$R932-365,'Infos Clientes'!$W$2:$CZ$2,"&lt;="&amp;$R932),""),"")</f>
        <v>239.5</v>
      </c>
      <c r="CB932" s="87">
        <f>VLOOKUP(C932,'Infos Clientes'!B:L,11,0)</f>
        <v>0</v>
      </c>
      <c r="CC932" s="88" t="str">
        <f t="shared" si="561"/>
        <v>A Unidade Consumidora 10/69319-2 economizou R$71,47 na fatura referente à out/2025  consumindo 241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2" s="115">
        <f t="shared" si="562"/>
        <v>-177.14999999999998</v>
      </c>
    </row>
    <row r="933" spans="1:84" ht="16.2" hidden="1" customHeight="1" x14ac:dyDescent="0.3">
      <c r="A933" s="105" t="str">
        <f>INDEX('Infos Clientes'!$D:$D,MATCH('Detalhe Por UC'!C933,'Infos Clientes'!B:B,0))</f>
        <v>IGREJA DO EVANGELHO QUADRANGULAR</v>
      </c>
      <c r="B933" s="106" t="str">
        <f>INDEX('Infos Clientes'!$F:$F,MATCH('Detalhe Por UC'!C933,'Infos Clientes'!B:B,0))</f>
        <v>62.955.505/0165-94</v>
      </c>
      <c r="C933" s="31" t="s">
        <v>169</v>
      </c>
      <c r="D933" s="31" t="s">
        <v>351</v>
      </c>
      <c r="E933" s="31" t="s">
        <v>352</v>
      </c>
      <c r="F933" s="56" t="str">
        <f>INDEX('Infos Clientes'!$I:$I,MATCH('Detalhe Por UC'!C933,'Infos Clientes'!B:B,0))</f>
        <v>BT</v>
      </c>
      <c r="G933" s="56" t="str">
        <f>INDEX('Infos Clientes'!$J:$J,MATCH('Detalhe Por UC'!C933,'Infos Clientes'!B:B,0))</f>
        <v>bifasico</v>
      </c>
      <c r="H933" s="156" t="s">
        <v>138</v>
      </c>
      <c r="I933" s="58">
        <f>IFERROR(VLOOKUP(C933,'Infos Clientes'!B:E,4,),"")</f>
        <v>302</v>
      </c>
      <c r="J933" s="152">
        <v>0.2796792317717392</v>
      </c>
      <c r="K933" s="79">
        <f>INDEX('Resumo Operacional'!$A$1:$P$151,MATCH("Desconto percentual Ucs",'Resumo Operacional'!$B$1:$B$151,0),MATCH('Detalhe Por UC'!$R933,'Resumo Operacional'!$A$1:$P$1,0))</f>
        <v>0.26414553913427991</v>
      </c>
      <c r="M933" s="56"/>
      <c r="N933" s="56"/>
      <c r="O933" s="56"/>
      <c r="P933" s="56"/>
      <c r="Q933" s="61"/>
      <c r="R933" s="111">
        <v>45931</v>
      </c>
      <c r="S933" s="151">
        <v>2.3199999999999998E-2</v>
      </c>
      <c r="T933" s="113" t="str">
        <f>IF($H933="GIROSSOL II",AP933/INDEX('Resumo Operacional'!$A$1:$P$1103,17,MATCH('Detalhe Por UC'!$R933,'Resumo Operacional'!$A$1:$P$1,0)),
IF($H933="GIROSSOL II e III",AP933/INDEX('Resumo Operacional'!$A$1:$P$1103,17,MATCH('Detalhe Por UC'!$R933,'Resumo Operacional'!$A$1:$P$1,0)),
""))</f>
        <v/>
      </c>
      <c r="U933" s="113">
        <f>IF($H933="GIROSSOL III",AP933/INDEX('Resumo Operacional'!$A$1:$P$1103,53,MATCH('Detalhe Por UC'!$R933,'Resumo Operacional'!$A$1:$P$1,0)),
IF($H933="GIROSSOL II e III",AP933/INDEX('Resumo Operacional'!$A$1:$P$1103,53,MATCH('Detalhe Por UC'!$R933,'Resumo Operacional'!$A$1:$P$1,0)),
""))</f>
        <v>2.0337013364323069E-2</v>
      </c>
      <c r="X933">
        <v>1.2266825396825398</v>
      </c>
      <c r="Z933" s="54">
        <v>1.0697881586094513</v>
      </c>
      <c r="AB933" s="18">
        <v>270</v>
      </c>
      <c r="AD933" s="143">
        <v>263</v>
      </c>
      <c r="AF933" s="18">
        <v>17</v>
      </c>
      <c r="AG933">
        <v>0</v>
      </c>
      <c r="AH933">
        <v>51.8</v>
      </c>
      <c r="AL933" s="43"/>
      <c r="AN933" s="71">
        <f t="shared" si="529"/>
        <v>17</v>
      </c>
      <c r="AO933" s="71">
        <f t="shared" si="530"/>
        <v>0</v>
      </c>
      <c r="AP933" s="71">
        <f t="shared" si="531"/>
        <v>280</v>
      </c>
      <c r="AQ933" s="72">
        <f>IF(OR($H933="GIROSSOL II",$H933="GIROSSOL II e III"),INDEX('Resumo Operacional'!$A$1:$P$1103,MATCH("Energia Injetada prevista total Fatura da Usina (TUSD)",'Resumo Operacional'!$B$1:$B$1103,0),MATCH('Detalhe Por UC'!$R933,'Resumo Operacional'!$A$1:$P$1,0))*$S933,INDEX('Resumo Operacional'!$A$1:$P$1103,53,MATCH('Detalhe Por UC'!$R933,'Resumo Operacional'!$A$1:$P$1,0))*$S933)</f>
        <v>319.41759999999999</v>
      </c>
      <c r="AR933" s="71">
        <f t="shared" si="532"/>
        <v>-39.417599999999993</v>
      </c>
      <c r="AS933" s="73">
        <f t="shared" si="533"/>
        <v>101.65000000000002</v>
      </c>
      <c r="AT933" s="74">
        <f t="shared" si="534"/>
        <v>101.65000000000002</v>
      </c>
      <c r="AU933" s="74">
        <f t="shared" si="535"/>
        <v>0.9128937775363628</v>
      </c>
      <c r="AV933" s="74">
        <f t="shared" si="536"/>
        <v>202.66533523002786</v>
      </c>
      <c r="AW933" s="74">
        <f t="shared" si="537"/>
        <v>0</v>
      </c>
      <c r="AX933" s="74">
        <f t="shared" si="538"/>
        <v>281.35428571428571</v>
      </c>
      <c r="AY933" s="74">
        <f t="shared" si="539"/>
        <v>202.67</v>
      </c>
      <c r="AZ933" s="129">
        <v>202.67</v>
      </c>
      <c r="BA933" s="117">
        <v>202.67</v>
      </c>
      <c r="BB933" s="49">
        <v>202.67</v>
      </c>
      <c r="BC933" s="73" t="str">
        <f t="shared" si="540"/>
        <v/>
      </c>
      <c r="BD933" s="73">
        <f t="shared" si="541"/>
        <v>383.00428571428574</v>
      </c>
      <c r="BE933" s="73">
        <f t="shared" si="542"/>
        <v>304.31533523002787</v>
      </c>
      <c r="BF933" s="77">
        <f t="shared" si="543"/>
        <v>78.69</v>
      </c>
      <c r="BG933" s="77">
        <f t="shared" si="544"/>
        <v>23.606999999999999</v>
      </c>
      <c r="BH933" s="77">
        <f t="shared" si="545"/>
        <v>281.35428571428571</v>
      </c>
      <c r="BI933" s="78">
        <f t="shared" si="546"/>
        <v>0.28000000000000003</v>
      </c>
      <c r="BJ933" s="79">
        <f t="shared" si="547"/>
        <v>0.2054546200527409</v>
      </c>
      <c r="BK933" s="80">
        <f t="shared" si="548"/>
        <v>304.32</v>
      </c>
      <c r="BL933" s="80">
        <f t="shared" si="549"/>
        <v>78.68428571428575</v>
      </c>
      <c r="BM933" s="79">
        <f t="shared" si="550"/>
        <v>0.20543970041364706</v>
      </c>
      <c r="BN933" s="81">
        <f t="shared" si="551"/>
        <v>0.77060836501901131</v>
      </c>
      <c r="BO933" s="82">
        <f t="shared" si="552"/>
        <v>202.67</v>
      </c>
      <c r="BP933" s="81">
        <f t="shared" si="553"/>
        <v>0.77060836501901131</v>
      </c>
      <c r="BQ933" s="81">
        <f t="shared" si="554"/>
        <v>0.92750274609209982</v>
      </c>
      <c r="BR933" s="81">
        <f t="shared" si="555"/>
        <v>1.2266825396825398</v>
      </c>
      <c r="BS933" s="82">
        <f t="shared" si="556"/>
        <v>263</v>
      </c>
      <c r="BT933" s="82">
        <f t="shared" si="557"/>
        <v>322.61750793650799</v>
      </c>
      <c r="BU933" s="82">
        <f t="shared" si="558"/>
        <v>281.35428571428571</v>
      </c>
      <c r="BW933" s="82">
        <f>IFERROR(INDEX('Infos Clientes'!$T:$T,MATCH('Detalhe Por UC'!$C933,'Infos Clientes'!B:B,0)),"")</f>
        <v>287.36363636363637</v>
      </c>
      <c r="BX933" s="83">
        <f t="shared" si="559"/>
        <v>0</v>
      </c>
      <c r="BY933" s="84">
        <f t="shared" si="560"/>
        <v>0.24389341489108213</v>
      </c>
      <c r="BZ933" s="85">
        <f>IF(_xlfn.MINIFS('Detalhe Por UC'!R:R,'Detalhe Por UC'!C:C,C933,'Detalhe Por UC'!AD:AD,"&gt;"&amp;0)=0,"",_xlfn.MINIFS('Detalhe Por UC'!R:R,'Detalhe Por UC'!C:C,C933,'Detalhe Por UC'!AD:AD,"&gt;"&amp;0))</f>
        <v>45658</v>
      </c>
      <c r="CA933" s="114">
        <f ca="1">IF(OR(S933&gt;0,AD933&gt;0),IFERROR(
SUMIFS(INDIRECT("'Infos Clientes'!$W"&amp;INDEX('Infos Clientes'!$C:$C,MATCH(C933,'Infos Clientes'!$H:$H,0))&amp;":$CZ"&amp;INDEX('Infos Clientes'!$C:$C,MATCH(C933,'Infos Clientes'!$H:$H,0))),'Infos Clientes'!$W$2:$CZ$2,"&gt;"&amp;$R933-365,'Infos Clientes'!$W$2:$CZ$2,"&lt;="&amp;$R933)/
COUNTIFS(INDIRECT("'Infos Clientes'!$W"&amp;INDEX('Infos Clientes'!$C:$C,MATCH(C933,'Infos Clientes'!$H:$H,0))&amp;":$CZ"&amp;INDEX('Infos Clientes'!$C:$C,MATCH(C933,'Infos Clientes'!$H:$H,0))),"&gt;="&amp;0,'Infos Clientes'!$W$2:$CZ$2,"&gt;"&amp;$R933-365,'Infos Clientes'!$W$2:$CZ$2,"&lt;="&amp;$R933),""),"")</f>
        <v>274.33333333333331</v>
      </c>
      <c r="CB933" s="87">
        <f>VLOOKUP(C933,'Infos Clientes'!B:L,11,0)</f>
        <v>0</v>
      </c>
      <c r="CC933" s="88" t="str">
        <f t="shared" si="561"/>
        <v>A Unidade Consumidora 10/239312-2 economizou R$78,69 na fatura referente à out/2025  consumindo 263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3" s="115">
        <f t="shared" si="562"/>
        <v>-101.65000000000002</v>
      </c>
    </row>
    <row r="934" spans="1:84" ht="16.2" hidden="1" customHeight="1" x14ac:dyDescent="0.3">
      <c r="A934" s="105" t="str">
        <f>INDEX('Infos Clientes'!$D:$D,MATCH('Detalhe Por UC'!C934,'Infos Clientes'!B:B,0))</f>
        <v>IGREJA DO EVANGELHO QUADRANGULAR</v>
      </c>
      <c r="B934" s="106" t="str">
        <f>INDEX('Infos Clientes'!$F:$F,MATCH('Detalhe Por UC'!C934,'Infos Clientes'!B:B,0))</f>
        <v>62.955.505/4051-40</v>
      </c>
      <c r="C934" s="31" t="s">
        <v>152</v>
      </c>
      <c r="D934" s="31" t="s">
        <v>351</v>
      </c>
      <c r="E934" s="31" t="s">
        <v>352</v>
      </c>
      <c r="F934" s="56" t="str">
        <f>INDEX('Infos Clientes'!$I:$I,MATCH('Detalhe Por UC'!C934,'Infos Clientes'!B:B,0))</f>
        <v>BT</v>
      </c>
      <c r="G934" s="56" t="str">
        <f>INDEX('Infos Clientes'!$J:$J,MATCH('Detalhe Por UC'!C934,'Infos Clientes'!B:B,0))</f>
        <v>bifasico</v>
      </c>
      <c r="H934" s="156" t="s">
        <v>138</v>
      </c>
      <c r="I934" s="58">
        <f>IFERROR(VLOOKUP(C934,'Infos Clientes'!B:E,4,),"")</f>
        <v>351</v>
      </c>
      <c r="J934" s="152">
        <v>0.2796792317717392</v>
      </c>
      <c r="K934" s="79">
        <f>INDEX('Resumo Operacional'!$A$1:$P$151,MATCH("Desconto percentual Ucs",'Resumo Operacional'!$B$1:$B$151,0),MATCH('Detalhe Por UC'!$R934,'Resumo Operacional'!$A$1:$P$1,0))</f>
        <v>0.26414553913427991</v>
      </c>
      <c r="M934" s="56"/>
      <c r="N934" s="56"/>
      <c r="O934" s="56"/>
      <c r="P934" s="56"/>
      <c r="Q934" s="61"/>
      <c r="R934" s="111">
        <v>45931</v>
      </c>
      <c r="S934" s="151">
        <v>2.1399999999999999E-2</v>
      </c>
      <c r="T934" s="113" t="str">
        <f>IF($H934="GIROSSOL II",AP934/INDEX('Resumo Operacional'!$A$1:$P$1103,17,MATCH('Detalhe Por UC'!$R934,'Resumo Operacional'!$A$1:$P$1,0)),
IF($H934="GIROSSOL II e III",AP934/INDEX('Resumo Operacional'!$A$1:$P$1103,17,MATCH('Detalhe Por UC'!$R934,'Resumo Operacional'!$A$1:$P$1,0)),
""))</f>
        <v/>
      </c>
      <c r="U934" s="113">
        <f>IF($H934="GIROSSOL III",AP934/INDEX('Resumo Operacional'!$A$1:$P$1103,53,MATCH('Detalhe Por UC'!$R934,'Resumo Operacional'!$A$1:$P$1,0)),
IF($H934="GIROSSOL II e III",AP934/INDEX('Resumo Operacional'!$A$1:$P$1103,53,MATCH('Detalhe Por UC'!$R934,'Resumo Operacional'!$A$1:$P$1,0)),
""))</f>
        <v>-1.5833817547937244E-2</v>
      </c>
      <c r="X934">
        <v>1.2103181147861679</v>
      </c>
      <c r="Z934" s="54">
        <v>1.0533973094170401</v>
      </c>
      <c r="AB934" s="18">
        <v>298</v>
      </c>
      <c r="AD934" s="143">
        <v>75</v>
      </c>
      <c r="AF934" s="18">
        <v>0</v>
      </c>
      <c r="AH934">
        <v>26.64</v>
      </c>
      <c r="AL934" s="43"/>
      <c r="AN934" s="71">
        <f t="shared" si="529"/>
        <v>-293</v>
      </c>
      <c r="AO934" s="71">
        <f t="shared" si="530"/>
        <v>0</v>
      </c>
      <c r="AP934" s="71">
        <f t="shared" si="531"/>
        <v>-218</v>
      </c>
      <c r="AQ934" s="72">
        <f>IF(OR($H934="GIROSSOL II",$H934="GIROSSOL II e III"),INDEX('Resumo Operacional'!$A$1:$P$1103,MATCH("Energia Injetada prevista total Fatura da Usina (TUSD)",'Resumo Operacional'!$B$1:$B$1103,0),MATCH('Detalhe Por UC'!$R934,'Resumo Operacional'!$A$1:$P$1,0))*$S934,INDEX('Resumo Operacional'!$A$1:$P$1103,53,MATCH('Detalhe Por UC'!$R934,'Resumo Operacional'!$A$1:$P$1,0))*$S934)</f>
        <v>294.6352</v>
      </c>
      <c r="AR934" s="71">
        <f t="shared" si="532"/>
        <v>-512.63519999999994</v>
      </c>
      <c r="AS934" s="73">
        <f t="shared" si="533"/>
        <v>308.31</v>
      </c>
      <c r="AT934" s="74">
        <f t="shared" si="534"/>
        <v>308.31</v>
      </c>
      <c r="AU934" s="74">
        <f t="shared" si="535"/>
        <v>0.89647650404791235</v>
      </c>
      <c r="AV934" s="74">
        <f t="shared" si="536"/>
        <v>56.908796937664896</v>
      </c>
      <c r="AW934" s="74">
        <f t="shared" si="537"/>
        <v>0</v>
      </c>
      <c r="AX934" s="74">
        <f t="shared" si="538"/>
        <v>79.004798206278011</v>
      </c>
      <c r="AY934" s="74">
        <f t="shared" si="539"/>
        <v>56.91</v>
      </c>
      <c r="AZ934" s="129">
        <v>56.91</v>
      </c>
      <c r="BA934" s="117">
        <v>56.91</v>
      </c>
      <c r="BC934" s="73" t="str">
        <f t="shared" si="540"/>
        <v/>
      </c>
      <c r="BD934" s="73">
        <f t="shared" si="541"/>
        <v>387.314798206278</v>
      </c>
      <c r="BE934" s="73">
        <f t="shared" si="542"/>
        <v>365.21879693766488</v>
      </c>
      <c r="BF934" s="77">
        <f t="shared" si="543"/>
        <v>22.1</v>
      </c>
      <c r="BG934" s="77">
        <f t="shared" si="544"/>
        <v>6.63</v>
      </c>
      <c r="BH934" s="77">
        <f t="shared" si="545"/>
        <v>79.004798206278011</v>
      </c>
      <c r="BI934" s="78">
        <f t="shared" si="546"/>
        <v>0.28000000000000003</v>
      </c>
      <c r="BJ934" s="79">
        <f t="shared" si="547"/>
        <v>5.7059529102293366E-2</v>
      </c>
      <c r="BK934" s="80">
        <f t="shared" si="548"/>
        <v>365.22</v>
      </c>
      <c r="BL934" s="80">
        <f t="shared" si="549"/>
        <v>22.094798206277972</v>
      </c>
      <c r="BM934" s="79">
        <f t="shared" si="550"/>
        <v>5.704609869956638E-2</v>
      </c>
      <c r="BN934" s="81">
        <f t="shared" si="551"/>
        <v>0.75879999999999992</v>
      </c>
      <c r="BO934" s="82">
        <f t="shared" si="552"/>
        <v>56.91</v>
      </c>
      <c r="BP934" s="81">
        <f t="shared" si="553"/>
        <v>0.75879999999999992</v>
      </c>
      <c r="BQ934" s="81">
        <f t="shared" si="554"/>
        <v>0.9157208053691277</v>
      </c>
      <c r="BR934" s="81">
        <f t="shared" si="555"/>
        <v>1.2103181147861679</v>
      </c>
      <c r="BS934" s="82">
        <f t="shared" si="556"/>
        <v>75</v>
      </c>
      <c r="BT934" s="82">
        <f t="shared" si="557"/>
        <v>90.773858608962598</v>
      </c>
      <c r="BU934" s="82">
        <f t="shared" si="558"/>
        <v>79.004798206278011</v>
      </c>
      <c r="BW934" s="82">
        <f>IFERROR(INDEX('Infos Clientes'!$T:$T,MATCH('Detalhe Por UC'!$C934,'Infos Clientes'!B:B,0)),"")</f>
        <v>246.72727272727272</v>
      </c>
      <c r="BX934" s="83">
        <f t="shared" si="559"/>
        <v>0</v>
      </c>
      <c r="BY934" s="84">
        <f t="shared" si="560"/>
        <v>0.24340485845664467</v>
      </c>
      <c r="BZ934" s="85">
        <f>IF(_xlfn.MINIFS('Detalhe Por UC'!R:R,'Detalhe Por UC'!C:C,C934,'Detalhe Por UC'!AD:AD,"&gt;"&amp;0)=0,"",_xlfn.MINIFS('Detalhe Por UC'!R:R,'Detalhe Por UC'!C:C,C934,'Detalhe Por UC'!AD:AD,"&gt;"&amp;0))</f>
        <v>45658</v>
      </c>
      <c r="CA934" s="114">
        <f ca="1">IF(OR(S934&gt;0,AD934&gt;0),IFERROR(
SUMIFS(INDIRECT("'Infos Clientes'!$W"&amp;INDEX('Infos Clientes'!$C:$C,MATCH(C934,'Infos Clientes'!$H:$H,0))&amp;":$CZ"&amp;INDEX('Infos Clientes'!$C:$C,MATCH(C934,'Infos Clientes'!$H:$H,0))),'Infos Clientes'!$W$2:$CZ$2,"&gt;"&amp;$R934-365,'Infos Clientes'!$W$2:$CZ$2,"&lt;="&amp;$R934)/
COUNTIFS(INDIRECT("'Infos Clientes'!$W"&amp;INDEX('Infos Clientes'!$C:$C,MATCH(C934,'Infos Clientes'!$H:$H,0))&amp;":$CZ"&amp;INDEX('Infos Clientes'!$C:$C,MATCH(C934,'Infos Clientes'!$H:$H,0))),"&gt;="&amp;0,'Infos Clientes'!$W$2:$CZ$2,"&gt;"&amp;$R934-365,'Infos Clientes'!$W$2:$CZ$2,"&lt;="&amp;$R934),""),"")</f>
        <v>278.66666666666669</v>
      </c>
      <c r="CB934" s="87">
        <f>VLOOKUP(C934,'Infos Clientes'!B:L,11,0)</f>
        <v>0</v>
      </c>
      <c r="CC934" s="88" t="str">
        <f t="shared" si="561"/>
        <v>A Unidade Consumidora 10/129490-9 economizou R$22,1 na fatura referente à out/2025  consumindo 75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4" s="115">
        <f t="shared" si="562"/>
        <v>-308.31</v>
      </c>
    </row>
    <row r="935" spans="1:84" ht="16.2" hidden="1" customHeight="1" x14ac:dyDescent="0.3">
      <c r="A935" s="105" t="str">
        <f>INDEX('Infos Clientes'!$D:$D,MATCH('Detalhe Por UC'!C935,'Infos Clientes'!B:B,0))</f>
        <v>IGREJA DO EVANGELHO QUADRANGULAR</v>
      </c>
      <c r="B935" s="106" t="str">
        <f>INDEX('Infos Clientes'!$F:$F,MATCH('Detalhe Por UC'!C935,'Infos Clientes'!B:B,0))</f>
        <v>62.955.505/0585-99</v>
      </c>
      <c r="C935" s="31" t="s">
        <v>225</v>
      </c>
      <c r="D935" s="31" t="s">
        <v>351</v>
      </c>
      <c r="E935" s="31" t="s">
        <v>352</v>
      </c>
      <c r="F935" s="56" t="str">
        <f>INDEX('Infos Clientes'!$I:$I,MATCH('Detalhe Por UC'!C935,'Infos Clientes'!B:B,0))</f>
        <v>BT</v>
      </c>
      <c r="G935" s="56" t="str">
        <f>INDEX('Infos Clientes'!$J:$J,MATCH('Detalhe Por UC'!C935,'Infos Clientes'!B:B,0))</f>
        <v>trifasico</v>
      </c>
      <c r="H935" s="156" t="s">
        <v>138</v>
      </c>
      <c r="I935" s="58">
        <f>IFERROR(VLOOKUP(C935,'Infos Clientes'!B:E,4,),"")</f>
        <v>302</v>
      </c>
      <c r="J935" s="152">
        <v>0.2796792317717392</v>
      </c>
      <c r="K935" s="79">
        <f>INDEX('Resumo Operacional'!$A$1:$P$151,MATCH("Desconto percentual Ucs",'Resumo Operacional'!$B$1:$B$151,0),MATCH('Detalhe Por UC'!$R935,'Resumo Operacional'!$A$1:$P$1,0))</f>
        <v>0.26414553913427991</v>
      </c>
      <c r="M935" s="56"/>
      <c r="N935" s="56"/>
      <c r="O935" s="56"/>
      <c r="P935" s="56"/>
      <c r="Q935" s="61"/>
      <c r="R935" s="111">
        <v>45931</v>
      </c>
      <c r="S935" s="151">
        <v>2.12E-2</v>
      </c>
      <c r="T935" s="113" t="str">
        <f>IF($H935="GIROSSOL II",AP935/INDEX('Resumo Operacional'!$A$1:$P$1103,17,MATCH('Detalhe Por UC'!$R935,'Resumo Operacional'!$A$1:$P$1,0)),
IF($H935="GIROSSOL II e III",AP935/INDEX('Resumo Operacional'!$A$1:$P$1103,17,MATCH('Detalhe Por UC'!$R935,'Resumo Operacional'!$A$1:$P$1,0)),
""))</f>
        <v/>
      </c>
      <c r="U935" s="113">
        <f>IF($H935="GIROSSOL III",AP935/INDEX('Resumo Operacional'!$A$1:$P$1103,53,MATCH('Detalhe Por UC'!$R935,'Resumo Operacional'!$A$1:$P$1,0)),
IF($H935="GIROSSOL II e III",AP935/INDEX('Resumo Operacional'!$A$1:$P$1103,53,MATCH('Detalhe Por UC'!$R935,'Resumo Operacional'!$A$1:$P$1,0)),
""))</f>
        <v>1.8593840790238233E-2</v>
      </c>
      <c r="X935">
        <v>1.2267955906715942</v>
      </c>
      <c r="Z935" s="54">
        <v>1.0698842105263155</v>
      </c>
      <c r="AB935" s="18">
        <v>413</v>
      </c>
      <c r="AD935" s="143">
        <v>375</v>
      </c>
      <c r="AF935" s="18">
        <v>341</v>
      </c>
      <c r="AG935">
        <v>0</v>
      </c>
      <c r="AH935">
        <v>73.48</v>
      </c>
      <c r="AL935" s="43"/>
      <c r="AN935" s="71">
        <f t="shared" si="529"/>
        <v>-119</v>
      </c>
      <c r="AO935" s="71">
        <f t="shared" si="530"/>
        <v>0</v>
      </c>
      <c r="AP935" s="71">
        <f t="shared" si="531"/>
        <v>256</v>
      </c>
      <c r="AQ935" s="72">
        <f>IF(OR($H935="GIROSSOL II",$H935="GIROSSOL II e III"),INDEX('Resumo Operacional'!$A$1:$P$1103,MATCH("Energia Injetada prevista total Fatura da Usina (TUSD)",'Resumo Operacional'!$B$1:$B$1103,0),MATCH('Detalhe Por UC'!$R935,'Resumo Operacional'!$A$1:$P$1,0))*$S935,INDEX('Resumo Operacional'!$A$1:$P$1103,53,MATCH('Detalhe Por UC'!$R935,'Resumo Operacional'!$A$1:$P$1,0))*$S935)</f>
        <v>291.88159999999999</v>
      </c>
      <c r="AR935" s="71">
        <f t="shared" si="532"/>
        <v>-35.881599999999992</v>
      </c>
      <c r="AS935" s="73">
        <f t="shared" si="533"/>
        <v>178.94000000000011</v>
      </c>
      <c r="AT935" s="74">
        <f t="shared" si="534"/>
        <v>178.94000000000011</v>
      </c>
      <c r="AU935" s="74">
        <f t="shared" si="535"/>
        <v>0.91297283038103694</v>
      </c>
      <c r="AV935" s="74">
        <f t="shared" si="536"/>
        <v>288.99743116560074</v>
      </c>
      <c r="AW935" s="74">
        <f t="shared" si="537"/>
        <v>0</v>
      </c>
      <c r="AX935" s="74">
        <f t="shared" si="538"/>
        <v>401.20657894736831</v>
      </c>
      <c r="AY935" s="74">
        <f t="shared" si="539"/>
        <v>289</v>
      </c>
      <c r="AZ935" s="129">
        <v>289</v>
      </c>
      <c r="BA935" s="117">
        <v>289</v>
      </c>
      <c r="BB935" s="49">
        <v>289</v>
      </c>
      <c r="BC935" s="73" t="str">
        <f t="shared" si="540"/>
        <v/>
      </c>
      <c r="BD935" s="73">
        <f t="shared" si="541"/>
        <v>580.14657894736843</v>
      </c>
      <c r="BE935" s="73">
        <f t="shared" si="542"/>
        <v>467.93743116560086</v>
      </c>
      <c r="BF935" s="77">
        <f t="shared" si="543"/>
        <v>112.21</v>
      </c>
      <c r="BG935" s="77">
        <f t="shared" si="544"/>
        <v>33.662999999999997</v>
      </c>
      <c r="BH935" s="77">
        <f t="shared" si="545"/>
        <v>401.20657894736831</v>
      </c>
      <c r="BI935" s="78">
        <f t="shared" si="546"/>
        <v>0.28000000000000003</v>
      </c>
      <c r="BJ935" s="79">
        <f t="shared" si="547"/>
        <v>0.19341663653967667</v>
      </c>
      <c r="BK935" s="80">
        <f t="shared" si="548"/>
        <v>467.94000000000011</v>
      </c>
      <c r="BL935" s="80">
        <f t="shared" si="549"/>
        <v>112.20657894736831</v>
      </c>
      <c r="BM935" s="79">
        <f t="shared" si="550"/>
        <v>0.1934107396633426</v>
      </c>
      <c r="BN935" s="81">
        <f t="shared" si="551"/>
        <v>0.77066666666666672</v>
      </c>
      <c r="BO935" s="82">
        <f t="shared" si="552"/>
        <v>289</v>
      </c>
      <c r="BP935" s="81">
        <f t="shared" si="553"/>
        <v>0.77066666666666672</v>
      </c>
      <c r="BQ935" s="81">
        <f t="shared" si="554"/>
        <v>0.92757804681194533</v>
      </c>
      <c r="BR935" s="81">
        <f t="shared" si="555"/>
        <v>1.2267955906715942</v>
      </c>
      <c r="BS935" s="82">
        <f t="shared" si="556"/>
        <v>375</v>
      </c>
      <c r="BT935" s="82">
        <f t="shared" si="557"/>
        <v>460.04834650184779</v>
      </c>
      <c r="BU935" s="82">
        <f t="shared" si="558"/>
        <v>401.20657894736831</v>
      </c>
      <c r="BW935" s="82">
        <f>IFERROR(INDEX('Infos Clientes'!$T:$T,MATCH('Detalhe Por UC'!$C935,'Infos Clientes'!B:B,0)),"")</f>
        <v>352.63636363636363</v>
      </c>
      <c r="BX935" s="83">
        <f t="shared" si="559"/>
        <v>0</v>
      </c>
      <c r="BY935" s="84">
        <f t="shared" si="560"/>
        <v>0.24390171120181958</v>
      </c>
      <c r="BZ935" s="85">
        <f>IF(_xlfn.MINIFS('Detalhe Por UC'!R:R,'Detalhe Por UC'!C:C,C935,'Detalhe Por UC'!AD:AD,"&gt;"&amp;0)=0,"",_xlfn.MINIFS('Detalhe Por UC'!R:R,'Detalhe Por UC'!C:C,C935,'Detalhe Por UC'!AD:AD,"&gt;"&amp;0))</f>
        <v>45658</v>
      </c>
      <c r="CA935" s="114">
        <f ca="1">IF(OR(S935&gt;0,AD935&gt;0),IFERROR(
SUMIFS(INDIRECT("'Infos Clientes'!$W"&amp;INDEX('Infos Clientes'!$C:$C,MATCH(C935,'Infos Clientes'!$H:$H,0))&amp;":$CZ"&amp;INDEX('Infos Clientes'!$C:$C,MATCH(C935,'Infos Clientes'!$H:$H,0))),'Infos Clientes'!$W$2:$CZ$2,"&gt;"&amp;$R935-365,'Infos Clientes'!$W$2:$CZ$2,"&lt;="&amp;$R935)/
COUNTIFS(INDIRECT("'Infos Clientes'!$W"&amp;INDEX('Infos Clientes'!$C:$C,MATCH(C935,'Infos Clientes'!$H:$H,0))&amp;":$CZ"&amp;INDEX('Infos Clientes'!$C:$C,MATCH(C935,'Infos Clientes'!$H:$H,0))),"&gt;="&amp;0,'Infos Clientes'!$W$2:$CZ$2,"&gt;"&amp;$R935-365,'Infos Clientes'!$W$2:$CZ$2,"&lt;="&amp;$R935),""),"")</f>
        <v>355.83333333333331</v>
      </c>
      <c r="CB935" s="87">
        <f>VLOOKUP(C935,'Infos Clientes'!B:L,11,0)</f>
        <v>0</v>
      </c>
      <c r="CC935" s="88" t="str">
        <f t="shared" si="561"/>
        <v>A Unidade Consumidora 10/76927-3 economizou R$112,21 na fatura referente à out/2025  consumindo 375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5" s="115">
        <f t="shared" si="562"/>
        <v>-178.94000000000011</v>
      </c>
    </row>
    <row r="936" spans="1:84" ht="16.2" hidden="1" customHeight="1" x14ac:dyDescent="0.3">
      <c r="A936" s="105" t="str">
        <f>INDEX('Infos Clientes'!$D:$D,MATCH('Detalhe Por UC'!C936,'Infos Clientes'!B:B,0))</f>
        <v>IGREJA DO EVANGELHO QUADRANGULAR</v>
      </c>
      <c r="B936" s="106" t="str">
        <f>INDEX('Infos Clientes'!$F:$F,MATCH('Detalhe Por UC'!C936,'Infos Clientes'!B:B,0))</f>
        <v>62.955.505/2488-86</v>
      </c>
      <c r="C936" s="31" t="s">
        <v>195</v>
      </c>
      <c r="D936" s="31" t="s">
        <v>351</v>
      </c>
      <c r="E936" s="31" t="s">
        <v>352</v>
      </c>
      <c r="F936" s="56" t="str">
        <f>INDEX('Infos Clientes'!$I:$I,MATCH('Detalhe Por UC'!C936,'Infos Clientes'!B:B,0))</f>
        <v>BT</v>
      </c>
      <c r="G936" s="56" t="str">
        <f>INDEX('Infos Clientes'!$J:$J,MATCH('Detalhe Por UC'!C936,'Infos Clientes'!B:B,0))</f>
        <v>trifasico</v>
      </c>
      <c r="H936" s="156" t="s">
        <v>138</v>
      </c>
      <c r="I936" s="58">
        <f>IFERROR(VLOOKUP(C936,'Infos Clientes'!B:E,4,),"")</f>
        <v>306</v>
      </c>
      <c r="J936" s="152">
        <v>0.2796792317717392</v>
      </c>
      <c r="K936" s="79">
        <f>INDEX('Resumo Operacional'!$A$1:$P$151,MATCH("Desconto percentual Ucs",'Resumo Operacional'!$B$1:$B$151,0),MATCH('Detalhe Por UC'!$R936,'Resumo Operacional'!$A$1:$P$1,0))</f>
        <v>0.26414553913427991</v>
      </c>
      <c r="M936" s="56"/>
      <c r="N936" s="56"/>
      <c r="O936" s="56"/>
      <c r="P936" s="56"/>
      <c r="Q936" s="61"/>
      <c r="R936" s="111">
        <v>45931</v>
      </c>
      <c r="S936" s="151">
        <v>2.0400000000000001E-2</v>
      </c>
      <c r="T936" s="113" t="str">
        <f>IF($H936="GIROSSOL II",AP936/INDEX('Resumo Operacional'!$A$1:$P$1103,17,MATCH('Detalhe Por UC'!$R936,'Resumo Operacional'!$A$1:$P$1,0)),
IF($H936="GIROSSOL II e III",AP936/INDEX('Resumo Operacional'!$A$1:$P$1103,17,MATCH('Detalhe Por UC'!$R936,'Resumo Operacional'!$A$1:$P$1,0)),
""))</f>
        <v/>
      </c>
      <c r="U936" s="113">
        <f>IF($H936="GIROSSOL III",AP936/INDEX('Resumo Operacional'!$A$1:$P$1103,53,MATCH('Detalhe Por UC'!$R936,'Resumo Operacional'!$A$1:$P$1,0)),
IF($H936="GIROSSOL II e III",AP936/INDEX('Resumo Operacional'!$A$1:$P$1103,53,MATCH('Detalhe Por UC'!$R936,'Resumo Operacional'!$A$1:$P$1,0)),
""))</f>
        <v>2.5348634514816965E-2</v>
      </c>
      <c r="X936">
        <v>1.2156049562682214</v>
      </c>
      <c r="Z936" s="18">
        <v>1.0587371134020618</v>
      </c>
      <c r="AB936" s="18">
        <v>343</v>
      </c>
      <c r="AD936" s="143">
        <v>291</v>
      </c>
      <c r="AF936" s="18">
        <v>312</v>
      </c>
      <c r="AH936">
        <v>0</v>
      </c>
      <c r="AL936" s="43"/>
      <c r="AN936" s="71">
        <f t="shared" si="529"/>
        <v>58</v>
      </c>
      <c r="AO936" s="71">
        <f t="shared" si="530"/>
        <v>0</v>
      </c>
      <c r="AP936" s="71">
        <f t="shared" si="531"/>
        <v>349</v>
      </c>
      <c r="AQ936" s="72">
        <f>IF(OR($H936="GIROSSOL II",$H936="GIROSSOL II e III"),INDEX('Resumo Operacional'!$A$1:$P$1103,MATCH("Energia Injetada prevista total Fatura da Usina (TUSD)",'Resumo Operacional'!$B$1:$B$1103,0),MATCH('Detalhe Por UC'!$R936,'Resumo Operacional'!$A$1:$P$1,0))*$S936,INDEX('Resumo Operacional'!$A$1:$P$1103,53,MATCH('Detalhe Por UC'!$R936,'Resumo Operacional'!$A$1:$P$1,0))*$S936)</f>
        <v>280.86720000000003</v>
      </c>
      <c r="AR936" s="71">
        <f t="shared" si="532"/>
        <v>68.132799999999975</v>
      </c>
      <c r="AS936" s="73">
        <f t="shared" si="533"/>
        <v>108.85999999999996</v>
      </c>
      <c r="AT936" s="74">
        <f t="shared" si="534"/>
        <v>108.85999999999996</v>
      </c>
      <c r="AU936" s="74">
        <f t="shared" si="535"/>
        <v>0.90186927053590216</v>
      </c>
      <c r="AV936" s="74">
        <f t="shared" si="536"/>
        <v>221.92542628536546</v>
      </c>
      <c r="AW936" s="74">
        <f t="shared" si="537"/>
        <v>0</v>
      </c>
      <c r="AX936" s="74">
        <f t="shared" si="538"/>
        <v>308.09249999999997</v>
      </c>
      <c r="AY936" s="74">
        <f t="shared" si="539"/>
        <v>221.93</v>
      </c>
      <c r="AZ936" s="129">
        <v>193.68</v>
      </c>
      <c r="BA936" s="117">
        <v>221.93</v>
      </c>
      <c r="BC936" s="73" t="str">
        <f t="shared" si="540"/>
        <v/>
      </c>
      <c r="BD936" s="73">
        <f t="shared" si="541"/>
        <v>416.95249999999993</v>
      </c>
      <c r="BE936" s="73">
        <f t="shared" si="542"/>
        <v>330.78542628536542</v>
      </c>
      <c r="BF936" s="77">
        <f t="shared" si="543"/>
        <v>86.17</v>
      </c>
      <c r="BG936" s="77">
        <f t="shared" si="544"/>
        <v>25.850999999999999</v>
      </c>
      <c r="BH936" s="77">
        <f t="shared" si="545"/>
        <v>308.09249999999997</v>
      </c>
      <c r="BI936" s="78">
        <f t="shared" si="546"/>
        <v>0.28000000000000003</v>
      </c>
      <c r="BJ936" s="79">
        <f t="shared" si="547"/>
        <v>0.20666622696829978</v>
      </c>
      <c r="BK936" s="80">
        <f t="shared" si="548"/>
        <v>330.78999999999996</v>
      </c>
      <c r="BL936" s="80">
        <f t="shared" si="549"/>
        <v>86.162499999999966</v>
      </c>
      <c r="BM936" s="79">
        <f t="shared" si="550"/>
        <v>0.20664823930783477</v>
      </c>
      <c r="BN936" s="81">
        <f t="shared" si="551"/>
        <v>0.76264604810996561</v>
      </c>
      <c r="BO936" s="82">
        <f t="shared" si="552"/>
        <v>221.93</v>
      </c>
      <c r="BP936" s="81">
        <f t="shared" si="553"/>
        <v>0.76264604810996561</v>
      </c>
      <c r="BQ936" s="81">
        <f t="shared" si="554"/>
        <v>0.91951389097612524</v>
      </c>
      <c r="BR936" s="81">
        <f t="shared" si="555"/>
        <v>1.2156049562682214</v>
      </c>
      <c r="BS936" s="82">
        <f t="shared" si="556"/>
        <v>291</v>
      </c>
      <c r="BT936" s="82">
        <f t="shared" si="557"/>
        <v>353.7410422740524</v>
      </c>
      <c r="BU936" s="82">
        <f t="shared" si="558"/>
        <v>308.09249999999997</v>
      </c>
      <c r="BW936" s="82">
        <f>IFERROR(INDEX('Infos Clientes'!$T:$T,MATCH('Detalhe Por UC'!$C936,'Infos Clientes'!B:B,0)),"")</f>
        <v>249.81818181818181</v>
      </c>
      <c r="BX936" s="83">
        <f t="shared" si="559"/>
        <v>0</v>
      </c>
      <c r="BY936" s="84">
        <f t="shared" si="560"/>
        <v>0.24357507244875376</v>
      </c>
      <c r="BZ936" s="85">
        <f>IF(_xlfn.MINIFS('Detalhe Por UC'!R:R,'Detalhe Por UC'!C:C,C936,'Detalhe Por UC'!AD:AD,"&gt;"&amp;0)=0,"",_xlfn.MINIFS('Detalhe Por UC'!R:R,'Detalhe Por UC'!C:C,C936,'Detalhe Por UC'!AD:AD,"&gt;"&amp;0))</f>
        <v>45658</v>
      </c>
      <c r="CA936" s="114">
        <f ca="1">IF(OR(S936&gt;0,AD936&gt;0),IFERROR(
SUMIFS(INDIRECT("'Infos Clientes'!$W"&amp;INDEX('Infos Clientes'!$C:$C,MATCH(C936,'Infos Clientes'!$H:$H,0))&amp;":$CZ"&amp;INDEX('Infos Clientes'!$C:$C,MATCH(C936,'Infos Clientes'!$H:$H,0))),'Infos Clientes'!$W$2:$CZ$2,"&gt;"&amp;$R936-365,'Infos Clientes'!$W$2:$CZ$2,"&lt;="&amp;$R936)/
COUNTIFS(INDIRECT("'Infos Clientes'!$W"&amp;INDEX('Infos Clientes'!$C:$C,MATCH(C936,'Infos Clientes'!$H:$H,0))&amp;":$CZ"&amp;INDEX('Infos Clientes'!$C:$C,MATCH(C936,'Infos Clientes'!$H:$H,0))),"&gt;="&amp;0,'Infos Clientes'!$W$2:$CZ$2,"&gt;"&amp;$R936-365,'Infos Clientes'!$W$2:$CZ$2,"&lt;="&amp;$R936),""),"")</f>
        <v>315.75</v>
      </c>
      <c r="CB936" s="87">
        <f>VLOOKUP(C936,'Infos Clientes'!B:L,11,0)</f>
        <v>0</v>
      </c>
      <c r="CC936" s="88" t="str">
        <f t="shared" si="561"/>
        <v>A Unidade Consumidora 10/395471-6 economizou R$86,17 na fatura referente à out/2025  consumindo 291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6" s="115">
        <f t="shared" si="562"/>
        <v>-108.85999999999996</v>
      </c>
    </row>
    <row r="937" spans="1:84" ht="16.2" hidden="1" customHeight="1" x14ac:dyDescent="0.3">
      <c r="A937" s="105" t="str">
        <f>INDEX('Infos Clientes'!$D:$D,MATCH('Detalhe Por UC'!C937,'Infos Clientes'!B:B,0))</f>
        <v>IGREJA DO EVANGELHO QUADRANGULAR</v>
      </c>
      <c r="B937" s="106" t="str">
        <f>INDEX('Infos Clientes'!$F:$F,MATCH('Detalhe Por UC'!C937,'Infos Clientes'!B:B,0))</f>
        <v>62.955.505/3793-95</v>
      </c>
      <c r="C937" s="31" t="s">
        <v>146</v>
      </c>
      <c r="D937" s="31" t="s">
        <v>351</v>
      </c>
      <c r="E937" s="31" t="s">
        <v>352</v>
      </c>
      <c r="F937" s="56" t="str">
        <f>INDEX('Infos Clientes'!$I:$I,MATCH('Detalhe Por UC'!C937,'Infos Clientes'!B:B,0))</f>
        <v>BT</v>
      </c>
      <c r="G937" s="56" t="str">
        <f>INDEX('Infos Clientes'!$J:$J,MATCH('Detalhe Por UC'!C937,'Infos Clientes'!B:B,0))</f>
        <v>trifasico</v>
      </c>
      <c r="H937" s="156" t="s">
        <v>138</v>
      </c>
      <c r="I937" s="58">
        <f>IFERROR(VLOOKUP(C937,'Infos Clientes'!B:E,4,),"")</f>
        <v>306</v>
      </c>
      <c r="J937" s="152">
        <v>0.2796792317717392</v>
      </c>
      <c r="K937" s="79">
        <f>INDEX('Resumo Operacional'!$A$1:$P$151,MATCH("Desconto percentual Ucs",'Resumo Operacional'!$B$1:$B$151,0),MATCH('Detalhe Por UC'!$R937,'Resumo Operacional'!$A$1:$P$1,0))</f>
        <v>0.26414553913427991</v>
      </c>
      <c r="M937" s="56"/>
      <c r="N937" s="56"/>
      <c r="O937" s="56"/>
      <c r="P937" s="56"/>
      <c r="Q937" s="61"/>
      <c r="R937" s="111">
        <v>45931</v>
      </c>
      <c r="S937" s="151">
        <v>1.9199999999999998E-2</v>
      </c>
      <c r="T937" s="113" t="str">
        <f>IF($H937="GIROSSOL II",AP937/INDEX('Resumo Operacional'!$A$1:$P$1103,17,MATCH('Detalhe Por UC'!$R937,'Resumo Operacional'!$A$1:$P$1,0)),
IF($H937="GIROSSOL II e III",AP937/INDEX('Resumo Operacional'!$A$1:$P$1103,17,MATCH('Detalhe Por UC'!$R937,'Resumo Operacional'!$A$1:$P$1,0)),
""))</f>
        <v/>
      </c>
      <c r="U937" s="113">
        <f>IF($H937="GIROSSOL III",AP937/INDEX('Resumo Operacional'!$A$1:$P$1103,53,MATCH('Detalhe Por UC'!$R937,'Resumo Operacional'!$A$1:$P$1,0)),
IF($H937="GIROSSOL II e III",AP937/INDEX('Resumo Operacional'!$A$1:$P$1103,53,MATCH('Detalhe Por UC'!$R937,'Resumo Operacional'!$A$1:$P$1,0)),
""))</f>
        <v>1.7068564787914003E-2</v>
      </c>
      <c r="X937">
        <v>1.2110574555403557</v>
      </c>
      <c r="Z937" s="54">
        <v>1.0541532976827093</v>
      </c>
      <c r="AB937" s="18">
        <v>430</v>
      </c>
      <c r="AD937" s="143">
        <v>396</v>
      </c>
      <c r="AF937" s="18">
        <v>696</v>
      </c>
      <c r="AH937">
        <v>0</v>
      </c>
      <c r="AL937" s="43"/>
      <c r="AN937" s="71">
        <f t="shared" si="529"/>
        <v>-161</v>
      </c>
      <c r="AO937" s="71">
        <f t="shared" si="530"/>
        <v>0</v>
      </c>
      <c r="AP937" s="71">
        <f t="shared" si="531"/>
        <v>235</v>
      </c>
      <c r="AQ937" s="72">
        <f>IF(OR($H937="GIROSSOL II",$H937="GIROSSOL II e III"),INDEX('Resumo Operacional'!$A$1:$P$1103,MATCH("Energia Injetada prevista total Fatura da Usina (TUSD)",'Resumo Operacional'!$B$1:$B$1103,0),MATCH('Detalhe Por UC'!$R937,'Resumo Operacional'!$A$1:$P$1,0))*$S937,INDEX('Resumo Operacional'!$A$1:$P$1103,53,MATCH('Detalhe Por UC'!$R937,'Resumo Operacional'!$A$1:$P$1,0))*$S937)</f>
        <v>264.34559999999999</v>
      </c>
      <c r="AR937" s="71">
        <f t="shared" si="532"/>
        <v>-29.34559999999999</v>
      </c>
      <c r="AS937" s="73">
        <f t="shared" si="533"/>
        <v>103.31000000000006</v>
      </c>
      <c r="AT937" s="74">
        <f t="shared" si="534"/>
        <v>103.31000000000006</v>
      </c>
      <c r="AU937" s="74">
        <f t="shared" si="535"/>
        <v>0.89724913982506282</v>
      </c>
      <c r="AV937" s="74">
        <f t="shared" si="536"/>
        <v>300.6940912339968</v>
      </c>
      <c r="AW937" s="74">
        <f t="shared" si="537"/>
        <v>0</v>
      </c>
      <c r="AX937" s="74">
        <f t="shared" si="538"/>
        <v>417.44470588235288</v>
      </c>
      <c r="AY937" s="74">
        <f t="shared" si="539"/>
        <v>300.69</v>
      </c>
      <c r="AZ937" s="129">
        <v>300.69</v>
      </c>
      <c r="BA937" s="117">
        <v>300.69</v>
      </c>
      <c r="BB937" s="49">
        <v>300.69</v>
      </c>
      <c r="BC937" s="73" t="str">
        <f t="shared" si="540"/>
        <v/>
      </c>
      <c r="BD937" s="73">
        <f t="shared" si="541"/>
        <v>520.75470588235294</v>
      </c>
      <c r="BE937" s="73">
        <f t="shared" si="542"/>
        <v>404.00409123399686</v>
      </c>
      <c r="BF937" s="77">
        <f t="shared" si="543"/>
        <v>116.75</v>
      </c>
      <c r="BG937" s="77">
        <f t="shared" si="544"/>
        <v>35.024999999999999</v>
      </c>
      <c r="BH937" s="77">
        <f t="shared" si="545"/>
        <v>417.44470588235282</v>
      </c>
      <c r="BI937" s="78">
        <f t="shared" si="546"/>
        <v>0.28000000000000003</v>
      </c>
      <c r="BJ937" s="79">
        <f t="shared" si="547"/>
        <v>0.22419384535792508</v>
      </c>
      <c r="BK937" s="80">
        <f t="shared" si="548"/>
        <v>404.00000000000006</v>
      </c>
      <c r="BL937" s="80">
        <f t="shared" si="549"/>
        <v>116.75470588235288</v>
      </c>
      <c r="BM937" s="79">
        <f t="shared" si="550"/>
        <v>0.2242028820162591</v>
      </c>
      <c r="BN937" s="81">
        <f t="shared" si="551"/>
        <v>0.75931818181818178</v>
      </c>
      <c r="BO937" s="82">
        <f t="shared" si="552"/>
        <v>300.69</v>
      </c>
      <c r="BP937" s="81">
        <f t="shared" si="553"/>
        <v>0.75931818181818178</v>
      </c>
      <c r="BQ937" s="81">
        <f t="shared" si="554"/>
        <v>0.91622233967582822</v>
      </c>
      <c r="BR937" s="81">
        <f t="shared" si="555"/>
        <v>1.2110574555403557</v>
      </c>
      <c r="BS937" s="82">
        <f t="shared" si="556"/>
        <v>396</v>
      </c>
      <c r="BT937" s="82">
        <f t="shared" si="557"/>
        <v>479.57875239398084</v>
      </c>
      <c r="BU937" s="82">
        <f t="shared" si="558"/>
        <v>417.44470588235288</v>
      </c>
      <c r="BW937" s="82">
        <f>IFERROR(INDEX('Infos Clientes'!$T:$T,MATCH('Detalhe Por UC'!$C937,'Infos Clientes'!B:B,0)),"")</f>
        <v>398.18181818181819</v>
      </c>
      <c r="BX937" s="83">
        <f t="shared" si="559"/>
        <v>0</v>
      </c>
      <c r="BY937" s="84">
        <f t="shared" si="560"/>
        <v>0.24345262441159446</v>
      </c>
      <c r="BZ937" s="85">
        <f>IF(_xlfn.MINIFS('Detalhe Por UC'!R:R,'Detalhe Por UC'!C:C,C937,'Detalhe Por UC'!AD:AD,"&gt;"&amp;0)=0,"",_xlfn.MINIFS('Detalhe Por UC'!R:R,'Detalhe Por UC'!C:C,C937,'Detalhe Por UC'!AD:AD,"&gt;"&amp;0))</f>
        <v>45658</v>
      </c>
      <c r="CA937" s="114">
        <f ca="1">IF(OR(S937&gt;0,AD937&gt;0),IFERROR(
SUMIFS(INDIRECT("'Infos Clientes'!$W"&amp;INDEX('Infos Clientes'!$C:$C,MATCH(C937,'Infos Clientes'!$H:$H,0))&amp;":$CZ"&amp;INDEX('Infos Clientes'!$C:$C,MATCH(C937,'Infos Clientes'!$H:$H,0))),'Infos Clientes'!$W$2:$CZ$2,"&gt;"&amp;$R937-365,'Infos Clientes'!$W$2:$CZ$2,"&lt;="&amp;$R937)/
COUNTIFS(INDIRECT("'Infos Clientes'!$W"&amp;INDEX('Infos Clientes'!$C:$C,MATCH(C937,'Infos Clientes'!$H:$H,0))&amp;":$CZ"&amp;INDEX('Infos Clientes'!$C:$C,MATCH(C937,'Infos Clientes'!$H:$H,0))),"&gt;="&amp;0,'Infos Clientes'!$W$2:$CZ$2,"&gt;"&amp;$R937-365,'Infos Clientes'!$W$2:$CZ$2,"&lt;="&amp;$R937),""),"")</f>
        <v>368.83333333333331</v>
      </c>
      <c r="CB937" s="87">
        <f>VLOOKUP(C937,'Infos Clientes'!B:L,11,0)</f>
        <v>0</v>
      </c>
      <c r="CC937" s="88" t="str">
        <f t="shared" si="561"/>
        <v>A Unidade Consumidora 10/1266128-6 economizou R$116,75 na fatura referente à out/2025  consumindo 396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7" s="115">
        <f t="shared" si="562"/>
        <v>-103.31000000000006</v>
      </c>
    </row>
    <row r="938" spans="1:84" ht="16.2" hidden="1" customHeight="1" x14ac:dyDescent="0.3">
      <c r="A938" s="105" t="str">
        <f>INDEX('Infos Clientes'!$D:$D,MATCH('Detalhe Por UC'!C938,'Infos Clientes'!B:B,0))</f>
        <v>IGREJA DO EVANGELHO QUADRANGULAR</v>
      </c>
      <c r="B938" s="106" t="str">
        <f>INDEX('Infos Clientes'!$F:$F,MATCH('Detalhe Por UC'!C938,'Infos Clientes'!B:B,0))</f>
        <v>62.955.505/0168-37</v>
      </c>
      <c r="C938" s="31" t="s">
        <v>228</v>
      </c>
      <c r="D938" s="31" t="s">
        <v>351</v>
      </c>
      <c r="E938" s="31" t="s">
        <v>352</v>
      </c>
      <c r="F938" s="56" t="str">
        <f>INDEX('Infos Clientes'!$I:$I,MATCH('Detalhe Por UC'!C938,'Infos Clientes'!B:B,0))</f>
        <v>BT</v>
      </c>
      <c r="G938" s="56" t="str">
        <f>INDEX('Infos Clientes'!$J:$J,MATCH('Detalhe Por UC'!C938,'Infos Clientes'!B:B,0))</f>
        <v>trifasico</v>
      </c>
      <c r="H938" s="156" t="s">
        <v>138</v>
      </c>
      <c r="I938" s="58">
        <f>IFERROR(VLOOKUP(C938,'Infos Clientes'!B:E,4,),"")</f>
        <v>302</v>
      </c>
      <c r="J938" s="152">
        <v>0.2796792317717392</v>
      </c>
      <c r="K938" s="79">
        <f>INDEX('Resumo Operacional'!$A$1:$P$151,MATCH("Desconto percentual Ucs",'Resumo Operacional'!$B$1:$B$151,0),MATCH('Detalhe Por UC'!$R938,'Resumo Operacional'!$A$1:$P$1,0))</f>
        <v>0.26414553913427991</v>
      </c>
      <c r="M938" s="56"/>
      <c r="N938" s="56"/>
      <c r="O938" s="56"/>
      <c r="P938" s="56"/>
      <c r="Q938" s="61"/>
      <c r="R938" s="111">
        <v>45931</v>
      </c>
      <c r="S938" s="151">
        <v>1.7500000000000002E-2</v>
      </c>
      <c r="T938" s="113" t="str">
        <f>IF($H938="GIROSSOL II",AP938/INDEX('Resumo Operacional'!$A$1:$P$1103,17,MATCH('Detalhe Por UC'!$R938,'Resumo Operacional'!$A$1:$P$1,0)),
IF($H938="GIROSSOL II e III",AP938/INDEX('Resumo Operacional'!$A$1:$P$1103,17,MATCH('Detalhe Por UC'!$R938,'Resumo Operacional'!$A$1:$P$1,0)),
""))</f>
        <v/>
      </c>
      <c r="U938" s="113">
        <f>IF($H938="GIROSSOL III",AP938/INDEX('Resumo Operacional'!$A$1:$P$1103,53,MATCH('Detalhe Por UC'!$R938,'Resumo Operacional'!$A$1:$P$1,0)),
IF($H938="GIROSSOL II e III",AP938/INDEX('Resumo Operacional'!$A$1:$P$1103,53,MATCH('Detalhe Por UC'!$R938,'Resumo Operacional'!$A$1:$P$1,0)),
""))</f>
        <v>3.7696106914584547E-2</v>
      </c>
      <c r="X938">
        <v>1.2250303030303029</v>
      </c>
      <c r="Z938" s="18">
        <v>1.0681454545454545</v>
      </c>
      <c r="AB938" s="18">
        <v>330</v>
      </c>
      <c r="AD938" s="143">
        <v>275</v>
      </c>
      <c r="AF938" s="18">
        <v>509</v>
      </c>
      <c r="AH938">
        <v>55.76</v>
      </c>
      <c r="AL938" s="43"/>
      <c r="AN938" s="71">
        <f t="shared" si="529"/>
        <v>244</v>
      </c>
      <c r="AO938" s="71">
        <f t="shared" si="530"/>
        <v>0</v>
      </c>
      <c r="AP938" s="71">
        <f t="shared" si="531"/>
        <v>519</v>
      </c>
      <c r="AQ938" s="72">
        <f>IF(OR($H938="GIROSSOL II",$H938="GIROSSOL II e III"),INDEX('Resumo Operacional'!$A$1:$P$1103,MATCH("Energia Injetada prevista total Fatura da Usina (TUSD)",'Resumo Operacional'!$B$1:$B$1103,0),MATCH('Detalhe Por UC'!$R938,'Resumo Operacional'!$A$1:$P$1,0))*$S938,INDEX('Resumo Operacional'!$A$1:$P$1103,53,MATCH('Detalhe Por UC'!$R938,'Resumo Operacional'!$A$1:$P$1,0))*$S938)</f>
        <v>240.94000000000003</v>
      </c>
      <c r="AR938" s="71">
        <f t="shared" si="532"/>
        <v>278.05999999999995</v>
      </c>
      <c r="AS938" s="73">
        <f t="shared" si="533"/>
        <v>166.27999999999992</v>
      </c>
      <c r="AT938" s="74">
        <f t="shared" si="534"/>
        <v>166.27999999999992</v>
      </c>
      <c r="AU938" s="74">
        <f t="shared" si="535"/>
        <v>0.9112606060606061</v>
      </c>
      <c r="AV938" s="74">
        <f t="shared" si="536"/>
        <v>211.58702245936934</v>
      </c>
      <c r="AW938" s="74">
        <f t="shared" si="537"/>
        <v>0</v>
      </c>
      <c r="AX938" s="74">
        <f t="shared" si="538"/>
        <v>293.74</v>
      </c>
      <c r="AY938" s="74">
        <f t="shared" si="539"/>
        <v>211.59</v>
      </c>
      <c r="AZ938" s="129">
        <v>211.44</v>
      </c>
      <c r="BA938" s="117">
        <v>211.44</v>
      </c>
      <c r="BB938" s="49">
        <v>211.44</v>
      </c>
      <c r="BC938" s="73" t="str">
        <f t="shared" si="540"/>
        <v/>
      </c>
      <c r="BD938" s="73">
        <f t="shared" si="541"/>
        <v>460.01999999999992</v>
      </c>
      <c r="BE938" s="73">
        <f t="shared" si="542"/>
        <v>377.86702245936925</v>
      </c>
      <c r="BF938" s="77">
        <f t="shared" si="543"/>
        <v>82.15</v>
      </c>
      <c r="BG938" s="77">
        <f t="shared" si="544"/>
        <v>24.645</v>
      </c>
      <c r="BH938" s="77">
        <f t="shared" si="545"/>
        <v>293.74</v>
      </c>
      <c r="BI938" s="78">
        <f t="shared" si="546"/>
        <v>0.28000000000000003</v>
      </c>
      <c r="BJ938" s="79">
        <f t="shared" si="547"/>
        <v>0.17857919220903443</v>
      </c>
      <c r="BK938" s="80">
        <f t="shared" si="548"/>
        <v>377.86999999999989</v>
      </c>
      <c r="BL938" s="80">
        <f t="shared" si="549"/>
        <v>82.150000000000034</v>
      </c>
      <c r="BM938" s="79">
        <f t="shared" si="550"/>
        <v>0.17857919220903448</v>
      </c>
      <c r="BN938" s="81">
        <f t="shared" si="551"/>
        <v>0.76941818181818178</v>
      </c>
      <c r="BO938" s="82">
        <f t="shared" si="552"/>
        <v>211.58999999999997</v>
      </c>
      <c r="BP938" s="81">
        <f t="shared" si="553"/>
        <v>0.76941818181818178</v>
      </c>
      <c r="BQ938" s="81">
        <f t="shared" si="554"/>
        <v>0.92630303030303018</v>
      </c>
      <c r="BR938" s="81">
        <f t="shared" si="555"/>
        <v>1.2250303030303029</v>
      </c>
      <c r="BS938" s="82">
        <f t="shared" si="556"/>
        <v>275</v>
      </c>
      <c r="BT938" s="82">
        <f t="shared" si="557"/>
        <v>336.88333333333333</v>
      </c>
      <c r="BU938" s="82">
        <f t="shared" si="558"/>
        <v>293.74</v>
      </c>
      <c r="BW938" s="82">
        <f>IFERROR(INDEX('Infos Clientes'!$T:$T,MATCH('Detalhe Por UC'!$C938,'Infos Clientes'!B:B,0)),"")</f>
        <v>286.18181818181819</v>
      </c>
      <c r="BX938" s="83">
        <f t="shared" si="559"/>
        <v>0</v>
      </c>
      <c r="BY938" s="84">
        <f t="shared" si="560"/>
        <v>0.2438529659130263</v>
      </c>
      <c r="BZ938" s="85">
        <f>IF(_xlfn.MINIFS('Detalhe Por UC'!R:R,'Detalhe Por UC'!C:C,C938,'Detalhe Por UC'!AD:AD,"&gt;"&amp;0)=0,"",_xlfn.MINIFS('Detalhe Por UC'!R:R,'Detalhe Por UC'!C:C,C938,'Detalhe Por UC'!AD:AD,"&gt;"&amp;0))</f>
        <v>45658</v>
      </c>
      <c r="CA938" s="114">
        <f ca="1">IF(OR(S938&gt;0,AD938&gt;0),IFERROR(
SUMIFS(INDIRECT("'Infos Clientes'!$W"&amp;INDEX('Infos Clientes'!$C:$C,MATCH(C938,'Infos Clientes'!$H:$H,0))&amp;":$CZ"&amp;INDEX('Infos Clientes'!$C:$C,MATCH(C938,'Infos Clientes'!$H:$H,0))),'Infos Clientes'!$W$2:$CZ$2,"&gt;"&amp;$R938-365,'Infos Clientes'!$W$2:$CZ$2,"&lt;="&amp;$R938)/
COUNTIFS(INDIRECT("'Infos Clientes'!$W"&amp;INDEX('Infos Clientes'!$C:$C,MATCH(C938,'Infos Clientes'!$H:$H,0))&amp;":$CZ"&amp;INDEX('Infos Clientes'!$C:$C,MATCH(C938,'Infos Clientes'!$H:$H,0))),"&gt;="&amp;0,'Infos Clientes'!$W$2:$CZ$2,"&gt;"&amp;$R938-365,'Infos Clientes'!$W$2:$CZ$2,"&lt;="&amp;$R938),""),"")</f>
        <v>314</v>
      </c>
      <c r="CB938" s="87">
        <f>VLOOKUP(C938,'Infos Clientes'!B:L,11,0)</f>
        <v>0</v>
      </c>
      <c r="CC938" s="88" t="str">
        <f t="shared" si="561"/>
        <v>A Unidade Consumidora 10/78338-1 economizou R$82,15 na fatura referente à out/2025  consumindo 275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8" s="115">
        <f t="shared" si="562"/>
        <v>-166.27999999999992</v>
      </c>
    </row>
    <row r="939" spans="1:84" ht="16.2" hidden="1" customHeight="1" x14ac:dyDescent="0.3">
      <c r="A939" s="105" t="str">
        <f>INDEX('Infos Clientes'!$D:$D,MATCH('Detalhe Por UC'!C939,'Infos Clientes'!B:B,0))</f>
        <v>IGREJA DO EVANGELHO QUADRANGULAR</v>
      </c>
      <c r="B939" s="106" t="str">
        <f>INDEX('Infos Clientes'!$F:$F,MATCH('Detalhe Por UC'!C939,'Infos Clientes'!B:B,0))</f>
        <v>62.955.505/8432-53</v>
      </c>
      <c r="C939" s="31" t="s">
        <v>178</v>
      </c>
      <c r="D939" s="31" t="s">
        <v>351</v>
      </c>
      <c r="E939" s="31" t="s">
        <v>352</v>
      </c>
      <c r="F939" s="56" t="str">
        <f>INDEX('Infos Clientes'!$I:$I,MATCH('Detalhe Por UC'!C939,'Infos Clientes'!B:B,0))</f>
        <v>BT</v>
      </c>
      <c r="G939" s="56" t="str">
        <f>INDEX('Infos Clientes'!$J:$J,MATCH('Detalhe Por UC'!C939,'Infos Clientes'!B:B,0))</f>
        <v>trifasico</v>
      </c>
      <c r="H939" s="156" t="s">
        <v>138</v>
      </c>
      <c r="I939" s="58">
        <f>IFERROR(VLOOKUP(C939,'Infos Clientes'!B:E,4,),"")</f>
        <v>349</v>
      </c>
      <c r="J939" s="152">
        <v>0.2796792317717392</v>
      </c>
      <c r="K939" s="79">
        <f>INDEX('Resumo Operacional'!$A$1:$P$151,MATCH("Desconto percentual Ucs",'Resumo Operacional'!$B$1:$B$151,0),MATCH('Detalhe Por UC'!$R939,'Resumo Operacional'!$A$1:$P$1,0))</f>
        <v>0.26414553913427991</v>
      </c>
      <c r="M939" s="56"/>
      <c r="N939" s="56"/>
      <c r="O939" s="56"/>
      <c r="P939" s="56"/>
      <c r="Q939" s="61"/>
      <c r="R939" s="111">
        <v>45931</v>
      </c>
      <c r="S939" s="151">
        <v>1.4800000000000001E-2</v>
      </c>
      <c r="T939" s="113" t="str">
        <f>IF($H939="GIROSSOL II",AP939/INDEX('Resumo Operacional'!$A$1:$P$1103,17,MATCH('Detalhe Por UC'!$R939,'Resumo Operacional'!$A$1:$P$1,0)),
IF($H939="GIROSSOL II e III",AP939/INDEX('Resumo Operacional'!$A$1:$P$1103,17,MATCH('Detalhe Por UC'!$R939,'Resumo Operacional'!$A$1:$P$1,0)),
""))</f>
        <v/>
      </c>
      <c r="U939" s="113">
        <f>IF($H939="GIROSSOL III",AP939/INDEX('Resumo Operacional'!$A$1:$P$1103,53,MATCH('Detalhe Por UC'!$R939,'Resumo Operacional'!$A$1:$P$1,0)),
IF($H939="GIROSSOL II e III",AP939/INDEX('Resumo Operacional'!$A$1:$P$1103,53,MATCH('Detalhe Por UC'!$R939,'Resumo Operacional'!$A$1:$P$1,0)),
""))</f>
        <v>5.2295177222545031E-3</v>
      </c>
      <c r="X939">
        <v>1.2126671476671476</v>
      </c>
      <c r="Z939" s="18">
        <v>1.0557430593358736</v>
      </c>
      <c r="AB939" s="18">
        <v>378</v>
      </c>
      <c r="AD939" s="143">
        <v>334</v>
      </c>
      <c r="AF939" s="18">
        <v>116</v>
      </c>
      <c r="AH939">
        <v>64.099999999999994</v>
      </c>
      <c r="AL939" s="43"/>
      <c r="AN939" s="71">
        <f t="shared" si="529"/>
        <v>-262</v>
      </c>
      <c r="AO939" s="71">
        <f t="shared" si="530"/>
        <v>0</v>
      </c>
      <c r="AP939" s="71">
        <f t="shared" si="531"/>
        <v>72</v>
      </c>
      <c r="AQ939" s="72">
        <f>IF(OR($H939="GIROSSOL II",$H939="GIROSSOL II e III"),INDEX('Resumo Operacional'!$A$1:$P$1103,MATCH("Energia Injetada prevista total Fatura da Usina (TUSD)",'Resumo Operacional'!$B$1:$B$1103,0),MATCH('Detalhe Por UC'!$R939,'Resumo Operacional'!$A$1:$P$1,0))*$S939,INDEX('Resumo Operacional'!$A$1:$P$1103,53,MATCH('Detalhe Por UC'!$R939,'Resumo Operacional'!$A$1:$P$1,0))*$S939)</f>
        <v>203.7664</v>
      </c>
      <c r="AR939" s="71">
        <f t="shared" si="532"/>
        <v>-131.7664</v>
      </c>
      <c r="AS939" s="73">
        <f t="shared" si="533"/>
        <v>169.86999999999998</v>
      </c>
      <c r="AT939" s="74">
        <f t="shared" si="534"/>
        <v>169.86999999999998</v>
      </c>
      <c r="AU939" s="74">
        <f t="shared" si="535"/>
        <v>0.89881897100459973</v>
      </c>
      <c r="AV939" s="74">
        <f t="shared" si="536"/>
        <v>253.99819961852529</v>
      </c>
      <c r="AW939" s="74">
        <f t="shared" si="537"/>
        <v>0</v>
      </c>
      <c r="AX939" s="74">
        <f t="shared" si="538"/>
        <v>352.61818181818182</v>
      </c>
      <c r="AY939" s="74">
        <f t="shared" si="539"/>
        <v>254</v>
      </c>
      <c r="AZ939" s="129">
        <v>254</v>
      </c>
      <c r="BA939" s="117">
        <v>254</v>
      </c>
      <c r="BB939" s="49">
        <v>254</v>
      </c>
      <c r="BC939" s="73" t="str">
        <f t="shared" si="540"/>
        <v/>
      </c>
      <c r="BD939" s="73">
        <f t="shared" si="541"/>
        <v>522.48818181818183</v>
      </c>
      <c r="BE939" s="73">
        <f t="shared" si="542"/>
        <v>423.8681996185253</v>
      </c>
      <c r="BF939" s="77">
        <f t="shared" si="543"/>
        <v>98.62</v>
      </c>
      <c r="BG939" s="77">
        <f t="shared" si="544"/>
        <v>29.585999999999999</v>
      </c>
      <c r="BH939" s="77">
        <f t="shared" si="545"/>
        <v>352.61818181818177</v>
      </c>
      <c r="BI939" s="78">
        <f t="shared" si="546"/>
        <v>0.28000000000000003</v>
      </c>
      <c r="BJ939" s="79">
        <f t="shared" si="547"/>
        <v>0.18875068074614998</v>
      </c>
      <c r="BK939" s="80">
        <f t="shared" si="548"/>
        <v>423.87</v>
      </c>
      <c r="BL939" s="80">
        <f t="shared" si="549"/>
        <v>98.618181818181824</v>
      </c>
      <c r="BM939" s="79">
        <f t="shared" si="550"/>
        <v>0.18874720089362615</v>
      </c>
      <c r="BN939" s="81">
        <f t="shared" si="551"/>
        <v>0.76047904191616766</v>
      </c>
      <c r="BO939" s="82">
        <f t="shared" si="552"/>
        <v>254</v>
      </c>
      <c r="BP939" s="81">
        <f t="shared" si="553"/>
        <v>0.76047904191616766</v>
      </c>
      <c r="BQ939" s="81">
        <f t="shared" si="554"/>
        <v>0.91740313024744158</v>
      </c>
      <c r="BR939" s="81">
        <f t="shared" si="555"/>
        <v>1.2126671476671476</v>
      </c>
      <c r="BS939" s="82">
        <f t="shared" si="556"/>
        <v>334</v>
      </c>
      <c r="BT939" s="82">
        <f t="shared" si="557"/>
        <v>405.03082732082726</v>
      </c>
      <c r="BU939" s="82">
        <f t="shared" si="558"/>
        <v>352.61818181818182</v>
      </c>
      <c r="BW939" s="82">
        <f>IFERROR(INDEX('Infos Clientes'!$T:$T,MATCH('Detalhe Por UC'!$C939,'Infos Clientes'!B:B,0)),"")</f>
        <v>290.18181818181819</v>
      </c>
      <c r="BX939" s="83">
        <f t="shared" si="559"/>
        <v>0</v>
      </c>
      <c r="BY939" s="84">
        <f t="shared" si="560"/>
        <v>0.24348315033330972</v>
      </c>
      <c r="BZ939" s="85">
        <f>IF(_xlfn.MINIFS('Detalhe Por UC'!R:R,'Detalhe Por UC'!C:C,C939,'Detalhe Por UC'!AD:AD,"&gt;"&amp;0)=0,"",_xlfn.MINIFS('Detalhe Por UC'!R:R,'Detalhe Por UC'!C:C,C939,'Detalhe Por UC'!AD:AD,"&gt;"&amp;0))</f>
        <v>45658</v>
      </c>
      <c r="CA939" s="114">
        <f ca="1">IF(OR(S939&gt;0,AD939&gt;0),IFERROR(
SUMIFS(INDIRECT("'Infos Clientes'!$W"&amp;INDEX('Infos Clientes'!$C:$C,MATCH(C939,'Infos Clientes'!$H:$H,0))&amp;":$CZ"&amp;INDEX('Infos Clientes'!$C:$C,MATCH(C939,'Infos Clientes'!$H:$H,0))),'Infos Clientes'!$W$2:$CZ$2,"&gt;"&amp;$R939-365,'Infos Clientes'!$W$2:$CZ$2,"&lt;="&amp;$R939)/
COUNTIFS(INDIRECT("'Infos Clientes'!$W"&amp;INDEX('Infos Clientes'!$C:$C,MATCH(C939,'Infos Clientes'!$H:$H,0))&amp;":$CZ"&amp;INDEX('Infos Clientes'!$C:$C,MATCH(C939,'Infos Clientes'!$H:$H,0))),"&gt;="&amp;0,'Infos Clientes'!$W$2:$CZ$2,"&gt;"&amp;$R939-365,'Infos Clientes'!$W$2:$CZ$2,"&lt;="&amp;$R939),""),"")</f>
        <v>268.91666666666669</v>
      </c>
      <c r="CB939" s="87">
        <f>VLOOKUP(C939,'Infos Clientes'!B:L,11,0)</f>
        <v>0</v>
      </c>
      <c r="CC939" s="88" t="str">
        <f t="shared" si="561"/>
        <v>A Unidade Consumidora 10/280638-8 economizou R$98,62 na fatura referente à out/2025  consumindo 334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39" s="115">
        <f t="shared" si="562"/>
        <v>-169.86999999999998</v>
      </c>
    </row>
    <row r="940" spans="1:84" ht="16.2" hidden="1" customHeight="1" x14ac:dyDescent="0.3">
      <c r="A940" s="105" t="str">
        <f>INDEX('Infos Clientes'!$D:$D,MATCH('Detalhe Por UC'!C940,'Infos Clientes'!B:B,0))</f>
        <v>IGREJA DO EVANGELHO QUADRANGULAR</v>
      </c>
      <c r="B940" s="106" t="str">
        <f>INDEX('Infos Clientes'!$F:$F,MATCH('Detalhe Por UC'!C940,'Infos Clientes'!B:B,0))</f>
        <v>62.955.505/0155-12</v>
      </c>
      <c r="C940" s="31" t="s">
        <v>189</v>
      </c>
      <c r="D940" s="31" t="s">
        <v>351</v>
      </c>
      <c r="E940" s="31" t="s">
        <v>352</v>
      </c>
      <c r="F940" s="56" t="str">
        <f>INDEX('Infos Clientes'!$I:$I,MATCH('Detalhe Por UC'!C940,'Infos Clientes'!B:B,0))</f>
        <v>BT</v>
      </c>
      <c r="G940" s="56" t="str">
        <f>INDEX('Infos Clientes'!$J:$J,MATCH('Detalhe Por UC'!C940,'Infos Clientes'!B:B,0))</f>
        <v>bifasico</v>
      </c>
      <c r="H940" s="156" t="s">
        <v>138</v>
      </c>
      <c r="I940" s="58">
        <f>IFERROR(VLOOKUP(C940,'Infos Clientes'!B:E,4,),"")</f>
        <v>358</v>
      </c>
      <c r="J940" s="152">
        <v>0.2796792317717392</v>
      </c>
      <c r="K940" s="79">
        <f>INDEX('Resumo Operacional'!$A$1:$P$151,MATCH("Desconto percentual Ucs",'Resumo Operacional'!$B$1:$B$151,0),MATCH('Detalhe Por UC'!$R940,'Resumo Operacional'!$A$1:$P$1,0))</f>
        <v>0.26414553913427991</v>
      </c>
      <c r="M940" s="56"/>
      <c r="N940" s="56"/>
      <c r="O940" s="56"/>
      <c r="P940" s="56"/>
      <c r="Q940" s="61"/>
      <c r="R940" s="111">
        <v>45931</v>
      </c>
      <c r="S940" s="151">
        <v>1.46E-2</v>
      </c>
      <c r="T940" s="113" t="str">
        <f>IF($H940="GIROSSOL II",AP940/INDEX('Resumo Operacional'!$A$1:$P$1103,17,MATCH('Detalhe Por UC'!$R940,'Resumo Operacional'!$A$1:$P$1,0)),
IF($H940="GIROSSOL II e III",AP940/INDEX('Resumo Operacional'!$A$1:$P$1103,17,MATCH('Detalhe Por UC'!$R940,'Resumo Operacional'!$A$1:$P$1,0)),
""))</f>
        <v/>
      </c>
      <c r="U940" s="113">
        <f>IF($H940="GIROSSOL III",AP940/INDEX('Resumo Operacional'!$A$1:$P$1103,53,MATCH('Detalhe Por UC'!$R940,'Resumo Operacional'!$A$1:$P$1,0)),
IF($H940="GIROSSOL II e III",AP940/INDEX('Resumo Operacional'!$A$1:$P$1103,53,MATCH('Detalhe Por UC'!$R940,'Resumo Operacional'!$A$1:$P$1,0)),
""))</f>
        <v>1.2783265543288786E-2</v>
      </c>
      <c r="X940">
        <v>1.2250469740004368</v>
      </c>
      <c r="Z940" s="54">
        <v>1.0682065217391303</v>
      </c>
      <c r="AB940" s="18">
        <v>199</v>
      </c>
      <c r="AD940" s="143">
        <v>176</v>
      </c>
      <c r="AF940" s="18">
        <v>0</v>
      </c>
      <c r="AG940">
        <v>0</v>
      </c>
      <c r="AH940">
        <v>79.540000000000006</v>
      </c>
      <c r="AL940" s="43"/>
      <c r="AN940" s="71">
        <f t="shared" si="529"/>
        <v>0</v>
      </c>
      <c r="AO940" s="71">
        <f t="shared" si="530"/>
        <v>0</v>
      </c>
      <c r="AP940" s="71">
        <f t="shared" si="531"/>
        <v>176</v>
      </c>
      <c r="AQ940" s="72">
        <f>IF(OR($H940="GIROSSOL II",$H940="GIROSSOL II e III"),INDEX('Resumo Operacional'!$A$1:$P$1103,MATCH("Energia Injetada prevista total Fatura da Usina (TUSD)",'Resumo Operacional'!$B$1:$B$1103,0),MATCH('Detalhe Por UC'!$R940,'Resumo Operacional'!$A$1:$P$1,0))*$S940,INDEX('Resumo Operacional'!$A$1:$P$1103,53,MATCH('Detalhe Por UC'!$R940,'Resumo Operacional'!$A$1:$P$1,0))*$S940)</f>
        <v>201.0128</v>
      </c>
      <c r="AR940" s="71">
        <f t="shared" si="532"/>
        <v>-25.012799999999999</v>
      </c>
      <c r="AS940" s="73">
        <f t="shared" si="533"/>
        <v>135.32</v>
      </c>
      <c r="AT940" s="74">
        <f t="shared" si="534"/>
        <v>135.32</v>
      </c>
      <c r="AU940" s="74">
        <f t="shared" si="535"/>
        <v>0.91136606947782384</v>
      </c>
      <c r="AV940" s="74">
        <f t="shared" si="536"/>
        <v>135.4234362563401</v>
      </c>
      <c r="AW940" s="74">
        <f t="shared" si="537"/>
        <v>0</v>
      </c>
      <c r="AX940" s="74">
        <f t="shared" si="538"/>
        <v>188.00434782608693</v>
      </c>
      <c r="AY940" s="74">
        <f t="shared" si="539"/>
        <v>135.41999999999999</v>
      </c>
      <c r="AZ940" s="129">
        <v>135.41999999999999</v>
      </c>
      <c r="BA940" s="117">
        <v>135.41999999999999</v>
      </c>
      <c r="BB940" s="49">
        <v>135.41999999999999</v>
      </c>
      <c r="BC940" s="73" t="str">
        <f t="shared" si="540"/>
        <v/>
      </c>
      <c r="BD940" s="73">
        <f t="shared" si="541"/>
        <v>323.32434782608692</v>
      </c>
      <c r="BE940" s="73">
        <f t="shared" si="542"/>
        <v>270.74343625634009</v>
      </c>
      <c r="BF940" s="77">
        <f t="shared" si="543"/>
        <v>52.58</v>
      </c>
      <c r="BG940" s="77">
        <f t="shared" si="544"/>
        <v>15.773999999999999</v>
      </c>
      <c r="BH940" s="77">
        <f t="shared" si="545"/>
        <v>188.00434782608693</v>
      </c>
      <c r="BI940" s="78">
        <f t="shared" si="546"/>
        <v>0.28000000000000003</v>
      </c>
      <c r="BJ940" s="79">
        <f t="shared" si="547"/>
        <v>0.16262307603348908</v>
      </c>
      <c r="BK940" s="80">
        <f t="shared" si="548"/>
        <v>270.74</v>
      </c>
      <c r="BL940" s="80">
        <f t="shared" si="549"/>
        <v>52.584347826086912</v>
      </c>
      <c r="BM940" s="79">
        <f t="shared" si="550"/>
        <v>0.16263652329199635</v>
      </c>
      <c r="BN940" s="81">
        <f t="shared" si="551"/>
        <v>0.76943181818181816</v>
      </c>
      <c r="BO940" s="82">
        <f t="shared" si="552"/>
        <v>135.41999999999999</v>
      </c>
      <c r="BP940" s="81">
        <f t="shared" si="553"/>
        <v>0.76943181818181816</v>
      </c>
      <c r="BQ940" s="81">
        <f t="shared" si="554"/>
        <v>0.92627227044312466</v>
      </c>
      <c r="BR940" s="81">
        <f t="shared" si="555"/>
        <v>1.2250469740004368</v>
      </c>
      <c r="BS940" s="82">
        <f t="shared" si="556"/>
        <v>176</v>
      </c>
      <c r="BT940" s="82">
        <f t="shared" si="557"/>
        <v>215.60826742407687</v>
      </c>
      <c r="BU940" s="82">
        <f t="shared" si="558"/>
        <v>188.00434782608693</v>
      </c>
      <c r="BW940" s="82">
        <f>IFERROR(INDEX('Infos Clientes'!$T:$T,MATCH('Detalhe Por UC'!$C940,'Infos Clientes'!B:B,0)),"")</f>
        <v>164.36363636363637</v>
      </c>
      <c r="BX940" s="83">
        <f t="shared" si="559"/>
        <v>0</v>
      </c>
      <c r="BY940" s="84">
        <f t="shared" si="560"/>
        <v>0.24388836501644681</v>
      </c>
      <c r="BZ940" s="85">
        <f>IF(_xlfn.MINIFS('Detalhe Por UC'!R:R,'Detalhe Por UC'!C:C,C940,'Detalhe Por UC'!AD:AD,"&gt;"&amp;0)=0,"",_xlfn.MINIFS('Detalhe Por UC'!R:R,'Detalhe Por UC'!C:C,C940,'Detalhe Por UC'!AD:AD,"&gt;"&amp;0))</f>
        <v>45658</v>
      </c>
      <c r="CA940" s="114">
        <f ca="1">IF(OR(S940&gt;0,AD940&gt;0),IFERROR(
SUMIFS(INDIRECT("'Infos Clientes'!$W"&amp;INDEX('Infos Clientes'!$C:$C,MATCH(C940,'Infos Clientes'!$H:$H,0))&amp;":$CZ"&amp;INDEX('Infos Clientes'!$C:$C,MATCH(C940,'Infos Clientes'!$H:$H,0))),'Infos Clientes'!$W$2:$CZ$2,"&gt;"&amp;$R940-365,'Infos Clientes'!$W$2:$CZ$2,"&lt;="&amp;$R940)/
COUNTIFS(INDIRECT("'Infos Clientes'!$W"&amp;INDEX('Infos Clientes'!$C:$C,MATCH(C940,'Infos Clientes'!$H:$H,0))&amp;":$CZ"&amp;INDEX('Infos Clientes'!$C:$C,MATCH(C940,'Infos Clientes'!$H:$H,0))),"&gt;="&amp;0,'Infos Clientes'!$W$2:$CZ$2,"&gt;"&amp;$R940-365,'Infos Clientes'!$W$2:$CZ$2,"&lt;="&amp;$R940),""),"")</f>
        <v>191</v>
      </c>
      <c r="CB940" s="87">
        <f>VLOOKUP(C940,'Infos Clientes'!B:L,11,0)</f>
        <v>0</v>
      </c>
      <c r="CC940" s="88" t="str">
        <f t="shared" si="561"/>
        <v>A Unidade Consumidora 10/3125732-2 economizou R$52,58 na fatura referente à out/2025  consumindo 176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0" s="115">
        <f t="shared" si="562"/>
        <v>-135.32</v>
      </c>
    </row>
    <row r="941" spans="1:84" ht="16.2" hidden="1" customHeight="1" x14ac:dyDescent="0.3">
      <c r="A941" s="105" t="str">
        <f>INDEX('Infos Clientes'!$D:$D,MATCH('Detalhe Por UC'!C941,'Infos Clientes'!B:B,0))</f>
        <v>IGREJA DO EVANGELHO QUADRANGULAR</v>
      </c>
      <c r="B941" s="106" t="str">
        <f>INDEX('Infos Clientes'!$F:$F,MATCH('Detalhe Por UC'!C941,'Infos Clientes'!B:B,0))</f>
        <v>62.955.505/0155-12</v>
      </c>
      <c r="C941" s="31" t="s">
        <v>205</v>
      </c>
      <c r="D941" s="31" t="s">
        <v>351</v>
      </c>
      <c r="E941" s="31" t="s">
        <v>352</v>
      </c>
      <c r="F941" s="56" t="str">
        <f>INDEX('Infos Clientes'!$I:$I,MATCH('Detalhe Por UC'!C941,'Infos Clientes'!B:B,0))</f>
        <v>BT</v>
      </c>
      <c r="G941" s="56" t="str">
        <f>INDEX('Infos Clientes'!$J:$J,MATCH('Detalhe Por UC'!C941,'Infos Clientes'!B:B,0))</f>
        <v>bifasico</v>
      </c>
      <c r="H941" s="156" t="s">
        <v>138</v>
      </c>
      <c r="I941" s="58">
        <f>IFERROR(VLOOKUP(C941,'Infos Clientes'!B:E,4,),"")</f>
        <v>358</v>
      </c>
      <c r="J941" s="152">
        <v>0.2796792317717392</v>
      </c>
      <c r="K941" s="79">
        <f>INDEX('Resumo Operacional'!$A$1:$P$151,MATCH("Desconto percentual Ucs",'Resumo Operacional'!$B$1:$B$151,0),MATCH('Detalhe Por UC'!$R941,'Resumo Operacional'!$A$1:$P$1,0))</f>
        <v>0.26414553913427991</v>
      </c>
      <c r="M941" s="56"/>
      <c r="N941" s="56"/>
      <c r="O941" s="56"/>
      <c r="P941" s="56"/>
      <c r="Q941" s="61"/>
      <c r="R941" s="111">
        <v>45931</v>
      </c>
      <c r="S941" s="151">
        <v>1.4200000000000001E-2</v>
      </c>
      <c r="T941" s="113" t="str">
        <f>IF($H941="GIROSSOL II",AP941/INDEX('Resumo Operacional'!$A$1:$P$1103,17,MATCH('Detalhe Por UC'!$R941,'Resumo Operacional'!$A$1:$P$1,0)),
IF($H941="GIROSSOL II e III",AP941/INDEX('Resumo Operacional'!$A$1:$P$1103,17,MATCH('Detalhe Por UC'!$R941,'Resumo Operacional'!$A$1:$P$1,0)),
""))</f>
        <v/>
      </c>
      <c r="U941" s="113">
        <f>IF($H941="GIROSSOL III",AP941/INDEX('Resumo Operacional'!$A$1:$P$1103,53,MATCH('Detalhe Por UC'!$R941,'Resumo Operacional'!$A$1:$P$1,0)),
IF($H941="GIROSSOL II e III",AP941/INDEX('Resumo Operacional'!$A$1:$P$1103,53,MATCH('Detalhe Por UC'!$R941,'Resumo Operacional'!$A$1:$P$1,0)),
""))</f>
        <v>1.2420104590354445E-2</v>
      </c>
      <c r="X941">
        <v>1.2294995475113122</v>
      </c>
      <c r="Z941" s="54">
        <v>1.0726280701754385</v>
      </c>
      <c r="AB941" s="18">
        <v>221</v>
      </c>
      <c r="AD941" s="143">
        <v>171</v>
      </c>
      <c r="AF941" s="18">
        <v>0</v>
      </c>
      <c r="AG941">
        <v>0</v>
      </c>
      <c r="AH941">
        <v>58.23</v>
      </c>
      <c r="AL941" s="43"/>
      <c r="AN941" s="71">
        <f t="shared" si="529"/>
        <v>0</v>
      </c>
      <c r="AO941" s="71">
        <f t="shared" si="530"/>
        <v>0</v>
      </c>
      <c r="AP941" s="71">
        <f t="shared" si="531"/>
        <v>171</v>
      </c>
      <c r="AQ941" s="72">
        <f>IF(OR($H941="GIROSSOL II",$H941="GIROSSOL II e III"),INDEX('Resumo Operacional'!$A$1:$P$1103,MATCH("Energia Injetada prevista total Fatura da Usina (TUSD)",'Resumo Operacional'!$B$1:$B$1103,0),MATCH('Detalhe Por UC'!$R941,'Resumo Operacional'!$A$1:$P$1,0))*$S941,INDEX('Resumo Operacional'!$A$1:$P$1103,53,MATCH('Detalhe Por UC'!$R941,'Resumo Operacional'!$A$1:$P$1,0))*$S941)</f>
        <v>195.50560000000002</v>
      </c>
      <c r="AR941" s="71">
        <f t="shared" si="532"/>
        <v>-24.505600000000015</v>
      </c>
      <c r="AS941" s="73">
        <f t="shared" si="533"/>
        <v>146.53000000000003</v>
      </c>
      <c r="AT941" s="74">
        <f t="shared" si="534"/>
        <v>146.53000000000003</v>
      </c>
      <c r="AU941" s="74">
        <f t="shared" si="535"/>
        <v>0.91575659283956479</v>
      </c>
      <c r="AV941" s="74">
        <f t="shared" si="536"/>
        <v>132.12080311596665</v>
      </c>
      <c r="AW941" s="74">
        <f t="shared" si="537"/>
        <v>0</v>
      </c>
      <c r="AX941" s="74">
        <f t="shared" si="538"/>
        <v>183.41939999999997</v>
      </c>
      <c r="AY941" s="74">
        <f t="shared" si="539"/>
        <v>132.12</v>
      </c>
      <c r="AZ941" s="129">
        <v>132.12</v>
      </c>
      <c r="BA941" s="117">
        <v>132.12</v>
      </c>
      <c r="BC941" s="73" t="str">
        <f t="shared" si="540"/>
        <v/>
      </c>
      <c r="BD941" s="73">
        <f t="shared" si="541"/>
        <v>329.94940000000003</v>
      </c>
      <c r="BE941" s="73">
        <f t="shared" si="542"/>
        <v>278.65080311596671</v>
      </c>
      <c r="BF941" s="77">
        <f t="shared" si="543"/>
        <v>51.3</v>
      </c>
      <c r="BG941" s="77">
        <f t="shared" si="544"/>
        <v>15.389999999999999</v>
      </c>
      <c r="BH941" s="77">
        <f t="shared" si="545"/>
        <v>183.41939999999997</v>
      </c>
      <c r="BI941" s="78">
        <f t="shared" si="546"/>
        <v>0.28000000000000003</v>
      </c>
      <c r="BJ941" s="79">
        <f t="shared" si="547"/>
        <v>0.15547838547365139</v>
      </c>
      <c r="BK941" s="80">
        <f t="shared" si="548"/>
        <v>278.65000000000003</v>
      </c>
      <c r="BL941" s="80">
        <f t="shared" si="549"/>
        <v>51.299399999999991</v>
      </c>
      <c r="BM941" s="79">
        <f t="shared" si="550"/>
        <v>0.15547656701300255</v>
      </c>
      <c r="BN941" s="81">
        <f t="shared" si="551"/>
        <v>0.77263157894736845</v>
      </c>
      <c r="BO941" s="82">
        <f t="shared" si="552"/>
        <v>132.12</v>
      </c>
      <c r="BP941" s="81">
        <f t="shared" si="553"/>
        <v>0.77263157894736845</v>
      </c>
      <c r="BQ941" s="81">
        <f t="shared" si="554"/>
        <v>0.92950305628324215</v>
      </c>
      <c r="BR941" s="81">
        <f t="shared" si="555"/>
        <v>1.2294995475113122</v>
      </c>
      <c r="BS941" s="82">
        <f t="shared" si="556"/>
        <v>171</v>
      </c>
      <c r="BT941" s="82">
        <f t="shared" si="557"/>
        <v>210.24442262443438</v>
      </c>
      <c r="BU941" s="82">
        <f t="shared" si="558"/>
        <v>183.41939999999997</v>
      </c>
      <c r="BW941" s="82">
        <f>IFERROR(INDEX('Infos Clientes'!$T:$T,MATCH('Detalhe Por UC'!$C941,'Infos Clientes'!B:B,0)),"")</f>
        <v>178</v>
      </c>
      <c r="BX941" s="83">
        <f t="shared" si="559"/>
        <v>0</v>
      </c>
      <c r="BY941" s="84">
        <f t="shared" si="560"/>
        <v>0.24399886265538448</v>
      </c>
      <c r="BZ941" s="85">
        <f>IF(_xlfn.MINIFS('Detalhe Por UC'!R:R,'Detalhe Por UC'!C:C,C941,'Detalhe Por UC'!AD:AD,"&gt;"&amp;0)=0,"",_xlfn.MINIFS('Detalhe Por UC'!R:R,'Detalhe Por UC'!C:C,C941,'Detalhe Por UC'!AD:AD,"&gt;"&amp;0))</f>
        <v>45658</v>
      </c>
      <c r="CA941" s="114">
        <f ca="1">IF(OR(S941&gt;0,AD941&gt;0),IFERROR(
SUMIFS(INDIRECT("'Infos Clientes'!$W"&amp;INDEX('Infos Clientes'!$C:$C,MATCH(C941,'Infos Clientes'!$H:$H,0))&amp;":$CZ"&amp;INDEX('Infos Clientes'!$C:$C,MATCH(C941,'Infos Clientes'!$H:$H,0))),'Infos Clientes'!$W$2:$CZ$2,"&gt;"&amp;$R941-365,'Infos Clientes'!$W$2:$CZ$2,"&lt;="&amp;$R941)/
COUNTIFS(INDIRECT("'Infos Clientes'!$W"&amp;INDEX('Infos Clientes'!$C:$C,MATCH(C941,'Infos Clientes'!$H:$H,0))&amp;":$CZ"&amp;INDEX('Infos Clientes'!$C:$C,MATCH(C941,'Infos Clientes'!$H:$H,0))),"&gt;="&amp;0,'Infos Clientes'!$W$2:$CZ$2,"&gt;"&amp;$R941-365,'Infos Clientes'!$W$2:$CZ$2,"&lt;="&amp;$R941),""),"")</f>
        <v>177.91666666666666</v>
      </c>
      <c r="CB941" s="87">
        <f>VLOOKUP(C941,'Infos Clientes'!B:L,11,0)</f>
        <v>0</v>
      </c>
      <c r="CC941" s="88" t="str">
        <f t="shared" si="561"/>
        <v>A Unidade Consumidora 10/466560-0 economizou R$51,3 na fatura referente à out/2025  consumindo 171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1" s="115">
        <f t="shared" si="562"/>
        <v>-146.53000000000003</v>
      </c>
    </row>
    <row r="942" spans="1:84" ht="16.2" hidden="1" customHeight="1" x14ac:dyDescent="0.3">
      <c r="A942" s="105" t="str">
        <f>INDEX('Infos Clientes'!$D:$D,MATCH('Detalhe Por UC'!C942,'Infos Clientes'!B:B,0))</f>
        <v>IGREJA DO EVANGELHO QUADRANGULAR</v>
      </c>
      <c r="B942" s="106" t="str">
        <f>INDEX('Infos Clientes'!$F:$F,MATCH('Detalhe Por UC'!C942,'Infos Clientes'!B:B,0))</f>
        <v>62.955.505/1822-57</v>
      </c>
      <c r="C942" s="31" t="s">
        <v>216</v>
      </c>
      <c r="D942" s="31" t="s">
        <v>351</v>
      </c>
      <c r="E942" s="31" t="s">
        <v>352</v>
      </c>
      <c r="F942" s="56" t="str">
        <f>INDEX('Infos Clientes'!$I:$I,MATCH('Detalhe Por UC'!C942,'Infos Clientes'!B:B,0))</f>
        <v>BT</v>
      </c>
      <c r="G942" s="56" t="str">
        <f>INDEX('Infos Clientes'!$J:$J,MATCH('Detalhe Por UC'!C942,'Infos Clientes'!B:B,0))</f>
        <v>trifasico</v>
      </c>
      <c r="H942" s="156" t="s">
        <v>138</v>
      </c>
      <c r="I942" s="58">
        <f>IFERROR(VLOOKUP(C942,'Infos Clientes'!B:E,4,),"")</f>
        <v>319</v>
      </c>
      <c r="J942" s="152">
        <v>0.2796792317717392</v>
      </c>
      <c r="K942" s="79">
        <f>INDEX('Resumo Operacional'!$A$1:$P$151,MATCH("Desconto percentual Ucs",'Resumo Operacional'!$B$1:$B$151,0),MATCH('Detalhe Por UC'!$R942,'Resumo Operacional'!$A$1:$P$1,0))</f>
        <v>0.26414553913427991</v>
      </c>
      <c r="M942" s="56"/>
      <c r="N942" s="56"/>
      <c r="O942" s="56"/>
      <c r="P942" s="56"/>
      <c r="Q942" s="61"/>
      <c r="R942" s="111">
        <v>45931</v>
      </c>
      <c r="S942" s="151">
        <v>1.4E-2</v>
      </c>
      <c r="T942" s="113" t="str">
        <f>IF($H942="GIROSSOL II",AP942/INDEX('Resumo Operacional'!$A$1:$P$1103,17,MATCH('Detalhe Por UC'!$R942,'Resumo Operacional'!$A$1:$P$1,0)),
IF($H942="GIROSSOL II e III",AP942/INDEX('Resumo Operacional'!$A$1:$P$1103,17,MATCH('Detalhe Por UC'!$R942,'Resumo Operacional'!$A$1:$P$1,0)),
""))</f>
        <v/>
      </c>
      <c r="U942" s="113">
        <f>IF($H942="GIROSSOL III",AP942/INDEX('Resumo Operacional'!$A$1:$P$1103,53,MATCH('Detalhe Por UC'!$R942,'Resumo Operacional'!$A$1:$P$1,0)),
IF($H942="GIROSSOL II e III",AP942/INDEX('Resumo Operacional'!$A$1:$P$1103,53,MATCH('Detalhe Por UC'!$R942,'Resumo Operacional'!$A$1:$P$1,0)),
""))</f>
        <v>1.953805926786752E-2</v>
      </c>
      <c r="X942">
        <v>1.2138877118644069</v>
      </c>
      <c r="Z942" s="18">
        <v>1.0569872016603252</v>
      </c>
      <c r="AB942" s="18">
        <v>304</v>
      </c>
      <c r="AD942" s="143">
        <v>245</v>
      </c>
      <c r="AF942" s="18">
        <v>383</v>
      </c>
      <c r="AH942">
        <v>69.98</v>
      </c>
      <c r="AL942" s="43"/>
      <c r="AN942" s="71">
        <f t="shared" si="529"/>
        <v>24</v>
      </c>
      <c r="AO942" s="71">
        <f t="shared" si="530"/>
        <v>0</v>
      </c>
      <c r="AP942" s="71">
        <f t="shared" si="531"/>
        <v>269</v>
      </c>
      <c r="AQ942" s="72">
        <f>IF(OR($H942="GIROSSOL II",$H942="GIROSSOL II e III"),INDEX('Resumo Operacional'!$A$1:$P$1103,MATCH("Energia Injetada prevista total Fatura da Usina (TUSD)",'Resumo Operacional'!$B$1:$B$1103,0),MATCH('Detalhe Por UC'!$R942,'Resumo Operacional'!$A$1:$P$1,0))*$S942,INDEX('Resumo Operacional'!$A$1:$P$1103,53,MATCH('Detalhe Por UC'!$R942,'Resumo Operacional'!$A$1:$P$1,0))*$S942)</f>
        <v>192.75200000000001</v>
      </c>
      <c r="AR942" s="71">
        <f t="shared" si="532"/>
        <v>76.24799999999999</v>
      </c>
      <c r="AS942" s="73">
        <f t="shared" si="533"/>
        <v>180.04000000000002</v>
      </c>
      <c r="AT942" s="74">
        <f t="shared" si="534"/>
        <v>180.04000000000002</v>
      </c>
      <c r="AU942" s="74">
        <f t="shared" si="535"/>
        <v>0.90008669145624354</v>
      </c>
      <c r="AV942" s="74">
        <f t="shared" si="536"/>
        <v>186.53560911131427</v>
      </c>
      <c r="AW942" s="74">
        <f t="shared" si="537"/>
        <v>0</v>
      </c>
      <c r="AX942" s="74">
        <f t="shared" si="538"/>
        <v>258.96186440677968</v>
      </c>
      <c r="AY942" s="74">
        <f t="shared" si="539"/>
        <v>186.54</v>
      </c>
      <c r="AZ942" s="129">
        <v>186.54</v>
      </c>
      <c r="BA942" s="117">
        <v>186.54</v>
      </c>
      <c r="BC942" s="73" t="str">
        <f t="shared" si="540"/>
        <v/>
      </c>
      <c r="BD942" s="73">
        <f t="shared" si="541"/>
        <v>439.0018644067797</v>
      </c>
      <c r="BE942" s="73">
        <f t="shared" si="542"/>
        <v>366.57560911131429</v>
      </c>
      <c r="BF942" s="77">
        <f t="shared" si="543"/>
        <v>72.430000000000007</v>
      </c>
      <c r="BG942" s="77">
        <f t="shared" si="544"/>
        <v>21.729000000000003</v>
      </c>
      <c r="BH942" s="77">
        <f t="shared" si="545"/>
        <v>258.96186440677968</v>
      </c>
      <c r="BI942" s="78">
        <f t="shared" si="546"/>
        <v>0.28000000000000003</v>
      </c>
      <c r="BJ942" s="79">
        <f t="shared" si="547"/>
        <v>0.16498790978456135</v>
      </c>
      <c r="BK942" s="80">
        <f t="shared" si="548"/>
        <v>366.58000000000004</v>
      </c>
      <c r="BL942" s="80">
        <f t="shared" si="549"/>
        <v>72.421864406779662</v>
      </c>
      <c r="BM942" s="79">
        <f t="shared" si="550"/>
        <v>0.16496937776025813</v>
      </c>
      <c r="BN942" s="81">
        <f t="shared" si="551"/>
        <v>0.76138775510204082</v>
      </c>
      <c r="BO942" s="82">
        <f t="shared" si="552"/>
        <v>186.54</v>
      </c>
      <c r="BP942" s="81">
        <f t="shared" si="553"/>
        <v>0.76138775510204082</v>
      </c>
      <c r="BQ942" s="81">
        <f t="shared" si="554"/>
        <v>0.91828826530612251</v>
      </c>
      <c r="BR942" s="81">
        <f t="shared" si="555"/>
        <v>1.2138877118644069</v>
      </c>
      <c r="BS942" s="82">
        <f t="shared" si="556"/>
        <v>245</v>
      </c>
      <c r="BT942" s="82">
        <f t="shared" si="557"/>
        <v>297.40248940677969</v>
      </c>
      <c r="BU942" s="82">
        <f t="shared" si="558"/>
        <v>258.96186440677968</v>
      </c>
      <c r="BW942" s="82">
        <f>IFERROR(INDEX('Infos Clientes'!$T:$T,MATCH('Detalhe Por UC'!$C942,'Infos Clientes'!B:B,0)),"")</f>
        <v>264</v>
      </c>
      <c r="BX942" s="83">
        <f t="shared" si="559"/>
        <v>0</v>
      </c>
      <c r="BY942" s="84">
        <f t="shared" si="560"/>
        <v>0.24351465433674585</v>
      </c>
      <c r="BZ942" s="85">
        <f>IF(_xlfn.MINIFS('Detalhe Por UC'!R:R,'Detalhe Por UC'!C:C,C942,'Detalhe Por UC'!AD:AD,"&gt;"&amp;0)=0,"",_xlfn.MINIFS('Detalhe Por UC'!R:R,'Detalhe Por UC'!C:C,C942,'Detalhe Por UC'!AD:AD,"&gt;"&amp;0))</f>
        <v>45658</v>
      </c>
      <c r="CA942" s="114">
        <f ca="1">IF(OR(S942&gt;0,AD942&gt;0),IFERROR(
SUMIFS(INDIRECT("'Infos Clientes'!$W"&amp;INDEX('Infos Clientes'!$C:$C,MATCH(C942,'Infos Clientes'!$H:$H,0))&amp;":$CZ"&amp;INDEX('Infos Clientes'!$C:$C,MATCH(C942,'Infos Clientes'!$H:$H,0))),'Infos Clientes'!$W$2:$CZ$2,"&gt;"&amp;$R942-365,'Infos Clientes'!$W$2:$CZ$2,"&lt;="&amp;$R942)/
COUNTIFS(INDIRECT("'Infos Clientes'!$W"&amp;INDEX('Infos Clientes'!$C:$C,MATCH(C942,'Infos Clientes'!$H:$H,0))&amp;":$CZ"&amp;INDEX('Infos Clientes'!$C:$C,MATCH(C942,'Infos Clientes'!$H:$H,0))),"&gt;="&amp;0,'Infos Clientes'!$W$2:$CZ$2,"&gt;"&amp;$R942-365,'Infos Clientes'!$W$2:$CZ$2,"&lt;="&amp;$R942),""),"")</f>
        <v>274.16666666666669</v>
      </c>
      <c r="CB942" s="87">
        <f>VLOOKUP(C942,'Infos Clientes'!B:L,11,0)</f>
        <v>0</v>
      </c>
      <c r="CC942" s="88" t="str">
        <f t="shared" si="561"/>
        <v>A Unidade Consumidora 10/52987-5 economizou R$72,43 na fatura referente à out/2025  consumindo 245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2" s="115">
        <f t="shared" si="562"/>
        <v>-180.04000000000002</v>
      </c>
    </row>
    <row r="943" spans="1:84" ht="16.2" hidden="1" customHeight="1" x14ac:dyDescent="0.3">
      <c r="A943" s="105" t="str">
        <f>INDEX('Infos Clientes'!$D:$D,MATCH('Detalhe Por UC'!C943,'Infos Clientes'!B:B,0))</f>
        <v>IGREJA DO EVANGELHO QUADRANGULAR</v>
      </c>
      <c r="B943" s="106" t="str">
        <f>INDEX('Infos Clientes'!$F:$F,MATCH('Detalhe Por UC'!C943,'Infos Clientes'!B:B,0))</f>
        <v>62.955.505/2740-20</v>
      </c>
      <c r="C943" s="31" t="s">
        <v>175</v>
      </c>
      <c r="D943" s="31" t="s">
        <v>351</v>
      </c>
      <c r="E943" s="31" t="s">
        <v>352</v>
      </c>
      <c r="F943" s="56" t="str">
        <f>INDEX('Infos Clientes'!$I:$I,MATCH('Detalhe Por UC'!C943,'Infos Clientes'!B:B,0))</f>
        <v>BT</v>
      </c>
      <c r="G943" s="56" t="str">
        <f>INDEX('Infos Clientes'!$J:$J,MATCH('Detalhe Por UC'!C943,'Infos Clientes'!B:B,0))</f>
        <v>trifasico</v>
      </c>
      <c r="H943" s="156" t="s">
        <v>138</v>
      </c>
      <c r="I943" s="58">
        <f>IFERROR(VLOOKUP(C943,'Infos Clientes'!B:E,4,),"")</f>
        <v>371</v>
      </c>
      <c r="J943" s="152">
        <v>0.2796792317717392</v>
      </c>
      <c r="K943" s="79">
        <f>INDEX('Resumo Operacional'!$A$1:$P$151,MATCH("Desconto percentual Ucs",'Resumo Operacional'!$B$1:$B$151,0),MATCH('Detalhe Por UC'!$R943,'Resumo Operacional'!$A$1:$P$1,0))</f>
        <v>0.26414553913427991</v>
      </c>
      <c r="M943" s="56"/>
      <c r="N943" s="56"/>
      <c r="O943" s="56"/>
      <c r="P943" s="56"/>
      <c r="Q943" s="61"/>
      <c r="R943" s="111">
        <v>45931</v>
      </c>
      <c r="S943" s="151">
        <v>1.3100000000000001E-2</v>
      </c>
      <c r="T943" s="113" t="str">
        <f>IF($H943="GIROSSOL II",AP943/INDEX('Resumo Operacional'!$A$1:$P$1103,17,MATCH('Detalhe Por UC'!$R943,'Resumo Operacional'!$A$1:$P$1,0)),
IF($H943="GIROSSOL II e III",AP943/INDEX('Resumo Operacional'!$A$1:$P$1103,17,MATCH('Detalhe Por UC'!$R943,'Resumo Operacional'!$A$1:$P$1,0)),
""))</f>
        <v/>
      </c>
      <c r="U943" s="113">
        <f>IF($H943="GIROSSOL III",AP943/INDEX('Resumo Operacional'!$A$1:$P$1103,53,MATCH('Detalhe Por UC'!$R943,'Resumo Operacional'!$A$1:$P$1,0)),
IF($H943="GIROSSOL II e III",AP943/INDEX('Resumo Operacional'!$A$1:$P$1103,53,MATCH('Detalhe Por UC'!$R943,'Resumo Operacional'!$A$1:$P$1,0)),
""))</f>
        <v>0</v>
      </c>
      <c r="X943">
        <v>1.2160893173758864</v>
      </c>
      <c r="Z943" s="54">
        <v>1.0592072821100917</v>
      </c>
      <c r="AB943" s="18">
        <v>282</v>
      </c>
      <c r="AD943" s="143">
        <v>218</v>
      </c>
      <c r="AF943" s="18">
        <v>397</v>
      </c>
      <c r="AH943">
        <v>46.25</v>
      </c>
      <c r="AL943" s="43"/>
      <c r="AN943" s="71">
        <f t="shared" si="529"/>
        <v>-218</v>
      </c>
      <c r="AO943" s="71">
        <f t="shared" si="530"/>
        <v>0</v>
      </c>
      <c r="AP943" s="71">
        <f t="shared" si="531"/>
        <v>0</v>
      </c>
      <c r="AQ943" s="72">
        <f>IF(OR($H943="GIROSSOL II",$H943="GIROSSOL II e III"),INDEX('Resumo Operacional'!$A$1:$P$1103,MATCH("Energia Injetada prevista total Fatura da Usina (TUSD)",'Resumo Operacional'!$B$1:$B$1103,0),MATCH('Detalhe Por UC'!$R943,'Resumo Operacional'!$A$1:$P$1,0))*$S943,INDEX('Resumo Operacional'!$A$1:$P$1103,53,MATCH('Detalhe Por UC'!$R943,'Resumo Operacional'!$A$1:$P$1,0))*$S943)</f>
        <v>180.36080000000001</v>
      </c>
      <c r="AR943" s="71">
        <f t="shared" si="532"/>
        <v>-180.36080000000001</v>
      </c>
      <c r="AS943" s="73">
        <f t="shared" si="533"/>
        <v>158.28</v>
      </c>
      <c r="AT943" s="74">
        <f t="shared" si="534"/>
        <v>158.28</v>
      </c>
      <c r="AU943" s="74">
        <f t="shared" si="535"/>
        <v>0.90232524684429705</v>
      </c>
      <c r="AV943" s="74">
        <f t="shared" si="536"/>
        <v>166.32724268942707</v>
      </c>
      <c r="AW943" s="74">
        <f t="shared" si="537"/>
        <v>0</v>
      </c>
      <c r="AX943" s="74">
        <f t="shared" si="538"/>
        <v>230.90718749999999</v>
      </c>
      <c r="AY943" s="74">
        <f t="shared" si="539"/>
        <v>166.33</v>
      </c>
      <c r="AZ943" s="129">
        <v>166.33</v>
      </c>
      <c r="BA943" s="117">
        <v>166.33</v>
      </c>
      <c r="BB943" s="49">
        <v>166.33</v>
      </c>
      <c r="BC943" s="73" t="str">
        <f t="shared" si="540"/>
        <v/>
      </c>
      <c r="BD943" s="73">
        <f t="shared" si="541"/>
        <v>389.18718749999999</v>
      </c>
      <c r="BE943" s="73">
        <f t="shared" si="542"/>
        <v>324.60724268942704</v>
      </c>
      <c r="BF943" s="77">
        <f t="shared" si="543"/>
        <v>64.58</v>
      </c>
      <c r="BG943" s="77">
        <f t="shared" si="544"/>
        <v>19.373999999999999</v>
      </c>
      <c r="BH943" s="77">
        <f t="shared" si="545"/>
        <v>230.90718750000002</v>
      </c>
      <c r="BI943" s="78">
        <f t="shared" si="546"/>
        <v>0.28000000000000003</v>
      </c>
      <c r="BJ943" s="79">
        <f t="shared" si="547"/>
        <v>0.16593557566691478</v>
      </c>
      <c r="BK943" s="80">
        <f t="shared" si="548"/>
        <v>324.61</v>
      </c>
      <c r="BL943" s="80">
        <f t="shared" si="549"/>
        <v>64.57718749999998</v>
      </c>
      <c r="BM943" s="79">
        <f t="shared" si="550"/>
        <v>0.16592834906724668</v>
      </c>
      <c r="BN943" s="81">
        <f t="shared" si="551"/>
        <v>0.76298165137614682</v>
      </c>
      <c r="BO943" s="82">
        <f t="shared" si="552"/>
        <v>166.33</v>
      </c>
      <c r="BP943" s="81">
        <f t="shared" si="553"/>
        <v>0.76298165137614682</v>
      </c>
      <c r="BQ943" s="81">
        <f t="shared" si="554"/>
        <v>0.91986368664194151</v>
      </c>
      <c r="BR943" s="81">
        <f t="shared" si="555"/>
        <v>1.2160893173758864</v>
      </c>
      <c r="BS943" s="82">
        <f t="shared" si="556"/>
        <v>218</v>
      </c>
      <c r="BT943" s="82">
        <f t="shared" si="557"/>
        <v>265.10747118794325</v>
      </c>
      <c r="BU943" s="82">
        <f t="shared" si="558"/>
        <v>230.90718749999999</v>
      </c>
      <c r="BW943" s="82">
        <f>IFERROR(INDEX('Infos Clientes'!$T:$T,MATCH('Detalhe Por UC'!$C943,'Infos Clientes'!B:B,0)),"")</f>
        <v>384.90909090909093</v>
      </c>
      <c r="BX943" s="83">
        <f t="shared" si="559"/>
        <v>0</v>
      </c>
      <c r="BY943" s="84">
        <f t="shared" si="560"/>
        <v>0.24358871219521061</v>
      </c>
      <c r="BZ943" s="85">
        <f>IF(_xlfn.MINIFS('Detalhe Por UC'!R:R,'Detalhe Por UC'!C:C,C943,'Detalhe Por UC'!AD:AD,"&gt;"&amp;0)=0,"",_xlfn.MINIFS('Detalhe Por UC'!R:R,'Detalhe Por UC'!C:C,C943,'Detalhe Por UC'!AD:AD,"&gt;"&amp;0))</f>
        <v>45658</v>
      </c>
      <c r="CA943" s="114">
        <f ca="1">IF(OR(S943&gt;0,AD943&gt;0),IFERROR(
SUMIFS(INDIRECT("'Infos Clientes'!$W"&amp;INDEX('Infos Clientes'!$C:$C,MATCH(C943,'Infos Clientes'!$H:$H,0))&amp;":$CZ"&amp;INDEX('Infos Clientes'!$C:$C,MATCH(C943,'Infos Clientes'!$H:$H,0))),'Infos Clientes'!$W$2:$CZ$2,"&gt;"&amp;$R943-365,'Infos Clientes'!$W$2:$CZ$2,"&lt;="&amp;$R943)/
COUNTIFS(INDIRECT("'Infos Clientes'!$W"&amp;INDEX('Infos Clientes'!$C:$C,MATCH(C943,'Infos Clientes'!$H:$H,0))&amp;":$CZ"&amp;INDEX('Infos Clientes'!$C:$C,MATCH(C943,'Infos Clientes'!$H:$H,0))),"&gt;="&amp;0,'Infos Clientes'!$W$2:$CZ$2,"&gt;"&amp;$R943-365,'Infos Clientes'!$W$2:$CZ$2,"&lt;="&amp;$R943),""),"")</f>
        <v>275.90909090909093</v>
      </c>
      <c r="CB943" s="87">
        <f>VLOOKUP(C943,'Infos Clientes'!B:L,11,0)</f>
        <v>0</v>
      </c>
      <c r="CC943" s="88" t="str">
        <f t="shared" si="561"/>
        <v>A Unidade Consumidora 10/252817-2 economizou R$64,58 na fatura referente à out/2025  consumindo 218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3" s="115">
        <f t="shared" si="562"/>
        <v>-158.28</v>
      </c>
    </row>
    <row r="944" spans="1:84" ht="16.2" hidden="1" customHeight="1" x14ac:dyDescent="0.3">
      <c r="A944" s="105" t="str">
        <f>INDEX('Infos Clientes'!$D:$D,MATCH('Detalhe Por UC'!C944,'Infos Clientes'!B:B,0))</f>
        <v>IGREJA DO EVANGELHO QUADRANGULAR</v>
      </c>
      <c r="B944" s="106" t="str">
        <f>INDEX('Infos Clientes'!$F:$F,MATCH('Detalhe Por UC'!C944,'Infos Clientes'!B:B,0))</f>
        <v>62.955.505/3358-51</v>
      </c>
      <c r="C944" s="31" t="s">
        <v>150</v>
      </c>
      <c r="D944" s="31" t="s">
        <v>351</v>
      </c>
      <c r="E944" s="31" t="s">
        <v>352</v>
      </c>
      <c r="F944" s="56" t="str">
        <f>INDEX('Infos Clientes'!$I:$I,MATCH('Detalhe Por UC'!C944,'Infos Clientes'!B:B,0))</f>
        <v>BT</v>
      </c>
      <c r="G944" s="56" t="str">
        <f>INDEX('Infos Clientes'!$J:$J,MATCH('Detalhe Por UC'!C944,'Infos Clientes'!B:B,0))</f>
        <v>trifasico</v>
      </c>
      <c r="H944" s="156" t="s">
        <v>138</v>
      </c>
      <c r="I944" s="58">
        <f>IFERROR(VLOOKUP(C944,'Infos Clientes'!B:E,4,),"")</f>
        <v>306</v>
      </c>
      <c r="J944" s="152">
        <v>0.2796792317717392</v>
      </c>
      <c r="K944" s="79">
        <f>INDEX('Resumo Operacional'!$A$1:$P$151,MATCH("Desconto percentual Ucs",'Resumo Operacional'!$B$1:$B$151,0),MATCH('Detalhe Por UC'!$R944,'Resumo Operacional'!$A$1:$P$1,0))</f>
        <v>0.26414553913427991</v>
      </c>
      <c r="M944" s="56"/>
      <c r="N944" s="56"/>
      <c r="O944" s="56"/>
      <c r="P944" s="56"/>
      <c r="Q944" s="61"/>
      <c r="R944" s="111">
        <v>45931</v>
      </c>
      <c r="S944" s="151">
        <v>1.2500000000000001E-2</v>
      </c>
      <c r="T944" s="113" t="str">
        <f>IF($H944="GIROSSOL II",AP944/INDEX('Resumo Operacional'!$A$1:$P$1103,17,MATCH('Detalhe Por UC'!$R944,'Resumo Operacional'!$A$1:$P$1,0)),
IF($H944="GIROSSOL II e III",AP944/INDEX('Resumo Operacional'!$A$1:$P$1103,17,MATCH('Detalhe Por UC'!$R944,'Resumo Operacional'!$A$1:$P$1,0)),
""))</f>
        <v/>
      </c>
      <c r="U944" s="113">
        <f>IF($H944="GIROSSOL III",AP944/INDEX('Resumo Operacional'!$A$1:$P$1103,53,MATCH('Detalhe Por UC'!$R944,'Resumo Operacional'!$A$1:$P$1,0)),
IF($H944="GIROSSOL II e III",AP944/INDEX('Resumo Operacional'!$A$1:$P$1103,53,MATCH('Detalhe Por UC'!$R944,'Resumo Operacional'!$A$1:$P$1,0)),
""))</f>
        <v>1.0967460778617082E-2</v>
      </c>
      <c r="X944">
        <v>1.2356183824467406</v>
      </c>
      <c r="Z944" s="54">
        <v>1.0787134205014999</v>
      </c>
      <c r="AB944" s="18">
        <v>268</v>
      </c>
      <c r="AD944" s="143">
        <v>151</v>
      </c>
      <c r="AF944" s="18">
        <v>0</v>
      </c>
      <c r="AG944">
        <v>0</v>
      </c>
      <c r="AH944">
        <v>3.52</v>
      </c>
      <c r="AL944" s="43"/>
      <c r="AN944" s="71">
        <f t="shared" si="529"/>
        <v>0</v>
      </c>
      <c r="AO944" s="71">
        <f t="shared" si="530"/>
        <v>0</v>
      </c>
      <c r="AP944" s="71">
        <f t="shared" si="531"/>
        <v>151</v>
      </c>
      <c r="AQ944" s="72">
        <f>IF(OR($H944="GIROSSOL II",$H944="GIROSSOL II e III"),INDEX('Resumo Operacional'!$A$1:$P$1103,MATCH("Energia Injetada prevista total Fatura da Usina (TUSD)",'Resumo Operacional'!$B$1:$B$1103,0),MATCH('Detalhe Por UC'!$R944,'Resumo Operacional'!$A$1:$P$1,0))*$S944,INDEX('Resumo Operacional'!$A$1:$P$1103,53,MATCH('Detalhe Por UC'!$R944,'Resumo Operacional'!$A$1:$P$1,0))*$S944)</f>
        <v>172.10000000000002</v>
      </c>
      <c r="AR944" s="71">
        <f t="shared" si="532"/>
        <v>-21.100000000000023</v>
      </c>
      <c r="AS944" s="73">
        <f t="shared" si="533"/>
        <v>171.78</v>
      </c>
      <c r="AT944" s="74">
        <f t="shared" si="534"/>
        <v>171.78</v>
      </c>
      <c r="AU944" s="74">
        <f t="shared" si="535"/>
        <v>0.92180845855625915</v>
      </c>
      <c r="AV944" s="74">
        <f t="shared" si="536"/>
        <v>117.32997164282008</v>
      </c>
      <c r="AW944" s="74">
        <f t="shared" si="537"/>
        <v>0</v>
      </c>
      <c r="AX944" s="74">
        <f t="shared" si="538"/>
        <v>162.88572649572649</v>
      </c>
      <c r="AY944" s="74">
        <f t="shared" si="539"/>
        <v>117.33</v>
      </c>
      <c r="AZ944" s="129">
        <v>117.33</v>
      </c>
      <c r="BA944" s="117">
        <v>117.33</v>
      </c>
      <c r="BB944" s="49">
        <v>117.33</v>
      </c>
      <c r="BC944" s="73" t="str">
        <f t="shared" si="540"/>
        <v/>
      </c>
      <c r="BD944" s="73">
        <f t="shared" si="541"/>
        <v>334.66572649572646</v>
      </c>
      <c r="BE944" s="73">
        <f t="shared" si="542"/>
        <v>289.10997164282008</v>
      </c>
      <c r="BF944" s="77">
        <f t="shared" si="543"/>
        <v>45.56</v>
      </c>
      <c r="BG944" s="77">
        <f t="shared" si="544"/>
        <v>13.668000000000001</v>
      </c>
      <c r="BH944" s="77">
        <f t="shared" si="545"/>
        <v>162.88572649572646</v>
      </c>
      <c r="BI944" s="78">
        <f t="shared" si="546"/>
        <v>0.28000000000000003</v>
      </c>
      <c r="BJ944" s="79">
        <f t="shared" si="547"/>
        <v>0.13613584061044204</v>
      </c>
      <c r="BK944" s="80">
        <f t="shared" si="548"/>
        <v>289.11</v>
      </c>
      <c r="BL944" s="80">
        <f t="shared" si="549"/>
        <v>45.555726495726447</v>
      </c>
      <c r="BM944" s="79">
        <f t="shared" si="550"/>
        <v>0.13612307113948871</v>
      </c>
      <c r="BN944" s="81">
        <f t="shared" si="551"/>
        <v>0.7770198675496689</v>
      </c>
      <c r="BO944" s="82">
        <f t="shared" si="552"/>
        <v>117.33</v>
      </c>
      <c r="BP944" s="81">
        <f t="shared" si="553"/>
        <v>0.7770198675496689</v>
      </c>
      <c r="BQ944" s="81">
        <f t="shared" si="554"/>
        <v>0.93392482949490963</v>
      </c>
      <c r="BR944" s="81">
        <f t="shared" si="555"/>
        <v>1.2356183824467406</v>
      </c>
      <c r="BS944" s="82">
        <f t="shared" si="556"/>
        <v>151</v>
      </c>
      <c r="BT944" s="82">
        <f t="shared" si="557"/>
        <v>186.57837574945782</v>
      </c>
      <c r="BU944" s="82">
        <f t="shared" si="558"/>
        <v>162.88572649572649</v>
      </c>
      <c r="BW944" s="82">
        <f>IFERROR(INDEX('Infos Clientes'!$T:$T,MATCH('Detalhe Por UC'!$C944,'Infos Clientes'!B:B,0)),"")</f>
        <v>209.54545454545453</v>
      </c>
      <c r="BX944" s="83">
        <f t="shared" si="559"/>
        <v>0</v>
      </c>
      <c r="BY944" s="84">
        <f t="shared" si="560"/>
        <v>0.24416402122022898</v>
      </c>
      <c r="BZ944" s="85">
        <f>IF(_xlfn.MINIFS('Detalhe Por UC'!R:R,'Detalhe Por UC'!C:C,C944,'Detalhe Por UC'!AD:AD,"&gt;"&amp;0)=0,"",_xlfn.MINIFS('Detalhe Por UC'!R:R,'Detalhe Por UC'!C:C,C944,'Detalhe Por UC'!AD:AD,"&gt;"&amp;0))</f>
        <v>45658</v>
      </c>
      <c r="CA944" s="114">
        <f ca="1">IF(OR(S944&gt;0,AD944&gt;0),IFERROR(
SUMIFS(INDIRECT("'Infos Clientes'!$W"&amp;INDEX('Infos Clientes'!$C:$C,MATCH(C944,'Infos Clientes'!$H:$H,0))&amp;":$CZ"&amp;INDEX('Infos Clientes'!$C:$C,MATCH(C944,'Infos Clientes'!$H:$H,0))),'Infos Clientes'!$W$2:$CZ$2,"&gt;"&amp;$R944-365,'Infos Clientes'!$W$2:$CZ$2,"&lt;="&amp;$R944)/
COUNTIFS(INDIRECT("'Infos Clientes'!$W"&amp;INDEX('Infos Clientes'!$C:$C,MATCH(C944,'Infos Clientes'!$H:$H,0))&amp;":$CZ"&amp;INDEX('Infos Clientes'!$C:$C,MATCH(C944,'Infos Clientes'!$H:$H,0))),"&gt;="&amp;0,'Infos Clientes'!$W$2:$CZ$2,"&gt;"&amp;$R944-365,'Infos Clientes'!$W$2:$CZ$2,"&lt;="&amp;$R944),""),"")</f>
        <v>230.08333333333334</v>
      </c>
      <c r="CB944" s="87">
        <f>VLOOKUP(C944,'Infos Clientes'!B:L,11,0)</f>
        <v>0</v>
      </c>
      <c r="CC944" s="88" t="str">
        <f t="shared" si="561"/>
        <v>A Unidade Consumidora 10/1288241-1 economizou R$45,56 na fatura referente à out/2025  consumindo 151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4" s="115">
        <f t="shared" si="562"/>
        <v>-171.78</v>
      </c>
    </row>
    <row r="945" spans="1:84" ht="16.2" hidden="1" customHeight="1" x14ac:dyDescent="0.3">
      <c r="A945" s="105" t="str">
        <f>INDEX('Infos Clientes'!$D:$D,MATCH('Detalhe Por UC'!C945,'Infos Clientes'!B:B,0))</f>
        <v>IGREJA DO EVANGELHO QUADRANGULAR</v>
      </c>
      <c r="B945" s="106" t="str">
        <f>INDEX('Infos Clientes'!$F:$F,MATCH('Detalhe Por UC'!C945,'Infos Clientes'!B:B,0))</f>
        <v>62.955.505/0408-94</v>
      </c>
      <c r="C945" s="31" t="s">
        <v>144</v>
      </c>
      <c r="D945" s="31" t="s">
        <v>351</v>
      </c>
      <c r="E945" s="31" t="s">
        <v>352</v>
      </c>
      <c r="F945" s="56" t="str">
        <f>INDEX('Infos Clientes'!$I:$I,MATCH('Detalhe Por UC'!C945,'Infos Clientes'!B:B,0))</f>
        <v>BT</v>
      </c>
      <c r="G945" s="56" t="str">
        <f>INDEX('Infos Clientes'!$J:$J,MATCH('Detalhe Por UC'!C945,'Infos Clientes'!B:B,0))</f>
        <v>bifasico</v>
      </c>
      <c r="H945" s="156" t="s">
        <v>138</v>
      </c>
      <c r="I945" s="58">
        <f>IFERROR(VLOOKUP(C945,'Infos Clientes'!B:E,4,),"")</f>
        <v>371</v>
      </c>
      <c r="J945" s="152">
        <v>0.2796792317717392</v>
      </c>
      <c r="K945" s="79">
        <f>INDEX('Resumo Operacional'!$A$1:$P$151,MATCH("Desconto percentual Ucs",'Resumo Operacional'!$B$1:$B$151,0),MATCH('Detalhe Por UC'!$R945,'Resumo Operacional'!$A$1:$P$1,0))</f>
        <v>0.26414553913427991</v>
      </c>
      <c r="M945" s="56"/>
      <c r="N945" s="56"/>
      <c r="O945" s="56"/>
      <c r="P945" s="56"/>
      <c r="Q945" s="61"/>
      <c r="R945" s="111">
        <v>45931</v>
      </c>
      <c r="S945" s="151">
        <v>1.24E-2</v>
      </c>
      <c r="T945" s="113" t="str">
        <f>IF($H945="GIROSSOL II",AP945/INDEX('Resumo Operacional'!$A$1:$P$1103,17,MATCH('Detalhe Por UC'!$R945,'Resumo Operacional'!$A$1:$P$1,0)),
IF($H945="GIROSSOL II e III",AP945/INDEX('Resumo Operacional'!$A$1:$P$1103,17,MATCH('Detalhe Por UC'!$R945,'Resumo Operacional'!$A$1:$P$1,0)),
""))</f>
        <v/>
      </c>
      <c r="U945" s="113">
        <f>IF($H945="GIROSSOL III",AP945/INDEX('Resumo Operacional'!$A$1:$P$1103,53,MATCH('Detalhe Por UC'!$R945,'Resumo Operacional'!$A$1:$P$1,0)),
IF($H945="GIROSSOL II e III",AP945/INDEX('Resumo Operacional'!$A$1:$P$1103,53,MATCH('Detalhe Por UC'!$R945,'Resumo Operacional'!$A$1:$P$1,0)),
""))</f>
        <v>7.7716443927948863E-3</v>
      </c>
      <c r="X945">
        <v>1.1960952380952381</v>
      </c>
      <c r="Z945" s="54">
        <v>1.039231343283582</v>
      </c>
      <c r="AB945" s="18">
        <v>273</v>
      </c>
      <c r="AD945" s="143">
        <v>268</v>
      </c>
      <c r="AF945" s="18">
        <v>235</v>
      </c>
      <c r="AH945">
        <v>20.78</v>
      </c>
      <c r="AL945" s="43"/>
      <c r="AN945" s="71">
        <f t="shared" si="529"/>
        <v>-161</v>
      </c>
      <c r="AO945" s="71">
        <f t="shared" si="530"/>
        <v>0</v>
      </c>
      <c r="AP945" s="71">
        <f t="shared" si="531"/>
        <v>107</v>
      </c>
      <c r="AQ945" s="72">
        <f>IF(OR($H945="GIROSSOL II",$H945="GIROSSOL II e III"),INDEX('Resumo Operacional'!$A$1:$P$1103,MATCH("Energia Injetada prevista total Fatura da Usina (TUSD)",'Resumo Operacional'!$B$1:$B$1103,0),MATCH('Detalhe Por UC'!$R945,'Resumo Operacional'!$A$1:$P$1,0))*$S945,INDEX('Resumo Operacional'!$A$1:$P$1103,53,MATCH('Detalhe Por UC'!$R945,'Resumo Operacional'!$A$1:$P$1,0))*$S945)</f>
        <v>170.72319999999999</v>
      </c>
      <c r="AR945" s="71">
        <f t="shared" si="532"/>
        <v>-63.723199999999991</v>
      </c>
      <c r="AS945" s="73">
        <f t="shared" si="533"/>
        <v>68.799999999999983</v>
      </c>
      <c r="AT945" s="74">
        <f t="shared" si="534"/>
        <v>68.799999999999983</v>
      </c>
      <c r="AU945" s="74">
        <f t="shared" si="535"/>
        <v>0.88236744847192594</v>
      </c>
      <c r="AV945" s="74">
        <f t="shared" si="536"/>
        <v>200.61941844232584</v>
      </c>
      <c r="AW945" s="74">
        <f t="shared" si="537"/>
        <v>0</v>
      </c>
      <c r="AX945" s="74">
        <f t="shared" si="538"/>
        <v>278.51400000000001</v>
      </c>
      <c r="AY945" s="74">
        <f t="shared" si="539"/>
        <v>200.62</v>
      </c>
      <c r="AZ945" s="129">
        <v>200.62</v>
      </c>
      <c r="BA945" s="117">
        <v>200.62</v>
      </c>
      <c r="BB945" s="49">
        <v>200.62</v>
      </c>
      <c r="BC945" s="73" t="str">
        <f t="shared" si="540"/>
        <v/>
      </c>
      <c r="BD945" s="73">
        <f t="shared" si="541"/>
        <v>347.31399999999996</v>
      </c>
      <c r="BE945" s="73">
        <f t="shared" si="542"/>
        <v>269.41941844232582</v>
      </c>
      <c r="BF945" s="77">
        <f t="shared" si="543"/>
        <v>77.89</v>
      </c>
      <c r="BG945" s="77">
        <f t="shared" si="544"/>
        <v>23.367000000000001</v>
      </c>
      <c r="BH945" s="77">
        <f t="shared" si="545"/>
        <v>278.51400000000001</v>
      </c>
      <c r="BI945" s="78">
        <f t="shared" si="546"/>
        <v>0.28000000000000003</v>
      </c>
      <c r="BJ945" s="79">
        <f t="shared" si="547"/>
        <v>0.22426392255998898</v>
      </c>
      <c r="BK945" s="80">
        <f t="shared" si="548"/>
        <v>269.41999999999996</v>
      </c>
      <c r="BL945" s="80">
        <f t="shared" si="549"/>
        <v>77.894000000000005</v>
      </c>
      <c r="BM945" s="79">
        <f t="shared" si="550"/>
        <v>0.22427543951582721</v>
      </c>
      <c r="BN945" s="81">
        <f t="shared" si="551"/>
        <v>0.74858208955223882</v>
      </c>
      <c r="BO945" s="82">
        <f t="shared" si="552"/>
        <v>200.62</v>
      </c>
      <c r="BP945" s="81">
        <f t="shared" si="553"/>
        <v>0.74858208955223882</v>
      </c>
      <c r="BQ945" s="81">
        <f t="shared" si="554"/>
        <v>0.9054459843638949</v>
      </c>
      <c r="BR945" s="81">
        <f t="shared" si="555"/>
        <v>1.1960952380952381</v>
      </c>
      <c r="BS945" s="82">
        <f t="shared" si="556"/>
        <v>268</v>
      </c>
      <c r="BT945" s="82">
        <f t="shared" si="557"/>
        <v>320.55352380952382</v>
      </c>
      <c r="BU945" s="82">
        <f t="shared" si="558"/>
        <v>278.51400000000001</v>
      </c>
      <c r="BW945" s="82">
        <f>IFERROR(INDEX('Infos Clientes'!$T:$T,MATCH('Detalhe Por UC'!$C945,'Infos Clientes'!B:B,0)),"")</f>
        <v>238.54545454545453</v>
      </c>
      <c r="BX945" s="83">
        <f t="shared" si="559"/>
        <v>0</v>
      </c>
      <c r="BY945" s="84">
        <f t="shared" si="560"/>
        <v>0.2429984205891475</v>
      </c>
      <c r="BZ945" s="85">
        <f>IF(_xlfn.MINIFS('Detalhe Por UC'!R:R,'Detalhe Por UC'!C:C,C945,'Detalhe Por UC'!AD:AD,"&gt;"&amp;0)=0,"",_xlfn.MINIFS('Detalhe Por UC'!R:R,'Detalhe Por UC'!C:C,C945,'Detalhe Por UC'!AD:AD,"&gt;"&amp;0))</f>
        <v>45658</v>
      </c>
      <c r="CA945" s="114">
        <f ca="1">IF(OR(S945&gt;0,AD945&gt;0),IFERROR(
SUMIFS(INDIRECT("'Infos Clientes'!$W"&amp;INDEX('Infos Clientes'!$C:$C,MATCH(C945,'Infos Clientes'!$H:$H,0))&amp;":$CZ"&amp;INDEX('Infos Clientes'!$C:$C,MATCH(C945,'Infos Clientes'!$H:$H,0))),'Infos Clientes'!$W$2:$CZ$2,"&gt;"&amp;$R945-365,'Infos Clientes'!$W$2:$CZ$2,"&lt;="&amp;$R945)/
COUNTIFS(INDIRECT("'Infos Clientes'!$W"&amp;INDEX('Infos Clientes'!$C:$C,MATCH(C945,'Infos Clientes'!$H:$H,0))&amp;":$CZ"&amp;INDEX('Infos Clientes'!$C:$C,MATCH(C945,'Infos Clientes'!$H:$H,0))),"&gt;="&amp;0,'Infos Clientes'!$W$2:$CZ$2,"&gt;"&amp;$R945-365,'Infos Clientes'!$W$2:$CZ$2,"&lt;="&amp;$R945),""),"")</f>
        <v>240.83333333333334</v>
      </c>
      <c r="CB945" s="87">
        <f>VLOOKUP(C945,'Infos Clientes'!B:L,11,0)</f>
        <v>0</v>
      </c>
      <c r="CC945" s="88" t="str">
        <f t="shared" si="561"/>
        <v>A Unidade Consumidora 10/1130988-7 economizou R$77,89 na fatura referente à out/2025  consumindo 268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5" s="115">
        <f t="shared" si="562"/>
        <v>-68.799999999999983</v>
      </c>
    </row>
    <row r="946" spans="1:84" ht="16.2" hidden="1" customHeight="1" x14ac:dyDescent="0.3">
      <c r="A946" s="105" t="str">
        <f>INDEX('Infos Clientes'!$D:$D,MATCH('Detalhe Por UC'!C946,'Infos Clientes'!B:B,0))</f>
        <v>IGREJA DO EVANGELHO QUADRANGULAR</v>
      </c>
      <c r="B946" s="106" t="str">
        <f>INDEX('Infos Clientes'!$F:$F,MATCH('Detalhe Por UC'!C946,'Infos Clientes'!B:B,0))</f>
        <v>62.955.505/8979-30</v>
      </c>
      <c r="C946" s="31" t="s">
        <v>238</v>
      </c>
      <c r="D946" s="31" t="s">
        <v>351</v>
      </c>
      <c r="E946" s="31" t="s">
        <v>352</v>
      </c>
      <c r="F946" s="56" t="str">
        <f>INDEX('Infos Clientes'!$I:$I,MATCH('Detalhe Por UC'!C946,'Infos Clientes'!B:B,0))</f>
        <v>BT</v>
      </c>
      <c r="G946" s="56" t="str">
        <f>INDEX('Infos Clientes'!$J:$J,MATCH('Detalhe Por UC'!C946,'Infos Clientes'!B:B,0))</f>
        <v>bifasico</v>
      </c>
      <c r="H946" s="156" t="s">
        <v>138</v>
      </c>
      <c r="I946" s="58">
        <f>IFERROR(VLOOKUP(C946,'Infos Clientes'!B:E,4,),"")</f>
        <v>360</v>
      </c>
      <c r="J946" s="152">
        <v>0.2796792317717392</v>
      </c>
      <c r="K946" s="79">
        <f>INDEX('Resumo Operacional'!$A$1:$P$151,MATCH("Desconto percentual Ucs",'Resumo Operacional'!$B$1:$B$151,0),MATCH('Detalhe Por UC'!$R946,'Resumo Operacional'!$A$1:$P$1,0))</f>
        <v>0.26414553913427991</v>
      </c>
      <c r="M946" s="56"/>
      <c r="N946" s="56"/>
      <c r="O946" s="56"/>
      <c r="P946" s="56"/>
      <c r="Q946" s="61"/>
      <c r="R946" s="111">
        <v>45931</v>
      </c>
      <c r="S946" s="151">
        <v>1.04E-2</v>
      </c>
      <c r="T946" s="113" t="str">
        <f>IF($H946="GIROSSOL II",AP946/INDEX('Resumo Operacional'!$A$1:$P$1103,17,MATCH('Detalhe Por UC'!$R946,'Resumo Operacional'!$A$1:$P$1,0)),
IF($H946="GIROSSOL II e III",AP946/INDEX('Resumo Operacional'!$A$1:$P$1103,17,MATCH('Detalhe Por UC'!$R946,'Resumo Operacional'!$A$1:$P$1,0)),
""))</f>
        <v/>
      </c>
      <c r="U946" s="113">
        <f>IF($H946="GIROSSOL III",AP946/INDEX('Resumo Operacional'!$A$1:$P$1103,53,MATCH('Detalhe Por UC'!$R946,'Resumo Operacional'!$A$1:$P$1,0)),
IF($H946="GIROSSOL II e III",AP946/INDEX('Resumo Operacional'!$A$1:$P$1103,53,MATCH('Detalhe Por UC'!$R946,'Resumo Operacional'!$A$1:$P$1,0)),
""))</f>
        <v>1.2347472399767577E-2</v>
      </c>
      <c r="X946">
        <v>1.214386808187192</v>
      </c>
      <c r="Z946" s="18">
        <v>1.0575031003854534</v>
      </c>
      <c r="AB946" s="18">
        <v>521</v>
      </c>
      <c r="AD946" s="143">
        <v>170</v>
      </c>
      <c r="AF946" s="18">
        <v>0</v>
      </c>
      <c r="AH946">
        <v>22.18</v>
      </c>
      <c r="AL946" s="43"/>
      <c r="AN946" s="71">
        <f t="shared" si="529"/>
        <v>0</v>
      </c>
      <c r="AO946" s="71">
        <f t="shared" si="530"/>
        <v>0</v>
      </c>
      <c r="AP946" s="71">
        <f t="shared" si="531"/>
        <v>170</v>
      </c>
      <c r="AQ946" s="72">
        <f>IF(OR($H946="GIROSSOL II",$H946="GIROSSOL II e III"),INDEX('Resumo Operacional'!$A$1:$P$1103,MATCH("Energia Injetada prevista total Fatura da Usina (TUSD)",'Resumo Operacional'!$B$1:$B$1103,0),MATCH('Detalhe Por UC'!$R946,'Resumo Operacional'!$A$1:$P$1,0))*$S946,INDEX('Resumo Operacional'!$A$1:$P$1103,53,MATCH('Detalhe Por UC'!$R946,'Resumo Operacional'!$A$1:$P$1,0))*$S946)</f>
        <v>143.18719999999999</v>
      </c>
      <c r="AR946" s="71">
        <f t="shared" si="532"/>
        <v>26.81280000000001</v>
      </c>
      <c r="AS946" s="73">
        <f t="shared" si="533"/>
        <v>475.09999999999997</v>
      </c>
      <c r="AT946" s="74">
        <f t="shared" si="534"/>
        <v>475.09999999999997</v>
      </c>
      <c r="AU946" s="74">
        <f t="shared" si="535"/>
        <v>0.90061939258371471</v>
      </c>
      <c r="AV946" s="74">
        <f t="shared" si="536"/>
        <v>129.49604576448095</v>
      </c>
      <c r="AW946" s="74">
        <f t="shared" si="537"/>
        <v>0</v>
      </c>
      <c r="AX946" s="74">
        <f t="shared" si="538"/>
        <v>179.77552706552706</v>
      </c>
      <c r="AY946" s="74">
        <f t="shared" si="539"/>
        <v>129.5</v>
      </c>
      <c r="AZ946" s="129">
        <v>129.5</v>
      </c>
      <c r="BA946" s="117">
        <v>129.5</v>
      </c>
      <c r="BB946" s="49">
        <v>129.5</v>
      </c>
      <c r="BC946" s="73" t="str">
        <f t="shared" si="540"/>
        <v/>
      </c>
      <c r="BD946" s="73">
        <f t="shared" si="541"/>
        <v>654.87552706552697</v>
      </c>
      <c r="BE946" s="73">
        <f t="shared" si="542"/>
        <v>604.59604576448089</v>
      </c>
      <c r="BF946" s="77">
        <f t="shared" si="543"/>
        <v>50.28</v>
      </c>
      <c r="BG946" s="77">
        <f t="shared" si="544"/>
        <v>15.084</v>
      </c>
      <c r="BH946" s="77">
        <f t="shared" si="545"/>
        <v>179.77552706552706</v>
      </c>
      <c r="BI946" s="78">
        <f t="shared" si="546"/>
        <v>0.28000000000000003</v>
      </c>
      <c r="BJ946" s="79">
        <f t="shared" si="547"/>
        <v>7.6777949277327284E-2</v>
      </c>
      <c r="BK946" s="80">
        <f t="shared" si="548"/>
        <v>604.59999999999991</v>
      </c>
      <c r="BL946" s="80">
        <f t="shared" si="549"/>
        <v>50.275527065527058</v>
      </c>
      <c r="BM946" s="79">
        <f t="shared" si="550"/>
        <v>7.6771119071756794E-2</v>
      </c>
      <c r="BN946" s="81">
        <f t="shared" si="551"/>
        <v>0.7617647058823529</v>
      </c>
      <c r="BO946" s="82">
        <f t="shared" si="552"/>
        <v>129.5</v>
      </c>
      <c r="BP946" s="81">
        <f t="shared" si="553"/>
        <v>0.7617647058823529</v>
      </c>
      <c r="BQ946" s="81">
        <f t="shared" si="554"/>
        <v>0.91864841368409156</v>
      </c>
      <c r="BR946" s="81">
        <f t="shared" si="555"/>
        <v>1.214386808187192</v>
      </c>
      <c r="BS946" s="82">
        <f t="shared" si="556"/>
        <v>170</v>
      </c>
      <c r="BT946" s="82">
        <f t="shared" si="557"/>
        <v>206.44575739182264</v>
      </c>
      <c r="BU946" s="82">
        <f t="shared" si="558"/>
        <v>179.77552706552706</v>
      </c>
      <c r="BW946" s="82">
        <f>IFERROR(INDEX('Infos Clientes'!$T:$T,MATCH('Detalhe Por UC'!$C946,'Infos Clientes'!B:B,0)),"")</f>
        <v>162.36363636363637</v>
      </c>
      <c r="BX946" s="83">
        <f t="shared" si="559"/>
        <v>0</v>
      </c>
      <c r="BY946" s="84">
        <f t="shared" si="560"/>
        <v>0.24352899134714068</v>
      </c>
      <c r="BZ946" s="85">
        <f>IF(_xlfn.MINIFS('Detalhe Por UC'!R:R,'Detalhe Por UC'!C:C,C946,'Detalhe Por UC'!AD:AD,"&gt;"&amp;0)=0,"",_xlfn.MINIFS('Detalhe Por UC'!R:R,'Detalhe Por UC'!C:C,C946,'Detalhe Por UC'!AD:AD,"&gt;"&amp;0))</f>
        <v>45658</v>
      </c>
      <c r="CA946" s="114">
        <f ca="1">IF(OR(S946&gt;0,AD946&gt;0),IFERROR(
SUMIFS(INDIRECT("'Infos Clientes'!$W"&amp;INDEX('Infos Clientes'!$C:$C,MATCH(C946,'Infos Clientes'!$H:$H,0))&amp;":$CZ"&amp;INDEX('Infos Clientes'!$C:$C,MATCH(C946,'Infos Clientes'!$H:$H,0))),'Infos Clientes'!$W$2:$CZ$2,"&gt;"&amp;$R946-365,'Infos Clientes'!$W$2:$CZ$2,"&lt;="&amp;$R946)/
COUNTIFS(INDIRECT("'Infos Clientes'!$W"&amp;INDEX('Infos Clientes'!$C:$C,MATCH(C946,'Infos Clientes'!$H:$H,0))&amp;":$CZ"&amp;INDEX('Infos Clientes'!$C:$C,MATCH(C946,'Infos Clientes'!$H:$H,0))),"&gt;="&amp;0,'Infos Clientes'!$W$2:$CZ$2,"&gt;"&amp;$R946-365,'Infos Clientes'!$W$2:$CZ$2,"&lt;="&amp;$R946),""),"")</f>
        <v>199.58333333333334</v>
      </c>
      <c r="CB946" s="87">
        <f>VLOOKUP(C946,'Infos Clientes'!B:L,11,0)</f>
        <v>0</v>
      </c>
      <c r="CC946" s="88" t="str">
        <f t="shared" si="561"/>
        <v>A Unidade Consumidora 10/952579-1 economizou R$50,28 na fatura referente à out/2025  consumindo 170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6" s="115">
        <f t="shared" si="562"/>
        <v>-475.09999999999997</v>
      </c>
    </row>
    <row r="947" spans="1:84" ht="16.2" hidden="1" customHeight="1" x14ac:dyDescent="0.3">
      <c r="A947" s="105" t="str">
        <f>INDEX('Infos Clientes'!$D:$D,MATCH('Detalhe Por UC'!C947,'Infos Clientes'!B:B,0))</f>
        <v>IGREJA DO EVANGELHO QUADRANGULAR</v>
      </c>
      <c r="B947" s="106" t="str">
        <f>INDEX('Infos Clientes'!$F:$F,MATCH('Detalhe Por UC'!C947,'Infos Clientes'!B:B,0))</f>
        <v>62.955.505/3124-87</v>
      </c>
      <c r="C947" s="31" t="s">
        <v>185</v>
      </c>
      <c r="D947" s="31" t="s">
        <v>351</v>
      </c>
      <c r="E947" s="31" t="s">
        <v>352</v>
      </c>
      <c r="F947" s="56" t="str">
        <f>INDEX('Infos Clientes'!$I:$I,MATCH('Detalhe Por UC'!C947,'Infos Clientes'!B:B,0))</f>
        <v>BT</v>
      </c>
      <c r="G947" s="56" t="str">
        <f>INDEX('Infos Clientes'!$J:$J,MATCH('Detalhe Por UC'!C947,'Infos Clientes'!B:B,0))</f>
        <v>trifasico</v>
      </c>
      <c r="H947" s="156" t="s">
        <v>138</v>
      </c>
      <c r="I947" s="58">
        <f>IFERROR(VLOOKUP(C947,'Infos Clientes'!B:E,4,),"")</f>
        <v>357</v>
      </c>
      <c r="J947" s="152">
        <v>0.2796792317717392</v>
      </c>
      <c r="K947" s="79">
        <f>INDEX('Resumo Operacional'!$A$1:$P$151,MATCH("Desconto percentual Ucs",'Resumo Operacional'!$B$1:$B$151,0),MATCH('Detalhe Por UC'!$R947,'Resumo Operacional'!$A$1:$P$1,0))</f>
        <v>0.26414553913427991</v>
      </c>
      <c r="M947" s="56"/>
      <c r="N947" s="56"/>
      <c r="O947" s="56"/>
      <c r="P947" s="56"/>
      <c r="Q947" s="61"/>
      <c r="R947" s="111">
        <v>45931</v>
      </c>
      <c r="S947" s="151">
        <v>8.0000000000000002E-3</v>
      </c>
      <c r="T947" s="113" t="str">
        <f>IF($H947="GIROSSOL II",AP947/INDEX('Resumo Operacional'!$A$1:$P$1103,17,MATCH('Detalhe Por UC'!$R947,'Resumo Operacional'!$A$1:$P$1,0)),
IF($H947="GIROSSOL II e III",AP947/INDEX('Resumo Operacional'!$A$1:$P$1103,17,MATCH('Detalhe Por UC'!$R947,'Resumo Operacional'!$A$1:$P$1,0)),
""))</f>
        <v/>
      </c>
      <c r="U947" s="113">
        <f>IF($H947="GIROSSOL III",AP947/INDEX('Resumo Operacional'!$A$1:$P$1103,53,MATCH('Detalhe Por UC'!$R947,'Resumo Operacional'!$A$1:$P$1,0)),
IF($H947="GIROSSOL II e III",AP947/INDEX('Resumo Operacional'!$A$1:$P$1103,53,MATCH('Detalhe Por UC'!$R947,'Resumo Operacional'!$A$1:$P$1,0)),
""))</f>
        <v>6.9726902963393378E-3</v>
      </c>
      <c r="X947">
        <v>1.2370000000000001</v>
      </c>
      <c r="Z947" s="54">
        <v>0</v>
      </c>
      <c r="AB947" s="18">
        <v>100</v>
      </c>
      <c r="AD947" s="143">
        <v>0</v>
      </c>
      <c r="AF947" s="18">
        <v>578</v>
      </c>
      <c r="AG947">
        <v>0</v>
      </c>
      <c r="AH947">
        <v>27.6</v>
      </c>
      <c r="AL947" s="43"/>
      <c r="AN947" s="71">
        <f t="shared" si="529"/>
        <v>96</v>
      </c>
      <c r="AO947" s="71">
        <f t="shared" si="530"/>
        <v>0</v>
      </c>
      <c r="AP947" s="71">
        <f t="shared" si="531"/>
        <v>96</v>
      </c>
      <c r="AQ947" s="72">
        <f>IF(OR($H947="GIROSSOL II",$H947="GIROSSOL II e III"),INDEX('Resumo Operacional'!$A$1:$P$1103,MATCH("Energia Injetada prevista total Fatura da Usina (TUSD)",'Resumo Operacional'!$B$1:$B$1103,0),MATCH('Detalhe Por UC'!$R947,'Resumo Operacional'!$A$1:$P$1,0))*$S947,INDEX('Resumo Operacional'!$A$1:$P$1103,53,MATCH('Detalhe Por UC'!$R947,'Resumo Operacional'!$A$1:$P$1,0))*$S947)</f>
        <v>110.14400000000001</v>
      </c>
      <c r="AR947" s="71">
        <f t="shared" si="532"/>
        <v>-14.144000000000005</v>
      </c>
      <c r="AS947" s="73">
        <f t="shared" si="533"/>
        <v>151.30000000000001</v>
      </c>
      <c r="AT947" s="74">
        <f t="shared" si="534"/>
        <v>151.30000000000001</v>
      </c>
      <c r="AU947" s="74" t="str">
        <f t="shared" si="535"/>
        <v/>
      </c>
      <c r="AV947" s="74">
        <f t="shared" si="536"/>
        <v>0</v>
      </c>
      <c r="AW947" s="74">
        <f t="shared" si="537"/>
        <v>-1E-10</v>
      </c>
      <c r="AX947" s="74">
        <f t="shared" si="538"/>
        <v>-1E-10</v>
      </c>
      <c r="AY947" s="74">
        <f t="shared" si="539"/>
        <v>-1E-10</v>
      </c>
      <c r="AZ947" s="129">
        <v>0</v>
      </c>
      <c r="BA947" s="117">
        <v>9.9999999999999995E-8</v>
      </c>
      <c r="BC947" s="73" t="str">
        <f t="shared" si="540"/>
        <v/>
      </c>
      <c r="BD947" s="73">
        <f t="shared" si="541"/>
        <v>151.30000000000001</v>
      </c>
      <c r="BE947" s="73">
        <f t="shared" si="542"/>
        <v>151.30000000000001</v>
      </c>
      <c r="BF947" s="77">
        <f t="shared" si="543"/>
        <v>0</v>
      </c>
      <c r="BG947" s="77">
        <f t="shared" si="544"/>
        <v>0</v>
      </c>
      <c r="BH947" s="77">
        <f t="shared" si="545"/>
        <v>0</v>
      </c>
      <c r="BI947" s="78" t="str">
        <f t="shared" si="546"/>
        <v/>
      </c>
      <c r="BJ947" s="79">
        <f t="shared" si="547"/>
        <v>0</v>
      </c>
      <c r="BK947" s="80">
        <f t="shared" si="548"/>
        <v>151.29999999990002</v>
      </c>
      <c r="BL947" s="80">
        <f t="shared" si="549"/>
        <v>9.9987573776161298E-11</v>
      </c>
      <c r="BM947" s="79">
        <f t="shared" si="550"/>
        <v>6.6085640301494572E-13</v>
      </c>
      <c r="BN947" s="81" t="str">
        <f t="shared" si="551"/>
        <v/>
      </c>
      <c r="BO947" s="82" t="str">
        <f t="shared" si="552"/>
        <v/>
      </c>
      <c r="BP947" s="81" t="str">
        <f t="shared" si="553"/>
        <v/>
      </c>
      <c r="BQ947" s="81" t="str">
        <f t="shared" si="554"/>
        <v/>
      </c>
      <c r="BR947" s="81" t="str">
        <f t="shared" si="555"/>
        <v/>
      </c>
      <c r="BS947" s="82">
        <f t="shared" si="556"/>
        <v>0</v>
      </c>
      <c r="BT947" s="82" t="str">
        <f t="shared" si="557"/>
        <v/>
      </c>
      <c r="BU947" s="82">
        <f t="shared" si="558"/>
        <v>0</v>
      </c>
      <c r="BW947" s="82">
        <f>IFERROR(INDEX('Infos Clientes'!$T:$T,MATCH('Detalhe Por UC'!$C947,'Infos Clientes'!B:B,0)),"")</f>
        <v>178.4</v>
      </c>
      <c r="BX947" s="83">
        <f t="shared" si="559"/>
        <v>0</v>
      </c>
      <c r="BY947" s="84" t="str">
        <f t="shared" si="560"/>
        <v/>
      </c>
      <c r="BZ947" s="85">
        <f>IF(_xlfn.MINIFS('Detalhe Por UC'!R:R,'Detalhe Por UC'!C:C,C947,'Detalhe Por UC'!AD:AD,"&gt;"&amp;0)=0,"",_xlfn.MINIFS('Detalhe Por UC'!R:R,'Detalhe Por UC'!C:C,C947,'Detalhe Por UC'!AD:AD,"&gt;"&amp;0))</f>
        <v>45689</v>
      </c>
      <c r="CA947" s="114">
        <f ca="1">IF(OR(S947&gt;0,AD947&gt;0),IFERROR(
SUMIFS(INDIRECT("'Infos Clientes'!$W"&amp;INDEX('Infos Clientes'!$C:$C,MATCH(C947,'Infos Clientes'!$H:$H,0))&amp;":$CZ"&amp;INDEX('Infos Clientes'!$C:$C,MATCH(C947,'Infos Clientes'!$H:$H,0))),'Infos Clientes'!$W$2:$CZ$2,"&gt;"&amp;$R947-365,'Infos Clientes'!$W$2:$CZ$2,"&lt;="&amp;$R947)/
COUNTIFS(INDIRECT("'Infos Clientes'!$W"&amp;INDEX('Infos Clientes'!$C:$C,MATCH(C947,'Infos Clientes'!$H:$H,0))&amp;":$CZ"&amp;INDEX('Infos Clientes'!$C:$C,MATCH(C947,'Infos Clientes'!$H:$H,0))),"&gt;="&amp;0,'Infos Clientes'!$W$2:$CZ$2,"&gt;"&amp;$R947-365,'Infos Clientes'!$W$2:$CZ$2,"&lt;="&amp;$R947),""),"")</f>
        <v>133</v>
      </c>
      <c r="CB947" s="87">
        <f>VLOOKUP(C947,'Infos Clientes'!B:L,11,0)</f>
        <v>0</v>
      </c>
      <c r="CC947" s="88" t="str">
        <f t="shared" si="561"/>
        <v>A Unidade Consumidora 10/3054052-0 economizou R$0 na fatura referente à out/2025  consumindo 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7" s="115">
        <f t="shared" si="562"/>
        <v>-151.30000000000001</v>
      </c>
    </row>
    <row r="948" spans="1:84" ht="16.2" hidden="1" customHeight="1" x14ac:dyDescent="0.3">
      <c r="A948" s="105" t="str">
        <f>INDEX('Infos Clientes'!$D:$D,MATCH('Detalhe Por UC'!C948,'Infos Clientes'!B:B,0))</f>
        <v>IGREJA DO EVANGELHO QUADRANGULAR</v>
      </c>
      <c r="B948" s="106" t="str">
        <f>INDEX('Infos Clientes'!$F:$F,MATCH('Detalhe Por UC'!C948,'Infos Clientes'!B:B,0))</f>
        <v>62.955.505/3586-30</v>
      </c>
      <c r="C948" s="31" t="s">
        <v>242</v>
      </c>
      <c r="D948" s="31" t="s">
        <v>351</v>
      </c>
      <c r="E948" s="31" t="s">
        <v>352</v>
      </c>
      <c r="F948" s="56" t="str">
        <f>INDEX('Infos Clientes'!$I:$I,MATCH('Detalhe Por UC'!C948,'Infos Clientes'!B:B,0))</f>
        <v>BT</v>
      </c>
      <c r="G948" s="56" t="str">
        <f>INDEX('Infos Clientes'!$J:$J,MATCH('Detalhe Por UC'!C948,'Infos Clientes'!B:B,0))</f>
        <v>trifasico</v>
      </c>
      <c r="H948" s="156" t="s">
        <v>138</v>
      </c>
      <c r="I948" s="58">
        <f>IFERROR(VLOOKUP(C948,'Infos Clientes'!B:E,4,),"")</f>
        <v>371</v>
      </c>
      <c r="J948" s="152">
        <v>0.2796792317717392</v>
      </c>
      <c r="K948" s="79">
        <f>INDEX('Resumo Operacional'!$A$1:$P$151,MATCH("Desconto percentual Ucs",'Resumo Operacional'!$B$1:$B$151,0),MATCH('Detalhe Por UC'!$R948,'Resumo Operacional'!$A$1:$P$1,0))</f>
        <v>0.26414553913427991</v>
      </c>
      <c r="M948" s="56"/>
      <c r="N948" s="56"/>
      <c r="O948" s="56"/>
      <c r="P948" s="56"/>
      <c r="Q948" s="61"/>
      <c r="R948" s="111">
        <v>45931</v>
      </c>
      <c r="S948" s="151">
        <v>7.9000000000000008E-3</v>
      </c>
      <c r="T948" s="113" t="str">
        <f>IF($H948="GIROSSOL II",AP948/INDEX('Resumo Operacional'!$A$1:$P$1103,17,MATCH('Detalhe Por UC'!$R948,'Resumo Operacional'!$A$1:$P$1,0)),
IF($H948="GIROSSOL II e III",AP948/INDEX('Resumo Operacional'!$A$1:$P$1103,17,MATCH('Detalhe Por UC'!$R948,'Resumo Operacional'!$A$1:$P$1,0)),
""))</f>
        <v/>
      </c>
      <c r="U948" s="113">
        <f>IF($H948="GIROSSOL III",AP948/INDEX('Resumo Operacional'!$A$1:$P$1103,53,MATCH('Detalhe Por UC'!$R948,'Resumo Operacional'!$A$1:$P$1,0)),
IF($H948="GIROSSOL II e III",AP948/INDEX('Resumo Operacional'!$A$1:$P$1103,53,MATCH('Detalhe Por UC'!$R948,'Resumo Operacional'!$A$1:$P$1,0)),
""))</f>
        <v>0</v>
      </c>
      <c r="X948">
        <v>1.2158578775128563</v>
      </c>
      <c r="Z948" s="54">
        <v>1.0588530465949821</v>
      </c>
      <c r="AB948" s="18">
        <v>138</v>
      </c>
      <c r="AD948" s="143">
        <v>45</v>
      </c>
      <c r="AF948" s="18">
        <v>350</v>
      </c>
      <c r="AG948">
        <v>0</v>
      </c>
      <c r="AH948">
        <v>26.21</v>
      </c>
      <c r="AL948" s="43"/>
      <c r="AN948" s="71">
        <f t="shared" si="529"/>
        <v>-45</v>
      </c>
      <c r="AO948" s="71">
        <f t="shared" si="530"/>
        <v>0</v>
      </c>
      <c r="AP948" s="71">
        <f t="shared" si="531"/>
        <v>0</v>
      </c>
      <c r="AQ948" s="72">
        <f>IF(OR($H948="GIROSSOL II",$H948="GIROSSOL II e III"),INDEX('Resumo Operacional'!$A$1:$P$1103,MATCH("Energia Injetada prevista total Fatura da Usina (TUSD)",'Resumo Operacional'!$B$1:$B$1103,0),MATCH('Detalhe Por UC'!$R948,'Resumo Operacional'!$A$1:$P$1,0))*$S948,INDEX('Resumo Operacional'!$A$1:$P$1103,53,MATCH('Detalhe Por UC'!$R948,'Resumo Operacional'!$A$1:$P$1,0))*$S948)</f>
        <v>108.76720000000002</v>
      </c>
      <c r="AR948" s="71">
        <f t="shared" si="532"/>
        <v>-108.76720000000002</v>
      </c>
      <c r="AS948" s="73">
        <f t="shared" si="533"/>
        <v>146.35</v>
      </c>
      <c r="AT948" s="74">
        <f t="shared" si="534"/>
        <v>146.35</v>
      </c>
      <c r="AU948" s="74">
        <f t="shared" si="535"/>
        <v>0.90184821567710793</v>
      </c>
      <c r="AV948" s="74">
        <f t="shared" si="536"/>
        <v>34.322122798385941</v>
      </c>
      <c r="AW948" s="74">
        <f t="shared" si="537"/>
        <v>0</v>
      </c>
      <c r="AX948" s="74">
        <f t="shared" si="538"/>
        <v>47.648387096774194</v>
      </c>
      <c r="AY948" s="74">
        <f t="shared" si="539"/>
        <v>34.32</v>
      </c>
      <c r="AZ948" s="129">
        <v>34.32</v>
      </c>
      <c r="BA948" s="117">
        <v>34.32</v>
      </c>
      <c r="BB948" s="49">
        <v>34.32</v>
      </c>
      <c r="BC948" s="73" t="str">
        <f t="shared" si="540"/>
        <v/>
      </c>
      <c r="BD948" s="73">
        <f t="shared" si="541"/>
        <v>193.9983870967742</v>
      </c>
      <c r="BE948" s="73">
        <f t="shared" si="542"/>
        <v>180.67212279838594</v>
      </c>
      <c r="BF948" s="77">
        <f t="shared" si="543"/>
        <v>13.33</v>
      </c>
      <c r="BG948" s="77">
        <f t="shared" si="544"/>
        <v>3.9989999999999997</v>
      </c>
      <c r="BH948" s="77">
        <f t="shared" si="545"/>
        <v>47.648387096774201</v>
      </c>
      <c r="BI948" s="78">
        <f t="shared" si="546"/>
        <v>0.28000000000000003</v>
      </c>
      <c r="BJ948" s="79">
        <f t="shared" si="547"/>
        <v>6.8711911472493115E-2</v>
      </c>
      <c r="BK948" s="80">
        <f t="shared" si="548"/>
        <v>180.67</v>
      </c>
      <c r="BL948" s="80">
        <f t="shared" si="549"/>
        <v>13.328387096774208</v>
      </c>
      <c r="BM948" s="79">
        <f t="shared" si="550"/>
        <v>6.8703597469217476E-2</v>
      </c>
      <c r="BN948" s="81">
        <f t="shared" si="551"/>
        <v>0.76266666666666671</v>
      </c>
      <c r="BO948" s="82">
        <f t="shared" si="552"/>
        <v>34.32</v>
      </c>
      <c r="BP948" s="81">
        <f t="shared" si="553"/>
        <v>0.76266666666666671</v>
      </c>
      <c r="BQ948" s="81">
        <f t="shared" si="554"/>
        <v>0.91967149758454092</v>
      </c>
      <c r="BR948" s="81">
        <f t="shared" si="555"/>
        <v>1.2158578775128563</v>
      </c>
      <c r="BS948" s="82">
        <f t="shared" si="556"/>
        <v>45</v>
      </c>
      <c r="BT948" s="82">
        <f t="shared" si="557"/>
        <v>54.713604488078538</v>
      </c>
      <c r="BU948" s="82">
        <f t="shared" si="558"/>
        <v>47.648387096774194</v>
      </c>
      <c r="BW948" s="82">
        <f>IFERROR(INDEX('Infos Clientes'!$T:$T,MATCH('Detalhe Por UC'!$C948,'Infos Clientes'!B:B,0)),"")</f>
        <v>175.90909090909091</v>
      </c>
      <c r="BX948" s="83">
        <f t="shared" si="559"/>
        <v>0</v>
      </c>
      <c r="BY948" s="84">
        <f t="shared" si="560"/>
        <v>0.24360279717411593</v>
      </c>
      <c r="BZ948" s="85">
        <f>IF(_xlfn.MINIFS('Detalhe Por UC'!R:R,'Detalhe Por UC'!C:C,C948,'Detalhe Por UC'!AD:AD,"&gt;"&amp;0)=0,"",_xlfn.MINIFS('Detalhe Por UC'!R:R,'Detalhe Por UC'!C:C,C948,'Detalhe Por UC'!AD:AD,"&gt;"&amp;0))</f>
        <v>45658</v>
      </c>
      <c r="CA948" s="114">
        <f ca="1">IF(OR(S948&gt;0,AD948&gt;0),IFERROR(
SUMIFS(INDIRECT("'Infos Clientes'!$W"&amp;INDEX('Infos Clientes'!$C:$C,MATCH(C948,'Infos Clientes'!$H:$H,0))&amp;":$CZ"&amp;INDEX('Infos Clientes'!$C:$C,MATCH(C948,'Infos Clientes'!$H:$H,0))),'Infos Clientes'!$W$2:$CZ$2,"&gt;"&amp;$R948-365,'Infos Clientes'!$W$2:$CZ$2,"&lt;="&amp;$R948)/
COUNTIFS(INDIRECT("'Infos Clientes'!$W"&amp;INDEX('Infos Clientes'!$C:$C,MATCH(C948,'Infos Clientes'!$H:$H,0))&amp;":$CZ"&amp;INDEX('Infos Clientes'!$C:$C,MATCH(C948,'Infos Clientes'!$H:$H,0))),"&gt;="&amp;0,'Infos Clientes'!$W$2:$CZ$2,"&gt;"&amp;$R948-365,'Infos Clientes'!$W$2:$CZ$2,"&lt;="&amp;$R948),""),"")</f>
        <v>155</v>
      </c>
      <c r="CB948" s="87">
        <f>VLOOKUP(C948,'Infos Clientes'!B:L,11,0)</f>
        <v>0</v>
      </c>
      <c r="CC948" s="88" t="str">
        <f t="shared" si="561"/>
        <v>A Unidade Consumidora 10/908866-7 economizou R$13,33 na fatura referente à out/2025  consumindo 45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8" s="115">
        <f t="shared" si="562"/>
        <v>-146.35</v>
      </c>
    </row>
    <row r="949" spans="1:84" ht="16.2" hidden="1" customHeight="1" x14ac:dyDescent="0.3">
      <c r="A949" s="105" t="str">
        <f>INDEX('Infos Clientes'!$D:$D,MATCH('Detalhe Por UC'!C949,'Infos Clientes'!B:B,0))</f>
        <v>IGREJA DO EVANGELHO QUADRANGULAR</v>
      </c>
      <c r="B949" s="106" t="str">
        <f>INDEX('Infos Clientes'!$F:$F,MATCH('Detalhe Por UC'!C949,'Infos Clientes'!B:B,0))</f>
        <v>62.955.505/3671-17</v>
      </c>
      <c r="C949" s="31" t="s">
        <v>217</v>
      </c>
      <c r="D949" s="31" t="s">
        <v>351</v>
      </c>
      <c r="E949" s="31" t="s">
        <v>352</v>
      </c>
      <c r="F949" s="56" t="str">
        <f>INDEX('Infos Clientes'!$I:$I,MATCH('Detalhe Por UC'!C949,'Infos Clientes'!B:B,0))</f>
        <v>BT</v>
      </c>
      <c r="G949" s="56" t="str">
        <f>INDEX('Infos Clientes'!$J:$J,MATCH('Detalhe Por UC'!C949,'Infos Clientes'!B:B,0))</f>
        <v>bifasico</v>
      </c>
      <c r="H949" s="156" t="s">
        <v>138</v>
      </c>
      <c r="I949" s="58">
        <f>IFERROR(VLOOKUP(C949,'Infos Clientes'!B:E,4,),"")</f>
        <v>362</v>
      </c>
      <c r="J949" s="152">
        <v>0.2796792317717392</v>
      </c>
      <c r="K949" s="79">
        <f>INDEX('Resumo Operacional'!$A$1:$P$151,MATCH("Desconto percentual Ucs",'Resumo Operacional'!$B$1:$B$151,0),MATCH('Detalhe Por UC'!$R949,'Resumo Operacional'!$A$1:$P$1,0))</f>
        <v>0.26414553913427991</v>
      </c>
      <c r="M949" s="56"/>
      <c r="N949" s="56"/>
      <c r="O949" s="56"/>
      <c r="P949" s="56"/>
      <c r="Q949" s="61"/>
      <c r="R949" s="111">
        <v>45931</v>
      </c>
      <c r="S949" s="151">
        <v>6.4999999999999997E-3</v>
      </c>
      <c r="T949" s="113" t="str">
        <f>IF($H949="GIROSSOL II",AP949/INDEX('Resumo Operacional'!$A$1:$P$1103,17,MATCH('Detalhe Por UC'!$R949,'Resumo Operacional'!$A$1:$P$1,0)),
IF($H949="GIROSSOL II e III",AP949/INDEX('Resumo Operacional'!$A$1:$P$1103,17,MATCH('Detalhe Por UC'!$R949,'Resumo Operacional'!$A$1:$P$1,0)),
""))</f>
        <v/>
      </c>
      <c r="U949" s="113">
        <f>IF($H949="GIROSSOL III",AP949/INDEX('Resumo Operacional'!$A$1:$P$1103,53,MATCH('Detalhe Por UC'!$R949,'Resumo Operacional'!$A$1:$P$1,0)),
IF($H949="GIROSSOL II e III",AP949/INDEX('Resumo Operacional'!$A$1:$P$1103,53,MATCH('Detalhe Por UC'!$R949,'Resumo Operacional'!$A$1:$P$1,0)),
""))</f>
        <v>5.6653108657757122E-3</v>
      </c>
      <c r="X949">
        <v>1.2290811965811965</v>
      </c>
      <c r="Z949" s="54">
        <v>1.072185061315496</v>
      </c>
      <c r="AB949" s="18">
        <v>108</v>
      </c>
      <c r="AD949" s="143">
        <v>69</v>
      </c>
      <c r="AF949" s="18">
        <v>302</v>
      </c>
      <c r="AG949">
        <v>0</v>
      </c>
      <c r="AH949">
        <v>28.32</v>
      </c>
      <c r="AL949" s="43"/>
      <c r="AN949" s="71">
        <f t="shared" si="529"/>
        <v>9</v>
      </c>
      <c r="AO949" s="71">
        <f t="shared" si="530"/>
        <v>0</v>
      </c>
      <c r="AP949" s="71">
        <f t="shared" si="531"/>
        <v>78</v>
      </c>
      <c r="AQ949" s="72">
        <f>IF(OR($H949="GIROSSOL II",$H949="GIROSSOL II e III"),INDEX('Resumo Operacional'!$A$1:$P$1103,MATCH("Energia Injetada prevista total Fatura da Usina (TUSD)",'Resumo Operacional'!$B$1:$B$1103,0),MATCH('Detalhe Por UC'!$R949,'Resumo Operacional'!$A$1:$P$1,0))*$S949,INDEX('Resumo Operacional'!$A$1:$P$1103,53,MATCH('Detalhe Por UC'!$R949,'Resumo Operacional'!$A$1:$P$1,0))*$S949)</f>
        <v>89.49199999999999</v>
      </c>
      <c r="AR949" s="71">
        <f t="shared" si="532"/>
        <v>-11.49199999999999</v>
      </c>
      <c r="AS949" s="73">
        <f t="shared" si="533"/>
        <v>87.079999999999984</v>
      </c>
      <c r="AT949" s="74">
        <f t="shared" si="534"/>
        <v>87.079999999999984</v>
      </c>
      <c r="AU949" s="74">
        <f t="shared" si="535"/>
        <v>0.91528892604979539</v>
      </c>
      <c r="AV949" s="74">
        <f t="shared" si="536"/>
        <v>53.289884526425368</v>
      </c>
      <c r="AW949" s="74">
        <f t="shared" si="537"/>
        <v>0</v>
      </c>
      <c r="AX949" s="74">
        <f t="shared" si="538"/>
        <v>73.980769230769226</v>
      </c>
      <c r="AY949" s="74">
        <f t="shared" si="539"/>
        <v>53.29</v>
      </c>
      <c r="AZ949" s="129">
        <v>53.29</v>
      </c>
      <c r="BA949" s="117">
        <v>53.29</v>
      </c>
      <c r="BB949" s="49">
        <v>53.29</v>
      </c>
      <c r="BC949" s="73" t="str">
        <f t="shared" si="540"/>
        <v/>
      </c>
      <c r="BD949" s="73">
        <f t="shared" si="541"/>
        <v>161.06076923076921</v>
      </c>
      <c r="BE949" s="73">
        <f t="shared" si="542"/>
        <v>140.36988452642535</v>
      </c>
      <c r="BF949" s="77">
        <f t="shared" si="543"/>
        <v>20.69</v>
      </c>
      <c r="BG949" s="77">
        <f t="shared" si="544"/>
        <v>6.2069999999999999</v>
      </c>
      <c r="BH949" s="77">
        <f t="shared" si="545"/>
        <v>73.980769230769226</v>
      </c>
      <c r="BI949" s="78">
        <f t="shared" si="546"/>
        <v>0.28000000000000003</v>
      </c>
      <c r="BJ949" s="79">
        <f t="shared" si="547"/>
        <v>0.12846082940505019</v>
      </c>
      <c r="BK949" s="80">
        <f t="shared" si="548"/>
        <v>140.36999999999998</v>
      </c>
      <c r="BL949" s="80">
        <f t="shared" si="549"/>
        <v>20.690769230769234</v>
      </c>
      <c r="BM949" s="79">
        <f t="shared" si="550"/>
        <v>0.12846560543320967</v>
      </c>
      <c r="BN949" s="81">
        <f t="shared" si="551"/>
        <v>0.77231884057971012</v>
      </c>
      <c r="BO949" s="82">
        <f t="shared" si="552"/>
        <v>53.29</v>
      </c>
      <c r="BP949" s="81">
        <f t="shared" si="553"/>
        <v>0.77231884057971012</v>
      </c>
      <c r="BQ949" s="81">
        <f t="shared" si="554"/>
        <v>0.92921497584541068</v>
      </c>
      <c r="BR949" s="81">
        <f t="shared" si="555"/>
        <v>1.2290811965811965</v>
      </c>
      <c r="BS949" s="82">
        <f t="shared" si="556"/>
        <v>69</v>
      </c>
      <c r="BT949" s="82">
        <f t="shared" si="557"/>
        <v>84.806602564102562</v>
      </c>
      <c r="BU949" s="82">
        <f t="shared" si="558"/>
        <v>73.980769230769226</v>
      </c>
      <c r="BW949" s="82">
        <f>IFERROR(INDEX('Infos Clientes'!$T:$T,MATCH('Detalhe Por UC'!$C949,'Infos Clientes'!B:B,0)),"")</f>
        <v>122.45454545454545</v>
      </c>
      <c r="BX949" s="83">
        <f t="shared" si="559"/>
        <v>0</v>
      </c>
      <c r="BY949" s="84">
        <f t="shared" si="560"/>
        <v>0.24397592410484481</v>
      </c>
      <c r="BZ949" s="85">
        <f>IF(_xlfn.MINIFS('Detalhe Por UC'!R:R,'Detalhe Por UC'!C:C,C949,'Detalhe Por UC'!AD:AD,"&gt;"&amp;0)=0,"",_xlfn.MINIFS('Detalhe Por UC'!R:R,'Detalhe Por UC'!C:C,C949,'Detalhe Por UC'!AD:AD,"&gt;"&amp;0))</f>
        <v>45658</v>
      </c>
      <c r="CA949" s="114">
        <f ca="1">IF(OR(S949&gt;0,AD949&gt;0),IFERROR(
SUMIFS(INDIRECT("'Infos Clientes'!$W"&amp;INDEX('Infos Clientes'!$C:$C,MATCH(C949,'Infos Clientes'!$H:$H,0))&amp;":$CZ"&amp;INDEX('Infos Clientes'!$C:$C,MATCH(C949,'Infos Clientes'!$H:$H,0))),'Infos Clientes'!$W$2:$CZ$2,"&gt;"&amp;$R949-365,'Infos Clientes'!$W$2:$CZ$2,"&lt;="&amp;$R949)/
COUNTIFS(INDIRECT("'Infos Clientes'!$W"&amp;INDEX('Infos Clientes'!$C:$C,MATCH(C949,'Infos Clientes'!$H:$H,0))&amp;":$CZ"&amp;INDEX('Infos Clientes'!$C:$C,MATCH(C949,'Infos Clientes'!$H:$H,0))),"&gt;="&amp;0,'Infos Clientes'!$W$2:$CZ$2,"&gt;"&amp;$R949-365,'Infos Clientes'!$W$2:$CZ$2,"&lt;="&amp;$R949),""),"")</f>
        <v>147.4</v>
      </c>
      <c r="CB949" s="87">
        <f>VLOOKUP(C949,'Infos Clientes'!B:L,11,0)</f>
        <v>0</v>
      </c>
      <c r="CC949" s="88" t="str">
        <f t="shared" si="561"/>
        <v>A Unidade Consumidora 10/530195-7 economizou R$20,69 na fatura referente à out/2025  consumindo 69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49" s="115">
        <f t="shared" si="562"/>
        <v>-87.079999999999984</v>
      </c>
    </row>
    <row r="950" spans="1:84" ht="16.2" hidden="1" customHeight="1" x14ac:dyDescent="0.3">
      <c r="A950" s="105" t="str">
        <f>INDEX('Infos Clientes'!$D:$D,MATCH('Detalhe Por UC'!C950,'Infos Clientes'!B:B,0))</f>
        <v>IGREJA DO EVANGELHO QUADRANGULAR</v>
      </c>
      <c r="B950" s="106" t="str">
        <f>INDEX('Infos Clientes'!$F:$F,MATCH('Detalhe Por UC'!C950,'Infos Clientes'!B:B,0))</f>
        <v>62.955.505/2876-01</v>
      </c>
      <c r="C950" s="31" t="s">
        <v>180</v>
      </c>
      <c r="D950" s="31" t="s">
        <v>351</v>
      </c>
      <c r="E950" s="31" t="s">
        <v>352</v>
      </c>
      <c r="F950" s="56" t="str">
        <f>INDEX('Infos Clientes'!$I:$I,MATCH('Detalhe Por UC'!C950,'Infos Clientes'!B:B,0))</f>
        <v>BT</v>
      </c>
      <c r="G950" s="56" t="str">
        <f>INDEX('Infos Clientes'!$J:$J,MATCH('Detalhe Por UC'!C950,'Infos Clientes'!B:B,0))</f>
        <v>trifasico</v>
      </c>
      <c r="H950" s="156" t="s">
        <v>138</v>
      </c>
      <c r="I950" s="58">
        <f>IFERROR(VLOOKUP(C950,'Infos Clientes'!B:E,4,),"")</f>
        <v>994</v>
      </c>
      <c r="J950" s="152">
        <v>0.2796792317717392</v>
      </c>
      <c r="K950" s="79">
        <f>INDEX('Resumo Operacional'!$A$1:$P$151,MATCH("Desconto percentual Ucs",'Resumo Operacional'!$B$1:$B$151,0),MATCH('Detalhe Por UC'!$R950,'Resumo Operacional'!$A$1:$P$1,0))</f>
        <v>0.26414553913427991</v>
      </c>
      <c r="M950" s="56"/>
      <c r="N950" s="56"/>
      <c r="O950" s="56"/>
      <c r="P950" s="56"/>
      <c r="Q950" s="61"/>
      <c r="R950" s="111">
        <v>45931</v>
      </c>
      <c r="S950" s="151">
        <v>4.7000000000000002E-3</v>
      </c>
      <c r="T950" s="113" t="str">
        <f>IF($H950="GIROSSOL II",AP950/INDEX('Resumo Operacional'!$A$1:$P$1103,17,MATCH('Detalhe Por UC'!$R950,'Resumo Operacional'!$A$1:$P$1,0)),
IF($H950="GIROSSOL II e III",AP950/INDEX('Resumo Operacional'!$A$1:$P$1103,17,MATCH('Detalhe Por UC'!$R950,'Resumo Operacional'!$A$1:$P$1,0)),
""))</f>
        <v/>
      </c>
      <c r="U950" s="113">
        <f>IF($H950="GIROSSOL III",AP950/INDEX('Resumo Operacional'!$A$1:$P$1103,53,MATCH('Detalhe Por UC'!$R950,'Resumo Operacional'!$A$1:$P$1,0)),
IF($H950="GIROSSOL II e III",AP950/INDEX('Resumo Operacional'!$A$1:$P$1103,53,MATCH('Detalhe Por UC'!$R950,'Resumo Operacional'!$A$1:$P$1,0)),
""))</f>
        <v>0</v>
      </c>
      <c r="X950">
        <v>1.2142119565217389</v>
      </c>
      <c r="Z950" s="54">
        <v>1.0574331103678927</v>
      </c>
      <c r="AB950" s="18">
        <v>144</v>
      </c>
      <c r="AD950" s="143">
        <v>52</v>
      </c>
      <c r="AF950" s="18">
        <v>152</v>
      </c>
      <c r="AH950">
        <v>23.99</v>
      </c>
      <c r="AL950" s="43"/>
      <c r="AN950" s="71">
        <f t="shared" si="529"/>
        <v>-52</v>
      </c>
      <c r="AO950" s="71">
        <f t="shared" si="530"/>
        <v>0</v>
      </c>
      <c r="AP950" s="71">
        <f t="shared" si="531"/>
        <v>0</v>
      </c>
      <c r="AQ950" s="72">
        <f>IF(OR($H950="GIROSSOL II",$H950="GIROSSOL II e III"),INDEX('Resumo Operacional'!$A$1:$P$1103,MATCH("Energia Injetada prevista total Fatura da Usina (TUSD)",'Resumo Operacional'!$B$1:$B$1103,0),MATCH('Detalhe Por UC'!$R950,'Resumo Operacional'!$A$1:$P$1,0))*$S950,INDEX('Resumo Operacional'!$A$1:$P$1103,53,MATCH('Detalhe Por UC'!$R950,'Resumo Operacional'!$A$1:$P$1,0))*$S950)</f>
        <v>64.709600000000009</v>
      </c>
      <c r="AR950" s="71">
        <f t="shared" si="532"/>
        <v>-64.709600000000009</v>
      </c>
      <c r="AS950" s="73">
        <f t="shared" si="533"/>
        <v>143.85</v>
      </c>
      <c r="AT950" s="74">
        <f t="shared" si="534"/>
        <v>143.85</v>
      </c>
      <c r="AU950" s="74">
        <f t="shared" si="535"/>
        <v>0.90065426421404648</v>
      </c>
      <c r="AV950" s="74">
        <f t="shared" si="536"/>
        <v>39.607933581330393</v>
      </c>
      <c r="AW950" s="74">
        <f t="shared" si="537"/>
        <v>0</v>
      </c>
      <c r="AX950" s="74">
        <f t="shared" si="538"/>
        <v>54.986521739130417</v>
      </c>
      <c r="AY950" s="74">
        <f t="shared" si="539"/>
        <v>39.61</v>
      </c>
      <c r="AZ950" s="129">
        <v>39.61</v>
      </c>
      <c r="BA950" s="117">
        <v>39.61</v>
      </c>
      <c r="BB950" s="49">
        <v>39.61</v>
      </c>
      <c r="BC950" s="73" t="str">
        <f t="shared" si="540"/>
        <v/>
      </c>
      <c r="BD950" s="73">
        <f t="shared" si="541"/>
        <v>198.8365217391304</v>
      </c>
      <c r="BE950" s="73">
        <f t="shared" si="542"/>
        <v>183.45793358133039</v>
      </c>
      <c r="BF950" s="77">
        <f t="shared" si="543"/>
        <v>15.38</v>
      </c>
      <c r="BG950" s="77">
        <f t="shared" si="544"/>
        <v>4.6139999999999999</v>
      </c>
      <c r="BH950" s="77">
        <f t="shared" si="545"/>
        <v>54.986521739130417</v>
      </c>
      <c r="BI950" s="78">
        <f t="shared" si="546"/>
        <v>0.28000000000000003</v>
      </c>
      <c r="BJ950" s="79">
        <f t="shared" si="547"/>
        <v>7.7349975072377591E-2</v>
      </c>
      <c r="BK950" s="80">
        <f t="shared" si="548"/>
        <v>183.45999999999998</v>
      </c>
      <c r="BL950" s="80">
        <f t="shared" si="549"/>
        <v>15.376521739130425</v>
      </c>
      <c r="BM950" s="79">
        <f t="shared" si="550"/>
        <v>7.7332482004005873E-2</v>
      </c>
      <c r="BN950" s="81">
        <f t="shared" si="551"/>
        <v>0.76173076923076921</v>
      </c>
      <c r="BO950" s="82">
        <f t="shared" si="552"/>
        <v>39.61</v>
      </c>
      <c r="BP950" s="81">
        <f t="shared" si="553"/>
        <v>0.76173076923076921</v>
      </c>
      <c r="BQ950" s="81">
        <f t="shared" si="554"/>
        <v>0.9185096153846154</v>
      </c>
      <c r="BR950" s="81">
        <f t="shared" si="555"/>
        <v>1.2142119565217389</v>
      </c>
      <c r="BS950" s="82">
        <f t="shared" si="556"/>
        <v>52</v>
      </c>
      <c r="BT950" s="82">
        <f t="shared" si="557"/>
        <v>63.13902173913042</v>
      </c>
      <c r="BU950" s="82">
        <f t="shared" si="558"/>
        <v>54.986521739130417</v>
      </c>
      <c r="BW950" s="82">
        <f>IFERROR(INDEX('Infos Clientes'!$T:$T,MATCH('Detalhe Por UC'!$C950,'Infos Clientes'!B:B,0)),"")</f>
        <v>143.63636363636363</v>
      </c>
      <c r="BX950" s="83">
        <f t="shared" si="559"/>
        <v>0</v>
      </c>
      <c r="BY950" s="84">
        <f t="shared" si="560"/>
        <v>0.24353436774267945</v>
      </c>
      <c r="BZ950" s="85">
        <f>IF(_xlfn.MINIFS('Detalhe Por UC'!R:R,'Detalhe Por UC'!C:C,C950,'Detalhe Por UC'!AD:AD,"&gt;"&amp;0)=0,"",_xlfn.MINIFS('Detalhe Por UC'!R:R,'Detalhe Por UC'!C:C,C950,'Detalhe Por UC'!AD:AD,"&gt;"&amp;0))</f>
        <v>45658</v>
      </c>
      <c r="CA950" s="114">
        <f ca="1">IF(OR(S950&gt;0,AD950&gt;0),IFERROR(
SUMIFS(INDIRECT("'Infos Clientes'!$W"&amp;INDEX('Infos Clientes'!$C:$C,MATCH(C950,'Infos Clientes'!$H:$H,0))&amp;":$CZ"&amp;INDEX('Infos Clientes'!$C:$C,MATCH(C950,'Infos Clientes'!$H:$H,0))),'Infos Clientes'!$W$2:$CZ$2,"&gt;"&amp;$R950-365,'Infos Clientes'!$W$2:$CZ$2,"&lt;="&amp;$R950)/
COUNTIFS(INDIRECT("'Infos Clientes'!$W"&amp;INDEX('Infos Clientes'!$C:$C,MATCH(C950,'Infos Clientes'!$H:$H,0))&amp;":$CZ"&amp;INDEX('Infos Clientes'!$C:$C,MATCH(C950,'Infos Clientes'!$H:$H,0))),"&gt;="&amp;0,'Infos Clientes'!$W$2:$CZ$2,"&gt;"&amp;$R950-365,'Infos Clientes'!$W$2:$CZ$2,"&lt;="&amp;$R950),""),"")</f>
        <v>150</v>
      </c>
      <c r="CB950" s="87">
        <f>VLOOKUP(C950,'Infos Clientes'!B:L,11,0)</f>
        <v>0</v>
      </c>
      <c r="CC950" s="88" t="str">
        <f t="shared" si="561"/>
        <v>A Unidade Consumidora 10/283183-2 economizou R$15,38 na fatura referente à out/2025  consumindo 52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0" s="115">
        <f t="shared" si="562"/>
        <v>-143.85</v>
      </c>
    </row>
    <row r="951" spans="1:84" ht="16.2" hidden="1" customHeight="1" x14ac:dyDescent="0.3">
      <c r="A951" s="105" t="str">
        <f>INDEX('Infos Clientes'!$D:$D,MATCH('Detalhe Por UC'!C951,'Infos Clientes'!B:B,0))</f>
        <v>IGREJA DO EVANGELHO QUADRANGULAR</v>
      </c>
      <c r="B951" s="106" t="str">
        <f>INDEX('Infos Clientes'!$F:$F,MATCH('Detalhe Por UC'!C951,'Infos Clientes'!B:B,0))</f>
        <v>62.955.505/1570-66</v>
      </c>
      <c r="C951" s="31" t="s">
        <v>172</v>
      </c>
      <c r="D951" s="31" t="s">
        <v>351</v>
      </c>
      <c r="E951" s="31" t="s">
        <v>352</v>
      </c>
      <c r="F951" s="56" t="str">
        <f>INDEX('Infos Clientes'!$I:$I,MATCH('Detalhe Por UC'!C951,'Infos Clientes'!B:B,0))</f>
        <v>BT</v>
      </c>
      <c r="G951" s="56" t="str">
        <f>INDEX('Infos Clientes'!$J:$J,MATCH('Detalhe Por UC'!C951,'Infos Clientes'!B:B,0))</f>
        <v>trifasico</v>
      </c>
      <c r="H951" s="156" t="s">
        <v>138</v>
      </c>
      <c r="I951" s="58">
        <f>IFERROR(VLOOKUP(C951,'Infos Clientes'!B:E,4,),"")</f>
        <v>357</v>
      </c>
      <c r="J951" s="152">
        <v>0.2796792317717392</v>
      </c>
      <c r="K951" s="79">
        <f>INDEX('Resumo Operacional'!$A$1:$P$151,MATCH("Desconto percentual Ucs",'Resumo Operacional'!$B$1:$B$151,0),MATCH('Detalhe Por UC'!$R951,'Resumo Operacional'!$A$1:$P$1,0))</f>
        <v>0.26414553913427991</v>
      </c>
      <c r="M951" s="56"/>
      <c r="N951" s="56"/>
      <c r="O951" s="56"/>
      <c r="P951" s="56"/>
      <c r="Q951" s="61"/>
      <c r="R951" s="111">
        <v>45931</v>
      </c>
      <c r="S951" s="151">
        <v>4.5999999999999999E-3</v>
      </c>
      <c r="T951" s="113" t="str">
        <f>IF($H951="GIROSSOL II",AP951/INDEX('Resumo Operacional'!$A$1:$P$1103,17,MATCH('Detalhe Por UC'!$R951,'Resumo Operacional'!$A$1:$P$1,0)),
IF($H951="GIROSSOL II e III",AP951/INDEX('Resumo Operacional'!$A$1:$P$1103,17,MATCH('Detalhe Por UC'!$R951,'Resumo Operacional'!$A$1:$P$1,0)),
""))</f>
        <v/>
      </c>
      <c r="U951" s="113">
        <f>IF($H951="GIROSSOL III",AP951/INDEX('Resumo Operacional'!$A$1:$P$1103,53,MATCH('Detalhe Por UC'!$R951,'Resumo Operacional'!$A$1:$P$1,0)),
IF($H951="GIROSSOL II e III",AP951/INDEX('Resumo Operacional'!$A$1:$P$1103,53,MATCH('Detalhe Por UC'!$R951,'Resumo Operacional'!$A$1:$P$1,0)),
""))</f>
        <v>1.7068564787914003E-2</v>
      </c>
      <c r="X951">
        <v>1.2246112872542803</v>
      </c>
      <c r="Z951" s="18">
        <v>1.067814435311339</v>
      </c>
      <c r="AB951" s="18">
        <v>190</v>
      </c>
      <c r="AD951" s="143">
        <v>107</v>
      </c>
      <c r="AF951" s="18">
        <v>628</v>
      </c>
      <c r="AH951">
        <v>2.4599999999999995</v>
      </c>
      <c r="AL951" s="43"/>
      <c r="AN951" s="71">
        <f t="shared" si="529"/>
        <v>128</v>
      </c>
      <c r="AO951" s="71">
        <f t="shared" si="530"/>
        <v>0</v>
      </c>
      <c r="AP951" s="71">
        <f t="shared" si="531"/>
        <v>235</v>
      </c>
      <c r="AQ951" s="72">
        <f>IF(OR($H951="GIROSSOL II",$H951="GIROSSOL II e III"),INDEX('Resumo Operacional'!$A$1:$P$1103,MATCH("Energia Injetada prevista total Fatura da Usina (TUSD)",'Resumo Operacional'!$B$1:$B$1103,0),MATCH('Detalhe Por UC'!$R951,'Resumo Operacional'!$A$1:$P$1,0))*$S951,INDEX('Resumo Operacional'!$A$1:$P$1103,53,MATCH('Detalhe Por UC'!$R951,'Resumo Operacional'!$A$1:$P$1,0))*$S951)</f>
        <v>63.332799999999999</v>
      </c>
      <c r="AR951" s="71">
        <f t="shared" si="532"/>
        <v>171.66720000000001</v>
      </c>
      <c r="AS951" s="73">
        <f t="shared" si="533"/>
        <v>120.87999999999998</v>
      </c>
      <c r="AT951" s="74">
        <f t="shared" si="534"/>
        <v>120.87999999999998</v>
      </c>
      <c r="AU951" s="74">
        <f t="shared" si="535"/>
        <v>0.91101758336839778</v>
      </c>
      <c r="AV951" s="74">
        <f t="shared" si="536"/>
        <v>82.301073837449863</v>
      </c>
      <c r="AW951" s="74">
        <f t="shared" si="537"/>
        <v>0</v>
      </c>
      <c r="AX951" s="74">
        <f t="shared" si="538"/>
        <v>114.25614457831327</v>
      </c>
      <c r="AY951" s="74">
        <f t="shared" si="539"/>
        <v>82.3</v>
      </c>
      <c r="AZ951" s="129">
        <v>82.3</v>
      </c>
      <c r="BA951" s="117">
        <v>82.3</v>
      </c>
      <c r="BB951" s="49">
        <v>82.3</v>
      </c>
      <c r="BC951" s="73" t="str">
        <f t="shared" si="540"/>
        <v/>
      </c>
      <c r="BD951" s="73">
        <f t="shared" si="541"/>
        <v>235.13614457831326</v>
      </c>
      <c r="BE951" s="73">
        <f t="shared" si="542"/>
        <v>203.18107383744984</v>
      </c>
      <c r="BF951" s="77">
        <f t="shared" si="543"/>
        <v>31.96</v>
      </c>
      <c r="BG951" s="77">
        <f t="shared" si="544"/>
        <v>9.5879999999999992</v>
      </c>
      <c r="BH951" s="77">
        <f t="shared" si="545"/>
        <v>114.25614457831327</v>
      </c>
      <c r="BI951" s="78">
        <f t="shared" si="546"/>
        <v>0.28000000000000003</v>
      </c>
      <c r="BJ951" s="79">
        <f t="shared" si="547"/>
        <v>0.13592125556586032</v>
      </c>
      <c r="BK951" s="80">
        <f t="shared" si="548"/>
        <v>203.17999999999998</v>
      </c>
      <c r="BL951" s="80">
        <f t="shared" si="549"/>
        <v>31.956144578313285</v>
      </c>
      <c r="BM951" s="79">
        <f t="shared" si="550"/>
        <v>0.13590485901528479</v>
      </c>
      <c r="BN951" s="81">
        <f t="shared" si="551"/>
        <v>0.7691588785046729</v>
      </c>
      <c r="BO951" s="82">
        <f t="shared" si="552"/>
        <v>82.3</v>
      </c>
      <c r="BP951" s="81">
        <f t="shared" si="553"/>
        <v>0.7691588785046729</v>
      </c>
      <c r="BQ951" s="81">
        <f t="shared" si="554"/>
        <v>0.92595573044761414</v>
      </c>
      <c r="BR951" s="81">
        <f t="shared" si="555"/>
        <v>1.2246112872542803</v>
      </c>
      <c r="BS951" s="82">
        <f t="shared" si="556"/>
        <v>107</v>
      </c>
      <c r="BT951" s="82">
        <f t="shared" si="557"/>
        <v>131.03340773620798</v>
      </c>
      <c r="BU951" s="82">
        <f t="shared" si="558"/>
        <v>114.25614457831327</v>
      </c>
      <c r="BW951" s="82">
        <f>IFERROR(INDEX('Infos Clientes'!$T:$T,MATCH('Detalhe Por UC'!$C951,'Infos Clientes'!B:B,0)),"")</f>
        <v>324.72727272727275</v>
      </c>
      <c r="BX951" s="83">
        <f t="shared" si="559"/>
        <v>0</v>
      </c>
      <c r="BY951" s="84">
        <f t="shared" si="560"/>
        <v>0.24387784100560295</v>
      </c>
      <c r="BZ951" s="85">
        <f>IF(_xlfn.MINIFS('Detalhe Por UC'!R:R,'Detalhe Por UC'!C:C,C951,'Detalhe Por UC'!AD:AD,"&gt;"&amp;0)=0,"",_xlfn.MINIFS('Detalhe Por UC'!R:R,'Detalhe Por UC'!C:C,C951,'Detalhe Por UC'!AD:AD,"&gt;"&amp;0))</f>
        <v>45658</v>
      </c>
      <c r="CA951" s="114">
        <f ca="1">IF(OR(S951&gt;0,AD951&gt;0),IFERROR(
SUMIFS(INDIRECT("'Infos Clientes'!$W"&amp;INDEX('Infos Clientes'!$C:$C,MATCH(C951,'Infos Clientes'!$H:$H,0))&amp;":$CZ"&amp;INDEX('Infos Clientes'!$C:$C,MATCH(C951,'Infos Clientes'!$H:$H,0))),'Infos Clientes'!$W$2:$CZ$2,"&gt;"&amp;$R951-365,'Infos Clientes'!$W$2:$CZ$2,"&lt;="&amp;$R951)/
COUNTIFS(INDIRECT("'Infos Clientes'!$W"&amp;INDEX('Infos Clientes'!$C:$C,MATCH(C951,'Infos Clientes'!$H:$H,0))&amp;":$CZ"&amp;INDEX('Infos Clientes'!$C:$C,MATCH(C951,'Infos Clientes'!$H:$H,0))),"&gt;="&amp;0,'Infos Clientes'!$W$2:$CZ$2,"&gt;"&amp;$R951-365,'Infos Clientes'!$W$2:$CZ$2,"&lt;="&amp;$R951),""),"")</f>
        <v>241.75</v>
      </c>
      <c r="CB951" s="87">
        <f>VLOOKUP(C951,'Infos Clientes'!B:L,11,0)</f>
        <v>0</v>
      </c>
      <c r="CC951" s="88" t="str">
        <f t="shared" si="561"/>
        <v>A Unidade Consumidora 10/24514-2 economizou R$31,96 na fatura referente à out/2025  consumindo 107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1" s="115">
        <f t="shared" si="562"/>
        <v>-120.87999999999998</v>
      </c>
    </row>
    <row r="952" spans="1:84" ht="16.2" hidden="1" customHeight="1" x14ac:dyDescent="0.3">
      <c r="A952" s="105" t="str">
        <f>INDEX('Infos Clientes'!$D:$D,MATCH('Detalhe Por UC'!C952,'Infos Clientes'!B:B,0))</f>
        <v>IGREJA DO EVANGELHO QUADRANGULAR</v>
      </c>
      <c r="B952" s="106" t="str">
        <f>INDEX('Infos Clientes'!$F:$F,MATCH('Detalhe Por UC'!C952,'Infos Clientes'!B:B,0))</f>
        <v>62.955.505/1344-49</v>
      </c>
      <c r="C952" s="31" t="s">
        <v>166</v>
      </c>
      <c r="D952" s="31" t="s">
        <v>351</v>
      </c>
      <c r="E952" s="31" t="s">
        <v>352</v>
      </c>
      <c r="F952" s="56" t="str">
        <f>INDEX('Infos Clientes'!$I:$I,MATCH('Detalhe Por UC'!C952,'Infos Clientes'!B:B,0))</f>
        <v>BT</v>
      </c>
      <c r="G952" s="56" t="str">
        <f>INDEX('Infos Clientes'!$J:$J,MATCH('Detalhe Por UC'!C952,'Infos Clientes'!B:B,0))</f>
        <v>bifasico</v>
      </c>
      <c r="H952" s="156" t="s">
        <v>138</v>
      </c>
      <c r="I952" s="58">
        <f>IFERROR(VLOOKUP(C952,'Infos Clientes'!B:E,4,),"")</f>
        <v>362</v>
      </c>
      <c r="J952" s="152">
        <v>0.2796792317717392</v>
      </c>
      <c r="K952" s="79">
        <f>INDEX('Resumo Operacional'!$A$1:$P$151,MATCH("Desconto percentual Ucs",'Resumo Operacional'!$B$1:$B$151,0),MATCH('Detalhe Por UC'!$R952,'Resumo Operacional'!$A$1:$P$1,0))</f>
        <v>0.26414553913427991</v>
      </c>
      <c r="M952" s="56"/>
      <c r="N952" s="56"/>
      <c r="O952" s="56"/>
      <c r="P952" s="56"/>
      <c r="Q952" s="61"/>
      <c r="R952" s="111">
        <v>45931</v>
      </c>
      <c r="S952" s="151">
        <v>4.4999999999999997E-3</v>
      </c>
      <c r="T952" s="113" t="str">
        <f>IF($H952="GIROSSOL II",AP952/INDEX('Resumo Operacional'!$A$1:$P$1103,17,MATCH('Detalhe Por UC'!$R952,'Resumo Operacional'!$A$1:$P$1,0)),
IF($H952="GIROSSOL II e III",AP952/INDEX('Resumo Operacional'!$A$1:$P$1103,17,MATCH('Detalhe Por UC'!$R952,'Resumo Operacional'!$A$1:$P$1,0)),
""))</f>
        <v/>
      </c>
      <c r="U952" s="113">
        <f>IF($H952="GIROSSOL III",AP952/INDEX('Resumo Operacional'!$A$1:$P$1103,53,MATCH('Detalhe Por UC'!$R952,'Resumo Operacional'!$A$1:$P$1,0)),
IF($H952="GIROSSOL II e III",AP952/INDEX('Resumo Operacional'!$A$1:$P$1103,53,MATCH('Detalhe Por UC'!$R952,'Resumo Operacional'!$A$1:$P$1,0)),
""))</f>
        <v>0</v>
      </c>
      <c r="X952">
        <v>1.2138500000000001</v>
      </c>
      <c r="Z952" s="54">
        <v>1.0569166666666667</v>
      </c>
      <c r="AB952" s="18">
        <v>100</v>
      </c>
      <c r="AD952" s="143">
        <v>60</v>
      </c>
      <c r="AF952" s="18">
        <v>228</v>
      </c>
      <c r="AG952">
        <v>0</v>
      </c>
      <c r="AH952">
        <v>18.5</v>
      </c>
      <c r="AL952" s="43"/>
      <c r="AN952" s="71">
        <f t="shared" si="529"/>
        <v>-60</v>
      </c>
      <c r="AO952" s="71">
        <f t="shared" si="530"/>
        <v>0</v>
      </c>
      <c r="AP952" s="71">
        <f t="shared" si="531"/>
        <v>0</v>
      </c>
      <c r="AQ952" s="72">
        <f>IF(OR($H952="GIROSSOL II",$H952="GIROSSOL II e III"),INDEX('Resumo Operacional'!$A$1:$P$1103,MATCH("Energia Injetada prevista total Fatura da Usina (TUSD)",'Resumo Operacional'!$B$1:$B$1103,0),MATCH('Detalhe Por UC'!$R952,'Resumo Operacional'!$A$1:$P$1,0))*$S952,INDEX('Resumo Operacional'!$A$1:$P$1103,53,MATCH('Detalhe Por UC'!$R952,'Resumo Operacional'!$A$1:$P$1,0))*$S952)</f>
        <v>61.955999999999996</v>
      </c>
      <c r="AR952" s="71">
        <f t="shared" si="532"/>
        <v>-61.955999999999996</v>
      </c>
      <c r="AS952" s="73">
        <f t="shared" si="533"/>
        <v>76.47</v>
      </c>
      <c r="AT952" s="74">
        <f t="shared" si="534"/>
        <v>76.47</v>
      </c>
      <c r="AU952" s="74">
        <f t="shared" si="535"/>
        <v>0.89998333333333336</v>
      </c>
      <c r="AV952" s="74">
        <f t="shared" si="536"/>
        <v>45.67914151719517</v>
      </c>
      <c r="AW952" s="74">
        <f t="shared" si="537"/>
        <v>-120.780000000001</v>
      </c>
      <c r="AX952" s="74">
        <f t="shared" si="538"/>
        <v>-57.36500000000099</v>
      </c>
      <c r="AY952" s="74">
        <f t="shared" si="539"/>
        <v>-75.099999999999994</v>
      </c>
      <c r="AZ952" s="129">
        <v>45.68</v>
      </c>
      <c r="BA952" s="117">
        <v>45.68</v>
      </c>
      <c r="BC952" s="73" t="str">
        <f t="shared" si="540"/>
        <v/>
      </c>
      <c r="BD952" s="73">
        <f t="shared" si="541"/>
        <v>139.88499999999999</v>
      </c>
      <c r="BE952" s="73">
        <f t="shared" si="542"/>
        <v>122.14914151719518</v>
      </c>
      <c r="BF952" s="77">
        <f t="shared" si="543"/>
        <v>17.739999999999998</v>
      </c>
      <c r="BG952" s="77">
        <f t="shared" si="544"/>
        <v>5.3219999999999992</v>
      </c>
      <c r="BH952" s="77">
        <f t="shared" si="545"/>
        <v>63.414999999999999</v>
      </c>
      <c r="BI952" s="78">
        <f t="shared" si="546"/>
        <v>-0.31</v>
      </c>
      <c r="BJ952" s="79">
        <f t="shared" si="547"/>
        <v>0.12681845801908712</v>
      </c>
      <c r="BK952" s="80">
        <f t="shared" si="548"/>
        <v>1.3700000000000045</v>
      </c>
      <c r="BL952" s="80">
        <f t="shared" si="549"/>
        <v>138.51499999999999</v>
      </c>
      <c r="BM952" s="79">
        <f t="shared" si="550"/>
        <v>0.99020624084069053</v>
      </c>
      <c r="BN952" s="81">
        <f t="shared" si="551"/>
        <v>-1.2516666666666665</v>
      </c>
      <c r="BO952" s="82">
        <f t="shared" si="552"/>
        <v>-75.099999999999994</v>
      </c>
      <c r="BP952" s="81">
        <f t="shared" si="553"/>
        <v>-1.2516666666666665</v>
      </c>
      <c r="BQ952" s="81">
        <f t="shared" si="554"/>
        <v>-1.0947333333333331</v>
      </c>
      <c r="BR952" s="81">
        <f t="shared" si="555"/>
        <v>1.2138500000000001</v>
      </c>
      <c r="BS952" s="82">
        <f t="shared" si="556"/>
        <v>60</v>
      </c>
      <c r="BT952" s="82">
        <f t="shared" si="557"/>
        <v>72.831000000000003</v>
      </c>
      <c r="BU952" s="82">
        <f t="shared" si="558"/>
        <v>63.415000000000006</v>
      </c>
      <c r="BW952" s="82">
        <f>IFERROR(INDEX('Infos Clientes'!$T:$T,MATCH('Detalhe Por UC'!$C952,'Infos Clientes'!B:B,0)),"")</f>
        <v>140.81818181818181</v>
      </c>
      <c r="BX952" s="83">
        <f t="shared" si="559"/>
        <v>0</v>
      </c>
      <c r="BY952" s="84">
        <f t="shared" si="560"/>
        <v>1.9018687097527147</v>
      </c>
      <c r="BZ952" s="85">
        <f>IF(_xlfn.MINIFS('Detalhe Por UC'!R:R,'Detalhe Por UC'!C:C,C952,'Detalhe Por UC'!AD:AD,"&gt;"&amp;0)=0,"",_xlfn.MINIFS('Detalhe Por UC'!R:R,'Detalhe Por UC'!C:C,C952,'Detalhe Por UC'!AD:AD,"&gt;"&amp;0))</f>
        <v>45658</v>
      </c>
      <c r="CA952" s="114">
        <f ca="1">IF(OR(S952&gt;0,AD952&gt;0),IFERROR(
SUMIFS(INDIRECT("'Infos Clientes'!$W"&amp;INDEX('Infos Clientes'!$C:$C,MATCH(C952,'Infos Clientes'!$H:$H,0))&amp;":$CZ"&amp;INDEX('Infos Clientes'!$C:$C,MATCH(C952,'Infos Clientes'!$H:$H,0))),'Infos Clientes'!$W$2:$CZ$2,"&gt;"&amp;$R952-365,'Infos Clientes'!$W$2:$CZ$2,"&lt;="&amp;$R952)/
COUNTIFS(INDIRECT("'Infos Clientes'!$W"&amp;INDEX('Infos Clientes'!$C:$C,MATCH(C952,'Infos Clientes'!$H:$H,0))&amp;":$CZ"&amp;INDEX('Infos Clientes'!$C:$C,MATCH(C952,'Infos Clientes'!$H:$H,0))),"&gt;="&amp;0,'Infos Clientes'!$W$2:$CZ$2,"&gt;"&amp;$R952-365,'Infos Clientes'!$W$2:$CZ$2,"&lt;="&amp;$R952),""),"")</f>
        <v>89.75</v>
      </c>
      <c r="CB952" s="87">
        <f>VLOOKUP(C952,'Infos Clientes'!B:L,11,0)</f>
        <v>0</v>
      </c>
      <c r="CC952" s="88" t="str">
        <f t="shared" si="561"/>
        <v>A Unidade Consumidora 10/175073-6 economizou R$17,74 na fatura referente à out/2025  consumindo 60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2" s="115">
        <f t="shared" si="562"/>
        <v>-76.47</v>
      </c>
    </row>
    <row r="953" spans="1:84" ht="16.2" hidden="1" customHeight="1" x14ac:dyDescent="0.3">
      <c r="A953" s="105" t="str">
        <f>INDEX('Infos Clientes'!$D:$D,MATCH('Detalhe Por UC'!C953,'Infos Clientes'!B:B,0))</f>
        <v>IGREJA DO EVANGELHO QUADRANGULAR</v>
      </c>
      <c r="B953" s="106" t="str">
        <f>INDEX('Infos Clientes'!$F:$F,MATCH('Detalhe Por UC'!C953,'Infos Clientes'!B:B,0))</f>
        <v>62.955.505/1364-92</v>
      </c>
      <c r="C953" s="31" t="s">
        <v>223</v>
      </c>
      <c r="D953" s="31" t="s">
        <v>351</v>
      </c>
      <c r="E953" s="31" t="s">
        <v>352</v>
      </c>
      <c r="F953" s="56" t="str">
        <f>INDEX('Infos Clientes'!$I:$I,MATCH('Detalhe Por UC'!C953,'Infos Clientes'!B:B,0))</f>
        <v>BT</v>
      </c>
      <c r="G953" s="56" t="str">
        <f>INDEX('Infos Clientes'!$J:$J,MATCH('Detalhe Por UC'!C953,'Infos Clientes'!B:B,0))</f>
        <v>trifasico</v>
      </c>
      <c r="H953" s="156" t="s">
        <v>138</v>
      </c>
      <c r="I953" s="58">
        <f>IFERROR(VLOOKUP(C953,'Infos Clientes'!B:E,4,),"")</f>
        <v>319</v>
      </c>
      <c r="J953" s="152">
        <v>0.2796792317717392</v>
      </c>
      <c r="K953" s="79">
        <f>INDEX('Resumo Operacional'!$A$1:$P$151,MATCH("Desconto percentual Ucs",'Resumo Operacional'!$B$1:$B$151,0),MATCH('Detalhe Por UC'!$R953,'Resumo Operacional'!$A$1:$P$1,0))</f>
        <v>0.26414553913427991</v>
      </c>
      <c r="M953" s="56"/>
      <c r="N953" s="56"/>
      <c r="O953" s="56"/>
      <c r="P953" s="56"/>
      <c r="Q953" s="61"/>
      <c r="R953" s="111">
        <v>45931</v>
      </c>
      <c r="S953" s="151">
        <v>3.5000000000000001E-3</v>
      </c>
      <c r="T953" s="113" t="str">
        <f>IF($H953="GIROSSOL II",AP953/INDEX('Resumo Operacional'!$A$1:$P$1103,17,MATCH('Detalhe Por UC'!$R953,'Resumo Operacional'!$A$1:$P$1,0)),
IF($H953="GIROSSOL II e III",AP953/INDEX('Resumo Operacional'!$A$1:$P$1103,17,MATCH('Detalhe Por UC'!$R953,'Resumo Operacional'!$A$1:$P$1,0)),
""))</f>
        <v/>
      </c>
      <c r="U953" s="113">
        <f>IF($H953="GIROSSOL III",AP953/INDEX('Resumo Operacional'!$A$1:$P$1103,53,MATCH('Detalhe Por UC'!$R953,'Resumo Operacional'!$A$1:$P$1,0)),
IF($H953="GIROSSOL II e III",AP953/INDEX('Resumo Operacional'!$A$1:$P$1103,53,MATCH('Detalhe Por UC'!$R953,'Resumo Operacional'!$A$1:$P$1,0)),
""))</f>
        <v>0</v>
      </c>
      <c r="X953">
        <v>1.2229749127117548</v>
      </c>
      <c r="Z953" s="54">
        <v>1.0660722139462298</v>
      </c>
      <c r="AB953" s="18">
        <v>418</v>
      </c>
      <c r="AD953" s="143">
        <v>381</v>
      </c>
      <c r="AF953" s="18">
        <v>299</v>
      </c>
      <c r="AG953">
        <v>0</v>
      </c>
      <c r="AH953">
        <v>71.42</v>
      </c>
      <c r="AL953" s="43"/>
      <c r="AN953" s="71">
        <f t="shared" si="529"/>
        <v>-381</v>
      </c>
      <c r="AO953" s="71">
        <f t="shared" si="530"/>
        <v>0</v>
      </c>
      <c r="AP953" s="71">
        <f t="shared" si="531"/>
        <v>0</v>
      </c>
      <c r="AQ953" s="72">
        <f>IF(OR($H953="GIROSSOL II",$H953="GIROSSOL II e III"),INDEX('Resumo Operacional'!$A$1:$P$1103,MATCH("Energia Injetada prevista total Fatura da Usina (TUSD)",'Resumo Operacional'!$B$1:$B$1103,0),MATCH('Detalhe Por UC'!$R953,'Resumo Operacional'!$A$1:$P$1,0))*$S953,INDEX('Resumo Operacional'!$A$1:$P$1103,53,MATCH('Detalhe Por UC'!$R953,'Resumo Operacional'!$A$1:$P$1,0))*$S953)</f>
        <v>48.188000000000002</v>
      </c>
      <c r="AR953" s="71">
        <f t="shared" si="532"/>
        <v>-48.188000000000002</v>
      </c>
      <c r="AS953" s="73">
        <f t="shared" si="533"/>
        <v>176.45000000000005</v>
      </c>
      <c r="AT953" s="74">
        <f t="shared" si="534"/>
        <v>176.45000000000005</v>
      </c>
      <c r="AU953" s="74">
        <f t="shared" si="535"/>
        <v>0.90916951518070466</v>
      </c>
      <c r="AV953" s="74">
        <f t="shared" si="536"/>
        <v>292.57521728802595</v>
      </c>
      <c r="AW953" s="74">
        <f t="shared" si="537"/>
        <v>0</v>
      </c>
      <c r="AX953" s="74">
        <f t="shared" si="538"/>
        <v>406.17351351351351</v>
      </c>
      <c r="AY953" s="74">
        <f t="shared" si="539"/>
        <v>292.58</v>
      </c>
      <c r="AZ953" s="129">
        <v>292.58</v>
      </c>
      <c r="BA953" s="117">
        <v>292.58</v>
      </c>
      <c r="BB953" s="49">
        <v>292.58</v>
      </c>
      <c r="BC953" s="73" t="str">
        <f t="shared" si="540"/>
        <v/>
      </c>
      <c r="BD953" s="73">
        <f t="shared" si="541"/>
        <v>582.62351351351356</v>
      </c>
      <c r="BE953" s="73">
        <f t="shared" si="542"/>
        <v>469.025217288026</v>
      </c>
      <c r="BF953" s="77">
        <f t="shared" si="543"/>
        <v>113.6</v>
      </c>
      <c r="BG953" s="77">
        <f t="shared" si="544"/>
        <v>34.08</v>
      </c>
      <c r="BH953" s="77">
        <f t="shared" si="545"/>
        <v>406.17351351351351</v>
      </c>
      <c r="BI953" s="78">
        <f t="shared" si="546"/>
        <v>0.28000000000000003</v>
      </c>
      <c r="BJ953" s="79">
        <f t="shared" si="547"/>
        <v>0.1949801155722925</v>
      </c>
      <c r="BK953" s="80">
        <f t="shared" si="548"/>
        <v>469.03000000000003</v>
      </c>
      <c r="BL953" s="80">
        <f t="shared" si="549"/>
        <v>113.59351351351353</v>
      </c>
      <c r="BM953" s="79">
        <f t="shared" si="550"/>
        <v>0.19496898233387006</v>
      </c>
      <c r="BN953" s="81">
        <f t="shared" si="551"/>
        <v>0.76792650918635164</v>
      </c>
      <c r="BO953" s="82">
        <f t="shared" si="552"/>
        <v>292.58</v>
      </c>
      <c r="BP953" s="81">
        <f t="shared" si="553"/>
        <v>0.76792650918635164</v>
      </c>
      <c r="BQ953" s="81">
        <f t="shared" si="554"/>
        <v>0.92482920795187673</v>
      </c>
      <c r="BR953" s="81">
        <f t="shared" si="555"/>
        <v>1.2229749127117548</v>
      </c>
      <c r="BS953" s="82">
        <f t="shared" si="556"/>
        <v>381</v>
      </c>
      <c r="BT953" s="82">
        <f t="shared" si="557"/>
        <v>465.95344174317859</v>
      </c>
      <c r="BU953" s="82">
        <f t="shared" si="558"/>
        <v>406.17351351351351</v>
      </c>
      <c r="BW953" s="82">
        <f>IFERROR(INDEX('Infos Clientes'!$T:$T,MATCH('Detalhe Por UC'!$C953,'Infos Clientes'!B:B,0)),"")</f>
        <v>315</v>
      </c>
      <c r="BX953" s="83">
        <f t="shared" si="559"/>
        <v>0</v>
      </c>
      <c r="BY953" s="84">
        <f t="shared" si="560"/>
        <v>0.24378726142369253</v>
      </c>
      <c r="BZ953" s="85">
        <f>IF(_xlfn.MINIFS('Detalhe Por UC'!R:R,'Detalhe Por UC'!C:C,C953,'Detalhe Por UC'!AD:AD,"&gt;"&amp;0)=0,"",_xlfn.MINIFS('Detalhe Por UC'!R:R,'Detalhe Por UC'!C:C,C953,'Detalhe Por UC'!AD:AD,"&gt;"&amp;0))</f>
        <v>45658</v>
      </c>
      <c r="CA953" s="114">
        <f ca="1">IF(OR(S953&gt;0,AD953&gt;0),IFERROR(
SUMIFS(INDIRECT("'Infos Clientes'!$W"&amp;INDEX('Infos Clientes'!$C:$C,MATCH(C953,'Infos Clientes'!$H:$H,0))&amp;":$CZ"&amp;INDEX('Infos Clientes'!$C:$C,MATCH(C953,'Infos Clientes'!$H:$H,0))),'Infos Clientes'!$W$2:$CZ$2,"&gt;"&amp;$R953-365,'Infos Clientes'!$W$2:$CZ$2,"&lt;="&amp;$R953)/
COUNTIFS(INDIRECT("'Infos Clientes'!$W"&amp;INDEX('Infos Clientes'!$C:$C,MATCH(C953,'Infos Clientes'!$H:$H,0))&amp;":$CZ"&amp;INDEX('Infos Clientes'!$C:$C,MATCH(C953,'Infos Clientes'!$H:$H,0))),"&gt;="&amp;0,'Infos Clientes'!$W$2:$CZ$2,"&gt;"&amp;$R953-365,'Infos Clientes'!$W$2:$CZ$2,"&lt;="&amp;$R953),""),"")</f>
        <v>298.5</v>
      </c>
      <c r="CB953" s="87">
        <f>VLOOKUP(C953,'Infos Clientes'!B:L,11,0)</f>
        <v>0</v>
      </c>
      <c r="CC953" s="88" t="str">
        <f t="shared" si="561"/>
        <v>A Unidade Consumidora 10/72605-9 economizou R$113,6 na fatura referente à out/2025  consumindo 381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3" s="115">
        <f t="shared" si="562"/>
        <v>-176.45000000000005</v>
      </c>
    </row>
    <row r="954" spans="1:84" ht="16.2" hidden="1" customHeight="1" x14ac:dyDescent="0.3">
      <c r="A954" s="105" t="str">
        <f>INDEX('Infos Clientes'!$D:$D,MATCH('Detalhe Por UC'!C954,'Infos Clientes'!B:B,0))</f>
        <v>IGREJA DO EVANGELHO QUADRANGULAR</v>
      </c>
      <c r="B954" s="106" t="str">
        <f>INDEX('Infos Clientes'!$F:$F,MATCH('Detalhe Por UC'!C954,'Infos Clientes'!B:B,0))</f>
        <v>62.955.505/8873-82</v>
      </c>
      <c r="C954" s="31" t="s">
        <v>212</v>
      </c>
      <c r="D954" s="31" t="s">
        <v>351</v>
      </c>
      <c r="E954" s="31" t="s">
        <v>352</v>
      </c>
      <c r="F954" s="56" t="str">
        <f>INDEX('Infos Clientes'!$I:$I,MATCH('Detalhe Por UC'!C954,'Infos Clientes'!B:B,0))</f>
        <v>BT</v>
      </c>
      <c r="G954" s="56" t="str">
        <f>INDEX('Infos Clientes'!$J:$J,MATCH('Detalhe Por UC'!C954,'Infos Clientes'!B:B,0))</f>
        <v>trifasico</v>
      </c>
      <c r="H954" s="156" t="s">
        <v>138</v>
      </c>
      <c r="I954" s="58">
        <f>IFERROR(VLOOKUP(C954,'Infos Clientes'!B:E,4,),"")</f>
        <v>351</v>
      </c>
      <c r="J954" s="152">
        <v>0.2796792317717392</v>
      </c>
      <c r="K954" s="79">
        <f>INDEX('Resumo Operacional'!$A$1:$P$151,MATCH("Desconto percentual Ucs",'Resumo Operacional'!$B$1:$B$151,0),MATCH('Detalhe Por UC'!$R954,'Resumo Operacional'!$A$1:$P$1,0))</f>
        <v>0.26414553913427991</v>
      </c>
      <c r="M954" s="56"/>
      <c r="N954" s="56"/>
      <c r="O954" s="56"/>
      <c r="P954" s="56"/>
      <c r="Q954" s="61"/>
      <c r="R954" s="111">
        <v>45931</v>
      </c>
      <c r="S954" s="151">
        <v>1.4E-3</v>
      </c>
      <c r="T954" s="113" t="str">
        <f>IF($H954="GIROSSOL II",AP954/INDEX('Resumo Operacional'!$A$1:$P$1103,17,MATCH('Detalhe Por UC'!$R954,'Resumo Operacional'!$A$1:$P$1,0)),
IF($H954="GIROSSOL II e III",AP954/INDEX('Resumo Operacional'!$A$1:$P$1103,17,MATCH('Detalhe Por UC'!$R954,'Resumo Operacional'!$A$1:$P$1,0)),
""))</f>
        <v/>
      </c>
      <c r="U954" s="113">
        <f>IF($H954="GIROSSOL III",AP954/INDEX('Resumo Operacional'!$A$1:$P$1103,53,MATCH('Detalhe Por UC'!$R954,'Resumo Operacional'!$A$1:$P$1,0)),
IF($H954="GIROSSOL II e III",AP954/INDEX('Resumo Operacional'!$A$1:$P$1103,53,MATCH('Detalhe Por UC'!$R954,'Resumo Operacional'!$A$1:$P$1,0)),
""))</f>
        <v>1.1621150493898896E-3</v>
      </c>
      <c r="X954">
        <v>1.2250000000000001</v>
      </c>
      <c r="Z954" s="54">
        <v>0</v>
      </c>
      <c r="AB954" s="18">
        <v>100</v>
      </c>
      <c r="AD954" s="143">
        <v>0</v>
      </c>
      <c r="AF954" s="18">
        <v>511</v>
      </c>
      <c r="AG954">
        <v>0</v>
      </c>
      <c r="AH954">
        <v>0</v>
      </c>
      <c r="AL954" s="43"/>
      <c r="AN954" s="71">
        <f t="shared" si="529"/>
        <v>16</v>
      </c>
      <c r="AO954" s="71">
        <f t="shared" si="530"/>
        <v>0</v>
      </c>
      <c r="AP954" s="71">
        <f t="shared" si="531"/>
        <v>16</v>
      </c>
      <c r="AQ954" s="72">
        <f>IF(OR($H954="GIROSSOL II",$H954="GIROSSOL II e III"),INDEX('Resumo Operacional'!$A$1:$P$1103,MATCH("Energia Injetada prevista total Fatura da Usina (TUSD)",'Resumo Operacional'!$B$1:$B$1103,0),MATCH('Detalhe Por UC'!$R954,'Resumo Operacional'!$A$1:$P$1,0))*$S954,INDEX('Resumo Operacional'!$A$1:$P$1103,53,MATCH('Detalhe Por UC'!$R954,'Resumo Operacional'!$A$1:$P$1,0))*$S954)</f>
        <v>19.275199999999998</v>
      </c>
      <c r="AR954" s="71">
        <f t="shared" si="532"/>
        <v>-3.2751999999999981</v>
      </c>
      <c r="AS954" s="73">
        <f t="shared" si="533"/>
        <v>122.50000000000001</v>
      </c>
      <c r="AT954" s="74">
        <f t="shared" si="534"/>
        <v>122.50000000000001</v>
      </c>
      <c r="AU954" s="74" t="str">
        <f t="shared" si="535"/>
        <v/>
      </c>
      <c r="AV954" s="74">
        <f t="shared" si="536"/>
        <v>0</v>
      </c>
      <c r="AW954" s="74">
        <f t="shared" si="537"/>
        <v>-1E-10</v>
      </c>
      <c r="AX954" s="74">
        <f t="shared" si="538"/>
        <v>-1E-10</v>
      </c>
      <c r="AY954" s="74">
        <f t="shared" si="539"/>
        <v>-1E-10</v>
      </c>
      <c r="AZ954" s="129">
        <v>0</v>
      </c>
      <c r="BA954" s="117">
        <v>9.9999999999999995E-8</v>
      </c>
      <c r="BC954" s="73" t="str">
        <f t="shared" si="540"/>
        <v/>
      </c>
      <c r="BD954" s="73">
        <f t="shared" si="541"/>
        <v>122.50000000000001</v>
      </c>
      <c r="BE954" s="73">
        <f t="shared" si="542"/>
        <v>122.50000000000001</v>
      </c>
      <c r="BF954" s="77">
        <f t="shared" si="543"/>
        <v>0</v>
      </c>
      <c r="BG954" s="77">
        <f t="shared" si="544"/>
        <v>0</v>
      </c>
      <c r="BH954" s="77">
        <f t="shared" si="545"/>
        <v>0</v>
      </c>
      <c r="BI954" s="78" t="str">
        <f t="shared" si="546"/>
        <v/>
      </c>
      <c r="BJ954" s="79">
        <f t="shared" si="547"/>
        <v>0</v>
      </c>
      <c r="BK954" s="80">
        <f t="shared" si="548"/>
        <v>122.49999999990001</v>
      </c>
      <c r="BL954" s="80">
        <f t="shared" si="549"/>
        <v>1.000017846308765E-10</v>
      </c>
      <c r="BM954" s="79">
        <f t="shared" si="550"/>
        <v>8.1634109902756312E-13</v>
      </c>
      <c r="BN954" s="81" t="str">
        <f t="shared" si="551"/>
        <v/>
      </c>
      <c r="BO954" s="82" t="str">
        <f t="shared" si="552"/>
        <v/>
      </c>
      <c r="BP954" s="81" t="str">
        <f t="shared" si="553"/>
        <v/>
      </c>
      <c r="BQ954" s="81" t="str">
        <f t="shared" si="554"/>
        <v/>
      </c>
      <c r="BR954" s="81" t="str">
        <f t="shared" si="555"/>
        <v/>
      </c>
      <c r="BS954" s="82">
        <f t="shared" si="556"/>
        <v>0</v>
      </c>
      <c r="BT954" s="82" t="str">
        <f t="shared" si="557"/>
        <v/>
      </c>
      <c r="BU954" s="82">
        <f t="shared" si="558"/>
        <v>0</v>
      </c>
      <c r="BW954" s="82">
        <f>IFERROR(INDEX('Infos Clientes'!$T:$T,MATCH('Detalhe Por UC'!$C954,'Infos Clientes'!B:B,0)),"")</f>
        <v>93.7</v>
      </c>
      <c r="BX954" s="83">
        <f t="shared" si="559"/>
        <v>0</v>
      </c>
      <c r="BY954" s="84" t="str">
        <f t="shared" si="560"/>
        <v/>
      </c>
      <c r="BZ954" s="85">
        <f>IF(_xlfn.MINIFS('Detalhe Por UC'!R:R,'Detalhe Por UC'!C:C,C954,'Detalhe Por UC'!AD:AD,"&gt;"&amp;0)=0,"",_xlfn.MINIFS('Detalhe Por UC'!R:R,'Detalhe Por UC'!C:C,C954,'Detalhe Por UC'!AD:AD,"&gt;"&amp;0))</f>
        <v>45689</v>
      </c>
      <c r="CA954" s="114">
        <f ca="1">IF(OR(S954&gt;0,AD954&gt;0),IFERROR(
SUMIFS(INDIRECT("'Infos Clientes'!$W"&amp;INDEX('Infos Clientes'!$C:$C,MATCH(C954,'Infos Clientes'!$H:$H,0))&amp;":$CZ"&amp;INDEX('Infos Clientes'!$C:$C,MATCH(C954,'Infos Clientes'!$H:$H,0))),'Infos Clientes'!$W$2:$CZ$2,"&gt;"&amp;$R954-365,'Infos Clientes'!$W$2:$CZ$2,"&lt;="&amp;$R954)/
COUNTIFS(INDIRECT("'Infos Clientes'!$W"&amp;INDEX('Infos Clientes'!$C:$C,MATCH(C954,'Infos Clientes'!$H:$H,0))&amp;":$CZ"&amp;INDEX('Infos Clientes'!$C:$C,MATCH(C954,'Infos Clientes'!$H:$H,0))),"&gt;="&amp;0,'Infos Clientes'!$W$2:$CZ$2,"&gt;"&amp;$R954-365,'Infos Clientes'!$W$2:$CZ$2,"&lt;="&amp;$R954),""),"")</f>
        <v>482.16666666666669</v>
      </c>
      <c r="CB954" s="87">
        <f>VLOOKUP(C954,'Infos Clientes'!B:L,11,0)</f>
        <v>0</v>
      </c>
      <c r="CC954" s="88" t="str">
        <f t="shared" si="561"/>
        <v>A Unidade Consumidora 10/505854-0 economizou R$0 na fatura referente à out/2025  consumindo 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4" s="115">
        <f t="shared" si="562"/>
        <v>-122.50000000000001</v>
      </c>
    </row>
    <row r="955" spans="1:84" ht="16.2" hidden="1" customHeight="1" x14ac:dyDescent="0.3">
      <c r="A955" s="105" t="str">
        <f>INDEX('Infos Clientes'!$D:$D,MATCH('Detalhe Por UC'!C955,'Infos Clientes'!B:B,0))</f>
        <v>IGREJA DO EVANGELHO QUADRANGULAR</v>
      </c>
      <c r="B955" s="106" t="str">
        <f>INDEX('Infos Clientes'!$F:$F,MATCH('Detalhe Por UC'!C955,'Infos Clientes'!B:B,0))</f>
        <v>62.955.505/0151-99</v>
      </c>
      <c r="C955" s="31" t="s">
        <v>168</v>
      </c>
      <c r="D955" s="31" t="s">
        <v>351</v>
      </c>
      <c r="E955" s="31" t="s">
        <v>352</v>
      </c>
      <c r="F955" s="56" t="str">
        <f>INDEX('Infos Clientes'!$I:$I,MATCH('Detalhe Por UC'!C955,'Infos Clientes'!B:B,0))</f>
        <v>BT</v>
      </c>
      <c r="G955" s="56" t="str">
        <f>INDEX('Infos Clientes'!$J:$J,MATCH('Detalhe Por UC'!C955,'Infos Clientes'!B:B,0))</f>
        <v>trifasico</v>
      </c>
      <c r="H955" s="156" t="s">
        <v>138</v>
      </c>
      <c r="I955" s="58">
        <f>IFERROR(VLOOKUP(C955,'Infos Clientes'!B:E,4,),"")</f>
        <v>306</v>
      </c>
      <c r="J955" s="152">
        <v>0.2796792317717392</v>
      </c>
      <c r="K955" s="79">
        <f>INDEX('Resumo Operacional'!$A$1:$P$151,MATCH("Desconto percentual Ucs",'Resumo Operacional'!$B$1:$B$151,0),MATCH('Detalhe Por UC'!$R955,'Resumo Operacional'!$A$1:$P$1,0))</f>
        <v>0.26414553913427991</v>
      </c>
      <c r="M955" s="56"/>
      <c r="N955" s="56"/>
      <c r="O955" s="56"/>
      <c r="P955" s="56"/>
      <c r="Q955" s="61"/>
      <c r="R955" s="111">
        <v>45931</v>
      </c>
      <c r="S955" s="151">
        <v>1E-4</v>
      </c>
      <c r="T955" s="113" t="str">
        <f>IF($H955="GIROSSOL II",AP955/INDEX('Resumo Operacional'!$A$1:$P$1103,17,MATCH('Detalhe Por UC'!$R955,'Resumo Operacional'!$A$1:$P$1,0)),
IF($H955="GIROSSOL II e III",AP955/INDEX('Resumo Operacional'!$A$1:$P$1103,17,MATCH('Detalhe Por UC'!$R955,'Resumo Operacional'!$A$1:$P$1,0)),
""))</f>
        <v/>
      </c>
      <c r="U955" s="113">
        <f>IF($H955="GIROSSOL III",AP955/INDEX('Resumo Operacional'!$A$1:$P$1103,53,MATCH('Detalhe Por UC'!$R955,'Resumo Operacional'!$A$1:$P$1,0)),
IF($H955="GIROSSOL II e III",AP955/INDEX('Resumo Operacional'!$A$1:$P$1103,53,MATCH('Detalhe Por UC'!$R955,'Resumo Operacional'!$A$1:$P$1,0)),
""))</f>
        <v>0.13785589773387566</v>
      </c>
      <c r="X955">
        <v>1.2095467673850255</v>
      </c>
      <c r="Z955" s="54">
        <v>1.0815716556893027</v>
      </c>
      <c r="AB955" s="18">
        <v>643</v>
      </c>
      <c r="AD955" s="143">
        <v>629</v>
      </c>
      <c r="AF955" s="18">
        <v>1269</v>
      </c>
      <c r="AH955">
        <v>175.78</v>
      </c>
      <c r="AL955" s="43"/>
      <c r="AN955" s="71">
        <f t="shared" si="529"/>
        <v>1269</v>
      </c>
      <c r="AO955" s="71">
        <f t="shared" si="530"/>
        <v>0</v>
      </c>
      <c r="AP955" s="71">
        <f t="shared" si="531"/>
        <v>1898</v>
      </c>
      <c r="AQ955" s="72">
        <f>IF(OR($H955="GIROSSOL II",$H955="GIROSSOL II e III"),INDEX('Resumo Operacional'!$A$1:$P$1103,MATCH("Energia Injetada prevista total Fatura da Usina (TUSD)",'Resumo Operacional'!$B$1:$B$1103,0),MATCH('Detalhe Por UC'!$R955,'Resumo Operacional'!$A$1:$P$1,0))*$S955,INDEX('Resumo Operacional'!$A$1:$P$1103,53,MATCH('Detalhe Por UC'!$R955,'Resumo Operacional'!$A$1:$P$1,0))*$S955)</f>
        <v>1.3768</v>
      </c>
      <c r="AR955" s="71">
        <f t="shared" si="532"/>
        <v>1896.6232</v>
      </c>
      <c r="AS955" s="73">
        <f t="shared" si="533"/>
        <v>273.20999999999992</v>
      </c>
      <c r="AT955" s="74">
        <f t="shared" si="534"/>
        <v>273.20999999999992</v>
      </c>
      <c r="AU955" s="74">
        <f t="shared" si="535"/>
        <v>0.95359654399357985</v>
      </c>
      <c r="AV955" s="74">
        <f t="shared" si="536"/>
        <v>490.04039280369921</v>
      </c>
      <c r="AW955" s="74">
        <f t="shared" si="537"/>
        <v>0</v>
      </c>
      <c r="AX955" s="74">
        <f t="shared" si="538"/>
        <v>680.30857142857144</v>
      </c>
      <c r="AY955" s="74">
        <f t="shared" si="539"/>
        <v>490.04</v>
      </c>
      <c r="AZ955" s="129">
        <v>490.04</v>
      </c>
      <c r="BA955" s="117">
        <v>9.9999999999999995E-8</v>
      </c>
      <c r="BC955" s="73" t="str">
        <f t="shared" si="540"/>
        <v/>
      </c>
      <c r="BD955" s="73">
        <f t="shared" si="541"/>
        <v>953.51857142857136</v>
      </c>
      <c r="BE955" s="73">
        <f t="shared" si="542"/>
        <v>763.25039280369913</v>
      </c>
      <c r="BF955" s="77">
        <f t="shared" si="543"/>
        <v>190.27</v>
      </c>
      <c r="BG955" s="77">
        <f t="shared" si="544"/>
        <v>57.081000000000003</v>
      </c>
      <c r="BH955" s="77">
        <f t="shared" si="545"/>
        <v>680.30857142857144</v>
      </c>
      <c r="BI955" s="78">
        <f t="shared" si="546"/>
        <v>0.28000000000000003</v>
      </c>
      <c r="BJ955" s="79">
        <f t="shared" si="547"/>
        <v>0.19954514332629678</v>
      </c>
      <c r="BK955" s="80">
        <f t="shared" si="548"/>
        <v>763.25</v>
      </c>
      <c r="BL955" s="80">
        <f t="shared" si="549"/>
        <v>190.26857142857136</v>
      </c>
      <c r="BM955" s="79">
        <f t="shared" si="550"/>
        <v>0.199543645115909</v>
      </c>
      <c r="BN955" s="81">
        <f t="shared" si="551"/>
        <v>0.77907790143084266</v>
      </c>
      <c r="BO955" s="82">
        <f t="shared" si="552"/>
        <v>490.04</v>
      </c>
      <c r="BP955" s="81">
        <f t="shared" si="553"/>
        <v>0.77907790143084266</v>
      </c>
      <c r="BQ955" s="81">
        <f t="shared" si="554"/>
        <v>0.9070530131265655</v>
      </c>
      <c r="BR955" s="81">
        <f t="shared" si="555"/>
        <v>1.2095467673850255</v>
      </c>
      <c r="BS955" s="82">
        <f t="shared" si="556"/>
        <v>629</v>
      </c>
      <c r="BT955" s="82">
        <f t="shared" si="557"/>
        <v>760.80491668518107</v>
      </c>
      <c r="BU955" s="82">
        <f t="shared" si="558"/>
        <v>680.30857142857144</v>
      </c>
      <c r="BW955" s="82">
        <f>IFERROR(INDEX('Infos Clientes'!$T:$T,MATCH('Detalhe Por UC'!$C955,'Infos Clientes'!B:B,0)),"")</f>
        <v>718.4545454545455</v>
      </c>
      <c r="BX955" s="83">
        <f t="shared" si="559"/>
        <v>0</v>
      </c>
      <c r="BY955" s="84">
        <f t="shared" si="560"/>
        <v>0.25008851448748454</v>
      </c>
      <c r="BZ955" s="85">
        <f>IF(_xlfn.MINIFS('Detalhe Por UC'!R:R,'Detalhe Por UC'!C:C,C955,'Detalhe Por UC'!AD:AD,"&gt;"&amp;0)=0,"",_xlfn.MINIFS('Detalhe Por UC'!R:R,'Detalhe Por UC'!C:C,C955,'Detalhe Por UC'!AD:AD,"&gt;"&amp;0))</f>
        <v>45658</v>
      </c>
      <c r="CA955" s="114">
        <f ca="1">IF(OR(S955&gt;0,AD955&gt;0),IFERROR(
SUMIFS(INDIRECT("'Infos Clientes'!$W"&amp;INDEX('Infos Clientes'!$C:$C,MATCH(C955,'Infos Clientes'!$H:$H,0))&amp;":$CZ"&amp;INDEX('Infos Clientes'!$C:$C,MATCH(C955,'Infos Clientes'!$H:$H,0))),'Infos Clientes'!$W$2:$CZ$2,"&gt;"&amp;$R955-365,'Infos Clientes'!$W$2:$CZ$2,"&lt;="&amp;$R955)/
COUNTIFS(INDIRECT("'Infos Clientes'!$W"&amp;INDEX('Infos Clientes'!$C:$C,MATCH(C955,'Infos Clientes'!$H:$H,0))&amp;":$CZ"&amp;INDEX('Infos Clientes'!$C:$C,MATCH(C955,'Infos Clientes'!$H:$H,0))),"&gt;="&amp;0,'Infos Clientes'!$W$2:$CZ$2,"&gt;"&amp;$R955-365,'Infos Clientes'!$W$2:$CZ$2,"&lt;="&amp;$R955),""),"")</f>
        <v>606.72727272727275</v>
      </c>
      <c r="CB955" s="87">
        <f>VLOOKUP(C955,'Infos Clientes'!B:L,11,0)</f>
        <v>0</v>
      </c>
      <c r="CC955" s="88" t="str">
        <f t="shared" si="561"/>
        <v>A Unidade Consumidora 10/2247256-7 economizou R$190,27 na fatura referente à out/2025  consumindo 629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5" s="115">
        <f t="shared" si="562"/>
        <v>-273.20999999999992</v>
      </c>
    </row>
    <row r="956" spans="1:84" ht="16.2" hidden="1" customHeight="1" x14ac:dyDescent="0.3">
      <c r="A956" s="105" t="str">
        <f>INDEX('Infos Clientes'!$D:$D,MATCH('Detalhe Por UC'!C956,'Infos Clientes'!B:B,0))</f>
        <v>IGREJA DO EVANGELHO QUADRANGULAR</v>
      </c>
      <c r="B956" s="106" t="str">
        <f>INDEX('Infos Clientes'!$F:$F,MATCH('Detalhe Por UC'!C956,'Infos Clientes'!B:B,0))</f>
        <v>62.955.505/1224-32</v>
      </c>
      <c r="C956" s="31" t="s">
        <v>234</v>
      </c>
      <c r="D956" s="31" t="s">
        <v>351</v>
      </c>
      <c r="E956" s="31" t="s">
        <v>352</v>
      </c>
      <c r="F956" s="56" t="str">
        <f>INDEX('Infos Clientes'!$I:$I,MATCH('Detalhe Por UC'!C956,'Infos Clientes'!B:B,0))</f>
        <v>BT</v>
      </c>
      <c r="G956" s="56" t="str">
        <f>INDEX('Infos Clientes'!$J:$J,MATCH('Detalhe Por UC'!C956,'Infos Clientes'!B:B,0))</f>
        <v>trifasico</v>
      </c>
      <c r="H956" s="156" t="s">
        <v>138</v>
      </c>
      <c r="I956" s="58">
        <f>IFERROR(VLOOKUP(C956,'Infos Clientes'!B:E,4,),"")</f>
        <v>302</v>
      </c>
      <c r="J956" s="152">
        <v>0.2796792317717392</v>
      </c>
      <c r="K956" s="79">
        <f>INDEX('Resumo Operacional'!$A$1:$P$151,MATCH("Desconto percentual Ucs",'Resumo Operacional'!$B$1:$B$151,0),MATCH('Detalhe Por UC'!$R956,'Resumo Operacional'!$A$1:$P$1,0))</f>
        <v>0.26414553913427991</v>
      </c>
      <c r="M956" s="56"/>
      <c r="N956" s="56"/>
      <c r="O956" s="56"/>
      <c r="P956" s="56"/>
      <c r="Q956" s="61"/>
      <c r="R956" s="111">
        <v>45931</v>
      </c>
      <c r="S956" s="151">
        <v>1E-4</v>
      </c>
      <c r="T956" s="113" t="str">
        <f>IF($H956="GIROSSOL II",AP956/INDEX('Resumo Operacional'!$A$1:$P$1103,17,MATCH('Detalhe Por UC'!$R956,'Resumo Operacional'!$A$1:$P$1,0)),
IF($H956="GIROSSOL II e III",AP956/INDEX('Resumo Operacional'!$A$1:$P$1103,17,MATCH('Detalhe Por UC'!$R956,'Resumo Operacional'!$A$1:$P$1,0)),
""))</f>
        <v/>
      </c>
      <c r="U956" s="113">
        <f>IF($H956="GIROSSOL III",AP956/INDEX('Resumo Operacional'!$A$1:$P$1103,53,MATCH('Detalhe Por UC'!$R956,'Resumo Operacional'!$A$1:$P$1,0)),
IF($H956="GIROSSOL II e III",AP956/INDEX('Resumo Operacional'!$A$1:$P$1103,53,MATCH('Detalhe Por UC'!$R956,'Resumo Operacional'!$A$1:$P$1,0)),
""))</f>
        <v>0</v>
      </c>
      <c r="X956">
        <v>1.2158235294117647</v>
      </c>
      <c r="Z956" s="54">
        <v>0</v>
      </c>
      <c r="AB956" s="18">
        <v>510</v>
      </c>
      <c r="AD956" s="143">
        <v>0</v>
      </c>
      <c r="AF956" s="18">
        <v>0</v>
      </c>
      <c r="AG956">
        <v>0</v>
      </c>
      <c r="AH956">
        <v>110.29</v>
      </c>
      <c r="AL956" s="43"/>
      <c r="AN956" s="71">
        <f t="shared" si="529"/>
        <v>0</v>
      </c>
      <c r="AO956" s="71">
        <f t="shared" si="530"/>
        <v>0</v>
      </c>
      <c r="AP956" s="71">
        <f t="shared" si="531"/>
        <v>0</v>
      </c>
      <c r="AQ956" s="72">
        <f>IF(OR($H956="GIROSSOL II",$H956="GIROSSOL II e III"),INDEX('Resumo Operacional'!$A$1:$P$1103,MATCH("Energia Injetada prevista total Fatura da Usina (TUSD)",'Resumo Operacional'!$B$1:$B$1103,0),MATCH('Detalhe Por UC'!$R956,'Resumo Operacional'!$A$1:$P$1,0))*$S956,INDEX('Resumo Operacional'!$A$1:$P$1103,53,MATCH('Detalhe Por UC'!$R956,'Resumo Operacional'!$A$1:$P$1,0))*$S956)</f>
        <v>1.3768</v>
      </c>
      <c r="AR956" s="71">
        <f t="shared" si="532"/>
        <v>-1.3768</v>
      </c>
      <c r="AS956" s="73">
        <f t="shared" si="533"/>
        <v>730.36</v>
      </c>
      <c r="AT956" s="74">
        <f t="shared" si="534"/>
        <v>730.36</v>
      </c>
      <c r="AU956" s="74" t="str">
        <f t="shared" si="535"/>
        <v/>
      </c>
      <c r="AV956" s="74">
        <f t="shared" si="536"/>
        <v>0</v>
      </c>
      <c r="AW956" s="74">
        <f t="shared" si="537"/>
        <v>0</v>
      </c>
      <c r="AX956" s="74">
        <f t="shared" si="538"/>
        <v>0</v>
      </c>
      <c r="AY956" s="74" t="str">
        <f t="shared" si="539"/>
        <v/>
      </c>
      <c r="AZ956" s="129">
        <v>0</v>
      </c>
      <c r="BA956" s="117">
        <v>9.9999999999999995E-8</v>
      </c>
      <c r="BC956" s="73" t="str">
        <f t="shared" si="540"/>
        <v/>
      </c>
      <c r="BD956" s="73">
        <f t="shared" si="541"/>
        <v>730.36</v>
      </c>
      <c r="BE956" s="73">
        <f t="shared" si="542"/>
        <v>730.36</v>
      </c>
      <c r="BF956" s="77">
        <f t="shared" si="543"/>
        <v>0</v>
      </c>
      <c r="BG956" s="77">
        <f t="shared" si="544"/>
        <v>0</v>
      </c>
      <c r="BH956" s="77">
        <f t="shared" si="545"/>
        <v>0</v>
      </c>
      <c r="BI956" s="78" t="str">
        <f t="shared" si="546"/>
        <v/>
      </c>
      <c r="BJ956" s="79">
        <f t="shared" si="547"/>
        <v>0</v>
      </c>
      <c r="BK956" s="80" t="str">
        <f t="shared" si="548"/>
        <v/>
      </c>
      <c r="BL956" s="80" t="str">
        <f t="shared" si="549"/>
        <v/>
      </c>
      <c r="BM956" s="79" t="str">
        <f t="shared" si="550"/>
        <v/>
      </c>
      <c r="BN956" s="81" t="str">
        <f t="shared" si="551"/>
        <v/>
      </c>
      <c r="BO956" s="82" t="str">
        <f t="shared" si="552"/>
        <v/>
      </c>
      <c r="BP956" s="81" t="str">
        <f t="shared" si="553"/>
        <v/>
      </c>
      <c r="BQ956" s="81" t="str">
        <f t="shared" si="554"/>
        <v/>
      </c>
      <c r="BR956" s="81" t="str">
        <f t="shared" si="555"/>
        <v/>
      </c>
      <c r="BS956" s="82">
        <f t="shared" si="556"/>
        <v>0</v>
      </c>
      <c r="BT956" s="82" t="str">
        <f t="shared" si="557"/>
        <v/>
      </c>
      <c r="BU956" s="82">
        <f t="shared" si="558"/>
        <v>0</v>
      </c>
      <c r="BW956" s="82">
        <f>IFERROR(INDEX('Infos Clientes'!$T:$T,MATCH('Detalhe Por UC'!$C956,'Infos Clientes'!B:B,0)),"")</f>
        <v>426.36363636363637</v>
      </c>
      <c r="BX956" s="83">
        <f t="shared" si="559"/>
        <v>0</v>
      </c>
      <c r="BY956" s="84" t="str">
        <f t="shared" si="560"/>
        <v/>
      </c>
      <c r="BZ956" s="85">
        <f>IF(_xlfn.MINIFS('Detalhe Por UC'!R:R,'Detalhe Por UC'!C:C,C956,'Detalhe Por UC'!AD:AD,"&gt;"&amp;0)=0,"",_xlfn.MINIFS('Detalhe Por UC'!R:R,'Detalhe Por UC'!C:C,C956,'Detalhe Por UC'!AD:AD,"&gt;"&amp;0))</f>
        <v>45658</v>
      </c>
      <c r="CA956" s="114">
        <f ca="1">IF(OR(S956&gt;0,AD956&gt;0),IFERROR(
SUMIFS(INDIRECT("'Infos Clientes'!$W"&amp;INDEX('Infos Clientes'!$C:$C,MATCH(C956,'Infos Clientes'!$H:$H,0))&amp;":$CZ"&amp;INDEX('Infos Clientes'!$C:$C,MATCH(C956,'Infos Clientes'!$H:$H,0))),'Infos Clientes'!$W$2:$CZ$2,"&gt;"&amp;$R956-365,'Infos Clientes'!$W$2:$CZ$2,"&lt;="&amp;$R956)/
COUNTIFS(INDIRECT("'Infos Clientes'!$W"&amp;INDEX('Infos Clientes'!$C:$C,MATCH(C956,'Infos Clientes'!$H:$H,0))&amp;":$CZ"&amp;INDEX('Infos Clientes'!$C:$C,MATCH(C956,'Infos Clientes'!$H:$H,0))),"&gt;="&amp;0,'Infos Clientes'!$W$2:$CZ$2,"&gt;"&amp;$R956-365,'Infos Clientes'!$W$2:$CZ$2,"&lt;="&amp;$R956),""),"")</f>
        <v>499.5</v>
      </c>
      <c r="CB956" s="87">
        <f>VLOOKUP(C956,'Infos Clientes'!B:L,11,0)</f>
        <v>0</v>
      </c>
      <c r="CC956" s="88" t="str">
        <f t="shared" si="561"/>
        <v>A Unidade Consumidora 10/8777-5 economizou R$0 na fatura referente à out/2025  consumindo 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6" s="115">
        <f t="shared" si="562"/>
        <v>-730.36</v>
      </c>
    </row>
    <row r="957" spans="1:84" ht="16.2" hidden="1" customHeight="1" x14ac:dyDescent="0.3">
      <c r="A957" s="105" t="str">
        <f>INDEX('Infos Clientes'!$D:$D,MATCH('Detalhe Por UC'!C957,'Infos Clientes'!B:B,0))</f>
        <v>IGREJA DO EVANGELHO QUADRANGULAR</v>
      </c>
      <c r="B957" s="106" t="str">
        <f>INDEX('Infos Clientes'!$F:$F,MATCH('Detalhe Por UC'!C957,'Infos Clientes'!B:B,0))</f>
        <v>62.955.505/0356-29</v>
      </c>
      <c r="C957" s="31" t="s">
        <v>247</v>
      </c>
      <c r="D957" s="31" t="s">
        <v>351</v>
      </c>
      <c r="E957" s="31" t="s">
        <v>352</v>
      </c>
      <c r="F957" s="56" t="str">
        <f>INDEX('Infos Clientes'!$I:$I,MATCH('Detalhe Por UC'!C957,'Infos Clientes'!B:B,0))</f>
        <v>BT</v>
      </c>
      <c r="G957" s="56" t="str">
        <f>INDEX('Infos Clientes'!$J:$J,MATCH('Detalhe Por UC'!C957,'Infos Clientes'!B:B,0))</f>
        <v>trifasico</v>
      </c>
      <c r="H957" s="156" t="s">
        <v>138</v>
      </c>
      <c r="I957" s="58">
        <f>IFERROR(VLOOKUP(C957,'Infos Clientes'!B:E,4,),"")</f>
        <v>359</v>
      </c>
      <c r="J957" s="152">
        <v>0.2796792317717392</v>
      </c>
      <c r="K957" s="79">
        <f>INDEX('Resumo Operacional'!$A$1:$P$151,MATCH("Desconto percentual Ucs",'Resumo Operacional'!$B$1:$B$151,0),MATCH('Detalhe Por UC'!$R957,'Resumo Operacional'!$A$1:$P$1,0))</f>
        <v>0.26414553913427991</v>
      </c>
      <c r="M957" s="56"/>
      <c r="N957" s="56"/>
      <c r="O957" s="56"/>
      <c r="P957" s="56"/>
      <c r="Q957" s="61"/>
      <c r="R957" s="111">
        <v>45931</v>
      </c>
      <c r="S957" s="151">
        <v>0</v>
      </c>
      <c r="T957" s="113" t="str">
        <f>IF($H957="GIROSSOL II",AP957/INDEX('Resumo Operacional'!$A$1:$P$1103,17,MATCH('Detalhe Por UC'!$R957,'Resumo Operacional'!$A$1:$P$1,0)),
IF($H957="GIROSSOL II e III",AP957/INDEX('Resumo Operacional'!$A$1:$P$1103,17,MATCH('Detalhe Por UC'!$R957,'Resumo Operacional'!$A$1:$P$1,0)),
""))</f>
        <v/>
      </c>
      <c r="U957" s="113">
        <f>IF($H957="GIROSSOL III",AP957/INDEX('Resumo Operacional'!$A$1:$P$1103,53,MATCH('Detalhe Por UC'!$R957,'Resumo Operacional'!$A$1:$P$1,0)),
IF($H957="GIROSSOL II e III",AP957/INDEX('Resumo Operacional'!$A$1:$P$1103,53,MATCH('Detalhe Por UC'!$R957,'Resumo Operacional'!$A$1:$P$1,0)),
""))</f>
        <v>2.0663858221963975</v>
      </c>
      <c r="X957">
        <v>1.1381272509003602</v>
      </c>
      <c r="Z957" s="54">
        <v>0.98123649459783902</v>
      </c>
      <c r="AB957" s="18">
        <v>833</v>
      </c>
      <c r="AD957" s="143">
        <v>833</v>
      </c>
      <c r="AF957" s="18">
        <v>27617</v>
      </c>
      <c r="AH957">
        <v>171.82</v>
      </c>
      <c r="AL957" s="43"/>
      <c r="AN957" s="71">
        <f t="shared" si="529"/>
        <v>27617</v>
      </c>
      <c r="AO957" s="71">
        <f t="shared" si="530"/>
        <v>0</v>
      </c>
      <c r="AP957" s="71">
        <f t="shared" si="531"/>
        <v>28450</v>
      </c>
      <c r="AQ957" s="72">
        <f>IF(OR($H957="GIROSSOL II",$H957="GIROSSOL II e III"),INDEX('Resumo Operacional'!$A$1:$P$1103,MATCH("Energia Injetada prevista total Fatura da Usina (TUSD)",'Resumo Operacional'!$B$1:$B$1103,0),MATCH('Detalhe Por UC'!$R957,'Resumo Operacional'!$A$1:$P$1,0))*$S957,INDEX('Resumo Operacional'!$A$1:$P$1103,53,MATCH('Detalhe Por UC'!$R957,'Resumo Operacional'!$A$1:$P$1,0))*$S957)</f>
        <v>0</v>
      </c>
      <c r="AR957" s="71">
        <f t="shared" si="532"/>
        <v>28450</v>
      </c>
      <c r="AS957" s="73">
        <f t="shared" si="533"/>
        <v>302.51000000000016</v>
      </c>
      <c r="AT957" s="74">
        <f t="shared" si="534"/>
        <v>302.51000000000016</v>
      </c>
      <c r="AU957" s="74">
        <f t="shared" si="535"/>
        <v>0.82434573829531788</v>
      </c>
      <c r="AV957" s="74">
        <f t="shared" si="536"/>
        <v>588.7685863267335</v>
      </c>
      <c r="AW957" s="74">
        <f t="shared" si="537"/>
        <v>0</v>
      </c>
      <c r="AX957" s="74">
        <f t="shared" si="538"/>
        <v>817.36999999999989</v>
      </c>
      <c r="AY957" s="74">
        <f t="shared" si="539"/>
        <v>588.77</v>
      </c>
      <c r="AZ957" s="129">
        <v>588.77</v>
      </c>
      <c r="BA957" s="117">
        <v>9.9999999999999995E-8</v>
      </c>
      <c r="BC957" s="73" t="str">
        <f t="shared" si="540"/>
        <v/>
      </c>
      <c r="BD957" s="73">
        <f t="shared" si="541"/>
        <v>1119.8800000000001</v>
      </c>
      <c r="BE957" s="73">
        <f t="shared" si="542"/>
        <v>891.2785863267336</v>
      </c>
      <c r="BF957" s="77">
        <f t="shared" si="543"/>
        <v>228.6</v>
      </c>
      <c r="BG957" s="77">
        <f t="shared" si="544"/>
        <v>68.58</v>
      </c>
      <c r="BH957" s="77">
        <f t="shared" si="545"/>
        <v>817.36999999999989</v>
      </c>
      <c r="BI957" s="78">
        <f t="shared" si="546"/>
        <v>0.28000000000000003</v>
      </c>
      <c r="BJ957" s="79">
        <f t="shared" si="547"/>
        <v>0.20412901382290957</v>
      </c>
      <c r="BK957" s="80">
        <f t="shared" si="548"/>
        <v>891.2800000000002</v>
      </c>
      <c r="BL957" s="80">
        <f t="shared" si="549"/>
        <v>228.59999999999991</v>
      </c>
      <c r="BM957" s="79">
        <f t="shared" si="550"/>
        <v>0.20412901382290949</v>
      </c>
      <c r="BN957" s="81">
        <f t="shared" si="551"/>
        <v>0.70680672268907563</v>
      </c>
      <c r="BO957" s="82">
        <f t="shared" si="552"/>
        <v>588.77</v>
      </c>
      <c r="BP957" s="81">
        <f t="shared" si="553"/>
        <v>0.70680672268907563</v>
      </c>
      <c r="BQ957" s="81">
        <f t="shared" si="554"/>
        <v>0.86369747899159677</v>
      </c>
      <c r="BR957" s="81">
        <f t="shared" si="555"/>
        <v>1.1381272509003602</v>
      </c>
      <c r="BS957" s="82">
        <f t="shared" si="556"/>
        <v>833</v>
      </c>
      <c r="BT957" s="82">
        <f t="shared" si="557"/>
        <v>948.06000000000006</v>
      </c>
      <c r="BU957" s="82">
        <f t="shared" si="558"/>
        <v>817.36999999999989</v>
      </c>
      <c r="BW957" s="82">
        <f>IFERROR(INDEX('Infos Clientes'!$T:$T,MATCH('Detalhe Por UC'!$C957,'Infos Clientes'!B:B,0)),"")</f>
        <v>883.5454545454545</v>
      </c>
      <c r="BX957" s="83">
        <f t="shared" si="559"/>
        <v>0</v>
      </c>
      <c r="BY957" s="84">
        <f t="shared" si="560"/>
        <v>0.24112397949496855</v>
      </c>
      <c r="BZ957" s="85">
        <f>IF(_xlfn.MINIFS('Detalhe Por UC'!R:R,'Detalhe Por UC'!C:C,C957,'Detalhe Por UC'!AD:AD,"&gt;"&amp;0)=0,"",_xlfn.MINIFS('Detalhe Por UC'!R:R,'Detalhe Por UC'!C:C,C957,'Detalhe Por UC'!AD:AD,"&gt;"&amp;0))</f>
        <v>45658</v>
      </c>
      <c r="CA957" s="114">
        <f ca="1">IF(OR(S957&gt;0,AD957&gt;0),IFERROR(
SUMIFS(INDIRECT("'Infos Clientes'!$W"&amp;INDEX('Infos Clientes'!$C:$C,MATCH(C957,'Infos Clientes'!$H:$H,0))&amp;":$CZ"&amp;INDEX('Infos Clientes'!$C:$C,MATCH(C957,'Infos Clientes'!$H:$H,0))),'Infos Clientes'!$W$2:$CZ$2,"&gt;"&amp;$R957-365,'Infos Clientes'!$W$2:$CZ$2,"&lt;="&amp;$R957)/
COUNTIFS(INDIRECT("'Infos Clientes'!$W"&amp;INDEX('Infos Clientes'!$C:$C,MATCH(C957,'Infos Clientes'!$H:$H,0))&amp;":$CZ"&amp;INDEX('Infos Clientes'!$C:$C,MATCH(C957,'Infos Clientes'!$H:$H,0))),"&gt;="&amp;0,'Infos Clientes'!$W$2:$CZ$2,"&gt;"&amp;$R957-365,'Infos Clientes'!$W$2:$CZ$2,"&lt;="&amp;$R957),""),"")</f>
        <v>982.66666666666663</v>
      </c>
      <c r="CB957" s="87">
        <f>VLOOKUP(C957,'Infos Clientes'!B:L,11,0)</f>
        <v>0</v>
      </c>
      <c r="CC957" s="88" t="str">
        <f t="shared" si="561"/>
        <v>A Unidade Consumidora 10/3170252-5 economizou R$228,6 na fatura referente à out/2025  consumindo 833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7" s="115">
        <f t="shared" si="562"/>
        <v>-302.51000000000016</v>
      </c>
    </row>
    <row r="958" spans="1:84" ht="16.2" hidden="1" customHeight="1" x14ac:dyDescent="0.3">
      <c r="A958" s="105" t="str">
        <f>INDEX('Infos Clientes'!$D:$D,MATCH('Detalhe Por UC'!C958,'Infos Clientes'!B:B,0))</f>
        <v>IGREJA DO EVANGELHO QUADRANGULAR</v>
      </c>
      <c r="B958" s="106" t="str">
        <f>INDEX('Infos Clientes'!$F:$F,MATCH('Detalhe Por UC'!C958,'Infos Clientes'!B:B,0))</f>
        <v>62.955.505/0577-89</v>
      </c>
      <c r="C958" s="31" t="s">
        <v>237</v>
      </c>
      <c r="D958" s="31" t="s">
        <v>351</v>
      </c>
      <c r="E958" s="31" t="s">
        <v>352</v>
      </c>
      <c r="F958" s="56" t="str">
        <f>INDEX('Infos Clientes'!$I:$I,MATCH('Detalhe Por UC'!C958,'Infos Clientes'!B:B,0))</f>
        <v>BT</v>
      </c>
      <c r="G958" s="56" t="str">
        <f>INDEX('Infos Clientes'!$J:$J,MATCH('Detalhe Por UC'!C958,'Infos Clientes'!B:B,0))</f>
        <v>trifasico</v>
      </c>
      <c r="H958" s="156" t="s">
        <v>138</v>
      </c>
      <c r="I958" s="58">
        <f>IFERROR(VLOOKUP(C958,'Infos Clientes'!B:E,4,),"")</f>
        <v>319</v>
      </c>
      <c r="J958" s="152">
        <v>0.2796792317717392</v>
      </c>
      <c r="K958" s="79">
        <f>INDEX('Resumo Operacional'!$A$1:$P$151,MATCH("Desconto percentual Ucs",'Resumo Operacional'!$B$1:$B$151,0),MATCH('Detalhe Por UC'!$R958,'Resumo Operacional'!$A$1:$P$1,0))</f>
        <v>0.26414553913427991</v>
      </c>
      <c r="M958" s="56"/>
      <c r="N958" s="56"/>
      <c r="O958" s="56"/>
      <c r="P958" s="56"/>
      <c r="Q958" s="61"/>
      <c r="R958" s="111">
        <v>45931</v>
      </c>
      <c r="S958" s="151">
        <v>0</v>
      </c>
      <c r="T958" s="113" t="str">
        <f>IF($H958="GIROSSOL II",AP958/INDEX('Resumo Operacional'!$A$1:$P$1103,17,MATCH('Detalhe Por UC'!$R958,'Resumo Operacional'!$A$1:$P$1,0)),
IF($H958="GIROSSOL II e III",AP958/INDEX('Resumo Operacional'!$A$1:$P$1103,17,MATCH('Detalhe Por UC'!$R958,'Resumo Operacional'!$A$1:$P$1,0)),
""))</f>
        <v/>
      </c>
      <c r="U958" s="113">
        <f>IF($H958="GIROSSOL III",AP958/INDEX('Resumo Operacional'!$A$1:$P$1103,53,MATCH('Detalhe Por UC'!$R958,'Resumo Operacional'!$A$1:$P$1,0)),
IF($H958="GIROSSOL II e III",AP958/INDEX('Resumo Operacional'!$A$1:$P$1103,53,MATCH('Detalhe Por UC'!$R958,'Resumo Operacional'!$A$1:$P$1,0)),
""))</f>
        <v>6.4570017431725746E-2</v>
      </c>
      <c r="X958">
        <v>1.2103435529462927</v>
      </c>
      <c r="Z958" s="54">
        <v>1.0534392607617762</v>
      </c>
      <c r="AB958" s="18">
        <v>511</v>
      </c>
      <c r="AD958" s="143">
        <v>493</v>
      </c>
      <c r="AF958" s="18">
        <v>396</v>
      </c>
      <c r="AH958">
        <v>0</v>
      </c>
      <c r="AL958" s="43"/>
      <c r="AN958" s="71">
        <f t="shared" si="529"/>
        <v>396</v>
      </c>
      <c r="AO958" s="71">
        <f t="shared" si="530"/>
        <v>0</v>
      </c>
      <c r="AP958" s="71">
        <f t="shared" si="531"/>
        <v>889</v>
      </c>
      <c r="AQ958" s="72">
        <f>IF(OR($H958="GIROSSOL II",$H958="GIROSSOL II e III"),INDEX('Resumo Operacional'!$A$1:$P$1103,MATCH("Energia Injetada prevista total Fatura da Usina (TUSD)",'Resumo Operacional'!$B$1:$B$1103,0),MATCH('Detalhe Por UC'!$R958,'Resumo Operacional'!$A$1:$P$1,0))*$S958,INDEX('Resumo Operacional'!$A$1:$P$1103,53,MATCH('Detalhe Por UC'!$R958,'Resumo Operacional'!$A$1:$P$1,0))*$S958)</f>
        <v>0</v>
      </c>
      <c r="AR958" s="71">
        <f t="shared" si="532"/>
        <v>889</v>
      </c>
      <c r="AS958" s="73">
        <f t="shared" si="533"/>
        <v>99.139999999999986</v>
      </c>
      <c r="AT958" s="74">
        <f t="shared" si="534"/>
        <v>99.139999999999986</v>
      </c>
      <c r="AU958" s="74">
        <f t="shared" si="535"/>
        <v>0.89653496857725967</v>
      </c>
      <c r="AV958" s="74">
        <f t="shared" si="536"/>
        <v>374.09538955371079</v>
      </c>
      <c r="AW958" s="74">
        <f t="shared" si="537"/>
        <v>0</v>
      </c>
      <c r="AX958" s="74">
        <f t="shared" si="538"/>
        <v>519.34555555555562</v>
      </c>
      <c r="AY958" s="74">
        <f t="shared" si="539"/>
        <v>374.1</v>
      </c>
      <c r="AZ958" s="129">
        <v>374.1</v>
      </c>
      <c r="BA958" s="117">
        <v>1E-8</v>
      </c>
      <c r="BC958" s="73" t="str">
        <f t="shared" si="540"/>
        <v/>
      </c>
      <c r="BD958" s="73">
        <f t="shared" si="541"/>
        <v>618.48555555555561</v>
      </c>
      <c r="BE958" s="73">
        <f t="shared" si="542"/>
        <v>473.23538955371077</v>
      </c>
      <c r="BF958" s="77">
        <f t="shared" si="543"/>
        <v>145.25</v>
      </c>
      <c r="BG958" s="77">
        <f t="shared" si="544"/>
        <v>43.574999999999996</v>
      </c>
      <c r="BH958" s="77">
        <f t="shared" si="545"/>
        <v>519.34555555555562</v>
      </c>
      <c r="BI958" s="78">
        <f t="shared" si="546"/>
        <v>0.28000000000000003</v>
      </c>
      <c r="BJ958" s="79">
        <f t="shared" si="547"/>
        <v>0.2348478451845637</v>
      </c>
      <c r="BK958" s="80">
        <f t="shared" si="548"/>
        <v>473.24</v>
      </c>
      <c r="BL958" s="80">
        <f t="shared" si="549"/>
        <v>145.2455555555556</v>
      </c>
      <c r="BM958" s="79">
        <f t="shared" si="550"/>
        <v>0.23484065917285418</v>
      </c>
      <c r="BN958" s="81">
        <f t="shared" si="551"/>
        <v>0.75882352941176479</v>
      </c>
      <c r="BO958" s="82">
        <f t="shared" si="552"/>
        <v>374.1</v>
      </c>
      <c r="BP958" s="81">
        <f t="shared" si="553"/>
        <v>0.75882352941176479</v>
      </c>
      <c r="BQ958" s="81">
        <f t="shared" si="554"/>
        <v>0.9157278215962813</v>
      </c>
      <c r="BR958" s="81">
        <f t="shared" si="555"/>
        <v>1.2103435529462927</v>
      </c>
      <c r="BS958" s="82">
        <f t="shared" si="556"/>
        <v>493</v>
      </c>
      <c r="BT958" s="82">
        <f t="shared" si="557"/>
        <v>596.69937160252232</v>
      </c>
      <c r="BU958" s="82">
        <f t="shared" si="558"/>
        <v>519.34555555555562</v>
      </c>
      <c r="BW958" s="82">
        <f>IFERROR(INDEX('Infos Clientes'!$T:$T,MATCH('Detalhe Por UC'!$C958,'Infos Clientes'!B:B,0)),"")</f>
        <v>790</v>
      </c>
      <c r="BX958" s="83">
        <f t="shared" si="559"/>
        <v>0</v>
      </c>
      <c r="BY958" s="84">
        <f t="shared" si="560"/>
        <v>0.24341496315888136</v>
      </c>
      <c r="BZ958" s="85">
        <f>IF(_xlfn.MINIFS('Detalhe Por UC'!R:R,'Detalhe Por UC'!C:C,C958,'Detalhe Por UC'!AD:AD,"&gt;"&amp;0)=0,"",_xlfn.MINIFS('Detalhe Por UC'!R:R,'Detalhe Por UC'!C:C,C958,'Detalhe Por UC'!AD:AD,"&gt;"&amp;0))</f>
        <v>45717</v>
      </c>
      <c r="CA958" s="114">
        <f ca="1">IF(OR(S958&gt;0,AD958&gt;0),IFERROR(
SUMIFS(INDIRECT("'Infos Clientes'!$W"&amp;INDEX('Infos Clientes'!$C:$C,MATCH(C958,'Infos Clientes'!$H:$H,0))&amp;":$CZ"&amp;INDEX('Infos Clientes'!$C:$C,MATCH(C958,'Infos Clientes'!$H:$H,0))),'Infos Clientes'!$W$2:$CZ$2,"&gt;"&amp;$R958-365,'Infos Clientes'!$W$2:$CZ$2,"&lt;="&amp;$R958)/
COUNTIFS(INDIRECT("'Infos Clientes'!$W"&amp;INDEX('Infos Clientes'!$C:$C,MATCH(C958,'Infos Clientes'!$H:$H,0))&amp;":$CZ"&amp;INDEX('Infos Clientes'!$C:$C,MATCH(C958,'Infos Clientes'!$H:$H,0))),"&gt;="&amp;0,'Infos Clientes'!$W$2:$CZ$2,"&gt;"&amp;$R958-365,'Infos Clientes'!$W$2:$CZ$2,"&lt;="&amp;$R958),""),"")</f>
        <v>230.08333333333334</v>
      </c>
      <c r="CB958" s="87">
        <f>VLOOKUP(C958,'Infos Clientes'!B:L,11,0)</f>
        <v>0</v>
      </c>
      <c r="CC958" s="88" t="str">
        <f t="shared" si="561"/>
        <v>A Unidade Consumidora 10/925970-6 economizou R$145,25 na fatura referente à out/2025  consumindo 493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8" s="115">
        <f t="shared" si="562"/>
        <v>-99.139999999999986</v>
      </c>
    </row>
    <row r="959" spans="1:84" ht="16.2" hidden="1" customHeight="1" x14ac:dyDescent="0.3">
      <c r="A959" s="105" t="str">
        <f>INDEX('Infos Clientes'!$D:$D,MATCH('Detalhe Por UC'!C959,'Infos Clientes'!B:B,0))</f>
        <v>IGREJA DO EVANGELHO QUADRANGULAR</v>
      </c>
      <c r="B959" s="106" t="str">
        <f>INDEX('Infos Clientes'!$F:$F,MATCH('Detalhe Por UC'!C959,'Infos Clientes'!B:B,0))</f>
        <v>62.955.505/3932-07</v>
      </c>
      <c r="C959" s="107" t="s">
        <v>136</v>
      </c>
      <c r="D959" s="31" t="s">
        <v>351</v>
      </c>
      <c r="E959" s="31" t="s">
        <v>352</v>
      </c>
      <c r="F959" s="56" t="str">
        <f>INDEX('Infos Clientes'!$I:$I,MATCH('Detalhe Por UC'!C959,'Infos Clientes'!B:B,0))</f>
        <v>BT</v>
      </c>
      <c r="G959" s="56">
        <f>INDEX('Infos Clientes'!$J:$J,MATCH('Detalhe Por UC'!C959,'Infos Clientes'!B:B,0))</f>
        <v>0</v>
      </c>
      <c r="H959" s="156" t="s">
        <v>138</v>
      </c>
      <c r="I959" s="58">
        <f>IFERROR(VLOOKUP(C959,'Infos Clientes'!B:E,4,),"")</f>
        <v>302</v>
      </c>
      <c r="J959" s="152">
        <v>0.2796792317717392</v>
      </c>
      <c r="K959" s="79">
        <f>INDEX('Resumo Operacional'!$A$1:$P$151,MATCH("Desconto percentual Ucs",'Resumo Operacional'!$B$1:$B$151,0),MATCH('Detalhe Por UC'!$R959,'Resumo Operacional'!$A$1:$P$1,0))</f>
        <v>0.26414553913427991</v>
      </c>
      <c r="M959" s="56"/>
      <c r="N959" s="56"/>
      <c r="O959" s="56"/>
      <c r="P959" s="56"/>
      <c r="Q959" s="61"/>
      <c r="R959" s="111">
        <v>45931</v>
      </c>
      <c r="S959" s="151">
        <v>0</v>
      </c>
      <c r="T959" s="113" t="str">
        <f>IF($H959="GIROSSOL II",AP959/INDEX('Resumo Operacional'!$A$1:$P$1103,17,MATCH('Detalhe Por UC'!$R959,'Resumo Operacional'!$A$1:$P$1,0)),
IF($H959="GIROSSOL II e III",AP959/INDEX('Resumo Operacional'!$A$1:$P$1103,17,MATCH('Detalhe Por UC'!$R959,'Resumo Operacional'!$A$1:$P$1,0)),
""))</f>
        <v/>
      </c>
      <c r="U959" s="113">
        <f>IF($H959="GIROSSOL III",AP959/INDEX('Resumo Operacional'!$A$1:$P$1103,53,MATCH('Detalhe Por UC'!$R959,'Resumo Operacional'!$A$1:$P$1,0)),
IF($H959="GIROSSOL II e III",AP959/INDEX('Resumo Operacional'!$A$1:$P$1103,53,MATCH('Detalhe Por UC'!$R959,'Resumo Operacional'!$A$1:$P$1,0)),
""))</f>
        <v>0</v>
      </c>
      <c r="Z959" s="18"/>
      <c r="AB959" s="18"/>
      <c r="AD959" s="143"/>
      <c r="AF959" s="18"/>
      <c r="AN959" s="71" t="str">
        <f t="shared" si="529"/>
        <v/>
      </c>
      <c r="AO959" s="71" t="str">
        <f t="shared" si="530"/>
        <v/>
      </c>
      <c r="AP959" s="71">
        <f t="shared" si="531"/>
        <v>0</v>
      </c>
      <c r="AQ959" s="72">
        <f>IF(OR($H959="GIROSSOL II",$H959="GIROSSOL II e III"),INDEX('Resumo Operacional'!$A$1:$P$1103,MATCH("Energia Injetada prevista total Fatura da Usina (TUSD)",'Resumo Operacional'!$B$1:$B$1103,0),MATCH('Detalhe Por UC'!$R959,'Resumo Operacional'!$A$1:$P$1,0))*$S959,INDEX('Resumo Operacional'!$A$1:$P$1103,53,MATCH('Detalhe Por UC'!$R959,'Resumo Operacional'!$A$1:$P$1,0))*$S959)</f>
        <v>0</v>
      </c>
      <c r="AR959" s="71" t="str">
        <f t="shared" si="532"/>
        <v/>
      </c>
      <c r="AS959" s="73">
        <f t="shared" si="533"/>
        <v>0</v>
      </c>
      <c r="AT959" s="74">
        <f t="shared" si="534"/>
        <v>0</v>
      </c>
      <c r="AU959" s="74" t="str">
        <f t="shared" si="535"/>
        <v/>
      </c>
      <c r="AV959" s="74">
        <f t="shared" si="536"/>
        <v>0</v>
      </c>
      <c r="AW959" s="74">
        <f t="shared" si="537"/>
        <v>0</v>
      </c>
      <c r="AX959" s="74">
        <f t="shared" si="538"/>
        <v>0</v>
      </c>
      <c r="AY959" s="74" t="str">
        <f t="shared" si="539"/>
        <v/>
      </c>
      <c r="AZ959" s="129">
        <v>0</v>
      </c>
      <c r="BA959" s="117">
        <v>9.9999999999999995E-8</v>
      </c>
      <c r="BC959" s="73" t="str">
        <f t="shared" si="540"/>
        <v/>
      </c>
      <c r="BD959" s="73">
        <f t="shared" si="541"/>
        <v>0</v>
      </c>
      <c r="BE959" s="73">
        <f t="shared" si="542"/>
        <v>0</v>
      </c>
      <c r="BF959" s="77">
        <f t="shared" si="543"/>
        <v>0</v>
      </c>
      <c r="BG959" s="77">
        <f t="shared" si="544"/>
        <v>0</v>
      </c>
      <c r="BH959" s="77">
        <f t="shared" si="545"/>
        <v>0</v>
      </c>
      <c r="BI959" s="78" t="str">
        <f t="shared" si="546"/>
        <v/>
      </c>
      <c r="BJ959" s="79" t="str">
        <f t="shared" si="547"/>
        <v/>
      </c>
      <c r="BK959" s="80" t="str">
        <f t="shared" si="548"/>
        <v/>
      </c>
      <c r="BL959" s="80" t="str">
        <f t="shared" si="549"/>
        <v/>
      </c>
      <c r="BM959" s="79" t="str">
        <f t="shared" si="550"/>
        <v/>
      </c>
      <c r="BN959" s="81" t="str">
        <f t="shared" si="551"/>
        <v/>
      </c>
      <c r="BO959" s="82" t="str">
        <f t="shared" si="552"/>
        <v/>
      </c>
      <c r="BP959" s="81" t="str">
        <f t="shared" si="553"/>
        <v/>
      </c>
      <c r="BQ959" s="81" t="str">
        <f t="shared" si="554"/>
        <v/>
      </c>
      <c r="BR959" s="81" t="str">
        <f t="shared" si="555"/>
        <v/>
      </c>
      <c r="BS959" s="82">
        <f t="shared" si="556"/>
        <v>0</v>
      </c>
      <c r="BT959" s="82" t="str">
        <f t="shared" si="557"/>
        <v/>
      </c>
      <c r="BU959" s="82">
        <f t="shared" si="558"/>
        <v>0</v>
      </c>
      <c r="BW959" s="82">
        <f>IFERROR(INDEX('Infos Clientes'!$T:$T,MATCH('Detalhe Por UC'!$C959,'Infos Clientes'!B:B,0)),"")</f>
        <v>0</v>
      </c>
      <c r="BX959" s="83">
        <f t="shared" si="559"/>
        <v>0</v>
      </c>
      <c r="BY959" s="84" t="str">
        <f t="shared" si="560"/>
        <v/>
      </c>
      <c r="BZ959" s="85" t="str">
        <f>IF(_xlfn.MINIFS('Detalhe Por UC'!R:R,'Detalhe Por UC'!C:C,C959,'Detalhe Por UC'!AD:AD,"&gt;"&amp;0)=0,"",_xlfn.MINIFS('Detalhe Por UC'!R:R,'Detalhe Por UC'!C:C,C959,'Detalhe Por UC'!AD:AD,"&gt;"&amp;0))</f>
        <v/>
      </c>
      <c r="CA959" s="114" t="str">
        <f ca="1">IF(OR(S959&gt;0,AD959&gt;0),IFERROR(
SUMIFS(INDIRECT("'Infos Clientes'!$W"&amp;INDEX('Infos Clientes'!$C:$C,MATCH(C959,'Infos Clientes'!$H:$H,0))&amp;":$CZ"&amp;INDEX('Infos Clientes'!$C:$C,MATCH(C959,'Infos Clientes'!$H:$H,0))),'Infos Clientes'!$W$2:$CZ$2,"&gt;"&amp;$R959-365,'Infos Clientes'!$W$2:$CZ$2,"&lt;="&amp;$R959)/
COUNTIFS(INDIRECT("'Infos Clientes'!$W"&amp;INDEX('Infos Clientes'!$C:$C,MATCH(C959,'Infos Clientes'!$H:$H,0))&amp;":$CZ"&amp;INDEX('Infos Clientes'!$C:$C,MATCH(C959,'Infos Clientes'!$H:$H,0))),"&gt;="&amp;0,'Infos Clientes'!$W$2:$CZ$2,"&gt;"&amp;$R959-365,'Infos Clientes'!$W$2:$CZ$2,"&lt;="&amp;$R959),""),"")</f>
        <v/>
      </c>
      <c r="CB959" s="87">
        <f>VLOOKUP(C959,'Infos Clientes'!B:L,11,0)</f>
        <v>0</v>
      </c>
      <c r="CC959" s="88" t="str">
        <f t="shared" si="561"/>
        <v>A Unidade Consumidora 10/10731-8 economizou R$0 na fatura referente à out/2025  consumindo 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59" s="115">
        <f t="shared" si="562"/>
        <v>0</v>
      </c>
    </row>
    <row r="960" spans="1:84" ht="16.2" hidden="1" customHeight="1" x14ac:dyDescent="0.3">
      <c r="A960" s="105" t="str">
        <f>INDEX('Infos Clientes'!$D:$D,MATCH('Detalhe Por UC'!C960,'Infos Clientes'!B:B,0))</f>
        <v>IGREJA DO EVANGELHO QUADRANGULAR</v>
      </c>
      <c r="B960" s="106" t="str">
        <f>INDEX('Infos Clientes'!$F:$F,MATCH('Detalhe Por UC'!C960,'Infos Clientes'!B:B,0))</f>
        <v>62.955.505/1775-04</v>
      </c>
      <c r="C960" s="31" t="s">
        <v>199</v>
      </c>
      <c r="D960" s="31" t="s">
        <v>351</v>
      </c>
      <c r="E960" s="31" t="s">
        <v>352</v>
      </c>
      <c r="F960" s="56" t="str">
        <f>INDEX('Infos Clientes'!$I:$I,MATCH('Detalhe Por UC'!C960,'Infos Clientes'!B:B,0))</f>
        <v>BT</v>
      </c>
      <c r="G960" s="56" t="str">
        <f>INDEX('Infos Clientes'!$J:$J,MATCH('Detalhe Por UC'!C960,'Infos Clientes'!B:B,0))</f>
        <v>bifasico</v>
      </c>
      <c r="H960" s="156" t="s">
        <v>138</v>
      </c>
      <c r="I960" s="58">
        <f>IFERROR(VLOOKUP(C960,'Infos Clientes'!B:E,4,),"")</f>
        <v>319</v>
      </c>
      <c r="J960" s="152">
        <v>0.2796792317717392</v>
      </c>
      <c r="K960" s="79">
        <f>INDEX('Resumo Operacional'!$A$1:$P$151,MATCH("Desconto percentual Ucs",'Resumo Operacional'!$B$1:$B$151,0),MATCH('Detalhe Por UC'!$R960,'Resumo Operacional'!$A$1:$P$1,0))</f>
        <v>0.26414553913427991</v>
      </c>
      <c r="M960" s="56"/>
      <c r="N960" s="56"/>
      <c r="O960" s="56"/>
      <c r="P960" s="56"/>
      <c r="Q960" s="61"/>
      <c r="R960" s="111">
        <v>45931</v>
      </c>
      <c r="S960" s="151">
        <v>0</v>
      </c>
      <c r="T960" s="113" t="str">
        <f>IF($H960="GIROSSOL II",AP960/INDEX('Resumo Operacional'!$A$1:$P$1103,17,MATCH('Detalhe Por UC'!$R960,'Resumo Operacional'!$A$1:$P$1,0)),
IF($H960="GIROSSOL II e III",AP960/INDEX('Resumo Operacional'!$A$1:$P$1103,17,MATCH('Detalhe Por UC'!$R960,'Resumo Operacional'!$A$1:$P$1,0)),
""))</f>
        <v/>
      </c>
      <c r="U960" s="113">
        <f>IF($H960="GIROSSOL III",AP960/INDEX('Resumo Operacional'!$A$1:$P$1103,53,MATCH('Detalhe Por UC'!$R960,'Resumo Operacional'!$A$1:$P$1,0)),
IF($H960="GIROSSOL II e III",AP960/INDEX('Resumo Operacional'!$A$1:$P$1103,53,MATCH('Detalhe Por UC'!$R960,'Resumo Operacional'!$A$1:$P$1,0)),
""))</f>
        <v>0</v>
      </c>
      <c r="X960">
        <v>1.231584699453552</v>
      </c>
      <c r="Z960" s="54">
        <v>0</v>
      </c>
      <c r="AB960" s="18">
        <v>366</v>
      </c>
      <c r="AD960" s="143">
        <v>0</v>
      </c>
      <c r="AF960" s="18">
        <v>0</v>
      </c>
      <c r="AG960">
        <v>0</v>
      </c>
      <c r="AH960">
        <v>72.34</v>
      </c>
      <c r="AL960" s="43"/>
      <c r="AN960" s="71">
        <f t="shared" si="529"/>
        <v>0</v>
      </c>
      <c r="AO960" s="71">
        <f t="shared" si="530"/>
        <v>0</v>
      </c>
      <c r="AP960" s="71">
        <f t="shared" si="531"/>
        <v>0</v>
      </c>
      <c r="AQ960" s="72">
        <f>IF(OR($H960="GIROSSOL II",$H960="GIROSSOL II e III"),INDEX('Resumo Operacional'!$A$1:$P$1103,MATCH("Energia Injetada prevista total Fatura da Usina (TUSD)",'Resumo Operacional'!$B$1:$B$1103,0),MATCH('Detalhe Por UC'!$R960,'Resumo Operacional'!$A$1:$P$1,0))*$S960,INDEX('Resumo Operacional'!$A$1:$P$1103,53,MATCH('Detalhe Por UC'!$R960,'Resumo Operacional'!$A$1:$P$1,0))*$S960)</f>
        <v>0</v>
      </c>
      <c r="AR960" s="71">
        <f t="shared" si="532"/>
        <v>0</v>
      </c>
      <c r="AS960" s="73">
        <f t="shared" si="533"/>
        <v>523.1</v>
      </c>
      <c r="AT960" s="74">
        <f t="shared" si="534"/>
        <v>523.1</v>
      </c>
      <c r="AU960" s="74" t="str">
        <f t="shared" si="535"/>
        <v/>
      </c>
      <c r="AV960" s="74">
        <f t="shared" si="536"/>
        <v>0</v>
      </c>
      <c r="AW960" s="74">
        <f t="shared" si="537"/>
        <v>0</v>
      </c>
      <c r="AX960" s="74">
        <f t="shared" si="538"/>
        <v>0</v>
      </c>
      <c r="AY960" s="74" t="str">
        <f t="shared" si="539"/>
        <v/>
      </c>
      <c r="AZ960" s="129">
        <v>0</v>
      </c>
      <c r="BA960" s="117">
        <v>9.9999999999999995E-8</v>
      </c>
      <c r="BC960" s="73" t="str">
        <f t="shared" si="540"/>
        <v/>
      </c>
      <c r="BD960" s="73">
        <f t="shared" si="541"/>
        <v>523.1</v>
      </c>
      <c r="BE960" s="73">
        <f t="shared" si="542"/>
        <v>523.1</v>
      </c>
      <c r="BF960" s="77">
        <f t="shared" si="543"/>
        <v>0</v>
      </c>
      <c r="BG960" s="77">
        <f t="shared" si="544"/>
        <v>0</v>
      </c>
      <c r="BH960" s="77">
        <f t="shared" si="545"/>
        <v>0</v>
      </c>
      <c r="BI960" s="78" t="str">
        <f t="shared" si="546"/>
        <v/>
      </c>
      <c r="BJ960" s="79">
        <f t="shared" si="547"/>
        <v>0</v>
      </c>
      <c r="BK960" s="80" t="str">
        <f t="shared" si="548"/>
        <v/>
      </c>
      <c r="BL960" s="80" t="str">
        <f t="shared" si="549"/>
        <v/>
      </c>
      <c r="BM960" s="79" t="str">
        <f t="shared" si="550"/>
        <v/>
      </c>
      <c r="BN960" s="81" t="str">
        <f t="shared" si="551"/>
        <v/>
      </c>
      <c r="BO960" s="82" t="str">
        <f t="shared" si="552"/>
        <v/>
      </c>
      <c r="BP960" s="81" t="str">
        <f t="shared" si="553"/>
        <v/>
      </c>
      <c r="BQ960" s="81" t="str">
        <f t="shared" si="554"/>
        <v/>
      </c>
      <c r="BR960" s="81" t="str">
        <f t="shared" si="555"/>
        <v/>
      </c>
      <c r="BS960" s="82">
        <f t="shared" si="556"/>
        <v>0</v>
      </c>
      <c r="BT960" s="82" t="str">
        <f t="shared" si="557"/>
        <v/>
      </c>
      <c r="BU960" s="82">
        <f t="shared" si="558"/>
        <v>0</v>
      </c>
      <c r="BW960" s="82">
        <f>IFERROR(INDEX('Infos Clientes'!$T:$T,MATCH('Detalhe Por UC'!$C960,'Infos Clientes'!B:B,0)),"")</f>
        <v>336.36363636363637</v>
      </c>
      <c r="BX960" s="83">
        <f t="shared" si="559"/>
        <v>0</v>
      </c>
      <c r="BY960" s="84" t="str">
        <f t="shared" si="560"/>
        <v/>
      </c>
      <c r="BZ960" s="85">
        <f>IF(_xlfn.MINIFS('Detalhe Por UC'!R:R,'Detalhe Por UC'!C:C,C960,'Detalhe Por UC'!AD:AD,"&gt;"&amp;0)=0,"",_xlfn.MINIFS('Detalhe Por UC'!R:R,'Detalhe Por UC'!C:C,C960,'Detalhe Por UC'!AD:AD,"&gt;"&amp;0))</f>
        <v>45658</v>
      </c>
      <c r="CA960" s="114" t="str">
        <f ca="1">IF(OR(S960&gt;0,AD960&gt;0),IFERROR(
SUMIFS(INDIRECT("'Infos Clientes'!$W"&amp;INDEX('Infos Clientes'!$C:$C,MATCH(C960,'Infos Clientes'!$H:$H,0))&amp;":$CZ"&amp;INDEX('Infos Clientes'!$C:$C,MATCH(C960,'Infos Clientes'!$H:$H,0))),'Infos Clientes'!$W$2:$CZ$2,"&gt;"&amp;$R960-365,'Infos Clientes'!$W$2:$CZ$2,"&lt;="&amp;$R960)/
COUNTIFS(INDIRECT("'Infos Clientes'!$W"&amp;INDEX('Infos Clientes'!$C:$C,MATCH(C960,'Infos Clientes'!$H:$H,0))&amp;":$CZ"&amp;INDEX('Infos Clientes'!$C:$C,MATCH(C960,'Infos Clientes'!$H:$H,0))),"&gt;="&amp;0,'Infos Clientes'!$W$2:$CZ$2,"&gt;"&amp;$R960-365,'Infos Clientes'!$W$2:$CZ$2,"&lt;="&amp;$R960),""),"")</f>
        <v/>
      </c>
      <c r="CB960" s="87">
        <f>VLOOKUP(C960,'Infos Clientes'!B:L,11,0)</f>
        <v>0</v>
      </c>
      <c r="CC960" s="88" t="str">
        <f t="shared" si="561"/>
        <v>A Unidade Consumidora 10/40190-1 economizou R$0 na fatura referente à out/2025  consumindo 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0" s="115">
        <f t="shared" si="562"/>
        <v>-523.1</v>
      </c>
    </row>
    <row r="961" spans="1:84" ht="16.2" hidden="1" customHeight="1" x14ac:dyDescent="0.3">
      <c r="A961" s="105" t="str">
        <f>INDEX('Infos Clientes'!$D:$D,MATCH('Detalhe Por UC'!C961,'Infos Clientes'!B:B,0))</f>
        <v>IGREJA DO EVANGELHO QUADRANGULAR</v>
      </c>
      <c r="B961" s="106" t="str">
        <f>INDEX('Infos Clientes'!$F:$F,MATCH('Detalhe Por UC'!C961,'Infos Clientes'!B:B,0))</f>
        <v>62.955.505/0172-13</v>
      </c>
      <c r="C961" s="107" t="s">
        <v>246</v>
      </c>
      <c r="D961" s="31" t="s">
        <v>351</v>
      </c>
      <c r="E961" s="31" t="s">
        <v>352</v>
      </c>
      <c r="F961" s="56" t="str">
        <f>INDEX('Infos Clientes'!$I:$I,MATCH('Detalhe Por UC'!C961,'Infos Clientes'!B:B,0))</f>
        <v>BT</v>
      </c>
      <c r="G961" s="56">
        <f>INDEX('Infos Clientes'!$J:$J,MATCH('Detalhe Por UC'!C961,'Infos Clientes'!B:B,0))</f>
        <v>0</v>
      </c>
      <c r="H961" s="156" t="s">
        <v>138</v>
      </c>
      <c r="I961" s="58">
        <f>IFERROR(VLOOKUP(C961,'Infos Clientes'!B:E,4,),"")</f>
        <v>0</v>
      </c>
      <c r="J961" s="152">
        <v>0.2796792317717392</v>
      </c>
      <c r="K961" s="79">
        <f>INDEX('Resumo Operacional'!$A$1:$P$151,MATCH("Desconto percentual Ucs",'Resumo Operacional'!$B$1:$B$151,0),MATCH('Detalhe Por UC'!$R961,'Resumo Operacional'!$A$1:$P$1,0))</f>
        <v>0.26414553913427991</v>
      </c>
      <c r="M961" s="56"/>
      <c r="N961" s="56"/>
      <c r="O961" s="56"/>
      <c r="P961" s="56"/>
      <c r="Q961" s="61"/>
      <c r="R961" s="111">
        <v>45931</v>
      </c>
      <c r="S961" s="151">
        <v>0</v>
      </c>
      <c r="T961" s="113" t="str">
        <f>IF($H961="GIROSSOL II",AP961/INDEX('Resumo Operacional'!$A$1:$P$1103,17,MATCH('Detalhe Por UC'!$R961,'Resumo Operacional'!$A$1:$P$1,0)),
IF($H961="GIROSSOL II e III",AP961/INDEX('Resumo Operacional'!$A$1:$P$1103,17,MATCH('Detalhe Por UC'!$R961,'Resumo Operacional'!$A$1:$P$1,0)),
""))</f>
        <v/>
      </c>
      <c r="U961" s="113">
        <f>IF($H961="GIROSSOL III",AP961/INDEX('Resumo Operacional'!$A$1:$P$1103,53,MATCH('Detalhe Por UC'!$R961,'Resumo Operacional'!$A$1:$P$1,0)),
IF($H961="GIROSSOL II e III",AP961/INDEX('Resumo Operacional'!$A$1:$P$1103,53,MATCH('Detalhe Por UC'!$R961,'Resumo Operacional'!$A$1:$P$1,0)),
""))</f>
        <v>0</v>
      </c>
      <c r="Z961" s="18"/>
      <c r="AB961" s="18"/>
      <c r="AD961" s="143"/>
      <c r="AF961" s="18"/>
      <c r="AN961" s="71" t="str">
        <f t="shared" si="529"/>
        <v/>
      </c>
      <c r="AO961" s="71" t="str">
        <f t="shared" si="530"/>
        <v/>
      </c>
      <c r="AP961" s="71">
        <f t="shared" si="531"/>
        <v>0</v>
      </c>
      <c r="AQ961" s="72">
        <f>IF(OR($H961="GIROSSOL II",$H961="GIROSSOL II e III"),INDEX('Resumo Operacional'!$A$1:$P$1103,MATCH("Energia Injetada prevista total Fatura da Usina (TUSD)",'Resumo Operacional'!$B$1:$B$1103,0),MATCH('Detalhe Por UC'!$R961,'Resumo Operacional'!$A$1:$P$1,0))*$S961,INDEX('Resumo Operacional'!$A$1:$P$1103,53,MATCH('Detalhe Por UC'!$R961,'Resumo Operacional'!$A$1:$P$1,0))*$S961)</f>
        <v>0</v>
      </c>
      <c r="AR961" s="71" t="str">
        <f t="shared" si="532"/>
        <v/>
      </c>
      <c r="AS961" s="73">
        <f t="shared" si="533"/>
        <v>0</v>
      </c>
      <c r="AT961" s="74">
        <f t="shared" si="534"/>
        <v>0</v>
      </c>
      <c r="AU961" s="74" t="str">
        <f t="shared" si="535"/>
        <v/>
      </c>
      <c r="AV961" s="74">
        <f t="shared" si="536"/>
        <v>0</v>
      </c>
      <c r="AW961" s="74">
        <f t="shared" si="537"/>
        <v>0</v>
      </c>
      <c r="AX961" s="74">
        <f t="shared" si="538"/>
        <v>0</v>
      </c>
      <c r="AY961" s="74" t="str">
        <f t="shared" si="539"/>
        <v/>
      </c>
      <c r="AZ961" s="129">
        <v>0</v>
      </c>
      <c r="BA961" s="117">
        <v>9.9999999999999995E-8</v>
      </c>
      <c r="BC961" s="73" t="str">
        <f t="shared" si="540"/>
        <v/>
      </c>
      <c r="BD961" s="73">
        <f t="shared" si="541"/>
        <v>0</v>
      </c>
      <c r="BE961" s="73">
        <f t="shared" si="542"/>
        <v>0</v>
      </c>
      <c r="BF961" s="77">
        <f t="shared" si="543"/>
        <v>0</v>
      </c>
      <c r="BG961" s="77">
        <f t="shared" si="544"/>
        <v>0</v>
      </c>
      <c r="BH961" s="77">
        <f t="shared" si="545"/>
        <v>0</v>
      </c>
      <c r="BI961" s="78" t="str">
        <f t="shared" si="546"/>
        <v/>
      </c>
      <c r="BJ961" s="79" t="str">
        <f t="shared" si="547"/>
        <v/>
      </c>
      <c r="BK961" s="80" t="str">
        <f t="shared" si="548"/>
        <v/>
      </c>
      <c r="BL961" s="80" t="str">
        <f t="shared" si="549"/>
        <v/>
      </c>
      <c r="BM961" s="79" t="str">
        <f t="shared" si="550"/>
        <v/>
      </c>
      <c r="BN961" s="81" t="str">
        <f t="shared" si="551"/>
        <v/>
      </c>
      <c r="BO961" s="82" t="str">
        <f t="shared" si="552"/>
        <v/>
      </c>
      <c r="BP961" s="81" t="str">
        <f t="shared" si="553"/>
        <v/>
      </c>
      <c r="BQ961" s="81" t="str">
        <f t="shared" si="554"/>
        <v/>
      </c>
      <c r="BR961" s="81" t="str">
        <f t="shared" si="555"/>
        <v/>
      </c>
      <c r="BS961" s="82">
        <f t="shared" si="556"/>
        <v>0</v>
      </c>
      <c r="BT961" s="82" t="str">
        <f t="shared" si="557"/>
        <v/>
      </c>
      <c r="BU961" s="82">
        <f t="shared" si="558"/>
        <v>0</v>
      </c>
      <c r="BW961" s="82">
        <f>IFERROR(INDEX('Infos Clientes'!$T:$T,MATCH('Detalhe Por UC'!$C961,'Infos Clientes'!B:B,0)),"")</f>
        <v>0</v>
      </c>
      <c r="BX961" s="83">
        <f t="shared" si="559"/>
        <v>0</v>
      </c>
      <c r="BY961" s="84" t="str">
        <f t="shared" si="560"/>
        <v/>
      </c>
      <c r="BZ961" s="85" t="str">
        <f>IF(_xlfn.MINIFS('Detalhe Por UC'!R:R,'Detalhe Por UC'!C:C,C961,'Detalhe Por UC'!AD:AD,"&gt;"&amp;0)=0,"",_xlfn.MINIFS('Detalhe Por UC'!R:R,'Detalhe Por UC'!C:C,C961,'Detalhe Por UC'!AD:AD,"&gt;"&amp;0))</f>
        <v/>
      </c>
      <c r="CA961" s="114" t="str">
        <f ca="1">IF(OR(S961&gt;0,AD961&gt;0),IFERROR(
SUMIFS(INDIRECT("'Infos Clientes'!$W"&amp;INDEX('Infos Clientes'!$C:$C,MATCH(C961,'Infos Clientes'!$H:$H,0))&amp;":$CZ"&amp;INDEX('Infos Clientes'!$C:$C,MATCH(C961,'Infos Clientes'!$H:$H,0))),'Infos Clientes'!$W$2:$CZ$2,"&gt;"&amp;$R961-365,'Infos Clientes'!$W$2:$CZ$2,"&lt;="&amp;$R961)/
COUNTIFS(INDIRECT("'Infos Clientes'!$W"&amp;INDEX('Infos Clientes'!$C:$C,MATCH(C961,'Infos Clientes'!$H:$H,0))&amp;":$CZ"&amp;INDEX('Infos Clientes'!$C:$C,MATCH(C961,'Infos Clientes'!$H:$H,0))),"&gt;="&amp;0,'Infos Clientes'!$W$2:$CZ$2,"&gt;"&amp;$R961-365,'Infos Clientes'!$W$2:$CZ$2,"&lt;="&amp;$R961),""),"")</f>
        <v/>
      </c>
      <c r="CB961" s="87">
        <f>VLOOKUP(C961,'Infos Clientes'!B:L,11,0)</f>
        <v>0</v>
      </c>
      <c r="CC961" s="88" t="str">
        <f t="shared" si="561"/>
        <v>A Unidade Consumidora 10/2338577-6 economizou R$0 na fatura referente à out/2025  consumindo 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1" s="115">
        <f t="shared" si="562"/>
        <v>0</v>
      </c>
    </row>
    <row r="962" spans="1:84" ht="16.2" hidden="1" customHeight="1" x14ac:dyDescent="0.3">
      <c r="A962" s="105" t="str">
        <f>INDEX('Infos Clientes'!$D:$D,MATCH('Detalhe Por UC'!C962,'Infos Clientes'!B:B,0))</f>
        <v>IGREJA DO EVANGELHO QUADRANGULAR</v>
      </c>
      <c r="B962" s="106" t="str">
        <f>INDEX('Infos Clientes'!$F:$F,MATCH('Detalhe Por UC'!C962,'Infos Clientes'!B:B,0))</f>
        <v>62.955.505/1893-40</v>
      </c>
      <c r="C962" s="107" t="s">
        <v>214</v>
      </c>
      <c r="D962" s="31" t="s">
        <v>351</v>
      </c>
      <c r="E962" s="31" t="s">
        <v>352</v>
      </c>
      <c r="F962" s="56" t="str">
        <f>INDEX('Infos Clientes'!$I:$I,MATCH('Detalhe Por UC'!C962,'Infos Clientes'!B:B,0))</f>
        <v>BT</v>
      </c>
      <c r="G962" s="56" t="str">
        <f>INDEX('Infos Clientes'!$J:$J,MATCH('Detalhe Por UC'!C962,'Infos Clientes'!B:B,0))</f>
        <v>trifasico</v>
      </c>
      <c r="H962" s="156" t="s">
        <v>138</v>
      </c>
      <c r="I962" s="58">
        <f>IFERROR(VLOOKUP(C962,'Infos Clientes'!B:E,4,),"")</f>
        <v>349</v>
      </c>
      <c r="J962" s="152">
        <v>0.2796792317717392</v>
      </c>
      <c r="K962" s="79">
        <f>INDEX('Resumo Operacional'!$A$1:$P$151,MATCH("Desconto percentual Ucs",'Resumo Operacional'!$B$1:$B$151,0),MATCH('Detalhe Por UC'!$R962,'Resumo Operacional'!$A$1:$P$1,0))</f>
        <v>0.26414553913427991</v>
      </c>
      <c r="M962" s="56"/>
      <c r="N962" s="56"/>
      <c r="O962" s="56"/>
      <c r="P962" s="56"/>
      <c r="Q962" s="61"/>
      <c r="R962" s="111">
        <v>45931</v>
      </c>
      <c r="S962" s="151">
        <v>0</v>
      </c>
      <c r="T962" s="113" t="str">
        <f>IF($H962="GIROSSOL II",AP962/INDEX('Resumo Operacional'!$A$1:$P$1103,17,MATCH('Detalhe Por UC'!$R962,'Resumo Operacional'!$A$1:$P$1,0)),
IF($H962="GIROSSOL II e III",AP962/INDEX('Resumo Operacional'!$A$1:$P$1103,17,MATCH('Detalhe Por UC'!$R962,'Resumo Operacional'!$A$1:$P$1,0)),
""))</f>
        <v/>
      </c>
      <c r="U962" s="113">
        <f>IF($H962="GIROSSOL III",AP962/INDEX('Resumo Operacional'!$A$1:$P$1103,53,MATCH('Detalhe Por UC'!$R962,'Resumo Operacional'!$A$1:$P$1,0)),
IF($H962="GIROSSOL II e III",AP962/INDEX('Resumo Operacional'!$A$1:$P$1103,53,MATCH('Detalhe Por UC'!$R962,'Resumo Operacional'!$A$1:$P$1,0)),
""))</f>
        <v>0</v>
      </c>
      <c r="Z962" s="18"/>
      <c r="AB962" s="18"/>
      <c r="AD962" s="143"/>
      <c r="AF962" s="18"/>
      <c r="AN962" s="71" t="str">
        <f t="shared" si="529"/>
        <v/>
      </c>
      <c r="AO962" s="71" t="str">
        <f t="shared" si="530"/>
        <v/>
      </c>
      <c r="AP962" s="71">
        <f t="shared" si="531"/>
        <v>0</v>
      </c>
      <c r="AQ962" s="72">
        <f>IF(OR($H962="GIROSSOL II",$H962="GIROSSOL II e III"),INDEX('Resumo Operacional'!$A$1:$P$1103,MATCH("Energia Injetada prevista total Fatura da Usina (TUSD)",'Resumo Operacional'!$B$1:$B$1103,0),MATCH('Detalhe Por UC'!$R962,'Resumo Operacional'!$A$1:$P$1,0))*$S962,INDEX('Resumo Operacional'!$A$1:$P$1103,53,MATCH('Detalhe Por UC'!$R962,'Resumo Operacional'!$A$1:$P$1,0))*$S962)</f>
        <v>0</v>
      </c>
      <c r="AR962" s="71" t="str">
        <f t="shared" si="532"/>
        <v/>
      </c>
      <c r="AS962" s="73">
        <f t="shared" si="533"/>
        <v>0</v>
      </c>
      <c r="AT962" s="74">
        <f t="shared" si="534"/>
        <v>0</v>
      </c>
      <c r="AU962" s="74" t="str">
        <f t="shared" si="535"/>
        <v/>
      </c>
      <c r="AV962" s="74">
        <f t="shared" si="536"/>
        <v>0</v>
      </c>
      <c r="AW962" s="74">
        <f t="shared" si="537"/>
        <v>-1E-10</v>
      </c>
      <c r="AX962" s="74">
        <f t="shared" si="538"/>
        <v>-1E-10</v>
      </c>
      <c r="AY962" s="74">
        <f t="shared" si="539"/>
        <v>-1E-10</v>
      </c>
      <c r="AZ962" s="129">
        <v>0</v>
      </c>
      <c r="BA962" s="117">
        <v>9.9999999999999995E-8</v>
      </c>
      <c r="BC962" s="73" t="str">
        <f t="shared" si="540"/>
        <v/>
      </c>
      <c r="BD962" s="73">
        <f t="shared" si="541"/>
        <v>0</v>
      </c>
      <c r="BE962" s="73">
        <f t="shared" si="542"/>
        <v>0</v>
      </c>
      <c r="BF962" s="77">
        <f t="shared" si="543"/>
        <v>0</v>
      </c>
      <c r="BG962" s="77">
        <f t="shared" si="544"/>
        <v>0</v>
      </c>
      <c r="BH962" s="77">
        <f t="shared" si="545"/>
        <v>0</v>
      </c>
      <c r="BI962" s="78" t="str">
        <f t="shared" si="546"/>
        <v/>
      </c>
      <c r="BJ962" s="79" t="str">
        <f t="shared" si="547"/>
        <v/>
      </c>
      <c r="BK962" s="80">
        <f t="shared" si="548"/>
        <v>-1E-10</v>
      </c>
      <c r="BL962" s="80">
        <f t="shared" si="549"/>
        <v>1E-10</v>
      </c>
      <c r="BM962" s="79" t="str">
        <f t="shared" si="550"/>
        <v/>
      </c>
      <c r="BN962" s="81" t="str">
        <f t="shared" si="551"/>
        <v/>
      </c>
      <c r="BO962" s="82" t="str">
        <f t="shared" si="552"/>
        <v/>
      </c>
      <c r="BP962" s="81" t="str">
        <f t="shared" si="553"/>
        <v/>
      </c>
      <c r="BQ962" s="81" t="str">
        <f t="shared" si="554"/>
        <v/>
      </c>
      <c r="BR962" s="81" t="str">
        <f t="shared" si="555"/>
        <v/>
      </c>
      <c r="BS962" s="82">
        <f t="shared" si="556"/>
        <v>0</v>
      </c>
      <c r="BT962" s="82" t="str">
        <f t="shared" si="557"/>
        <v/>
      </c>
      <c r="BU962" s="82">
        <f t="shared" si="558"/>
        <v>0</v>
      </c>
      <c r="BW962" s="82">
        <f>IFERROR(INDEX('Infos Clientes'!$T:$T,MATCH('Detalhe Por UC'!$C962,'Infos Clientes'!B:B,0)),"")</f>
        <v>254.09090909090909</v>
      </c>
      <c r="BX962" s="83">
        <f t="shared" si="559"/>
        <v>0</v>
      </c>
      <c r="BY962" s="84" t="str">
        <f t="shared" si="560"/>
        <v/>
      </c>
      <c r="BZ962" s="85">
        <f>IF(_xlfn.MINIFS('Detalhe Por UC'!R:R,'Detalhe Por UC'!C:C,C962,'Detalhe Por UC'!AD:AD,"&gt;"&amp;0)=0,"",_xlfn.MINIFS('Detalhe Por UC'!R:R,'Detalhe Por UC'!C:C,C962,'Detalhe Por UC'!AD:AD,"&gt;"&amp;0))</f>
        <v>45658</v>
      </c>
      <c r="CA962" s="114" t="str">
        <f ca="1">IF(OR(S962&gt;0,AD962&gt;0),IFERROR(
SUMIFS(INDIRECT("'Infos Clientes'!$W"&amp;INDEX('Infos Clientes'!$C:$C,MATCH(C962,'Infos Clientes'!$H:$H,0))&amp;":$CZ"&amp;INDEX('Infos Clientes'!$C:$C,MATCH(C962,'Infos Clientes'!$H:$H,0))),'Infos Clientes'!$W$2:$CZ$2,"&gt;"&amp;$R962-365,'Infos Clientes'!$W$2:$CZ$2,"&lt;="&amp;$R962)/
COUNTIFS(INDIRECT("'Infos Clientes'!$W"&amp;INDEX('Infos Clientes'!$C:$C,MATCH(C962,'Infos Clientes'!$H:$H,0))&amp;":$CZ"&amp;INDEX('Infos Clientes'!$C:$C,MATCH(C962,'Infos Clientes'!$H:$H,0))),"&gt;="&amp;0,'Infos Clientes'!$W$2:$CZ$2,"&gt;"&amp;$R962-365,'Infos Clientes'!$W$2:$CZ$2,"&lt;="&amp;$R962),""),"")</f>
        <v/>
      </c>
      <c r="CB962" s="87">
        <f>VLOOKUP(C962,'Infos Clientes'!B:L,11,0)</f>
        <v>0</v>
      </c>
      <c r="CC962" s="88" t="str">
        <f t="shared" si="561"/>
        <v>A Unidade Consumidora 10/512142-1 economizou R$0 na fatura referente à out/2025  consumindo 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2" s="115">
        <f t="shared" si="562"/>
        <v>0</v>
      </c>
    </row>
    <row r="963" spans="1:84" ht="16.2" hidden="1" customHeight="1" x14ac:dyDescent="0.3">
      <c r="A963" s="105" t="str">
        <f>INDEX('Infos Clientes'!$D:$D,MATCH('Detalhe Por UC'!C963,'Infos Clientes'!B:B,0))</f>
        <v>IGREJA DO EVANGELHO QUADRANGULAR</v>
      </c>
      <c r="B963" s="106" t="str">
        <f>INDEX('Infos Clientes'!$F:$F,MATCH('Detalhe Por UC'!C963,'Infos Clientes'!B:B,0))</f>
        <v>62.955.505/1355-00</v>
      </c>
      <c r="C963" s="107" t="s">
        <v>245</v>
      </c>
      <c r="D963" s="31" t="s">
        <v>351</v>
      </c>
      <c r="E963" s="31" t="s">
        <v>352</v>
      </c>
      <c r="F963" s="56" t="str">
        <f>INDEX('Infos Clientes'!$I:$I,MATCH('Detalhe Por UC'!C963,'Infos Clientes'!B:B,0))</f>
        <v>BT</v>
      </c>
      <c r="G963" s="56">
        <f>INDEX('Infos Clientes'!$J:$J,MATCH('Detalhe Por UC'!C963,'Infos Clientes'!B:B,0))</f>
        <v>0</v>
      </c>
      <c r="H963" s="156" t="s">
        <v>138</v>
      </c>
      <c r="I963" s="58">
        <f>IFERROR(VLOOKUP(C963,'Infos Clientes'!B:E,4,),"")</f>
        <v>0</v>
      </c>
      <c r="J963" s="152">
        <v>0.2796792317717392</v>
      </c>
      <c r="K963" s="79">
        <f>INDEX('Resumo Operacional'!$A$1:$P$151,MATCH("Desconto percentual Ucs",'Resumo Operacional'!$B$1:$B$151,0),MATCH('Detalhe Por UC'!$R963,'Resumo Operacional'!$A$1:$P$1,0))</f>
        <v>0.26414553913427991</v>
      </c>
      <c r="M963" s="56"/>
      <c r="N963" s="56"/>
      <c r="O963" s="56"/>
      <c r="P963" s="56"/>
      <c r="Q963" s="61"/>
      <c r="R963" s="111">
        <v>45931</v>
      </c>
      <c r="S963" s="151">
        <v>0</v>
      </c>
      <c r="T963" s="113" t="str">
        <f>IF($H963="GIROSSOL II",AP963/INDEX('Resumo Operacional'!$A$1:$P$1103,17,MATCH('Detalhe Por UC'!$R963,'Resumo Operacional'!$A$1:$P$1,0)),
IF($H963="GIROSSOL II e III",AP963/INDEX('Resumo Operacional'!$A$1:$P$1103,17,MATCH('Detalhe Por UC'!$R963,'Resumo Operacional'!$A$1:$P$1,0)),
""))</f>
        <v/>
      </c>
      <c r="U963" s="113">
        <f>IF($H963="GIROSSOL III",AP963/INDEX('Resumo Operacional'!$A$1:$P$1103,53,MATCH('Detalhe Por UC'!$R963,'Resumo Operacional'!$A$1:$P$1,0)),
IF($H963="GIROSSOL II e III",AP963/INDEX('Resumo Operacional'!$A$1:$P$1103,53,MATCH('Detalhe Por UC'!$R963,'Resumo Operacional'!$A$1:$P$1,0)),
""))</f>
        <v>0</v>
      </c>
      <c r="Z963" s="18"/>
      <c r="AB963" s="18"/>
      <c r="AD963" s="143"/>
      <c r="AF963" s="18"/>
      <c r="AN963" s="71" t="str">
        <f t="shared" si="529"/>
        <v/>
      </c>
      <c r="AO963" s="71" t="str">
        <f t="shared" si="530"/>
        <v/>
      </c>
      <c r="AP963" s="71">
        <f t="shared" si="531"/>
        <v>0</v>
      </c>
      <c r="AQ963" s="72">
        <f>IF(OR($H963="GIROSSOL II",$H963="GIROSSOL II e III"),INDEX('Resumo Operacional'!$A$1:$P$1103,MATCH("Energia Injetada prevista total Fatura da Usina (TUSD)",'Resumo Operacional'!$B$1:$B$1103,0),MATCH('Detalhe Por UC'!$R963,'Resumo Operacional'!$A$1:$P$1,0))*$S963,INDEX('Resumo Operacional'!$A$1:$P$1103,53,MATCH('Detalhe Por UC'!$R963,'Resumo Operacional'!$A$1:$P$1,0))*$S963)</f>
        <v>0</v>
      </c>
      <c r="AR963" s="71" t="str">
        <f t="shared" si="532"/>
        <v/>
      </c>
      <c r="AS963" s="73">
        <f t="shared" si="533"/>
        <v>0</v>
      </c>
      <c r="AT963" s="74">
        <f t="shared" si="534"/>
        <v>0</v>
      </c>
      <c r="AU963" s="74" t="str">
        <f t="shared" si="535"/>
        <v/>
      </c>
      <c r="AV963" s="74">
        <f t="shared" si="536"/>
        <v>0</v>
      </c>
      <c r="AW963" s="74">
        <f t="shared" si="537"/>
        <v>0</v>
      </c>
      <c r="AX963" s="74">
        <f t="shared" si="538"/>
        <v>0</v>
      </c>
      <c r="AY963" s="74" t="str">
        <f t="shared" si="539"/>
        <v/>
      </c>
      <c r="AZ963" s="129">
        <v>0</v>
      </c>
      <c r="BA963" s="117">
        <v>9.9999999999999995E-8</v>
      </c>
      <c r="BC963" s="73" t="str">
        <f t="shared" si="540"/>
        <v/>
      </c>
      <c r="BD963" s="73">
        <f t="shared" si="541"/>
        <v>0</v>
      </c>
      <c r="BE963" s="73">
        <f t="shared" si="542"/>
        <v>0</v>
      </c>
      <c r="BF963" s="77">
        <f t="shared" si="543"/>
        <v>0</v>
      </c>
      <c r="BG963" s="77">
        <f t="shared" si="544"/>
        <v>0</v>
      </c>
      <c r="BH963" s="77">
        <f t="shared" si="545"/>
        <v>0</v>
      </c>
      <c r="BI963" s="78" t="str">
        <f t="shared" si="546"/>
        <v/>
      </c>
      <c r="BJ963" s="79" t="str">
        <f t="shared" si="547"/>
        <v/>
      </c>
      <c r="BK963" s="80" t="str">
        <f t="shared" si="548"/>
        <v/>
      </c>
      <c r="BL963" s="80" t="str">
        <f t="shared" si="549"/>
        <v/>
      </c>
      <c r="BM963" s="79" t="str">
        <f t="shared" si="550"/>
        <v/>
      </c>
      <c r="BN963" s="81" t="str">
        <f t="shared" si="551"/>
        <v/>
      </c>
      <c r="BO963" s="82" t="str">
        <f t="shared" si="552"/>
        <v/>
      </c>
      <c r="BP963" s="81" t="str">
        <f t="shared" si="553"/>
        <v/>
      </c>
      <c r="BQ963" s="81" t="str">
        <f t="shared" si="554"/>
        <v/>
      </c>
      <c r="BR963" s="81" t="str">
        <f t="shared" si="555"/>
        <v/>
      </c>
      <c r="BS963" s="82">
        <f t="shared" si="556"/>
        <v>0</v>
      </c>
      <c r="BT963" s="82" t="str">
        <f t="shared" si="557"/>
        <v/>
      </c>
      <c r="BU963" s="82">
        <f t="shared" si="558"/>
        <v>0</v>
      </c>
      <c r="BW963" s="82">
        <f>IFERROR(INDEX('Infos Clientes'!$T:$T,MATCH('Detalhe Por UC'!$C963,'Infos Clientes'!B:B,0)),"")</f>
        <v>0</v>
      </c>
      <c r="BX963" s="83">
        <f t="shared" si="559"/>
        <v>0</v>
      </c>
      <c r="BY963" s="84" t="str">
        <f t="shared" si="560"/>
        <v/>
      </c>
      <c r="BZ963" s="85" t="str">
        <f>IF(_xlfn.MINIFS('Detalhe Por UC'!R:R,'Detalhe Por UC'!C:C,C963,'Detalhe Por UC'!AD:AD,"&gt;"&amp;0)=0,"",_xlfn.MINIFS('Detalhe Por UC'!R:R,'Detalhe Por UC'!C:C,C963,'Detalhe Por UC'!AD:AD,"&gt;"&amp;0))</f>
        <v/>
      </c>
      <c r="CA963" s="114" t="str">
        <f ca="1">IF(OR(S963&gt;0,AD963&gt;0),IFERROR(
SUMIFS(INDIRECT("'Infos Clientes'!$W"&amp;INDEX('Infos Clientes'!$C:$C,MATCH(C963,'Infos Clientes'!$H:$H,0))&amp;":$CZ"&amp;INDEX('Infos Clientes'!$C:$C,MATCH(C963,'Infos Clientes'!$H:$H,0))),'Infos Clientes'!$W$2:$CZ$2,"&gt;"&amp;$R963-365,'Infos Clientes'!$W$2:$CZ$2,"&lt;="&amp;$R963)/
COUNTIFS(INDIRECT("'Infos Clientes'!$W"&amp;INDEX('Infos Clientes'!$C:$C,MATCH(C963,'Infos Clientes'!$H:$H,0))&amp;":$CZ"&amp;INDEX('Infos Clientes'!$C:$C,MATCH(C963,'Infos Clientes'!$H:$H,0))),"&gt;="&amp;0,'Infos Clientes'!$W$2:$CZ$2,"&gt;"&amp;$R963-365,'Infos Clientes'!$W$2:$CZ$2,"&lt;="&amp;$R963),""),"")</f>
        <v/>
      </c>
      <c r="CB963" s="87">
        <f>VLOOKUP(C963,'Infos Clientes'!B:L,11,0)</f>
        <v>0</v>
      </c>
      <c r="CC963" s="88" t="str">
        <f t="shared" si="561"/>
        <v>A Unidade Consumidora 10/2344751-9 economizou R$0 na fatura referente à out/2025  consumindo 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3" s="115">
        <f t="shared" si="562"/>
        <v>0</v>
      </c>
    </row>
    <row r="964" spans="1:84" ht="16.2" hidden="1" customHeight="1" x14ac:dyDescent="0.3">
      <c r="A964" s="105" t="str">
        <f>INDEX('Infos Clientes'!$D:$D,MATCH('Detalhe Por UC'!C964,'Infos Clientes'!B:B,0))</f>
        <v>IGREJA DO EVANGELHO QUADRANGULAR</v>
      </c>
      <c r="B964" s="106" t="str">
        <f>INDEX('Infos Clientes'!$F:$F,MATCH('Detalhe Por UC'!C964,'Infos Clientes'!B:B,0))</f>
        <v>62.955.505/0160-80</v>
      </c>
      <c r="C964" s="107" t="s">
        <v>190</v>
      </c>
      <c r="D964" s="31" t="s">
        <v>351</v>
      </c>
      <c r="E964" s="31" t="s">
        <v>352</v>
      </c>
      <c r="F964" s="56" t="str">
        <f>INDEX('Infos Clientes'!$I:$I,MATCH('Detalhe Por UC'!C964,'Infos Clientes'!B:B,0))</f>
        <v>BT</v>
      </c>
      <c r="G964" s="56" t="str">
        <f>INDEX('Infos Clientes'!$J:$J,MATCH('Detalhe Por UC'!C964,'Infos Clientes'!B:B,0))</f>
        <v>bifasico</v>
      </c>
      <c r="H964" s="156" t="s">
        <v>138</v>
      </c>
      <c r="I964" s="58">
        <f>IFERROR(VLOOKUP(C964,'Infos Clientes'!B:E,4,),"")</f>
        <v>357</v>
      </c>
      <c r="J964" s="152">
        <v>0.2796792317717392</v>
      </c>
      <c r="K964" s="79">
        <f>INDEX('Resumo Operacional'!$A$1:$P$151,MATCH("Desconto percentual Ucs",'Resumo Operacional'!$B$1:$B$151,0),MATCH('Detalhe Por UC'!$R964,'Resumo Operacional'!$A$1:$P$1,0))</f>
        <v>0.26414553913427991</v>
      </c>
      <c r="M964" s="56"/>
      <c r="N964" s="56"/>
      <c r="O964" s="56"/>
      <c r="P964" s="56"/>
      <c r="Q964" s="61"/>
      <c r="R964" s="111">
        <v>45931</v>
      </c>
      <c r="S964" s="151">
        <v>0</v>
      </c>
      <c r="T964" s="113" t="str">
        <f>IF($H964="GIROSSOL II",AP964/INDEX('Resumo Operacional'!$A$1:$P$1103,17,MATCH('Detalhe Por UC'!$R964,'Resumo Operacional'!$A$1:$P$1,0)),
IF($H964="GIROSSOL II e III",AP964/INDEX('Resumo Operacional'!$A$1:$P$1103,17,MATCH('Detalhe Por UC'!$R964,'Resumo Operacional'!$A$1:$P$1,0)),
""))</f>
        <v/>
      </c>
      <c r="U964" s="113">
        <f>IF($H964="GIROSSOL III",AP964/INDEX('Resumo Operacional'!$A$1:$P$1103,53,MATCH('Detalhe Por UC'!$R964,'Resumo Operacional'!$A$1:$P$1,0)),
IF($H964="GIROSSOL II e III",AP964/INDEX('Resumo Operacional'!$A$1:$P$1103,53,MATCH('Detalhe Por UC'!$R964,'Resumo Operacional'!$A$1:$P$1,0)),
""))</f>
        <v>0</v>
      </c>
      <c r="Z964" s="18"/>
      <c r="AB964" s="18"/>
      <c r="AD964" s="143"/>
      <c r="AF964" s="18"/>
      <c r="AN964" s="71" t="str">
        <f t="shared" si="529"/>
        <v/>
      </c>
      <c r="AO964" s="71" t="str">
        <f t="shared" si="530"/>
        <v/>
      </c>
      <c r="AP964" s="71">
        <f t="shared" si="531"/>
        <v>0</v>
      </c>
      <c r="AQ964" s="72">
        <f>IF(OR($H964="GIROSSOL II",$H964="GIROSSOL II e III"),INDEX('Resumo Operacional'!$A$1:$P$1103,MATCH("Energia Injetada prevista total Fatura da Usina (TUSD)",'Resumo Operacional'!$B$1:$B$1103,0),MATCH('Detalhe Por UC'!$R964,'Resumo Operacional'!$A$1:$P$1,0))*$S964,INDEX('Resumo Operacional'!$A$1:$P$1103,53,MATCH('Detalhe Por UC'!$R964,'Resumo Operacional'!$A$1:$P$1,0))*$S964)</f>
        <v>0</v>
      </c>
      <c r="AR964" s="71" t="str">
        <f t="shared" si="532"/>
        <v/>
      </c>
      <c r="AS964" s="73">
        <f t="shared" si="533"/>
        <v>0</v>
      </c>
      <c r="AT964" s="74">
        <f t="shared" si="534"/>
        <v>0</v>
      </c>
      <c r="AU964" s="74" t="str">
        <f t="shared" si="535"/>
        <v/>
      </c>
      <c r="AV964" s="74">
        <f t="shared" si="536"/>
        <v>0</v>
      </c>
      <c r="AW964" s="74">
        <f t="shared" si="537"/>
        <v>-1E-10</v>
      </c>
      <c r="AX964" s="74">
        <f t="shared" si="538"/>
        <v>-1E-10</v>
      </c>
      <c r="AY964" s="74">
        <f t="shared" si="539"/>
        <v>-1E-10</v>
      </c>
      <c r="AZ964" s="129">
        <v>0</v>
      </c>
      <c r="BA964" s="117">
        <v>9.9999999999999995E-8</v>
      </c>
      <c r="BC964" s="73" t="str">
        <f t="shared" si="540"/>
        <v/>
      </c>
      <c r="BD964" s="73">
        <f t="shared" si="541"/>
        <v>0</v>
      </c>
      <c r="BE964" s="73">
        <f t="shared" si="542"/>
        <v>0</v>
      </c>
      <c r="BF964" s="77">
        <f t="shared" si="543"/>
        <v>0</v>
      </c>
      <c r="BG964" s="77">
        <f t="shared" si="544"/>
        <v>0</v>
      </c>
      <c r="BH964" s="77">
        <f t="shared" si="545"/>
        <v>0</v>
      </c>
      <c r="BI964" s="78" t="str">
        <f t="shared" si="546"/>
        <v/>
      </c>
      <c r="BJ964" s="79" t="str">
        <f t="shared" si="547"/>
        <v/>
      </c>
      <c r="BK964" s="80">
        <f t="shared" si="548"/>
        <v>-1E-10</v>
      </c>
      <c r="BL964" s="80">
        <f t="shared" si="549"/>
        <v>1E-10</v>
      </c>
      <c r="BM964" s="79" t="str">
        <f t="shared" si="550"/>
        <v/>
      </c>
      <c r="BN964" s="81" t="str">
        <f t="shared" si="551"/>
        <v/>
      </c>
      <c r="BO964" s="82" t="str">
        <f t="shared" si="552"/>
        <v/>
      </c>
      <c r="BP964" s="81" t="str">
        <f t="shared" si="553"/>
        <v/>
      </c>
      <c r="BQ964" s="81" t="str">
        <f t="shared" si="554"/>
        <v/>
      </c>
      <c r="BR964" s="81" t="str">
        <f t="shared" si="555"/>
        <v/>
      </c>
      <c r="BS964" s="82">
        <f t="shared" si="556"/>
        <v>0</v>
      </c>
      <c r="BT964" s="82" t="str">
        <f t="shared" si="557"/>
        <v/>
      </c>
      <c r="BU964" s="82">
        <f t="shared" si="558"/>
        <v>0</v>
      </c>
      <c r="BW964" s="82">
        <f>IFERROR(INDEX('Infos Clientes'!$T:$T,MATCH('Detalhe Por UC'!$C964,'Infos Clientes'!B:B,0)),"")</f>
        <v>167.54545454545453</v>
      </c>
      <c r="BX964" s="83">
        <f t="shared" si="559"/>
        <v>0</v>
      </c>
      <c r="BY964" s="84" t="str">
        <f t="shared" si="560"/>
        <v/>
      </c>
      <c r="BZ964" s="85">
        <f>IF(_xlfn.MINIFS('Detalhe Por UC'!R:R,'Detalhe Por UC'!C:C,C964,'Detalhe Por UC'!AD:AD,"&gt;"&amp;0)=0,"",_xlfn.MINIFS('Detalhe Por UC'!R:R,'Detalhe Por UC'!C:C,C964,'Detalhe Por UC'!AD:AD,"&gt;"&amp;0))</f>
        <v>45658</v>
      </c>
      <c r="CA964" s="114" t="str">
        <f ca="1">IF(OR(S964&gt;0,AD964&gt;0),IFERROR(
SUMIFS(INDIRECT("'Infos Clientes'!$W"&amp;INDEX('Infos Clientes'!$C:$C,MATCH(C964,'Infos Clientes'!$H:$H,0))&amp;":$CZ"&amp;INDEX('Infos Clientes'!$C:$C,MATCH(C964,'Infos Clientes'!$H:$H,0))),'Infos Clientes'!$W$2:$CZ$2,"&gt;"&amp;$R964-365,'Infos Clientes'!$W$2:$CZ$2,"&lt;="&amp;$R964)/
COUNTIFS(INDIRECT("'Infos Clientes'!$W"&amp;INDEX('Infos Clientes'!$C:$C,MATCH(C964,'Infos Clientes'!$H:$H,0))&amp;":$CZ"&amp;INDEX('Infos Clientes'!$C:$C,MATCH(C964,'Infos Clientes'!$H:$H,0))),"&gt;="&amp;0,'Infos Clientes'!$W$2:$CZ$2,"&gt;"&amp;$R964-365,'Infos Clientes'!$W$2:$CZ$2,"&lt;="&amp;$R964),""),"")</f>
        <v/>
      </c>
      <c r="CB964" s="87">
        <f>VLOOKUP(C964,'Infos Clientes'!B:L,11,0)</f>
        <v>0</v>
      </c>
      <c r="CC964" s="88" t="str">
        <f t="shared" si="561"/>
        <v>A Unidade Consumidora 10/31292-6 economizou R$0 na fatura referente à out/2025  consumindo 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4" s="115">
        <f t="shared" si="562"/>
        <v>0</v>
      </c>
    </row>
    <row r="965" spans="1:84" ht="16.2" hidden="1" customHeight="1" x14ac:dyDescent="0.3">
      <c r="A965" s="105" t="str">
        <f>INDEX('Infos Clientes'!$D:$D,MATCH('Detalhe Por UC'!C965,'Infos Clientes'!B:B,0))</f>
        <v>IGREJA DO EVANGELHO QUADRANGULAR</v>
      </c>
      <c r="B965" s="106" t="str">
        <f>INDEX('Infos Clientes'!$F:$F,MATCH('Detalhe Por UC'!C965,'Infos Clientes'!B:B,0))</f>
        <v>62.955.505/3932-07</v>
      </c>
      <c r="C965" s="31" t="s">
        <v>119</v>
      </c>
      <c r="D965" s="31" t="s">
        <v>351</v>
      </c>
      <c r="E965" s="31" t="s">
        <v>352</v>
      </c>
      <c r="F965" s="56" t="str">
        <f>INDEX('Infos Clientes'!$I:$I,MATCH('Detalhe Por UC'!C965,'Infos Clientes'!B:B,0))</f>
        <v>BT</v>
      </c>
      <c r="G965" s="56" t="str">
        <f>INDEX('Infos Clientes'!$J:$J,MATCH('Detalhe Por UC'!C965,'Infos Clientes'!B:B,0))</f>
        <v>trifasico</v>
      </c>
      <c r="H965" s="156" t="s">
        <v>24</v>
      </c>
      <c r="I965" s="58">
        <f>IFERROR(VLOOKUP(C965,'Infos Clientes'!B:E,4,),"")</f>
        <v>302</v>
      </c>
      <c r="J965" s="152">
        <v>0.2796792317717392</v>
      </c>
      <c r="K965" s="79">
        <f>INDEX('Resumo Operacional'!$A$1:$P$151,MATCH("Desconto percentual Ucs",'Resumo Operacional'!$B$1:$B$151,0),MATCH('Detalhe Por UC'!$R965,'Resumo Operacional'!$A$1:$P$1,0))</f>
        <v>0.26414553913427991</v>
      </c>
      <c r="M965" s="56"/>
      <c r="N965" s="56"/>
      <c r="O965" s="56"/>
      <c r="P965" s="56"/>
      <c r="Q965" s="61"/>
      <c r="R965" s="111">
        <v>45931</v>
      </c>
      <c r="S965" s="152">
        <v>0.1326</v>
      </c>
      <c r="T965" s="113">
        <f>IF($H965="GIROSSOL II",AP965/INDEX('Resumo Operacional'!$A$1:$P$1103,17,MATCH('Detalhe Por UC'!$R965,'Resumo Operacional'!$A$1:$P$1,0)),
IF($H965="GIROSSOL II e III",AP965/INDEX('Resumo Operacional'!$A$1:$P$1103,17,MATCH('Detalhe Por UC'!$R965,'Resumo Operacional'!$A$1:$P$1,0)),
""))</f>
        <v>0.12222892474739858</v>
      </c>
      <c r="U965" s="113" t="str">
        <f>IF($H965="GIROSSOL III",AP965/INDEX('Resumo Operacional'!$A$1:$P$1103,53,MATCH('Detalhe Por UC'!$R965,'Resumo Operacional'!$A$1:$P$1,0)),
IF($H965="GIROSSOL II e III",AP965/INDEX('Resumo Operacional'!$A$1:$P$1103,53,MATCH('Detalhe Por UC'!$R965,'Resumo Operacional'!$A$1:$P$1,0)),
""))</f>
        <v/>
      </c>
      <c r="X965">
        <v>1.2269955625839724</v>
      </c>
      <c r="Z965" s="54">
        <v>1.22699329673427</v>
      </c>
      <c r="AB965" s="18">
        <v>2001.82</v>
      </c>
      <c r="AD965" s="143">
        <v>1901</v>
      </c>
      <c r="AF965" s="18">
        <v>2442</v>
      </c>
      <c r="AG965">
        <v>0</v>
      </c>
      <c r="AH965">
        <v>259.04000000000002</v>
      </c>
      <c r="AL965" s="43"/>
      <c r="AN965" s="71">
        <f t="shared" si="529"/>
        <v>-280</v>
      </c>
      <c r="AO965" s="71">
        <f t="shared" si="530"/>
        <v>0</v>
      </c>
      <c r="AP965" s="71">
        <f t="shared" si="531"/>
        <v>1621</v>
      </c>
      <c r="AQ965" s="72">
        <f>IF(OR($H965="GIROSSOL II",$H965="GIROSSOL II e III"),INDEX('Resumo Operacional'!$A$1:$P$1103,MATCH("Energia Injetada prevista total Fatura da Usina (TUSD)",'Resumo Operacional'!$B$1:$B$1103,0),MATCH('Detalhe Por UC'!$R965,'Resumo Operacional'!$A$1:$P$1,0))*$S965,INDEX('Resumo Operacional'!$A$1:$P$1103,53,MATCH('Detalhe Por UC'!$R965,'Resumo Operacional'!$A$1:$P$1,0))*$S965)</f>
        <v>1758.5411999999999</v>
      </c>
      <c r="AR965" s="71">
        <f t="shared" si="532"/>
        <v>-137.54119999999989</v>
      </c>
      <c r="AS965" s="73">
        <f t="shared" si="533"/>
        <v>382.75000000000006</v>
      </c>
      <c r="AT965" s="74">
        <f t="shared" si="534"/>
        <v>382.75000000000006</v>
      </c>
      <c r="AU965" s="74">
        <f t="shared" si="535"/>
        <v>1.2269910308845677</v>
      </c>
      <c r="AV965" s="74">
        <f t="shared" si="536"/>
        <v>1680.1584615717707</v>
      </c>
      <c r="AW965" s="74">
        <f t="shared" si="537"/>
        <v>0</v>
      </c>
      <c r="AX965" s="74">
        <f t="shared" si="538"/>
        <v>2332.5142570918474</v>
      </c>
      <c r="AY965" s="74">
        <f t="shared" si="539"/>
        <v>1680.16</v>
      </c>
      <c r="AZ965" s="129">
        <v>1680.16</v>
      </c>
      <c r="BA965" s="117">
        <v>1680.16</v>
      </c>
      <c r="BB965" s="49">
        <v>1680.16</v>
      </c>
      <c r="BC965" s="73" t="str">
        <f t="shared" si="540"/>
        <v/>
      </c>
      <c r="BD965" s="73">
        <f t="shared" si="541"/>
        <v>2715.2642570918474</v>
      </c>
      <c r="BE965" s="73">
        <f t="shared" si="542"/>
        <v>2062.9084615717707</v>
      </c>
      <c r="BF965" s="77">
        <f t="shared" si="543"/>
        <v>652.36</v>
      </c>
      <c r="BG965" s="77">
        <f t="shared" si="544"/>
        <v>195.708</v>
      </c>
      <c r="BH965" s="77">
        <f t="shared" si="545"/>
        <v>2332.5142570918474</v>
      </c>
      <c r="BI965" s="78">
        <f t="shared" si="546"/>
        <v>0.28000000000000003</v>
      </c>
      <c r="BJ965" s="79">
        <f t="shared" si="547"/>
        <v>0.24025654162247276</v>
      </c>
      <c r="BK965" s="80">
        <f t="shared" si="548"/>
        <v>2062.9100000000003</v>
      </c>
      <c r="BL965" s="80">
        <f t="shared" si="549"/>
        <v>652.3542570918471</v>
      </c>
      <c r="BM965" s="79">
        <f t="shared" si="550"/>
        <v>0.24025442657671325</v>
      </c>
      <c r="BN965" s="81">
        <f t="shared" si="551"/>
        <v>0.8838295633876907</v>
      </c>
      <c r="BO965" s="82">
        <f t="shared" si="552"/>
        <v>1680.16</v>
      </c>
      <c r="BP965" s="81">
        <f t="shared" si="553"/>
        <v>0.8838295633876907</v>
      </c>
      <c r="BQ965" s="81">
        <f t="shared" si="554"/>
        <v>0.88383182923739301</v>
      </c>
      <c r="BR965" s="81">
        <f t="shared" si="555"/>
        <v>1.2269955625839724</v>
      </c>
      <c r="BS965" s="82">
        <f t="shared" si="556"/>
        <v>1901</v>
      </c>
      <c r="BT965" s="82">
        <f t="shared" si="557"/>
        <v>2332.5185644721314</v>
      </c>
      <c r="BU965" s="82">
        <f t="shared" si="558"/>
        <v>2332.5142570918474</v>
      </c>
      <c r="BW965" s="82">
        <f>IFERROR(INDEX('Infos Clientes'!$T:$T,MATCH('Detalhe Por UC'!$C965,'Infos Clientes'!B:B,0)),"")</f>
        <v>1810.6008333333332</v>
      </c>
      <c r="BX965" s="83">
        <f t="shared" si="559"/>
        <v>0</v>
      </c>
      <c r="BY965" s="84">
        <f t="shared" si="560"/>
        <v>0.27967805574121146</v>
      </c>
      <c r="BZ965" s="85">
        <f>IF(_xlfn.MINIFS('Detalhe Por UC'!R:R,'Detalhe Por UC'!C:C,C965,'Detalhe Por UC'!AD:AD,"&gt;"&amp;0)=0,"",_xlfn.MINIFS('Detalhe Por UC'!R:R,'Detalhe Por UC'!C:C,C965,'Detalhe Por UC'!AD:AD,"&gt;"&amp;0))</f>
        <v>45627</v>
      </c>
      <c r="CA965" s="114">
        <f ca="1">IF(OR(S965&gt;0,AD965&gt;0),IFERROR(
SUMIFS(INDIRECT("'Infos Clientes'!$W"&amp;INDEX('Infos Clientes'!$C:$C,MATCH(C965,'Infos Clientes'!$H:$H,0))&amp;":$CZ"&amp;INDEX('Infos Clientes'!$C:$C,MATCH(C965,'Infos Clientes'!$H:$H,0))),'Infos Clientes'!$W$2:$CZ$2,"&gt;"&amp;$R965-365,'Infos Clientes'!$W$2:$CZ$2,"&lt;="&amp;$R965)/
COUNTIFS(INDIRECT("'Infos Clientes'!$W"&amp;INDEX('Infos Clientes'!$C:$C,MATCH(C965,'Infos Clientes'!$H:$H,0))&amp;":$CZ"&amp;INDEX('Infos Clientes'!$C:$C,MATCH(C965,'Infos Clientes'!$H:$H,0))),"&gt;="&amp;0,'Infos Clientes'!$W$2:$CZ$2,"&gt;"&amp;$R965-365,'Infos Clientes'!$W$2:$CZ$2,"&lt;="&amp;$R965),""),"")</f>
        <v>1700.9366666666665</v>
      </c>
      <c r="CB965" s="87">
        <f>VLOOKUP(C965,'Infos Clientes'!B:L,11,0)</f>
        <v>0</v>
      </c>
      <c r="CC965" s="88" t="str">
        <f t="shared" si="561"/>
        <v>A Unidade Consumidora 10/5202-7 economizou R$652,36 na fatura referente à out/2025  consumindo 1901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5" s="115">
        <f t="shared" si="562"/>
        <v>-382.75000000000006</v>
      </c>
    </row>
    <row r="966" spans="1:84" ht="16.2" hidden="1" customHeight="1" x14ac:dyDescent="0.3">
      <c r="A966" s="105" t="str">
        <f>INDEX('Infos Clientes'!$D:$D,MATCH('Detalhe Por UC'!C966,'Infos Clientes'!B:B,0))</f>
        <v>IGREJA DO EVANGELHO QUADRANGULAR</v>
      </c>
      <c r="B966" s="106" t="str">
        <f>INDEX('Infos Clientes'!$F:$F,MATCH('Detalhe Por UC'!C966,'Infos Clientes'!B:B,0))</f>
        <v>62.955.505/0151-99</v>
      </c>
      <c r="C966" s="31" t="s">
        <v>102</v>
      </c>
      <c r="D966" s="31" t="s">
        <v>351</v>
      </c>
      <c r="E966" s="31" t="s">
        <v>352</v>
      </c>
      <c r="F966" s="56" t="str">
        <f>INDEX('Infos Clientes'!$I:$I,MATCH('Detalhe Por UC'!C966,'Infos Clientes'!B:B,0))</f>
        <v>BT</v>
      </c>
      <c r="G966" s="56" t="str">
        <f>INDEX('Infos Clientes'!$J:$J,MATCH('Detalhe Por UC'!C966,'Infos Clientes'!B:B,0))</f>
        <v>trifasico</v>
      </c>
      <c r="H966" s="156" t="s">
        <v>24</v>
      </c>
      <c r="I966" s="58">
        <f>IFERROR(VLOOKUP(C966,'Infos Clientes'!B:E,4,),"")</f>
        <v>306</v>
      </c>
      <c r="J966" s="152">
        <v>0.2796792317717392</v>
      </c>
      <c r="K966" s="79">
        <f>INDEX('Resumo Operacional'!$A$1:$P$151,MATCH("Desconto percentual Ucs",'Resumo Operacional'!$B$1:$B$151,0),MATCH('Detalhe Por UC'!$R966,'Resumo Operacional'!$A$1:$P$1,0))</f>
        <v>0.26414553913427991</v>
      </c>
      <c r="M966" s="56"/>
      <c r="N966" s="56"/>
      <c r="O966" s="56"/>
      <c r="P966" s="56"/>
      <c r="Q966" s="61"/>
      <c r="R966" s="111">
        <v>45931</v>
      </c>
      <c r="S966" s="152">
        <v>0.1032</v>
      </c>
      <c r="T966" s="113">
        <f>IF($H966="GIROSSOL II",AP966/INDEX('Resumo Operacional'!$A$1:$P$1103,17,MATCH('Detalhe Por UC'!$R966,'Resumo Operacional'!$A$1:$P$1,0)),
IF($H966="GIROSSOL II e III",AP966/INDEX('Resumo Operacional'!$A$1:$P$1103,17,MATCH('Detalhe Por UC'!$R966,'Resumo Operacional'!$A$1:$P$1,0)),
""))</f>
        <v>9.5159101191373843E-2</v>
      </c>
      <c r="U966" s="113" t="str">
        <f>IF($H966="GIROSSOL III",AP966/INDEX('Resumo Operacional'!$A$1:$P$1103,53,MATCH('Detalhe Por UC'!$R966,'Resumo Operacional'!$A$1:$P$1,0)),
IF($H966="GIROSSOL II e III",AP966/INDEX('Resumo Operacional'!$A$1:$P$1103,53,MATCH('Detalhe Por UC'!$R966,'Resumo Operacional'!$A$1:$P$1,0)),
""))</f>
        <v/>
      </c>
      <c r="X966">
        <v>1.2280327930074779</v>
      </c>
      <c r="Z966" s="54">
        <v>1.2280324470085267</v>
      </c>
      <c r="AB966" s="18">
        <v>2665</v>
      </c>
      <c r="AD966" s="143">
        <v>1399</v>
      </c>
      <c r="AF966" s="18">
        <v>0</v>
      </c>
      <c r="AG966">
        <v>0</v>
      </c>
      <c r="AH966">
        <v>2.67</v>
      </c>
      <c r="AL966" s="43"/>
      <c r="AN966" s="71">
        <f t="shared" si="529"/>
        <v>-137</v>
      </c>
      <c r="AO966" s="71">
        <f t="shared" si="530"/>
        <v>0</v>
      </c>
      <c r="AP966" s="71">
        <f t="shared" si="531"/>
        <v>1262</v>
      </c>
      <c r="AQ966" s="72">
        <f>IF(OR($H966="GIROSSOL II",$H966="GIROSSOL II e III"),INDEX('Resumo Operacional'!$A$1:$P$1103,MATCH("Energia Injetada prevista total Fatura da Usina (TUSD)",'Resumo Operacional'!$B$1:$B$1103,0),MATCH('Detalhe Por UC'!$R966,'Resumo Operacional'!$A$1:$P$1,0))*$S966,INDEX('Resumo Operacional'!$A$1:$P$1103,53,MATCH('Detalhe Por UC'!$R966,'Resumo Operacional'!$A$1:$P$1,0))*$S966)</f>
        <v>1368.6384</v>
      </c>
      <c r="AR966" s="71">
        <f t="shared" si="532"/>
        <v>-106.63840000000005</v>
      </c>
      <c r="AS966" s="73">
        <f t="shared" si="533"/>
        <v>1557.36</v>
      </c>
      <c r="AT966" s="74">
        <f t="shared" si="534"/>
        <v>1557.36</v>
      </c>
      <c r="AU966" s="74">
        <f t="shared" si="535"/>
        <v>1.2280321010095754</v>
      </c>
      <c r="AV966" s="74">
        <f t="shared" si="536"/>
        <v>1237.5236086181396</v>
      </c>
      <c r="AW966" s="74">
        <f t="shared" si="537"/>
        <v>0</v>
      </c>
      <c r="AX966" s="74">
        <f t="shared" si="538"/>
        <v>1718.0173933649287</v>
      </c>
      <c r="AY966" s="74">
        <f t="shared" si="539"/>
        <v>1237.52</v>
      </c>
      <c r="AZ966" s="129">
        <v>1237.52</v>
      </c>
      <c r="BA966" s="117">
        <v>1237.52</v>
      </c>
      <c r="BB966" s="49">
        <v>1237.52</v>
      </c>
      <c r="BC966" s="73" t="str">
        <f t="shared" si="540"/>
        <v/>
      </c>
      <c r="BD966" s="73">
        <f t="shared" si="541"/>
        <v>3275.3773933649286</v>
      </c>
      <c r="BE966" s="73">
        <f t="shared" si="542"/>
        <v>2794.8836086181395</v>
      </c>
      <c r="BF966" s="77">
        <f t="shared" si="543"/>
        <v>480.49</v>
      </c>
      <c r="BG966" s="77">
        <f t="shared" si="544"/>
        <v>144.14699999999999</v>
      </c>
      <c r="BH966" s="77">
        <f t="shared" si="545"/>
        <v>1718.0173933649289</v>
      </c>
      <c r="BI966" s="78">
        <f t="shared" si="546"/>
        <v>0.28000000000000003</v>
      </c>
      <c r="BJ966" s="79">
        <f t="shared" si="547"/>
        <v>0.14669759917539549</v>
      </c>
      <c r="BK966" s="80">
        <f t="shared" si="548"/>
        <v>2794.88</v>
      </c>
      <c r="BL966" s="80">
        <f t="shared" si="549"/>
        <v>480.49739336492848</v>
      </c>
      <c r="BM966" s="79">
        <f t="shared" si="550"/>
        <v>0.14669985643129019</v>
      </c>
      <c r="BN966" s="81">
        <f t="shared" si="551"/>
        <v>0.88457469621157969</v>
      </c>
      <c r="BO966" s="82">
        <f t="shared" si="552"/>
        <v>1237.52</v>
      </c>
      <c r="BP966" s="81">
        <f t="shared" si="553"/>
        <v>0.88457469621157969</v>
      </c>
      <c r="BQ966" s="81">
        <f t="shared" si="554"/>
        <v>0.88457504221053096</v>
      </c>
      <c r="BR966" s="81">
        <f t="shared" si="555"/>
        <v>1.2280327930074779</v>
      </c>
      <c r="BS966" s="82">
        <f t="shared" si="556"/>
        <v>1399</v>
      </c>
      <c r="BT966" s="82">
        <f t="shared" si="557"/>
        <v>1718.0178774174617</v>
      </c>
      <c r="BU966" s="82">
        <f t="shared" si="558"/>
        <v>1718.0173933649287</v>
      </c>
      <c r="BW966" s="82">
        <f>IFERROR(INDEX('Infos Clientes'!$T:$T,MATCH('Detalhe Por UC'!$C966,'Infos Clientes'!B:B,0)),"")</f>
        <v>2675.750833333333</v>
      </c>
      <c r="BX966" s="83">
        <f t="shared" si="559"/>
        <v>0</v>
      </c>
      <c r="BY966" s="84">
        <f t="shared" si="560"/>
        <v>0.27968125342631261</v>
      </c>
      <c r="BZ966" s="85">
        <f>IF(_xlfn.MINIFS('Detalhe Por UC'!R:R,'Detalhe Por UC'!C:C,C966,'Detalhe Por UC'!AD:AD,"&gt;"&amp;0)=0,"",_xlfn.MINIFS('Detalhe Por UC'!R:R,'Detalhe Por UC'!C:C,C966,'Detalhe Por UC'!AD:AD,"&gt;"&amp;0))</f>
        <v>45627</v>
      </c>
      <c r="CA966" s="114">
        <f ca="1">IF(OR(S966&gt;0,AD966&gt;0),IFERROR(
SUMIFS(INDIRECT("'Infos Clientes'!$W"&amp;INDEX('Infos Clientes'!$C:$C,MATCH(C966,'Infos Clientes'!$H:$H,0))&amp;":$CZ"&amp;INDEX('Infos Clientes'!$C:$C,MATCH(C966,'Infos Clientes'!$H:$H,0))),'Infos Clientes'!$W$2:$CZ$2,"&gt;"&amp;$R966-365,'Infos Clientes'!$W$2:$CZ$2,"&lt;="&amp;$R966)/
COUNTIFS(INDIRECT("'Infos Clientes'!$W"&amp;INDEX('Infos Clientes'!$C:$C,MATCH(C966,'Infos Clientes'!$H:$H,0))&amp;":$CZ"&amp;INDEX('Infos Clientes'!$C:$C,MATCH(C966,'Infos Clientes'!$H:$H,0))),"&gt;="&amp;0,'Infos Clientes'!$W$2:$CZ$2,"&gt;"&amp;$R966-365,'Infos Clientes'!$W$2:$CZ$2,"&lt;="&amp;$R966),""),"")</f>
        <v>2664.9758333333334</v>
      </c>
      <c r="CB966" s="87">
        <f>VLOOKUP(C966,'Infos Clientes'!B:L,11,0)</f>
        <v>0</v>
      </c>
      <c r="CC966" s="88" t="str">
        <f t="shared" si="561"/>
        <v>A Unidade Consumidora 10/364440-8 economizou R$480,49 na fatura referente à out/2025  consumindo 1399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6" s="115">
        <f t="shared" si="562"/>
        <v>-1557.36</v>
      </c>
    </row>
    <row r="967" spans="1:84" ht="16.2" hidden="1" customHeight="1" x14ac:dyDescent="0.3">
      <c r="A967" s="105" t="str">
        <f>INDEX('Infos Clientes'!$D:$D,MATCH('Detalhe Por UC'!C967,'Infos Clientes'!B:B,0))</f>
        <v>IGREJA DO EVANGELHO QUADRANGULAR</v>
      </c>
      <c r="B967" s="106" t="str">
        <f>INDEX('Infos Clientes'!$F:$F,MATCH('Detalhe Por UC'!C967,'Infos Clientes'!B:B,0))</f>
        <v>62.955.505/0160-80</v>
      </c>
      <c r="C967" s="31" t="s">
        <v>61</v>
      </c>
      <c r="D967" s="31" t="s">
        <v>351</v>
      </c>
      <c r="E967" s="31" t="s">
        <v>352</v>
      </c>
      <c r="F967" s="56" t="str">
        <f>INDEX('Infos Clientes'!$I:$I,MATCH('Detalhe Por UC'!C967,'Infos Clientes'!B:B,0))</f>
        <v>BT</v>
      </c>
      <c r="G967" s="56" t="str">
        <f>INDEX('Infos Clientes'!$J:$J,MATCH('Detalhe Por UC'!C967,'Infos Clientes'!B:B,0))</f>
        <v>trifasico</v>
      </c>
      <c r="H967" s="156" t="s">
        <v>24</v>
      </c>
      <c r="I967" s="58">
        <f>IFERROR(VLOOKUP(C967,'Infos Clientes'!B:E,4,),"")</f>
        <v>357</v>
      </c>
      <c r="J967" s="152">
        <v>0.2796792317717392</v>
      </c>
      <c r="K967" s="79">
        <f>INDEX('Resumo Operacional'!$A$1:$P$151,MATCH("Desconto percentual Ucs",'Resumo Operacional'!$B$1:$B$151,0),MATCH('Detalhe Por UC'!$R967,'Resumo Operacional'!$A$1:$P$1,0))</f>
        <v>0.26414553913427991</v>
      </c>
      <c r="M967" s="56"/>
      <c r="N967" s="56"/>
      <c r="O967" s="56"/>
      <c r="P967" s="56"/>
      <c r="Q967" s="61"/>
      <c r="R967" s="111">
        <v>45931</v>
      </c>
      <c r="S967" s="152">
        <v>6.4699999999999994E-2</v>
      </c>
      <c r="T967" s="113">
        <f>IF($H967="GIROSSOL II",AP967/INDEX('Resumo Operacional'!$A$1:$P$1103,17,MATCH('Detalhe Por UC'!$R967,'Resumo Operacional'!$A$1:$P$1,0)),
IF($H967="GIROSSOL II e III",AP967/INDEX('Resumo Operacional'!$A$1:$P$1103,17,MATCH('Detalhe Por UC'!$R967,'Resumo Operacional'!$A$1:$P$1,0)),
""))</f>
        <v>6.4469914040114609E-2</v>
      </c>
      <c r="U967" s="113" t="str">
        <f>IF($H967="GIROSSOL III",AP967/INDEX('Resumo Operacional'!$A$1:$P$1103,53,MATCH('Detalhe Por UC'!$R967,'Resumo Operacional'!$A$1:$P$1,0)),
IF($H967="GIROSSOL II e III",AP967/INDEX('Resumo Operacional'!$A$1:$P$1103,53,MATCH('Detalhe Por UC'!$R967,'Resumo Operacional'!$A$1:$P$1,0)),
""))</f>
        <v/>
      </c>
      <c r="X967">
        <v>1.2076280000000001</v>
      </c>
      <c r="Z967" s="54">
        <v>1.2076217391304351</v>
      </c>
      <c r="AB967" s="18">
        <v>1250</v>
      </c>
      <c r="AD967" s="143">
        <v>1150</v>
      </c>
      <c r="AF967" s="18">
        <v>226</v>
      </c>
      <c r="AH967">
        <v>0</v>
      </c>
      <c r="AL967" s="43"/>
      <c r="AN967" s="71">
        <f t="shared" si="529"/>
        <v>-295</v>
      </c>
      <c r="AO967" s="71">
        <f t="shared" si="530"/>
        <v>0</v>
      </c>
      <c r="AP967" s="71">
        <f t="shared" si="531"/>
        <v>855</v>
      </c>
      <c r="AQ967" s="72">
        <f>IF(OR($H967="GIROSSOL II",$H967="GIROSSOL II e III"),INDEX('Resumo Operacional'!$A$1:$P$1103,MATCH("Energia Injetada prevista total Fatura da Usina (TUSD)",'Resumo Operacional'!$B$1:$B$1103,0),MATCH('Detalhe Por UC'!$R967,'Resumo Operacional'!$A$1:$P$1,0))*$S967,INDEX('Resumo Operacional'!$A$1:$P$1103,53,MATCH('Detalhe Por UC'!$R967,'Resumo Operacional'!$A$1:$P$1,0))*$S967)</f>
        <v>858.05139999999994</v>
      </c>
      <c r="AR967" s="71">
        <f t="shared" si="532"/>
        <v>-3.0513999999999442</v>
      </c>
      <c r="AS967" s="73">
        <f t="shared" si="533"/>
        <v>120.76999999999975</v>
      </c>
      <c r="AT967" s="74">
        <f t="shared" si="534"/>
        <v>120.76999999999975</v>
      </c>
      <c r="AU967" s="74">
        <f t="shared" si="535"/>
        <v>1.2076154782608701</v>
      </c>
      <c r="AV967" s="74">
        <f t="shared" si="536"/>
        <v>1000.3562716885209</v>
      </c>
      <c r="AW967" s="74">
        <f t="shared" si="537"/>
        <v>0</v>
      </c>
      <c r="AX967" s="74">
        <f t="shared" si="538"/>
        <v>1388.7650000000003</v>
      </c>
      <c r="AY967" s="74">
        <f t="shared" si="539"/>
        <v>1000.36</v>
      </c>
      <c r="AZ967" s="129">
        <v>1000.36</v>
      </c>
      <c r="BA967" s="117">
        <v>1000.36</v>
      </c>
      <c r="BB967" s="49">
        <v>1000.36</v>
      </c>
      <c r="BC967" s="73" t="str">
        <f t="shared" si="540"/>
        <v/>
      </c>
      <c r="BD967" s="73">
        <f t="shared" si="541"/>
        <v>1509.5350000000001</v>
      </c>
      <c r="BE967" s="73">
        <f t="shared" si="542"/>
        <v>1121.1262716885208</v>
      </c>
      <c r="BF967" s="77">
        <f t="shared" si="543"/>
        <v>388.41</v>
      </c>
      <c r="BG967" s="77">
        <f t="shared" si="544"/>
        <v>116.523</v>
      </c>
      <c r="BH967" s="77">
        <f t="shared" si="545"/>
        <v>1388.7650000000003</v>
      </c>
      <c r="BI967" s="78">
        <f t="shared" si="546"/>
        <v>0.28000000000000003</v>
      </c>
      <c r="BJ967" s="79">
        <f t="shared" si="547"/>
        <v>0.25730440168661212</v>
      </c>
      <c r="BK967" s="80">
        <f t="shared" si="548"/>
        <v>1121.1299999999997</v>
      </c>
      <c r="BL967" s="80">
        <f t="shared" si="549"/>
        <v>388.40500000000043</v>
      </c>
      <c r="BM967" s="79">
        <f t="shared" si="550"/>
        <v>0.25730108940832802</v>
      </c>
      <c r="BN967" s="81">
        <f t="shared" si="551"/>
        <v>0.86987826086956521</v>
      </c>
      <c r="BO967" s="82">
        <f t="shared" si="552"/>
        <v>1000.36</v>
      </c>
      <c r="BP967" s="81">
        <f t="shared" si="553"/>
        <v>0.86987826086956521</v>
      </c>
      <c r="BQ967" s="81">
        <f t="shared" si="554"/>
        <v>0.86988452173913022</v>
      </c>
      <c r="BR967" s="81">
        <f t="shared" si="555"/>
        <v>1.2076280000000001</v>
      </c>
      <c r="BS967" s="82">
        <f t="shared" si="556"/>
        <v>1150</v>
      </c>
      <c r="BT967" s="82">
        <f t="shared" si="557"/>
        <v>1388.7722000000001</v>
      </c>
      <c r="BU967" s="82">
        <f t="shared" si="558"/>
        <v>1388.7650000000003</v>
      </c>
      <c r="BW967" s="82">
        <f>IFERROR(INDEX('Infos Clientes'!$T:$T,MATCH('Detalhe Por UC'!$C967,'Infos Clientes'!B:B,0)),"")</f>
        <v>958.25</v>
      </c>
      <c r="BX967" s="83">
        <f t="shared" si="559"/>
        <v>0</v>
      </c>
      <c r="BY967" s="84">
        <f t="shared" si="560"/>
        <v>0.27967509718296518</v>
      </c>
      <c r="BZ967" s="85">
        <f>IF(_xlfn.MINIFS('Detalhe Por UC'!R:R,'Detalhe Por UC'!C:C,C967,'Detalhe Por UC'!AD:AD,"&gt;"&amp;0)=0,"",_xlfn.MINIFS('Detalhe Por UC'!R:R,'Detalhe Por UC'!C:C,C967,'Detalhe Por UC'!AD:AD,"&gt;"&amp;0))</f>
        <v>45627</v>
      </c>
      <c r="CA967" s="114">
        <f ca="1">IF(OR(S967&gt;0,AD967&gt;0),IFERROR(
SUMIFS(INDIRECT("'Infos Clientes'!$W"&amp;INDEX('Infos Clientes'!$C:$C,MATCH(C967,'Infos Clientes'!$H:$H,0))&amp;":$CZ"&amp;INDEX('Infos Clientes'!$C:$C,MATCH(C967,'Infos Clientes'!$H:$H,0))),'Infos Clientes'!$W$2:$CZ$2,"&gt;"&amp;$R967-365,'Infos Clientes'!$W$2:$CZ$2,"&lt;="&amp;$R967)/
COUNTIFS(INDIRECT("'Infos Clientes'!$W"&amp;INDEX('Infos Clientes'!$C:$C,MATCH(C967,'Infos Clientes'!$H:$H,0))&amp;":$CZ"&amp;INDEX('Infos Clientes'!$C:$C,MATCH(C967,'Infos Clientes'!$H:$H,0))),"&gt;="&amp;0,'Infos Clientes'!$W$2:$CZ$2,"&gt;"&amp;$R967-365,'Infos Clientes'!$W$2:$CZ$2,"&lt;="&amp;$R967),""),"")</f>
        <v>951.08333333333337</v>
      </c>
      <c r="CB967" s="87">
        <f>VLOOKUP(C967,'Infos Clientes'!B:L,11,0)</f>
        <v>0</v>
      </c>
      <c r="CC967" s="88" t="str">
        <f t="shared" si="561"/>
        <v>A Unidade Consumidora 10/18015-8 economizou R$388,41 na fatura referente à out/2025  consumindo 1150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7" s="115">
        <f t="shared" si="562"/>
        <v>-120.76999999999975</v>
      </c>
    </row>
    <row r="968" spans="1:84" ht="16.2" hidden="1" customHeight="1" x14ac:dyDescent="0.3">
      <c r="A968" s="105" t="str">
        <f>INDEX('Infos Clientes'!$D:$D,MATCH('Detalhe Por UC'!C968,'Infos Clientes'!B:B,0))</f>
        <v>IGREJA DO EVANGELHO QUADRANGULAR</v>
      </c>
      <c r="B968" s="106" t="str">
        <f>INDEX('Infos Clientes'!$F:$F,MATCH('Detalhe Por UC'!C968,'Infos Clientes'!B:B,0))</f>
        <v>62.955.505/0164-03</v>
      </c>
      <c r="C968" s="31" t="s">
        <v>70</v>
      </c>
      <c r="D968" s="31" t="s">
        <v>351</v>
      </c>
      <c r="E968" s="31" t="s">
        <v>352</v>
      </c>
      <c r="F968" s="56" t="str">
        <f>INDEX('Infos Clientes'!$I:$I,MATCH('Detalhe Por UC'!C968,'Infos Clientes'!B:B,0))</f>
        <v>BT</v>
      </c>
      <c r="G968" s="56" t="str">
        <f>INDEX('Infos Clientes'!$J:$J,MATCH('Detalhe Por UC'!C968,'Infos Clientes'!B:B,0))</f>
        <v>trifasico</v>
      </c>
      <c r="H968" s="156" t="s">
        <v>24</v>
      </c>
      <c r="I968" s="58">
        <f>IFERROR(VLOOKUP(C968,'Infos Clientes'!B:E,4,),"")</f>
        <v>371</v>
      </c>
      <c r="J968" s="152">
        <v>0.2796792317717392</v>
      </c>
      <c r="K968" s="79">
        <f>INDEX('Resumo Operacional'!$A$1:$P$151,MATCH("Desconto percentual Ucs",'Resumo Operacional'!$B$1:$B$151,0),MATCH('Detalhe Por UC'!$R968,'Resumo Operacional'!$A$1:$P$1,0))</f>
        <v>0.26414553913427991</v>
      </c>
      <c r="M968" s="56"/>
      <c r="N968" s="56"/>
      <c r="O968" s="56"/>
      <c r="P968" s="56"/>
      <c r="Q968" s="61"/>
      <c r="R968" s="111">
        <v>45931</v>
      </c>
      <c r="S968" s="152">
        <v>5.1700000000000003E-2</v>
      </c>
      <c r="T968" s="113">
        <f>IF($H968="GIROSSOL II",AP968/INDEX('Resumo Operacional'!$A$1:$P$1103,17,MATCH('Detalhe Por UC'!$R968,'Resumo Operacional'!$A$1:$P$1,0)),
IF($H968="GIROSSOL II e III",AP968/INDEX('Resumo Operacional'!$A$1:$P$1103,17,MATCH('Detalhe Por UC'!$R968,'Resumo Operacional'!$A$1:$P$1,0)),
""))</f>
        <v>5.0444880108580906E-2</v>
      </c>
      <c r="U968" s="113" t="str">
        <f>IF($H968="GIROSSOL III",AP968/INDEX('Resumo Operacional'!$A$1:$P$1103,53,MATCH('Detalhe Por UC'!$R968,'Resumo Operacional'!$A$1:$P$1,0)),
IF($H968="GIROSSOL II e III",AP968/INDEX('Resumo Operacional'!$A$1:$P$1103,53,MATCH('Detalhe Por UC'!$R968,'Resumo Operacional'!$A$1:$P$1,0)),
""))</f>
        <v/>
      </c>
      <c r="X968">
        <v>1.2141250000000001</v>
      </c>
      <c r="Z968" s="18">
        <v>1.2141142857142857</v>
      </c>
      <c r="AB968" s="18">
        <v>800</v>
      </c>
      <c r="AD968" s="143">
        <v>700</v>
      </c>
      <c r="AF968" s="18">
        <v>766</v>
      </c>
      <c r="AH968">
        <v>183.49</v>
      </c>
      <c r="AL968" s="43"/>
      <c r="AN968" s="71">
        <f t="shared" si="529"/>
        <v>-31</v>
      </c>
      <c r="AO968" s="71">
        <f t="shared" si="530"/>
        <v>0</v>
      </c>
      <c r="AP968" s="71">
        <f t="shared" si="531"/>
        <v>669</v>
      </c>
      <c r="AQ968" s="72">
        <f>IF(OR($H968="GIROSSOL II",$H968="GIROSSOL II e III"),INDEX('Resumo Operacional'!$A$1:$P$1103,MATCH("Energia Injetada prevista total Fatura da Usina (TUSD)",'Resumo Operacional'!$B$1:$B$1103,0),MATCH('Detalhe Por UC'!$R968,'Resumo Operacional'!$A$1:$P$1,0))*$S968,INDEX('Resumo Operacional'!$A$1:$P$1103,53,MATCH('Detalhe Por UC'!$R968,'Resumo Operacional'!$A$1:$P$1,0))*$S968)</f>
        <v>685.6454</v>
      </c>
      <c r="AR968" s="71">
        <f t="shared" si="532"/>
        <v>-16.645399999999995</v>
      </c>
      <c r="AS968" s="73">
        <f t="shared" si="533"/>
        <v>304.91000000000008</v>
      </c>
      <c r="AT968" s="74">
        <f t="shared" si="534"/>
        <v>304.91000000000008</v>
      </c>
      <c r="AU968" s="74">
        <f t="shared" si="535"/>
        <v>1.2141035714285713</v>
      </c>
      <c r="AV968" s="74">
        <f t="shared" si="536"/>
        <v>612.18621450183434</v>
      </c>
      <c r="AW968" s="74">
        <f t="shared" si="537"/>
        <v>0</v>
      </c>
      <c r="AX968" s="74">
        <f t="shared" si="538"/>
        <v>849.88</v>
      </c>
      <c r="AY968" s="74">
        <f t="shared" si="539"/>
        <v>612.19000000000005</v>
      </c>
      <c r="AZ968" s="129">
        <v>612.29</v>
      </c>
      <c r="BA968" s="117">
        <v>612.29</v>
      </c>
      <c r="BB968" s="49">
        <v>612.29</v>
      </c>
      <c r="BC968" s="73" t="str">
        <f t="shared" si="540"/>
        <v/>
      </c>
      <c r="BD968" s="73">
        <f t="shared" si="541"/>
        <v>1154.79</v>
      </c>
      <c r="BE968" s="73">
        <f t="shared" si="542"/>
        <v>917.09621450183442</v>
      </c>
      <c r="BF968" s="77">
        <f t="shared" si="543"/>
        <v>237.69</v>
      </c>
      <c r="BG968" s="77">
        <f t="shared" si="544"/>
        <v>71.307000000000002</v>
      </c>
      <c r="BH968" s="77">
        <f t="shared" si="545"/>
        <v>849.88</v>
      </c>
      <c r="BI968" s="78">
        <f t="shared" si="546"/>
        <v>0.28000000000000003</v>
      </c>
      <c r="BJ968" s="79">
        <f t="shared" si="547"/>
        <v>0.20582963136154625</v>
      </c>
      <c r="BK968" s="80">
        <f t="shared" si="548"/>
        <v>917.10000000000014</v>
      </c>
      <c r="BL968" s="80">
        <f t="shared" si="549"/>
        <v>237.68999999999983</v>
      </c>
      <c r="BM968" s="79">
        <f t="shared" si="550"/>
        <v>0.20582963136154611</v>
      </c>
      <c r="BN968" s="81">
        <f t="shared" si="551"/>
        <v>0.87455714285714292</v>
      </c>
      <c r="BO968" s="82">
        <f t="shared" si="552"/>
        <v>612.19000000000005</v>
      </c>
      <c r="BP968" s="81">
        <f t="shared" si="553"/>
        <v>0.87455714285714292</v>
      </c>
      <c r="BQ968" s="81">
        <f t="shared" si="554"/>
        <v>0.87456785714285734</v>
      </c>
      <c r="BR968" s="81">
        <f t="shared" si="555"/>
        <v>1.2141250000000001</v>
      </c>
      <c r="BS968" s="82">
        <f t="shared" si="556"/>
        <v>700</v>
      </c>
      <c r="BT968" s="82">
        <f t="shared" si="557"/>
        <v>849.88750000000005</v>
      </c>
      <c r="BU968" s="82">
        <f t="shared" si="558"/>
        <v>849.88</v>
      </c>
      <c r="BW968" s="82">
        <f>IFERROR(INDEX('Infos Clientes'!$T:$T,MATCH('Detalhe Por UC'!$C968,'Infos Clientes'!B:B,0)),"")</f>
        <v>796.66666666666663</v>
      </c>
      <c r="BX968" s="83">
        <f t="shared" si="559"/>
        <v>0</v>
      </c>
      <c r="BY968" s="84">
        <f t="shared" si="560"/>
        <v>0.27967230957038425</v>
      </c>
      <c r="BZ968" s="85">
        <f>IF(_xlfn.MINIFS('Detalhe Por UC'!R:R,'Detalhe Por UC'!C:C,C968,'Detalhe Por UC'!AD:AD,"&gt;"&amp;0)=0,"",_xlfn.MINIFS('Detalhe Por UC'!R:R,'Detalhe Por UC'!C:C,C968,'Detalhe Por UC'!AD:AD,"&gt;"&amp;0))</f>
        <v>45627</v>
      </c>
      <c r="CA968" s="114">
        <f ca="1">IF(OR(S968&gt;0,AD968&gt;0),IFERROR(
SUMIFS(INDIRECT("'Infos Clientes'!$W"&amp;INDEX('Infos Clientes'!$C:$C,MATCH(C968,'Infos Clientes'!$H:$H,0))&amp;":$CZ"&amp;INDEX('Infos Clientes'!$C:$C,MATCH(C968,'Infos Clientes'!$H:$H,0))),'Infos Clientes'!$W$2:$CZ$2,"&gt;"&amp;$R968-365,'Infos Clientes'!$W$2:$CZ$2,"&lt;="&amp;$R968)/
COUNTIFS(INDIRECT("'Infos Clientes'!$W"&amp;INDEX('Infos Clientes'!$C:$C,MATCH(C968,'Infos Clientes'!$H:$H,0))&amp;":$CZ"&amp;INDEX('Infos Clientes'!$C:$C,MATCH(C968,'Infos Clientes'!$H:$H,0))),"&gt;="&amp;0,'Infos Clientes'!$W$2:$CZ$2,"&gt;"&amp;$R968-365,'Infos Clientes'!$W$2:$CZ$2,"&lt;="&amp;$R968),""),"")</f>
        <v>753.33333333333337</v>
      </c>
      <c r="CB968" s="87">
        <f>VLOOKUP(C968,'Infos Clientes'!B:L,11,0)</f>
        <v>0</v>
      </c>
      <c r="CC968" s="88" t="str">
        <f t="shared" si="561"/>
        <v>A Unidade Consumidora 10/202838-9 economizou R$237,69 na fatura referente à out/2025  consumindo 700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8" s="115">
        <f t="shared" si="562"/>
        <v>-304.91000000000008</v>
      </c>
    </row>
    <row r="969" spans="1:84" ht="16.2" hidden="1" customHeight="1" x14ac:dyDescent="0.3">
      <c r="A969" s="105" t="str">
        <f>INDEX('Infos Clientes'!$D:$D,MATCH('Detalhe Por UC'!C969,'Infos Clientes'!B:B,0))</f>
        <v>IGREJA DO EVANGELHO QUADRANGULAR</v>
      </c>
      <c r="B969" s="106" t="str">
        <f>INDEX('Infos Clientes'!$F:$F,MATCH('Detalhe Por UC'!C969,'Infos Clientes'!B:B,0))</f>
        <v>62.955.505/0172-13</v>
      </c>
      <c r="C969" s="31" t="s">
        <v>87</v>
      </c>
      <c r="D969" s="31" t="s">
        <v>351</v>
      </c>
      <c r="E969" s="31" t="s">
        <v>352</v>
      </c>
      <c r="F969" s="56" t="str">
        <f>INDEX('Infos Clientes'!$I:$I,MATCH('Detalhe Por UC'!C969,'Infos Clientes'!B:B,0))</f>
        <v>BT</v>
      </c>
      <c r="G969" s="56" t="str">
        <f>INDEX('Infos Clientes'!$J:$J,MATCH('Detalhe Por UC'!C969,'Infos Clientes'!B:B,0))</f>
        <v>trifasico</v>
      </c>
      <c r="H969" s="156" t="s">
        <v>24</v>
      </c>
      <c r="I969" s="58">
        <f>IFERROR(VLOOKUP(C969,'Infos Clientes'!B:E,4,),"")</f>
        <v>371</v>
      </c>
      <c r="J969" s="152">
        <v>0.2796792317717392</v>
      </c>
      <c r="K969" s="79">
        <f>INDEX('Resumo Operacional'!$A$1:$P$151,MATCH("Desconto percentual Ucs",'Resumo Operacional'!$B$1:$B$151,0),MATCH('Detalhe Por UC'!$R969,'Resumo Operacional'!$A$1:$P$1,0))</f>
        <v>0.26414553913427991</v>
      </c>
      <c r="M969" s="56"/>
      <c r="N969" s="56"/>
      <c r="O969" s="56"/>
      <c r="P969" s="56"/>
      <c r="Q969" s="61"/>
      <c r="R969" s="111">
        <v>45931</v>
      </c>
      <c r="S969" s="152">
        <v>5.1499999999999997E-2</v>
      </c>
      <c r="T969" s="113">
        <f>IF($H969="GIROSSOL II",AP969/INDEX('Resumo Operacional'!$A$1:$P$1103,17,MATCH('Detalhe Por UC'!$R969,'Resumo Operacional'!$A$1:$P$1,0)),
IF($H969="GIROSSOL II e III",AP969/INDEX('Resumo Operacional'!$A$1:$P$1103,17,MATCH('Detalhe Por UC'!$R969,'Resumo Operacional'!$A$1:$P$1,0)),
""))</f>
        <v>6.3263459508369785E-2</v>
      </c>
      <c r="U969" s="113" t="str">
        <f>IF($H969="GIROSSOL III",AP969/INDEX('Resumo Operacional'!$A$1:$P$1103,53,MATCH('Detalhe Por UC'!$R969,'Resumo Operacional'!$A$1:$P$1,0)),
IF($H969="GIROSSOL II e III",AP969/INDEX('Resumo Operacional'!$A$1:$P$1103,53,MATCH('Detalhe Por UC'!$R969,'Resumo Operacional'!$A$1:$P$1,0)),
""))</f>
        <v/>
      </c>
      <c r="X969">
        <v>1.202030699088146</v>
      </c>
      <c r="Z969" s="54">
        <v>1.2020167763157896</v>
      </c>
      <c r="AB969" s="18">
        <v>1316</v>
      </c>
      <c r="AD969" s="143">
        <v>1216</v>
      </c>
      <c r="AF969" s="18">
        <v>428</v>
      </c>
      <c r="AH969">
        <v>111.02</v>
      </c>
      <c r="AL969" s="43"/>
      <c r="AN969" s="71">
        <f t="shared" ref="AN969:AN1032" si="563">IF(X969="","",AF969-SUMIFS(AF:AF,$C:$C,$C969,$R:$R,EDATE($R969,-1)))</f>
        <v>-377</v>
      </c>
      <c r="AO969" s="71">
        <f t="shared" ref="AO969:AO1032" si="564">IF(X969="","",AG969-SUMIFS(AG:AG,$H:$H,$H969,$C:$C,$C969,$R:$R,EDATE($R969,-1)))</f>
        <v>0</v>
      </c>
      <c r="AP969" s="71">
        <f t="shared" ref="AP969:AP1032" si="565">IFERROR(IF(D969="CRÉD. CONSUMIDO",SUM(AD969,AE969,AN969,AO969),IF(D969="GERADO",AQ969)),"")</f>
        <v>839</v>
      </c>
      <c r="AQ969" s="72">
        <f>IF(OR($H969="GIROSSOL II",$H969="GIROSSOL II e III"),INDEX('Resumo Operacional'!$A$1:$P$1103,MATCH("Energia Injetada prevista total Fatura da Usina (TUSD)",'Resumo Operacional'!$B$1:$B$1103,0),MATCH('Detalhe Por UC'!$R969,'Resumo Operacional'!$A$1:$P$1,0))*$S969,INDEX('Resumo Operacional'!$A$1:$P$1103,53,MATCH('Detalhe Por UC'!$R969,'Resumo Operacional'!$A$1:$P$1,0))*$S969)</f>
        <v>682.99299999999994</v>
      </c>
      <c r="AR969" s="71">
        <f t="shared" ref="AR969:AR1032" si="566">IF(X969="","",AP969-AQ969)</f>
        <v>156.00700000000006</v>
      </c>
      <c r="AS969" s="73">
        <f t="shared" ref="AS969:AS1032" si="567">IFERROR((X969*AB969-Z969*AD969+Y969*AC969-AA969*AE969)+AH969+
IF(F969&lt;&gt;"BT",0,
IF(AND(G969="trifasico",AD969=0,AB969&lt;100),X969*(100-(AB969-AD969)),
IF(AND(G969="bifasico",AD969=0,AB969&lt;50),X969*(50-(AB969-AD969)),
IF(AND(G969="monofasico",AD969=0,AB969&lt;30),X969*(30-(AB969-AD969)),0)))),"")</f>
        <v>231.24</v>
      </c>
      <c r="AT969" s="74">
        <f t="shared" ref="AT969:AT1032" si="568">IFERROR(AS969+AI969+AJ969,"")</f>
        <v>231.24</v>
      </c>
      <c r="AU969" s="74">
        <f t="shared" ref="AU969:AU1032" si="569">IFERROR((Z969*AD969+AA969*AE969)/(AD969+AE969)-((X969-Z969)*AD969+(Y969-AA969)*AE969)/(AD969+AE969),"")</f>
        <v>1.2020028535434333</v>
      </c>
      <c r="AV969" s="74">
        <f t="shared" ref="AV969:AV1032" si="570">IFERROR(IF(AND(E969="FINAL-Ñ.COMP",D969="CRÉD. CONSUMIDO"),(X969*(1-J969)-(X969-Z969))*AD969+(Y969*(1-J969)-(Y969-AA969))*AE969,
IF(AND(E969="T.COMP",D969="CRÉD. CONSUMIDO"),Z969*(1-J969)*AD969+AA969*(1-J969)*AE969,
IF(AND(E969="T.S.IMP",D969="CRÉD. CONSUMIDO"),V969*(1-J969)*AD969+W969*(1-J969)*AE969,
IF(AND(E969="T.S.IMP",D969="GERADO"),V969*(1-J969)*AQ969+W969*(1-J969)*AQ969,
IF(AND(E969="T.COMP",D969="GERADO"),AU969*(1-J969)*AQ969,
IF(AND(E969="FINAL-Ñ.COMP",D969="GERADO"),(AU969*(1-J969)-(X969-Z969))*AQ969,"ERRO")))))),"")</f>
        <v>1052.8585796506813</v>
      </c>
      <c r="AW969" s="74">
        <f t="shared" ref="AW969:AW1032" si="571">IF(45658=R969,0,IF(
SUMIFS($BA:$BA,$C:$C,$C969,$R:$R,EDATE($R969,-1))
&gt;=0,
SUMIFS(AY:AY,$C:$C,$C969,$R:$R,EDATE($R969,-1))-SUMIFS(BA:BA,$C:$C,$C969,$R:$R,EDATE($R969,-1)),0))</f>
        <v>0</v>
      </c>
      <c r="AX969" s="74">
        <f t="shared" ref="AX969:AX1032" si="572">IFERROR(IF(AND(E969="FINAL-Ñ.COMP",D969="CRÉD. CONSUMIDO"),(X969-(X969-Z969))*AD969+(Y969-(Y969-AA969))*AE969,
IF(AND(E969="T.COMP",D969="CRÉD. CONSUMIDO"),Z969*AD969+AA969*AE969,
IF(AND(E969="T.S.IMP",D969="CRÉD. CONSUMIDO"),V969*AD969+W969*AE969,
IF(AND(E969="T.S.IMP",D969="GERADO"),V969*AQ969+W969*AQ969,
IF(AND(E969="T.COMP",D969="GERADO"),AU969*AQ969,
IF(AND(E969="FINAL-Ñ.COMP",D969="GERADO"),(AU969-(X969-Z969))*AQ969,"ERRO"))))))+AW969,"")</f>
        <v>1461.6524000000002</v>
      </c>
      <c r="AY969" s="74">
        <f t="shared" ref="AY969:AY1032" si="573">IF(AV969=0,IF(AW969=0,"",AW969),IFERROR(ROUND(IF(SUMIFS($BA:$BA,$C:$C,$C969,$R:$R,EDATE($R969,-1))&gt;0,AV969+AW969,AV969),2),""))</f>
        <v>1052.8599999999999</v>
      </c>
      <c r="AZ969" s="129">
        <v>1052.8599999999999</v>
      </c>
      <c r="BA969" s="117">
        <v>1052.8599999999999</v>
      </c>
      <c r="BB969" s="49">
        <v>1052.8599999999999</v>
      </c>
      <c r="BC969" s="73" t="str">
        <f t="shared" ref="BC969:BC1032" si="574">IF(BB969&gt;BA969,BB969-BA969,"")</f>
        <v/>
      </c>
      <c r="BD969" s="73">
        <f t="shared" ref="BD969:BD1032" si="575">IF(AB969&gt;0,X969*AB969+Y969*AC969+AH969,AH969+
IF(AND(G969="trifasico",AB969-AD969=0),X969*(100-(AB969-AD969)),
IF(AND(G969="bifasico",AB969-AD969=0),X969*(50-(AB969-AD969)),
IF(AND(G969="monofasico",AB969-AD969=0),X969*(30-(AB969-AD969)),0))))</f>
        <v>1692.8924000000002</v>
      </c>
      <c r="BE969" s="73">
        <f t="shared" ref="BE969:BE1032" si="576">IFERROR(AS969+AV969,"")</f>
        <v>1284.0985796506814</v>
      </c>
      <c r="BF969" s="77">
        <f t="shared" ref="BF969:BF1032" si="577">ROUND(BD969-BE969,2)</f>
        <v>408.79</v>
      </c>
      <c r="BG969" s="77">
        <f t="shared" ref="BG969:BG1032" si="578">BF969*0.3</f>
        <v>122.637</v>
      </c>
      <c r="BH969" s="77">
        <f t="shared" ref="BH969:BH1032" si="579">(X969*AD969)-((X969-Z969)*AD969)</f>
        <v>1461.6524000000002</v>
      </c>
      <c r="BI969" s="78">
        <f t="shared" ref="BI969:BI1032" si="580">IFERROR(ROUND(IFERROR(IF(BF969=0,"",BF969/(AY969+Z969*J969*AD969+AA969*J969*AE969)),0),2),"")</f>
        <v>0.28000000000000003</v>
      </c>
      <c r="BJ969" s="79">
        <f t="shared" ref="BJ969:BJ1032" si="581">IFERROR(BF969/BD969,"")</f>
        <v>0.24147429570833917</v>
      </c>
      <c r="BK969" s="80">
        <f t="shared" ref="BK969:BK1032" si="582">IFERROR(AS969+AY969,"")</f>
        <v>1284.0999999999999</v>
      </c>
      <c r="BL969" s="80">
        <f t="shared" ref="BL969:BL1032" si="583">IFERROR(BD969-BK969,"")</f>
        <v>408.79240000000027</v>
      </c>
      <c r="BM969" s="79">
        <f t="shared" ref="BM969:BM1032" si="584">IFERROR(IF(BL969=0,"",BL969/BD969),"")</f>
        <v>0.24147571340033203</v>
      </c>
      <c r="BN969" s="81">
        <f t="shared" ref="BN969:BN1032" si="585">IFERROR(IF(AD969="","",AY969/(AD969+AE969)),"")</f>
        <v>0.86583881578947364</v>
      </c>
      <c r="BO969" s="82">
        <f t="shared" ref="BO969:BO1032" si="586">IF(OR(BN969="",BN969=0),"",BN969*(AD969+AE969))</f>
        <v>1052.8599999999999</v>
      </c>
      <c r="BP969" s="81">
        <f t="shared" ref="BP969:BP1032" si="587">IFERROR(IF(AD969="","",AY969/AD969),"")</f>
        <v>0.86583881578947364</v>
      </c>
      <c r="BQ969" s="81">
        <f t="shared" ref="BQ969:BQ1032" si="588">IFERROR(BP969+(X969-Z969),"")</f>
        <v>0.86585273856182998</v>
      </c>
      <c r="BR969" s="81">
        <f t="shared" ref="BR969:BR1032" si="589">IFERROR(IF(AD969="","",(X969*AD969+Y969*AE969)/(AD969+AE969)),"")</f>
        <v>1.202030699088146</v>
      </c>
      <c r="BS969" s="82">
        <f t="shared" ref="BS969:BS1032" si="590">IFERROR(IF(D969="gerado",AQ969,AD969),"")</f>
        <v>1216</v>
      </c>
      <c r="BT969" s="82">
        <f t="shared" ref="BT969:BT1032" si="591">IF(OR(BR969="",BR969=0),"",BR969*(AD969+AE969))</f>
        <v>1461.6693300911854</v>
      </c>
      <c r="BU969" s="82">
        <f t="shared" ref="BU969:BU1032" si="592">IFERROR(BS969*Z969,"")</f>
        <v>1461.6524000000002</v>
      </c>
      <c r="BW969" s="82">
        <f>IFERROR(INDEX('Infos Clientes'!$T:$T,MATCH('Detalhe Por UC'!$C969,'Infos Clientes'!B:B,0)),"")</f>
        <v>1056.1666666666667</v>
      </c>
      <c r="BX969" s="83">
        <f t="shared" ref="BX969:BX1032" si="593">IFERROR(BW969*Q969,"")</f>
        <v>0</v>
      </c>
      <c r="BY969" s="84">
        <f t="shared" ref="BY969:BY1032" si="594">IFERROR((X969-BQ969)/X969,"")</f>
        <v>0.27967502059750954</v>
      </c>
      <c r="BZ969" s="85">
        <f>IF(_xlfn.MINIFS('Detalhe Por UC'!R:R,'Detalhe Por UC'!C:C,C969,'Detalhe Por UC'!AD:AD,"&gt;"&amp;0)=0,"",_xlfn.MINIFS('Detalhe Por UC'!R:R,'Detalhe Por UC'!C:C,C969,'Detalhe Por UC'!AD:AD,"&gt;"&amp;0))</f>
        <v>45627</v>
      </c>
      <c r="CA969" s="114">
        <f ca="1">IF(OR(S969&gt;0,AD969&gt;0),IFERROR(
SUMIFS(INDIRECT("'Infos Clientes'!$W"&amp;INDEX('Infos Clientes'!$C:$C,MATCH(C969,'Infos Clientes'!$H:$H,0))&amp;":$CZ"&amp;INDEX('Infos Clientes'!$C:$C,MATCH(C969,'Infos Clientes'!$H:$H,0))),'Infos Clientes'!$W$2:$CZ$2,"&gt;"&amp;$R969-365,'Infos Clientes'!$W$2:$CZ$2,"&lt;="&amp;$R969)/
COUNTIFS(INDIRECT("'Infos Clientes'!$W"&amp;INDEX('Infos Clientes'!$C:$C,MATCH(C969,'Infos Clientes'!$H:$H,0))&amp;":$CZ"&amp;INDEX('Infos Clientes'!$C:$C,MATCH(C969,'Infos Clientes'!$H:$H,0))),"&gt;="&amp;0,'Infos Clientes'!$W$2:$CZ$2,"&gt;"&amp;$R969-365,'Infos Clientes'!$W$2:$CZ$2,"&lt;="&amp;$R969),""),"")</f>
        <v>1053.0833333333333</v>
      </c>
      <c r="CB969" s="87">
        <f>VLOOKUP(C969,'Infos Clientes'!B:L,11,0)</f>
        <v>0</v>
      </c>
      <c r="CC969" s="88" t="str">
        <f t="shared" ref="CC969:CC1032" si="595">"A Unidade Consumidora "&amp;C969&amp;" economizou R$"&amp;BF969&amp;" na fatura referente à "&amp;TEXT(R969,"mmm/aaaa")&amp;"  consumindo "&amp;AD969&amp;" kWh em créditos de energia renovável conforme fatura de energia. A economia foi de "&amp;$J969*100&amp;"% em relação ao que seria pago para a Energisa considerando os créditos consumidos. Atenção: Mantenha as contas da Energisa em dia para evitar cortes."</f>
        <v>A Unidade Consumidora 10/2605731-5 economizou R$408,79 na fatura referente à out/2025  consumindo 1216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69" s="115">
        <f t="shared" ref="CF969:CF1032" si="596">CE969-AT969</f>
        <v>-231.24</v>
      </c>
    </row>
    <row r="970" spans="1:84" ht="16.2" hidden="1" customHeight="1" x14ac:dyDescent="0.3">
      <c r="A970" s="105" t="str">
        <f>INDEX('Infos Clientes'!$D:$D,MATCH('Detalhe Por UC'!C970,'Infos Clientes'!B:B,0))</f>
        <v>IGREJA DO EVANGELHO QUADRANGULAR</v>
      </c>
      <c r="B970" s="106" t="str">
        <f>INDEX('Infos Clientes'!$F:$F,MATCH('Detalhe Por UC'!C970,'Infos Clientes'!B:B,0))</f>
        <v>62.955.505/4612-10</v>
      </c>
      <c r="C970" s="31" t="s">
        <v>57</v>
      </c>
      <c r="D970" s="31" t="s">
        <v>351</v>
      </c>
      <c r="E970" s="31" t="s">
        <v>352</v>
      </c>
      <c r="F970" s="56" t="str">
        <f>INDEX('Infos Clientes'!$I:$I,MATCH('Detalhe Por UC'!C970,'Infos Clientes'!B:B,0))</f>
        <v>BT</v>
      </c>
      <c r="G970" s="56" t="str">
        <f>INDEX('Infos Clientes'!$J:$J,MATCH('Detalhe Por UC'!C970,'Infos Clientes'!B:B,0))</f>
        <v>trifasico</v>
      </c>
      <c r="H970" s="156" t="s">
        <v>24</v>
      </c>
      <c r="I970" s="58">
        <f>IFERROR(VLOOKUP(C970,'Infos Clientes'!B:E,4,),"")</f>
        <v>306</v>
      </c>
      <c r="J970" s="152">
        <v>0.2796792317717392</v>
      </c>
      <c r="K970" s="79">
        <f>INDEX('Resumo Operacional'!$A$1:$P$151,MATCH("Desconto percentual Ucs",'Resumo Operacional'!$B$1:$B$151,0),MATCH('Detalhe Por UC'!$R970,'Resumo Operacional'!$A$1:$P$1,0))</f>
        <v>0.26414553913427991</v>
      </c>
      <c r="M970" s="56"/>
      <c r="N970" s="56"/>
      <c r="O970" s="56"/>
      <c r="P970" s="56"/>
      <c r="Q970" s="61"/>
      <c r="R970" s="111">
        <v>45931</v>
      </c>
      <c r="S970" s="152">
        <v>4.9500000000000002E-2</v>
      </c>
      <c r="T970" s="113">
        <f>IF($H970="GIROSSOL II",AP970/INDEX('Resumo Operacional'!$A$1:$P$1103,17,MATCH('Detalhe Por UC'!$R970,'Resumo Operacional'!$A$1:$P$1,0)),
IF($H970="GIROSSOL II e III",AP970/INDEX('Resumo Operacional'!$A$1:$P$1103,17,MATCH('Detalhe Por UC'!$R970,'Resumo Operacional'!$A$1:$P$1,0)),
""))</f>
        <v>0.11174785100286533</v>
      </c>
      <c r="U970" s="113" t="str">
        <f>IF($H970="GIROSSOL III",AP970/INDEX('Resumo Operacional'!$A$1:$P$1103,53,MATCH('Detalhe Por UC'!$R970,'Resumo Operacional'!$A$1:$P$1,0)),
IF($H970="GIROSSOL II e III",AP970/INDEX('Resumo Operacional'!$A$1:$P$1103,53,MATCH('Detalhe Por UC'!$R970,'Resumo Operacional'!$A$1:$P$1,0)),
""))</f>
        <v/>
      </c>
      <c r="X970">
        <v>1.224729117259552</v>
      </c>
      <c r="Z970" s="18">
        <v>1.2247183611532626</v>
      </c>
      <c r="AB970" s="18">
        <v>759</v>
      </c>
      <c r="AD970" s="143">
        <v>659</v>
      </c>
      <c r="AF970" s="18">
        <v>823</v>
      </c>
      <c r="AH970">
        <v>123.35</v>
      </c>
      <c r="AL970" s="43"/>
      <c r="AN970" s="71">
        <f t="shared" si="563"/>
        <v>823</v>
      </c>
      <c r="AO970" s="71">
        <f t="shared" si="564"/>
        <v>0</v>
      </c>
      <c r="AP970" s="71">
        <f t="shared" si="565"/>
        <v>1482</v>
      </c>
      <c r="AQ970" s="72">
        <f>IF(OR($H970="GIROSSOL II",$H970="GIROSSOL II e III"),INDEX('Resumo Operacional'!$A$1:$P$1103,MATCH("Energia Injetada prevista total Fatura da Usina (TUSD)",'Resumo Operacional'!$B$1:$B$1103,0),MATCH('Detalhe Por UC'!$R970,'Resumo Operacional'!$A$1:$P$1,0))*$S970,INDEX('Resumo Operacional'!$A$1:$P$1103,53,MATCH('Detalhe Por UC'!$R970,'Resumo Operacional'!$A$1:$P$1,0))*$S970)</f>
        <v>656.46900000000005</v>
      </c>
      <c r="AR970" s="71">
        <f t="shared" si="566"/>
        <v>825.53099999999995</v>
      </c>
      <c r="AS970" s="73">
        <f t="shared" si="567"/>
        <v>245.8299999999999</v>
      </c>
      <c r="AT970" s="74">
        <f t="shared" si="568"/>
        <v>245.8299999999999</v>
      </c>
      <c r="AU970" s="74">
        <f t="shared" si="569"/>
        <v>1.2247076050469732</v>
      </c>
      <c r="AV970" s="74">
        <f t="shared" si="570"/>
        <v>581.36325663688615</v>
      </c>
      <c r="AW970" s="74">
        <f t="shared" si="571"/>
        <v>0</v>
      </c>
      <c r="AX970" s="74">
        <f t="shared" si="572"/>
        <v>807.08940000000007</v>
      </c>
      <c r="AY970" s="74">
        <f t="shared" si="573"/>
        <v>581.36</v>
      </c>
      <c r="AZ970" s="129">
        <v>533.85</v>
      </c>
      <c r="BA970" s="117">
        <v>533.85</v>
      </c>
      <c r="BB970" s="49">
        <v>533.85</v>
      </c>
      <c r="BC970" s="73" t="str">
        <f t="shared" si="574"/>
        <v/>
      </c>
      <c r="BD970" s="73">
        <f t="shared" si="575"/>
        <v>1052.9194</v>
      </c>
      <c r="BE970" s="73">
        <f t="shared" si="576"/>
        <v>827.19325663688608</v>
      </c>
      <c r="BF970" s="77">
        <f t="shared" si="577"/>
        <v>225.73</v>
      </c>
      <c r="BG970" s="77">
        <f t="shared" si="578"/>
        <v>67.718999999999994</v>
      </c>
      <c r="BH970" s="77">
        <f t="shared" si="579"/>
        <v>807.08940000000007</v>
      </c>
      <c r="BI970" s="78">
        <f t="shared" si="580"/>
        <v>0.28000000000000003</v>
      </c>
      <c r="BJ970" s="79">
        <f t="shared" si="581"/>
        <v>0.21438488074205869</v>
      </c>
      <c r="BK970" s="80">
        <f t="shared" si="582"/>
        <v>827.18999999999994</v>
      </c>
      <c r="BL970" s="80">
        <f t="shared" si="583"/>
        <v>225.72940000000006</v>
      </c>
      <c r="BM970" s="79">
        <f t="shared" si="584"/>
        <v>0.21438431089787124</v>
      </c>
      <c r="BN970" s="81">
        <f t="shared" si="585"/>
        <v>0.88218512898330803</v>
      </c>
      <c r="BO970" s="82">
        <f t="shared" si="586"/>
        <v>581.36</v>
      </c>
      <c r="BP970" s="81">
        <f t="shared" si="587"/>
        <v>0.88218512898330803</v>
      </c>
      <c r="BQ970" s="81">
        <f t="shared" si="588"/>
        <v>0.88219588508959745</v>
      </c>
      <c r="BR970" s="81">
        <f t="shared" si="589"/>
        <v>1.224729117259552</v>
      </c>
      <c r="BS970" s="82">
        <f t="shared" si="590"/>
        <v>659</v>
      </c>
      <c r="BT970" s="82">
        <f t="shared" si="591"/>
        <v>807.09648827404476</v>
      </c>
      <c r="BU970" s="82">
        <f t="shared" si="592"/>
        <v>807.08940000000007</v>
      </c>
      <c r="BW970" s="82">
        <f>IFERROR(INDEX('Infos Clientes'!$T:$T,MATCH('Detalhe Por UC'!$C970,'Infos Clientes'!B:B,0)),"")</f>
        <v>511.41666666666669</v>
      </c>
      <c r="BX970" s="83">
        <f t="shared" si="593"/>
        <v>0</v>
      </c>
      <c r="BY970" s="84">
        <f t="shared" si="594"/>
        <v>0.27968081050967847</v>
      </c>
      <c r="BZ970" s="85">
        <f>IF(_xlfn.MINIFS('Detalhe Por UC'!R:R,'Detalhe Por UC'!C:C,C970,'Detalhe Por UC'!AD:AD,"&gt;"&amp;0)=0,"",_xlfn.MINIFS('Detalhe Por UC'!R:R,'Detalhe Por UC'!C:C,C970,'Detalhe Por UC'!AD:AD,"&gt;"&amp;0))</f>
        <v>45627</v>
      </c>
      <c r="CA970" s="114">
        <f ca="1">IF(OR(S970&gt;0,AD970&gt;0),IFERROR(
SUMIFS(INDIRECT("'Infos Clientes'!$W"&amp;INDEX('Infos Clientes'!$C:$C,MATCH(C970,'Infos Clientes'!$H:$H,0))&amp;":$CZ"&amp;INDEX('Infos Clientes'!$C:$C,MATCH(C970,'Infos Clientes'!$H:$H,0))),'Infos Clientes'!$W$2:$CZ$2,"&gt;"&amp;$R970-365,'Infos Clientes'!$W$2:$CZ$2,"&lt;="&amp;$R970)/
COUNTIFS(INDIRECT("'Infos Clientes'!$W"&amp;INDEX('Infos Clientes'!$C:$C,MATCH(C970,'Infos Clientes'!$H:$H,0))&amp;":$CZ"&amp;INDEX('Infos Clientes'!$C:$C,MATCH(C970,'Infos Clientes'!$H:$H,0))),"&gt;="&amp;0,'Infos Clientes'!$W$2:$CZ$2,"&gt;"&amp;$R970-365,'Infos Clientes'!$W$2:$CZ$2,"&lt;="&amp;$R970),""),"")</f>
        <v>748.58333333333337</v>
      </c>
      <c r="CB970" s="87">
        <f>VLOOKUP(C970,'Infos Clientes'!B:L,11,0)</f>
        <v>0</v>
      </c>
      <c r="CC970" s="88" t="str">
        <f t="shared" si="595"/>
        <v>A Unidade Consumidora 10/1695011-5 economizou R$225,73 na fatura referente à out/2025  consumindo 659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0" s="115">
        <f t="shared" si="596"/>
        <v>-245.8299999999999</v>
      </c>
    </row>
    <row r="971" spans="1:84" ht="16.2" hidden="1" customHeight="1" x14ac:dyDescent="0.3">
      <c r="A971" s="105" t="str">
        <f>INDEX('Infos Clientes'!$D:$D,MATCH('Detalhe Por UC'!C971,'Infos Clientes'!B:B,0))</f>
        <v>IGREJA DO EVANGELHO QUADRANGULAR</v>
      </c>
      <c r="B971" s="106" t="str">
        <f>INDEX('Infos Clientes'!$F:$F,MATCH('Detalhe Por UC'!C971,'Infos Clientes'!B:B,0))</f>
        <v>62.955.505/3793-95</v>
      </c>
      <c r="C971" s="31" t="s">
        <v>84</v>
      </c>
      <c r="D971" s="31" t="s">
        <v>351</v>
      </c>
      <c r="E971" s="31" t="s">
        <v>352</v>
      </c>
      <c r="F971" s="56" t="str">
        <f>INDEX('Infos Clientes'!$I:$I,MATCH('Detalhe Por UC'!C971,'Infos Clientes'!B:B,0))</f>
        <v>BT</v>
      </c>
      <c r="G971" s="56" t="str">
        <f>INDEX('Infos Clientes'!$J:$J,MATCH('Detalhe Por UC'!C971,'Infos Clientes'!B:B,0))</f>
        <v>trifasico</v>
      </c>
      <c r="H971" s="156" t="s">
        <v>24</v>
      </c>
      <c r="I971" s="58">
        <f>IFERROR(VLOOKUP(C971,'Infos Clientes'!B:E,4,),"")</f>
        <v>302</v>
      </c>
      <c r="J971" s="152">
        <v>0.2796792317717392</v>
      </c>
      <c r="K971" s="79">
        <f>INDEX('Resumo Operacional'!$A$1:$P$151,MATCH("Desconto percentual Ucs",'Resumo Operacional'!$B$1:$B$151,0),MATCH('Detalhe Por UC'!$R971,'Resumo Operacional'!$A$1:$P$1,0))</f>
        <v>0.26414553913427991</v>
      </c>
      <c r="M971" s="56"/>
      <c r="N971" s="56"/>
      <c r="O971" s="56"/>
      <c r="P971" s="56"/>
      <c r="Q971" s="61"/>
      <c r="R971" s="111">
        <v>45931</v>
      </c>
      <c r="S971" s="152">
        <v>4.5699999999999998E-2</v>
      </c>
      <c r="T971" s="113">
        <f>IF($H971="GIROSSOL II",AP971/INDEX('Resumo Operacional'!$A$1:$P$1103,17,MATCH('Detalhe Por UC'!$R971,'Resumo Operacional'!$A$1:$P$1,0)),
IF($H971="GIROSSOL II e III",AP971/INDEX('Resumo Operacional'!$A$1:$P$1103,17,MATCH('Detalhe Por UC'!$R971,'Resumo Operacional'!$A$1:$P$1,0)),
""))</f>
        <v>4.2075101794601118E-2</v>
      </c>
      <c r="U971" s="113" t="str">
        <f>IF($H971="GIROSSOL III",AP971/INDEX('Resumo Operacional'!$A$1:$P$1103,53,MATCH('Detalhe Por UC'!$R971,'Resumo Operacional'!$A$1:$P$1,0)),
IF($H971="GIROSSOL II e III",AP971/INDEX('Resumo Operacional'!$A$1:$P$1103,53,MATCH('Detalhe Por UC'!$R971,'Resumo Operacional'!$A$1:$P$1,0)),
""))</f>
        <v/>
      </c>
      <c r="X971">
        <v>1.2322274586939419</v>
      </c>
      <c r="Z971" s="31">
        <v>1.2322041844577285</v>
      </c>
      <c r="AB971">
        <v>1271</v>
      </c>
      <c r="AD971">
        <v>1171</v>
      </c>
      <c r="AF971">
        <v>529</v>
      </c>
      <c r="AG971">
        <v>0</v>
      </c>
      <c r="AH971">
        <v>2.7699999999999996</v>
      </c>
      <c r="AL971" s="43"/>
      <c r="AN971" s="71">
        <f t="shared" si="563"/>
        <v>-613</v>
      </c>
      <c r="AO971" s="71">
        <f t="shared" si="564"/>
        <v>0</v>
      </c>
      <c r="AP971" s="71">
        <f t="shared" si="565"/>
        <v>558</v>
      </c>
      <c r="AQ971" s="72">
        <f>IF(OR($H971="GIROSSOL II",$H971="GIROSSOL II e III"),INDEX('Resumo Operacional'!$A$1:$P$1103,MATCH("Energia Injetada prevista total Fatura da Usina (TUSD)",'Resumo Operacional'!$B$1:$B$1103,0),MATCH('Detalhe Por UC'!$R971,'Resumo Operacional'!$A$1:$P$1,0))*$S971,INDEX('Resumo Operacional'!$A$1:$P$1103,53,MATCH('Detalhe Por UC'!$R971,'Resumo Operacional'!$A$1:$P$1,0))*$S971)</f>
        <v>606.07339999999999</v>
      </c>
      <c r="AR971" s="71">
        <f t="shared" si="566"/>
        <v>-48.073399999999992</v>
      </c>
      <c r="AS971" s="73">
        <f t="shared" si="567"/>
        <v>126.02000000000022</v>
      </c>
      <c r="AT971" s="74">
        <f t="shared" si="568"/>
        <v>126.02000000000022</v>
      </c>
      <c r="AU971" s="74">
        <f t="shared" si="569"/>
        <v>1.2321809102215151</v>
      </c>
      <c r="AV971" s="74">
        <f t="shared" si="570"/>
        <v>1039.358832037085</v>
      </c>
      <c r="AW971" s="74">
        <f t="shared" si="571"/>
        <v>0</v>
      </c>
      <c r="AX971" s="74">
        <f t="shared" si="572"/>
        <v>1442.9111</v>
      </c>
      <c r="AY971" s="74">
        <f t="shared" si="573"/>
        <v>1039.3599999999999</v>
      </c>
      <c r="AZ971" s="129">
        <v>1039.3599999999999</v>
      </c>
      <c r="BA971" s="117">
        <v>1039.3599999999999</v>
      </c>
      <c r="BB971" s="49">
        <v>1039.3599999999999</v>
      </c>
      <c r="BC971" s="73" t="str">
        <f t="shared" si="574"/>
        <v/>
      </c>
      <c r="BD971" s="73">
        <f t="shared" si="575"/>
        <v>1568.9311000000002</v>
      </c>
      <c r="BE971" s="73">
        <f t="shared" si="576"/>
        <v>1165.3788320370852</v>
      </c>
      <c r="BF971" s="77">
        <f t="shared" si="577"/>
        <v>403.55</v>
      </c>
      <c r="BG971" s="77">
        <f t="shared" si="578"/>
        <v>121.065</v>
      </c>
      <c r="BH971" s="77">
        <f t="shared" si="579"/>
        <v>1442.9111000000003</v>
      </c>
      <c r="BI971" s="78">
        <f t="shared" si="580"/>
        <v>0.28000000000000003</v>
      </c>
      <c r="BJ971" s="79">
        <f t="shared" si="581"/>
        <v>0.25721333460723672</v>
      </c>
      <c r="BK971" s="80">
        <f t="shared" si="582"/>
        <v>1165.3800000000001</v>
      </c>
      <c r="BL971" s="80">
        <f t="shared" si="583"/>
        <v>403.55110000000013</v>
      </c>
      <c r="BM971" s="79">
        <f t="shared" si="584"/>
        <v>0.25721403572151769</v>
      </c>
      <c r="BN971" s="81">
        <f t="shared" si="585"/>
        <v>0.88758326216908612</v>
      </c>
      <c r="BO971" s="82">
        <f t="shared" si="586"/>
        <v>1039.3599999999999</v>
      </c>
      <c r="BP971" s="81">
        <f t="shared" si="587"/>
        <v>0.88758326216908612</v>
      </c>
      <c r="BQ971" s="81">
        <f t="shared" si="588"/>
        <v>0.88760653640529952</v>
      </c>
      <c r="BR971" s="81">
        <f t="shared" si="589"/>
        <v>1.2322274586939419</v>
      </c>
      <c r="BS971" s="82">
        <f t="shared" si="590"/>
        <v>1171</v>
      </c>
      <c r="BT971" s="82">
        <f t="shared" si="591"/>
        <v>1442.9383541306061</v>
      </c>
      <c r="BU971" s="82">
        <f t="shared" si="592"/>
        <v>1442.9111</v>
      </c>
      <c r="BW971" s="82">
        <f>IFERROR(INDEX('Infos Clientes'!$T:$T,MATCH('Detalhe Por UC'!$C971,'Infos Clientes'!B:B,0)),"")</f>
        <v>818</v>
      </c>
      <c r="BX971" s="83">
        <f t="shared" si="593"/>
        <v>0</v>
      </c>
      <c r="BY971" s="84">
        <f t="shared" si="594"/>
        <v>0.27967313977397629</v>
      </c>
      <c r="BZ971" s="85">
        <f>IF(_xlfn.MINIFS('Detalhe Por UC'!R:R,'Detalhe Por UC'!C:C,C971,'Detalhe Por UC'!AD:AD,"&gt;"&amp;0)=0,"",_xlfn.MINIFS('Detalhe Por UC'!R:R,'Detalhe Por UC'!C:C,C971,'Detalhe Por UC'!AD:AD,"&gt;"&amp;0))</f>
        <v>45627</v>
      </c>
      <c r="CA971" s="114">
        <f ca="1">IF(OR(S971&gt;0,AD971&gt;0),IFERROR(
SUMIFS(INDIRECT("'Infos Clientes'!$W"&amp;INDEX('Infos Clientes'!$C:$C,MATCH(C971,'Infos Clientes'!$H:$H,0))&amp;":$CZ"&amp;INDEX('Infos Clientes'!$C:$C,MATCH(C971,'Infos Clientes'!$H:$H,0))),'Infos Clientes'!$W$2:$CZ$2,"&gt;"&amp;$R971-365,'Infos Clientes'!$W$2:$CZ$2,"&lt;="&amp;$R971)/
COUNTIFS(INDIRECT("'Infos Clientes'!$W"&amp;INDEX('Infos Clientes'!$C:$C,MATCH(C971,'Infos Clientes'!$H:$H,0))&amp;":$CZ"&amp;INDEX('Infos Clientes'!$C:$C,MATCH(C971,'Infos Clientes'!$H:$H,0))),"&gt;="&amp;0,'Infos Clientes'!$W$2:$CZ$2,"&gt;"&amp;$R971-365,'Infos Clientes'!$W$2:$CZ$2,"&lt;="&amp;$R971),""),"")</f>
        <v>853.58333333333337</v>
      </c>
      <c r="CB971" s="87">
        <f>VLOOKUP(C971,'Infos Clientes'!B:L,11,0)</f>
        <v>0</v>
      </c>
      <c r="CC971" s="88" t="str">
        <f t="shared" si="595"/>
        <v>A Unidade Consumidora 10/2599101-9 economizou R$403,55 na fatura referente à out/2025  consumindo 1171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1" s="115">
        <f t="shared" si="596"/>
        <v>-126.02000000000022</v>
      </c>
    </row>
    <row r="972" spans="1:84" ht="16.2" hidden="1" customHeight="1" x14ac:dyDescent="0.3">
      <c r="A972" s="105" t="str">
        <f>INDEX('Infos Clientes'!$D:$D,MATCH('Detalhe Por UC'!C972,'Infos Clientes'!B:B,0))</f>
        <v>IGREJA DO EVANGELHO QUADRANGULAR</v>
      </c>
      <c r="B972" s="106" t="str">
        <f>INDEX('Infos Clientes'!$F:$F,MATCH('Detalhe Por UC'!C972,'Infos Clientes'!B:B,0))</f>
        <v>62.955.505/2157-91</v>
      </c>
      <c r="C972" s="31" t="s">
        <v>64</v>
      </c>
      <c r="D972" s="31" t="s">
        <v>351</v>
      </c>
      <c r="E972" s="31" t="s">
        <v>352</v>
      </c>
      <c r="F972" s="56" t="str">
        <f>INDEX('Infos Clientes'!$I:$I,MATCH('Detalhe Por UC'!C972,'Infos Clientes'!B:B,0))</f>
        <v>BT</v>
      </c>
      <c r="G972" s="56" t="str">
        <f>INDEX('Infos Clientes'!$J:$J,MATCH('Detalhe Por UC'!C972,'Infos Clientes'!B:B,0))</f>
        <v>trifasico</v>
      </c>
      <c r="H972" s="156" t="s">
        <v>24</v>
      </c>
      <c r="I972" s="58">
        <f>IFERROR(VLOOKUP(C972,'Infos Clientes'!B:E,4,),"")</f>
        <v>349</v>
      </c>
      <c r="J972" s="152">
        <v>0.2796792317717392</v>
      </c>
      <c r="K972" s="79">
        <f>INDEX('Resumo Operacional'!$A$1:$P$151,MATCH("Desconto percentual Ucs",'Resumo Operacional'!$B$1:$B$151,0),MATCH('Detalhe Por UC'!$R972,'Resumo Operacional'!$A$1:$P$1,0))</f>
        <v>0.26414553913427991</v>
      </c>
      <c r="M972" s="56"/>
      <c r="N972" s="56"/>
      <c r="O972" s="56"/>
      <c r="P972" s="56"/>
      <c r="Q972" s="61"/>
      <c r="R972" s="111">
        <v>45931</v>
      </c>
      <c r="S972" s="152">
        <v>3.6900000000000002E-2</v>
      </c>
      <c r="T972" s="113">
        <f>IF($H972="GIROSSOL II",AP972/INDEX('Resumo Operacional'!$A$1:$P$1103,17,MATCH('Detalhe Por UC'!$R972,'Resumo Operacional'!$A$1:$P$1,0)),
IF($H972="GIROSSOL II e III",AP972/INDEX('Resumo Operacional'!$A$1:$P$1103,17,MATCH('Detalhe Por UC'!$R972,'Resumo Operacional'!$A$1:$P$1,0)),
""))</f>
        <v>4.4337204041622683E-2</v>
      </c>
      <c r="U972" s="113" t="str">
        <f>IF($H972="GIROSSOL III",AP972/INDEX('Resumo Operacional'!$A$1:$P$1103,53,MATCH('Detalhe Por UC'!$R972,'Resumo Operacional'!$A$1:$P$1,0)),
IF($H972="GIROSSOL II e III",AP972/INDEX('Resumo Operacional'!$A$1:$P$1103,53,MATCH('Detalhe Por UC'!$R972,'Resumo Operacional'!$A$1:$P$1,0)),
""))</f>
        <v/>
      </c>
      <c r="X972">
        <v>1.2018307339449543</v>
      </c>
      <c r="Z972" s="54">
        <v>1.2018217616580311</v>
      </c>
      <c r="AB972" s="18">
        <v>872</v>
      </c>
      <c r="AD972" s="143">
        <v>772</v>
      </c>
      <c r="AF972" s="18">
        <v>436</v>
      </c>
      <c r="AH972">
        <v>185.03</v>
      </c>
      <c r="AL972" s="43"/>
      <c r="AN972" s="71">
        <f t="shared" si="563"/>
        <v>-184</v>
      </c>
      <c r="AO972" s="71">
        <f t="shared" si="564"/>
        <v>0</v>
      </c>
      <c r="AP972" s="71">
        <f t="shared" si="565"/>
        <v>588</v>
      </c>
      <c r="AQ972" s="72">
        <f>IF(OR($H972="GIROSSOL II",$H972="GIROSSOL II e III"),INDEX('Resumo Operacional'!$A$1:$P$1103,MATCH("Energia Injetada prevista total Fatura da Usina (TUSD)",'Resumo Operacional'!$B$1:$B$1103,0),MATCH('Detalhe Por UC'!$R972,'Resumo Operacional'!$A$1:$P$1,0))*$S972,INDEX('Resumo Operacional'!$A$1:$P$1103,53,MATCH('Detalhe Por UC'!$R972,'Resumo Operacional'!$A$1:$P$1,0))*$S972)</f>
        <v>489.36780000000005</v>
      </c>
      <c r="AR972" s="71">
        <f t="shared" si="566"/>
        <v>98.632199999999955</v>
      </c>
      <c r="AS972" s="73">
        <f t="shared" si="567"/>
        <v>305.22000000000014</v>
      </c>
      <c r="AT972" s="74">
        <f t="shared" si="568"/>
        <v>305.22000000000014</v>
      </c>
      <c r="AU972" s="74">
        <f t="shared" si="569"/>
        <v>1.2018127893711079</v>
      </c>
      <c r="AV972" s="74">
        <f t="shared" si="570"/>
        <v>668.31821881509711</v>
      </c>
      <c r="AW972" s="74">
        <f t="shared" si="571"/>
        <v>0</v>
      </c>
      <c r="AX972" s="74">
        <f t="shared" si="572"/>
        <v>927.80640000000005</v>
      </c>
      <c r="AY972" s="74">
        <f t="shared" si="573"/>
        <v>668.32</v>
      </c>
      <c r="AZ972" s="129">
        <v>668.32</v>
      </c>
      <c r="BA972" s="117">
        <v>668.32</v>
      </c>
      <c r="BB972" s="49">
        <v>668.32</v>
      </c>
      <c r="BC972" s="73" t="str">
        <f t="shared" si="574"/>
        <v/>
      </c>
      <c r="BD972" s="73">
        <f t="shared" si="575"/>
        <v>1233.0264000000002</v>
      </c>
      <c r="BE972" s="73">
        <f t="shared" si="576"/>
        <v>973.53821881509725</v>
      </c>
      <c r="BF972" s="77">
        <f t="shared" si="577"/>
        <v>259.49</v>
      </c>
      <c r="BG972" s="77">
        <f t="shared" si="578"/>
        <v>77.846999999999994</v>
      </c>
      <c r="BH972" s="77">
        <f t="shared" si="579"/>
        <v>927.80639999999994</v>
      </c>
      <c r="BI972" s="78">
        <f t="shared" si="580"/>
        <v>0.28000000000000003</v>
      </c>
      <c r="BJ972" s="79">
        <f t="shared" si="581"/>
        <v>0.21044967082618829</v>
      </c>
      <c r="BK972" s="80">
        <f t="shared" si="582"/>
        <v>973.54000000000019</v>
      </c>
      <c r="BL972" s="80">
        <f t="shared" si="583"/>
        <v>259.4864</v>
      </c>
      <c r="BM972" s="79">
        <f t="shared" si="584"/>
        <v>0.21044675118067219</v>
      </c>
      <c r="BN972" s="81">
        <f t="shared" si="585"/>
        <v>0.865699481865285</v>
      </c>
      <c r="BO972" s="82">
        <f t="shared" si="586"/>
        <v>668.32</v>
      </c>
      <c r="BP972" s="81">
        <f t="shared" si="587"/>
        <v>0.865699481865285</v>
      </c>
      <c r="BQ972" s="81">
        <f t="shared" si="588"/>
        <v>0.86570845415220821</v>
      </c>
      <c r="BR972" s="81">
        <f t="shared" si="589"/>
        <v>1.2018307339449543</v>
      </c>
      <c r="BS972" s="82">
        <f t="shared" si="590"/>
        <v>772</v>
      </c>
      <c r="BT972" s="82">
        <f t="shared" si="591"/>
        <v>927.8133266055047</v>
      </c>
      <c r="BU972" s="82">
        <f t="shared" si="592"/>
        <v>927.80640000000005</v>
      </c>
      <c r="BW972" s="82">
        <f>IFERROR(INDEX('Infos Clientes'!$T:$T,MATCH('Detalhe Por UC'!$C972,'Infos Clientes'!B:B,0)),"")</f>
        <v>802.5</v>
      </c>
      <c r="BX972" s="83">
        <f t="shared" si="593"/>
        <v>0</v>
      </c>
      <c r="BY972" s="84">
        <f t="shared" si="594"/>
        <v>0.27967522405542095</v>
      </c>
      <c r="BZ972" s="85">
        <f>IF(_xlfn.MINIFS('Detalhe Por UC'!R:R,'Detalhe Por UC'!C:C,C972,'Detalhe Por UC'!AD:AD,"&gt;"&amp;0)=0,"",_xlfn.MINIFS('Detalhe Por UC'!R:R,'Detalhe Por UC'!C:C,C972,'Detalhe Por UC'!AD:AD,"&gt;"&amp;0))</f>
        <v>45627</v>
      </c>
      <c r="CA972" s="114">
        <f ca="1">IF(OR(S972&gt;0,AD972&gt;0),IFERROR(
SUMIFS(INDIRECT("'Infos Clientes'!$W"&amp;INDEX('Infos Clientes'!$C:$C,MATCH(C972,'Infos Clientes'!$H:$H,0))&amp;":$CZ"&amp;INDEX('Infos Clientes'!$C:$C,MATCH(C972,'Infos Clientes'!$H:$H,0))),'Infos Clientes'!$W$2:$CZ$2,"&gt;"&amp;$R972-365,'Infos Clientes'!$W$2:$CZ$2,"&lt;="&amp;$R972)/
COUNTIFS(INDIRECT("'Infos Clientes'!$W"&amp;INDEX('Infos Clientes'!$C:$C,MATCH(C972,'Infos Clientes'!$H:$H,0))&amp;":$CZ"&amp;INDEX('Infos Clientes'!$C:$C,MATCH(C972,'Infos Clientes'!$H:$H,0))),"&gt;="&amp;0,'Infos Clientes'!$W$2:$CZ$2,"&gt;"&amp;$R972-365,'Infos Clientes'!$W$2:$CZ$2,"&lt;="&amp;$R972),""),"")</f>
        <v>736.25</v>
      </c>
      <c r="CB972" s="87">
        <f>VLOOKUP(C972,'Infos Clientes'!B:L,11,0)</f>
        <v>0</v>
      </c>
      <c r="CC972" s="88" t="str">
        <f t="shared" si="595"/>
        <v>A Unidade Consumidora 10/191945-5 economizou R$259,49 na fatura referente à out/2025  consumindo 772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2" s="115">
        <f t="shared" si="596"/>
        <v>-305.22000000000014</v>
      </c>
    </row>
    <row r="973" spans="1:84" ht="16.2" hidden="1" customHeight="1" x14ac:dyDescent="0.3">
      <c r="A973" s="105" t="str">
        <f>INDEX('Infos Clientes'!$D:$D,MATCH('Detalhe Por UC'!C973,'Infos Clientes'!B:B,0))</f>
        <v>IGREJA DO EVANGELHO QUADRANGULAR</v>
      </c>
      <c r="B973" s="106" t="str">
        <f>INDEX('Infos Clientes'!$F:$F,MATCH('Detalhe Por UC'!C973,'Infos Clientes'!B:B,0))</f>
        <v>62.955.505/3671-17</v>
      </c>
      <c r="C973" s="31" t="s">
        <v>111</v>
      </c>
      <c r="D973" s="31" t="s">
        <v>351</v>
      </c>
      <c r="E973" s="31" t="s">
        <v>352</v>
      </c>
      <c r="F973" s="56" t="str">
        <f>INDEX('Infos Clientes'!$I:$I,MATCH('Detalhe Por UC'!C973,'Infos Clientes'!B:B,0))</f>
        <v>BT</v>
      </c>
      <c r="G973" s="56" t="str">
        <f>INDEX('Infos Clientes'!$J:$J,MATCH('Detalhe Por UC'!C973,'Infos Clientes'!B:B,0))</f>
        <v>trifasico</v>
      </c>
      <c r="H973" s="156" t="s">
        <v>24</v>
      </c>
      <c r="I973" s="58">
        <f>IFERROR(VLOOKUP(C973,'Infos Clientes'!B:E,4,),"")</f>
        <v>358</v>
      </c>
      <c r="J973" s="152">
        <v>0.2796792317717392</v>
      </c>
      <c r="K973" s="79">
        <f>INDEX('Resumo Operacional'!$A$1:$P$151,MATCH("Desconto percentual Ucs",'Resumo Operacional'!$B$1:$B$151,0),MATCH('Detalhe Por UC'!$R973,'Resumo Operacional'!$A$1:$P$1,0))</f>
        <v>0.26414553913427991</v>
      </c>
      <c r="M973" s="56"/>
      <c r="N973" s="56"/>
      <c r="O973" s="56"/>
      <c r="P973" s="56"/>
      <c r="Q973" s="61"/>
      <c r="R973" s="111">
        <v>45931</v>
      </c>
      <c r="S973" s="152">
        <v>3.6299999999999999E-2</v>
      </c>
      <c r="T973" s="113">
        <f>IF($H973="GIROSSOL II",AP973/INDEX('Resumo Operacional'!$A$1:$P$1103,17,MATCH('Detalhe Por UC'!$R973,'Resumo Operacional'!$A$1:$P$1,0)),
IF($H973="GIROSSOL II e III",AP973/INDEX('Resumo Operacional'!$A$1:$P$1103,17,MATCH('Detalhe Por UC'!$R973,'Resumo Operacional'!$A$1:$P$1,0)),
""))</f>
        <v>2.5561755391343689E-2</v>
      </c>
      <c r="U973" s="113" t="str">
        <f>IF($H973="GIROSSOL III",AP973/INDEX('Resumo Operacional'!$A$1:$P$1103,53,MATCH('Detalhe Por UC'!$R973,'Resumo Operacional'!$A$1:$P$1,0)),
IF($H973="GIROSSOL II e III",AP973/INDEX('Resumo Operacional'!$A$1:$P$1103,53,MATCH('Detalhe Por UC'!$R973,'Resumo Operacional'!$A$1:$P$1,0)),
""))</f>
        <v/>
      </c>
      <c r="X973">
        <v>1.217230081300813</v>
      </c>
      <c r="Z973" s="18">
        <v>1.2172122448979592</v>
      </c>
      <c r="AB973" s="18">
        <v>492</v>
      </c>
      <c r="AD973" s="143">
        <v>392</v>
      </c>
      <c r="AF973" s="18">
        <v>933</v>
      </c>
      <c r="AH973">
        <v>67.160000000000011</v>
      </c>
      <c r="AL973" s="43"/>
      <c r="AN973" s="71">
        <f t="shared" si="563"/>
        <v>-53</v>
      </c>
      <c r="AO973" s="71">
        <f t="shared" si="564"/>
        <v>0</v>
      </c>
      <c r="AP973" s="71">
        <f t="shared" si="565"/>
        <v>339</v>
      </c>
      <c r="AQ973" s="72">
        <f>IF(OR($H973="GIROSSOL II",$H973="GIROSSOL II e III"),INDEX('Resumo Operacional'!$A$1:$P$1103,MATCH("Energia Injetada prevista total Fatura da Usina (TUSD)",'Resumo Operacional'!$B$1:$B$1103,0),MATCH('Detalhe Por UC'!$R973,'Resumo Operacional'!$A$1:$P$1,0))*$S973,INDEX('Resumo Operacional'!$A$1:$P$1103,53,MATCH('Detalhe Por UC'!$R973,'Resumo Operacional'!$A$1:$P$1,0))*$S973)</f>
        <v>481.41059999999999</v>
      </c>
      <c r="AR973" s="71">
        <f t="shared" si="566"/>
        <v>-142.41059999999999</v>
      </c>
      <c r="AS973" s="73">
        <f t="shared" si="567"/>
        <v>188.89000000000004</v>
      </c>
      <c r="AT973" s="74">
        <f t="shared" si="568"/>
        <v>188.89000000000004</v>
      </c>
      <c r="AU973" s="74">
        <f t="shared" si="569"/>
        <v>1.2171944084951054</v>
      </c>
      <c r="AV973" s="74">
        <f t="shared" si="570"/>
        <v>343.69903766196364</v>
      </c>
      <c r="AW973" s="74">
        <f t="shared" si="571"/>
        <v>0</v>
      </c>
      <c r="AX973" s="74">
        <f t="shared" si="572"/>
        <v>477.1472</v>
      </c>
      <c r="AY973" s="74">
        <f t="shared" si="573"/>
        <v>343.7</v>
      </c>
      <c r="AZ973" s="129">
        <v>343.83</v>
      </c>
      <c r="BA973" s="117">
        <v>343.83</v>
      </c>
      <c r="BB973" s="49">
        <v>343.7</v>
      </c>
      <c r="BC973" s="73" t="str">
        <f t="shared" si="574"/>
        <v/>
      </c>
      <c r="BD973" s="73">
        <f t="shared" si="575"/>
        <v>666.03719999999998</v>
      </c>
      <c r="BE973" s="73">
        <f t="shared" si="576"/>
        <v>532.58903766196363</v>
      </c>
      <c r="BF973" s="77">
        <f t="shared" si="577"/>
        <v>133.44999999999999</v>
      </c>
      <c r="BG973" s="77">
        <f t="shared" si="578"/>
        <v>40.034999999999997</v>
      </c>
      <c r="BH973" s="77">
        <f t="shared" si="579"/>
        <v>477.1472</v>
      </c>
      <c r="BI973" s="78">
        <f t="shared" si="580"/>
        <v>0.28000000000000003</v>
      </c>
      <c r="BJ973" s="79">
        <f t="shared" si="581"/>
        <v>0.20036418386240287</v>
      </c>
      <c r="BK973" s="80">
        <f t="shared" si="582"/>
        <v>532.59</v>
      </c>
      <c r="BL973" s="80">
        <f t="shared" si="583"/>
        <v>133.44719999999995</v>
      </c>
      <c r="BM973" s="79">
        <f t="shared" si="584"/>
        <v>0.20035997989301491</v>
      </c>
      <c r="BN973" s="81">
        <f t="shared" si="585"/>
        <v>0.87678571428571428</v>
      </c>
      <c r="BO973" s="82">
        <f t="shared" si="586"/>
        <v>343.7</v>
      </c>
      <c r="BP973" s="81">
        <f t="shared" si="587"/>
        <v>0.87678571428571428</v>
      </c>
      <c r="BQ973" s="81">
        <f t="shared" si="588"/>
        <v>0.87680355068856808</v>
      </c>
      <c r="BR973" s="81">
        <f t="shared" si="589"/>
        <v>1.217230081300813</v>
      </c>
      <c r="BS973" s="82">
        <f t="shared" si="590"/>
        <v>392</v>
      </c>
      <c r="BT973" s="82">
        <f t="shared" si="591"/>
        <v>477.15419186991869</v>
      </c>
      <c r="BU973" s="82">
        <f t="shared" si="592"/>
        <v>477.1472</v>
      </c>
      <c r="BW973" s="82">
        <f>IFERROR(INDEX('Infos Clientes'!$T:$T,MATCH('Detalhe Por UC'!$C973,'Infos Clientes'!B:B,0)),"")</f>
        <v>586</v>
      </c>
      <c r="BX973" s="83">
        <f t="shared" si="593"/>
        <v>0</v>
      </c>
      <c r="BY973" s="84">
        <f t="shared" si="594"/>
        <v>0.27967311672781081</v>
      </c>
      <c r="BZ973" s="85">
        <f>IF(_xlfn.MINIFS('Detalhe Por UC'!R:R,'Detalhe Por UC'!C:C,C973,'Detalhe Por UC'!AD:AD,"&gt;"&amp;0)=0,"",_xlfn.MINIFS('Detalhe Por UC'!R:R,'Detalhe Por UC'!C:C,C973,'Detalhe Por UC'!AD:AD,"&gt;"&amp;0))</f>
        <v>45627</v>
      </c>
      <c r="CA973" s="114">
        <f ca="1">IF(OR(S973&gt;0,AD973&gt;0),IFERROR(
SUMIFS(INDIRECT("'Infos Clientes'!$W"&amp;INDEX('Infos Clientes'!$C:$C,MATCH(C973,'Infos Clientes'!$H:$H,0))&amp;":$CZ"&amp;INDEX('Infos Clientes'!$C:$C,MATCH(C973,'Infos Clientes'!$H:$H,0))),'Infos Clientes'!$W$2:$CZ$2,"&gt;"&amp;$R973-365,'Infos Clientes'!$W$2:$CZ$2,"&lt;="&amp;$R973)/
COUNTIFS(INDIRECT("'Infos Clientes'!$W"&amp;INDEX('Infos Clientes'!$C:$C,MATCH(C973,'Infos Clientes'!$H:$H,0))&amp;":$CZ"&amp;INDEX('Infos Clientes'!$C:$C,MATCH(C973,'Infos Clientes'!$H:$H,0))),"&gt;="&amp;0,'Infos Clientes'!$W$2:$CZ$2,"&gt;"&amp;$R973-365,'Infos Clientes'!$W$2:$CZ$2,"&lt;="&amp;$R973),""),"")</f>
        <v>537.75</v>
      </c>
      <c r="CB973" s="87">
        <f>VLOOKUP(C973,'Infos Clientes'!B:L,11,0)</f>
        <v>0</v>
      </c>
      <c r="CC973" s="88" t="str">
        <f t="shared" si="595"/>
        <v>A Unidade Consumidora 10/510330-4 economizou R$133,45 na fatura referente à out/2025  consumindo 392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3" s="115">
        <f t="shared" si="596"/>
        <v>-188.89000000000004</v>
      </c>
    </row>
    <row r="974" spans="1:84" ht="16.2" hidden="1" customHeight="1" x14ac:dyDescent="0.3">
      <c r="A974" s="105" t="str">
        <f>INDEX('Infos Clientes'!$D:$D,MATCH('Detalhe Por UC'!C974,'Infos Clientes'!B:B,0))</f>
        <v>IGREJA DO EVANGELHO QUADRANGULAR</v>
      </c>
      <c r="B974" s="106" t="str">
        <f>INDEX('Infos Clientes'!$F:$F,MATCH('Detalhe Por UC'!C974,'Infos Clientes'!B:B,0))</f>
        <v>62.955.505/0676-60</v>
      </c>
      <c r="C974" s="31" t="s">
        <v>91</v>
      </c>
      <c r="D974" s="31" t="s">
        <v>351</v>
      </c>
      <c r="E974" s="31" t="s">
        <v>352</v>
      </c>
      <c r="F974" s="56" t="str">
        <f>INDEX('Infos Clientes'!$I:$I,MATCH('Detalhe Por UC'!C974,'Infos Clientes'!B:B,0))</f>
        <v>BT</v>
      </c>
      <c r="G974" s="56" t="str">
        <f>INDEX('Infos Clientes'!$J:$J,MATCH('Detalhe Por UC'!C974,'Infos Clientes'!B:B,0))</f>
        <v>trifasico</v>
      </c>
      <c r="H974" s="156" t="s">
        <v>24</v>
      </c>
      <c r="I974" s="58">
        <f>IFERROR(VLOOKUP(C974,'Infos Clientes'!B:E,4,),"")</f>
        <v>357</v>
      </c>
      <c r="J974" s="152">
        <v>0.2796792317717392</v>
      </c>
      <c r="K974" s="79">
        <f>INDEX('Resumo Operacional'!$A$1:$P$151,MATCH("Desconto percentual Ucs",'Resumo Operacional'!$B$1:$B$151,0),MATCH('Detalhe Por UC'!$R974,'Resumo Operacional'!$A$1:$P$1,0))</f>
        <v>0.26414553913427991</v>
      </c>
      <c r="M974" s="56"/>
      <c r="N974" s="56"/>
      <c r="O974" s="56"/>
      <c r="P974" s="56"/>
      <c r="Q974" s="61"/>
      <c r="R974" s="111">
        <v>45931</v>
      </c>
      <c r="S974" s="152">
        <v>3.4200000000000001E-2</v>
      </c>
      <c r="T974" s="113">
        <f>IF($H974="GIROSSOL II",AP974/INDEX('Resumo Operacional'!$A$1:$P$1103,17,MATCH('Detalhe Por UC'!$R974,'Resumo Operacional'!$A$1:$P$1,0)),
IF($H974="GIROSSOL II e III",AP974/INDEX('Resumo Operacional'!$A$1:$P$1103,17,MATCH('Detalhe Por UC'!$R974,'Resumo Operacional'!$A$1:$P$1,0)),
""))</f>
        <v>0</v>
      </c>
      <c r="U974" s="113" t="str">
        <f>IF($H974="GIROSSOL III",AP974/INDEX('Resumo Operacional'!$A$1:$P$1103,53,MATCH('Detalhe Por UC'!$R974,'Resumo Operacional'!$A$1:$P$1,0)),
IF($H974="GIROSSOL II e III",AP974/INDEX('Resumo Operacional'!$A$1:$P$1103,53,MATCH('Detalhe Por UC'!$R974,'Resumo Operacional'!$A$1:$P$1,0)),
""))</f>
        <v/>
      </c>
      <c r="X974">
        <v>1.2218304893350065</v>
      </c>
      <c r="Z974" s="31">
        <v>1.2218205164992826</v>
      </c>
      <c r="AB974">
        <v>797</v>
      </c>
      <c r="AD974">
        <v>697</v>
      </c>
      <c r="AF974">
        <v>425</v>
      </c>
      <c r="AG974">
        <v>0</v>
      </c>
      <c r="AH974">
        <v>0</v>
      </c>
      <c r="AL974" s="43"/>
      <c r="AN974" s="71">
        <f t="shared" si="563"/>
        <v>-697</v>
      </c>
      <c r="AO974" s="71">
        <f t="shared" si="564"/>
        <v>0</v>
      </c>
      <c r="AP974" s="71">
        <f t="shared" si="565"/>
        <v>0</v>
      </c>
      <c r="AQ974" s="72">
        <f>IF(OR($H974="GIROSSOL II",$H974="GIROSSOL II e III"),INDEX('Resumo Operacional'!$A$1:$P$1103,MATCH("Energia Injetada prevista total Fatura da Usina (TUSD)",'Resumo Operacional'!$B$1:$B$1103,0),MATCH('Detalhe Por UC'!$R974,'Resumo Operacional'!$A$1:$P$1,0))*$S974,INDEX('Resumo Operacional'!$A$1:$P$1103,53,MATCH('Detalhe Por UC'!$R974,'Resumo Operacional'!$A$1:$P$1,0))*$S974)</f>
        <v>453.56040000000002</v>
      </c>
      <c r="AR974" s="71">
        <f t="shared" si="566"/>
        <v>-453.56040000000002</v>
      </c>
      <c r="AS974" s="73">
        <f t="shared" si="567"/>
        <v>122.19000000000017</v>
      </c>
      <c r="AT974" s="74">
        <f t="shared" si="568"/>
        <v>122.19000000000017</v>
      </c>
      <c r="AU974" s="74">
        <f t="shared" si="569"/>
        <v>1.2218105436635587</v>
      </c>
      <c r="AV974" s="74">
        <f t="shared" si="570"/>
        <v>613.43157707802413</v>
      </c>
      <c r="AW974" s="74">
        <f t="shared" si="571"/>
        <v>0</v>
      </c>
      <c r="AX974" s="74">
        <f t="shared" si="572"/>
        <v>851.60889999999995</v>
      </c>
      <c r="AY974" s="74">
        <f t="shared" si="573"/>
        <v>613.42999999999995</v>
      </c>
      <c r="AZ974" s="129">
        <v>613.42999999999995</v>
      </c>
      <c r="BA974" s="117">
        <v>613.42999999999995</v>
      </c>
      <c r="BB974" s="49">
        <v>613.42999999999995</v>
      </c>
      <c r="BC974" s="73" t="str">
        <f t="shared" si="574"/>
        <v/>
      </c>
      <c r="BD974" s="73">
        <f t="shared" si="575"/>
        <v>973.79890000000012</v>
      </c>
      <c r="BE974" s="73">
        <f t="shared" si="576"/>
        <v>735.6215770780243</v>
      </c>
      <c r="BF974" s="77">
        <f t="shared" si="577"/>
        <v>238.18</v>
      </c>
      <c r="BG974" s="77">
        <f t="shared" si="578"/>
        <v>71.453999999999994</v>
      </c>
      <c r="BH974" s="77">
        <f t="shared" si="579"/>
        <v>851.60889999999995</v>
      </c>
      <c r="BI974" s="78">
        <f t="shared" si="580"/>
        <v>0.28000000000000003</v>
      </c>
      <c r="BJ974" s="79">
        <f t="shared" si="581"/>
        <v>0.24458848741767933</v>
      </c>
      <c r="BK974" s="80">
        <f t="shared" si="582"/>
        <v>735.62000000000012</v>
      </c>
      <c r="BL974" s="80">
        <f t="shared" si="583"/>
        <v>238.1789</v>
      </c>
      <c r="BM974" s="79">
        <f t="shared" si="584"/>
        <v>0.24458735782100388</v>
      </c>
      <c r="BN974" s="81">
        <f t="shared" si="585"/>
        <v>0.88010043041606878</v>
      </c>
      <c r="BO974" s="82">
        <f t="shared" si="586"/>
        <v>613.42999999999995</v>
      </c>
      <c r="BP974" s="81">
        <f t="shared" si="587"/>
        <v>0.88010043041606878</v>
      </c>
      <c r="BQ974" s="81">
        <f t="shared" si="588"/>
        <v>0.88011040325179268</v>
      </c>
      <c r="BR974" s="81">
        <f t="shared" si="589"/>
        <v>1.2218304893350065</v>
      </c>
      <c r="BS974" s="82">
        <f t="shared" si="590"/>
        <v>697</v>
      </c>
      <c r="BT974" s="82">
        <f t="shared" si="591"/>
        <v>851.61585106649954</v>
      </c>
      <c r="BU974" s="82">
        <f t="shared" si="592"/>
        <v>851.60889999999995</v>
      </c>
      <c r="BW974" s="82">
        <f>IFERROR(INDEX('Infos Clientes'!$T:$T,MATCH('Detalhe Por UC'!$C974,'Infos Clientes'!B:B,0)),"")</f>
        <v>708</v>
      </c>
      <c r="BX974" s="83">
        <f t="shared" si="593"/>
        <v>0</v>
      </c>
      <c r="BY974" s="84">
        <f t="shared" si="594"/>
        <v>0.27967880083692981</v>
      </c>
      <c r="BZ974" s="85">
        <f>IF(_xlfn.MINIFS('Detalhe Por UC'!R:R,'Detalhe Por UC'!C:C,C974,'Detalhe Por UC'!AD:AD,"&gt;"&amp;0)=0,"",_xlfn.MINIFS('Detalhe Por UC'!R:R,'Detalhe Por UC'!C:C,C974,'Detalhe Por UC'!AD:AD,"&gt;"&amp;0))</f>
        <v>45627</v>
      </c>
      <c r="CA974" s="114">
        <f ca="1">IF(OR(S974&gt;0,AD974&gt;0),IFERROR(
SUMIFS(INDIRECT("'Infos Clientes'!$W"&amp;INDEX('Infos Clientes'!$C:$C,MATCH(C974,'Infos Clientes'!$H:$H,0))&amp;":$CZ"&amp;INDEX('Infos Clientes'!$C:$C,MATCH(C974,'Infos Clientes'!$H:$H,0))),'Infos Clientes'!$W$2:$CZ$2,"&gt;"&amp;$R974-365,'Infos Clientes'!$W$2:$CZ$2,"&lt;="&amp;$R974)/
COUNTIFS(INDIRECT("'Infos Clientes'!$W"&amp;INDEX('Infos Clientes'!$C:$C,MATCH(C974,'Infos Clientes'!$H:$H,0))&amp;":$CZ"&amp;INDEX('Infos Clientes'!$C:$C,MATCH(C974,'Infos Clientes'!$H:$H,0))),"&gt;="&amp;0,'Infos Clientes'!$W$2:$CZ$2,"&gt;"&amp;$R974-365,'Infos Clientes'!$W$2:$CZ$2,"&lt;="&amp;$R974),""),"")</f>
        <v>631.66666666666663</v>
      </c>
      <c r="CB974" s="87">
        <f>VLOOKUP(C974,'Infos Clientes'!B:L,11,0)</f>
        <v>0</v>
      </c>
      <c r="CC974" s="88" t="str">
        <f t="shared" si="595"/>
        <v>A Unidade Consumidora 10/29964-4 economizou R$238,18 na fatura referente à out/2025  consumindo 697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4" s="115">
        <f t="shared" si="596"/>
        <v>-122.19000000000017</v>
      </c>
    </row>
    <row r="975" spans="1:84" ht="16.2" hidden="1" customHeight="1" x14ac:dyDescent="0.3">
      <c r="A975" s="105" t="str">
        <f>INDEX('Infos Clientes'!$D:$D,MATCH('Detalhe Por UC'!C975,'Infos Clientes'!B:B,0))</f>
        <v>IGREJA DO EVANGELHO QUADRANGULAR</v>
      </c>
      <c r="B975" s="106" t="str">
        <f>INDEX('Infos Clientes'!$F:$F,MATCH('Detalhe Por UC'!C975,'Infos Clientes'!B:B,0))</f>
        <v>62.955.505/3216-30</v>
      </c>
      <c r="C975" s="31" t="s">
        <v>116</v>
      </c>
      <c r="D975" s="31" t="s">
        <v>351</v>
      </c>
      <c r="E975" s="31" t="s">
        <v>352</v>
      </c>
      <c r="F975" s="56" t="str">
        <f>INDEX('Infos Clientes'!$I:$I,MATCH('Detalhe Por UC'!C975,'Infos Clientes'!B:B,0))</f>
        <v>BT</v>
      </c>
      <c r="G975" s="56" t="str">
        <f>INDEX('Infos Clientes'!$J:$J,MATCH('Detalhe Por UC'!C975,'Infos Clientes'!B:B,0))</f>
        <v>trifasico</v>
      </c>
      <c r="H975" s="156" t="s">
        <v>24</v>
      </c>
      <c r="I975" s="58">
        <f>IFERROR(VLOOKUP(C975,'Infos Clientes'!B:E,4,),"")</f>
        <v>371</v>
      </c>
      <c r="J975" s="152">
        <v>0.2796792317717392</v>
      </c>
      <c r="K975" s="79">
        <f>INDEX('Resumo Operacional'!$A$1:$P$151,MATCH("Desconto percentual Ucs",'Resumo Operacional'!$B$1:$B$151,0),MATCH('Detalhe Por UC'!$R975,'Resumo Operacional'!$A$1:$P$1,0))</f>
        <v>0.26414553913427991</v>
      </c>
      <c r="M975" s="56"/>
      <c r="N975" s="56"/>
      <c r="O975" s="56"/>
      <c r="P975" s="56"/>
      <c r="Q975" s="61"/>
      <c r="R975" s="111">
        <v>45931</v>
      </c>
      <c r="S975" s="152">
        <v>2.9000000000000001E-2</v>
      </c>
      <c r="T975" s="113">
        <f>IF($H975="GIROSSOL II",AP975/INDEX('Resumo Operacional'!$A$1:$P$1103,17,MATCH('Detalhe Por UC'!$R975,'Resumo Operacional'!$A$1:$P$1,0)),
IF($H975="GIROSSOL II e III",AP975/INDEX('Resumo Operacional'!$A$1:$P$1103,17,MATCH('Detalhe Por UC'!$R975,'Resumo Operacional'!$A$1:$P$1,0)),
""))</f>
        <v>2.6692806514854471E-2</v>
      </c>
      <c r="U975" s="113" t="str">
        <f>IF($H975="GIROSSOL III",AP975/INDEX('Resumo Operacional'!$A$1:$P$1103,53,MATCH('Detalhe Por UC'!$R975,'Resumo Operacional'!$A$1:$P$1,0)),
IF($H975="GIROSSOL II e III",AP975/INDEX('Resumo Operacional'!$A$1:$P$1103,53,MATCH('Detalhe Por UC'!$R975,'Resumo Operacional'!$A$1:$P$1,0)),
""))</f>
        <v/>
      </c>
      <c r="X975">
        <v>1.2319240310077522</v>
      </c>
      <c r="Z975" s="31">
        <v>1.2318917431192662</v>
      </c>
      <c r="AB975">
        <v>645</v>
      </c>
      <c r="AD975">
        <v>545</v>
      </c>
      <c r="AF975">
        <v>505</v>
      </c>
      <c r="AG975">
        <v>0</v>
      </c>
      <c r="AH975">
        <v>123.35</v>
      </c>
      <c r="AL975" s="43"/>
      <c r="AN975" s="71">
        <f t="shared" si="563"/>
        <v>-191</v>
      </c>
      <c r="AO975" s="71">
        <f t="shared" si="564"/>
        <v>0</v>
      </c>
      <c r="AP975" s="71">
        <f t="shared" si="565"/>
        <v>354</v>
      </c>
      <c r="AQ975" s="72">
        <f>IF(OR($H975="GIROSSOL II",$H975="GIROSSOL II e III"),INDEX('Resumo Operacional'!$A$1:$P$1103,MATCH("Energia Injetada prevista total Fatura da Usina (TUSD)",'Resumo Operacional'!$B$1:$B$1103,0),MATCH('Detalhe Por UC'!$R975,'Resumo Operacional'!$A$1:$P$1,0))*$S975,INDEX('Resumo Operacional'!$A$1:$P$1103,53,MATCH('Detalhe Por UC'!$R975,'Resumo Operacional'!$A$1:$P$1,0))*$S975)</f>
        <v>384.59800000000001</v>
      </c>
      <c r="AR975" s="71">
        <f t="shared" si="566"/>
        <v>-30.598000000000013</v>
      </c>
      <c r="AS975" s="73">
        <f t="shared" si="567"/>
        <v>246.56000000000003</v>
      </c>
      <c r="AT975" s="74">
        <f t="shared" si="568"/>
        <v>246.56000000000003</v>
      </c>
      <c r="AU975" s="74">
        <f t="shared" si="569"/>
        <v>1.2318594552307802</v>
      </c>
      <c r="AV975" s="74">
        <f t="shared" si="570"/>
        <v>483.60967769385809</v>
      </c>
      <c r="AW975" s="74">
        <f t="shared" si="571"/>
        <v>0</v>
      </c>
      <c r="AX975" s="74">
        <f t="shared" si="572"/>
        <v>671.38100000000009</v>
      </c>
      <c r="AY975" s="74">
        <f t="shared" si="573"/>
        <v>483.61</v>
      </c>
      <c r="AZ975" s="129">
        <v>483.61</v>
      </c>
      <c r="BA975" s="117">
        <v>483.61</v>
      </c>
      <c r="BB975" s="49">
        <v>483.61</v>
      </c>
      <c r="BC975" s="73" t="str">
        <f t="shared" si="574"/>
        <v/>
      </c>
      <c r="BD975" s="73">
        <f t="shared" si="575"/>
        <v>917.94100000000014</v>
      </c>
      <c r="BE975" s="73">
        <f t="shared" si="576"/>
        <v>730.16967769385815</v>
      </c>
      <c r="BF975" s="77">
        <f t="shared" si="577"/>
        <v>187.77</v>
      </c>
      <c r="BG975" s="77">
        <f t="shared" si="578"/>
        <v>56.331000000000003</v>
      </c>
      <c r="BH975" s="77">
        <f t="shared" si="579"/>
        <v>671.38100000000009</v>
      </c>
      <c r="BI975" s="78">
        <f t="shared" si="580"/>
        <v>0.28000000000000003</v>
      </c>
      <c r="BJ975" s="79">
        <f t="shared" si="581"/>
        <v>0.20455563048169761</v>
      </c>
      <c r="BK975" s="80">
        <f t="shared" si="582"/>
        <v>730.17000000000007</v>
      </c>
      <c r="BL975" s="80">
        <f t="shared" si="583"/>
        <v>187.77100000000007</v>
      </c>
      <c r="BM975" s="79">
        <f t="shared" si="584"/>
        <v>0.20455671987633198</v>
      </c>
      <c r="BN975" s="81">
        <f t="shared" si="585"/>
        <v>0.8873577981651376</v>
      </c>
      <c r="BO975" s="82">
        <f t="shared" si="586"/>
        <v>483.61</v>
      </c>
      <c r="BP975" s="81">
        <f t="shared" si="587"/>
        <v>0.8873577981651376</v>
      </c>
      <c r="BQ975" s="81">
        <f t="shared" si="588"/>
        <v>0.88739008605362357</v>
      </c>
      <c r="BR975" s="81">
        <f t="shared" si="589"/>
        <v>1.2319240310077522</v>
      </c>
      <c r="BS975" s="82">
        <f t="shared" si="590"/>
        <v>545</v>
      </c>
      <c r="BT975" s="82">
        <f t="shared" si="591"/>
        <v>671.39859689922491</v>
      </c>
      <c r="BU975" s="82">
        <f t="shared" si="592"/>
        <v>671.38100000000009</v>
      </c>
      <c r="BW975" s="82">
        <f>IFERROR(INDEX('Infos Clientes'!$T:$T,MATCH('Detalhe Por UC'!$C975,'Infos Clientes'!B:B,0)),"")</f>
        <v>513.41666666666663</v>
      </c>
      <c r="BX975" s="83">
        <f t="shared" si="593"/>
        <v>0</v>
      </c>
      <c r="BY975" s="84">
        <f t="shared" si="594"/>
        <v>0.27967142151800473</v>
      </c>
      <c r="BZ975" s="85">
        <f>IF(_xlfn.MINIFS('Detalhe Por UC'!R:R,'Detalhe Por UC'!C:C,C975,'Detalhe Por UC'!AD:AD,"&gt;"&amp;0)=0,"",_xlfn.MINIFS('Detalhe Por UC'!R:R,'Detalhe Por UC'!C:C,C975,'Detalhe Por UC'!AD:AD,"&gt;"&amp;0))</f>
        <v>45627</v>
      </c>
      <c r="CA975" s="114">
        <f ca="1">IF(OR(S975&gt;0,AD975&gt;0),IFERROR(
SUMIFS(INDIRECT("'Infos Clientes'!$W"&amp;INDEX('Infos Clientes'!$C:$C,MATCH(C975,'Infos Clientes'!$H:$H,0))&amp;":$CZ"&amp;INDEX('Infos Clientes'!$C:$C,MATCH(C975,'Infos Clientes'!$H:$H,0))),'Infos Clientes'!$W$2:$CZ$2,"&gt;"&amp;$R975-365,'Infos Clientes'!$W$2:$CZ$2,"&lt;="&amp;$R975)/
COUNTIFS(INDIRECT("'Infos Clientes'!$W"&amp;INDEX('Infos Clientes'!$C:$C,MATCH(C975,'Infos Clientes'!$H:$H,0))&amp;":$CZ"&amp;INDEX('Infos Clientes'!$C:$C,MATCH(C975,'Infos Clientes'!$H:$H,0))),"&gt;="&amp;0,'Infos Clientes'!$W$2:$CZ$2,"&gt;"&amp;$R975-365,'Infos Clientes'!$W$2:$CZ$2,"&lt;="&amp;$R975),""),"")</f>
        <v>455.33333333333331</v>
      </c>
      <c r="CB975" s="87">
        <f>VLOOKUP(C975,'Infos Clientes'!B:L,11,0)</f>
        <v>0</v>
      </c>
      <c r="CC975" s="88" t="str">
        <f t="shared" si="595"/>
        <v>A Unidade Consumidora 10/513413-5 economizou R$187,77 na fatura referente à out/2025  consumindo 545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5" s="115">
        <f t="shared" si="596"/>
        <v>-246.56000000000003</v>
      </c>
    </row>
    <row r="976" spans="1:84" ht="16.2" hidden="1" customHeight="1" x14ac:dyDescent="0.3">
      <c r="A976" s="105" t="str">
        <f>INDEX('Infos Clientes'!$D:$D,MATCH('Detalhe Por UC'!C976,'Infos Clientes'!B:B,0))</f>
        <v>IGREJA DO EVANGELHO QUADRANGULAR</v>
      </c>
      <c r="B976" s="106" t="str">
        <f>INDEX('Infos Clientes'!$F:$F,MATCH('Detalhe Por UC'!C976,'Infos Clientes'!B:B,0))</f>
        <v>62.955.505/0160-80</v>
      </c>
      <c r="C976" s="31" t="s">
        <v>97</v>
      </c>
      <c r="D976" s="31" t="s">
        <v>351</v>
      </c>
      <c r="E976" s="31" t="s">
        <v>352</v>
      </c>
      <c r="F976" s="56" t="str">
        <f>INDEX('Infos Clientes'!$I:$I,MATCH('Detalhe Por UC'!C976,'Infos Clientes'!B:B,0))</f>
        <v>BT</v>
      </c>
      <c r="G976" s="56" t="str">
        <f>INDEX('Infos Clientes'!$J:$J,MATCH('Detalhe Por UC'!C976,'Infos Clientes'!B:B,0))</f>
        <v>trifasico</v>
      </c>
      <c r="H976" s="156" t="s">
        <v>24</v>
      </c>
      <c r="I976" s="58">
        <f>IFERROR(VLOOKUP(C976,'Infos Clientes'!B:E,4,),"")</f>
        <v>357</v>
      </c>
      <c r="J976" s="152">
        <v>0.2796792317717392</v>
      </c>
      <c r="K976" s="79">
        <f>INDEX('Resumo Operacional'!$A$1:$P$151,MATCH("Desconto percentual Ucs",'Resumo Operacional'!$B$1:$B$151,0),MATCH('Detalhe Por UC'!$R976,'Resumo Operacional'!$A$1:$P$1,0))</f>
        <v>0.26414553913427991</v>
      </c>
      <c r="M976" s="56"/>
      <c r="N976" s="56"/>
      <c r="O976" s="56"/>
      <c r="P976" s="56"/>
      <c r="Q976" s="61"/>
      <c r="R976" s="111">
        <v>45931</v>
      </c>
      <c r="S976" s="152">
        <v>2.8299999999999999E-2</v>
      </c>
      <c r="T976" s="113">
        <f>IF($H976="GIROSSOL II",AP976/INDEX('Resumo Operacional'!$A$1:$P$1103,17,MATCH('Detalhe Por UC'!$R976,'Resumo Operacional'!$A$1:$P$1,0)),
IF($H976="GIROSSOL II e III",AP976/INDEX('Resumo Operacional'!$A$1:$P$1103,17,MATCH('Detalhe Por UC'!$R976,'Resumo Operacional'!$A$1:$P$1,0)),
""))</f>
        <v>9.727039662192731E-3</v>
      </c>
      <c r="U976" s="113" t="str">
        <f>IF($H976="GIROSSOL III",AP976/INDEX('Resumo Operacional'!$A$1:$P$1103,53,MATCH('Detalhe Por UC'!$R976,'Resumo Operacional'!$A$1:$P$1,0)),
IF($H976="GIROSSOL II e III",AP976/INDEX('Resumo Operacional'!$A$1:$P$1103,53,MATCH('Detalhe Por UC'!$R976,'Resumo Operacional'!$A$1:$P$1,0)),
""))</f>
        <v/>
      </c>
      <c r="X976" s="31">
        <v>1.23732375249501</v>
      </c>
      <c r="Z976" s="31">
        <v>1.2373047381546134</v>
      </c>
      <c r="AB976">
        <v>501</v>
      </c>
      <c r="AD976">
        <v>401</v>
      </c>
      <c r="AF976">
        <v>314</v>
      </c>
      <c r="AG976">
        <v>0</v>
      </c>
      <c r="AH976">
        <v>74.010000000000005</v>
      </c>
      <c r="AI976">
        <v>-260.62</v>
      </c>
      <c r="AJ976">
        <v>62.87</v>
      </c>
      <c r="AL976" s="43"/>
      <c r="AN976" s="71">
        <f t="shared" si="563"/>
        <v>-272</v>
      </c>
      <c r="AO976" s="71">
        <f t="shared" si="564"/>
        <v>0</v>
      </c>
      <c r="AP976" s="71">
        <f t="shared" si="565"/>
        <v>129</v>
      </c>
      <c r="AQ976" s="72">
        <f>IF(OR($H976="GIROSSOL II",$H976="GIROSSOL II e III"),INDEX('Resumo Operacional'!$A$1:$P$1103,MATCH("Energia Injetada prevista total Fatura da Usina (TUSD)",'Resumo Operacional'!$B$1:$B$1103,0),MATCH('Detalhe Por UC'!$R976,'Resumo Operacional'!$A$1:$P$1,0))*$S976,INDEX('Resumo Operacional'!$A$1:$P$1103,53,MATCH('Detalhe Por UC'!$R976,'Resumo Operacional'!$A$1:$P$1,0))*$S976)</f>
        <v>375.31459999999998</v>
      </c>
      <c r="AR976" s="71">
        <f t="shared" si="566"/>
        <v>-246.31459999999998</v>
      </c>
      <c r="AS976" s="73">
        <f t="shared" si="567"/>
        <v>197.75000000000006</v>
      </c>
      <c r="AT976" s="74">
        <f t="shared" si="568"/>
        <v>4.9737991503207013E-14</v>
      </c>
      <c r="AU976" s="74">
        <f t="shared" si="569"/>
        <v>1.2372857238142168</v>
      </c>
      <c r="AV976" s="74">
        <f t="shared" si="570"/>
        <v>357.39377610751933</v>
      </c>
      <c r="AW976" s="74">
        <f t="shared" si="571"/>
        <v>0</v>
      </c>
      <c r="AX976" s="74">
        <f t="shared" si="572"/>
        <v>496.1592</v>
      </c>
      <c r="AY976" s="74">
        <f t="shared" si="573"/>
        <v>357.39</v>
      </c>
      <c r="AZ976" s="129">
        <v>357.39</v>
      </c>
      <c r="BA976" s="117">
        <v>357.39</v>
      </c>
      <c r="BC976" s="73" t="str">
        <f t="shared" si="574"/>
        <v/>
      </c>
      <c r="BD976" s="73">
        <f t="shared" si="575"/>
        <v>693.90920000000006</v>
      </c>
      <c r="BE976" s="73">
        <f t="shared" si="576"/>
        <v>555.14377610751944</v>
      </c>
      <c r="BF976" s="77">
        <f t="shared" si="577"/>
        <v>138.77000000000001</v>
      </c>
      <c r="BG976" s="77">
        <f t="shared" si="578"/>
        <v>41.631</v>
      </c>
      <c r="BH976" s="77">
        <f t="shared" si="579"/>
        <v>496.15919999999994</v>
      </c>
      <c r="BI976" s="78">
        <f t="shared" si="580"/>
        <v>0.28000000000000003</v>
      </c>
      <c r="BJ976" s="79">
        <f t="shared" si="581"/>
        <v>0.19998293724885041</v>
      </c>
      <c r="BK976" s="80">
        <f t="shared" si="582"/>
        <v>555.1400000000001</v>
      </c>
      <c r="BL976" s="80">
        <f t="shared" si="583"/>
        <v>138.76919999999996</v>
      </c>
      <c r="BM976" s="79">
        <f t="shared" si="584"/>
        <v>0.19998178436025915</v>
      </c>
      <c r="BN976" s="81">
        <f t="shared" si="585"/>
        <v>0.89124688279301745</v>
      </c>
      <c r="BO976" s="82">
        <f t="shared" si="586"/>
        <v>357.39</v>
      </c>
      <c r="BP976" s="81">
        <f t="shared" si="587"/>
        <v>0.89124688279301745</v>
      </c>
      <c r="BQ976" s="81">
        <f t="shared" si="588"/>
        <v>0.89126589713341409</v>
      </c>
      <c r="BR976" s="81">
        <f t="shared" si="589"/>
        <v>1.23732375249501</v>
      </c>
      <c r="BS976" s="82">
        <f t="shared" si="590"/>
        <v>401</v>
      </c>
      <c r="BT976" s="82">
        <f t="shared" si="591"/>
        <v>496.16682475049902</v>
      </c>
      <c r="BU976" s="82">
        <f t="shared" si="592"/>
        <v>496.1592</v>
      </c>
      <c r="BW976" s="82">
        <f>IFERROR(INDEX('Infos Clientes'!$T:$T,MATCH('Detalhe Por UC'!$C976,'Infos Clientes'!B:B,0)),"")</f>
        <v>468.66666666666669</v>
      </c>
      <c r="BX976" s="83">
        <f t="shared" si="593"/>
        <v>0</v>
      </c>
      <c r="BY976" s="84">
        <f t="shared" si="594"/>
        <v>0.27968254441392981</v>
      </c>
      <c r="BZ976" s="85">
        <f>IF(_xlfn.MINIFS('Detalhe Por UC'!R:R,'Detalhe Por UC'!C:C,C976,'Detalhe Por UC'!AD:AD,"&gt;"&amp;0)=0,"",_xlfn.MINIFS('Detalhe Por UC'!R:R,'Detalhe Por UC'!C:C,C976,'Detalhe Por UC'!AD:AD,"&gt;"&amp;0))</f>
        <v>45627</v>
      </c>
      <c r="CA976" s="114">
        <f ca="1">IF(OR(S976&gt;0,AD976&gt;0),IFERROR(
SUMIFS(INDIRECT("'Infos Clientes'!$W"&amp;INDEX('Infos Clientes'!$C:$C,MATCH(C976,'Infos Clientes'!$H:$H,0))&amp;":$CZ"&amp;INDEX('Infos Clientes'!$C:$C,MATCH(C976,'Infos Clientes'!$H:$H,0))),'Infos Clientes'!$W$2:$CZ$2,"&gt;"&amp;$R976-365,'Infos Clientes'!$W$2:$CZ$2,"&lt;="&amp;$R976)/
COUNTIFS(INDIRECT("'Infos Clientes'!$W"&amp;INDEX('Infos Clientes'!$C:$C,MATCH(C976,'Infos Clientes'!$H:$H,0))&amp;":$CZ"&amp;INDEX('Infos Clientes'!$C:$C,MATCH(C976,'Infos Clientes'!$H:$H,0))),"&gt;="&amp;0,'Infos Clientes'!$W$2:$CZ$2,"&gt;"&amp;$R976-365,'Infos Clientes'!$W$2:$CZ$2,"&lt;="&amp;$R976),""),"")</f>
        <v>464.33333333333331</v>
      </c>
      <c r="CB976" s="87">
        <f>VLOOKUP(C976,'Infos Clientes'!B:L,11,0)</f>
        <v>0</v>
      </c>
      <c r="CC976" s="88" t="str">
        <f t="shared" si="595"/>
        <v>A Unidade Consumidora 10/3030784-7 economizou R$138,77 na fatura referente à out/2025  consumindo 401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6" s="115">
        <f t="shared" si="596"/>
        <v>-4.9737991503207013E-14</v>
      </c>
    </row>
    <row r="977" spans="1:84" ht="16.2" hidden="1" customHeight="1" x14ac:dyDescent="0.3">
      <c r="A977" s="105" t="str">
        <f>INDEX('Infos Clientes'!$D:$D,MATCH('Detalhe Por UC'!C977,'Infos Clientes'!B:B,0))</f>
        <v>IGREJA DO EVANGELHO QUADRANGULAR</v>
      </c>
      <c r="B977" s="106" t="str">
        <f>INDEX('Infos Clientes'!$F:$F,MATCH('Detalhe Por UC'!C977,'Infos Clientes'!B:B,0))</f>
        <v>62.955.505/0151-99</v>
      </c>
      <c r="C977" s="31" t="s">
        <v>48</v>
      </c>
      <c r="D977" s="31" t="s">
        <v>351</v>
      </c>
      <c r="E977" s="31" t="s">
        <v>352</v>
      </c>
      <c r="F977" s="56" t="str">
        <f>INDEX('Infos Clientes'!$I:$I,MATCH('Detalhe Por UC'!C977,'Infos Clientes'!B:B,0))</f>
        <v>BT</v>
      </c>
      <c r="G977" s="56" t="str">
        <f>INDEX('Infos Clientes'!$J:$J,MATCH('Detalhe Por UC'!C977,'Infos Clientes'!B:B,0))</f>
        <v>trifasico</v>
      </c>
      <c r="H977" s="156" t="s">
        <v>24</v>
      </c>
      <c r="I977" s="58">
        <f>IFERROR(VLOOKUP(C977,'Infos Clientes'!B:E,4,),"")</f>
        <v>306</v>
      </c>
      <c r="J977" s="152">
        <v>0.2796792317717392</v>
      </c>
      <c r="K977" s="79">
        <f>INDEX('Resumo Operacional'!$A$1:$P$151,MATCH("Desconto percentual Ucs",'Resumo Operacional'!$B$1:$B$151,0),MATCH('Detalhe Por UC'!$R977,'Resumo Operacional'!$A$1:$P$1,0))</f>
        <v>0.26414553913427991</v>
      </c>
      <c r="M977" s="56"/>
      <c r="N977" s="56"/>
      <c r="O977" s="56"/>
      <c r="P977" s="56"/>
      <c r="Q977" s="61"/>
      <c r="R977" s="111">
        <v>45931</v>
      </c>
      <c r="S977" s="152">
        <v>2.8000000000000001E-2</v>
      </c>
      <c r="T977" s="113">
        <f>IF($H977="GIROSSOL II",AP977/INDEX('Resumo Operacional'!$A$1:$P$1103,17,MATCH('Detalhe Por UC'!$R977,'Resumo Operacional'!$A$1:$P$1,0)),
IF($H977="GIROSSOL II e III",AP977/INDEX('Resumo Operacional'!$A$1:$P$1103,17,MATCH('Detalhe Por UC'!$R977,'Resumo Operacional'!$A$1:$P$1,0)),
""))</f>
        <v>4.056703362992007E-2</v>
      </c>
      <c r="U977" s="113" t="str">
        <f>IF($H977="GIROSSOL III",AP977/INDEX('Resumo Operacional'!$A$1:$P$1103,53,MATCH('Detalhe Por UC'!$R977,'Resumo Operacional'!$A$1:$P$1,0)),
IF($H977="GIROSSOL II e III",AP977/INDEX('Resumo Operacional'!$A$1:$P$1103,53,MATCH('Detalhe Por UC'!$R977,'Resumo Operacional'!$A$1:$P$1,0)),
""))</f>
        <v/>
      </c>
      <c r="X977">
        <v>1.2060306306306308</v>
      </c>
      <c r="Z977" s="54">
        <v>1.2060104651162791</v>
      </c>
      <c r="AB977" s="18">
        <v>444</v>
      </c>
      <c r="AD977" s="143">
        <v>344</v>
      </c>
      <c r="AF977" s="18">
        <v>194</v>
      </c>
      <c r="AH977">
        <v>3.24</v>
      </c>
      <c r="AL977" s="43"/>
      <c r="AN977" s="71">
        <f t="shared" si="563"/>
        <v>194</v>
      </c>
      <c r="AO977" s="71">
        <f t="shared" si="564"/>
        <v>0</v>
      </c>
      <c r="AP977" s="71">
        <f t="shared" si="565"/>
        <v>538</v>
      </c>
      <c r="AQ977" s="72">
        <f>IF(OR($H977="GIROSSOL II",$H977="GIROSSOL II e III"),INDEX('Resumo Operacional'!$A$1:$P$1103,MATCH("Energia Injetada prevista total Fatura da Usina (TUSD)",'Resumo Operacional'!$B$1:$B$1103,0),MATCH('Detalhe Por UC'!$R977,'Resumo Operacional'!$A$1:$P$1,0))*$S977,INDEX('Resumo Operacional'!$A$1:$P$1103,53,MATCH('Detalhe Por UC'!$R977,'Resumo Operacional'!$A$1:$P$1,0))*$S977)</f>
        <v>371.33600000000001</v>
      </c>
      <c r="AR977" s="71">
        <f t="shared" si="566"/>
        <v>166.66399999999999</v>
      </c>
      <c r="AS977" s="73">
        <f t="shared" si="567"/>
        <v>123.85000000000007</v>
      </c>
      <c r="AT977" s="74">
        <f t="shared" si="568"/>
        <v>123.85000000000007</v>
      </c>
      <c r="AU977" s="74">
        <f t="shared" si="569"/>
        <v>1.2059902996019274</v>
      </c>
      <c r="AV977" s="74">
        <f t="shared" si="570"/>
        <v>298.8377483450148</v>
      </c>
      <c r="AW977" s="74">
        <f t="shared" si="571"/>
        <v>0</v>
      </c>
      <c r="AX977" s="74">
        <f t="shared" si="572"/>
        <v>414.86759999999998</v>
      </c>
      <c r="AY977" s="74">
        <f t="shared" si="573"/>
        <v>298.83999999999997</v>
      </c>
      <c r="AZ977" s="129">
        <v>298.83999999999997</v>
      </c>
      <c r="BA977" s="117">
        <v>298.83999999999997</v>
      </c>
      <c r="BB977" s="49">
        <v>298.83999999999997</v>
      </c>
      <c r="BC977" s="73" t="str">
        <f t="shared" si="574"/>
        <v/>
      </c>
      <c r="BD977" s="73">
        <f t="shared" si="575"/>
        <v>538.71760000000006</v>
      </c>
      <c r="BE977" s="73">
        <f t="shared" si="576"/>
        <v>422.68774834501488</v>
      </c>
      <c r="BF977" s="77">
        <f t="shared" si="577"/>
        <v>116.03</v>
      </c>
      <c r="BG977" s="77">
        <f t="shared" si="578"/>
        <v>34.808999999999997</v>
      </c>
      <c r="BH977" s="77">
        <f t="shared" si="579"/>
        <v>414.86759999999998</v>
      </c>
      <c r="BI977" s="78">
        <f t="shared" si="580"/>
        <v>0.28000000000000003</v>
      </c>
      <c r="BJ977" s="79">
        <f t="shared" si="581"/>
        <v>0.21538186240805943</v>
      </c>
      <c r="BK977" s="80">
        <f t="shared" si="582"/>
        <v>422.69000000000005</v>
      </c>
      <c r="BL977" s="80">
        <f t="shared" si="583"/>
        <v>116.02760000000001</v>
      </c>
      <c r="BM977" s="79">
        <f t="shared" si="584"/>
        <v>0.21537740738375727</v>
      </c>
      <c r="BN977" s="81">
        <f t="shared" si="585"/>
        <v>0.86872093023255803</v>
      </c>
      <c r="BO977" s="82">
        <f t="shared" si="586"/>
        <v>298.83999999999997</v>
      </c>
      <c r="BP977" s="81">
        <f t="shared" si="587"/>
        <v>0.86872093023255803</v>
      </c>
      <c r="BQ977" s="81">
        <f t="shared" si="588"/>
        <v>0.86874109574690972</v>
      </c>
      <c r="BR977" s="81">
        <f t="shared" si="589"/>
        <v>1.2060306306306308</v>
      </c>
      <c r="BS977" s="82">
        <f t="shared" si="590"/>
        <v>344</v>
      </c>
      <c r="BT977" s="82">
        <f t="shared" si="591"/>
        <v>414.87453693693698</v>
      </c>
      <c r="BU977" s="82">
        <f t="shared" si="592"/>
        <v>414.86759999999998</v>
      </c>
      <c r="BW977" s="82">
        <f>IFERROR(INDEX('Infos Clientes'!$T:$T,MATCH('Detalhe Por UC'!$C977,'Infos Clientes'!B:B,0)),"")</f>
        <v>286.5</v>
      </c>
      <c r="BX977" s="83">
        <f t="shared" si="593"/>
        <v>0</v>
      </c>
      <c r="BY977" s="84">
        <f t="shared" si="594"/>
        <v>0.27966912806132715</v>
      </c>
      <c r="BZ977" s="85">
        <f>IF(_xlfn.MINIFS('Detalhe Por UC'!R:R,'Detalhe Por UC'!C:C,C977,'Detalhe Por UC'!AD:AD,"&gt;"&amp;0)=0,"",_xlfn.MINIFS('Detalhe Por UC'!R:R,'Detalhe Por UC'!C:C,C977,'Detalhe Por UC'!AD:AD,"&gt;"&amp;0))</f>
        <v>45658</v>
      </c>
      <c r="CA977" s="114">
        <f ca="1">IF(OR(S977&gt;0,AD977&gt;0),IFERROR(
SUMIFS(INDIRECT("'Infos Clientes'!$W"&amp;INDEX('Infos Clientes'!$C:$C,MATCH(C977,'Infos Clientes'!$H:$H,0))&amp;":$CZ"&amp;INDEX('Infos Clientes'!$C:$C,MATCH(C977,'Infos Clientes'!$H:$H,0))),'Infos Clientes'!$W$2:$CZ$2,"&gt;"&amp;$R977-365,'Infos Clientes'!$W$2:$CZ$2,"&lt;="&amp;$R977)/
COUNTIFS(INDIRECT("'Infos Clientes'!$W"&amp;INDEX('Infos Clientes'!$C:$C,MATCH(C977,'Infos Clientes'!$H:$H,0))&amp;":$CZ"&amp;INDEX('Infos Clientes'!$C:$C,MATCH(C977,'Infos Clientes'!$H:$H,0))),"&gt;="&amp;0,'Infos Clientes'!$W$2:$CZ$2,"&gt;"&amp;$R977-365,'Infos Clientes'!$W$2:$CZ$2,"&lt;="&amp;$R977),""),"")</f>
        <v>498.66666666666669</v>
      </c>
      <c r="CB977" s="87">
        <f>VLOOKUP(C977,'Infos Clientes'!B:L,11,0)</f>
        <v>0</v>
      </c>
      <c r="CC977" s="88" t="str">
        <f t="shared" si="595"/>
        <v>A Unidade Consumidora 10/2794432-1 economizou R$116,03 na fatura referente à out/2025  consumindo 344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7" s="115">
        <f t="shared" si="596"/>
        <v>-123.85000000000007</v>
      </c>
    </row>
    <row r="978" spans="1:84" ht="16.2" hidden="1" customHeight="1" x14ac:dyDescent="0.3">
      <c r="A978" s="105" t="str">
        <f>INDEX('Infos Clientes'!$D:$D,MATCH('Detalhe Por UC'!C978,'Infos Clientes'!B:B,0))</f>
        <v>IGREJA DO EVANGELHO QUADRANGULAR</v>
      </c>
      <c r="B978" s="106" t="str">
        <f>INDEX('Infos Clientes'!$F:$F,MATCH('Detalhe Por UC'!C978,'Infos Clientes'!B:B,0))</f>
        <v>62.955.505/8789-87</v>
      </c>
      <c r="C978" s="31" t="s">
        <v>250</v>
      </c>
      <c r="D978" s="31" t="s">
        <v>351</v>
      </c>
      <c r="E978" s="31" t="s">
        <v>352</v>
      </c>
      <c r="F978" s="56">
        <f>INDEX('Infos Clientes'!$I:$I,MATCH('Detalhe Por UC'!C978,'Infos Clientes'!B:B,0))</f>
        <v>0</v>
      </c>
      <c r="G978" s="56" t="str">
        <f>INDEX('Infos Clientes'!$J:$J,MATCH('Detalhe Por UC'!C978,'Infos Clientes'!B:B,0))</f>
        <v>bifasico</v>
      </c>
      <c r="H978" s="156" t="s">
        <v>24</v>
      </c>
      <c r="I978" s="58">
        <f>IFERROR(VLOOKUP(C978,'Infos Clientes'!B:E,4,),"")</f>
        <v>319</v>
      </c>
      <c r="J978" s="152">
        <v>0.2796792317717392</v>
      </c>
      <c r="K978" s="79">
        <f>INDEX('Resumo Operacional'!$A$1:$P$151,MATCH("Desconto percentual Ucs",'Resumo Operacional'!$B$1:$B$151,0),MATCH('Detalhe Por UC'!$R978,'Resumo Operacional'!$A$1:$P$1,0))</f>
        <v>0.26414553913427991</v>
      </c>
      <c r="M978" s="56"/>
      <c r="N978" s="56"/>
      <c r="O978" s="56"/>
      <c r="P978" s="56"/>
      <c r="Q978" s="61"/>
      <c r="R978" s="111">
        <v>45931</v>
      </c>
      <c r="S978" s="152">
        <v>2.7300000000000001E-2</v>
      </c>
      <c r="T978" s="113">
        <f>IF($H978="GIROSSOL II",AP978/INDEX('Resumo Operacional'!$A$1:$P$1103,17,MATCH('Detalhe Por UC'!$R978,'Resumo Operacional'!$A$1:$P$1,0)),
IF($H978="GIROSSOL II e III",AP978/INDEX('Resumo Operacional'!$A$1:$P$1103,17,MATCH('Detalhe Por UC'!$R978,'Resumo Operacional'!$A$1:$P$1,0)),
""))</f>
        <v>2.5109334941939374E-2</v>
      </c>
      <c r="U978" s="113" t="str">
        <f>IF($H978="GIROSSOL III",AP978/INDEX('Resumo Operacional'!$A$1:$P$1103,53,MATCH('Detalhe Por UC'!$R978,'Resumo Operacional'!$A$1:$P$1,0)),
IF($H978="GIROSSOL II e III",AP978/INDEX('Resumo Operacional'!$A$1:$P$1103,53,MATCH('Detalhe Por UC'!$R978,'Resumo Operacional'!$A$1:$P$1,0)),
""))</f>
        <v/>
      </c>
      <c r="X978">
        <v>1.231725</v>
      </c>
      <c r="Z978" s="54">
        <v>1.2317102362204724</v>
      </c>
      <c r="AB978" s="18">
        <v>304</v>
      </c>
      <c r="AD978" s="143">
        <v>254</v>
      </c>
      <c r="AF978" s="18">
        <v>389</v>
      </c>
      <c r="AH978">
        <v>131.43</v>
      </c>
      <c r="AL978" s="43"/>
      <c r="AN978" s="71">
        <f t="shared" si="563"/>
        <v>79</v>
      </c>
      <c r="AO978" s="71">
        <f t="shared" si="564"/>
        <v>0</v>
      </c>
      <c r="AP978" s="71">
        <f t="shared" si="565"/>
        <v>333</v>
      </c>
      <c r="AQ978" s="72">
        <f>IF(OR($H978="GIROSSOL II",$H978="GIROSSOL II e III"),INDEX('Resumo Operacional'!$A$1:$P$1103,MATCH("Energia Injetada prevista total Fatura da Usina (TUSD)",'Resumo Operacional'!$B$1:$B$1103,0),MATCH('Detalhe Por UC'!$R978,'Resumo Operacional'!$A$1:$P$1,0))*$S978,INDEX('Resumo Operacional'!$A$1:$P$1103,53,MATCH('Detalhe Por UC'!$R978,'Resumo Operacional'!$A$1:$P$1,0))*$S978)</f>
        <v>362.05260000000004</v>
      </c>
      <c r="AR978" s="71">
        <f t="shared" si="566"/>
        <v>-29.052600000000041</v>
      </c>
      <c r="AS978" s="73">
        <f t="shared" si="567"/>
        <v>193.01999999999998</v>
      </c>
      <c r="AT978" s="74">
        <f t="shared" si="568"/>
        <v>193.01999999999998</v>
      </c>
      <c r="AU978" s="74">
        <f t="shared" si="569"/>
        <v>1.2316954724409448</v>
      </c>
      <c r="AV978" s="74">
        <f t="shared" si="570"/>
        <v>225.3555217515916</v>
      </c>
      <c r="AW978" s="74">
        <f t="shared" si="571"/>
        <v>0</v>
      </c>
      <c r="AX978" s="74">
        <f t="shared" si="572"/>
        <v>312.8544</v>
      </c>
      <c r="AY978" s="74">
        <f t="shared" si="573"/>
        <v>225.36</v>
      </c>
      <c r="AZ978" s="129">
        <v>225.36</v>
      </c>
      <c r="BA978" s="117">
        <v>225.36</v>
      </c>
      <c r="BC978" s="73" t="str">
        <f t="shared" si="574"/>
        <v/>
      </c>
      <c r="BD978" s="73">
        <f t="shared" si="575"/>
        <v>505.87439999999998</v>
      </c>
      <c r="BE978" s="73">
        <f t="shared" si="576"/>
        <v>418.37552175159158</v>
      </c>
      <c r="BF978" s="77">
        <f t="shared" si="577"/>
        <v>87.5</v>
      </c>
      <c r="BG978" s="77">
        <f t="shared" si="578"/>
        <v>26.25</v>
      </c>
      <c r="BH978" s="77">
        <f t="shared" si="579"/>
        <v>312.85439999999994</v>
      </c>
      <c r="BI978" s="78">
        <f t="shared" si="580"/>
        <v>0.28000000000000003</v>
      </c>
      <c r="BJ978" s="79">
        <f t="shared" si="581"/>
        <v>0.17296783549434405</v>
      </c>
      <c r="BK978" s="80">
        <f t="shared" si="582"/>
        <v>418.38</v>
      </c>
      <c r="BL978" s="80">
        <f t="shared" si="583"/>
        <v>87.494399999999985</v>
      </c>
      <c r="BM978" s="79">
        <f t="shared" si="584"/>
        <v>0.1729567655528724</v>
      </c>
      <c r="BN978" s="81">
        <f t="shared" si="585"/>
        <v>0.88724409448818908</v>
      </c>
      <c r="BO978" s="82">
        <f t="shared" si="586"/>
        <v>225.36</v>
      </c>
      <c r="BP978" s="81">
        <f t="shared" si="587"/>
        <v>0.88724409448818908</v>
      </c>
      <c r="BQ978" s="81">
        <f t="shared" si="588"/>
        <v>0.88725885826771667</v>
      </c>
      <c r="BR978" s="81">
        <f t="shared" si="589"/>
        <v>1.231725</v>
      </c>
      <c r="BS978" s="82">
        <f t="shared" si="590"/>
        <v>254</v>
      </c>
      <c r="BT978" s="82">
        <f t="shared" si="591"/>
        <v>312.85814999999997</v>
      </c>
      <c r="BU978" s="82">
        <f t="shared" si="592"/>
        <v>312.8544</v>
      </c>
      <c r="BW978" s="82">
        <f>IFERROR(INDEX('Infos Clientes'!$T:$T,MATCH('Detalhe Por UC'!$C978,'Infos Clientes'!B:B,0)),"")</f>
        <v>325</v>
      </c>
      <c r="BX978" s="83">
        <f t="shared" si="593"/>
        <v>0</v>
      </c>
      <c r="BY978" s="84">
        <f t="shared" si="594"/>
        <v>0.27966156547304255</v>
      </c>
      <c r="BZ978" s="85">
        <f>IF(_xlfn.MINIFS('Detalhe Por UC'!R:R,'Detalhe Por UC'!C:C,C978,'Detalhe Por UC'!AD:AD,"&gt;"&amp;0)=0,"",_xlfn.MINIFS('Detalhe Por UC'!R:R,'Detalhe Por UC'!C:C,C978,'Detalhe Por UC'!AD:AD,"&gt;"&amp;0))</f>
        <v>45839</v>
      </c>
      <c r="CA978" s="114">
        <f ca="1">IF(OR(S978&gt;0,AD978&gt;0),IFERROR(
SUMIFS(INDIRECT("'Infos Clientes'!$W"&amp;INDEX('Infos Clientes'!$C:$C,MATCH(C978,'Infos Clientes'!$H:$H,0))&amp;":$CZ"&amp;INDEX('Infos Clientes'!$C:$C,MATCH(C978,'Infos Clientes'!$H:$H,0))),'Infos Clientes'!$W$2:$CZ$2,"&gt;"&amp;$R978-365,'Infos Clientes'!$W$2:$CZ$2,"&lt;="&amp;$R978)/
COUNTIFS(INDIRECT("'Infos Clientes'!$W"&amp;INDEX('Infos Clientes'!$C:$C,MATCH(C978,'Infos Clientes'!$H:$H,0))&amp;":$CZ"&amp;INDEX('Infos Clientes'!$C:$C,MATCH(C978,'Infos Clientes'!$H:$H,0))),"&gt;="&amp;0,'Infos Clientes'!$W$2:$CZ$2,"&gt;"&amp;$R978-365,'Infos Clientes'!$W$2:$CZ$2,"&lt;="&amp;$R978),""),"")</f>
        <v>227.5</v>
      </c>
      <c r="CB978" s="87">
        <f>VLOOKUP(C978,'Infos Clientes'!B:L,11,0)</f>
        <v>0</v>
      </c>
      <c r="CC978" s="88" t="str">
        <f t="shared" si="595"/>
        <v>A Unidade Consumidora 10/1017804-4 economizou R$87,5 na fatura referente à out/2025  consumindo 254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8" s="115">
        <f t="shared" si="596"/>
        <v>-193.01999999999998</v>
      </c>
    </row>
    <row r="979" spans="1:84" ht="16.2" hidden="1" customHeight="1" x14ac:dyDescent="0.3">
      <c r="A979" s="105" t="str">
        <f>INDEX('Infos Clientes'!$D:$D,MATCH('Detalhe Por UC'!C979,'Infos Clientes'!B:B,0))</f>
        <v>IGREJA DO EVANGELHO QUADRANGULAR</v>
      </c>
      <c r="B979" s="106" t="str">
        <f>INDEX('Infos Clientes'!$F:$F,MATCH('Detalhe Por UC'!C979,'Infos Clientes'!B:B,0))</f>
        <v>62.955.505/1822-57</v>
      </c>
      <c r="C979" s="31" t="s">
        <v>25</v>
      </c>
      <c r="D979" s="31" t="s">
        <v>351</v>
      </c>
      <c r="E979" s="31" t="s">
        <v>352</v>
      </c>
      <c r="F979" s="56" t="str">
        <f>INDEX('Infos Clientes'!$I:$I,MATCH('Detalhe Por UC'!C979,'Infos Clientes'!B:B,0))</f>
        <v>BT</v>
      </c>
      <c r="G979" s="56" t="str">
        <f>INDEX('Infos Clientes'!$J:$J,MATCH('Detalhe Por UC'!C979,'Infos Clientes'!B:B,0))</f>
        <v>trifasico</v>
      </c>
      <c r="H979" s="156" t="s">
        <v>24</v>
      </c>
      <c r="I979" s="58">
        <f>IFERROR(VLOOKUP(C979,'Infos Clientes'!B:E,4,),"")</f>
        <v>319</v>
      </c>
      <c r="J979" s="152">
        <v>0.2796792317717392</v>
      </c>
      <c r="K979" s="79">
        <f>INDEX('Resumo Operacional'!$A$1:$P$151,MATCH("Desconto percentual Ucs",'Resumo Operacional'!$B$1:$B$151,0),MATCH('Detalhe Por UC'!$R979,'Resumo Operacional'!$A$1:$P$1,0))</f>
        <v>0.26414553913427991</v>
      </c>
      <c r="M979" s="56"/>
      <c r="N979" s="56"/>
      <c r="O979" s="56"/>
      <c r="P979" s="56"/>
      <c r="Q979" s="61"/>
      <c r="R979" s="111">
        <v>45931</v>
      </c>
      <c r="S979" s="152">
        <v>2.3400000000000001E-2</v>
      </c>
      <c r="T979" s="113">
        <f>IF($H979="GIROSSOL II",AP979/INDEX('Resumo Operacional'!$A$1:$P$1103,17,MATCH('Detalhe Por UC'!$R979,'Resumo Operacional'!$A$1:$P$1,0)),
IF($H979="GIROSSOL II e III",AP979/INDEX('Resumo Operacional'!$A$1:$P$1103,17,MATCH('Detalhe Por UC'!$R979,'Resumo Operacional'!$A$1:$P$1,0)),
""))</f>
        <v>7.5403408234052177E-5</v>
      </c>
      <c r="U979" s="113" t="str">
        <f>IF($H979="GIROSSOL III",AP979/INDEX('Resumo Operacional'!$A$1:$P$1103,53,MATCH('Detalhe Por UC'!$R979,'Resumo Operacional'!$A$1:$P$1,0)),
IF($H979="GIROSSOL II e III",AP979/INDEX('Resumo Operacional'!$A$1:$P$1103,53,MATCH('Detalhe Por UC'!$R979,'Resumo Operacional'!$A$1:$P$1,0)),
""))</f>
        <v/>
      </c>
      <c r="X979">
        <v>1.2076999252615845</v>
      </c>
      <c r="Z979" s="54">
        <v>1.0858144891122277</v>
      </c>
      <c r="AB979" s="18">
        <v>446</v>
      </c>
      <c r="AD979" s="143">
        <v>398</v>
      </c>
      <c r="AF979" s="18">
        <v>1675</v>
      </c>
      <c r="AH979">
        <v>74</v>
      </c>
      <c r="AL979" s="43"/>
      <c r="AN979" s="71">
        <f t="shared" si="563"/>
        <v>-397</v>
      </c>
      <c r="AO979" s="71">
        <f t="shared" si="564"/>
        <v>0</v>
      </c>
      <c r="AP979" s="71">
        <f t="shared" si="565"/>
        <v>1</v>
      </c>
      <c r="AQ979" s="72">
        <f>IF(OR($H979="GIROSSOL II",$H979="GIROSSOL II e III"),INDEX('Resumo Operacional'!$A$1:$P$1103,MATCH("Energia Injetada prevista total Fatura da Usina (TUSD)",'Resumo Operacional'!$B$1:$B$1103,0),MATCH('Detalhe Por UC'!$R979,'Resumo Operacional'!$A$1:$P$1,0))*$S979,INDEX('Resumo Operacional'!$A$1:$P$1103,53,MATCH('Detalhe Por UC'!$R979,'Resumo Operacional'!$A$1:$P$1,0))*$S979)</f>
        <v>310.33080000000001</v>
      </c>
      <c r="AR979" s="71">
        <f t="shared" si="566"/>
        <v>-309.33080000000001</v>
      </c>
      <c r="AS979" s="73">
        <f t="shared" si="567"/>
        <v>180.48000000000013</v>
      </c>
      <c r="AT979" s="74">
        <f t="shared" si="568"/>
        <v>180.48000000000013</v>
      </c>
      <c r="AU979" s="74">
        <f t="shared" si="569"/>
        <v>0.96392905296287079</v>
      </c>
      <c r="AV979" s="74">
        <f t="shared" si="570"/>
        <v>311.28962132637719</v>
      </c>
      <c r="AW979" s="74">
        <f t="shared" si="571"/>
        <v>0</v>
      </c>
      <c r="AX979" s="74">
        <f t="shared" si="572"/>
        <v>432.15416666666658</v>
      </c>
      <c r="AY979" s="74">
        <f t="shared" si="573"/>
        <v>311.29000000000002</v>
      </c>
      <c r="AZ979" s="129">
        <v>311.29000000000002</v>
      </c>
      <c r="BA979" s="117">
        <v>311.29000000000002</v>
      </c>
      <c r="BB979" s="49">
        <v>311.29000000000002</v>
      </c>
      <c r="BC979" s="73" t="str">
        <f t="shared" si="574"/>
        <v/>
      </c>
      <c r="BD979" s="73">
        <f t="shared" si="575"/>
        <v>612.63416666666672</v>
      </c>
      <c r="BE979" s="73">
        <f t="shared" si="576"/>
        <v>491.76962132637732</v>
      </c>
      <c r="BF979" s="77">
        <f t="shared" si="577"/>
        <v>120.86</v>
      </c>
      <c r="BG979" s="77">
        <f t="shared" si="578"/>
        <v>36.257999999999996</v>
      </c>
      <c r="BH979" s="77">
        <f t="shared" si="579"/>
        <v>432.15416666666658</v>
      </c>
      <c r="BI979" s="78">
        <f t="shared" si="580"/>
        <v>0.28000000000000003</v>
      </c>
      <c r="BJ979" s="79">
        <f t="shared" si="581"/>
        <v>0.19727923543278272</v>
      </c>
      <c r="BK979" s="80">
        <f t="shared" si="582"/>
        <v>491.77000000000015</v>
      </c>
      <c r="BL979" s="80">
        <f t="shared" si="583"/>
        <v>120.86416666666656</v>
      </c>
      <c r="BM979" s="79">
        <f t="shared" si="584"/>
        <v>0.19728603666407749</v>
      </c>
      <c r="BN979" s="81">
        <f t="shared" si="585"/>
        <v>0.78213567839195985</v>
      </c>
      <c r="BO979" s="82">
        <f t="shared" si="586"/>
        <v>311.29000000000002</v>
      </c>
      <c r="BP979" s="81">
        <f t="shared" si="587"/>
        <v>0.78213567839195985</v>
      </c>
      <c r="BQ979" s="81">
        <f t="shared" si="588"/>
        <v>0.90402111454131673</v>
      </c>
      <c r="BR979" s="81">
        <f t="shared" si="589"/>
        <v>1.2076999252615845</v>
      </c>
      <c r="BS979" s="82">
        <f t="shared" si="590"/>
        <v>398</v>
      </c>
      <c r="BT979" s="82">
        <f t="shared" si="591"/>
        <v>480.66457025411063</v>
      </c>
      <c r="BU979" s="82">
        <f t="shared" si="592"/>
        <v>432.15416666666658</v>
      </c>
      <c r="BW979" s="82">
        <f>IFERROR(INDEX('Infos Clientes'!$T:$T,MATCH('Detalhe Por UC'!$C979,'Infos Clientes'!B:B,0)),"")</f>
        <v>453.58333333333331</v>
      </c>
      <c r="BX979" s="83">
        <f t="shared" si="593"/>
        <v>0</v>
      </c>
      <c r="BY979" s="84">
        <f t="shared" si="594"/>
        <v>0.25145220627093423</v>
      </c>
      <c r="BZ979" s="85">
        <f>IF(_xlfn.MINIFS('Detalhe Por UC'!R:R,'Detalhe Por UC'!C:C,C979,'Detalhe Por UC'!AD:AD,"&gt;"&amp;0)=0,"",_xlfn.MINIFS('Detalhe Por UC'!R:R,'Detalhe Por UC'!C:C,C979,'Detalhe Por UC'!AD:AD,"&gt;"&amp;0))</f>
        <v>45627</v>
      </c>
      <c r="CA979" s="114">
        <f ca="1">IF(OR(S979&gt;0,AD979&gt;0),IFERROR(
SUMIFS(INDIRECT("'Infos Clientes'!$W"&amp;INDEX('Infos Clientes'!$C:$C,MATCH(C979,'Infos Clientes'!$H:$H,0))&amp;":$CZ"&amp;INDEX('Infos Clientes'!$C:$C,MATCH(C979,'Infos Clientes'!$H:$H,0))),'Infos Clientes'!$W$2:$CZ$2,"&gt;"&amp;$R979-365,'Infos Clientes'!$W$2:$CZ$2,"&lt;="&amp;$R979)/
COUNTIFS(INDIRECT("'Infos Clientes'!$W"&amp;INDEX('Infos Clientes'!$C:$C,MATCH(C979,'Infos Clientes'!$H:$H,0))&amp;":$CZ"&amp;INDEX('Infos Clientes'!$C:$C,MATCH(C979,'Infos Clientes'!$H:$H,0))),"&gt;="&amp;0,'Infos Clientes'!$W$2:$CZ$2,"&gt;"&amp;$R979-365,'Infos Clientes'!$W$2:$CZ$2,"&lt;="&amp;$R979),""),"")</f>
        <v>402.58333333333331</v>
      </c>
      <c r="CB979" s="87">
        <f>VLOOKUP(C979,'Infos Clientes'!B:L,11,0)</f>
        <v>0</v>
      </c>
      <c r="CC979" s="88" t="str">
        <f t="shared" si="595"/>
        <v>A Unidade Consumidora 10/1035655-8 economizou R$120,86 na fatura referente à out/2025  consumindo 398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79" s="115">
        <f t="shared" si="596"/>
        <v>-180.48000000000013</v>
      </c>
    </row>
    <row r="980" spans="1:84" ht="16.2" hidden="1" customHeight="1" x14ac:dyDescent="0.3">
      <c r="A980" s="105" t="str">
        <f>INDEX('Infos Clientes'!$D:$D,MATCH('Detalhe Por UC'!C980,'Infos Clientes'!B:B,0))</f>
        <v>IGREJA DO EVANGELHO QUADRANGULAR</v>
      </c>
      <c r="B980" s="106" t="str">
        <f>INDEX('Infos Clientes'!$F:$F,MATCH('Detalhe Por UC'!C980,'Infos Clientes'!B:B,0))</f>
        <v>62.955.505/3593-60</v>
      </c>
      <c r="C980" s="31" t="s">
        <v>123</v>
      </c>
      <c r="D980" s="31" t="s">
        <v>351</v>
      </c>
      <c r="E980" s="31" t="s">
        <v>352</v>
      </c>
      <c r="F980" s="56" t="str">
        <f>INDEX('Infos Clientes'!$I:$I,MATCH('Detalhe Por UC'!C980,'Infos Clientes'!B:B,0))</f>
        <v>BT</v>
      </c>
      <c r="G980" s="56" t="str">
        <f>INDEX('Infos Clientes'!$J:$J,MATCH('Detalhe Por UC'!C980,'Infos Clientes'!B:B,0))</f>
        <v>trifasico</v>
      </c>
      <c r="H980" s="156" t="s">
        <v>24</v>
      </c>
      <c r="I980" s="58">
        <f>IFERROR(VLOOKUP(C980,'Infos Clientes'!B:E,4,),"")</f>
        <v>351</v>
      </c>
      <c r="J980" s="152">
        <v>0.2796792317717392</v>
      </c>
      <c r="K980" s="79">
        <f>INDEX('Resumo Operacional'!$A$1:$P$151,MATCH("Desconto percentual Ucs",'Resumo Operacional'!$B$1:$B$151,0),MATCH('Detalhe Por UC'!$R980,'Resumo Operacional'!$A$1:$P$1,0))</f>
        <v>0.26414553913427991</v>
      </c>
      <c r="M980" s="56"/>
      <c r="N980" s="56"/>
      <c r="O980" s="56"/>
      <c r="P980" s="56"/>
      <c r="Q980" s="61"/>
      <c r="R980" s="111">
        <v>45931</v>
      </c>
      <c r="S980" s="152">
        <v>2.3199999999999998E-2</v>
      </c>
      <c r="T980" s="113">
        <f>IF($H980="GIROSSOL II",AP980/INDEX('Resumo Operacional'!$A$1:$P$1103,17,MATCH('Detalhe Por UC'!$R980,'Resumo Operacional'!$A$1:$P$1,0)),
IF($H980="GIROSSOL II e III",AP980/INDEX('Resumo Operacional'!$A$1:$P$1103,17,MATCH('Detalhe Por UC'!$R980,'Resumo Operacional'!$A$1:$P$1,0)),
""))</f>
        <v>1.2893982808022923E-2</v>
      </c>
      <c r="U980" s="113" t="str">
        <f>IF($H980="GIROSSOL III",AP980/INDEX('Resumo Operacional'!$A$1:$P$1103,53,MATCH('Detalhe Por UC'!$R980,'Resumo Operacional'!$A$1:$P$1,0)),
IF($H980="GIROSSOL II e III",AP980/INDEX('Resumo Operacional'!$A$1:$P$1103,53,MATCH('Detalhe Por UC'!$R980,'Resumo Operacional'!$A$1:$P$1,0)),
""))</f>
        <v/>
      </c>
      <c r="X980">
        <v>1.2058094475105334</v>
      </c>
      <c r="Z980" s="54">
        <v>1.1533668174067759</v>
      </c>
      <c r="AB980" s="18">
        <v>411</v>
      </c>
      <c r="AD980" s="143">
        <v>329</v>
      </c>
      <c r="AF980" s="18">
        <v>507</v>
      </c>
      <c r="AH980">
        <v>86.34</v>
      </c>
      <c r="AL980" s="43"/>
      <c r="AN980" s="71">
        <f t="shared" si="563"/>
        <v>-158</v>
      </c>
      <c r="AO980" s="71">
        <f t="shared" si="564"/>
        <v>0</v>
      </c>
      <c r="AP980" s="71">
        <f t="shared" si="565"/>
        <v>171</v>
      </c>
      <c r="AQ980" s="72">
        <f>IF(OR($H980="GIROSSOL II",$H980="GIROSSOL II e III"),INDEX('Resumo Operacional'!$A$1:$P$1103,MATCH("Energia Injetada prevista total Fatura da Usina (TUSD)",'Resumo Operacional'!$B$1:$B$1103,0),MATCH('Detalhe Por UC'!$R980,'Resumo Operacional'!$A$1:$P$1,0))*$S980,INDEX('Resumo Operacional'!$A$1:$P$1103,53,MATCH('Detalhe Por UC'!$R980,'Resumo Operacional'!$A$1:$P$1,0))*$S980)</f>
        <v>307.67839999999995</v>
      </c>
      <c r="AR980" s="71">
        <f t="shared" si="566"/>
        <v>-136.67839999999995</v>
      </c>
      <c r="AS980" s="73">
        <f t="shared" si="567"/>
        <v>202.46999999999994</v>
      </c>
      <c r="AT980" s="74">
        <f t="shared" si="568"/>
        <v>202.46999999999994</v>
      </c>
      <c r="AU980" s="74">
        <f t="shared" si="569"/>
        <v>1.1009241873030184</v>
      </c>
      <c r="AV980" s="74">
        <f t="shared" si="570"/>
        <v>273.3312496759695</v>
      </c>
      <c r="AW980" s="74">
        <f t="shared" si="571"/>
        <v>0</v>
      </c>
      <c r="AX980" s="74">
        <f t="shared" si="572"/>
        <v>379.45768292682931</v>
      </c>
      <c r="AY980" s="74">
        <f t="shared" si="573"/>
        <v>273.33</v>
      </c>
      <c r="AZ980" s="129">
        <v>273.33</v>
      </c>
      <c r="BA980" s="117">
        <v>273.33</v>
      </c>
      <c r="BC980" s="73" t="str">
        <f t="shared" si="574"/>
        <v/>
      </c>
      <c r="BD980" s="73">
        <f t="shared" si="575"/>
        <v>581.92768292682922</v>
      </c>
      <c r="BE980" s="73">
        <f t="shared" si="576"/>
        <v>475.80124967596942</v>
      </c>
      <c r="BF980" s="77">
        <f t="shared" si="577"/>
        <v>106.13</v>
      </c>
      <c r="BG980" s="77">
        <f t="shared" si="578"/>
        <v>31.838999999999999</v>
      </c>
      <c r="BH980" s="77">
        <f t="shared" si="579"/>
        <v>379.45768292682925</v>
      </c>
      <c r="BI980" s="78">
        <f t="shared" si="580"/>
        <v>0.28000000000000003</v>
      </c>
      <c r="BJ980" s="79">
        <f t="shared" si="581"/>
        <v>0.18237661330393287</v>
      </c>
      <c r="BK980" s="80">
        <f t="shared" si="582"/>
        <v>475.79999999999995</v>
      </c>
      <c r="BL980" s="80">
        <f t="shared" si="583"/>
        <v>106.12768292682927</v>
      </c>
      <c r="BM980" s="79">
        <f t="shared" si="584"/>
        <v>0.18237263158380043</v>
      </c>
      <c r="BN980" s="81">
        <f t="shared" si="585"/>
        <v>0.83079027355623092</v>
      </c>
      <c r="BO980" s="82">
        <f t="shared" si="586"/>
        <v>273.33</v>
      </c>
      <c r="BP980" s="81">
        <f t="shared" si="587"/>
        <v>0.83079027355623092</v>
      </c>
      <c r="BQ980" s="81">
        <f t="shared" si="588"/>
        <v>0.88323290365998841</v>
      </c>
      <c r="BR980" s="81">
        <f t="shared" si="589"/>
        <v>1.2058094475105334</v>
      </c>
      <c r="BS980" s="82">
        <f t="shared" si="590"/>
        <v>329</v>
      </c>
      <c r="BT980" s="82">
        <f t="shared" si="591"/>
        <v>396.71130823096547</v>
      </c>
      <c r="BU980" s="82">
        <f t="shared" si="592"/>
        <v>379.45768292682931</v>
      </c>
      <c r="BW980" s="82">
        <f>IFERROR(INDEX('Infos Clientes'!$T:$T,MATCH('Detalhe Por UC'!$C980,'Infos Clientes'!B:B,0)),"")</f>
        <v>409.33333333333331</v>
      </c>
      <c r="BX980" s="83">
        <f t="shared" si="593"/>
        <v>0</v>
      </c>
      <c r="BY980" s="84">
        <f t="shared" si="594"/>
        <v>0.26751867346579827</v>
      </c>
      <c r="BZ980" s="85">
        <f>IF(_xlfn.MINIFS('Detalhe Por UC'!R:R,'Detalhe Por UC'!C:C,C980,'Detalhe Por UC'!AD:AD,"&gt;"&amp;0)=0,"",_xlfn.MINIFS('Detalhe Por UC'!R:R,'Detalhe Por UC'!C:C,C980,'Detalhe Por UC'!AD:AD,"&gt;"&amp;0))</f>
        <v>45627</v>
      </c>
      <c r="CA980" s="114">
        <f ca="1">IF(OR(S980&gt;0,AD980&gt;0),IFERROR(
SUMIFS(INDIRECT("'Infos Clientes'!$W"&amp;INDEX('Infos Clientes'!$C:$C,MATCH(C980,'Infos Clientes'!$H:$H,0))&amp;":$CZ"&amp;INDEX('Infos Clientes'!$C:$C,MATCH(C980,'Infos Clientes'!$H:$H,0))),'Infos Clientes'!$W$2:$CZ$2,"&gt;"&amp;$R980-365,'Infos Clientes'!$W$2:$CZ$2,"&lt;="&amp;$R980)/
COUNTIFS(INDIRECT("'Infos Clientes'!$W"&amp;INDEX('Infos Clientes'!$C:$C,MATCH(C980,'Infos Clientes'!$H:$H,0))&amp;":$CZ"&amp;INDEX('Infos Clientes'!$C:$C,MATCH(C980,'Infos Clientes'!$H:$H,0))),"&gt;="&amp;0,'Infos Clientes'!$W$2:$CZ$2,"&gt;"&amp;$R980-365,'Infos Clientes'!$W$2:$CZ$2,"&lt;="&amp;$R980),""),"")</f>
        <v>390.25</v>
      </c>
      <c r="CB980" s="87">
        <f>VLOOKUP(C980,'Infos Clientes'!B:L,11,0)</f>
        <v>0</v>
      </c>
      <c r="CC980" s="88" t="str">
        <f t="shared" si="595"/>
        <v>A Unidade Consumidora 10/532723-4 economizou R$106,13 na fatura referente à out/2025  consumindo 329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0" s="115">
        <f t="shared" si="596"/>
        <v>-202.46999999999994</v>
      </c>
    </row>
    <row r="981" spans="1:84" ht="16.2" hidden="1" customHeight="1" x14ac:dyDescent="0.3">
      <c r="A981" s="105" t="str">
        <f>INDEX('Infos Clientes'!$D:$D,MATCH('Detalhe Por UC'!C981,'Infos Clientes'!B:B,0))</f>
        <v>IGREJA DO EVANGELHO QUADRANGULAR</v>
      </c>
      <c r="B981" s="106" t="str">
        <f>INDEX('Infos Clientes'!$F:$F,MATCH('Detalhe Por UC'!C981,'Infos Clientes'!B:B,0))</f>
        <v>62.955.505/4194-43</v>
      </c>
      <c r="C981" s="31" t="s">
        <v>99</v>
      </c>
      <c r="D981" s="31" t="s">
        <v>351</v>
      </c>
      <c r="E981" s="31" t="s">
        <v>352</v>
      </c>
      <c r="F981" s="56" t="str">
        <f>INDEX('Infos Clientes'!$I:$I,MATCH('Detalhe Por UC'!C981,'Infos Clientes'!B:B,0))</f>
        <v>BT</v>
      </c>
      <c r="G981" s="56" t="str">
        <f>INDEX('Infos Clientes'!$J:$J,MATCH('Detalhe Por UC'!C981,'Infos Clientes'!B:B,0))</f>
        <v>trifasico</v>
      </c>
      <c r="H981" s="156" t="s">
        <v>24</v>
      </c>
      <c r="I981" s="58">
        <f>IFERROR(VLOOKUP(C981,'Infos Clientes'!B:E,4,),"")</f>
        <v>331</v>
      </c>
      <c r="J981" s="152">
        <v>0.2796792317717392</v>
      </c>
      <c r="K981" s="79">
        <f>INDEX('Resumo Operacional'!$A$1:$P$151,MATCH("Desconto percentual Ucs",'Resumo Operacional'!$B$1:$B$151,0),MATCH('Detalhe Por UC'!$R981,'Resumo Operacional'!$A$1:$P$1,0))</f>
        <v>0.26414553913427991</v>
      </c>
      <c r="M981" s="56"/>
      <c r="N981" s="56"/>
      <c r="O981" s="56"/>
      <c r="P981" s="56"/>
      <c r="Q981" s="61"/>
      <c r="R981" s="111">
        <v>45931</v>
      </c>
      <c r="S981" s="152">
        <v>2.2599999999999999E-2</v>
      </c>
      <c r="T981" s="113">
        <f>IF($H981="GIROSSOL II",AP981/INDEX('Resumo Operacional'!$A$1:$P$1103,17,MATCH('Detalhe Por UC'!$R981,'Resumo Operacional'!$A$1:$P$1,0)),
IF($H981="GIROSSOL II e III",AP981/INDEX('Resumo Operacional'!$A$1:$P$1103,17,MATCH('Detalhe Por UC'!$R981,'Resumo Operacional'!$A$1:$P$1,0)),
""))</f>
        <v>1.6437942995023377E-2</v>
      </c>
      <c r="U981" s="113" t="str">
        <f>IF($H981="GIROSSOL III",AP981/INDEX('Resumo Operacional'!$A$1:$P$1103,53,MATCH('Detalhe Por UC'!$R981,'Resumo Operacional'!$A$1:$P$1,0)),
IF($H981="GIROSSOL II e III",AP981/INDEX('Resumo Operacional'!$A$1:$P$1103,53,MATCH('Detalhe Por UC'!$R981,'Resumo Operacional'!$A$1:$P$1,0)),
""))</f>
        <v/>
      </c>
      <c r="X981">
        <v>1.2141067961165048</v>
      </c>
      <c r="Z981" s="18">
        <v>1.2141089743589746</v>
      </c>
      <c r="AB981" s="18">
        <v>412</v>
      </c>
      <c r="AD981" s="143">
        <v>312</v>
      </c>
      <c r="AF981" s="18">
        <v>431</v>
      </c>
      <c r="AH981">
        <v>0</v>
      </c>
      <c r="AL981" s="43"/>
      <c r="AN981" s="71">
        <f t="shared" si="563"/>
        <v>-94</v>
      </c>
      <c r="AO981" s="71">
        <f t="shared" si="564"/>
        <v>0</v>
      </c>
      <c r="AP981" s="71">
        <f t="shared" si="565"/>
        <v>218</v>
      </c>
      <c r="AQ981" s="72">
        <f>IF(OR($H981="GIROSSOL II",$H981="GIROSSOL II e III"),INDEX('Resumo Operacional'!$A$1:$P$1103,MATCH("Energia Injetada prevista total Fatura da Usina (TUSD)",'Resumo Operacional'!$B$1:$B$1103,0),MATCH('Detalhe Por UC'!$R981,'Resumo Operacional'!$A$1:$P$1,0))*$S981,INDEX('Resumo Operacional'!$A$1:$P$1103,53,MATCH('Detalhe Por UC'!$R981,'Resumo Operacional'!$A$1:$P$1,0))*$S981)</f>
        <v>299.72119999999995</v>
      </c>
      <c r="AR981" s="71">
        <f t="shared" si="566"/>
        <v>-81.721199999999953</v>
      </c>
      <c r="AS981" s="73">
        <f t="shared" si="567"/>
        <v>121.40999999999991</v>
      </c>
      <c r="AT981" s="74">
        <f t="shared" si="568"/>
        <v>121.40999999999991</v>
      </c>
      <c r="AU981" s="74">
        <f t="shared" si="569"/>
        <v>1.2141111526014443</v>
      </c>
      <c r="AV981" s="74">
        <f t="shared" si="570"/>
        <v>272.8589476464017</v>
      </c>
      <c r="AW981" s="74">
        <f t="shared" si="571"/>
        <v>0</v>
      </c>
      <c r="AX981" s="74">
        <f t="shared" si="572"/>
        <v>378.80200000000008</v>
      </c>
      <c r="AY981" s="74">
        <f t="shared" si="573"/>
        <v>272.86</v>
      </c>
      <c r="AZ981" s="129">
        <v>272.86</v>
      </c>
      <c r="BA981" s="117">
        <v>272.86</v>
      </c>
      <c r="BB981" s="49">
        <v>272.86</v>
      </c>
      <c r="BC981" s="73" t="str">
        <f t="shared" si="574"/>
        <v/>
      </c>
      <c r="BD981" s="73">
        <f t="shared" si="575"/>
        <v>500.21199999999999</v>
      </c>
      <c r="BE981" s="73">
        <f t="shared" si="576"/>
        <v>394.26894764640161</v>
      </c>
      <c r="BF981" s="77">
        <f t="shared" si="577"/>
        <v>105.94</v>
      </c>
      <c r="BG981" s="77">
        <f t="shared" si="578"/>
        <v>31.781999999999996</v>
      </c>
      <c r="BH981" s="77">
        <f t="shared" si="579"/>
        <v>378.80200000000008</v>
      </c>
      <c r="BI981" s="78">
        <f t="shared" si="580"/>
        <v>0.28000000000000003</v>
      </c>
      <c r="BJ981" s="79">
        <f t="shared" si="581"/>
        <v>0.21179020095479517</v>
      </c>
      <c r="BK981" s="80">
        <f t="shared" si="582"/>
        <v>394.26999999999992</v>
      </c>
      <c r="BL981" s="80">
        <f t="shared" si="583"/>
        <v>105.94200000000006</v>
      </c>
      <c r="BM981" s="79">
        <f t="shared" si="584"/>
        <v>0.21179419925951409</v>
      </c>
      <c r="BN981" s="81">
        <f t="shared" si="585"/>
        <v>0.87455128205128208</v>
      </c>
      <c r="BO981" s="82">
        <f t="shared" si="586"/>
        <v>272.86</v>
      </c>
      <c r="BP981" s="81">
        <f t="shared" si="587"/>
        <v>0.87455128205128208</v>
      </c>
      <c r="BQ981" s="81">
        <f t="shared" si="588"/>
        <v>0.87454910380881234</v>
      </c>
      <c r="BR981" s="81">
        <f t="shared" si="589"/>
        <v>1.2141067961165048</v>
      </c>
      <c r="BS981" s="82">
        <f t="shared" si="590"/>
        <v>312</v>
      </c>
      <c r="BT981" s="82">
        <f t="shared" si="591"/>
        <v>378.8013203883495</v>
      </c>
      <c r="BU981" s="82">
        <f t="shared" si="592"/>
        <v>378.80200000000008</v>
      </c>
      <c r="BW981" s="82">
        <f>IFERROR(INDEX('Infos Clientes'!$T:$T,MATCH('Detalhe Por UC'!$C981,'Infos Clientes'!B:B,0)),"")</f>
        <v>433.16666666666669</v>
      </c>
      <c r="BX981" s="83">
        <f t="shared" si="593"/>
        <v>0</v>
      </c>
      <c r="BY981" s="84">
        <f t="shared" si="594"/>
        <v>0.27967695543243526</v>
      </c>
      <c r="BZ981" s="85">
        <f>IF(_xlfn.MINIFS('Detalhe Por UC'!R:R,'Detalhe Por UC'!C:C,C981,'Detalhe Por UC'!AD:AD,"&gt;"&amp;0)=0,"",_xlfn.MINIFS('Detalhe Por UC'!R:R,'Detalhe Por UC'!C:C,C981,'Detalhe Por UC'!AD:AD,"&gt;"&amp;0))</f>
        <v>45627</v>
      </c>
      <c r="CA981" s="114">
        <f ca="1">IF(OR(S981&gt;0,AD981&gt;0),IFERROR(
SUMIFS(INDIRECT("'Infos Clientes'!$W"&amp;INDEX('Infos Clientes'!$C:$C,MATCH(C981,'Infos Clientes'!$H:$H,0))&amp;":$CZ"&amp;INDEX('Infos Clientes'!$C:$C,MATCH(C981,'Infos Clientes'!$H:$H,0))),'Infos Clientes'!$W$2:$CZ$2,"&gt;"&amp;$R981-365,'Infos Clientes'!$W$2:$CZ$2,"&lt;="&amp;$R981)/
COUNTIFS(INDIRECT("'Infos Clientes'!$W"&amp;INDEX('Infos Clientes'!$C:$C,MATCH(C981,'Infos Clientes'!$H:$H,0))&amp;":$CZ"&amp;INDEX('Infos Clientes'!$C:$C,MATCH(C981,'Infos Clientes'!$H:$H,0))),"&gt;="&amp;0,'Infos Clientes'!$W$2:$CZ$2,"&gt;"&amp;$R981-365,'Infos Clientes'!$W$2:$CZ$2,"&lt;="&amp;$R981),""),"")</f>
        <v>384.5</v>
      </c>
      <c r="CB981" s="87">
        <f>VLOOKUP(C981,'Infos Clientes'!B:L,11,0)</f>
        <v>0</v>
      </c>
      <c r="CC981" s="88" t="str">
        <f t="shared" si="595"/>
        <v>A Unidade Consumidora 10/3092868-3 economizou R$105,94 na fatura referente à out/2025  consumindo 312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1" s="115">
        <f t="shared" si="596"/>
        <v>-121.40999999999991</v>
      </c>
    </row>
    <row r="982" spans="1:84" ht="16.2" hidden="1" customHeight="1" x14ac:dyDescent="0.3">
      <c r="A982" s="105" t="str">
        <f>INDEX('Infos Clientes'!$D:$D,MATCH('Detalhe Por UC'!C982,'Infos Clientes'!B:B,0))</f>
        <v>IGREJA DO EVANGELHO QUADRANGULAR</v>
      </c>
      <c r="B982" s="106" t="str">
        <f>INDEX('Infos Clientes'!$F:$F,MATCH('Detalhe Por UC'!C982,'Infos Clientes'!B:B,0))</f>
        <v>62.955.505/0172-13</v>
      </c>
      <c r="C982" s="31" t="s">
        <v>54</v>
      </c>
      <c r="D982" s="31" t="s">
        <v>351</v>
      </c>
      <c r="E982" s="31" t="s">
        <v>352</v>
      </c>
      <c r="F982" s="56" t="str">
        <f>INDEX('Infos Clientes'!$I:$I,MATCH('Detalhe Por UC'!C982,'Infos Clientes'!B:B,0))</f>
        <v>BT</v>
      </c>
      <c r="G982" s="56" t="str">
        <f>INDEX('Infos Clientes'!$J:$J,MATCH('Detalhe Por UC'!C982,'Infos Clientes'!B:B,0))</f>
        <v>trifasico</v>
      </c>
      <c r="H982" s="156" t="s">
        <v>24</v>
      </c>
      <c r="I982" s="58">
        <f>IFERROR(VLOOKUP(C982,'Infos Clientes'!B:E,4,),"")</f>
        <v>371</v>
      </c>
      <c r="J982" s="152">
        <v>0.2796792317717392</v>
      </c>
      <c r="K982" s="79">
        <f>INDEX('Resumo Operacional'!$A$1:$P$151,MATCH("Desconto percentual Ucs",'Resumo Operacional'!$B$1:$B$151,0),MATCH('Detalhe Por UC'!$R982,'Resumo Operacional'!$A$1:$P$1,0))</f>
        <v>0.26414553913427991</v>
      </c>
      <c r="M982" s="56"/>
      <c r="N982" s="56"/>
      <c r="O982" s="56"/>
      <c r="P982" s="56"/>
      <c r="Q982" s="61"/>
      <c r="R982" s="111">
        <v>45931</v>
      </c>
      <c r="S982" s="152">
        <v>2.1100000000000001E-2</v>
      </c>
      <c r="T982" s="113">
        <f>IF($H982="GIROSSOL II",AP982/INDEX('Resumo Operacional'!$A$1:$P$1103,17,MATCH('Detalhe Por UC'!$R982,'Resumo Operacional'!$A$1:$P$1,0)),
IF($H982="GIROSSOL II e III",AP982/INDEX('Resumo Operacional'!$A$1:$P$1103,17,MATCH('Detalhe Por UC'!$R982,'Resumo Operacional'!$A$1:$P$1,0)),
""))</f>
        <v>2.5938772432513951E-2</v>
      </c>
      <c r="U982" s="113" t="str">
        <f>IF($H982="GIROSSOL III",AP982/INDEX('Resumo Operacional'!$A$1:$P$1103,53,MATCH('Detalhe Por UC'!$R982,'Resumo Operacional'!$A$1:$P$1,0)),
IF($H982="GIROSSOL II e III",AP982/INDEX('Resumo Operacional'!$A$1:$P$1103,53,MATCH('Detalhe Por UC'!$R982,'Resumo Operacional'!$A$1:$P$1,0)),
""))</f>
        <v/>
      </c>
      <c r="X982">
        <v>1.2218260647359456</v>
      </c>
      <c r="Z982" s="18">
        <v>1.2218108829568788</v>
      </c>
      <c r="AB982" s="18">
        <v>587</v>
      </c>
      <c r="AD982" s="143">
        <v>487</v>
      </c>
      <c r="AF982" s="18">
        <v>2418</v>
      </c>
      <c r="AH982">
        <v>67.84</v>
      </c>
      <c r="AL982" s="43"/>
      <c r="AN982" s="71">
        <f t="shared" si="563"/>
        <v>-143</v>
      </c>
      <c r="AO982" s="71">
        <f t="shared" si="564"/>
        <v>0</v>
      </c>
      <c r="AP982" s="71">
        <f t="shared" si="565"/>
        <v>344</v>
      </c>
      <c r="AQ982" s="72">
        <f>IF(OR($H982="GIROSSOL II",$H982="GIROSSOL II e III"),INDEX('Resumo Operacional'!$A$1:$P$1103,MATCH("Energia Injetada prevista total Fatura da Usina (TUSD)",'Resumo Operacional'!$B$1:$B$1103,0),MATCH('Detalhe Por UC'!$R982,'Resumo Operacional'!$A$1:$P$1,0))*$S982,INDEX('Resumo Operacional'!$A$1:$P$1103,53,MATCH('Detalhe Por UC'!$R982,'Resumo Operacional'!$A$1:$P$1,0))*$S982)</f>
        <v>279.82819999999998</v>
      </c>
      <c r="AR982" s="71">
        <f t="shared" si="566"/>
        <v>64.171800000000019</v>
      </c>
      <c r="AS982" s="73">
        <f t="shared" si="567"/>
        <v>190.03000000000006</v>
      </c>
      <c r="AT982" s="74">
        <f t="shared" si="568"/>
        <v>190.03000000000006</v>
      </c>
      <c r="AU982" s="74">
        <f t="shared" si="569"/>
        <v>1.221795701177812</v>
      </c>
      <c r="AV982" s="74">
        <f t="shared" si="570"/>
        <v>428.6066321206394</v>
      </c>
      <c r="AW982" s="74">
        <f t="shared" si="571"/>
        <v>0</v>
      </c>
      <c r="AX982" s="74">
        <f t="shared" si="572"/>
        <v>595.02189999999996</v>
      </c>
      <c r="AY982" s="74">
        <f t="shared" si="573"/>
        <v>428.61</v>
      </c>
      <c r="AZ982" s="129">
        <v>428.75</v>
      </c>
      <c r="BA982" s="117">
        <v>428.75</v>
      </c>
      <c r="BB982" s="49">
        <v>428.75</v>
      </c>
      <c r="BC982" s="73" t="str">
        <f t="shared" si="574"/>
        <v/>
      </c>
      <c r="BD982" s="73">
        <f t="shared" si="575"/>
        <v>785.05190000000005</v>
      </c>
      <c r="BE982" s="73">
        <f t="shared" si="576"/>
        <v>618.63663212063943</v>
      </c>
      <c r="BF982" s="77">
        <f t="shared" si="577"/>
        <v>166.42</v>
      </c>
      <c r="BG982" s="77">
        <f t="shared" si="578"/>
        <v>49.925999999999995</v>
      </c>
      <c r="BH982" s="77">
        <f t="shared" si="579"/>
        <v>595.02189999999996</v>
      </c>
      <c r="BI982" s="78">
        <f t="shared" si="580"/>
        <v>0.28000000000000003</v>
      </c>
      <c r="BJ982" s="79">
        <f t="shared" si="581"/>
        <v>0.21198598462088936</v>
      </c>
      <c r="BK982" s="80">
        <f t="shared" si="582"/>
        <v>618.6400000000001</v>
      </c>
      <c r="BL982" s="80">
        <f t="shared" si="583"/>
        <v>166.41189999999995</v>
      </c>
      <c r="BM982" s="79">
        <f t="shared" si="584"/>
        <v>0.21197566683170876</v>
      </c>
      <c r="BN982" s="81">
        <f t="shared" si="585"/>
        <v>0.88010266940451753</v>
      </c>
      <c r="BO982" s="82">
        <f t="shared" si="586"/>
        <v>428.61</v>
      </c>
      <c r="BP982" s="81">
        <f t="shared" si="587"/>
        <v>0.88010266940451753</v>
      </c>
      <c r="BQ982" s="81">
        <f t="shared" si="588"/>
        <v>0.88011785118358432</v>
      </c>
      <c r="BR982" s="81">
        <f t="shared" si="589"/>
        <v>1.2218260647359456</v>
      </c>
      <c r="BS982" s="82">
        <f t="shared" si="590"/>
        <v>487</v>
      </c>
      <c r="BT982" s="82">
        <f t="shared" si="591"/>
        <v>595.02929352640547</v>
      </c>
      <c r="BU982" s="82">
        <f t="shared" si="592"/>
        <v>595.02189999999996</v>
      </c>
      <c r="BW982" s="82">
        <f>IFERROR(INDEX('Infos Clientes'!$T:$T,MATCH('Detalhe Por UC'!$C982,'Infos Clientes'!B:B,0)),"")</f>
        <v>418.16666666666669</v>
      </c>
      <c r="BX982" s="83">
        <f t="shared" si="593"/>
        <v>0</v>
      </c>
      <c r="BY982" s="84">
        <f t="shared" si="594"/>
        <v>0.27967009659939557</v>
      </c>
      <c r="BZ982" s="85">
        <f>IF(_xlfn.MINIFS('Detalhe Por UC'!R:R,'Detalhe Por UC'!C:C,C982,'Detalhe Por UC'!AD:AD,"&gt;"&amp;0)=0,"",_xlfn.MINIFS('Detalhe Por UC'!R:R,'Detalhe Por UC'!C:C,C982,'Detalhe Por UC'!AD:AD,"&gt;"&amp;0))</f>
        <v>45627</v>
      </c>
      <c r="CA982" s="114">
        <f ca="1">IF(OR(S982&gt;0,AD982&gt;0),IFERROR(
SUMIFS(INDIRECT("'Infos Clientes'!$W"&amp;INDEX('Infos Clientes'!$C:$C,MATCH(C982,'Infos Clientes'!$H:$H,0))&amp;":$CZ"&amp;INDEX('Infos Clientes'!$C:$C,MATCH(C982,'Infos Clientes'!$H:$H,0))),'Infos Clientes'!$W$2:$CZ$2,"&gt;"&amp;$R982-365,'Infos Clientes'!$W$2:$CZ$2,"&lt;="&amp;$R982)/
COUNTIFS(INDIRECT("'Infos Clientes'!$W"&amp;INDEX('Infos Clientes'!$C:$C,MATCH(C982,'Infos Clientes'!$H:$H,0))&amp;":$CZ"&amp;INDEX('Infos Clientes'!$C:$C,MATCH(C982,'Infos Clientes'!$H:$H,0))),"&gt;="&amp;0,'Infos Clientes'!$W$2:$CZ$2,"&gt;"&amp;$R982-365,'Infos Clientes'!$W$2:$CZ$2,"&lt;="&amp;$R982),""),"")</f>
        <v>374.08333333333331</v>
      </c>
      <c r="CB982" s="87">
        <f>VLOOKUP(C982,'Infos Clientes'!B:L,11,0)</f>
        <v>0</v>
      </c>
      <c r="CC982" s="88" t="str">
        <f t="shared" si="595"/>
        <v>A Unidade Consumidora 10/1672452-8 economizou R$166,42 na fatura referente à out/2025  consumindo 487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2" s="115">
        <f t="shared" si="596"/>
        <v>-190.03000000000006</v>
      </c>
    </row>
    <row r="983" spans="1:84" ht="16.2" hidden="1" customHeight="1" x14ac:dyDescent="0.3">
      <c r="A983" s="105" t="str">
        <f>INDEX('Infos Clientes'!$D:$D,MATCH('Detalhe Por UC'!C983,'Infos Clientes'!B:B,0))</f>
        <v>IGREJA DO EVANGELHO QUADRANGULAR</v>
      </c>
      <c r="B983" s="106" t="str">
        <f>INDEX('Infos Clientes'!$F:$F,MATCH('Detalhe Por UC'!C983,'Infos Clientes'!B:B,0))</f>
        <v>62.955.505/4027-10</v>
      </c>
      <c r="C983" s="31" t="s">
        <v>126</v>
      </c>
      <c r="D983" s="31" t="s">
        <v>351</v>
      </c>
      <c r="E983" s="31" t="s">
        <v>352</v>
      </c>
      <c r="F983" s="56" t="str">
        <f>INDEX('Infos Clientes'!$I:$I,MATCH('Detalhe Por UC'!C983,'Infos Clientes'!B:B,0))</f>
        <v>BT</v>
      </c>
      <c r="G983" s="56" t="str">
        <f>INDEX('Infos Clientes'!$J:$J,MATCH('Detalhe Por UC'!C983,'Infos Clientes'!B:B,0))</f>
        <v>trifasico</v>
      </c>
      <c r="H983" s="156" t="s">
        <v>24</v>
      </c>
      <c r="I983" s="58">
        <f>IFERROR(VLOOKUP(C983,'Infos Clientes'!B:E,4,),"")</f>
        <v>994</v>
      </c>
      <c r="J983" s="152">
        <v>0.2796792317717392</v>
      </c>
      <c r="K983" s="79">
        <f>INDEX('Resumo Operacional'!$A$1:$P$151,MATCH("Desconto percentual Ucs",'Resumo Operacional'!$B$1:$B$151,0),MATCH('Detalhe Por UC'!$R983,'Resumo Operacional'!$A$1:$P$1,0))</f>
        <v>0.26414553913427991</v>
      </c>
      <c r="M983" s="56"/>
      <c r="N983" s="56"/>
      <c r="O983" s="56"/>
      <c r="P983" s="56"/>
      <c r="Q983" s="61"/>
      <c r="R983" s="111">
        <v>45931</v>
      </c>
      <c r="S983" s="152">
        <v>1.61E-2</v>
      </c>
      <c r="T983" s="113">
        <f>IF($H983="GIROSSOL II",AP983/INDEX('Resumo Operacional'!$A$1:$P$1103,17,MATCH('Detalhe Por UC'!$R983,'Resumo Operacional'!$A$1:$P$1,0)),
IF($H983="GIROSSOL II e III",AP983/INDEX('Resumo Operacional'!$A$1:$P$1103,17,MATCH('Detalhe Por UC'!$R983,'Resumo Operacional'!$A$1:$P$1,0)),
""))</f>
        <v>1.0330266928065148E-2</v>
      </c>
      <c r="U983" s="113" t="str">
        <f>IF($H983="GIROSSOL III",AP983/INDEX('Resumo Operacional'!$A$1:$P$1103,53,MATCH('Detalhe Por UC'!$R983,'Resumo Operacional'!$A$1:$P$1,0)),
IF($H983="GIROSSOL II e III",AP983/INDEX('Resumo Operacional'!$A$1:$P$1103,53,MATCH('Detalhe Por UC'!$R983,'Resumo Operacional'!$A$1:$P$1,0)),
""))</f>
        <v/>
      </c>
      <c r="X983">
        <v>1.2142124497991968</v>
      </c>
      <c r="Z983" s="18">
        <v>1.2141536912751678</v>
      </c>
      <c r="AB983" s="18">
        <v>249</v>
      </c>
      <c r="AD983" s="143">
        <v>149</v>
      </c>
      <c r="AF983" s="18">
        <v>484</v>
      </c>
      <c r="AH983">
        <v>47.92</v>
      </c>
      <c r="AL983" s="43"/>
      <c r="AN983" s="71">
        <f t="shared" si="563"/>
        <v>-12</v>
      </c>
      <c r="AO983" s="71">
        <f t="shared" si="564"/>
        <v>0</v>
      </c>
      <c r="AP983" s="71">
        <f t="shared" si="565"/>
        <v>137</v>
      </c>
      <c r="AQ983" s="72">
        <f>IF(OR($H983="GIROSSOL II",$H983="GIROSSOL II e III"),INDEX('Resumo Operacional'!$A$1:$P$1103,MATCH("Energia Injetada prevista total Fatura da Usina (TUSD)",'Resumo Operacional'!$B$1:$B$1103,0),MATCH('Detalhe Por UC'!$R983,'Resumo Operacional'!$A$1:$P$1,0))*$S983,INDEX('Resumo Operacional'!$A$1:$P$1103,53,MATCH('Detalhe Por UC'!$R983,'Resumo Operacional'!$A$1:$P$1,0))*$S983)</f>
        <v>213.51820000000001</v>
      </c>
      <c r="AR983" s="71">
        <f t="shared" si="566"/>
        <v>-76.518200000000007</v>
      </c>
      <c r="AS983" s="73">
        <f t="shared" si="567"/>
        <v>169.35000000000002</v>
      </c>
      <c r="AT983" s="74">
        <f t="shared" si="568"/>
        <v>169.35000000000002</v>
      </c>
      <c r="AU983" s="74">
        <f t="shared" si="569"/>
        <v>1.2140949327511388</v>
      </c>
      <c r="AV983" s="74">
        <f t="shared" si="570"/>
        <v>130.31243782732963</v>
      </c>
      <c r="AW983" s="74">
        <f t="shared" si="571"/>
        <v>0</v>
      </c>
      <c r="AX983" s="74">
        <f t="shared" si="572"/>
        <v>180.90890000000002</v>
      </c>
      <c r="AY983" s="74">
        <f t="shared" si="573"/>
        <v>130.31</v>
      </c>
      <c r="AZ983" s="129">
        <v>130.31</v>
      </c>
      <c r="BA983" s="117">
        <v>130.31</v>
      </c>
      <c r="BB983" s="49">
        <v>130.31</v>
      </c>
      <c r="BC983" s="73" t="str">
        <f t="shared" si="574"/>
        <v/>
      </c>
      <c r="BD983" s="73">
        <f t="shared" si="575"/>
        <v>350.25890000000004</v>
      </c>
      <c r="BE983" s="73">
        <f t="shared" si="576"/>
        <v>299.66243782732965</v>
      </c>
      <c r="BF983" s="77">
        <f t="shared" si="577"/>
        <v>50.6</v>
      </c>
      <c r="BG983" s="77">
        <f t="shared" si="578"/>
        <v>15.18</v>
      </c>
      <c r="BH983" s="77">
        <f t="shared" si="579"/>
        <v>180.90890000000002</v>
      </c>
      <c r="BI983" s="78">
        <f t="shared" si="580"/>
        <v>0.28000000000000003</v>
      </c>
      <c r="BJ983" s="79">
        <f t="shared" si="581"/>
        <v>0.14446456606812844</v>
      </c>
      <c r="BK983" s="80">
        <f t="shared" si="582"/>
        <v>299.66000000000003</v>
      </c>
      <c r="BL983" s="80">
        <f t="shared" si="583"/>
        <v>50.598900000000015</v>
      </c>
      <c r="BM983" s="79">
        <f t="shared" si="584"/>
        <v>0.14446142553408353</v>
      </c>
      <c r="BN983" s="81">
        <f t="shared" si="585"/>
        <v>0.87456375838926181</v>
      </c>
      <c r="BO983" s="82">
        <f t="shared" si="586"/>
        <v>130.31</v>
      </c>
      <c r="BP983" s="81">
        <f t="shared" si="587"/>
        <v>0.87456375838926181</v>
      </c>
      <c r="BQ983" s="81">
        <f t="shared" si="588"/>
        <v>0.87462251691329085</v>
      </c>
      <c r="BR983" s="81">
        <f t="shared" si="589"/>
        <v>1.2142124497991968</v>
      </c>
      <c r="BS983" s="82">
        <f t="shared" si="590"/>
        <v>149</v>
      </c>
      <c r="BT983" s="82">
        <f t="shared" si="591"/>
        <v>180.91765502008033</v>
      </c>
      <c r="BU983" s="82">
        <f t="shared" si="592"/>
        <v>180.90890000000002</v>
      </c>
      <c r="BW983" s="82">
        <f>IFERROR(INDEX('Infos Clientes'!$T:$T,MATCH('Detalhe Por UC'!$C983,'Infos Clientes'!B:B,0)),"")</f>
        <v>274.25</v>
      </c>
      <c r="BX983" s="83">
        <f t="shared" si="593"/>
        <v>0</v>
      </c>
      <c r="BY983" s="84">
        <f t="shared" si="594"/>
        <v>0.2796791722421117</v>
      </c>
      <c r="BZ983" s="85">
        <f>IF(_xlfn.MINIFS('Detalhe Por UC'!R:R,'Detalhe Por UC'!C:C,C983,'Detalhe Por UC'!AD:AD,"&gt;"&amp;0)=0,"",_xlfn.MINIFS('Detalhe Por UC'!R:R,'Detalhe Por UC'!C:C,C983,'Detalhe Por UC'!AD:AD,"&gt;"&amp;0))</f>
        <v>45627</v>
      </c>
      <c r="CA983" s="114">
        <f ca="1">IF(OR(S983&gt;0,AD983&gt;0),IFERROR(
SUMIFS(INDIRECT("'Infos Clientes'!$W"&amp;INDEX('Infos Clientes'!$C:$C,MATCH(C983,'Infos Clientes'!$H:$H,0))&amp;":$CZ"&amp;INDEX('Infos Clientes'!$C:$C,MATCH(C983,'Infos Clientes'!$H:$H,0))),'Infos Clientes'!$W$2:$CZ$2,"&gt;"&amp;$R983-365,'Infos Clientes'!$W$2:$CZ$2,"&lt;="&amp;$R983)/
COUNTIFS(INDIRECT("'Infos Clientes'!$W"&amp;INDEX('Infos Clientes'!$C:$C,MATCH(C983,'Infos Clientes'!$H:$H,0))&amp;":$CZ"&amp;INDEX('Infos Clientes'!$C:$C,MATCH(C983,'Infos Clientes'!$H:$H,0))),"&gt;="&amp;0,'Infos Clientes'!$W$2:$CZ$2,"&gt;"&amp;$R983-365,'Infos Clientes'!$W$2:$CZ$2,"&lt;="&amp;$R983),""),"")</f>
        <v>319</v>
      </c>
      <c r="CB983" s="87">
        <f>VLOOKUP(C983,'Infos Clientes'!B:L,11,0)</f>
        <v>0</v>
      </c>
      <c r="CC983" s="88" t="str">
        <f t="shared" si="595"/>
        <v>A Unidade Consumidora 10/931327-1 economizou R$50,6 na fatura referente à out/2025  consumindo 149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3" s="115">
        <f t="shared" si="596"/>
        <v>-169.35000000000002</v>
      </c>
    </row>
    <row r="984" spans="1:84" ht="16.2" hidden="1" customHeight="1" x14ac:dyDescent="0.3">
      <c r="A984" s="105" t="str">
        <f>INDEX('Infos Clientes'!$D:$D,MATCH('Detalhe Por UC'!C984,'Infos Clientes'!B:B,0))</f>
        <v>IGREJA DO EVANGELHO QUADRANGULAR</v>
      </c>
      <c r="B984" s="106" t="str">
        <f>INDEX('Infos Clientes'!$F:$F,MATCH('Detalhe Por UC'!C984,'Infos Clientes'!B:B,0))</f>
        <v>62.955.505/4194-43</v>
      </c>
      <c r="C984" s="31" t="s">
        <v>67</v>
      </c>
      <c r="D984" s="31" t="s">
        <v>351</v>
      </c>
      <c r="E984" s="31" t="s">
        <v>352</v>
      </c>
      <c r="F984" s="56" t="str">
        <f>INDEX('Infos Clientes'!$I:$I,MATCH('Detalhe Por UC'!C984,'Infos Clientes'!B:B,0))</f>
        <v>BT</v>
      </c>
      <c r="G984" s="56" t="str">
        <f>INDEX('Infos Clientes'!$J:$J,MATCH('Detalhe Por UC'!C984,'Infos Clientes'!B:B,0))</f>
        <v>bifasico</v>
      </c>
      <c r="H984" s="156" t="s">
        <v>24</v>
      </c>
      <c r="I984" s="58">
        <f>IFERROR(VLOOKUP(C984,'Infos Clientes'!B:E,4,),"")</f>
        <v>331</v>
      </c>
      <c r="J984" s="152">
        <v>0.2796792317717392</v>
      </c>
      <c r="K984" s="79">
        <f>INDEX('Resumo Operacional'!$A$1:$P$151,MATCH("Desconto percentual Ucs",'Resumo Operacional'!$B$1:$B$151,0),MATCH('Detalhe Por UC'!$R984,'Resumo Operacional'!$A$1:$P$1,0))</f>
        <v>0.26414553913427991</v>
      </c>
      <c r="M984" s="56"/>
      <c r="N984" s="56"/>
      <c r="O984" s="56"/>
      <c r="P984" s="56"/>
      <c r="Q984" s="61"/>
      <c r="R984" s="111">
        <v>45931</v>
      </c>
      <c r="S984" s="152">
        <v>1.4999999999999999E-2</v>
      </c>
      <c r="T984" s="113">
        <f>IF($H984="GIROSSOL II",AP984/INDEX('Resumo Operacional'!$A$1:$P$1103,17,MATCH('Detalhe Por UC'!$R984,'Resumo Operacional'!$A$1:$P$1,0)),
IF($H984="GIROSSOL II e III",AP984/INDEX('Resumo Operacional'!$A$1:$P$1103,17,MATCH('Detalhe Por UC'!$R984,'Resumo Operacional'!$A$1:$P$1,0)),
""))</f>
        <v>1.553310209621475E-2</v>
      </c>
      <c r="U984" s="113" t="str">
        <f>IF($H984="GIROSSOL III",AP984/INDEX('Resumo Operacional'!$A$1:$P$1103,53,MATCH('Detalhe Por UC'!$R984,'Resumo Operacional'!$A$1:$P$1,0)),
IF($H984="GIROSSOL II e III",AP984/INDEX('Resumo Operacional'!$A$1:$P$1103,53,MATCH('Detalhe Por UC'!$R984,'Resumo Operacional'!$A$1:$P$1,0)),
""))</f>
        <v/>
      </c>
      <c r="X984">
        <v>1.2175210191082801</v>
      </c>
      <c r="Z984" s="18">
        <v>1.2175060606060604</v>
      </c>
      <c r="AB984" s="18">
        <v>314</v>
      </c>
      <c r="AD984" s="143">
        <v>264</v>
      </c>
      <c r="AF984" s="18">
        <v>438</v>
      </c>
      <c r="AH984">
        <v>37.83</v>
      </c>
      <c r="AL984" s="43"/>
      <c r="AN984" s="71">
        <f t="shared" si="563"/>
        <v>-58</v>
      </c>
      <c r="AO984" s="71">
        <f t="shared" si="564"/>
        <v>0</v>
      </c>
      <c r="AP984" s="71">
        <f t="shared" si="565"/>
        <v>206</v>
      </c>
      <c r="AQ984" s="72">
        <f>IF(OR($H984="GIROSSOL II",$H984="GIROSSOL II e III"),INDEX('Resumo Operacional'!$A$1:$P$1103,MATCH("Energia Injetada prevista total Fatura da Usina (TUSD)",'Resumo Operacional'!$B$1:$B$1103,0),MATCH('Detalhe Por UC'!$R984,'Resumo Operacional'!$A$1:$P$1,0))*$S984,INDEX('Resumo Operacional'!$A$1:$P$1103,53,MATCH('Detalhe Por UC'!$R984,'Resumo Operacional'!$A$1:$P$1,0))*$S984)</f>
        <v>198.93</v>
      </c>
      <c r="AR984" s="71">
        <f t="shared" si="566"/>
        <v>7.0699999999999932</v>
      </c>
      <c r="AS984" s="73">
        <f t="shared" si="567"/>
        <v>98.71</v>
      </c>
      <c r="AT984" s="74">
        <f t="shared" si="568"/>
        <v>98.71</v>
      </c>
      <c r="AU984" s="74">
        <f t="shared" si="569"/>
        <v>1.2174911021038406</v>
      </c>
      <c r="AV984" s="74">
        <f t="shared" si="570"/>
        <v>231.52665383715672</v>
      </c>
      <c r="AW984" s="74">
        <f t="shared" si="571"/>
        <v>0</v>
      </c>
      <c r="AX984" s="74">
        <f t="shared" si="572"/>
        <v>321.42159999999996</v>
      </c>
      <c r="AY984" s="74">
        <f t="shared" si="573"/>
        <v>231.53</v>
      </c>
      <c r="AZ984" s="129">
        <v>232.48</v>
      </c>
      <c r="BA984" s="117">
        <v>232.48</v>
      </c>
      <c r="BB984" s="49">
        <v>232.48</v>
      </c>
      <c r="BC984" s="73" t="str">
        <f t="shared" si="574"/>
        <v/>
      </c>
      <c r="BD984" s="73">
        <f t="shared" si="575"/>
        <v>420.13159999999993</v>
      </c>
      <c r="BE984" s="73">
        <f t="shared" si="576"/>
        <v>330.23665383715672</v>
      </c>
      <c r="BF984" s="77">
        <f t="shared" si="577"/>
        <v>89.89</v>
      </c>
      <c r="BG984" s="77">
        <f t="shared" si="578"/>
        <v>26.966999999999999</v>
      </c>
      <c r="BH984" s="77">
        <f t="shared" si="579"/>
        <v>321.42159999999996</v>
      </c>
      <c r="BI984" s="78">
        <f t="shared" si="580"/>
        <v>0.28000000000000003</v>
      </c>
      <c r="BJ984" s="79">
        <f t="shared" si="581"/>
        <v>0.21395676973595895</v>
      </c>
      <c r="BK984" s="80">
        <f t="shared" si="582"/>
        <v>330.24</v>
      </c>
      <c r="BL984" s="80">
        <f t="shared" si="583"/>
        <v>89.891599999999926</v>
      </c>
      <c r="BM984" s="79">
        <f t="shared" si="584"/>
        <v>0.21396057806649141</v>
      </c>
      <c r="BN984" s="81">
        <f t="shared" si="585"/>
        <v>0.87700757575757571</v>
      </c>
      <c r="BO984" s="82">
        <f t="shared" si="586"/>
        <v>231.52999999999997</v>
      </c>
      <c r="BP984" s="81">
        <f t="shared" si="587"/>
        <v>0.87700757575757571</v>
      </c>
      <c r="BQ984" s="81">
        <f t="shared" si="588"/>
        <v>0.87702253425979548</v>
      </c>
      <c r="BR984" s="81">
        <f t="shared" si="589"/>
        <v>1.2175210191082801</v>
      </c>
      <c r="BS984" s="82">
        <f t="shared" si="590"/>
        <v>264</v>
      </c>
      <c r="BT984" s="82">
        <f t="shared" si="591"/>
        <v>321.42554904458598</v>
      </c>
      <c r="BU984" s="82">
        <f t="shared" si="592"/>
        <v>321.42159999999996</v>
      </c>
      <c r="BW984" s="82">
        <f>IFERROR(INDEX('Infos Clientes'!$T:$T,MATCH('Detalhe Por UC'!$C984,'Infos Clientes'!B:B,0)),"")</f>
        <v>372.25</v>
      </c>
      <c r="BX984" s="83">
        <f t="shared" si="593"/>
        <v>0</v>
      </c>
      <c r="BY984" s="84">
        <f t="shared" si="594"/>
        <v>0.27966538524145385</v>
      </c>
      <c r="BZ984" s="85">
        <f>IF(_xlfn.MINIFS('Detalhe Por UC'!R:R,'Detalhe Por UC'!C:C,C984,'Detalhe Por UC'!AD:AD,"&gt;"&amp;0)=0,"",_xlfn.MINIFS('Detalhe Por UC'!R:R,'Detalhe Por UC'!C:C,C984,'Detalhe Por UC'!AD:AD,"&gt;"&amp;0))</f>
        <v>45627</v>
      </c>
      <c r="CA984" s="114">
        <f ca="1">IF(OR(S984&gt;0,AD984&gt;0),IFERROR(
SUMIFS(INDIRECT("'Infos Clientes'!$W"&amp;INDEX('Infos Clientes'!$C:$C,MATCH(C984,'Infos Clientes'!$H:$H,0))&amp;":$CZ"&amp;INDEX('Infos Clientes'!$C:$C,MATCH(C984,'Infos Clientes'!$H:$H,0))),'Infos Clientes'!$W$2:$CZ$2,"&gt;"&amp;$R984-365,'Infos Clientes'!$W$2:$CZ$2,"&lt;="&amp;$R984)/
COUNTIFS(INDIRECT("'Infos Clientes'!$W"&amp;INDEX('Infos Clientes'!$C:$C,MATCH(C984,'Infos Clientes'!$H:$H,0))&amp;":$CZ"&amp;INDEX('Infos Clientes'!$C:$C,MATCH(C984,'Infos Clientes'!$H:$H,0))),"&gt;="&amp;0,'Infos Clientes'!$W$2:$CZ$2,"&gt;"&amp;$R984-365,'Infos Clientes'!$W$2:$CZ$2,"&lt;="&amp;$R984),""),"")</f>
        <v>332.75</v>
      </c>
      <c r="CB984" s="87">
        <f>VLOOKUP(C984,'Infos Clientes'!B:L,11,0)</f>
        <v>0</v>
      </c>
      <c r="CC984" s="88" t="str">
        <f t="shared" si="595"/>
        <v>A Unidade Consumidora 10/1939035-0 economizou R$89,89 na fatura referente à out/2025  consumindo 264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4" s="115">
        <f t="shared" si="596"/>
        <v>-98.71</v>
      </c>
    </row>
    <row r="985" spans="1:84" ht="16.2" hidden="1" customHeight="1" x14ac:dyDescent="0.3">
      <c r="A985" s="105" t="str">
        <f>INDEX('Infos Clientes'!$D:$D,MATCH('Detalhe Por UC'!C985,'Infos Clientes'!B:B,0))</f>
        <v>IGREJA DO EVANGELHO QUADRANGULAR</v>
      </c>
      <c r="B985" s="106" t="str">
        <f>INDEX('Infos Clientes'!$F:$F,MATCH('Detalhe Por UC'!C985,'Infos Clientes'!B:B,0))</f>
        <v>62.955.505/1973-60</v>
      </c>
      <c r="C985" s="31" t="s">
        <v>51</v>
      </c>
      <c r="D985" s="31" t="s">
        <v>351</v>
      </c>
      <c r="E985" s="31" t="s">
        <v>352</v>
      </c>
      <c r="F985" s="56" t="str">
        <f>INDEX('Infos Clientes'!$I:$I,MATCH('Detalhe Por UC'!C985,'Infos Clientes'!B:B,0))</f>
        <v>BT</v>
      </c>
      <c r="G985" s="56" t="str">
        <f>INDEX('Infos Clientes'!$J:$J,MATCH('Detalhe Por UC'!C985,'Infos Clientes'!B:B,0))</f>
        <v>trifasico</v>
      </c>
      <c r="H985" s="156" t="s">
        <v>24</v>
      </c>
      <c r="I985" s="58">
        <f>IFERROR(VLOOKUP(C985,'Infos Clientes'!B:E,4,),"")</f>
        <v>360</v>
      </c>
      <c r="J985" s="152">
        <v>0.2796792317717392</v>
      </c>
      <c r="K985" s="79">
        <f>INDEX('Resumo Operacional'!$A$1:$P$151,MATCH("Desconto percentual Ucs",'Resumo Operacional'!$B$1:$B$151,0),MATCH('Detalhe Por UC'!$R985,'Resumo Operacional'!$A$1:$P$1,0))</f>
        <v>0.26414553913427991</v>
      </c>
      <c r="M985" s="56"/>
      <c r="N985" s="56"/>
      <c r="O985" s="56"/>
      <c r="P985" s="56"/>
      <c r="Q985" s="61"/>
      <c r="R985" s="111">
        <v>45931</v>
      </c>
      <c r="S985" s="152">
        <v>1.2200000000000001E-2</v>
      </c>
      <c r="T985" s="113">
        <f>IF($H985="GIROSSOL II",AP985/INDEX('Resumo Operacional'!$A$1:$P$1103,17,MATCH('Detalhe Por UC'!$R985,'Resumo Operacional'!$A$1:$P$1,0)),
IF($H985="GIROSSOL II e III",AP985/INDEX('Resumo Operacional'!$A$1:$P$1103,17,MATCH('Detalhe Por UC'!$R985,'Resumo Operacional'!$A$1:$P$1,0)),
""))</f>
        <v>0</v>
      </c>
      <c r="U985" s="113" t="str">
        <f>IF($H985="GIROSSOL III",AP985/INDEX('Resumo Operacional'!$A$1:$P$1103,53,MATCH('Detalhe Por UC'!$R985,'Resumo Operacional'!$A$1:$P$1,0)),
IF($H985="GIROSSOL II e III",AP985/INDEX('Resumo Operacional'!$A$1:$P$1103,53,MATCH('Detalhe Por UC'!$R985,'Resumo Operacional'!$A$1:$P$1,0)),
""))</f>
        <v/>
      </c>
      <c r="X985">
        <v>1.2159111111111114</v>
      </c>
      <c r="Z985" s="31">
        <v>1.2158588235294119</v>
      </c>
      <c r="AB985">
        <v>270</v>
      </c>
      <c r="AD985">
        <v>170</v>
      </c>
      <c r="AF985">
        <v>233</v>
      </c>
      <c r="AG985">
        <v>0</v>
      </c>
      <c r="AH985">
        <v>64.89</v>
      </c>
      <c r="AL985" s="43"/>
      <c r="AN985" s="71">
        <f t="shared" si="563"/>
        <v>-170</v>
      </c>
      <c r="AO985" s="71">
        <f t="shared" si="564"/>
        <v>0</v>
      </c>
      <c r="AP985" s="71">
        <f t="shared" si="565"/>
        <v>0</v>
      </c>
      <c r="AQ985" s="72">
        <f>IF(OR($H985="GIROSSOL II",$H985="GIROSSOL II e III"),INDEX('Resumo Operacional'!$A$1:$P$1103,MATCH("Energia Injetada prevista total Fatura da Usina (TUSD)",'Resumo Operacional'!$B$1:$B$1103,0),MATCH('Detalhe Por UC'!$R985,'Resumo Operacional'!$A$1:$P$1,0))*$S985,INDEX('Resumo Operacional'!$A$1:$P$1103,53,MATCH('Detalhe Por UC'!$R985,'Resumo Operacional'!$A$1:$P$1,0))*$S985)</f>
        <v>161.79640000000001</v>
      </c>
      <c r="AR985" s="71">
        <f t="shared" si="566"/>
        <v>-161.79640000000001</v>
      </c>
      <c r="AS985" s="73">
        <f t="shared" si="567"/>
        <v>186.49</v>
      </c>
      <c r="AT985" s="74">
        <f t="shared" si="568"/>
        <v>186.49</v>
      </c>
      <c r="AU985" s="74">
        <f t="shared" si="569"/>
        <v>1.2158065359477124</v>
      </c>
      <c r="AV985" s="74">
        <f t="shared" si="570"/>
        <v>148.88742150970862</v>
      </c>
      <c r="AW985" s="74">
        <f t="shared" si="571"/>
        <v>0</v>
      </c>
      <c r="AX985" s="74">
        <f t="shared" si="572"/>
        <v>206.69600000000003</v>
      </c>
      <c r="AY985" s="74">
        <f t="shared" si="573"/>
        <v>148.88999999999999</v>
      </c>
      <c r="AZ985" s="129">
        <v>148.88999999999999</v>
      </c>
      <c r="BA985" s="117">
        <v>148.88999999999999</v>
      </c>
      <c r="BC985" s="73" t="str">
        <f t="shared" si="574"/>
        <v/>
      </c>
      <c r="BD985" s="73">
        <f t="shared" si="575"/>
        <v>393.18600000000004</v>
      </c>
      <c r="BE985" s="73">
        <f t="shared" si="576"/>
        <v>335.3774215097086</v>
      </c>
      <c r="BF985" s="77">
        <f t="shared" si="577"/>
        <v>57.81</v>
      </c>
      <c r="BG985" s="77">
        <f t="shared" si="578"/>
        <v>17.343</v>
      </c>
      <c r="BH985" s="77">
        <f t="shared" si="579"/>
        <v>206.69600000000003</v>
      </c>
      <c r="BI985" s="78">
        <f t="shared" si="580"/>
        <v>0.28000000000000003</v>
      </c>
      <c r="BJ985" s="79">
        <f t="shared" si="581"/>
        <v>0.14702965008927071</v>
      </c>
      <c r="BK985" s="80">
        <f t="shared" si="582"/>
        <v>335.38</v>
      </c>
      <c r="BL985" s="80">
        <f t="shared" si="583"/>
        <v>57.80600000000004</v>
      </c>
      <c r="BM985" s="79">
        <f t="shared" si="584"/>
        <v>0.14701947678706778</v>
      </c>
      <c r="BN985" s="81">
        <f t="shared" si="585"/>
        <v>0.87582352941176467</v>
      </c>
      <c r="BO985" s="82">
        <f t="shared" si="586"/>
        <v>148.88999999999999</v>
      </c>
      <c r="BP985" s="81">
        <f t="shared" si="587"/>
        <v>0.87582352941176467</v>
      </c>
      <c r="BQ985" s="81">
        <f t="shared" si="588"/>
        <v>0.87587581699346417</v>
      </c>
      <c r="BR985" s="81">
        <f t="shared" si="589"/>
        <v>1.2159111111111114</v>
      </c>
      <c r="BS985" s="82">
        <f t="shared" si="590"/>
        <v>170</v>
      </c>
      <c r="BT985" s="82">
        <f t="shared" si="591"/>
        <v>206.70488888888895</v>
      </c>
      <c r="BU985" s="82">
        <f t="shared" si="592"/>
        <v>206.69600000000003</v>
      </c>
      <c r="BW985" s="82">
        <f>IFERROR(INDEX('Infos Clientes'!$T:$T,MATCH('Detalhe Por UC'!$C985,'Infos Clientes'!B:B,0)),"")</f>
        <v>185.66666666666666</v>
      </c>
      <c r="BX985" s="83">
        <f t="shared" si="593"/>
        <v>0</v>
      </c>
      <c r="BY985" s="84">
        <f t="shared" si="594"/>
        <v>0.27965473052295708</v>
      </c>
      <c r="BZ985" s="85">
        <f>IF(_xlfn.MINIFS('Detalhe Por UC'!R:R,'Detalhe Por UC'!C:C,C985,'Detalhe Por UC'!AD:AD,"&gt;"&amp;0)=0,"",_xlfn.MINIFS('Detalhe Por UC'!R:R,'Detalhe Por UC'!C:C,C985,'Detalhe Por UC'!AD:AD,"&gt;"&amp;0))</f>
        <v>45627</v>
      </c>
      <c r="CA985" s="114">
        <f ca="1">IF(OR(S985&gt;0,AD985&gt;0),IFERROR(
SUMIFS(INDIRECT("'Infos Clientes'!$W"&amp;INDEX('Infos Clientes'!$C:$C,MATCH(C985,'Infos Clientes'!$H:$H,0))&amp;":$CZ"&amp;INDEX('Infos Clientes'!$C:$C,MATCH(C985,'Infos Clientes'!$H:$H,0))),'Infos Clientes'!$W$2:$CZ$2,"&gt;"&amp;$R985-365,'Infos Clientes'!$W$2:$CZ$2,"&lt;="&amp;$R985)/
COUNTIFS(INDIRECT("'Infos Clientes'!$W"&amp;INDEX('Infos Clientes'!$C:$C,MATCH(C985,'Infos Clientes'!$H:$H,0))&amp;":$CZ"&amp;INDEX('Infos Clientes'!$C:$C,MATCH(C985,'Infos Clientes'!$H:$H,0))),"&gt;="&amp;0,'Infos Clientes'!$W$2:$CZ$2,"&gt;"&amp;$R985-365,'Infos Clientes'!$W$2:$CZ$2,"&lt;="&amp;$R985),""),"")</f>
        <v>294.60000000000002</v>
      </c>
      <c r="CB985" s="87">
        <f>VLOOKUP(C985,'Infos Clientes'!B:L,11,0)</f>
        <v>0</v>
      </c>
      <c r="CC985" s="88" t="str">
        <f t="shared" si="595"/>
        <v>A Unidade Consumidora 10/162736-3 economizou R$57,81 na fatura referente à out/2025  consumindo 170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5" s="115">
        <f t="shared" si="596"/>
        <v>-186.49</v>
      </c>
    </row>
    <row r="986" spans="1:84" ht="16.2" hidden="1" customHeight="1" x14ac:dyDescent="0.3">
      <c r="A986" s="105" t="str">
        <f>INDEX('Infos Clientes'!$D:$D,MATCH('Detalhe Por UC'!C986,'Infos Clientes'!B:B,0))</f>
        <v>IGREJA DO EVANGELHO QUADRANGULAR</v>
      </c>
      <c r="B986" s="106" t="str">
        <f>INDEX('Infos Clientes'!$F:$F,MATCH('Detalhe Por UC'!C986,'Infos Clientes'!B:B,0))</f>
        <v>62.955.505/0156-01</v>
      </c>
      <c r="C986" s="31" t="s">
        <v>32</v>
      </c>
      <c r="D986" s="31" t="s">
        <v>351</v>
      </c>
      <c r="E986" s="31" t="s">
        <v>352</v>
      </c>
      <c r="F986" s="56" t="str">
        <f>INDEX('Infos Clientes'!$I:$I,MATCH('Detalhe Por UC'!C986,'Infos Clientes'!B:B,0))</f>
        <v>BT</v>
      </c>
      <c r="G986" s="56" t="str">
        <f>INDEX('Infos Clientes'!$J:$J,MATCH('Detalhe Por UC'!C986,'Infos Clientes'!B:B,0))</f>
        <v>trifasico</v>
      </c>
      <c r="H986" s="156" t="s">
        <v>24</v>
      </c>
      <c r="I986" s="58">
        <f>IFERROR(VLOOKUP(C986,'Infos Clientes'!B:E,4,),"")</f>
        <v>319</v>
      </c>
      <c r="J986" s="152">
        <v>0.2796792317717392</v>
      </c>
      <c r="K986" s="79">
        <f>INDEX('Resumo Operacional'!$A$1:$P$151,MATCH("Desconto percentual Ucs",'Resumo Operacional'!$B$1:$B$151,0),MATCH('Detalhe Por UC'!$R986,'Resumo Operacional'!$A$1:$P$1,0))</f>
        <v>0.26414553913427991</v>
      </c>
      <c r="M986" s="56"/>
      <c r="N986" s="56"/>
      <c r="O986" s="56"/>
      <c r="P986" s="56"/>
      <c r="Q986" s="61"/>
      <c r="R986" s="111">
        <v>45931</v>
      </c>
      <c r="S986" s="152">
        <v>1.1900000000000001E-2</v>
      </c>
      <c r="T986" s="113">
        <f>IF($H986="GIROSSOL II",AP986/INDEX('Resumo Operacional'!$A$1:$P$1103,17,MATCH('Detalhe Por UC'!$R986,'Resumo Operacional'!$A$1:$P$1,0)),
IF($H986="GIROSSOL II e III",AP986/INDEX('Resumo Operacional'!$A$1:$P$1103,17,MATCH('Detalhe Por UC'!$R986,'Resumo Operacional'!$A$1:$P$1,0)),
""))</f>
        <v>1.0933494193937566E-2</v>
      </c>
      <c r="U986" s="113" t="str">
        <f>IF($H986="GIROSSOL III",AP986/INDEX('Resumo Operacional'!$A$1:$P$1103,53,MATCH('Detalhe Por UC'!$R986,'Resumo Operacional'!$A$1:$P$1,0)),
IF($H986="GIROSSOL II e III",AP986/INDEX('Resumo Operacional'!$A$1:$P$1103,53,MATCH('Detalhe Por UC'!$R986,'Resumo Operacional'!$A$1:$P$1,0)),
""))</f>
        <v/>
      </c>
      <c r="X986">
        <v>1.2285040892193309</v>
      </c>
      <c r="Z986" s="31">
        <v>1.2284473372781064</v>
      </c>
      <c r="AB986">
        <v>269</v>
      </c>
      <c r="AD986">
        <v>169</v>
      </c>
      <c r="AF986">
        <v>74</v>
      </c>
      <c r="AG986">
        <v>0</v>
      </c>
      <c r="AH986">
        <v>28.01</v>
      </c>
      <c r="AL986" s="43"/>
      <c r="AN986" s="71">
        <f t="shared" si="563"/>
        <v>-24</v>
      </c>
      <c r="AO986" s="71">
        <f t="shared" si="564"/>
        <v>0</v>
      </c>
      <c r="AP986" s="71">
        <f t="shared" si="565"/>
        <v>145</v>
      </c>
      <c r="AQ986" s="72">
        <f>IF(OR($H986="GIROSSOL II",$H986="GIROSSOL II e III"),INDEX('Resumo Operacional'!$A$1:$P$1103,MATCH("Energia Injetada prevista total Fatura da Usina (TUSD)",'Resumo Operacional'!$B$1:$B$1103,0),MATCH('Detalhe Por UC'!$R986,'Resumo Operacional'!$A$1:$P$1,0))*$S986,INDEX('Resumo Operacional'!$A$1:$P$1103,53,MATCH('Detalhe Por UC'!$R986,'Resumo Operacional'!$A$1:$P$1,0))*$S986)</f>
        <v>157.81780000000001</v>
      </c>
      <c r="AR986" s="71">
        <f t="shared" si="566"/>
        <v>-12.817800000000005</v>
      </c>
      <c r="AS986" s="73">
        <f t="shared" si="567"/>
        <v>150.87</v>
      </c>
      <c r="AT986" s="74">
        <f t="shared" si="568"/>
        <v>150.87</v>
      </c>
      <c r="AU986" s="74">
        <f t="shared" si="569"/>
        <v>1.2283905853368819</v>
      </c>
      <c r="AV986" s="74">
        <f t="shared" si="570"/>
        <v>149.54406592202548</v>
      </c>
      <c r="AW986" s="74">
        <f t="shared" si="571"/>
        <v>0</v>
      </c>
      <c r="AX986" s="74">
        <f t="shared" si="572"/>
        <v>207.60759999999999</v>
      </c>
      <c r="AY986" s="74">
        <f t="shared" si="573"/>
        <v>149.54</v>
      </c>
      <c r="AZ986" s="129">
        <v>149.54</v>
      </c>
      <c r="BA986" s="117">
        <v>149.54</v>
      </c>
      <c r="BB986" s="49">
        <v>149.54</v>
      </c>
      <c r="BC986" s="73" t="str">
        <f t="shared" si="574"/>
        <v/>
      </c>
      <c r="BD986" s="73">
        <f t="shared" si="575"/>
        <v>358.4776</v>
      </c>
      <c r="BE986" s="73">
        <f t="shared" si="576"/>
        <v>300.41406592202549</v>
      </c>
      <c r="BF986" s="77">
        <f t="shared" si="577"/>
        <v>58.06</v>
      </c>
      <c r="BG986" s="77">
        <f t="shared" si="578"/>
        <v>17.417999999999999</v>
      </c>
      <c r="BH986" s="77">
        <f t="shared" si="579"/>
        <v>207.60759999999999</v>
      </c>
      <c r="BI986" s="78">
        <f t="shared" si="580"/>
        <v>0.28000000000000003</v>
      </c>
      <c r="BJ986" s="79">
        <f t="shared" si="581"/>
        <v>0.16196270004039304</v>
      </c>
      <c r="BK986" s="80">
        <f t="shared" si="582"/>
        <v>300.40999999999997</v>
      </c>
      <c r="BL986" s="80">
        <f t="shared" si="583"/>
        <v>58.067600000000027</v>
      </c>
      <c r="BM986" s="79">
        <f t="shared" si="584"/>
        <v>0.16198390080719138</v>
      </c>
      <c r="BN986" s="81">
        <f t="shared" si="585"/>
        <v>0.88485207100591712</v>
      </c>
      <c r="BO986" s="82">
        <f t="shared" si="586"/>
        <v>149.54</v>
      </c>
      <c r="BP986" s="81">
        <f t="shared" si="587"/>
        <v>0.88485207100591712</v>
      </c>
      <c r="BQ986" s="81">
        <f t="shared" si="588"/>
        <v>0.88490882294714157</v>
      </c>
      <c r="BR986" s="81">
        <f t="shared" si="589"/>
        <v>1.2285040892193309</v>
      </c>
      <c r="BS986" s="82">
        <f t="shared" si="590"/>
        <v>169</v>
      </c>
      <c r="BT986" s="82">
        <f t="shared" si="591"/>
        <v>207.61719107806692</v>
      </c>
      <c r="BU986" s="82">
        <f t="shared" si="592"/>
        <v>207.60759999999999</v>
      </c>
      <c r="BW986" s="82">
        <f>IFERROR(INDEX('Infos Clientes'!$T:$T,MATCH('Detalhe Por UC'!$C986,'Infos Clientes'!B:B,0)),"")</f>
        <v>236.08333333333334</v>
      </c>
      <c r="BX986" s="83">
        <f t="shared" si="593"/>
        <v>0</v>
      </c>
      <c r="BY986" s="84">
        <f t="shared" si="594"/>
        <v>0.27968589546212375</v>
      </c>
      <c r="BZ986" s="85">
        <f>IF(_xlfn.MINIFS('Detalhe Por UC'!R:R,'Detalhe Por UC'!C:C,C986,'Detalhe Por UC'!AD:AD,"&gt;"&amp;0)=0,"",_xlfn.MINIFS('Detalhe Por UC'!R:R,'Detalhe Por UC'!C:C,C986,'Detalhe Por UC'!AD:AD,"&gt;"&amp;0))</f>
        <v>45627</v>
      </c>
      <c r="CA986" s="114">
        <f ca="1">IF(OR(S986&gt;0,AD986&gt;0),IFERROR(
SUMIFS(INDIRECT("'Infos Clientes'!$W"&amp;INDEX('Infos Clientes'!$C:$C,MATCH(C986,'Infos Clientes'!$H:$H,0))&amp;":$CZ"&amp;INDEX('Infos Clientes'!$C:$C,MATCH(C986,'Infos Clientes'!$H:$H,0))),'Infos Clientes'!$W$2:$CZ$2,"&gt;"&amp;$R986-365,'Infos Clientes'!$W$2:$CZ$2,"&lt;="&amp;$R986)/
COUNTIFS(INDIRECT("'Infos Clientes'!$W"&amp;INDEX('Infos Clientes'!$C:$C,MATCH(C986,'Infos Clientes'!$H:$H,0))&amp;":$CZ"&amp;INDEX('Infos Clientes'!$C:$C,MATCH(C986,'Infos Clientes'!$H:$H,0))),"&gt;="&amp;0,'Infos Clientes'!$W$2:$CZ$2,"&gt;"&amp;$R986-365,'Infos Clientes'!$W$2:$CZ$2,"&lt;="&amp;$R986),""),"")</f>
        <v>254.33333333333334</v>
      </c>
      <c r="CB986" s="87">
        <f>VLOOKUP(C986,'Infos Clientes'!B:L,11,0)</f>
        <v>0</v>
      </c>
      <c r="CC986" s="88" t="str">
        <f t="shared" si="595"/>
        <v>A Unidade Consumidora 10/113971-6 economizou R$58,06 na fatura referente à out/2025  consumindo 169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6" s="115">
        <f t="shared" si="596"/>
        <v>-150.87</v>
      </c>
    </row>
    <row r="987" spans="1:84" ht="16.2" hidden="1" customHeight="1" x14ac:dyDescent="0.3">
      <c r="A987" s="105" t="str">
        <f>INDEX('Infos Clientes'!$D:$D,MATCH('Detalhe Por UC'!C987,'Infos Clientes'!B:B,0))</f>
        <v>IGREJA DO EVANGELHO QUADRANGULAR</v>
      </c>
      <c r="B987" s="106" t="str">
        <f>INDEX('Infos Clientes'!$F:$F,MATCH('Detalhe Por UC'!C987,'Infos Clientes'!B:B,0))</f>
        <v>62.955.505/1935-34</v>
      </c>
      <c r="C987" s="31" t="s">
        <v>120</v>
      </c>
      <c r="D987" s="31" t="s">
        <v>351</v>
      </c>
      <c r="E987" s="31" t="s">
        <v>352</v>
      </c>
      <c r="F987" s="56" t="str">
        <f>INDEX('Infos Clientes'!$I:$I,MATCH('Detalhe Por UC'!C987,'Infos Clientes'!B:B,0))</f>
        <v>BT</v>
      </c>
      <c r="G987" s="56" t="str">
        <f>INDEX('Infos Clientes'!$J:$J,MATCH('Detalhe Por UC'!C987,'Infos Clientes'!B:B,0))</f>
        <v>trifasico</v>
      </c>
      <c r="H987" s="156" t="s">
        <v>24</v>
      </c>
      <c r="I987" s="58">
        <f>IFERROR(VLOOKUP(C987,'Infos Clientes'!B:E,4,),"")</f>
        <v>994</v>
      </c>
      <c r="J987" s="152">
        <v>0.2796792317717392</v>
      </c>
      <c r="K987" s="79">
        <f>INDEX('Resumo Operacional'!$A$1:$P$151,MATCH("Desconto percentual Ucs",'Resumo Operacional'!$B$1:$B$151,0),MATCH('Detalhe Por UC'!$R987,'Resumo Operacional'!$A$1:$P$1,0))</f>
        <v>0.26414553913427991</v>
      </c>
      <c r="M987" s="56"/>
      <c r="N987" s="56"/>
      <c r="O987" s="56"/>
      <c r="P987" s="56"/>
      <c r="Q987" s="61"/>
      <c r="R987" s="111">
        <v>45931</v>
      </c>
      <c r="S987" s="152">
        <v>1.1900000000000001E-2</v>
      </c>
      <c r="T987" s="113">
        <f>IF($H987="GIROSSOL II",AP987/INDEX('Resumo Operacional'!$A$1:$P$1103,17,MATCH('Detalhe Por UC'!$R987,'Resumo Operacional'!$A$1:$P$1,0)),
IF($H987="GIROSSOL II e III",AP987/INDEX('Resumo Operacional'!$A$1:$P$1103,17,MATCH('Detalhe Por UC'!$R987,'Resumo Operacional'!$A$1:$P$1,0)),
""))</f>
        <v>2.4807721309003168E-2</v>
      </c>
      <c r="U987" s="113" t="str">
        <f>IF($H987="GIROSSOL III",AP987/INDEX('Resumo Operacional'!$A$1:$P$1103,53,MATCH('Detalhe Por UC'!$R987,'Resumo Operacional'!$A$1:$P$1,0)),
IF($H987="GIROSSOL II e III",AP987/INDEX('Resumo Operacional'!$A$1:$P$1103,53,MATCH('Detalhe Por UC'!$R987,'Resumo Operacional'!$A$1:$P$1,0)),
""))</f>
        <v/>
      </c>
      <c r="X987">
        <v>1.226402766798419</v>
      </c>
      <c r="Z987" s="18">
        <v>1.2264045751633987</v>
      </c>
      <c r="AB987" s="18">
        <v>253</v>
      </c>
      <c r="AD987" s="143">
        <v>153</v>
      </c>
      <c r="AF987" s="18">
        <v>530</v>
      </c>
      <c r="AH987">
        <v>62.38</v>
      </c>
      <c r="AL987" s="43"/>
      <c r="AN987" s="71">
        <f t="shared" si="563"/>
        <v>176</v>
      </c>
      <c r="AO987" s="71">
        <f t="shared" si="564"/>
        <v>0</v>
      </c>
      <c r="AP987" s="71">
        <f t="shared" si="565"/>
        <v>329</v>
      </c>
      <c r="AQ987" s="72">
        <f>IF(OR($H987="GIROSSOL II",$H987="GIROSSOL II e III"),INDEX('Resumo Operacional'!$A$1:$P$1103,MATCH("Energia Injetada prevista total Fatura da Usina (TUSD)",'Resumo Operacional'!$B$1:$B$1103,0),MATCH('Detalhe Por UC'!$R987,'Resumo Operacional'!$A$1:$P$1,0))*$S987,INDEX('Resumo Operacional'!$A$1:$P$1103,53,MATCH('Detalhe Por UC'!$R987,'Resumo Operacional'!$A$1:$P$1,0))*$S987)</f>
        <v>157.81780000000001</v>
      </c>
      <c r="AR987" s="71">
        <f t="shared" si="566"/>
        <v>171.18219999999999</v>
      </c>
      <c r="AS987" s="73">
        <f t="shared" si="567"/>
        <v>185.01999999999998</v>
      </c>
      <c r="AT987" s="74">
        <f t="shared" si="568"/>
        <v>185.01999999999998</v>
      </c>
      <c r="AU987" s="74">
        <f t="shared" si="569"/>
        <v>1.2264063835283785</v>
      </c>
      <c r="AV987" s="74">
        <f t="shared" si="570"/>
        <v>135.16091691827404</v>
      </c>
      <c r="AW987" s="74">
        <f t="shared" si="571"/>
        <v>0</v>
      </c>
      <c r="AX987" s="74">
        <f t="shared" si="572"/>
        <v>187.63990000000001</v>
      </c>
      <c r="AY987" s="74">
        <f t="shared" si="573"/>
        <v>135.16</v>
      </c>
      <c r="AZ987" s="129">
        <v>134.26</v>
      </c>
      <c r="BA987" s="117">
        <v>134.26</v>
      </c>
      <c r="BC987" s="73" t="str">
        <f t="shared" si="574"/>
        <v/>
      </c>
      <c r="BD987" s="73">
        <f t="shared" si="575"/>
        <v>372.65989999999999</v>
      </c>
      <c r="BE987" s="73">
        <f t="shared" si="576"/>
        <v>320.18091691827402</v>
      </c>
      <c r="BF987" s="77">
        <f t="shared" si="577"/>
        <v>52.48</v>
      </c>
      <c r="BG987" s="77">
        <f t="shared" si="578"/>
        <v>15.743999999999998</v>
      </c>
      <c r="BH987" s="77">
        <f t="shared" si="579"/>
        <v>187.63990000000001</v>
      </c>
      <c r="BI987" s="78">
        <f t="shared" si="580"/>
        <v>0.28000000000000003</v>
      </c>
      <c r="BJ987" s="79">
        <f t="shared" si="581"/>
        <v>0.14082545505969382</v>
      </c>
      <c r="BK987" s="80">
        <f t="shared" si="582"/>
        <v>320.17999999999995</v>
      </c>
      <c r="BL987" s="80">
        <f t="shared" si="583"/>
        <v>52.479900000000043</v>
      </c>
      <c r="BM987" s="79">
        <f t="shared" si="584"/>
        <v>0.14082518671850672</v>
      </c>
      <c r="BN987" s="81">
        <f t="shared" si="585"/>
        <v>0.88339869281045746</v>
      </c>
      <c r="BO987" s="82">
        <f t="shared" si="586"/>
        <v>135.16</v>
      </c>
      <c r="BP987" s="81">
        <f t="shared" si="587"/>
        <v>0.88339869281045746</v>
      </c>
      <c r="BQ987" s="81">
        <f t="shared" si="588"/>
        <v>0.8833968844454777</v>
      </c>
      <c r="BR987" s="81">
        <f t="shared" si="589"/>
        <v>1.226402766798419</v>
      </c>
      <c r="BS987" s="82">
        <f t="shared" si="590"/>
        <v>153</v>
      </c>
      <c r="BT987" s="82">
        <f t="shared" si="591"/>
        <v>187.63962332015811</v>
      </c>
      <c r="BU987" s="82">
        <f t="shared" si="592"/>
        <v>187.63990000000001</v>
      </c>
      <c r="BW987" s="82">
        <f>IFERROR(INDEX('Infos Clientes'!$T:$T,MATCH('Detalhe Por UC'!$C987,'Infos Clientes'!B:B,0)),"")</f>
        <v>350.91666666666669</v>
      </c>
      <c r="BX987" s="83">
        <f t="shared" si="593"/>
        <v>0</v>
      </c>
      <c r="BY987" s="84">
        <f t="shared" si="594"/>
        <v>0.27968453075849947</v>
      </c>
      <c r="BZ987" s="85">
        <f>IF(_xlfn.MINIFS('Detalhe Por UC'!R:R,'Detalhe Por UC'!C:C,C987,'Detalhe Por UC'!AD:AD,"&gt;"&amp;0)=0,"",_xlfn.MINIFS('Detalhe Por UC'!R:R,'Detalhe Por UC'!C:C,C987,'Detalhe Por UC'!AD:AD,"&gt;"&amp;0))</f>
        <v>45627</v>
      </c>
      <c r="CA987" s="114">
        <f ca="1">IF(OR(S987&gt;0,AD987&gt;0),IFERROR(
SUMIFS(INDIRECT("'Infos Clientes'!$W"&amp;INDEX('Infos Clientes'!$C:$C,MATCH(C987,'Infos Clientes'!$H:$H,0))&amp;":$CZ"&amp;INDEX('Infos Clientes'!$C:$C,MATCH(C987,'Infos Clientes'!$H:$H,0))),'Infos Clientes'!$W$2:$CZ$2,"&gt;"&amp;$R987-365,'Infos Clientes'!$W$2:$CZ$2,"&lt;="&amp;$R987)/
COUNTIFS(INDIRECT("'Infos Clientes'!$W"&amp;INDEX('Infos Clientes'!$C:$C,MATCH(C987,'Infos Clientes'!$H:$H,0))&amp;":$CZ"&amp;INDEX('Infos Clientes'!$C:$C,MATCH(C987,'Infos Clientes'!$H:$H,0))),"&gt;="&amp;0,'Infos Clientes'!$W$2:$CZ$2,"&gt;"&amp;$R987-365,'Infos Clientes'!$W$2:$CZ$2,"&lt;="&amp;$R987),""),"")</f>
        <v>319.75</v>
      </c>
      <c r="CB987" s="87">
        <f>VLOOKUP(C987,'Infos Clientes'!B:L,11,0)</f>
        <v>0</v>
      </c>
      <c r="CC987" s="88" t="str">
        <f t="shared" si="595"/>
        <v>A Unidade Consumidora 10/532081-7 economizou R$52,48 na fatura referente à out/2025  consumindo 153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7" s="115">
        <f t="shared" si="596"/>
        <v>-185.01999999999998</v>
      </c>
    </row>
    <row r="988" spans="1:84" ht="16.2" hidden="1" customHeight="1" x14ac:dyDescent="0.3">
      <c r="A988" s="105" t="str">
        <f>INDEX('Infos Clientes'!$D:$D,MATCH('Detalhe Por UC'!C988,'Infos Clientes'!B:B,0))</f>
        <v>IGREJA DO EVANGELHO QUADRANGULAR</v>
      </c>
      <c r="B988" s="106" t="str">
        <f>INDEX('Infos Clientes'!$F:$F,MATCH('Detalhe Por UC'!C988,'Infos Clientes'!B:B,0))</f>
        <v>62.955.505/0001-67</v>
      </c>
      <c r="C988" s="31" t="s">
        <v>106</v>
      </c>
      <c r="D988" s="31" t="s">
        <v>351</v>
      </c>
      <c r="E988" s="31" t="s">
        <v>352</v>
      </c>
      <c r="F988" s="56" t="str">
        <f>INDEX('Infos Clientes'!$I:$I,MATCH('Detalhe Por UC'!C988,'Infos Clientes'!B:B,0))</f>
        <v>BT</v>
      </c>
      <c r="G988" s="56" t="str">
        <f>INDEX('Infos Clientes'!$J:$J,MATCH('Detalhe Por UC'!C988,'Infos Clientes'!B:B,0))</f>
        <v>bifasico</v>
      </c>
      <c r="H988" s="156" t="s">
        <v>24</v>
      </c>
      <c r="I988" s="58">
        <f>IFERROR(VLOOKUP(C988,'Infos Clientes'!B:E,4,),"")</f>
        <v>302</v>
      </c>
      <c r="J988" s="152">
        <v>0.2796792317717392</v>
      </c>
      <c r="K988" s="79">
        <f>INDEX('Resumo Operacional'!$A$1:$P$151,MATCH("Desconto percentual Ucs",'Resumo Operacional'!$B$1:$B$151,0),MATCH('Detalhe Por UC'!$R988,'Resumo Operacional'!$A$1:$P$1,0))</f>
        <v>0.26414553913427991</v>
      </c>
      <c r="M988" s="56"/>
      <c r="N988" s="56"/>
      <c r="O988" s="56"/>
      <c r="P988" s="56"/>
      <c r="Q988" s="61"/>
      <c r="R988" s="111">
        <v>45931</v>
      </c>
      <c r="S988" s="152">
        <v>1.0500000000000001E-2</v>
      </c>
      <c r="T988" s="113">
        <f>IF($H988="GIROSSOL II",AP988/INDEX('Resumo Operacional'!$A$1:$P$1103,17,MATCH('Detalhe Por UC'!$R988,'Resumo Operacional'!$A$1:$P$1,0)),
IF($H988="GIROSSOL II e III",AP988/INDEX('Resumo Operacional'!$A$1:$P$1103,17,MATCH('Detalhe Por UC'!$R988,'Resumo Operacional'!$A$1:$P$1,0)),
""))</f>
        <v>1.349721007389534E-2</v>
      </c>
      <c r="U988" s="113" t="str">
        <f>IF($H988="GIROSSOL III",AP988/INDEX('Resumo Operacional'!$A$1:$P$1103,53,MATCH('Detalhe Por UC'!$R988,'Resumo Operacional'!$A$1:$P$1,0)),
IF($H988="GIROSSOL II e III",AP988/INDEX('Resumo Operacional'!$A$1:$P$1103,53,MATCH('Detalhe Por UC'!$R988,'Resumo Operacional'!$A$1:$P$1,0)),
""))</f>
        <v/>
      </c>
      <c r="X988">
        <v>1.2020952380952381</v>
      </c>
      <c r="Z988" s="54">
        <v>1.2020000000000002</v>
      </c>
      <c r="AB988" s="18">
        <v>105</v>
      </c>
      <c r="AD988" s="143">
        <v>55</v>
      </c>
      <c r="AF988" s="18">
        <v>239</v>
      </c>
      <c r="AH988">
        <v>0</v>
      </c>
      <c r="AL988" s="43"/>
      <c r="AN988" s="71">
        <f t="shared" si="563"/>
        <v>124</v>
      </c>
      <c r="AO988" s="71">
        <f t="shared" si="564"/>
        <v>0</v>
      </c>
      <c r="AP988" s="71">
        <f t="shared" si="565"/>
        <v>179</v>
      </c>
      <c r="AQ988" s="72">
        <f>IF(OR($H988="GIROSSOL II",$H988="GIROSSOL II e III"),INDEX('Resumo Operacional'!$A$1:$P$1103,MATCH("Energia Injetada prevista total Fatura da Usina (TUSD)",'Resumo Operacional'!$B$1:$B$1103,0),MATCH('Detalhe Por UC'!$R988,'Resumo Operacional'!$A$1:$P$1,0))*$S988,INDEX('Resumo Operacional'!$A$1:$P$1103,53,MATCH('Detalhe Por UC'!$R988,'Resumo Operacional'!$A$1:$P$1,0))*$S988)</f>
        <v>139.251</v>
      </c>
      <c r="AR988" s="71">
        <f t="shared" si="566"/>
        <v>39.748999999999995</v>
      </c>
      <c r="AS988" s="73">
        <f t="shared" si="567"/>
        <v>60.109999999999985</v>
      </c>
      <c r="AT988" s="74">
        <f t="shared" si="568"/>
        <v>60.109999999999985</v>
      </c>
      <c r="AU988" s="74">
        <f t="shared" si="569"/>
        <v>1.2019047619047623</v>
      </c>
      <c r="AV988" s="74">
        <f t="shared" si="570"/>
        <v>47.620405987570329</v>
      </c>
      <c r="AW988" s="74">
        <f t="shared" si="571"/>
        <v>-46.5100000001</v>
      </c>
      <c r="AX988" s="74">
        <f t="shared" si="572"/>
        <v>19.599999999900014</v>
      </c>
      <c r="AY988" s="74">
        <f t="shared" si="573"/>
        <v>1.1100000000000001</v>
      </c>
      <c r="AZ988" s="129">
        <v>1.1100000000000001</v>
      </c>
      <c r="BA988" s="117">
        <v>1.1100000000000001</v>
      </c>
      <c r="BC988" s="73" t="str">
        <f t="shared" si="574"/>
        <v/>
      </c>
      <c r="BD988" s="73">
        <f t="shared" si="575"/>
        <v>126.22</v>
      </c>
      <c r="BE988" s="73">
        <f t="shared" si="576"/>
        <v>107.73040598757032</v>
      </c>
      <c r="BF988" s="77">
        <f t="shared" si="577"/>
        <v>18.489999999999998</v>
      </c>
      <c r="BG988" s="77">
        <f t="shared" si="578"/>
        <v>5.5469999999999997</v>
      </c>
      <c r="BH988" s="77">
        <f t="shared" si="579"/>
        <v>66.110000000000014</v>
      </c>
      <c r="BI988" s="78">
        <f t="shared" si="580"/>
        <v>0.94</v>
      </c>
      <c r="BJ988" s="79">
        <f t="shared" si="581"/>
        <v>0.14649025511012517</v>
      </c>
      <c r="BK988" s="80">
        <f t="shared" si="582"/>
        <v>61.219999999999985</v>
      </c>
      <c r="BL988" s="80">
        <f t="shared" si="583"/>
        <v>65.000000000000014</v>
      </c>
      <c r="BM988" s="79">
        <f t="shared" si="584"/>
        <v>0.51497385517350669</v>
      </c>
      <c r="BN988" s="81">
        <f t="shared" si="585"/>
        <v>2.0181818181818183E-2</v>
      </c>
      <c r="BO988" s="82">
        <f t="shared" si="586"/>
        <v>1.1100000000000001</v>
      </c>
      <c r="BP988" s="81">
        <f t="shared" si="587"/>
        <v>2.0181818181818183E-2</v>
      </c>
      <c r="BQ988" s="81">
        <f t="shared" si="588"/>
        <v>2.0277056277056109E-2</v>
      </c>
      <c r="BR988" s="81">
        <f t="shared" si="589"/>
        <v>1.2020952380952381</v>
      </c>
      <c r="BS988" s="82">
        <f t="shared" si="590"/>
        <v>55</v>
      </c>
      <c r="BT988" s="82">
        <f t="shared" si="591"/>
        <v>66.115238095238098</v>
      </c>
      <c r="BU988" s="82">
        <f t="shared" si="592"/>
        <v>66.110000000000014</v>
      </c>
      <c r="BW988" s="82">
        <f>IFERROR(INDEX('Infos Clientes'!$T:$T,MATCH('Detalhe Por UC'!$C988,'Infos Clientes'!B:B,0)),"")</f>
        <v>147.33333333333334</v>
      </c>
      <c r="BX988" s="83">
        <f t="shared" si="593"/>
        <v>0</v>
      </c>
      <c r="BY988" s="84">
        <f t="shared" si="594"/>
        <v>0.98313190533124006</v>
      </c>
      <c r="BZ988" s="85">
        <f>IF(_xlfn.MINIFS('Detalhe Por UC'!R:R,'Detalhe Por UC'!C:C,C988,'Detalhe Por UC'!AD:AD,"&gt;"&amp;0)=0,"",_xlfn.MINIFS('Detalhe Por UC'!R:R,'Detalhe Por UC'!C:C,C988,'Detalhe Por UC'!AD:AD,"&gt;"&amp;0))</f>
        <v>45627</v>
      </c>
      <c r="CA988" s="114">
        <f ca="1">IF(OR(S988&gt;0,AD988&gt;0),IFERROR(
SUMIFS(INDIRECT("'Infos Clientes'!$W"&amp;INDEX('Infos Clientes'!$C:$C,MATCH(C988,'Infos Clientes'!$H:$H,0))&amp;":$CZ"&amp;INDEX('Infos Clientes'!$C:$C,MATCH(C988,'Infos Clientes'!$H:$H,0))),'Infos Clientes'!$W$2:$CZ$2,"&gt;"&amp;$R988-365,'Infos Clientes'!$W$2:$CZ$2,"&lt;="&amp;$R988)/
COUNTIFS(INDIRECT("'Infos Clientes'!$W"&amp;INDEX('Infos Clientes'!$C:$C,MATCH(C988,'Infos Clientes'!$H:$H,0))&amp;":$CZ"&amp;INDEX('Infos Clientes'!$C:$C,MATCH(C988,'Infos Clientes'!$H:$H,0))),"&gt;="&amp;0,'Infos Clientes'!$W$2:$CZ$2,"&gt;"&amp;$R988-365,'Infos Clientes'!$W$2:$CZ$2,"&lt;="&amp;$R988),""),"")</f>
        <v>191.5</v>
      </c>
      <c r="CB988" s="87">
        <f>VLOOKUP(C988,'Infos Clientes'!B:L,11,0)</f>
        <v>0</v>
      </c>
      <c r="CC988" s="88" t="str">
        <f t="shared" si="595"/>
        <v>A Unidade Consumidora 10/452884-0 economizou R$18,49 na fatura referente à out/2025  consumindo 55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8" s="115">
        <f t="shared" si="596"/>
        <v>-60.109999999999985</v>
      </c>
    </row>
    <row r="989" spans="1:84" ht="16.2" hidden="1" customHeight="1" x14ac:dyDescent="0.3">
      <c r="A989" s="105" t="str">
        <f>INDEX('Infos Clientes'!$D:$D,MATCH('Detalhe Por UC'!C989,'Infos Clientes'!B:B,0))</f>
        <v>IGREJA DO EVANGELHO QUADRANGULAR</v>
      </c>
      <c r="B989" s="106" t="str">
        <f>INDEX('Infos Clientes'!$F:$F,MATCH('Detalhe Por UC'!C989,'Infos Clientes'!B:B,0))</f>
        <v>62.955.505/4194-43</v>
      </c>
      <c r="C989" s="31" t="s">
        <v>135</v>
      </c>
      <c r="D989" s="31" t="s">
        <v>351</v>
      </c>
      <c r="E989" s="31" t="s">
        <v>352</v>
      </c>
      <c r="F989" s="56" t="str">
        <f>INDEX('Infos Clientes'!$I:$I,MATCH('Detalhe Por UC'!C989,'Infos Clientes'!B:B,0))</f>
        <v>BT</v>
      </c>
      <c r="G989" s="56" t="str">
        <f>INDEX('Infos Clientes'!$J:$J,MATCH('Detalhe Por UC'!C989,'Infos Clientes'!B:B,0))</f>
        <v>trifasico</v>
      </c>
      <c r="H989" s="156" t="s">
        <v>24</v>
      </c>
      <c r="I989" s="58">
        <f>IFERROR(VLOOKUP(C989,'Infos Clientes'!B:E,4,),"")</f>
        <v>0</v>
      </c>
      <c r="J989" s="152">
        <v>0.2796792317717392</v>
      </c>
      <c r="K989" s="79">
        <f>INDEX('Resumo Operacional'!$A$1:$P$151,MATCH("Desconto percentual Ucs",'Resumo Operacional'!$B$1:$B$151,0),MATCH('Detalhe Por UC'!$R989,'Resumo Operacional'!$A$1:$P$1,0))</f>
        <v>0.26414553913427991</v>
      </c>
      <c r="M989" s="56"/>
      <c r="N989" s="56"/>
      <c r="O989" s="56"/>
      <c r="P989" s="56"/>
      <c r="Q989" s="61"/>
      <c r="R989" s="111">
        <v>45931</v>
      </c>
      <c r="S989" s="152">
        <v>0.01</v>
      </c>
      <c r="T989" s="113">
        <f>IF($H989="GIROSSOL II",AP989/INDEX('Resumo Operacional'!$A$1:$P$1103,17,MATCH('Detalhe Por UC'!$R989,'Resumo Operacional'!$A$1:$P$1,0)),
IF($H989="GIROSSOL II e III",AP989/INDEX('Resumo Operacional'!$A$1:$P$1103,17,MATCH('Detalhe Por UC'!$R989,'Resumo Operacional'!$A$1:$P$1,0)),
""))</f>
        <v>0</v>
      </c>
      <c r="U989" s="113" t="str">
        <f>IF($H989="GIROSSOL III",AP989/INDEX('Resumo Operacional'!$A$1:$P$1103,53,MATCH('Detalhe Por UC'!$R989,'Resumo Operacional'!$A$1:$P$1,0)),
IF($H989="GIROSSOL II e III",AP989/INDEX('Resumo Operacional'!$A$1:$P$1103,53,MATCH('Detalhe Por UC'!$R989,'Resumo Operacional'!$A$1:$P$1,0)),
""))</f>
        <v/>
      </c>
      <c r="X989">
        <v>1.2158250000000002</v>
      </c>
      <c r="Z989" s="54">
        <v>1.2157555555555555</v>
      </c>
      <c r="AB989" s="18">
        <v>208</v>
      </c>
      <c r="AD989" s="143">
        <v>108</v>
      </c>
      <c r="AF989" s="18">
        <v>395</v>
      </c>
      <c r="AH989">
        <v>27.330000000000002</v>
      </c>
      <c r="AL989" s="43"/>
      <c r="AN989" s="71">
        <f t="shared" si="563"/>
        <v>-108</v>
      </c>
      <c r="AO989" s="71">
        <f t="shared" si="564"/>
        <v>0</v>
      </c>
      <c r="AP989" s="71">
        <f t="shared" si="565"/>
        <v>0</v>
      </c>
      <c r="AQ989" s="72">
        <f>IF(OR($H989="GIROSSOL II",$H989="GIROSSOL II e III"),INDEX('Resumo Operacional'!$A$1:$P$1103,MATCH("Energia Injetada prevista total Fatura da Usina (TUSD)",'Resumo Operacional'!$B$1:$B$1103,0),MATCH('Detalhe Por UC'!$R989,'Resumo Operacional'!$A$1:$P$1,0))*$S989,INDEX('Resumo Operacional'!$A$1:$P$1103,53,MATCH('Detalhe Por UC'!$R989,'Resumo Operacional'!$A$1:$P$1,0))*$S989)</f>
        <v>132.62</v>
      </c>
      <c r="AR989" s="71">
        <f t="shared" si="566"/>
        <v>-132.62</v>
      </c>
      <c r="AS989" s="73">
        <f t="shared" si="567"/>
        <v>148.92000000000007</v>
      </c>
      <c r="AT989" s="74">
        <f t="shared" si="568"/>
        <v>148.92000000000007</v>
      </c>
      <c r="AU989" s="74">
        <f t="shared" si="569"/>
        <v>1.2156861111111106</v>
      </c>
      <c r="AV989" s="74">
        <f t="shared" si="570"/>
        <v>94.579269381599815</v>
      </c>
      <c r="AW989" s="74">
        <f t="shared" si="571"/>
        <v>0</v>
      </c>
      <c r="AX989" s="74">
        <f t="shared" si="572"/>
        <v>131.30159999999998</v>
      </c>
      <c r="AY989" s="74">
        <f t="shared" si="573"/>
        <v>94.58</v>
      </c>
      <c r="AZ989" s="129">
        <v>94.58</v>
      </c>
      <c r="BA989" s="117">
        <v>94.58</v>
      </c>
      <c r="BB989" s="49">
        <v>94.58</v>
      </c>
      <c r="BC989" s="73" t="str">
        <f t="shared" si="574"/>
        <v/>
      </c>
      <c r="BD989" s="73">
        <f t="shared" si="575"/>
        <v>280.22160000000002</v>
      </c>
      <c r="BE989" s="73">
        <f t="shared" si="576"/>
        <v>243.4992693815999</v>
      </c>
      <c r="BF989" s="77">
        <f t="shared" si="577"/>
        <v>36.72</v>
      </c>
      <c r="BG989" s="77">
        <f t="shared" si="578"/>
        <v>11.016</v>
      </c>
      <c r="BH989" s="77">
        <f t="shared" si="579"/>
        <v>131.30160000000001</v>
      </c>
      <c r="BI989" s="78">
        <f t="shared" si="580"/>
        <v>0.28000000000000003</v>
      </c>
      <c r="BJ989" s="79">
        <f t="shared" si="581"/>
        <v>0.13103914901634992</v>
      </c>
      <c r="BK989" s="80">
        <f t="shared" si="582"/>
        <v>243.50000000000006</v>
      </c>
      <c r="BL989" s="80">
        <f t="shared" si="583"/>
        <v>36.721599999999967</v>
      </c>
      <c r="BM989" s="79">
        <f t="shared" si="584"/>
        <v>0.13104485878319147</v>
      </c>
      <c r="BN989" s="81">
        <f t="shared" si="585"/>
        <v>0.87574074074074071</v>
      </c>
      <c r="BO989" s="82">
        <f t="shared" si="586"/>
        <v>94.58</v>
      </c>
      <c r="BP989" s="81">
        <f t="shared" si="587"/>
        <v>0.87574074074074071</v>
      </c>
      <c r="BQ989" s="81">
        <f t="shared" si="588"/>
        <v>0.87581018518518539</v>
      </c>
      <c r="BR989" s="81">
        <f t="shared" si="589"/>
        <v>1.2158250000000004</v>
      </c>
      <c r="BS989" s="82">
        <f t="shared" si="590"/>
        <v>108</v>
      </c>
      <c r="BT989" s="82">
        <f t="shared" si="591"/>
        <v>131.30910000000003</v>
      </c>
      <c r="BU989" s="82">
        <f t="shared" si="592"/>
        <v>131.30159999999998</v>
      </c>
      <c r="BW989" s="82">
        <f>IFERROR(INDEX('Infos Clientes'!$T:$T,MATCH('Detalhe Por UC'!$C989,'Infos Clientes'!B:B,0)),"")</f>
        <v>0</v>
      </c>
      <c r="BX989" s="83">
        <f t="shared" si="593"/>
        <v>0</v>
      </c>
      <c r="BY989" s="84">
        <f t="shared" si="594"/>
        <v>0.27965769318348838</v>
      </c>
      <c r="BZ989" s="85">
        <f>IF(_xlfn.MINIFS('Detalhe Por UC'!R:R,'Detalhe Por UC'!C:C,C989,'Detalhe Por UC'!AD:AD,"&gt;"&amp;0)=0,"",_xlfn.MINIFS('Detalhe Por UC'!R:R,'Detalhe Por UC'!C:C,C989,'Detalhe Por UC'!AD:AD,"&gt;"&amp;0))</f>
        <v>45689</v>
      </c>
      <c r="CA989" s="114">
        <f ca="1">IF(OR(S989&gt;0,AD989&gt;0),IFERROR(
SUMIFS(INDIRECT("'Infos Clientes'!$W"&amp;INDEX('Infos Clientes'!$C:$C,MATCH(C989,'Infos Clientes'!$H:$H,0))&amp;":$CZ"&amp;INDEX('Infos Clientes'!$C:$C,MATCH(C989,'Infos Clientes'!$H:$H,0))),'Infos Clientes'!$W$2:$CZ$2,"&gt;"&amp;$R989-365,'Infos Clientes'!$W$2:$CZ$2,"&lt;="&amp;$R989)/
COUNTIFS(INDIRECT("'Infos Clientes'!$W"&amp;INDEX('Infos Clientes'!$C:$C,MATCH(C989,'Infos Clientes'!$H:$H,0))&amp;":$CZ"&amp;INDEX('Infos Clientes'!$C:$C,MATCH(C989,'Infos Clientes'!$H:$H,0))),"&gt;="&amp;0,'Infos Clientes'!$W$2:$CZ$2,"&gt;"&amp;$R989-365,'Infos Clientes'!$W$2:$CZ$2,"&lt;="&amp;$R989),""),"")</f>
        <v>305.5</v>
      </c>
      <c r="CB989" s="87">
        <f>VLOOKUP(C989,'Infos Clientes'!B:L,11,0)</f>
        <v>0</v>
      </c>
      <c r="CC989" s="88" t="str">
        <f t="shared" si="595"/>
        <v>A Unidade Consumidora 10/1433087-2 economizou R$36,72 na fatura referente à out/2025  consumindo 108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89" s="115">
        <f t="shared" si="596"/>
        <v>-148.92000000000007</v>
      </c>
    </row>
    <row r="990" spans="1:84" ht="16.2" hidden="1" customHeight="1" x14ac:dyDescent="0.3">
      <c r="A990" s="105" t="str">
        <f>INDEX('Infos Clientes'!$D:$D,MATCH('Detalhe Por UC'!C990,'Infos Clientes'!B:B,0))</f>
        <v>IGREJA DO EVANGELHO QUADRANGULAR</v>
      </c>
      <c r="B990" s="106" t="str">
        <f>INDEX('Infos Clientes'!$F:$F,MATCH('Detalhe Por UC'!C990,'Infos Clientes'!B:B,0))</f>
        <v>62.955.505/0914-56</v>
      </c>
      <c r="C990" s="31" t="s">
        <v>134</v>
      </c>
      <c r="D990" s="31" t="s">
        <v>351</v>
      </c>
      <c r="E990" s="31" t="s">
        <v>352</v>
      </c>
      <c r="F990" s="56" t="str">
        <f>INDEX('Infos Clientes'!$I:$I,MATCH('Detalhe Por UC'!C990,'Infos Clientes'!B:B,0))</f>
        <v>BT</v>
      </c>
      <c r="G990" s="56" t="str">
        <f>INDEX('Infos Clientes'!$J:$J,MATCH('Detalhe Por UC'!C990,'Infos Clientes'!B:B,0))</f>
        <v>monofasico</v>
      </c>
      <c r="H990" s="156" t="s">
        <v>24</v>
      </c>
      <c r="I990" s="58">
        <f>IFERROR(VLOOKUP(C990,'Infos Clientes'!B:E,4,),"")</f>
        <v>0</v>
      </c>
      <c r="J990" s="152">
        <v>0.2796792317717392</v>
      </c>
      <c r="K990" s="79">
        <f>INDEX('Resumo Operacional'!$A$1:$P$151,MATCH("Desconto percentual Ucs",'Resumo Operacional'!$B$1:$B$151,0),MATCH('Detalhe Por UC'!$R990,'Resumo Operacional'!$A$1:$P$1,0))</f>
        <v>0.26414553913427991</v>
      </c>
      <c r="M990" s="56"/>
      <c r="N990" s="56"/>
      <c r="O990" s="56"/>
      <c r="P990" s="56"/>
      <c r="Q990" s="61"/>
      <c r="R990" s="111">
        <v>45931</v>
      </c>
      <c r="S990" s="152">
        <v>9.9000000000000008E-3</v>
      </c>
      <c r="T990" s="113">
        <f>IF($H990="GIROSSOL II",AP990/INDEX('Resumo Operacional'!$A$1:$P$1103,17,MATCH('Detalhe Por UC'!$R990,'Resumo Operacional'!$A$1:$P$1,0)),
IF($H990="GIROSSOL II e III",AP990/INDEX('Resumo Operacional'!$A$1:$P$1103,17,MATCH('Detalhe Por UC'!$R990,'Resumo Operacional'!$A$1:$P$1,0)),
""))</f>
        <v>7.5403408234052177E-5</v>
      </c>
      <c r="U990" s="113" t="str">
        <f>IF($H990="GIROSSOL III",AP990/INDEX('Resumo Operacional'!$A$1:$P$1103,53,MATCH('Detalhe Por UC'!$R990,'Resumo Operacional'!$A$1:$P$1,0)),
IF($H990="GIROSSOL II e III",AP990/INDEX('Resumo Operacional'!$A$1:$P$1103,53,MATCH('Detalhe Por UC'!$R990,'Resumo Operacional'!$A$1:$P$1,0)),
""))</f>
        <v/>
      </c>
      <c r="X990">
        <v>1.2091359649122806</v>
      </c>
      <c r="Z990" s="54">
        <v>1.1002605523710265</v>
      </c>
      <c r="AB990" s="18">
        <v>120</v>
      </c>
      <c r="AD990" s="143">
        <v>101</v>
      </c>
      <c r="AF990" s="18">
        <v>393</v>
      </c>
      <c r="AH990">
        <v>50.5</v>
      </c>
      <c r="AL990" s="43"/>
      <c r="AN990" s="71">
        <f t="shared" si="563"/>
        <v>-100</v>
      </c>
      <c r="AO990" s="71">
        <f t="shared" si="564"/>
        <v>0</v>
      </c>
      <c r="AP990" s="71">
        <f t="shared" si="565"/>
        <v>1</v>
      </c>
      <c r="AQ990" s="72">
        <f>IF(OR($H990="GIROSSOL II",$H990="GIROSSOL II e III"),INDEX('Resumo Operacional'!$A$1:$P$1103,MATCH("Energia Injetada prevista total Fatura da Usina (TUSD)",'Resumo Operacional'!$B$1:$B$1103,0),MATCH('Detalhe Por UC'!$R990,'Resumo Operacional'!$A$1:$P$1,0))*$S990,INDEX('Resumo Operacional'!$A$1:$P$1103,53,MATCH('Detalhe Por UC'!$R990,'Resumo Operacional'!$A$1:$P$1,0))*$S990)</f>
        <v>131.2938</v>
      </c>
      <c r="AR990" s="71">
        <f t="shared" si="566"/>
        <v>-130.2938</v>
      </c>
      <c r="AS990" s="73">
        <f t="shared" si="567"/>
        <v>84.469999999999985</v>
      </c>
      <c r="AT990" s="74">
        <f t="shared" si="568"/>
        <v>84.469999999999985</v>
      </c>
      <c r="AU990" s="74">
        <f t="shared" si="569"/>
        <v>0.99138513982977239</v>
      </c>
      <c r="AV990" s="74">
        <f t="shared" si="570"/>
        <v>80.046593159849991</v>
      </c>
      <c r="AW990" s="74">
        <f t="shared" si="571"/>
        <v>82.189999990000004</v>
      </c>
      <c r="AX990" s="74">
        <f t="shared" si="572"/>
        <v>193.31631577947368</v>
      </c>
      <c r="AY990" s="74">
        <f t="shared" si="573"/>
        <v>162.24</v>
      </c>
      <c r="AZ990" s="129">
        <v>162.24</v>
      </c>
      <c r="BA990" s="117">
        <v>162.24</v>
      </c>
      <c r="BC990" s="73" t="str">
        <f t="shared" si="574"/>
        <v/>
      </c>
      <c r="BD990" s="73">
        <f t="shared" si="575"/>
        <v>195.59631578947366</v>
      </c>
      <c r="BE990" s="73">
        <f t="shared" si="576"/>
        <v>164.51659315984998</v>
      </c>
      <c r="BF990" s="77">
        <f t="shared" si="577"/>
        <v>31.08</v>
      </c>
      <c r="BG990" s="77">
        <f t="shared" si="578"/>
        <v>9.3239999999999998</v>
      </c>
      <c r="BH990" s="77">
        <f t="shared" si="579"/>
        <v>111.12631578947368</v>
      </c>
      <c r="BI990" s="78">
        <f t="shared" si="580"/>
        <v>0.16</v>
      </c>
      <c r="BJ990" s="79">
        <f t="shared" si="581"/>
        <v>0.15889869844712393</v>
      </c>
      <c r="BK990" s="80">
        <f t="shared" si="582"/>
        <v>246.70999999999998</v>
      </c>
      <c r="BL990" s="80">
        <f t="shared" si="583"/>
        <v>-51.113684210526316</v>
      </c>
      <c r="BM990" s="79">
        <f t="shared" si="584"/>
        <v>-0.26132232605823491</v>
      </c>
      <c r="BN990" s="81">
        <f t="shared" si="585"/>
        <v>1.6063366336633664</v>
      </c>
      <c r="BO990" s="82">
        <f t="shared" si="586"/>
        <v>162.24</v>
      </c>
      <c r="BP990" s="81">
        <f t="shared" si="587"/>
        <v>1.6063366336633664</v>
      </c>
      <c r="BQ990" s="81">
        <f t="shared" si="588"/>
        <v>1.7152120462046205</v>
      </c>
      <c r="BR990" s="81">
        <f t="shared" si="589"/>
        <v>1.2091359649122806</v>
      </c>
      <c r="BS990" s="82">
        <f t="shared" si="590"/>
        <v>101</v>
      </c>
      <c r="BT990" s="82">
        <f t="shared" si="591"/>
        <v>122.12273245614034</v>
      </c>
      <c r="BU990" s="82">
        <f t="shared" si="592"/>
        <v>111.12631578947368</v>
      </c>
      <c r="BW990" s="82">
        <f>IFERROR(INDEX('Infos Clientes'!$T:$T,MATCH('Detalhe Por UC'!$C990,'Infos Clientes'!B:B,0)),"")</f>
        <v>0</v>
      </c>
      <c r="BX990" s="83">
        <f t="shared" si="593"/>
        <v>0</v>
      </c>
      <c r="BY990" s="84">
        <f t="shared" si="594"/>
        <v>-0.41854356828188</v>
      </c>
      <c r="BZ990" s="85">
        <f>IF(_xlfn.MINIFS('Detalhe Por UC'!R:R,'Detalhe Por UC'!C:C,C990,'Detalhe Por UC'!AD:AD,"&gt;"&amp;0)=0,"",_xlfn.MINIFS('Detalhe Por UC'!R:R,'Detalhe Por UC'!C:C,C990,'Detalhe Por UC'!AD:AD,"&gt;"&amp;0))</f>
        <v>45658</v>
      </c>
      <c r="CA990" s="114">
        <f ca="1">IF(OR(S990&gt;0,AD990&gt;0),IFERROR(
SUMIFS(INDIRECT("'Infos Clientes'!$W"&amp;INDEX('Infos Clientes'!$C:$C,MATCH(C990,'Infos Clientes'!$H:$H,0))&amp;":$CZ"&amp;INDEX('Infos Clientes'!$C:$C,MATCH(C990,'Infos Clientes'!$H:$H,0))),'Infos Clientes'!$W$2:$CZ$2,"&gt;"&amp;$R990-365,'Infos Clientes'!$W$2:$CZ$2,"&lt;="&amp;$R990)/
COUNTIFS(INDIRECT("'Infos Clientes'!$W"&amp;INDEX('Infos Clientes'!$C:$C,MATCH(C990,'Infos Clientes'!$H:$H,0))&amp;":$CZ"&amp;INDEX('Infos Clientes'!$C:$C,MATCH(C990,'Infos Clientes'!$H:$H,0))),"&gt;="&amp;0,'Infos Clientes'!$W$2:$CZ$2,"&gt;"&amp;$R990-365,'Infos Clientes'!$W$2:$CZ$2,"&lt;="&amp;$R990),""),"")</f>
        <v>138.30000000000001</v>
      </c>
      <c r="CB990" s="87">
        <f>VLOOKUP(C990,'Infos Clientes'!B:L,11,0)</f>
        <v>0</v>
      </c>
      <c r="CC990" s="88" t="str">
        <f t="shared" si="595"/>
        <v>A Unidade Consumidora 10/150263-2 economizou R$31,08 na fatura referente à out/2025  consumindo 101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0" s="115">
        <f t="shared" si="596"/>
        <v>-84.469999999999985</v>
      </c>
    </row>
    <row r="991" spans="1:84" ht="16.2" hidden="1" customHeight="1" x14ac:dyDescent="0.3">
      <c r="A991" s="105" t="str">
        <f>INDEX('Infos Clientes'!$D:$D,MATCH('Detalhe Por UC'!C991,'Infos Clientes'!B:B,0))</f>
        <v>IGREJA DO EVANGELHO QUADRANGULAR</v>
      </c>
      <c r="B991" s="106" t="str">
        <f>INDEX('Infos Clientes'!$F:$F,MATCH('Detalhe Por UC'!C991,'Infos Clientes'!B:B,0))</f>
        <v>62.955.505/1490-47</v>
      </c>
      <c r="C991" s="31" t="s">
        <v>35</v>
      </c>
      <c r="D991" s="31" t="s">
        <v>351</v>
      </c>
      <c r="E991" s="31" t="s">
        <v>352</v>
      </c>
      <c r="F991" s="56" t="str">
        <f>INDEX('Infos Clientes'!$I:$I,MATCH('Detalhe Por UC'!C991,'Infos Clientes'!B:B,0))</f>
        <v>BT</v>
      </c>
      <c r="G991" s="56" t="str">
        <f>INDEX('Infos Clientes'!$J:$J,MATCH('Detalhe Por UC'!C991,'Infos Clientes'!B:B,0))</f>
        <v>trifasico</v>
      </c>
      <c r="H991" s="156" t="s">
        <v>24</v>
      </c>
      <c r="I991" s="58">
        <f>IFERROR(VLOOKUP(C991,'Infos Clientes'!B:E,4,),"")</f>
        <v>319</v>
      </c>
      <c r="J991" s="152">
        <v>0.2796792317717392</v>
      </c>
      <c r="K991" s="79">
        <f>INDEX('Resumo Operacional'!$A$1:$P$151,MATCH("Desconto percentual Ucs",'Resumo Operacional'!$B$1:$B$151,0),MATCH('Detalhe Por UC'!$R991,'Resumo Operacional'!$A$1:$P$1,0))</f>
        <v>0.26414553913427991</v>
      </c>
      <c r="M991" s="56"/>
      <c r="N991" s="56"/>
      <c r="O991" s="56"/>
      <c r="P991" s="56"/>
      <c r="Q991" s="61"/>
      <c r="R991" s="111">
        <v>45931</v>
      </c>
      <c r="S991" s="152">
        <v>9.7000000000000003E-3</v>
      </c>
      <c r="T991" s="113">
        <f>IF($H991="GIROSSOL II",AP991/INDEX('Resumo Operacional'!$A$1:$P$1103,17,MATCH('Detalhe Por UC'!$R991,'Resumo Operacional'!$A$1:$P$1,0)),
IF($H991="GIROSSOL II e III",AP991/INDEX('Resumo Operacional'!$A$1:$P$1103,17,MATCH('Detalhe Por UC'!$R991,'Resumo Operacional'!$A$1:$P$1,0)),
""))</f>
        <v>8.8976021716181564E-3</v>
      </c>
      <c r="U991" s="113" t="str">
        <f>IF($H991="GIROSSOL III",AP991/INDEX('Resumo Operacional'!$A$1:$P$1103,53,MATCH('Detalhe Por UC'!$R991,'Resumo Operacional'!$A$1:$P$1,0)),
IF($H991="GIROSSOL II e III",AP991/INDEX('Resumo Operacional'!$A$1:$P$1103,53,MATCH('Detalhe Por UC'!$R991,'Resumo Operacional'!$A$1:$P$1,0)),
""))</f>
        <v/>
      </c>
      <c r="X991">
        <v>1.2264853041695147</v>
      </c>
      <c r="Z991" s="31">
        <v>1.2264192685102586</v>
      </c>
      <c r="AB991">
        <v>308</v>
      </c>
      <c r="AD991">
        <v>118</v>
      </c>
      <c r="AF991">
        <v>0</v>
      </c>
      <c r="AG991">
        <v>0</v>
      </c>
      <c r="AH991">
        <v>66.3</v>
      </c>
      <c r="AL991" s="43"/>
      <c r="AN991" s="71">
        <f t="shared" si="563"/>
        <v>0</v>
      </c>
      <c r="AO991" s="71">
        <f t="shared" si="564"/>
        <v>0</v>
      </c>
      <c r="AP991" s="71">
        <f t="shared" si="565"/>
        <v>118</v>
      </c>
      <c r="AQ991" s="72">
        <f>IF(OR($H991="GIROSSOL II",$H991="GIROSSOL II e III"),INDEX('Resumo Operacional'!$A$1:$P$1103,MATCH("Energia Injetada prevista total Fatura da Usina (TUSD)",'Resumo Operacional'!$B$1:$B$1103,0),MATCH('Detalhe Por UC'!$R991,'Resumo Operacional'!$A$1:$P$1,0))*$S991,INDEX('Resumo Operacional'!$A$1:$P$1103,53,MATCH('Detalhe Por UC'!$R991,'Resumo Operacional'!$A$1:$P$1,0))*$S991)</f>
        <v>128.6414</v>
      </c>
      <c r="AR991" s="71">
        <f t="shared" si="566"/>
        <v>-10.641400000000004</v>
      </c>
      <c r="AS991" s="73">
        <f t="shared" si="567"/>
        <v>299.34000000000003</v>
      </c>
      <c r="AT991" s="74">
        <f t="shared" si="568"/>
        <v>299.34000000000003</v>
      </c>
      <c r="AU991" s="74">
        <f t="shared" si="569"/>
        <v>1.2263532328510025</v>
      </c>
      <c r="AV991" s="74">
        <f t="shared" si="570"/>
        <v>104.24300182026364</v>
      </c>
      <c r="AW991" s="74">
        <f t="shared" si="571"/>
        <v>-82.210000000099996</v>
      </c>
      <c r="AX991" s="74">
        <f t="shared" si="572"/>
        <v>62.507473684110522</v>
      </c>
      <c r="AY991" s="74">
        <f t="shared" si="573"/>
        <v>22.03</v>
      </c>
      <c r="AZ991" s="129">
        <v>22.03</v>
      </c>
      <c r="BA991" s="117">
        <v>22.03</v>
      </c>
      <c r="BB991" s="49">
        <v>22.03</v>
      </c>
      <c r="BC991" s="73" t="str">
        <f t="shared" si="574"/>
        <v/>
      </c>
      <c r="BD991" s="73">
        <f t="shared" si="575"/>
        <v>444.05747368421055</v>
      </c>
      <c r="BE991" s="73">
        <f t="shared" si="576"/>
        <v>403.58300182026369</v>
      </c>
      <c r="BF991" s="77">
        <f t="shared" si="577"/>
        <v>40.47</v>
      </c>
      <c r="BG991" s="77">
        <f t="shared" si="578"/>
        <v>12.141</v>
      </c>
      <c r="BH991" s="77">
        <f t="shared" si="579"/>
        <v>144.71747368421052</v>
      </c>
      <c r="BI991" s="78">
        <f t="shared" si="580"/>
        <v>0.65</v>
      </c>
      <c r="BJ991" s="79">
        <f t="shared" si="581"/>
        <v>9.113685141752631E-2</v>
      </c>
      <c r="BK991" s="80">
        <f t="shared" si="582"/>
        <v>321.37</v>
      </c>
      <c r="BL991" s="80">
        <f t="shared" si="583"/>
        <v>122.68747368421054</v>
      </c>
      <c r="BM991" s="79">
        <f t="shared" si="584"/>
        <v>0.27628737484431842</v>
      </c>
      <c r="BN991" s="81">
        <f t="shared" si="585"/>
        <v>0.18669491525423729</v>
      </c>
      <c r="BO991" s="82">
        <f t="shared" si="586"/>
        <v>22.03</v>
      </c>
      <c r="BP991" s="81">
        <f t="shared" si="587"/>
        <v>0.18669491525423729</v>
      </c>
      <c r="BQ991" s="81">
        <f t="shared" si="588"/>
        <v>0.1867609509134934</v>
      </c>
      <c r="BR991" s="81">
        <f t="shared" si="589"/>
        <v>1.2264853041695147</v>
      </c>
      <c r="BS991" s="82">
        <f t="shared" si="590"/>
        <v>118</v>
      </c>
      <c r="BT991" s="82">
        <f t="shared" si="591"/>
        <v>144.72526589200274</v>
      </c>
      <c r="BU991" s="82">
        <f t="shared" si="592"/>
        <v>144.71747368421052</v>
      </c>
      <c r="BW991" s="82">
        <f>IFERROR(INDEX('Infos Clientes'!$T:$T,MATCH('Detalhe Por UC'!$C991,'Infos Clientes'!B:B,0)),"")</f>
        <v>182.25</v>
      </c>
      <c r="BX991" s="83">
        <f t="shared" si="593"/>
        <v>0</v>
      </c>
      <c r="BY991" s="84">
        <f t="shared" si="594"/>
        <v>0.8477267112140785</v>
      </c>
      <c r="BZ991" s="85">
        <f>IF(_xlfn.MINIFS('Detalhe Por UC'!R:R,'Detalhe Por UC'!C:C,C991,'Detalhe Por UC'!AD:AD,"&gt;"&amp;0)=0,"",_xlfn.MINIFS('Detalhe Por UC'!R:R,'Detalhe Por UC'!C:C,C991,'Detalhe Por UC'!AD:AD,"&gt;"&amp;0))</f>
        <v>45627</v>
      </c>
      <c r="CA991" s="114">
        <f ca="1">IF(OR(S991&gt;0,AD991&gt;0),IFERROR(
SUMIFS(INDIRECT("'Infos Clientes'!$W"&amp;INDEX('Infos Clientes'!$C:$C,MATCH(C991,'Infos Clientes'!$H:$H,0))&amp;":$CZ"&amp;INDEX('Infos Clientes'!$C:$C,MATCH(C991,'Infos Clientes'!$H:$H,0))),'Infos Clientes'!$W$2:$CZ$2,"&gt;"&amp;$R991-365,'Infos Clientes'!$W$2:$CZ$2,"&lt;="&amp;$R991)/
COUNTIFS(INDIRECT("'Infos Clientes'!$W"&amp;INDEX('Infos Clientes'!$C:$C,MATCH(C991,'Infos Clientes'!$H:$H,0))&amp;":$CZ"&amp;INDEX('Infos Clientes'!$C:$C,MATCH(C991,'Infos Clientes'!$H:$H,0))),"&gt;="&amp;0,'Infos Clientes'!$W$2:$CZ$2,"&gt;"&amp;$R991-365,'Infos Clientes'!$W$2:$CZ$2,"&lt;="&amp;$R991),""),"")</f>
        <v>277.66666666666669</v>
      </c>
      <c r="CB991" s="87">
        <f>VLOOKUP(C991,'Infos Clientes'!B:L,11,0)</f>
        <v>0</v>
      </c>
      <c r="CC991" s="88" t="str">
        <f t="shared" si="595"/>
        <v>A Unidade Consumidora 10/1184751-4 economizou R$40,47 na fatura referente à out/2025  consumindo 118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1" s="115">
        <f t="shared" si="596"/>
        <v>-299.34000000000003</v>
      </c>
    </row>
    <row r="992" spans="1:84" ht="16.2" hidden="1" customHeight="1" x14ac:dyDescent="0.3">
      <c r="A992" s="105" t="str">
        <f>INDEX('Infos Clientes'!$D:$D,MATCH('Detalhe Por UC'!C992,'Infos Clientes'!B:B,0))</f>
        <v>IGREJA DO EVANGELHO QUADRANGULAR</v>
      </c>
      <c r="B992" s="106" t="str">
        <f>INDEX('Infos Clientes'!$F:$F,MATCH('Detalhe Por UC'!C992,'Infos Clientes'!B:B,0))</f>
        <v>62.955.505/4612-10</v>
      </c>
      <c r="C992" s="31" t="s">
        <v>60</v>
      </c>
      <c r="D992" s="31" t="s">
        <v>351</v>
      </c>
      <c r="E992" s="31" t="s">
        <v>352</v>
      </c>
      <c r="F992" s="56" t="str">
        <f>INDEX('Infos Clientes'!$I:$I,MATCH('Detalhe Por UC'!C992,'Infos Clientes'!B:B,0))</f>
        <v>BT</v>
      </c>
      <c r="G992" s="56" t="str">
        <f>INDEX('Infos Clientes'!$J:$J,MATCH('Detalhe Por UC'!C992,'Infos Clientes'!B:B,0))</f>
        <v>trifasico</v>
      </c>
      <c r="H992" s="156" t="s">
        <v>24</v>
      </c>
      <c r="I992" s="58">
        <f>IFERROR(VLOOKUP(C992,'Infos Clientes'!B:E,4,),"")</f>
        <v>306</v>
      </c>
      <c r="J992" s="152">
        <v>0.2796792317717392</v>
      </c>
      <c r="K992" s="79">
        <f>INDEX('Resumo Operacional'!$A$1:$P$151,MATCH("Desconto percentual Ucs",'Resumo Operacional'!$B$1:$B$151,0),MATCH('Detalhe Por UC'!$R992,'Resumo Operacional'!$A$1:$P$1,0))</f>
        <v>0.26414553913427991</v>
      </c>
      <c r="M992" s="56"/>
      <c r="N992" s="56"/>
      <c r="O992" s="56"/>
      <c r="P992" s="56"/>
      <c r="Q992" s="61"/>
      <c r="R992" s="111">
        <v>45931</v>
      </c>
      <c r="S992" s="152">
        <v>8.8999999999999999E-3</v>
      </c>
      <c r="T992" s="113">
        <f>IF($H992="GIROSSOL II",AP992/INDEX('Resumo Operacional'!$A$1:$P$1103,17,MATCH('Detalhe Por UC'!$R992,'Resumo Operacional'!$A$1:$P$1,0)),
IF($H992="GIROSSOL II e III",AP992/INDEX('Resumo Operacional'!$A$1:$P$1103,17,MATCH('Detalhe Por UC'!$R992,'Resumo Operacional'!$A$1:$P$1,0)),
""))</f>
        <v>2.1414567938470817E-2</v>
      </c>
      <c r="U992" s="113" t="str">
        <f>IF($H992="GIROSSOL III",AP992/INDEX('Resumo Operacional'!$A$1:$P$1103,53,MATCH('Detalhe Por UC'!$R992,'Resumo Operacional'!$A$1:$P$1,0)),
IF($H992="GIROSSOL II e III",AP992/INDEX('Resumo Operacional'!$A$1:$P$1103,53,MATCH('Detalhe Por UC'!$R992,'Resumo Operacional'!$A$1:$P$1,0)),
""))</f>
        <v/>
      </c>
      <c r="X992">
        <v>1.2250985915492958</v>
      </c>
      <c r="Z992" s="18">
        <v>1.2250978260869565</v>
      </c>
      <c r="AB992" s="18">
        <v>284</v>
      </c>
      <c r="AD992" s="143">
        <v>184</v>
      </c>
      <c r="AF992" s="18">
        <v>246</v>
      </c>
      <c r="AH992">
        <v>74.010000000000005</v>
      </c>
      <c r="AL992" s="43"/>
      <c r="AN992" s="71">
        <f t="shared" si="563"/>
        <v>100</v>
      </c>
      <c r="AO992" s="71">
        <f t="shared" si="564"/>
        <v>0</v>
      </c>
      <c r="AP992" s="71">
        <f t="shared" si="565"/>
        <v>284</v>
      </c>
      <c r="AQ992" s="72">
        <f>IF(OR($H992="GIROSSOL II",$H992="GIROSSOL II e III"),INDEX('Resumo Operacional'!$A$1:$P$1103,MATCH("Energia Injetada prevista total Fatura da Usina (TUSD)",'Resumo Operacional'!$B$1:$B$1103,0),MATCH('Detalhe Por UC'!$R992,'Resumo Operacional'!$A$1:$P$1,0))*$S992,INDEX('Resumo Operacional'!$A$1:$P$1103,53,MATCH('Detalhe Por UC'!$R992,'Resumo Operacional'!$A$1:$P$1,0))*$S992)</f>
        <v>118.0318</v>
      </c>
      <c r="AR992" s="71">
        <f t="shared" si="566"/>
        <v>165.9682</v>
      </c>
      <c r="AS992" s="73">
        <f t="shared" si="567"/>
        <v>196.51999999999998</v>
      </c>
      <c r="AT992" s="74">
        <f t="shared" si="568"/>
        <v>196.51999999999998</v>
      </c>
      <c r="AU992" s="74">
        <f t="shared" si="569"/>
        <v>1.2250970606246172</v>
      </c>
      <c r="AV992" s="74">
        <f t="shared" si="570"/>
        <v>162.37326693247809</v>
      </c>
      <c r="AW992" s="74">
        <f t="shared" si="571"/>
        <v>0</v>
      </c>
      <c r="AX992" s="74">
        <f t="shared" si="572"/>
        <v>225.41800000000001</v>
      </c>
      <c r="AY992" s="74">
        <f t="shared" si="573"/>
        <v>162.37</v>
      </c>
      <c r="AZ992" s="129">
        <v>162.31</v>
      </c>
      <c r="BA992" s="117">
        <v>162.31</v>
      </c>
      <c r="BB992" s="49">
        <v>162.31</v>
      </c>
      <c r="BC992" s="73" t="str">
        <f t="shared" si="574"/>
        <v/>
      </c>
      <c r="BD992" s="73">
        <f t="shared" si="575"/>
        <v>421.93799999999999</v>
      </c>
      <c r="BE992" s="73">
        <f t="shared" si="576"/>
        <v>358.89326693247807</v>
      </c>
      <c r="BF992" s="77">
        <f t="shared" si="577"/>
        <v>63.04</v>
      </c>
      <c r="BG992" s="77">
        <f t="shared" si="578"/>
        <v>18.911999999999999</v>
      </c>
      <c r="BH992" s="77">
        <f t="shared" si="579"/>
        <v>225.41799999999998</v>
      </c>
      <c r="BI992" s="78">
        <f t="shared" si="580"/>
        <v>0.28000000000000003</v>
      </c>
      <c r="BJ992" s="79">
        <f t="shared" si="581"/>
        <v>0.14940583687650794</v>
      </c>
      <c r="BK992" s="80">
        <f t="shared" si="582"/>
        <v>358.89</v>
      </c>
      <c r="BL992" s="80">
        <f t="shared" si="583"/>
        <v>63.048000000000002</v>
      </c>
      <c r="BM992" s="79">
        <f t="shared" si="584"/>
        <v>0.14942479700809125</v>
      </c>
      <c r="BN992" s="81">
        <f t="shared" si="585"/>
        <v>0.88244565217391302</v>
      </c>
      <c r="BO992" s="82">
        <f t="shared" si="586"/>
        <v>162.37</v>
      </c>
      <c r="BP992" s="81">
        <f t="shared" si="587"/>
        <v>0.88244565217391302</v>
      </c>
      <c r="BQ992" s="81">
        <f t="shared" si="588"/>
        <v>0.88244641763625231</v>
      </c>
      <c r="BR992" s="81">
        <f t="shared" si="589"/>
        <v>1.2250985915492958</v>
      </c>
      <c r="BS992" s="82">
        <f t="shared" si="590"/>
        <v>184</v>
      </c>
      <c r="BT992" s="82">
        <f t="shared" si="591"/>
        <v>225.41814084507041</v>
      </c>
      <c r="BU992" s="82">
        <f t="shared" si="592"/>
        <v>225.41800000000001</v>
      </c>
      <c r="BW992" s="82">
        <f>IFERROR(INDEX('Infos Clientes'!$T:$T,MATCH('Detalhe Por UC'!$C992,'Infos Clientes'!B:B,0)),"")</f>
        <v>279.08333333333331</v>
      </c>
      <c r="BX992" s="83">
        <f t="shared" si="593"/>
        <v>0</v>
      </c>
      <c r="BY992" s="84">
        <f t="shared" si="594"/>
        <v>0.27969354978991157</v>
      </c>
      <c r="BZ992" s="85">
        <f>IF(_xlfn.MINIFS('Detalhe Por UC'!R:R,'Detalhe Por UC'!C:C,C992,'Detalhe Por UC'!AD:AD,"&gt;"&amp;0)=0,"",_xlfn.MINIFS('Detalhe Por UC'!R:R,'Detalhe Por UC'!C:C,C992,'Detalhe Por UC'!AD:AD,"&gt;"&amp;0))</f>
        <v>45627</v>
      </c>
      <c r="CA992" s="114">
        <f ca="1">IF(OR(S992&gt;0,AD992&gt;0),IFERROR(
SUMIFS(INDIRECT("'Infos Clientes'!$W"&amp;INDEX('Infos Clientes'!$C:$C,MATCH(C992,'Infos Clientes'!$H:$H,0))&amp;":$CZ"&amp;INDEX('Infos Clientes'!$C:$C,MATCH(C992,'Infos Clientes'!$H:$H,0))),'Infos Clientes'!$W$2:$CZ$2,"&gt;"&amp;$R992-365,'Infos Clientes'!$W$2:$CZ$2,"&lt;="&amp;$R992)/
COUNTIFS(INDIRECT("'Infos Clientes'!$W"&amp;INDEX('Infos Clientes'!$C:$C,MATCH(C992,'Infos Clientes'!$H:$H,0))&amp;":$CZ"&amp;INDEX('Infos Clientes'!$C:$C,MATCH(C992,'Infos Clientes'!$H:$H,0))),"&gt;="&amp;0,'Infos Clientes'!$W$2:$CZ$2,"&gt;"&amp;$R992-365,'Infos Clientes'!$W$2:$CZ$2,"&lt;="&amp;$R992),""),"")</f>
        <v>271.25</v>
      </c>
      <c r="CB992" s="87">
        <f>VLOOKUP(C992,'Infos Clientes'!B:L,11,0)</f>
        <v>0</v>
      </c>
      <c r="CC992" s="88" t="str">
        <f t="shared" si="595"/>
        <v>A Unidade Consumidora 10/1698130-0 economizou R$63,04 na fatura referente à out/2025  consumindo 184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2" s="115">
        <f t="shared" si="596"/>
        <v>-196.51999999999998</v>
      </c>
    </row>
    <row r="993" spans="1:84" ht="16.2" hidden="1" customHeight="1" x14ac:dyDescent="0.3">
      <c r="A993" s="105" t="str">
        <f>INDEX('Infos Clientes'!$D:$D,MATCH('Detalhe Por UC'!C993,'Infos Clientes'!B:B,0))</f>
        <v>IGREJA DO EVANGELHO QUADRANGULAR</v>
      </c>
      <c r="B993" s="106" t="str">
        <f>INDEX('Infos Clientes'!$F:$F,MATCH('Detalhe Por UC'!C993,'Infos Clientes'!B:B,0))</f>
        <v>62.955.505/0153-50</v>
      </c>
      <c r="C993" s="31" t="s">
        <v>45</v>
      </c>
      <c r="D993" s="31" t="s">
        <v>351</v>
      </c>
      <c r="E993" s="31" t="s">
        <v>352</v>
      </c>
      <c r="F993" s="56" t="str">
        <f>INDEX('Infos Clientes'!$I:$I,MATCH('Detalhe Por UC'!C993,'Infos Clientes'!B:B,0))</f>
        <v>BT</v>
      </c>
      <c r="G993" s="56" t="str">
        <f>INDEX('Infos Clientes'!$J:$J,MATCH('Detalhe Por UC'!C993,'Infos Clientes'!B:B,0))</f>
        <v>trifasico</v>
      </c>
      <c r="H993" s="156" t="s">
        <v>24</v>
      </c>
      <c r="I993" s="58">
        <f>IFERROR(VLOOKUP(C993,'Infos Clientes'!B:E,4,),"")</f>
        <v>994</v>
      </c>
      <c r="J993" s="152">
        <v>0.2796792317717392</v>
      </c>
      <c r="K993" s="79">
        <f>INDEX('Resumo Operacional'!$A$1:$P$151,MATCH("Desconto percentual Ucs",'Resumo Operacional'!$B$1:$B$151,0),MATCH('Detalhe Por UC'!$R993,'Resumo Operacional'!$A$1:$P$1,0))</f>
        <v>0.26414553913427991</v>
      </c>
      <c r="M993" s="56"/>
      <c r="N993" s="56"/>
      <c r="O993" s="56"/>
      <c r="P993" s="56"/>
      <c r="Q993" s="61"/>
      <c r="R993" s="111">
        <v>45931</v>
      </c>
      <c r="S993" s="152">
        <v>8.3000000000000001E-3</v>
      </c>
      <c r="T993" s="113">
        <f>IF($H993="GIROSSOL II",AP993/INDEX('Resumo Operacional'!$A$1:$P$1103,17,MATCH('Detalhe Por UC'!$R993,'Resumo Operacional'!$A$1:$P$1,0)),
IF($H993="GIROSSOL II e III",AP993/INDEX('Resumo Operacional'!$A$1:$P$1103,17,MATCH('Detalhe Por UC'!$R993,'Resumo Operacional'!$A$1:$P$1,0)),
""))</f>
        <v>7.6157442316392701E-3</v>
      </c>
      <c r="U993" s="113" t="str">
        <f>IF($H993="GIROSSOL III",AP993/INDEX('Resumo Operacional'!$A$1:$P$1103,53,MATCH('Detalhe Por UC'!$R993,'Resumo Operacional'!$A$1:$P$1,0)),
IF($H993="GIROSSOL II e III",AP993/INDEX('Resumo Operacional'!$A$1:$P$1103,53,MATCH('Detalhe Por UC'!$R993,'Resumo Operacional'!$A$1:$P$1,0)),
""))</f>
        <v/>
      </c>
      <c r="X993">
        <v>1.2249176470588234</v>
      </c>
      <c r="Z993" s="31">
        <v>1.2248833333333333</v>
      </c>
      <c r="AB993">
        <v>340</v>
      </c>
      <c r="AD993">
        <v>240</v>
      </c>
      <c r="AF993">
        <v>477</v>
      </c>
      <c r="AG993">
        <v>0</v>
      </c>
      <c r="AH993">
        <v>74.61</v>
      </c>
      <c r="AL993" s="43"/>
      <c r="AN993" s="71">
        <f t="shared" si="563"/>
        <v>-139</v>
      </c>
      <c r="AO993" s="71">
        <f t="shared" si="564"/>
        <v>0</v>
      </c>
      <c r="AP993" s="71">
        <f t="shared" si="565"/>
        <v>101</v>
      </c>
      <c r="AQ993" s="72">
        <f>IF(OR($H993="GIROSSOL II",$H993="GIROSSOL II e III"),INDEX('Resumo Operacional'!$A$1:$P$1103,MATCH("Energia Injetada prevista total Fatura da Usina (TUSD)",'Resumo Operacional'!$B$1:$B$1103,0),MATCH('Detalhe Por UC'!$R993,'Resumo Operacional'!$A$1:$P$1,0))*$S993,INDEX('Resumo Operacional'!$A$1:$P$1103,53,MATCH('Detalhe Por UC'!$R993,'Resumo Operacional'!$A$1:$P$1,0))*$S993)</f>
        <v>110.0746</v>
      </c>
      <c r="AR993" s="71">
        <f t="shared" si="566"/>
        <v>-9.0746000000000038</v>
      </c>
      <c r="AS993" s="73">
        <f t="shared" si="567"/>
        <v>197.11</v>
      </c>
      <c r="AT993" s="74">
        <f t="shared" si="568"/>
        <v>197.11</v>
      </c>
      <c r="AU993" s="74">
        <f t="shared" si="569"/>
        <v>1.2248490196078432</v>
      </c>
      <c r="AV993" s="74">
        <f t="shared" si="570"/>
        <v>211.75413687759831</v>
      </c>
      <c r="AW993" s="74">
        <f t="shared" si="571"/>
        <v>0</v>
      </c>
      <c r="AX993" s="74">
        <f t="shared" si="572"/>
        <v>293.97199999999998</v>
      </c>
      <c r="AY993" s="74">
        <f t="shared" si="573"/>
        <v>211.75</v>
      </c>
      <c r="AZ993" s="129">
        <v>211.75</v>
      </c>
      <c r="BA993" s="117">
        <v>211.75</v>
      </c>
      <c r="BB993" s="49">
        <v>211.75</v>
      </c>
      <c r="BC993" s="73" t="str">
        <f t="shared" si="574"/>
        <v/>
      </c>
      <c r="BD993" s="73">
        <f t="shared" si="575"/>
        <v>491.08199999999999</v>
      </c>
      <c r="BE993" s="73">
        <f t="shared" si="576"/>
        <v>408.8641368775983</v>
      </c>
      <c r="BF993" s="77">
        <f t="shared" si="577"/>
        <v>82.22</v>
      </c>
      <c r="BG993" s="77">
        <f t="shared" si="578"/>
        <v>24.666</v>
      </c>
      <c r="BH993" s="77">
        <f t="shared" si="579"/>
        <v>293.97199999999998</v>
      </c>
      <c r="BI993" s="78">
        <f t="shared" si="580"/>
        <v>0.28000000000000003</v>
      </c>
      <c r="BJ993" s="79">
        <f t="shared" si="581"/>
        <v>0.16742621395204874</v>
      </c>
      <c r="BK993" s="80">
        <f t="shared" si="582"/>
        <v>408.86</v>
      </c>
      <c r="BL993" s="80">
        <f t="shared" si="583"/>
        <v>82.22199999999998</v>
      </c>
      <c r="BM993" s="79">
        <f t="shared" si="584"/>
        <v>0.1674302865916486</v>
      </c>
      <c r="BN993" s="81">
        <f t="shared" si="585"/>
        <v>0.8822916666666667</v>
      </c>
      <c r="BO993" s="82">
        <f t="shared" si="586"/>
        <v>211.75</v>
      </c>
      <c r="BP993" s="81">
        <f t="shared" si="587"/>
        <v>0.8822916666666667</v>
      </c>
      <c r="BQ993" s="81">
        <f t="shared" si="588"/>
        <v>0.88232598039215682</v>
      </c>
      <c r="BR993" s="81">
        <f t="shared" si="589"/>
        <v>1.2249176470588234</v>
      </c>
      <c r="BS993" s="82">
        <f t="shared" si="590"/>
        <v>240</v>
      </c>
      <c r="BT993" s="82">
        <f t="shared" si="591"/>
        <v>293.98023529411762</v>
      </c>
      <c r="BU993" s="82">
        <f t="shared" si="592"/>
        <v>293.97199999999998</v>
      </c>
      <c r="BW993" s="82">
        <f>IFERROR(INDEX('Infos Clientes'!$T:$T,MATCH('Detalhe Por UC'!$C993,'Infos Clientes'!B:B,0)),"")</f>
        <v>362.41666666666669</v>
      </c>
      <c r="BX993" s="83">
        <f t="shared" si="593"/>
        <v>0</v>
      </c>
      <c r="BY993" s="84">
        <f t="shared" si="594"/>
        <v>0.27968546905114067</v>
      </c>
      <c r="BZ993" s="85">
        <f>IF(_xlfn.MINIFS('Detalhe Por UC'!R:R,'Detalhe Por UC'!C:C,C993,'Detalhe Por UC'!AD:AD,"&gt;"&amp;0)=0,"",_xlfn.MINIFS('Detalhe Por UC'!R:R,'Detalhe Por UC'!C:C,C993,'Detalhe Por UC'!AD:AD,"&gt;"&amp;0))</f>
        <v>45627</v>
      </c>
      <c r="CA993" s="114">
        <f ca="1">IF(OR(S993&gt;0,AD993&gt;0),IFERROR(
SUMIFS(INDIRECT("'Infos Clientes'!$W"&amp;INDEX('Infos Clientes'!$C:$C,MATCH(C993,'Infos Clientes'!$H:$H,0))&amp;":$CZ"&amp;INDEX('Infos Clientes'!$C:$C,MATCH(C993,'Infos Clientes'!$H:$H,0))),'Infos Clientes'!$W$2:$CZ$2,"&gt;"&amp;$R993-365,'Infos Clientes'!$W$2:$CZ$2,"&lt;="&amp;$R993)/
COUNTIFS(INDIRECT("'Infos Clientes'!$W"&amp;INDEX('Infos Clientes'!$C:$C,MATCH(C993,'Infos Clientes'!$H:$H,0))&amp;":$CZ"&amp;INDEX('Infos Clientes'!$C:$C,MATCH(C993,'Infos Clientes'!$H:$H,0))),"&gt;="&amp;0,'Infos Clientes'!$W$2:$CZ$2,"&gt;"&amp;$R993-365,'Infos Clientes'!$W$2:$CZ$2,"&lt;="&amp;$R993),""),"")</f>
        <v>324.75</v>
      </c>
      <c r="CB993" s="87">
        <f>VLOOKUP(C993,'Infos Clientes'!B:L,11,0)</f>
        <v>0</v>
      </c>
      <c r="CC993" s="88" t="str">
        <f t="shared" si="595"/>
        <v>A Unidade Consumidora 10/156956-5 economizou R$82,22 na fatura referente à out/2025  consumindo 240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3" s="115">
        <f t="shared" si="596"/>
        <v>-197.11</v>
      </c>
    </row>
    <row r="994" spans="1:84" ht="16.2" hidden="1" customHeight="1" x14ac:dyDescent="0.3">
      <c r="A994" s="105" t="str">
        <f>INDEX('Infos Clientes'!$D:$D,MATCH('Detalhe Por UC'!C994,'Infos Clientes'!B:B,0))</f>
        <v>IGREJA DO EVANGELHO QUADRANGULAR</v>
      </c>
      <c r="B994" s="106" t="str">
        <f>INDEX('Infos Clientes'!$F:$F,MATCH('Detalhe Por UC'!C994,'Infos Clientes'!B:B,0))</f>
        <v>62.955.505/0170-51</v>
      </c>
      <c r="C994" s="31" t="s">
        <v>73</v>
      </c>
      <c r="D994" s="31" t="s">
        <v>351</v>
      </c>
      <c r="E994" s="31" t="s">
        <v>352</v>
      </c>
      <c r="F994" s="56" t="str">
        <f>INDEX('Infos Clientes'!$I:$I,MATCH('Detalhe Por UC'!C994,'Infos Clientes'!B:B,0))</f>
        <v>BT</v>
      </c>
      <c r="G994" s="56" t="str">
        <f>INDEX('Infos Clientes'!$J:$J,MATCH('Detalhe Por UC'!C994,'Infos Clientes'!B:B,0))</f>
        <v>bifasico</v>
      </c>
      <c r="H994" s="156" t="s">
        <v>24</v>
      </c>
      <c r="I994" s="58">
        <f>IFERROR(VLOOKUP(C994,'Infos Clientes'!B:E,4,),"")</f>
        <v>306</v>
      </c>
      <c r="J994" s="152">
        <v>0.2796792317717392</v>
      </c>
      <c r="K994" s="79">
        <f>INDEX('Resumo Operacional'!$A$1:$P$151,MATCH("Desconto percentual Ucs",'Resumo Operacional'!$B$1:$B$151,0),MATCH('Detalhe Por UC'!$R994,'Resumo Operacional'!$A$1:$P$1,0))</f>
        <v>0.26414553913427991</v>
      </c>
      <c r="M994" s="56"/>
      <c r="N994" s="56"/>
      <c r="O994" s="56"/>
      <c r="P994" s="56"/>
      <c r="Q994" s="61"/>
      <c r="R994" s="111">
        <v>45931</v>
      </c>
      <c r="S994" s="152">
        <v>7.6E-3</v>
      </c>
      <c r="T994" s="113">
        <f>IF($H994="GIROSSOL II",AP994/INDEX('Resumo Operacional'!$A$1:$P$1103,17,MATCH('Detalhe Por UC'!$R994,'Resumo Operacional'!$A$1:$P$1,0)),
IF($H994="GIROSSOL II e III",AP994/INDEX('Resumo Operacional'!$A$1:$P$1103,17,MATCH('Detalhe Por UC'!$R994,'Resumo Operacional'!$A$1:$P$1,0)),
""))</f>
        <v>6.9371135575328003E-3</v>
      </c>
      <c r="U994" s="113" t="str">
        <f>IF($H994="GIROSSOL III",AP994/INDEX('Resumo Operacional'!$A$1:$P$1103,53,MATCH('Detalhe Por UC'!$R994,'Resumo Operacional'!$A$1:$P$1,0)),
IF($H994="GIROSSOL II e III",AP994/INDEX('Resumo Operacional'!$A$1:$P$1103,53,MATCH('Detalhe Por UC'!$R994,'Resumo Operacional'!$A$1:$P$1,0)),
""))</f>
        <v/>
      </c>
      <c r="X994">
        <v>1.2325576519916144</v>
      </c>
      <c r="Z994" s="31">
        <v>1.1475591985428051</v>
      </c>
      <c r="AB994">
        <v>106</v>
      </c>
      <c r="AD994">
        <v>61</v>
      </c>
      <c r="AF994">
        <v>417</v>
      </c>
      <c r="AG994">
        <v>0</v>
      </c>
      <c r="AH994">
        <v>12.95</v>
      </c>
      <c r="AL994" s="43"/>
      <c r="AN994" s="71">
        <f t="shared" si="563"/>
        <v>31</v>
      </c>
      <c r="AO994" s="71">
        <f t="shared" si="564"/>
        <v>0</v>
      </c>
      <c r="AP994" s="71">
        <f t="shared" si="565"/>
        <v>92</v>
      </c>
      <c r="AQ994" s="72">
        <f>IF(OR($H994="GIROSSOL II",$H994="GIROSSOL II e III"),INDEX('Resumo Operacional'!$A$1:$P$1103,MATCH("Energia Injetada prevista total Fatura da Usina (TUSD)",'Resumo Operacional'!$B$1:$B$1103,0),MATCH('Detalhe Por UC'!$R994,'Resumo Operacional'!$A$1:$P$1,0))*$S994,INDEX('Resumo Operacional'!$A$1:$P$1103,53,MATCH('Detalhe Por UC'!$R994,'Resumo Operacional'!$A$1:$P$1,0))*$S994)</f>
        <v>100.7912</v>
      </c>
      <c r="AR994" s="71">
        <f t="shared" si="566"/>
        <v>-8.7912000000000035</v>
      </c>
      <c r="AS994" s="73">
        <f t="shared" si="567"/>
        <v>73.600000000000023</v>
      </c>
      <c r="AT994" s="74">
        <f t="shared" si="568"/>
        <v>73.600000000000023</v>
      </c>
      <c r="AU994" s="74">
        <f t="shared" si="569"/>
        <v>1.0625607450939958</v>
      </c>
      <c r="AV994" s="74">
        <f t="shared" si="570"/>
        <v>50.423254132387399</v>
      </c>
      <c r="AW994" s="74">
        <f t="shared" si="571"/>
        <v>0</v>
      </c>
      <c r="AX994" s="74">
        <f t="shared" si="572"/>
        <v>70.001111111111115</v>
      </c>
      <c r="AY994" s="74">
        <f t="shared" si="573"/>
        <v>50.42</v>
      </c>
      <c r="AZ994" s="129">
        <v>50.42</v>
      </c>
      <c r="BA994" s="117">
        <v>50.42</v>
      </c>
      <c r="BB994" s="49">
        <v>50.42</v>
      </c>
      <c r="BC994" s="73" t="str">
        <f t="shared" si="574"/>
        <v/>
      </c>
      <c r="BD994" s="73">
        <f t="shared" si="575"/>
        <v>143.60111111111112</v>
      </c>
      <c r="BE994" s="73">
        <f t="shared" si="576"/>
        <v>124.02325413238742</v>
      </c>
      <c r="BF994" s="77">
        <f t="shared" si="577"/>
        <v>19.579999999999998</v>
      </c>
      <c r="BG994" s="77">
        <f t="shared" si="578"/>
        <v>5.8739999999999997</v>
      </c>
      <c r="BH994" s="77">
        <f t="shared" si="579"/>
        <v>70.001111111111115</v>
      </c>
      <c r="BI994" s="78">
        <f t="shared" si="580"/>
        <v>0.28000000000000003</v>
      </c>
      <c r="BJ994" s="79">
        <f t="shared" si="581"/>
        <v>0.13634991991705417</v>
      </c>
      <c r="BK994" s="80">
        <f t="shared" si="582"/>
        <v>124.02000000000002</v>
      </c>
      <c r="BL994" s="80">
        <f t="shared" si="583"/>
        <v>19.581111111111099</v>
      </c>
      <c r="BM994" s="79">
        <f t="shared" si="584"/>
        <v>0.13635765739974148</v>
      </c>
      <c r="BN994" s="81">
        <f t="shared" si="585"/>
        <v>0.82655737704918031</v>
      </c>
      <c r="BO994" s="82">
        <f t="shared" si="586"/>
        <v>50.42</v>
      </c>
      <c r="BP994" s="81">
        <f t="shared" si="587"/>
        <v>0.82655737704918031</v>
      </c>
      <c r="BQ994" s="81">
        <f t="shared" si="588"/>
        <v>0.91155583049798961</v>
      </c>
      <c r="BR994" s="81">
        <f t="shared" si="589"/>
        <v>1.2325576519916144</v>
      </c>
      <c r="BS994" s="82">
        <f t="shared" si="590"/>
        <v>61</v>
      </c>
      <c r="BT994" s="82">
        <f t="shared" si="591"/>
        <v>75.186016771488482</v>
      </c>
      <c r="BU994" s="82">
        <f t="shared" si="592"/>
        <v>70.001111111111115</v>
      </c>
      <c r="BW994" s="82">
        <f>IFERROR(INDEX('Infos Clientes'!$T:$T,MATCH('Detalhe Por UC'!$C994,'Infos Clientes'!B:B,0)),"")</f>
        <v>153.91666666666666</v>
      </c>
      <c r="BX994" s="83">
        <f t="shared" si="593"/>
        <v>0</v>
      </c>
      <c r="BY994" s="84">
        <f t="shared" si="594"/>
        <v>0.26043554309604716</v>
      </c>
      <c r="BZ994" s="85">
        <f>IF(_xlfn.MINIFS('Detalhe Por UC'!R:R,'Detalhe Por UC'!C:C,C994,'Detalhe Por UC'!AD:AD,"&gt;"&amp;0)=0,"",_xlfn.MINIFS('Detalhe Por UC'!R:R,'Detalhe Por UC'!C:C,C994,'Detalhe Por UC'!AD:AD,"&gt;"&amp;0))</f>
        <v>45627</v>
      </c>
      <c r="CA994" s="114">
        <f ca="1">IF(OR(S994&gt;0,AD994&gt;0),IFERROR(
SUMIFS(INDIRECT("'Infos Clientes'!$W"&amp;INDEX('Infos Clientes'!$C:$C,MATCH(C994,'Infos Clientes'!$H:$H,0))&amp;":$CZ"&amp;INDEX('Infos Clientes'!$C:$C,MATCH(C994,'Infos Clientes'!$H:$H,0))),'Infos Clientes'!$W$2:$CZ$2,"&gt;"&amp;$R994-365,'Infos Clientes'!$W$2:$CZ$2,"&lt;="&amp;$R994)/
COUNTIFS(INDIRECT("'Infos Clientes'!$W"&amp;INDEX('Infos Clientes'!$C:$C,MATCH(C994,'Infos Clientes'!$H:$H,0))&amp;":$CZ"&amp;INDEX('Infos Clientes'!$C:$C,MATCH(C994,'Infos Clientes'!$H:$H,0))),"&gt;="&amp;0,'Infos Clientes'!$W$2:$CZ$2,"&gt;"&amp;$R994-365,'Infos Clientes'!$W$2:$CZ$2,"&lt;="&amp;$R994),""),"")</f>
        <v>132</v>
      </c>
      <c r="CB994" s="87">
        <f>VLOOKUP(C994,'Infos Clientes'!B:L,11,0)</f>
        <v>0</v>
      </c>
      <c r="CC994" s="88" t="str">
        <f t="shared" si="595"/>
        <v>A Unidade Consumidora 10/218777-1 economizou R$19,58 na fatura referente à out/2025  consumindo 61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4" s="115">
        <f t="shared" si="596"/>
        <v>-73.600000000000023</v>
      </c>
    </row>
    <row r="995" spans="1:84" ht="16.2" hidden="1" customHeight="1" x14ac:dyDescent="0.3">
      <c r="A995" s="105" t="str">
        <f>INDEX('Infos Clientes'!$D:$D,MATCH('Detalhe Por UC'!C995,'Infos Clientes'!B:B,0))</f>
        <v>IGREJA DO EVANGELHO QUADRANGULAR</v>
      </c>
      <c r="B995" s="106" t="str">
        <f>INDEX('Infos Clientes'!$F:$F,MATCH('Detalhe Por UC'!C995,'Infos Clientes'!B:B,0))</f>
        <v>62.955.505/0001-67</v>
      </c>
      <c r="C995" s="31" t="s">
        <v>103</v>
      </c>
      <c r="D995" s="31" t="s">
        <v>351</v>
      </c>
      <c r="E995" s="31" t="s">
        <v>352</v>
      </c>
      <c r="F995" s="56" t="str">
        <f>INDEX('Infos Clientes'!$I:$I,MATCH('Detalhe Por UC'!C995,'Infos Clientes'!B:B,0))</f>
        <v>BT</v>
      </c>
      <c r="G995" s="56" t="str">
        <f>INDEX('Infos Clientes'!$J:$J,MATCH('Detalhe Por UC'!C995,'Infos Clientes'!B:B,0))</f>
        <v>monofasico</v>
      </c>
      <c r="H995" s="156" t="s">
        <v>24</v>
      </c>
      <c r="I995" s="58">
        <f>IFERROR(VLOOKUP(C995,'Infos Clientes'!B:E,4,),"")</f>
        <v>306</v>
      </c>
      <c r="J995" s="152">
        <v>0.2796792317717392</v>
      </c>
      <c r="K995" s="79">
        <f>INDEX('Resumo Operacional'!$A$1:$P$151,MATCH("Desconto percentual Ucs",'Resumo Operacional'!$B$1:$B$151,0),MATCH('Detalhe Por UC'!$R995,'Resumo Operacional'!$A$1:$P$1,0))</f>
        <v>0.26414553913427991</v>
      </c>
      <c r="M995" s="56"/>
      <c r="N995" s="56"/>
      <c r="O995" s="56"/>
      <c r="P995" s="56"/>
      <c r="Q995" s="61"/>
      <c r="R995" s="111">
        <v>45931</v>
      </c>
      <c r="S995" s="152">
        <v>7.1999999999999998E-3</v>
      </c>
      <c r="T995" s="113">
        <f>IF($H995="GIROSSOL II",AP995/INDEX('Resumo Operacional'!$A$1:$P$1103,17,MATCH('Detalhe Por UC'!$R995,'Resumo Operacional'!$A$1:$P$1,0)),
IF($H995="GIROSSOL II e III",AP995/INDEX('Resumo Operacional'!$A$1:$P$1103,17,MATCH('Detalhe Por UC'!$R995,'Resumo Operacional'!$A$1:$P$1,0)),
""))</f>
        <v>6.6354999245965916E-3</v>
      </c>
      <c r="U995" s="113" t="str">
        <f>IF($H995="GIROSSOL III",AP995/INDEX('Resumo Operacional'!$A$1:$P$1103,53,MATCH('Detalhe Por UC'!$R995,'Resumo Operacional'!$A$1:$P$1,0)),
IF($H995="GIROSSOL II e III",AP995/INDEX('Resumo Operacional'!$A$1:$P$1103,53,MATCH('Detalhe Por UC'!$R995,'Resumo Operacional'!$A$1:$P$1,0)),
""))</f>
        <v/>
      </c>
      <c r="X995">
        <v>1.2274074074074073</v>
      </c>
      <c r="Z995" s="31">
        <v>1.2273333333333332</v>
      </c>
      <c r="AB995">
        <v>135</v>
      </c>
      <c r="AD995">
        <v>105</v>
      </c>
      <c r="AF995">
        <v>72</v>
      </c>
      <c r="AG995">
        <v>0</v>
      </c>
      <c r="AH995">
        <v>0.8</v>
      </c>
      <c r="AL995" s="43"/>
      <c r="AN995" s="71">
        <f t="shared" si="563"/>
        <v>-17</v>
      </c>
      <c r="AO995" s="71">
        <f t="shared" si="564"/>
        <v>0</v>
      </c>
      <c r="AP995" s="71">
        <f t="shared" si="565"/>
        <v>88</v>
      </c>
      <c r="AQ995" s="72">
        <f>IF(OR($H995="GIROSSOL II",$H995="GIROSSOL II e III"),INDEX('Resumo Operacional'!$A$1:$P$1103,MATCH("Energia Injetada prevista total Fatura da Usina (TUSD)",'Resumo Operacional'!$B$1:$B$1103,0),MATCH('Detalhe Por UC'!$R995,'Resumo Operacional'!$A$1:$P$1,0))*$S995,INDEX('Resumo Operacional'!$A$1:$P$1103,53,MATCH('Detalhe Por UC'!$R995,'Resumo Operacional'!$A$1:$P$1,0))*$S995)</f>
        <v>95.486400000000003</v>
      </c>
      <c r="AR995" s="71">
        <f t="shared" si="566"/>
        <v>-7.4864000000000033</v>
      </c>
      <c r="AS995" s="73">
        <f t="shared" si="567"/>
        <v>37.63000000000001</v>
      </c>
      <c r="AT995" s="74">
        <f t="shared" si="568"/>
        <v>37.63000000000001</v>
      </c>
      <c r="AU995" s="74">
        <f t="shared" si="569"/>
        <v>1.227259259259259</v>
      </c>
      <c r="AV995" s="74">
        <f t="shared" si="570"/>
        <v>92.827737401575959</v>
      </c>
      <c r="AW995" s="74">
        <f t="shared" si="571"/>
        <v>0</v>
      </c>
      <c r="AX995" s="74">
        <f t="shared" si="572"/>
        <v>128.86999999999998</v>
      </c>
      <c r="AY995" s="74">
        <f t="shared" si="573"/>
        <v>92.83</v>
      </c>
      <c r="AZ995" s="129">
        <v>92.83</v>
      </c>
      <c r="BA995" s="117">
        <v>92.83</v>
      </c>
      <c r="BB995" s="49">
        <v>92.83</v>
      </c>
      <c r="BC995" s="73" t="str">
        <f t="shared" si="574"/>
        <v/>
      </c>
      <c r="BD995" s="73">
        <f t="shared" si="575"/>
        <v>166.5</v>
      </c>
      <c r="BE995" s="73">
        <f t="shared" si="576"/>
        <v>130.45773740157597</v>
      </c>
      <c r="BF995" s="77">
        <f t="shared" si="577"/>
        <v>36.04</v>
      </c>
      <c r="BG995" s="77">
        <f t="shared" si="578"/>
        <v>10.811999999999999</v>
      </c>
      <c r="BH995" s="77">
        <f t="shared" si="579"/>
        <v>128.86999999999998</v>
      </c>
      <c r="BI995" s="78">
        <f t="shared" si="580"/>
        <v>0.28000000000000003</v>
      </c>
      <c r="BJ995" s="79">
        <f t="shared" si="581"/>
        <v>0.21645645645645645</v>
      </c>
      <c r="BK995" s="80">
        <f t="shared" si="582"/>
        <v>130.46</v>
      </c>
      <c r="BL995" s="80">
        <f t="shared" si="583"/>
        <v>36.039999999999992</v>
      </c>
      <c r="BM995" s="79">
        <f t="shared" si="584"/>
        <v>0.21645645645645642</v>
      </c>
      <c r="BN995" s="81">
        <f t="shared" si="585"/>
        <v>0.88409523809523805</v>
      </c>
      <c r="BO995" s="82">
        <f t="shared" si="586"/>
        <v>92.83</v>
      </c>
      <c r="BP995" s="81">
        <f t="shared" si="587"/>
        <v>0.88409523809523805</v>
      </c>
      <c r="BQ995" s="81">
        <f t="shared" si="588"/>
        <v>0.88416931216931216</v>
      </c>
      <c r="BR995" s="81">
        <f t="shared" si="589"/>
        <v>1.2274074074074073</v>
      </c>
      <c r="BS995" s="82">
        <f t="shared" si="590"/>
        <v>105</v>
      </c>
      <c r="BT995" s="82">
        <f t="shared" si="591"/>
        <v>128.87777777777777</v>
      </c>
      <c r="BU995" s="82">
        <f t="shared" si="592"/>
        <v>128.86999999999998</v>
      </c>
      <c r="BW995" s="82">
        <f>IFERROR(INDEX('Infos Clientes'!$T:$T,MATCH('Detalhe Por UC'!$C995,'Infos Clientes'!B:B,0)),"")</f>
        <v>144</v>
      </c>
      <c r="BX995" s="83">
        <f t="shared" si="593"/>
        <v>0</v>
      </c>
      <c r="BY995" s="84">
        <f t="shared" si="594"/>
        <v>0.27964479696525557</v>
      </c>
      <c r="BZ995" s="85">
        <f>IF(_xlfn.MINIFS('Detalhe Por UC'!R:R,'Detalhe Por UC'!C:C,C995,'Detalhe Por UC'!AD:AD,"&gt;"&amp;0)=0,"",_xlfn.MINIFS('Detalhe Por UC'!R:R,'Detalhe Por UC'!C:C,C995,'Detalhe Por UC'!AD:AD,"&gt;"&amp;0))</f>
        <v>45627</v>
      </c>
      <c r="CA995" s="114">
        <f ca="1">IF(OR(S995&gt;0,AD995&gt;0),IFERROR(
SUMIFS(INDIRECT("'Infos Clientes'!$W"&amp;INDEX('Infos Clientes'!$C:$C,MATCH(C995,'Infos Clientes'!$H:$H,0))&amp;":$CZ"&amp;INDEX('Infos Clientes'!$C:$C,MATCH(C995,'Infos Clientes'!$H:$H,0))),'Infos Clientes'!$W$2:$CZ$2,"&gt;"&amp;$R995-365,'Infos Clientes'!$W$2:$CZ$2,"&lt;="&amp;$R995)/
COUNTIFS(INDIRECT("'Infos Clientes'!$W"&amp;INDEX('Infos Clientes'!$C:$C,MATCH(C995,'Infos Clientes'!$H:$H,0))&amp;":$CZ"&amp;INDEX('Infos Clientes'!$C:$C,MATCH(C995,'Infos Clientes'!$H:$H,0))),"&gt;="&amp;0,'Infos Clientes'!$W$2:$CZ$2,"&gt;"&amp;$R995-365,'Infos Clientes'!$W$2:$CZ$2,"&lt;="&amp;$R995),""),"")</f>
        <v>126.08333333333333</v>
      </c>
      <c r="CB995" s="87">
        <f>VLOOKUP(C995,'Infos Clientes'!B:L,11,0)</f>
        <v>0</v>
      </c>
      <c r="CC995" s="88" t="str">
        <f t="shared" si="595"/>
        <v>A Unidade Consumidora 10/384823-1 economizou R$36,04 na fatura referente à out/2025  consumindo 105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5" s="115">
        <f t="shared" si="596"/>
        <v>-37.63000000000001</v>
      </c>
    </row>
    <row r="996" spans="1:84" ht="16.2" hidden="1" customHeight="1" x14ac:dyDescent="0.3">
      <c r="A996" s="105" t="str">
        <f>INDEX('Infos Clientes'!$D:$D,MATCH('Detalhe Por UC'!C996,'Infos Clientes'!B:B,0))</f>
        <v>IGREJA DO EVANGELHO QUADRANGULAR</v>
      </c>
      <c r="B996" s="106" t="str">
        <f>INDEX('Infos Clientes'!$F:$F,MATCH('Detalhe Por UC'!C996,'Infos Clientes'!B:B,0))</f>
        <v>62.955.505/1821-76</v>
      </c>
      <c r="C996" s="31" t="s">
        <v>81</v>
      </c>
      <c r="D996" s="31" t="s">
        <v>351</v>
      </c>
      <c r="E996" s="31" t="s">
        <v>352</v>
      </c>
      <c r="F996" s="56" t="str">
        <f>INDEX('Infos Clientes'!$I:$I,MATCH('Detalhe Por UC'!C996,'Infos Clientes'!B:B,0))</f>
        <v>BT</v>
      </c>
      <c r="G996" s="56" t="str">
        <f>INDEX('Infos Clientes'!$J:$J,MATCH('Detalhe Por UC'!C996,'Infos Clientes'!B:B,0))</f>
        <v>bifasico</v>
      </c>
      <c r="H996" s="156" t="s">
        <v>24</v>
      </c>
      <c r="I996" s="58">
        <f>IFERROR(VLOOKUP(C996,'Infos Clientes'!B:E,4,),"")</f>
        <v>362</v>
      </c>
      <c r="J996" s="152">
        <v>0.2796792317717392</v>
      </c>
      <c r="K996" s="79">
        <f>INDEX('Resumo Operacional'!$A$1:$P$151,MATCH("Desconto percentual Ucs",'Resumo Operacional'!$B$1:$B$151,0),MATCH('Detalhe Por UC'!$R996,'Resumo Operacional'!$A$1:$P$1,0))</f>
        <v>0.26414553913427991</v>
      </c>
      <c r="M996" s="56"/>
      <c r="N996" s="56"/>
      <c r="O996" s="56"/>
      <c r="P996" s="56"/>
      <c r="Q996" s="61"/>
      <c r="R996" s="111">
        <v>45931</v>
      </c>
      <c r="S996" s="152">
        <v>6.7999999999999996E-3</v>
      </c>
      <c r="T996" s="113">
        <f>IF($H996="GIROSSOL II",AP996/INDEX('Resumo Operacional'!$A$1:$P$1103,17,MATCH('Detalhe Por UC'!$R996,'Resumo Operacional'!$A$1:$P$1,0)),
IF($H996="GIROSSOL II e III",AP996/INDEX('Resumo Operacional'!$A$1:$P$1103,17,MATCH('Detalhe Por UC'!$R996,'Resumo Operacional'!$A$1:$P$1,0)),
""))</f>
        <v>6.2584828834263305E-3</v>
      </c>
      <c r="U996" s="113" t="str">
        <f>IF($H996="GIROSSOL III",AP996/INDEX('Resumo Operacional'!$A$1:$P$1103,53,MATCH('Detalhe Por UC'!$R996,'Resumo Operacional'!$A$1:$P$1,0)),
IF($H996="GIROSSOL II e III",AP996/INDEX('Resumo Operacional'!$A$1:$P$1103,53,MATCH('Detalhe Por UC'!$R996,'Resumo Operacional'!$A$1:$P$1,0)),
""))</f>
        <v/>
      </c>
      <c r="X996">
        <v>1.2250000000000001</v>
      </c>
      <c r="Z996" s="31">
        <v>1.2250000000000001</v>
      </c>
      <c r="AB996">
        <v>55</v>
      </c>
      <c r="AD996">
        <v>5</v>
      </c>
      <c r="AF996">
        <v>386</v>
      </c>
      <c r="AG996">
        <v>0</v>
      </c>
      <c r="AH996">
        <v>12.75</v>
      </c>
      <c r="AL996" s="43"/>
      <c r="AN996" s="71">
        <f t="shared" si="563"/>
        <v>78</v>
      </c>
      <c r="AO996" s="71">
        <f t="shared" si="564"/>
        <v>0</v>
      </c>
      <c r="AP996" s="71">
        <f t="shared" si="565"/>
        <v>83</v>
      </c>
      <c r="AQ996" s="72">
        <f>IF(OR($H996="GIROSSOL II",$H996="GIROSSOL II e III"),INDEX('Resumo Operacional'!$A$1:$P$1103,MATCH("Energia Injetada prevista total Fatura da Usina (TUSD)",'Resumo Operacional'!$B$1:$B$1103,0),MATCH('Detalhe Por UC'!$R996,'Resumo Operacional'!$A$1:$P$1,0))*$S996,INDEX('Resumo Operacional'!$A$1:$P$1103,53,MATCH('Detalhe Por UC'!$R996,'Resumo Operacional'!$A$1:$P$1,0))*$S996)</f>
        <v>90.181599999999989</v>
      </c>
      <c r="AR996" s="71">
        <f t="shared" si="566"/>
        <v>-7.1815999999999889</v>
      </c>
      <c r="AS996" s="73">
        <f t="shared" si="567"/>
        <v>74</v>
      </c>
      <c r="AT996" s="74">
        <f t="shared" si="568"/>
        <v>74</v>
      </c>
      <c r="AU996" s="74">
        <f t="shared" si="569"/>
        <v>1.2250000000000001</v>
      </c>
      <c r="AV996" s="74">
        <f t="shared" si="570"/>
        <v>4.4119647053980984</v>
      </c>
      <c r="AW996" s="74">
        <f t="shared" si="571"/>
        <v>0</v>
      </c>
      <c r="AX996" s="74">
        <f t="shared" si="572"/>
        <v>6.125</v>
      </c>
      <c r="AY996" s="74">
        <f t="shared" si="573"/>
        <v>4.41</v>
      </c>
      <c r="AZ996" s="129">
        <v>4.41</v>
      </c>
      <c r="BA996" s="117">
        <v>4.41</v>
      </c>
      <c r="BC996" s="73" t="str">
        <f t="shared" si="574"/>
        <v/>
      </c>
      <c r="BD996" s="73">
        <f t="shared" si="575"/>
        <v>80.125</v>
      </c>
      <c r="BE996" s="73">
        <f t="shared" si="576"/>
        <v>78.411964705398105</v>
      </c>
      <c r="BF996" s="77">
        <f t="shared" si="577"/>
        <v>1.71</v>
      </c>
      <c r="BG996" s="77">
        <f t="shared" si="578"/>
        <v>0.51300000000000001</v>
      </c>
      <c r="BH996" s="77">
        <f t="shared" si="579"/>
        <v>6.125</v>
      </c>
      <c r="BI996" s="78">
        <f t="shared" si="580"/>
        <v>0.28000000000000003</v>
      </c>
      <c r="BJ996" s="79">
        <f t="shared" si="581"/>
        <v>2.1341653666146647E-2</v>
      </c>
      <c r="BK996" s="80">
        <f t="shared" si="582"/>
        <v>78.41</v>
      </c>
      <c r="BL996" s="80">
        <f t="shared" si="583"/>
        <v>1.7150000000000034</v>
      </c>
      <c r="BM996" s="79">
        <f t="shared" si="584"/>
        <v>2.1404056162246533E-2</v>
      </c>
      <c r="BN996" s="81">
        <f t="shared" si="585"/>
        <v>0.88200000000000001</v>
      </c>
      <c r="BO996" s="82">
        <f t="shared" si="586"/>
        <v>4.41</v>
      </c>
      <c r="BP996" s="81">
        <f t="shared" si="587"/>
        <v>0.88200000000000001</v>
      </c>
      <c r="BQ996" s="81">
        <f t="shared" si="588"/>
        <v>0.88200000000000001</v>
      </c>
      <c r="BR996" s="81">
        <f t="shared" si="589"/>
        <v>1.2250000000000001</v>
      </c>
      <c r="BS996" s="82">
        <f t="shared" si="590"/>
        <v>5</v>
      </c>
      <c r="BT996" s="82">
        <f t="shared" si="591"/>
        <v>6.125</v>
      </c>
      <c r="BU996" s="82">
        <f t="shared" si="592"/>
        <v>6.125</v>
      </c>
      <c r="BW996" s="82">
        <f>IFERROR(INDEX('Infos Clientes'!$T:$T,MATCH('Detalhe Por UC'!$C996,'Infos Clientes'!B:B,0)),"")</f>
        <v>153.91666666666666</v>
      </c>
      <c r="BX996" s="83">
        <f t="shared" si="593"/>
        <v>0</v>
      </c>
      <c r="BY996" s="84">
        <f t="shared" si="594"/>
        <v>0.28000000000000003</v>
      </c>
      <c r="BZ996" s="85">
        <f>IF(_xlfn.MINIFS('Detalhe Por UC'!R:R,'Detalhe Por UC'!C:C,C996,'Detalhe Por UC'!AD:AD,"&gt;"&amp;0)=0,"",_xlfn.MINIFS('Detalhe Por UC'!R:R,'Detalhe Por UC'!C:C,C996,'Detalhe Por UC'!AD:AD,"&gt;"&amp;0))</f>
        <v>45627</v>
      </c>
      <c r="CA996" s="114">
        <f ca="1">IF(OR(S996&gt;0,AD996&gt;0),IFERROR(
SUMIFS(INDIRECT("'Infos Clientes'!$W"&amp;INDEX('Infos Clientes'!$C:$C,MATCH(C996,'Infos Clientes'!$H:$H,0))&amp;":$CZ"&amp;INDEX('Infos Clientes'!$C:$C,MATCH(C996,'Infos Clientes'!$H:$H,0))),'Infos Clientes'!$W$2:$CZ$2,"&gt;"&amp;$R996-365,'Infos Clientes'!$W$2:$CZ$2,"&lt;="&amp;$R996)/
COUNTIFS(INDIRECT("'Infos Clientes'!$W"&amp;INDEX('Infos Clientes'!$C:$C,MATCH(C996,'Infos Clientes'!$H:$H,0))&amp;":$CZ"&amp;INDEX('Infos Clientes'!$C:$C,MATCH(C996,'Infos Clientes'!$H:$H,0))),"&gt;="&amp;0,'Infos Clientes'!$W$2:$CZ$2,"&gt;"&amp;$R996-365,'Infos Clientes'!$W$2:$CZ$2,"&lt;="&amp;$R996),""),"")</f>
        <v>163.91666666666666</v>
      </c>
      <c r="CB996" s="87">
        <f>VLOOKUP(C996,'Infos Clientes'!B:L,11,0)</f>
        <v>0</v>
      </c>
      <c r="CC996" s="88" t="str">
        <f t="shared" si="595"/>
        <v>A Unidade Consumidora 10/257864-9 economizou R$1,71 na fatura referente à out/2025  consumindo 5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6" s="115">
        <f t="shared" si="596"/>
        <v>-74</v>
      </c>
    </row>
    <row r="997" spans="1:84" ht="16.2" hidden="1" customHeight="1" x14ac:dyDescent="0.3">
      <c r="A997" s="105" t="str">
        <f>INDEX('Infos Clientes'!$D:$D,MATCH('Detalhe Por UC'!C997,'Infos Clientes'!B:B,0))</f>
        <v>IGREJA DO EVANGELHO QUADRANGULAR</v>
      </c>
      <c r="B997" s="106" t="str">
        <f>INDEX('Infos Clientes'!$F:$F,MATCH('Detalhe Por UC'!C997,'Infos Clientes'!B:B,0))</f>
        <v>62.955.505/2730-58</v>
      </c>
      <c r="C997" s="31" t="s">
        <v>108</v>
      </c>
      <c r="D997" s="31" t="s">
        <v>351</v>
      </c>
      <c r="E997" s="31" t="s">
        <v>352</v>
      </c>
      <c r="F997" s="56" t="str">
        <f>INDEX('Infos Clientes'!$I:$I,MATCH('Detalhe Por UC'!C997,'Infos Clientes'!B:B,0))</f>
        <v>BT</v>
      </c>
      <c r="G997" s="56" t="str">
        <f>INDEX('Infos Clientes'!$J:$J,MATCH('Detalhe Por UC'!C997,'Infos Clientes'!B:B,0))</f>
        <v>trifasico</v>
      </c>
      <c r="H997" s="156" t="s">
        <v>24</v>
      </c>
      <c r="I997" s="58">
        <f>IFERROR(VLOOKUP(C997,'Infos Clientes'!B:E,4,),"")</f>
        <v>306</v>
      </c>
      <c r="J997" s="152">
        <v>0.2796792317717392</v>
      </c>
      <c r="K997" s="79">
        <f>INDEX('Resumo Operacional'!$A$1:$P$151,MATCH("Desconto percentual Ucs",'Resumo Operacional'!$B$1:$B$151,0),MATCH('Detalhe Por UC'!$R997,'Resumo Operacional'!$A$1:$P$1,0))</f>
        <v>0.26414553913427991</v>
      </c>
      <c r="M997" s="56"/>
      <c r="N997" s="56"/>
      <c r="O997" s="56"/>
      <c r="P997" s="56"/>
      <c r="Q997" s="61"/>
      <c r="R997" s="111">
        <v>45931</v>
      </c>
      <c r="S997" s="152">
        <v>6.7999999999999996E-3</v>
      </c>
      <c r="T997" s="113">
        <f>IF($H997="GIROSSOL II",AP997/INDEX('Resumo Operacional'!$A$1:$P$1103,17,MATCH('Detalhe Por UC'!$R997,'Resumo Operacional'!$A$1:$P$1,0)),
IF($H997="GIROSSOL II e III",AP997/INDEX('Resumo Operacional'!$A$1:$P$1103,17,MATCH('Detalhe Por UC'!$R997,'Resumo Operacional'!$A$1:$P$1,0)),
""))</f>
        <v>6.2584828834263305E-3</v>
      </c>
      <c r="U997" s="113" t="str">
        <f>IF($H997="GIROSSOL III",AP997/INDEX('Resumo Operacional'!$A$1:$P$1103,53,MATCH('Detalhe Por UC'!$R997,'Resumo Operacional'!$A$1:$P$1,0)),
IF($H997="GIROSSOL II e III",AP997/INDEX('Resumo Operacional'!$A$1:$P$1103,53,MATCH('Detalhe Por UC'!$R997,'Resumo Operacional'!$A$1:$P$1,0)),
""))</f>
        <v/>
      </c>
      <c r="X997">
        <v>1.2283696969696971</v>
      </c>
      <c r="Z997" s="31">
        <v>1.2097147950089129</v>
      </c>
      <c r="AB997">
        <v>150</v>
      </c>
      <c r="AD997">
        <v>51</v>
      </c>
      <c r="AF997">
        <v>230</v>
      </c>
      <c r="AG997">
        <v>0</v>
      </c>
      <c r="AH997">
        <v>2.57</v>
      </c>
      <c r="AL997" s="43"/>
      <c r="AN997" s="71">
        <f t="shared" si="563"/>
        <v>32</v>
      </c>
      <c r="AO997" s="71">
        <f t="shared" si="564"/>
        <v>0</v>
      </c>
      <c r="AP997" s="71">
        <f t="shared" si="565"/>
        <v>83</v>
      </c>
      <c r="AQ997" s="72">
        <f>IF(OR($H997="GIROSSOL II",$H997="GIROSSOL II e III"),INDEX('Resumo Operacional'!$A$1:$P$1103,MATCH("Energia Injetada prevista total Fatura da Usina (TUSD)",'Resumo Operacional'!$B$1:$B$1103,0),MATCH('Detalhe Por UC'!$R997,'Resumo Operacional'!$A$1:$P$1,0))*$S997,INDEX('Resumo Operacional'!$A$1:$P$1103,53,MATCH('Detalhe Por UC'!$R997,'Resumo Operacional'!$A$1:$P$1,0))*$S997)</f>
        <v>90.181599999999989</v>
      </c>
      <c r="AR997" s="71">
        <f t="shared" si="566"/>
        <v>-7.1815999999999889</v>
      </c>
      <c r="AS997" s="73">
        <f t="shared" si="567"/>
        <v>125.13</v>
      </c>
      <c r="AT997" s="74">
        <f t="shared" si="568"/>
        <v>125.13</v>
      </c>
      <c r="AU997" s="74">
        <f t="shared" si="569"/>
        <v>1.1910598930481286</v>
      </c>
      <c r="AV997" s="74">
        <f t="shared" si="570"/>
        <v>44.440517214373578</v>
      </c>
      <c r="AW997" s="74">
        <f t="shared" si="571"/>
        <v>0</v>
      </c>
      <c r="AX997" s="74">
        <f t="shared" si="572"/>
        <v>61.69545454545456</v>
      </c>
      <c r="AY997" s="74">
        <f t="shared" si="573"/>
        <v>44.44</v>
      </c>
      <c r="AZ997" s="129">
        <v>44.44</v>
      </c>
      <c r="BA997" s="117">
        <v>44.44</v>
      </c>
      <c r="BC997" s="73" t="str">
        <f t="shared" si="574"/>
        <v/>
      </c>
      <c r="BD997" s="73">
        <f t="shared" si="575"/>
        <v>186.82545454545456</v>
      </c>
      <c r="BE997" s="73">
        <f t="shared" si="576"/>
        <v>169.57051721437358</v>
      </c>
      <c r="BF997" s="77">
        <f t="shared" si="577"/>
        <v>17.25</v>
      </c>
      <c r="BG997" s="77">
        <f t="shared" si="578"/>
        <v>5.1749999999999998</v>
      </c>
      <c r="BH997" s="77">
        <f t="shared" si="579"/>
        <v>61.69545454545456</v>
      </c>
      <c r="BI997" s="78">
        <f t="shared" si="580"/>
        <v>0.28000000000000003</v>
      </c>
      <c r="BJ997" s="79">
        <f t="shared" si="581"/>
        <v>9.2332171983572409E-2</v>
      </c>
      <c r="BK997" s="80">
        <f t="shared" si="582"/>
        <v>169.57</v>
      </c>
      <c r="BL997" s="80">
        <f t="shared" si="583"/>
        <v>17.255454545454569</v>
      </c>
      <c r="BM997" s="79">
        <f t="shared" si="584"/>
        <v>9.236136792728275E-2</v>
      </c>
      <c r="BN997" s="81">
        <f t="shared" si="585"/>
        <v>0.87137254901960781</v>
      </c>
      <c r="BO997" s="82">
        <f t="shared" si="586"/>
        <v>44.44</v>
      </c>
      <c r="BP997" s="81">
        <f t="shared" si="587"/>
        <v>0.87137254901960781</v>
      </c>
      <c r="BQ997" s="81">
        <f t="shared" si="588"/>
        <v>0.89002745098039204</v>
      </c>
      <c r="BR997" s="81">
        <f t="shared" si="589"/>
        <v>1.2283696969696971</v>
      </c>
      <c r="BS997" s="82">
        <f t="shared" si="590"/>
        <v>51</v>
      </c>
      <c r="BT997" s="82">
        <f t="shared" si="591"/>
        <v>62.646854545454552</v>
      </c>
      <c r="BU997" s="82">
        <f t="shared" si="592"/>
        <v>61.69545454545456</v>
      </c>
      <c r="BW997" s="82">
        <f>IFERROR(INDEX('Infos Clientes'!$T:$T,MATCH('Detalhe Por UC'!$C997,'Infos Clientes'!B:B,0)),"")</f>
        <v>187.5</v>
      </c>
      <c r="BX997" s="83">
        <f t="shared" si="593"/>
        <v>0</v>
      </c>
      <c r="BY997" s="84">
        <f t="shared" si="594"/>
        <v>0.27544007868638565</v>
      </c>
      <c r="BZ997" s="85">
        <f>IF(_xlfn.MINIFS('Detalhe Por UC'!R:R,'Detalhe Por UC'!C:C,C997,'Detalhe Por UC'!AD:AD,"&gt;"&amp;0)=0,"",_xlfn.MINIFS('Detalhe Por UC'!R:R,'Detalhe Por UC'!C:C,C997,'Detalhe Por UC'!AD:AD,"&gt;"&amp;0))</f>
        <v>45627</v>
      </c>
      <c r="CA997" s="114">
        <f ca="1">IF(OR(S997&gt;0,AD997&gt;0),IFERROR(
SUMIFS(INDIRECT("'Infos Clientes'!$W"&amp;INDEX('Infos Clientes'!$C:$C,MATCH(C997,'Infos Clientes'!$H:$H,0))&amp;":$CZ"&amp;INDEX('Infos Clientes'!$C:$C,MATCH(C997,'Infos Clientes'!$H:$H,0))),'Infos Clientes'!$W$2:$CZ$2,"&gt;"&amp;$R997-365,'Infos Clientes'!$W$2:$CZ$2,"&lt;="&amp;$R997)/
COUNTIFS(INDIRECT("'Infos Clientes'!$W"&amp;INDEX('Infos Clientes'!$C:$C,MATCH(C997,'Infos Clientes'!$H:$H,0))&amp;":$CZ"&amp;INDEX('Infos Clientes'!$C:$C,MATCH(C997,'Infos Clientes'!$H:$H,0))),"&gt;="&amp;0,'Infos Clientes'!$W$2:$CZ$2,"&gt;"&amp;$R997-365,'Infos Clientes'!$W$2:$CZ$2,"&lt;="&amp;$R997),""),"")</f>
        <v>187.5</v>
      </c>
      <c r="CB997" s="87">
        <f>VLOOKUP(C997,'Infos Clientes'!B:L,11,0)</f>
        <v>0</v>
      </c>
      <c r="CC997" s="88" t="str">
        <f t="shared" si="595"/>
        <v>A Unidade Consumidora 10/501586-2 economizou R$17,25 na fatura referente à out/2025  consumindo 51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7" s="115">
        <f t="shared" si="596"/>
        <v>-125.13</v>
      </c>
    </row>
    <row r="998" spans="1:84" ht="16.2" hidden="1" customHeight="1" x14ac:dyDescent="0.3">
      <c r="A998" s="105" t="str">
        <f>INDEX('Infos Clientes'!$D:$D,MATCH('Detalhe Por UC'!C998,'Infos Clientes'!B:B,0))</f>
        <v>IGREJA DO EVANGELHO QUADRANGULAR</v>
      </c>
      <c r="B998" s="106" t="str">
        <f>INDEX('Infos Clientes'!$F:$F,MATCH('Detalhe Por UC'!C998,'Infos Clientes'!B:B,0))</f>
        <v>62.955.505/0172-13</v>
      </c>
      <c r="C998" s="31" t="s">
        <v>79</v>
      </c>
      <c r="D998" s="31" t="s">
        <v>351</v>
      </c>
      <c r="E998" s="31" t="s">
        <v>352</v>
      </c>
      <c r="F998" s="56" t="str">
        <f>INDEX('Infos Clientes'!$I:$I,MATCH('Detalhe Por UC'!C998,'Infos Clientes'!B:B,0))</f>
        <v>BT</v>
      </c>
      <c r="G998" s="56" t="str">
        <f>INDEX('Infos Clientes'!$J:$J,MATCH('Detalhe Por UC'!C998,'Infos Clientes'!B:B,0))</f>
        <v>trifasico</v>
      </c>
      <c r="H998" s="156" t="s">
        <v>24</v>
      </c>
      <c r="I998" s="58">
        <f>IFERROR(VLOOKUP(C998,'Infos Clientes'!B:E,4,),"")</f>
        <v>371</v>
      </c>
      <c r="J998" s="152">
        <v>0.2796792317717392</v>
      </c>
      <c r="K998" s="79">
        <f>INDEX('Resumo Operacional'!$A$1:$P$151,MATCH("Desconto percentual Ucs",'Resumo Operacional'!$B$1:$B$151,0),MATCH('Detalhe Por UC'!$R998,'Resumo Operacional'!$A$1:$P$1,0))</f>
        <v>0.26414553913427991</v>
      </c>
      <c r="M998" s="56"/>
      <c r="N998" s="56"/>
      <c r="O998" s="56"/>
      <c r="P998" s="56"/>
      <c r="Q998" s="61"/>
      <c r="R998" s="111">
        <v>45931</v>
      </c>
      <c r="S998" s="152">
        <v>6.4999999999999997E-3</v>
      </c>
      <c r="T998" s="113">
        <f>IF($H998="GIROSSOL II",AP998/INDEX('Resumo Operacional'!$A$1:$P$1103,17,MATCH('Detalhe Por UC'!$R998,'Resumo Operacional'!$A$1:$P$1,0)),
IF($H998="GIROSSOL II e III",AP998/INDEX('Resumo Operacional'!$A$1:$P$1103,17,MATCH('Detalhe Por UC'!$R998,'Resumo Operacional'!$A$1:$P$1,0)),
""))</f>
        <v>9.8778464786608358E-3</v>
      </c>
      <c r="U998" s="113" t="str">
        <f>IF($H998="GIROSSOL III",AP998/INDEX('Resumo Operacional'!$A$1:$P$1103,53,MATCH('Detalhe Por UC'!$R998,'Resumo Operacional'!$A$1:$P$1,0)),
IF($H998="GIROSSOL II e III",AP998/INDEX('Resumo Operacional'!$A$1:$P$1103,53,MATCH('Detalhe Por UC'!$R998,'Resumo Operacional'!$A$1:$P$1,0)),
""))</f>
        <v/>
      </c>
      <c r="X998">
        <v>1.2145294964028777</v>
      </c>
      <c r="Z998" s="18">
        <v>1.214348717948718</v>
      </c>
      <c r="AB998" s="18">
        <v>139</v>
      </c>
      <c r="AD998" s="143">
        <v>39</v>
      </c>
      <c r="AF998" s="18">
        <v>668</v>
      </c>
      <c r="AH998">
        <v>9.25</v>
      </c>
      <c r="AL998" s="43"/>
      <c r="AN998" s="71">
        <f t="shared" si="563"/>
        <v>92</v>
      </c>
      <c r="AO998" s="71">
        <f t="shared" si="564"/>
        <v>0</v>
      </c>
      <c r="AP998" s="71">
        <f t="shared" si="565"/>
        <v>131</v>
      </c>
      <c r="AQ998" s="72">
        <f>IF(OR($H998="GIROSSOL II",$H998="GIROSSOL II e III"),INDEX('Resumo Operacional'!$A$1:$P$1103,MATCH("Energia Injetada prevista total Fatura da Usina (TUSD)",'Resumo Operacional'!$B$1:$B$1103,0),MATCH('Detalhe Por UC'!$R998,'Resumo Operacional'!$A$1:$P$1,0))*$S998,INDEX('Resumo Operacional'!$A$1:$P$1103,53,MATCH('Detalhe Por UC'!$R998,'Resumo Operacional'!$A$1:$P$1,0))*$S998)</f>
        <v>86.203000000000003</v>
      </c>
      <c r="AR998" s="71">
        <f t="shared" si="566"/>
        <v>44.796999999999997</v>
      </c>
      <c r="AS998" s="73">
        <f t="shared" si="567"/>
        <v>130.71</v>
      </c>
      <c r="AT998" s="74">
        <f t="shared" si="568"/>
        <v>130.71</v>
      </c>
      <c r="AU998" s="74">
        <f t="shared" si="569"/>
        <v>1.2141679394945584</v>
      </c>
      <c r="AV998" s="74">
        <f t="shared" si="570"/>
        <v>34.114103454983145</v>
      </c>
      <c r="AW998" s="74">
        <f t="shared" si="571"/>
        <v>-1E-10</v>
      </c>
      <c r="AX998" s="74">
        <f t="shared" si="572"/>
        <v>47.359599999899999</v>
      </c>
      <c r="AY998" s="74">
        <f t="shared" si="573"/>
        <v>34.11</v>
      </c>
      <c r="AZ998" s="129">
        <v>34.11</v>
      </c>
      <c r="BA998" s="117">
        <v>34.11</v>
      </c>
      <c r="BB998" s="49">
        <v>34.11</v>
      </c>
      <c r="BC998" s="73" t="str">
        <f t="shared" si="574"/>
        <v/>
      </c>
      <c r="BD998" s="73">
        <f t="shared" si="575"/>
        <v>178.06960000000001</v>
      </c>
      <c r="BE998" s="73">
        <f t="shared" si="576"/>
        <v>164.82410345498315</v>
      </c>
      <c r="BF998" s="77">
        <f t="shared" si="577"/>
        <v>13.25</v>
      </c>
      <c r="BG998" s="77">
        <f t="shared" si="578"/>
        <v>3.9749999999999996</v>
      </c>
      <c r="BH998" s="77">
        <f t="shared" si="579"/>
        <v>47.359600000000007</v>
      </c>
      <c r="BI998" s="78">
        <f t="shared" si="580"/>
        <v>0.28000000000000003</v>
      </c>
      <c r="BJ998" s="79">
        <f t="shared" si="581"/>
        <v>7.4409107450120623E-2</v>
      </c>
      <c r="BK998" s="80">
        <f t="shared" si="582"/>
        <v>164.82</v>
      </c>
      <c r="BL998" s="80">
        <f t="shared" si="583"/>
        <v>13.249600000000015</v>
      </c>
      <c r="BM998" s="79">
        <f t="shared" si="584"/>
        <v>7.4406861137442964E-2</v>
      </c>
      <c r="BN998" s="81">
        <f t="shared" si="585"/>
        <v>0.87461538461538457</v>
      </c>
      <c r="BO998" s="82">
        <f t="shared" si="586"/>
        <v>34.11</v>
      </c>
      <c r="BP998" s="81">
        <f t="shared" si="587"/>
        <v>0.87461538461538457</v>
      </c>
      <c r="BQ998" s="81">
        <f t="shared" si="588"/>
        <v>0.87479616306954422</v>
      </c>
      <c r="BR998" s="81">
        <f t="shared" si="589"/>
        <v>1.2145294964028777</v>
      </c>
      <c r="BS998" s="82">
        <f t="shared" si="590"/>
        <v>39</v>
      </c>
      <c r="BT998" s="82">
        <f t="shared" si="591"/>
        <v>47.366650359712231</v>
      </c>
      <c r="BU998" s="82">
        <f t="shared" si="592"/>
        <v>47.3596</v>
      </c>
      <c r="BW998" s="82">
        <f>IFERROR(INDEX('Infos Clientes'!$T:$T,MATCH('Detalhe Por UC'!$C998,'Infos Clientes'!B:B,0)),"")</f>
        <v>166.66666666666666</v>
      </c>
      <c r="BX998" s="83">
        <f t="shared" si="593"/>
        <v>0</v>
      </c>
      <c r="BY998" s="84">
        <f t="shared" si="594"/>
        <v>0.2797242342318863</v>
      </c>
      <c r="BZ998" s="85">
        <f>IF(_xlfn.MINIFS('Detalhe Por UC'!R:R,'Detalhe Por UC'!C:C,C998,'Detalhe Por UC'!AD:AD,"&gt;"&amp;0)=0,"",_xlfn.MINIFS('Detalhe Por UC'!R:R,'Detalhe Por UC'!C:C,C998,'Detalhe Por UC'!AD:AD,"&gt;"&amp;0))</f>
        <v>45627</v>
      </c>
      <c r="CA998" s="114">
        <f ca="1">IF(OR(S998&gt;0,AD998&gt;0),IFERROR(
SUMIFS(INDIRECT("'Infos Clientes'!$W"&amp;INDEX('Infos Clientes'!$C:$C,MATCH(C998,'Infos Clientes'!$H:$H,0))&amp;":$CZ"&amp;INDEX('Infos Clientes'!$C:$C,MATCH(C998,'Infos Clientes'!$H:$H,0))),'Infos Clientes'!$W$2:$CZ$2,"&gt;"&amp;$R998-365,'Infos Clientes'!$W$2:$CZ$2,"&lt;="&amp;$R998)/
COUNTIFS(INDIRECT("'Infos Clientes'!$W"&amp;INDEX('Infos Clientes'!$C:$C,MATCH(C998,'Infos Clientes'!$H:$H,0))&amp;":$CZ"&amp;INDEX('Infos Clientes'!$C:$C,MATCH(C998,'Infos Clientes'!$H:$H,0))),"&gt;="&amp;0,'Infos Clientes'!$W$2:$CZ$2,"&gt;"&amp;$R998-365,'Infos Clientes'!$W$2:$CZ$2,"&lt;="&amp;$R998),""),"")</f>
        <v>203.44444444444446</v>
      </c>
      <c r="CB998" s="87">
        <f>VLOOKUP(C998,'Infos Clientes'!B:L,11,0)</f>
        <v>0</v>
      </c>
      <c r="CC998" s="88" t="str">
        <f t="shared" si="595"/>
        <v>A Unidade Consumidora 10/237441-1 economizou R$13,25 na fatura referente à out/2025  consumindo 39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8" s="115">
        <f t="shared" si="596"/>
        <v>-130.71</v>
      </c>
    </row>
    <row r="999" spans="1:84" ht="16.2" hidden="1" customHeight="1" x14ac:dyDescent="0.3">
      <c r="A999" s="105" t="str">
        <f>INDEX('Infos Clientes'!$D:$D,MATCH('Detalhe Por UC'!C999,'Infos Clientes'!B:B,0))</f>
        <v>IGREJA DO EVANGELHO QUADRANGULAR</v>
      </c>
      <c r="B999" s="106" t="str">
        <f>INDEX('Infos Clientes'!$F:$F,MATCH('Detalhe Por UC'!C999,'Infos Clientes'!B:B,0))</f>
        <v>62.955.505/0408-94</v>
      </c>
      <c r="C999" s="31" t="s">
        <v>76</v>
      </c>
      <c r="D999" s="31" t="s">
        <v>351</v>
      </c>
      <c r="E999" s="31" t="s">
        <v>352</v>
      </c>
      <c r="F999" s="56" t="str">
        <f>INDEX('Infos Clientes'!$I:$I,MATCH('Detalhe Por UC'!C999,'Infos Clientes'!B:B,0))</f>
        <v>BT</v>
      </c>
      <c r="G999" s="56" t="str">
        <f>INDEX('Infos Clientes'!$J:$J,MATCH('Detalhe Por UC'!C999,'Infos Clientes'!B:B,0))</f>
        <v>bifasico</v>
      </c>
      <c r="H999" s="156" t="s">
        <v>24</v>
      </c>
      <c r="I999" s="58">
        <f>IFERROR(VLOOKUP(C999,'Infos Clientes'!B:E,4,),"")</f>
        <v>371</v>
      </c>
      <c r="J999" s="152">
        <v>0.2796792317717392</v>
      </c>
      <c r="K999" s="79">
        <f>INDEX('Resumo Operacional'!$A$1:$P$151,MATCH("Desconto percentual Ucs",'Resumo Operacional'!$B$1:$B$151,0),MATCH('Detalhe Por UC'!$R999,'Resumo Operacional'!$A$1:$P$1,0))</f>
        <v>0.26414553913427991</v>
      </c>
      <c r="M999" s="56"/>
      <c r="N999" s="56"/>
      <c r="O999" s="56"/>
      <c r="P999" s="56"/>
      <c r="Q999" s="61"/>
      <c r="R999" s="111">
        <v>45931</v>
      </c>
      <c r="S999" s="152">
        <v>6.1999999999999998E-3</v>
      </c>
      <c r="T999" s="113">
        <f>IF($H999="GIROSSOL II",AP999/INDEX('Resumo Operacional'!$A$1:$P$1103,17,MATCH('Detalhe Por UC'!$R999,'Resumo Operacional'!$A$1:$P$1,0)),
IF($H999="GIROSSOL II e III",AP999/INDEX('Resumo Operacional'!$A$1:$P$1103,17,MATCH('Detalhe Por UC'!$R999,'Resumo Operacional'!$A$1:$P$1,0)),
""))</f>
        <v>7.7665510481073749E-3</v>
      </c>
      <c r="U999" s="113" t="str">
        <f>IF($H999="GIROSSOL III",AP999/INDEX('Resumo Operacional'!$A$1:$P$1103,53,MATCH('Detalhe Por UC'!$R999,'Resumo Operacional'!$A$1:$P$1,0)),
IF($H999="GIROSSOL II e III",AP999/INDEX('Resumo Operacional'!$A$1:$P$1103,53,MATCH('Detalhe Por UC'!$R999,'Resumo Operacional'!$A$1:$P$1,0)),
""))</f>
        <v/>
      </c>
      <c r="X999">
        <v>1.2155060606060604</v>
      </c>
      <c r="Z999" s="18">
        <v>1.2154487804878047</v>
      </c>
      <c r="AB999" s="18">
        <v>132</v>
      </c>
      <c r="AD999" s="143">
        <v>82</v>
      </c>
      <c r="AF999" s="18">
        <v>715</v>
      </c>
      <c r="AH999">
        <v>30.83</v>
      </c>
      <c r="AL999" s="43"/>
      <c r="AN999" s="71">
        <f t="shared" si="563"/>
        <v>21</v>
      </c>
      <c r="AO999" s="71">
        <f t="shared" si="564"/>
        <v>0</v>
      </c>
      <c r="AP999" s="71">
        <f t="shared" si="565"/>
        <v>103</v>
      </c>
      <c r="AQ999" s="72">
        <f>IF(OR($H999="GIROSSOL II",$H999="GIROSSOL II e III"),INDEX('Resumo Operacional'!$A$1:$P$1103,MATCH("Energia Injetada prevista total Fatura da Usina (TUSD)",'Resumo Operacional'!$B$1:$B$1103,0),MATCH('Detalhe Por UC'!$R999,'Resumo Operacional'!$A$1:$P$1,0))*$S999,INDEX('Resumo Operacional'!$A$1:$P$1103,53,MATCH('Detalhe Por UC'!$R999,'Resumo Operacional'!$A$1:$P$1,0))*$S999)</f>
        <v>82.224400000000003</v>
      </c>
      <c r="AR999" s="71">
        <f t="shared" si="566"/>
        <v>20.775599999999997</v>
      </c>
      <c r="AS999" s="73">
        <f t="shared" si="567"/>
        <v>91.609999999999985</v>
      </c>
      <c r="AT999" s="74">
        <f t="shared" si="568"/>
        <v>91.609999999999985</v>
      </c>
      <c r="AU999" s="74">
        <f t="shared" si="569"/>
        <v>1.215391500369549</v>
      </c>
      <c r="AV999" s="74">
        <f t="shared" si="570"/>
        <v>71.792065942852417</v>
      </c>
      <c r="AW999" s="74">
        <f t="shared" si="571"/>
        <v>0</v>
      </c>
      <c r="AX999" s="74">
        <f t="shared" si="572"/>
        <v>99.666799999999981</v>
      </c>
      <c r="AY999" s="74">
        <f t="shared" si="573"/>
        <v>71.790000000000006</v>
      </c>
      <c r="AZ999" s="129">
        <v>71.790000000000006</v>
      </c>
      <c r="BA999" s="117">
        <v>71.790000000000006</v>
      </c>
      <c r="BB999" s="49">
        <v>71.790000000000006</v>
      </c>
      <c r="BC999" s="73" t="str">
        <f t="shared" si="574"/>
        <v/>
      </c>
      <c r="BD999" s="73">
        <f t="shared" si="575"/>
        <v>191.27679999999998</v>
      </c>
      <c r="BE999" s="73">
        <f t="shared" si="576"/>
        <v>163.4020659428524</v>
      </c>
      <c r="BF999" s="77">
        <f t="shared" si="577"/>
        <v>27.87</v>
      </c>
      <c r="BG999" s="77">
        <f t="shared" si="578"/>
        <v>8.3610000000000007</v>
      </c>
      <c r="BH999" s="77">
        <f t="shared" si="579"/>
        <v>99.666799999999981</v>
      </c>
      <c r="BI999" s="78">
        <f t="shared" si="580"/>
        <v>0.28000000000000003</v>
      </c>
      <c r="BJ999" s="79">
        <f t="shared" si="581"/>
        <v>0.14570507243952222</v>
      </c>
      <c r="BK999" s="80">
        <f t="shared" si="582"/>
        <v>163.39999999999998</v>
      </c>
      <c r="BL999" s="80">
        <f t="shared" si="583"/>
        <v>27.876800000000003</v>
      </c>
      <c r="BM999" s="79">
        <f t="shared" si="584"/>
        <v>0.14574062301335031</v>
      </c>
      <c r="BN999" s="81">
        <f t="shared" si="585"/>
        <v>0.87548780487804889</v>
      </c>
      <c r="BO999" s="82">
        <f t="shared" si="586"/>
        <v>71.790000000000006</v>
      </c>
      <c r="BP999" s="81">
        <f t="shared" si="587"/>
        <v>0.87548780487804889</v>
      </c>
      <c r="BQ999" s="81">
        <f t="shared" si="588"/>
        <v>0.87554508499630457</v>
      </c>
      <c r="BR999" s="81">
        <f t="shared" si="589"/>
        <v>1.2155060606060604</v>
      </c>
      <c r="BS999" s="82">
        <f t="shared" si="590"/>
        <v>82</v>
      </c>
      <c r="BT999" s="82">
        <f t="shared" si="591"/>
        <v>99.671496969696946</v>
      </c>
      <c r="BU999" s="82">
        <f t="shared" si="592"/>
        <v>99.666799999999981</v>
      </c>
      <c r="BW999" s="82">
        <f>IFERROR(INDEX('Infos Clientes'!$T:$T,MATCH('Detalhe Por UC'!$C999,'Infos Clientes'!B:B,0)),"")</f>
        <v>157.66666666666666</v>
      </c>
      <c r="BX999" s="83">
        <f t="shared" si="593"/>
        <v>0</v>
      </c>
      <c r="BY999" s="84">
        <f t="shared" si="594"/>
        <v>0.27968677954616594</v>
      </c>
      <c r="BZ999" s="85">
        <f>IF(_xlfn.MINIFS('Detalhe Por UC'!R:R,'Detalhe Por UC'!C:C,C999,'Detalhe Por UC'!AD:AD,"&gt;"&amp;0)=0,"",_xlfn.MINIFS('Detalhe Por UC'!R:R,'Detalhe Por UC'!C:C,C999,'Detalhe Por UC'!AD:AD,"&gt;"&amp;0))</f>
        <v>45627</v>
      </c>
      <c r="CA999" s="114">
        <f ca="1">IF(OR(S999&gt;0,AD999&gt;0),IFERROR(
SUMIFS(INDIRECT("'Infos Clientes'!$W"&amp;INDEX('Infos Clientes'!$C:$C,MATCH(C999,'Infos Clientes'!$H:$H,0))&amp;":$CZ"&amp;INDEX('Infos Clientes'!$C:$C,MATCH(C999,'Infos Clientes'!$H:$H,0))),'Infos Clientes'!$W$2:$CZ$2,"&gt;"&amp;$R999-365,'Infos Clientes'!$W$2:$CZ$2,"&lt;="&amp;$R999)/
COUNTIFS(INDIRECT("'Infos Clientes'!$W"&amp;INDEX('Infos Clientes'!$C:$C,MATCH(C999,'Infos Clientes'!$H:$H,0))&amp;":$CZ"&amp;INDEX('Infos Clientes'!$C:$C,MATCH(C999,'Infos Clientes'!$H:$H,0))),"&gt;="&amp;0,'Infos Clientes'!$W$2:$CZ$2,"&gt;"&amp;$R999-365,'Infos Clientes'!$W$2:$CZ$2,"&lt;="&amp;$R999),""),"")</f>
        <v>121.63636363636364</v>
      </c>
      <c r="CB999" s="87">
        <f>VLOOKUP(C999,'Infos Clientes'!B:L,11,0)</f>
        <v>0</v>
      </c>
      <c r="CC999" s="88" t="str">
        <f t="shared" si="595"/>
        <v>A Unidade Consumidora 10/226667-4 economizou R$27,87 na fatura referente à out/2025  consumindo 82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999" s="115">
        <f t="shared" si="596"/>
        <v>-91.609999999999985</v>
      </c>
    </row>
    <row r="1000" spans="1:84" ht="16.2" hidden="1" customHeight="1" x14ac:dyDescent="0.3">
      <c r="A1000" s="105" t="str">
        <f>INDEX('Infos Clientes'!$D:$D,MATCH('Detalhe Por UC'!C1000,'Infos Clientes'!B:B,0))</f>
        <v>IGREJA DO EVANGELHO QUADRANGULAR</v>
      </c>
      <c r="B1000" s="106" t="str">
        <f>INDEX('Infos Clientes'!$F:$F,MATCH('Detalhe Por UC'!C1000,'Infos Clientes'!B:B,0))</f>
        <v>62.955.505/3932-07</v>
      </c>
      <c r="C1000" s="31" t="s">
        <v>18</v>
      </c>
      <c r="D1000" s="31" t="s">
        <v>351</v>
      </c>
      <c r="E1000" s="31" t="s">
        <v>352</v>
      </c>
      <c r="F1000" s="56" t="str">
        <f>INDEX('Infos Clientes'!$I:$I,MATCH('Detalhe Por UC'!C1000,'Infos Clientes'!B:B,0))</f>
        <v>BT</v>
      </c>
      <c r="G1000" s="56" t="str">
        <f>INDEX('Infos Clientes'!$J:$J,MATCH('Detalhe Por UC'!C1000,'Infos Clientes'!B:B,0))</f>
        <v>bifasico</v>
      </c>
      <c r="H1000" s="156" t="s">
        <v>24</v>
      </c>
      <c r="I1000" s="58">
        <f>IFERROR(VLOOKUP(C1000,'Infos Clientes'!B:E,4,),"")</f>
        <v>302</v>
      </c>
      <c r="J1000" s="152">
        <v>0.2796792317717392</v>
      </c>
      <c r="K1000" s="79">
        <f>INDEX('Resumo Operacional'!$A$1:$P$151,MATCH("Desconto percentual Ucs",'Resumo Operacional'!$B$1:$B$151,0),MATCH('Detalhe Por UC'!$R1000,'Resumo Operacional'!$A$1:$P$1,0))</f>
        <v>0.26414553913427991</v>
      </c>
      <c r="M1000" s="56"/>
      <c r="N1000" s="56"/>
      <c r="O1000" s="56"/>
      <c r="P1000" s="56"/>
      <c r="Q1000" s="61"/>
      <c r="R1000" s="111">
        <v>45931</v>
      </c>
      <c r="S1000" s="152">
        <v>5.7999999999999996E-3</v>
      </c>
      <c r="T1000" s="113">
        <f>IF($H1000="GIROSSOL II",AP1000/INDEX('Resumo Operacional'!$A$1:$P$1103,17,MATCH('Detalhe Por UC'!$R1000,'Resumo Operacional'!$A$1:$P$1,0)),
IF($H1000="GIROSSOL II e III",AP1000/INDEX('Resumo Operacional'!$A$1:$P$1103,17,MATCH('Detalhe Por UC'!$R1000,'Resumo Operacional'!$A$1:$P$1,0)),
""))</f>
        <v>7.5403408234052177E-5</v>
      </c>
      <c r="U1000" s="113" t="str">
        <f>IF($H1000="GIROSSOL III",AP1000/INDEX('Resumo Operacional'!$A$1:$P$1103,53,MATCH('Detalhe Por UC'!$R1000,'Resumo Operacional'!$A$1:$P$1,0)),
IF($H1000="GIROSSOL II e III",AP1000/INDEX('Resumo Operacional'!$A$1:$P$1103,53,MATCH('Detalhe Por UC'!$R1000,'Resumo Operacional'!$A$1:$P$1,0)),
""))</f>
        <v/>
      </c>
      <c r="X1000">
        <v>1.2066623376623375</v>
      </c>
      <c r="Z1000" s="54">
        <v>1.2010275689223056</v>
      </c>
      <c r="AB1000" s="18">
        <v>220</v>
      </c>
      <c r="AD1000" s="143">
        <v>171</v>
      </c>
      <c r="AF1000" s="18">
        <v>196</v>
      </c>
      <c r="AH1000">
        <v>43.17</v>
      </c>
      <c r="AL1000" s="43"/>
      <c r="AN1000" s="71">
        <f t="shared" si="563"/>
        <v>-170</v>
      </c>
      <c r="AO1000" s="71">
        <f t="shared" si="564"/>
        <v>0</v>
      </c>
      <c r="AP1000" s="71">
        <f t="shared" si="565"/>
        <v>1</v>
      </c>
      <c r="AQ1000" s="72">
        <f>IF(OR($H1000="GIROSSOL II",$H1000="GIROSSOL II e III"),INDEX('Resumo Operacional'!$A$1:$P$1103,MATCH("Energia Injetada prevista total Fatura da Usina (TUSD)",'Resumo Operacional'!$B$1:$B$1103,0),MATCH('Detalhe Por UC'!$R1000,'Resumo Operacional'!$A$1:$P$1,0))*$S1000,INDEX('Resumo Operacional'!$A$1:$P$1103,53,MATCH('Detalhe Por UC'!$R1000,'Resumo Operacional'!$A$1:$P$1,0))*$S1000)</f>
        <v>76.919599999999988</v>
      </c>
      <c r="AR1000" s="71">
        <f t="shared" si="566"/>
        <v>-75.919599999999988</v>
      </c>
      <c r="AS1000" s="73">
        <f t="shared" si="567"/>
        <v>103.26000000000003</v>
      </c>
      <c r="AT1000" s="74">
        <f t="shared" si="568"/>
        <v>103.26000000000003</v>
      </c>
      <c r="AU1000" s="74">
        <f t="shared" si="569"/>
        <v>1.1953928001822736</v>
      </c>
      <c r="AV1000" s="74">
        <f t="shared" si="570"/>
        <v>147.9363922897135</v>
      </c>
      <c r="AW1000" s="74">
        <f t="shared" si="571"/>
        <v>0</v>
      </c>
      <c r="AX1000" s="74">
        <f t="shared" si="572"/>
        <v>205.37571428571425</v>
      </c>
      <c r="AY1000" s="74">
        <f t="shared" si="573"/>
        <v>147.94</v>
      </c>
      <c r="AZ1000" s="129">
        <v>147.94</v>
      </c>
      <c r="BA1000" s="117">
        <v>147.94</v>
      </c>
      <c r="BB1000" s="49">
        <v>147.94</v>
      </c>
      <c r="BC1000" s="73" t="str">
        <f t="shared" si="574"/>
        <v/>
      </c>
      <c r="BD1000" s="73">
        <f t="shared" si="575"/>
        <v>308.6357142857143</v>
      </c>
      <c r="BE1000" s="73">
        <f t="shared" si="576"/>
        <v>251.19639228971351</v>
      </c>
      <c r="BF1000" s="77">
        <f t="shared" si="577"/>
        <v>57.44</v>
      </c>
      <c r="BG1000" s="77">
        <f t="shared" si="578"/>
        <v>17.231999999999999</v>
      </c>
      <c r="BH1000" s="77">
        <f t="shared" si="579"/>
        <v>205.37571428571425</v>
      </c>
      <c r="BI1000" s="78">
        <f t="shared" si="580"/>
        <v>0.28000000000000003</v>
      </c>
      <c r="BJ1000" s="79">
        <f t="shared" si="581"/>
        <v>0.18610937536161445</v>
      </c>
      <c r="BK1000" s="80">
        <f t="shared" si="582"/>
        <v>251.20000000000005</v>
      </c>
      <c r="BL1000" s="80">
        <f t="shared" si="583"/>
        <v>57.435714285714255</v>
      </c>
      <c r="BM1000" s="79">
        <f t="shared" si="584"/>
        <v>0.1860954893656413</v>
      </c>
      <c r="BN1000" s="81">
        <f t="shared" si="585"/>
        <v>0.86514619883040933</v>
      </c>
      <c r="BO1000" s="82">
        <f t="shared" si="586"/>
        <v>147.94</v>
      </c>
      <c r="BP1000" s="81">
        <f t="shared" si="587"/>
        <v>0.86514619883040933</v>
      </c>
      <c r="BQ1000" s="81">
        <f t="shared" si="588"/>
        <v>0.87078096757044132</v>
      </c>
      <c r="BR1000" s="81">
        <f t="shared" si="589"/>
        <v>1.2066623376623375</v>
      </c>
      <c r="BS1000" s="82">
        <f t="shared" si="590"/>
        <v>171</v>
      </c>
      <c r="BT1000" s="82">
        <f t="shared" si="591"/>
        <v>206.33925974025973</v>
      </c>
      <c r="BU1000" s="82">
        <f t="shared" si="592"/>
        <v>205.37571428571425</v>
      </c>
      <c r="BW1000" s="82">
        <f>IFERROR(INDEX('Infos Clientes'!$T:$T,MATCH('Detalhe Por UC'!$C1000,'Infos Clientes'!B:B,0)),"")</f>
        <v>99.833333333333329</v>
      </c>
      <c r="BX1000" s="83">
        <f t="shared" si="593"/>
        <v>0</v>
      </c>
      <c r="BY1000" s="84">
        <f t="shared" si="594"/>
        <v>0.27835572521688046</v>
      </c>
      <c r="BZ1000" s="85">
        <f>IF(_xlfn.MINIFS('Detalhe Por UC'!R:R,'Detalhe Por UC'!C:C,C1000,'Detalhe Por UC'!AD:AD,"&gt;"&amp;0)=0,"",_xlfn.MINIFS('Detalhe Por UC'!R:R,'Detalhe Por UC'!C:C,C1000,'Detalhe Por UC'!AD:AD,"&gt;"&amp;0))</f>
        <v>45627</v>
      </c>
      <c r="CA1000" s="114">
        <f ca="1">IF(OR(S1000&gt;0,AD1000&gt;0),IFERROR(
SUMIFS(INDIRECT("'Infos Clientes'!$W"&amp;INDEX('Infos Clientes'!$C:$C,MATCH(C1000,'Infos Clientes'!$H:$H,0))&amp;":$CZ"&amp;INDEX('Infos Clientes'!$C:$C,MATCH(C1000,'Infos Clientes'!$H:$H,0))),'Infos Clientes'!$W$2:$CZ$2,"&gt;"&amp;$R1000-365,'Infos Clientes'!$W$2:$CZ$2,"&lt;="&amp;$R1000)/
COUNTIFS(INDIRECT("'Infos Clientes'!$W"&amp;INDEX('Infos Clientes'!$C:$C,MATCH(C1000,'Infos Clientes'!$H:$H,0))&amp;":$CZ"&amp;INDEX('Infos Clientes'!$C:$C,MATCH(C1000,'Infos Clientes'!$H:$H,0))),"&gt;="&amp;0,'Infos Clientes'!$W$2:$CZ$2,"&gt;"&amp;$R1000-365,'Infos Clientes'!$W$2:$CZ$2,"&lt;="&amp;$R1000),""),"")</f>
        <v>142.5</v>
      </c>
      <c r="CB1000" s="87">
        <f>VLOOKUP(C1000,'Infos Clientes'!B:L,11,0)</f>
        <v>0</v>
      </c>
      <c r="CC1000" s="88" t="str">
        <f t="shared" si="595"/>
        <v>A Unidade Consumidora 10/10232-7 economizou R$57,44 na fatura referente à out/2025  consumindo 171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0" s="115">
        <f t="shared" si="596"/>
        <v>-103.26000000000003</v>
      </c>
    </row>
    <row r="1001" spans="1:84" ht="16.2" hidden="1" customHeight="1" x14ac:dyDescent="0.3">
      <c r="A1001" s="105" t="str">
        <f>INDEX('Infos Clientes'!$D:$D,MATCH('Detalhe Por UC'!C1001,'Infos Clientes'!B:B,0))</f>
        <v>IGREJA DO EVANGELHO QUADRANGULAR</v>
      </c>
      <c r="B1001" s="106" t="str">
        <f>INDEX('Infos Clientes'!$F:$F,MATCH('Detalhe Por UC'!C1001,'Infos Clientes'!B:B,0))</f>
        <v>62.955.505/0847-51</v>
      </c>
      <c r="C1001" s="31" t="s">
        <v>41</v>
      </c>
      <c r="D1001" s="31" t="s">
        <v>351</v>
      </c>
      <c r="E1001" s="31" t="s">
        <v>352</v>
      </c>
      <c r="F1001" s="56" t="str">
        <f>INDEX('Infos Clientes'!$I:$I,MATCH('Detalhe Por UC'!C1001,'Infos Clientes'!B:B,0))</f>
        <v>BT</v>
      </c>
      <c r="G1001" s="56" t="str">
        <f>INDEX('Infos Clientes'!$J:$J,MATCH('Detalhe Por UC'!C1001,'Infos Clientes'!B:B,0))</f>
        <v>monofasico</v>
      </c>
      <c r="H1001" s="156" t="s">
        <v>24</v>
      </c>
      <c r="I1001" s="58">
        <f>IFERROR(VLOOKUP(C1001,'Infos Clientes'!B:E,4,),"")</f>
        <v>349</v>
      </c>
      <c r="J1001" s="152">
        <v>0.2796792317717392</v>
      </c>
      <c r="K1001" s="79">
        <f>INDEX('Resumo Operacional'!$A$1:$P$151,MATCH("Desconto percentual Ucs",'Resumo Operacional'!$B$1:$B$151,0),MATCH('Detalhe Por UC'!$R1001,'Resumo Operacional'!$A$1:$P$1,0))</f>
        <v>0.26414553913427991</v>
      </c>
      <c r="M1001" s="56"/>
      <c r="N1001" s="56"/>
      <c r="O1001" s="56"/>
      <c r="P1001" s="56"/>
      <c r="Q1001" s="61"/>
      <c r="R1001" s="111">
        <v>45931</v>
      </c>
      <c r="S1001" s="152">
        <v>5.5999999999999999E-3</v>
      </c>
      <c r="T1001" s="113">
        <f>IF($H1001="GIROSSOL II",AP1001/INDEX('Resumo Operacional'!$A$1:$P$1103,17,MATCH('Detalhe Por UC'!$R1001,'Resumo Operacional'!$A$1:$P$1,0)),
IF($H1001="GIROSSOL II e III",AP1001/INDEX('Resumo Operacional'!$A$1:$P$1103,17,MATCH('Detalhe Por UC'!$R1001,'Resumo Operacional'!$A$1:$P$1,0)),
""))</f>
        <v>0</v>
      </c>
      <c r="U1001" s="113" t="str">
        <f>IF($H1001="GIROSSOL III",AP1001/INDEX('Resumo Operacional'!$A$1:$P$1103,53,MATCH('Detalhe Por UC'!$R1001,'Resumo Operacional'!$A$1:$P$1,0)),
IF($H1001="GIROSSOL II e III",AP1001/INDEX('Resumo Operacional'!$A$1:$P$1103,53,MATCH('Detalhe Por UC'!$R1001,'Resumo Operacional'!$A$1:$P$1,0)),
""))</f>
        <v/>
      </c>
      <c r="X1001">
        <v>1.2103951240016815</v>
      </c>
      <c r="Z1001" s="54">
        <v>1.1684145625367</v>
      </c>
      <c r="AB1001" s="18">
        <v>183</v>
      </c>
      <c r="AD1001" s="143">
        <v>131</v>
      </c>
      <c r="AF1001" s="18">
        <v>0</v>
      </c>
      <c r="AH1001">
        <v>61.67</v>
      </c>
      <c r="AL1001" s="43"/>
      <c r="AN1001" s="71">
        <f t="shared" si="563"/>
        <v>-131</v>
      </c>
      <c r="AO1001" s="71">
        <f t="shared" si="564"/>
        <v>0</v>
      </c>
      <c r="AP1001" s="71">
        <f t="shared" si="565"/>
        <v>0</v>
      </c>
      <c r="AQ1001" s="72">
        <f>IF(OR($H1001="GIROSSOL II",$H1001="GIROSSOL II e III"),INDEX('Resumo Operacional'!$A$1:$P$1103,MATCH("Energia Injetada prevista total Fatura da Usina (TUSD)",'Resumo Operacional'!$B$1:$B$1103,0),MATCH('Detalhe Por UC'!$R1001,'Resumo Operacional'!$A$1:$P$1,0))*$S1001,INDEX('Resumo Operacional'!$A$1:$P$1103,53,MATCH('Detalhe Por UC'!$R1001,'Resumo Operacional'!$A$1:$P$1,0))*$S1001)</f>
        <v>74.267200000000003</v>
      </c>
      <c r="AR1001" s="71">
        <f t="shared" si="566"/>
        <v>-74.267200000000003</v>
      </c>
      <c r="AS1001" s="73">
        <f t="shared" si="567"/>
        <v>130.11000000000001</v>
      </c>
      <c r="AT1001" s="74">
        <f t="shared" si="568"/>
        <v>130.11000000000001</v>
      </c>
      <c r="AU1001" s="74">
        <f t="shared" si="569"/>
        <v>1.1264340010717184</v>
      </c>
      <c r="AV1001" s="74">
        <f t="shared" si="570"/>
        <v>110.25395906371351</v>
      </c>
      <c r="AW1001" s="74">
        <f t="shared" si="571"/>
        <v>0</v>
      </c>
      <c r="AX1001" s="74">
        <f t="shared" si="572"/>
        <v>153.06230769230768</v>
      </c>
      <c r="AY1001" s="74">
        <f t="shared" si="573"/>
        <v>110.25</v>
      </c>
      <c r="AZ1001" s="129">
        <v>110.25</v>
      </c>
      <c r="BA1001" s="117">
        <v>110.25</v>
      </c>
      <c r="BC1001" s="73" t="str">
        <f t="shared" si="574"/>
        <v/>
      </c>
      <c r="BD1001" s="73">
        <f t="shared" si="575"/>
        <v>283.1723076923077</v>
      </c>
      <c r="BE1001" s="73">
        <f t="shared" si="576"/>
        <v>240.36395906371354</v>
      </c>
      <c r="BF1001" s="77">
        <f t="shared" si="577"/>
        <v>42.81</v>
      </c>
      <c r="BG1001" s="77">
        <f t="shared" si="578"/>
        <v>12.843</v>
      </c>
      <c r="BH1001" s="77">
        <f t="shared" si="579"/>
        <v>153.06230769230768</v>
      </c>
      <c r="BI1001" s="78">
        <f t="shared" si="580"/>
        <v>0.28000000000000003</v>
      </c>
      <c r="BJ1001" s="79">
        <f t="shared" si="581"/>
        <v>0.15118003716139128</v>
      </c>
      <c r="BK1001" s="80">
        <f t="shared" si="582"/>
        <v>240.36</v>
      </c>
      <c r="BL1001" s="80">
        <f t="shared" si="583"/>
        <v>42.812307692307684</v>
      </c>
      <c r="BM1001" s="79">
        <f t="shared" si="584"/>
        <v>0.15118818658930139</v>
      </c>
      <c r="BN1001" s="81">
        <f t="shared" si="585"/>
        <v>0.84160305343511455</v>
      </c>
      <c r="BO1001" s="82">
        <f t="shared" si="586"/>
        <v>110.25</v>
      </c>
      <c r="BP1001" s="81">
        <f t="shared" si="587"/>
        <v>0.84160305343511455</v>
      </c>
      <c r="BQ1001" s="81">
        <f t="shared" si="588"/>
        <v>0.88358361490009607</v>
      </c>
      <c r="BR1001" s="81">
        <f t="shared" si="589"/>
        <v>1.2103951240016815</v>
      </c>
      <c r="BS1001" s="82">
        <f t="shared" si="590"/>
        <v>131</v>
      </c>
      <c r="BT1001" s="82">
        <f t="shared" si="591"/>
        <v>158.56176124422026</v>
      </c>
      <c r="BU1001" s="82">
        <f t="shared" si="592"/>
        <v>153.06230769230768</v>
      </c>
      <c r="BW1001" s="82">
        <f>IFERROR(INDEX('Infos Clientes'!$T:$T,MATCH('Detalhe Por UC'!$C1001,'Infos Clientes'!B:B,0)),"")</f>
        <v>156.25</v>
      </c>
      <c r="BX1001" s="83">
        <f t="shared" si="593"/>
        <v>0</v>
      </c>
      <c r="BY1001" s="84">
        <f t="shared" si="594"/>
        <v>0.27000398681474813</v>
      </c>
      <c r="BZ1001" s="85">
        <f>IF(_xlfn.MINIFS('Detalhe Por UC'!R:R,'Detalhe Por UC'!C:C,C1001,'Detalhe Por UC'!AD:AD,"&gt;"&amp;0)=0,"",_xlfn.MINIFS('Detalhe Por UC'!R:R,'Detalhe Por UC'!C:C,C1001,'Detalhe Por UC'!AD:AD,"&gt;"&amp;0))</f>
        <v>45627</v>
      </c>
      <c r="CA1001" s="114">
        <f ca="1">IF(OR(S1001&gt;0,AD1001&gt;0),IFERROR(
SUMIFS(INDIRECT("'Infos Clientes'!$W"&amp;INDEX('Infos Clientes'!$C:$C,MATCH(C1001,'Infos Clientes'!$H:$H,0))&amp;":$CZ"&amp;INDEX('Infos Clientes'!$C:$C,MATCH(C1001,'Infos Clientes'!$H:$H,0))),'Infos Clientes'!$W$2:$CZ$2,"&gt;"&amp;$R1001-365,'Infos Clientes'!$W$2:$CZ$2,"&lt;="&amp;$R1001)/
COUNTIFS(INDIRECT("'Infos Clientes'!$W"&amp;INDEX('Infos Clientes'!$C:$C,MATCH(C1001,'Infos Clientes'!$H:$H,0))&amp;":$CZ"&amp;INDEX('Infos Clientes'!$C:$C,MATCH(C1001,'Infos Clientes'!$H:$H,0))),"&gt;="&amp;0,'Infos Clientes'!$W$2:$CZ$2,"&gt;"&amp;$R1001-365,'Infos Clientes'!$W$2:$CZ$2,"&lt;="&amp;$R1001),""),"")</f>
        <v>151.66666666666666</v>
      </c>
      <c r="CB1001" s="87">
        <f>VLOOKUP(C1001,'Infos Clientes'!B:L,11,0)</f>
        <v>0</v>
      </c>
      <c r="CC1001" s="88" t="str">
        <f t="shared" si="595"/>
        <v>A Unidade Consumidora 10/1548741-6 economizou R$42,81 na fatura referente à out/2025  consumindo 131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1" s="115">
        <f t="shared" si="596"/>
        <v>-130.11000000000001</v>
      </c>
    </row>
    <row r="1002" spans="1:84" ht="16.2" hidden="1" customHeight="1" x14ac:dyDescent="0.3">
      <c r="A1002" s="105" t="str">
        <f>INDEX('Infos Clientes'!$D:$D,MATCH('Detalhe Por UC'!C1002,'Infos Clientes'!B:B,0))</f>
        <v>IGREJA DO EVANGELHO QUADRANGULAR</v>
      </c>
      <c r="B1002" s="106" t="str">
        <f>INDEX('Infos Clientes'!$F:$F,MATCH('Detalhe Por UC'!C1002,'Infos Clientes'!B:B,0))</f>
        <v>62.955.505/8921-14</v>
      </c>
      <c r="C1002" s="31" t="s">
        <v>29</v>
      </c>
      <c r="D1002" s="31" t="s">
        <v>351</v>
      </c>
      <c r="E1002" s="31" t="s">
        <v>352</v>
      </c>
      <c r="F1002" s="56" t="str">
        <f>INDEX('Infos Clientes'!$I:$I,MATCH('Detalhe Por UC'!C1002,'Infos Clientes'!B:B,0))</f>
        <v>BT</v>
      </c>
      <c r="G1002" s="56" t="str">
        <f>INDEX('Infos Clientes'!$J:$J,MATCH('Detalhe Por UC'!C1002,'Infos Clientes'!B:B,0))</f>
        <v>trifasico</v>
      </c>
      <c r="H1002" s="156" t="s">
        <v>24</v>
      </c>
      <c r="I1002" s="58">
        <f>IFERROR(VLOOKUP(C1002,'Infos Clientes'!B:E,4,),"")</f>
        <v>362</v>
      </c>
      <c r="J1002" s="152">
        <v>0.2796792317717392</v>
      </c>
      <c r="K1002" s="79">
        <f>INDEX('Resumo Operacional'!$A$1:$P$151,MATCH("Desconto percentual Ucs",'Resumo Operacional'!$B$1:$B$151,0),MATCH('Detalhe Por UC'!$R1002,'Resumo Operacional'!$A$1:$P$1,0))</f>
        <v>0.26414553913427991</v>
      </c>
      <c r="M1002" s="56"/>
      <c r="N1002" s="56"/>
      <c r="O1002" s="56"/>
      <c r="P1002" s="56"/>
      <c r="Q1002" s="61"/>
      <c r="R1002" s="111">
        <v>45931</v>
      </c>
      <c r="S1002" s="152">
        <v>5.4999999999999997E-3</v>
      </c>
      <c r="T1002" s="113">
        <f>IF($H1002="GIROSSOL II",AP1002/INDEX('Resumo Operacional'!$A$1:$P$1103,17,MATCH('Detalhe Por UC'!$R1002,'Resumo Operacional'!$A$1:$P$1,0)),
IF($H1002="GIROSSOL II e III",AP1002/INDEX('Resumo Operacional'!$A$1:$P$1103,17,MATCH('Detalhe Por UC'!$R1002,'Resumo Operacional'!$A$1:$P$1,0)),
""))</f>
        <v>7.5403408234052177E-5</v>
      </c>
      <c r="U1002" s="113" t="str">
        <f>IF($H1002="GIROSSOL III",AP1002/INDEX('Resumo Operacional'!$A$1:$P$1103,53,MATCH('Detalhe Por UC'!$R1002,'Resumo Operacional'!$A$1:$P$1,0)),
IF($H1002="GIROSSOL II e III",AP1002/INDEX('Resumo Operacional'!$A$1:$P$1103,53,MATCH('Detalhe Por UC'!$R1002,'Resumo Operacional'!$A$1:$P$1,0)),
""))</f>
        <v/>
      </c>
      <c r="X1002">
        <v>1.2062012658227848</v>
      </c>
      <c r="Z1002" s="54">
        <v>1.2060310344827587</v>
      </c>
      <c r="AB1002" s="18">
        <v>158</v>
      </c>
      <c r="AD1002" s="143">
        <v>58</v>
      </c>
      <c r="AF1002" s="18">
        <v>417</v>
      </c>
      <c r="AH1002">
        <v>39.83</v>
      </c>
      <c r="AL1002" s="43"/>
      <c r="AN1002" s="71">
        <f t="shared" si="563"/>
        <v>-57</v>
      </c>
      <c r="AO1002" s="71">
        <f t="shared" si="564"/>
        <v>0</v>
      </c>
      <c r="AP1002" s="71">
        <f t="shared" si="565"/>
        <v>1</v>
      </c>
      <c r="AQ1002" s="72">
        <f>IF(OR($H1002="GIROSSOL II",$H1002="GIROSSOL II e III"),INDEX('Resumo Operacional'!$A$1:$P$1103,MATCH("Energia Injetada prevista total Fatura da Usina (TUSD)",'Resumo Operacional'!$B$1:$B$1103,0),MATCH('Detalhe Por UC'!$R1002,'Resumo Operacional'!$A$1:$P$1,0))*$S1002,INDEX('Resumo Operacional'!$A$1:$P$1103,53,MATCH('Detalhe Por UC'!$R1002,'Resumo Operacional'!$A$1:$P$1,0))*$S1002)</f>
        <v>72.941000000000003</v>
      </c>
      <c r="AR1002" s="71">
        <f t="shared" si="566"/>
        <v>-71.941000000000003</v>
      </c>
      <c r="AS1002" s="73">
        <f t="shared" si="567"/>
        <v>160.45999999999998</v>
      </c>
      <c r="AT1002" s="74">
        <f t="shared" si="568"/>
        <v>160.45999999999998</v>
      </c>
      <c r="AU1002" s="74">
        <f t="shared" si="569"/>
        <v>1.2058608031427327</v>
      </c>
      <c r="AV1002" s="74">
        <f t="shared" si="570"/>
        <v>50.386293673413206</v>
      </c>
      <c r="AW1002" s="74">
        <f t="shared" si="571"/>
        <v>0</v>
      </c>
      <c r="AX1002" s="74">
        <f t="shared" si="572"/>
        <v>69.94980000000001</v>
      </c>
      <c r="AY1002" s="74">
        <f t="shared" si="573"/>
        <v>50.39</v>
      </c>
      <c r="AZ1002" s="129">
        <v>50.39</v>
      </c>
      <c r="BA1002" s="117">
        <v>50.39</v>
      </c>
      <c r="BC1002" s="73" t="str">
        <f t="shared" si="574"/>
        <v/>
      </c>
      <c r="BD1002" s="73">
        <f t="shared" si="575"/>
        <v>230.40979999999996</v>
      </c>
      <c r="BE1002" s="73">
        <f t="shared" si="576"/>
        <v>210.84629367341319</v>
      </c>
      <c r="BF1002" s="77">
        <f t="shared" si="577"/>
        <v>19.559999999999999</v>
      </c>
      <c r="BG1002" s="77">
        <f t="shared" si="578"/>
        <v>5.8679999999999994</v>
      </c>
      <c r="BH1002" s="77">
        <f t="shared" si="579"/>
        <v>69.94980000000001</v>
      </c>
      <c r="BI1002" s="78">
        <f t="shared" si="580"/>
        <v>0.28000000000000003</v>
      </c>
      <c r="BJ1002" s="79">
        <f t="shared" si="581"/>
        <v>8.4892222466231917E-2</v>
      </c>
      <c r="BK1002" s="80">
        <f t="shared" si="582"/>
        <v>210.84999999999997</v>
      </c>
      <c r="BL1002" s="80">
        <f t="shared" si="583"/>
        <v>19.559799999999996</v>
      </c>
      <c r="BM1002" s="79">
        <f t="shared" si="584"/>
        <v>8.4891354447597281E-2</v>
      </c>
      <c r="BN1002" s="81">
        <f t="shared" si="585"/>
        <v>0.86879310344827587</v>
      </c>
      <c r="BO1002" s="82">
        <f t="shared" si="586"/>
        <v>50.39</v>
      </c>
      <c r="BP1002" s="81">
        <f t="shared" si="587"/>
        <v>0.86879310344827587</v>
      </c>
      <c r="BQ1002" s="81">
        <f t="shared" si="588"/>
        <v>0.8689633347883019</v>
      </c>
      <c r="BR1002" s="81">
        <f t="shared" si="589"/>
        <v>1.2062012658227848</v>
      </c>
      <c r="BS1002" s="82">
        <f t="shared" si="590"/>
        <v>58</v>
      </c>
      <c r="BT1002" s="82">
        <f t="shared" si="591"/>
        <v>69.959673417721518</v>
      </c>
      <c r="BU1002" s="82">
        <f t="shared" si="592"/>
        <v>69.94980000000001</v>
      </c>
      <c r="BW1002" s="82">
        <f>IFERROR(INDEX('Infos Clientes'!$T:$T,MATCH('Detalhe Por UC'!$C1002,'Infos Clientes'!B:B,0)),"")</f>
        <v>178.41666666666666</v>
      </c>
      <c r="BX1002" s="83">
        <f t="shared" si="593"/>
        <v>0</v>
      </c>
      <c r="BY1002" s="84">
        <f t="shared" si="594"/>
        <v>0.27958678256272856</v>
      </c>
      <c r="BZ1002" s="85">
        <f>IF(_xlfn.MINIFS('Detalhe Por UC'!R:R,'Detalhe Por UC'!C:C,C1002,'Detalhe Por UC'!AD:AD,"&gt;"&amp;0)=0,"",_xlfn.MINIFS('Detalhe Por UC'!R:R,'Detalhe Por UC'!C:C,C1002,'Detalhe Por UC'!AD:AD,"&gt;"&amp;0))</f>
        <v>45627</v>
      </c>
      <c r="CA1002" s="114">
        <f ca="1">IF(OR(S1002&gt;0,AD1002&gt;0),IFERROR(
SUMIFS(INDIRECT("'Infos Clientes'!$W"&amp;INDEX('Infos Clientes'!$C:$C,MATCH(C1002,'Infos Clientes'!$H:$H,0))&amp;":$CZ"&amp;INDEX('Infos Clientes'!$C:$C,MATCH(C1002,'Infos Clientes'!$H:$H,0))),'Infos Clientes'!$W$2:$CZ$2,"&gt;"&amp;$R1002-365,'Infos Clientes'!$W$2:$CZ$2,"&lt;="&amp;$R1002)/
COUNTIFS(INDIRECT("'Infos Clientes'!$W"&amp;INDEX('Infos Clientes'!$C:$C,MATCH(C1002,'Infos Clientes'!$H:$H,0))&amp;":$CZ"&amp;INDEX('Infos Clientes'!$C:$C,MATCH(C1002,'Infos Clientes'!$H:$H,0))),"&gt;="&amp;0,'Infos Clientes'!$W$2:$CZ$2,"&gt;"&amp;$R1002-365,'Infos Clientes'!$W$2:$CZ$2,"&lt;="&amp;$R1002),""),"")</f>
        <v>163.08333333333334</v>
      </c>
      <c r="CB1002" s="87">
        <f>VLOOKUP(C1002,'Infos Clientes'!B:L,11,0)</f>
        <v>0</v>
      </c>
      <c r="CC1002" s="88" t="str">
        <f t="shared" si="595"/>
        <v>A Unidade Consumidora 10/1117293-9 economizou R$19,56 na fatura referente à out/2025  consumindo 58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2" s="115">
        <f t="shared" si="596"/>
        <v>-160.45999999999998</v>
      </c>
    </row>
    <row r="1003" spans="1:84" ht="16.2" hidden="1" customHeight="1" x14ac:dyDescent="0.3">
      <c r="A1003" s="105" t="str">
        <f>INDEX('Infos Clientes'!$D:$D,MATCH('Detalhe Por UC'!C1003,'Infos Clientes'!B:B,0))</f>
        <v>IGREJA DO EVANGELHO QUADRANGULAR</v>
      </c>
      <c r="B1003" s="106" t="str">
        <f>INDEX('Infos Clientes'!$F:$F,MATCH('Detalhe Por UC'!C1003,'Infos Clientes'!B:B,0))</f>
        <v>62.955.505/0160-80</v>
      </c>
      <c r="C1003" s="31" t="s">
        <v>114</v>
      </c>
      <c r="D1003" s="31" t="s">
        <v>351</v>
      </c>
      <c r="E1003" s="31" t="s">
        <v>352</v>
      </c>
      <c r="F1003" s="56" t="str">
        <f>INDEX('Infos Clientes'!$I:$I,MATCH('Detalhe Por UC'!C1003,'Infos Clientes'!B:B,0))</f>
        <v>BT</v>
      </c>
      <c r="G1003" s="56" t="str">
        <f>INDEX('Infos Clientes'!$J:$J,MATCH('Detalhe Por UC'!C1003,'Infos Clientes'!B:B,0))</f>
        <v>bifasico</v>
      </c>
      <c r="H1003" s="156" t="s">
        <v>24</v>
      </c>
      <c r="I1003" s="58">
        <f>IFERROR(VLOOKUP(C1003,'Infos Clientes'!B:E,4,),"")</f>
        <v>357</v>
      </c>
      <c r="J1003" s="152">
        <v>0.2796792317717392</v>
      </c>
      <c r="K1003" s="79">
        <f>INDEX('Resumo Operacional'!$A$1:$P$151,MATCH("Desconto percentual Ucs",'Resumo Operacional'!$B$1:$B$151,0),MATCH('Detalhe Por UC'!$R1003,'Resumo Operacional'!$A$1:$P$1,0))</f>
        <v>0.26414553913427991</v>
      </c>
      <c r="M1003" s="56"/>
      <c r="N1003" s="56"/>
      <c r="O1003" s="56"/>
      <c r="P1003" s="56"/>
      <c r="Q1003" s="61"/>
      <c r="R1003" s="111">
        <v>45931</v>
      </c>
      <c r="S1003" s="152">
        <v>3.3E-3</v>
      </c>
      <c r="T1003" s="113">
        <f>IF($H1003="GIROSSOL II",AP1003/INDEX('Resumo Operacional'!$A$1:$P$1103,17,MATCH('Detalhe Por UC'!$R1003,'Resumo Operacional'!$A$1:$P$1,0)),
IF($H1003="GIROSSOL II e III",AP1003/INDEX('Resumo Operacional'!$A$1:$P$1103,17,MATCH('Detalhe Por UC'!$R1003,'Resumo Operacional'!$A$1:$P$1,0)),
""))</f>
        <v>3.0161363293620871E-3</v>
      </c>
      <c r="U1003" s="113" t="str">
        <f>IF($H1003="GIROSSOL III",AP1003/INDEX('Resumo Operacional'!$A$1:$P$1103,53,MATCH('Detalhe Por UC'!$R1003,'Resumo Operacional'!$A$1:$P$1,0)),
IF($H1003="GIROSSOL II e III",AP1003/INDEX('Resumo Operacional'!$A$1:$P$1103,53,MATCH('Detalhe Por UC'!$R1003,'Resumo Operacional'!$A$1:$P$1,0)),
""))</f>
        <v/>
      </c>
      <c r="X1003">
        <v>1.2317089743589742</v>
      </c>
      <c r="Z1003" s="31">
        <v>1.2316916030534351</v>
      </c>
      <c r="AB1003">
        <v>312</v>
      </c>
      <c r="AD1003">
        <v>262</v>
      </c>
      <c r="AF1003">
        <v>457</v>
      </c>
      <c r="AG1003">
        <v>0</v>
      </c>
      <c r="AH1003">
        <v>62.93</v>
      </c>
      <c r="AL1003" s="43"/>
      <c r="AN1003" s="71">
        <f t="shared" si="563"/>
        <v>-222</v>
      </c>
      <c r="AO1003" s="71">
        <f t="shared" si="564"/>
        <v>0</v>
      </c>
      <c r="AP1003" s="71">
        <f t="shared" si="565"/>
        <v>40</v>
      </c>
      <c r="AQ1003" s="72">
        <f>IF(OR($H1003="GIROSSOL II",$H1003="GIROSSOL II e III"),INDEX('Resumo Operacional'!$A$1:$P$1103,MATCH("Energia Injetada prevista total Fatura da Usina (TUSD)",'Resumo Operacional'!$B$1:$B$1103,0),MATCH('Detalhe Por UC'!$R1003,'Resumo Operacional'!$A$1:$P$1,0))*$S1003,INDEX('Resumo Operacional'!$A$1:$P$1103,53,MATCH('Detalhe Por UC'!$R1003,'Resumo Operacional'!$A$1:$P$1,0))*$S1003)</f>
        <v>43.764600000000002</v>
      </c>
      <c r="AR1003" s="71">
        <f t="shared" si="566"/>
        <v>-3.7646000000000015</v>
      </c>
      <c r="AS1003" s="73">
        <f t="shared" si="567"/>
        <v>124.51999999999998</v>
      </c>
      <c r="AT1003" s="74">
        <f t="shared" si="568"/>
        <v>124.51999999999998</v>
      </c>
      <c r="AU1003" s="74">
        <f t="shared" si="569"/>
        <v>1.2316742317478959</v>
      </c>
      <c r="AV1003" s="74">
        <f t="shared" si="570"/>
        <v>232.4498169337181</v>
      </c>
      <c r="AW1003" s="74">
        <f t="shared" si="571"/>
        <v>0</v>
      </c>
      <c r="AX1003" s="74">
        <f t="shared" si="572"/>
        <v>322.70319999999998</v>
      </c>
      <c r="AY1003" s="74">
        <f t="shared" si="573"/>
        <v>232.45</v>
      </c>
      <c r="AZ1003" s="129">
        <v>232.45</v>
      </c>
      <c r="BA1003" s="117">
        <v>232.45</v>
      </c>
      <c r="BC1003" s="73" t="str">
        <f t="shared" si="574"/>
        <v/>
      </c>
      <c r="BD1003" s="73">
        <f t="shared" si="575"/>
        <v>447.22319999999996</v>
      </c>
      <c r="BE1003" s="73">
        <f t="shared" si="576"/>
        <v>356.96981693371811</v>
      </c>
      <c r="BF1003" s="77">
        <f t="shared" si="577"/>
        <v>90.25</v>
      </c>
      <c r="BG1003" s="77">
        <f t="shared" si="578"/>
        <v>27.074999999999999</v>
      </c>
      <c r="BH1003" s="77">
        <f t="shared" si="579"/>
        <v>322.70319999999998</v>
      </c>
      <c r="BI1003" s="78">
        <f t="shared" si="580"/>
        <v>0.28000000000000003</v>
      </c>
      <c r="BJ1003" s="79">
        <f t="shared" si="581"/>
        <v>0.20180080103178907</v>
      </c>
      <c r="BK1003" s="80">
        <f t="shared" si="582"/>
        <v>356.96999999999997</v>
      </c>
      <c r="BL1003" s="80">
        <f t="shared" si="583"/>
        <v>90.253199999999993</v>
      </c>
      <c r="BM1003" s="79">
        <f t="shared" si="584"/>
        <v>0.20180795629564835</v>
      </c>
      <c r="BN1003" s="81">
        <f t="shared" si="585"/>
        <v>0.88721374045801527</v>
      </c>
      <c r="BO1003" s="82">
        <f t="shared" si="586"/>
        <v>232.45</v>
      </c>
      <c r="BP1003" s="81">
        <f t="shared" si="587"/>
        <v>0.88721374045801527</v>
      </c>
      <c r="BQ1003" s="81">
        <f t="shared" si="588"/>
        <v>0.8872311117635544</v>
      </c>
      <c r="BR1003" s="81">
        <f t="shared" si="589"/>
        <v>1.2317089743589742</v>
      </c>
      <c r="BS1003" s="82">
        <f t="shared" si="590"/>
        <v>262</v>
      </c>
      <c r="BT1003" s="82">
        <f t="shared" si="591"/>
        <v>322.70775128205122</v>
      </c>
      <c r="BU1003" s="82">
        <f t="shared" si="592"/>
        <v>322.70319999999998</v>
      </c>
      <c r="BW1003" s="82">
        <f>IFERROR(INDEX('Infos Clientes'!$T:$T,MATCH('Detalhe Por UC'!$C1003,'Infos Clientes'!B:B,0)),"")</f>
        <v>215.58333333333334</v>
      </c>
      <c r="BX1003" s="83">
        <f t="shared" si="593"/>
        <v>0</v>
      </c>
      <c r="BY1003" s="84">
        <f t="shared" si="594"/>
        <v>0.27967472005690186</v>
      </c>
      <c r="BZ1003" s="85">
        <f>IF(_xlfn.MINIFS('Detalhe Por UC'!R:R,'Detalhe Por UC'!C:C,C1003,'Detalhe Por UC'!AD:AD,"&gt;"&amp;0)=0,"",_xlfn.MINIFS('Detalhe Por UC'!R:R,'Detalhe Por UC'!C:C,C1003,'Detalhe Por UC'!AD:AD,"&gt;"&amp;0))</f>
        <v>45627</v>
      </c>
      <c r="CA1003" s="114">
        <f ca="1">IF(OR(S1003&gt;0,AD1003&gt;0),IFERROR(
SUMIFS(INDIRECT("'Infos Clientes'!$W"&amp;INDEX('Infos Clientes'!$C:$C,MATCH(C1003,'Infos Clientes'!$H:$H,0))&amp;":$CZ"&amp;INDEX('Infos Clientes'!$C:$C,MATCH(C1003,'Infos Clientes'!$H:$H,0))),'Infos Clientes'!$W$2:$CZ$2,"&gt;"&amp;$R1003-365,'Infos Clientes'!$W$2:$CZ$2,"&lt;="&amp;$R1003)/
COUNTIFS(INDIRECT("'Infos Clientes'!$W"&amp;INDEX('Infos Clientes'!$C:$C,MATCH(C1003,'Infos Clientes'!$H:$H,0))&amp;":$CZ"&amp;INDEX('Infos Clientes'!$C:$C,MATCH(C1003,'Infos Clientes'!$H:$H,0))),"&gt;="&amp;0,'Infos Clientes'!$W$2:$CZ$2,"&gt;"&amp;$R1003-365,'Infos Clientes'!$W$2:$CZ$2,"&lt;="&amp;$R1003),""),"")</f>
        <v>228.66666666666666</v>
      </c>
      <c r="CB1003" s="87">
        <f>VLOOKUP(C1003,'Infos Clientes'!B:L,11,0)</f>
        <v>0</v>
      </c>
      <c r="CC1003" s="88" t="str">
        <f t="shared" si="595"/>
        <v>A Unidade Consumidora 10/511753-6 economizou R$90,25 na fatura referente à out/2025  consumindo 262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3" s="115">
        <f t="shared" si="596"/>
        <v>-124.51999999999998</v>
      </c>
    </row>
    <row r="1004" spans="1:84" ht="16.2" hidden="1" customHeight="1" x14ac:dyDescent="0.3">
      <c r="A1004" s="105" t="str">
        <f>INDEX('Infos Clientes'!$D:$D,MATCH('Detalhe Por UC'!C1004,'Infos Clientes'!B:B,0))</f>
        <v>IGREJA DO EVANGELHO QUADRANGULAR</v>
      </c>
      <c r="B1004" s="106" t="str">
        <f>INDEX('Infos Clientes'!$F:$F,MATCH('Detalhe Por UC'!C1004,'Infos Clientes'!B:B,0))</f>
        <v>62.955.505/0800-98</v>
      </c>
      <c r="C1004" s="31" t="s">
        <v>38</v>
      </c>
      <c r="D1004" s="31" t="s">
        <v>351</v>
      </c>
      <c r="E1004" s="31" t="s">
        <v>352</v>
      </c>
      <c r="F1004" s="56" t="str">
        <f>INDEX('Infos Clientes'!$I:$I,MATCH('Detalhe Por UC'!C1004,'Infos Clientes'!B:B,0))</f>
        <v>BT</v>
      </c>
      <c r="G1004" s="56" t="str">
        <f>INDEX('Infos Clientes'!$J:$J,MATCH('Detalhe Por UC'!C1004,'Infos Clientes'!B:B,0))</f>
        <v>trifasico</v>
      </c>
      <c r="H1004" s="156" t="s">
        <v>24</v>
      </c>
      <c r="I1004" s="58">
        <f>IFERROR(VLOOKUP(C1004,'Infos Clientes'!B:E,4,),"")</f>
        <v>351</v>
      </c>
      <c r="J1004" s="152">
        <v>0.2796792317717392</v>
      </c>
      <c r="K1004" s="79">
        <f>INDEX('Resumo Operacional'!$A$1:$P$151,MATCH("Desconto percentual Ucs",'Resumo Operacional'!$B$1:$B$151,0),MATCH('Detalhe Por UC'!$R1004,'Resumo Operacional'!$A$1:$P$1,0))</f>
        <v>0.26414553913427991</v>
      </c>
      <c r="M1004" s="56"/>
      <c r="N1004" s="56"/>
      <c r="O1004" s="56"/>
      <c r="P1004" s="56"/>
      <c r="Q1004" s="61"/>
      <c r="R1004" s="111">
        <v>45931</v>
      </c>
      <c r="S1004" s="152">
        <v>2.5000000000000001E-3</v>
      </c>
      <c r="T1004" s="113">
        <f>IF($H1004="GIROSSOL II",AP1004/INDEX('Resumo Operacional'!$A$1:$P$1103,17,MATCH('Detalhe Por UC'!$R1004,'Resumo Operacional'!$A$1:$P$1,0)),
IF($H1004="GIROSSOL II e III",AP1004/INDEX('Resumo Operacional'!$A$1:$P$1103,17,MATCH('Detalhe Por UC'!$R1004,'Resumo Operacional'!$A$1:$P$1,0)),
""))</f>
        <v>0</v>
      </c>
      <c r="U1004" s="113" t="str">
        <f>IF($H1004="GIROSSOL III",AP1004/INDEX('Resumo Operacional'!$A$1:$P$1103,53,MATCH('Detalhe Por UC'!$R1004,'Resumo Operacional'!$A$1:$P$1,0)),
IF($H1004="GIROSSOL II e III",AP1004/INDEX('Resumo Operacional'!$A$1:$P$1103,53,MATCH('Detalhe Por UC'!$R1004,'Resumo Operacional'!$A$1:$P$1,0)),
""))</f>
        <v/>
      </c>
      <c r="X1004">
        <v>1.2158250000000002</v>
      </c>
      <c r="Z1004" s="31">
        <v>1.2151999999999998</v>
      </c>
      <c r="AB1004">
        <v>112</v>
      </c>
      <c r="AD1004">
        <v>12</v>
      </c>
      <c r="AF1004">
        <v>1010</v>
      </c>
      <c r="AG1004">
        <v>0</v>
      </c>
      <c r="AH1004">
        <v>11.37</v>
      </c>
      <c r="AL1004" s="43"/>
      <c r="AN1004" s="71">
        <f t="shared" si="563"/>
        <v>-12</v>
      </c>
      <c r="AO1004" s="71">
        <f t="shared" si="564"/>
        <v>0</v>
      </c>
      <c r="AP1004" s="71">
        <f t="shared" si="565"/>
        <v>0</v>
      </c>
      <c r="AQ1004" s="72">
        <f>IF(OR($H1004="GIROSSOL II",$H1004="GIROSSOL II e III"),INDEX('Resumo Operacional'!$A$1:$P$1103,MATCH("Energia Injetada prevista total Fatura da Usina (TUSD)",'Resumo Operacional'!$B$1:$B$1103,0),MATCH('Detalhe Por UC'!$R1004,'Resumo Operacional'!$A$1:$P$1,0))*$S1004,INDEX('Resumo Operacional'!$A$1:$P$1103,53,MATCH('Detalhe Por UC'!$R1004,'Resumo Operacional'!$A$1:$P$1,0))*$S1004)</f>
        <v>33.155000000000001</v>
      </c>
      <c r="AR1004" s="71">
        <f t="shared" si="566"/>
        <v>-33.155000000000001</v>
      </c>
      <c r="AS1004" s="73">
        <f t="shared" si="567"/>
        <v>132.96</v>
      </c>
      <c r="AT1004" s="74">
        <f t="shared" si="568"/>
        <v>132.96</v>
      </c>
      <c r="AU1004" s="74">
        <f t="shared" si="569"/>
        <v>1.2145749999999995</v>
      </c>
      <c r="AV1004" s="74">
        <f t="shared" si="570"/>
        <v>10.50400557061179</v>
      </c>
      <c r="AW1004" s="74">
        <f t="shared" si="571"/>
        <v>-1E-10</v>
      </c>
      <c r="AX1004" s="74">
        <f t="shared" si="572"/>
        <v>14.582399999899998</v>
      </c>
      <c r="AY1004" s="74">
        <f t="shared" si="573"/>
        <v>10.5</v>
      </c>
      <c r="AZ1004" s="129">
        <v>10.5</v>
      </c>
      <c r="BA1004" s="117">
        <v>10.5</v>
      </c>
      <c r="BB1004" s="49">
        <v>10.5</v>
      </c>
      <c r="BC1004" s="73" t="str">
        <f t="shared" si="574"/>
        <v/>
      </c>
      <c r="BD1004" s="73">
        <f t="shared" si="575"/>
        <v>147.54240000000001</v>
      </c>
      <c r="BE1004" s="73">
        <f t="shared" si="576"/>
        <v>143.46400557061179</v>
      </c>
      <c r="BF1004" s="77">
        <f t="shared" si="577"/>
        <v>4.08</v>
      </c>
      <c r="BG1004" s="77">
        <f t="shared" si="578"/>
        <v>1.224</v>
      </c>
      <c r="BH1004" s="77">
        <f t="shared" si="579"/>
        <v>14.582399999999998</v>
      </c>
      <c r="BI1004" s="78">
        <f t="shared" si="580"/>
        <v>0.28000000000000003</v>
      </c>
      <c r="BJ1004" s="79">
        <f t="shared" si="581"/>
        <v>2.7653067863881838E-2</v>
      </c>
      <c r="BK1004" s="80">
        <f t="shared" si="582"/>
        <v>143.46</v>
      </c>
      <c r="BL1004" s="80">
        <f t="shared" si="583"/>
        <v>4.0824000000000069</v>
      </c>
      <c r="BM1004" s="79">
        <f t="shared" si="584"/>
        <v>2.7669334374390051E-2</v>
      </c>
      <c r="BN1004" s="81">
        <f t="shared" si="585"/>
        <v>0.875</v>
      </c>
      <c r="BO1004" s="82">
        <f t="shared" si="586"/>
        <v>10.5</v>
      </c>
      <c r="BP1004" s="81">
        <f t="shared" si="587"/>
        <v>0.875</v>
      </c>
      <c r="BQ1004" s="81">
        <f t="shared" si="588"/>
        <v>0.87562500000000032</v>
      </c>
      <c r="BR1004" s="81">
        <f t="shared" si="589"/>
        <v>1.2158250000000002</v>
      </c>
      <c r="BS1004" s="82">
        <f t="shared" si="590"/>
        <v>12</v>
      </c>
      <c r="BT1004" s="82">
        <f t="shared" si="591"/>
        <v>14.589900000000002</v>
      </c>
      <c r="BU1004" s="82">
        <f t="shared" si="592"/>
        <v>14.582399999999998</v>
      </c>
      <c r="BW1004" s="82">
        <f>IFERROR(INDEX('Infos Clientes'!$T:$T,MATCH('Detalhe Por UC'!$C1004,'Infos Clientes'!B:B,0)),"")</f>
        <v>134.36363636363637</v>
      </c>
      <c r="BX1004" s="83">
        <f t="shared" si="593"/>
        <v>0</v>
      </c>
      <c r="BY1004" s="84">
        <f t="shared" si="594"/>
        <v>0.27981000555178565</v>
      </c>
      <c r="BZ1004" s="85">
        <f>IF(_xlfn.MINIFS('Detalhe Por UC'!R:R,'Detalhe Por UC'!C:C,C1004,'Detalhe Por UC'!AD:AD,"&gt;"&amp;0)=0,"",_xlfn.MINIFS('Detalhe Por UC'!R:R,'Detalhe Por UC'!C:C,C1004,'Detalhe Por UC'!AD:AD,"&gt;"&amp;0))</f>
        <v>45627</v>
      </c>
      <c r="CA1004" s="114">
        <f ca="1">IF(OR(S1004&gt;0,AD1004&gt;0),IFERROR(
SUMIFS(INDIRECT("'Infos Clientes'!$W"&amp;INDEX('Infos Clientes'!$C:$C,MATCH(C1004,'Infos Clientes'!$H:$H,0))&amp;":$CZ"&amp;INDEX('Infos Clientes'!$C:$C,MATCH(C1004,'Infos Clientes'!$H:$H,0))),'Infos Clientes'!$W$2:$CZ$2,"&gt;"&amp;$R1004-365,'Infos Clientes'!$W$2:$CZ$2,"&lt;="&amp;$R1004)/
COUNTIFS(INDIRECT("'Infos Clientes'!$W"&amp;INDEX('Infos Clientes'!$C:$C,MATCH(C1004,'Infos Clientes'!$H:$H,0))&amp;":$CZ"&amp;INDEX('Infos Clientes'!$C:$C,MATCH(C1004,'Infos Clientes'!$H:$H,0))),"&gt;="&amp;0,'Infos Clientes'!$W$2:$CZ$2,"&gt;"&amp;$R1004-365,'Infos Clientes'!$W$2:$CZ$2,"&lt;="&amp;$R1004),""),"")</f>
        <v>135.125</v>
      </c>
      <c r="CB1004" s="87">
        <f>VLOOKUP(C1004,'Infos Clientes'!B:L,11,0)</f>
        <v>0</v>
      </c>
      <c r="CC1004" s="88" t="str">
        <f t="shared" si="595"/>
        <v>A Unidade Consumidora 10/135237-6 economizou R$4,08 na fatura referente à out/2025  consumindo 12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4" s="115">
        <f t="shared" si="596"/>
        <v>-132.96</v>
      </c>
    </row>
    <row r="1005" spans="1:84" ht="16.2" hidden="1" customHeight="1" x14ac:dyDescent="0.3">
      <c r="A1005" s="105" t="str">
        <f>INDEX('Infos Clientes'!$D:$D,MATCH('Detalhe Por UC'!C1005,'Infos Clientes'!B:B,0))</f>
        <v>IGREJA DO EVANGELHO QUADRANGULAR</v>
      </c>
      <c r="B1005" s="106" t="str">
        <f>INDEX('Infos Clientes'!$F:$F,MATCH('Detalhe Por UC'!C1005,'Infos Clientes'!B:B,0))</f>
        <v>62.955.505/0884-04</v>
      </c>
      <c r="C1005" s="31" t="s">
        <v>88</v>
      </c>
      <c r="D1005" s="31" t="s">
        <v>351</v>
      </c>
      <c r="E1005" s="31" t="s">
        <v>352</v>
      </c>
      <c r="F1005" s="56" t="str">
        <f>INDEX('Infos Clientes'!$I:$I,MATCH('Detalhe Por UC'!C1005,'Infos Clientes'!B:B,0))</f>
        <v>BT</v>
      </c>
      <c r="G1005" s="56" t="str">
        <f>INDEX('Infos Clientes'!$J:$J,MATCH('Detalhe Por UC'!C1005,'Infos Clientes'!B:B,0))</f>
        <v>trifasico</v>
      </c>
      <c r="H1005" s="156" t="s">
        <v>24</v>
      </c>
      <c r="I1005" s="58">
        <f>IFERROR(VLOOKUP(C1005,'Infos Clientes'!B:E,4,),"")</f>
        <v>994</v>
      </c>
      <c r="J1005" s="152">
        <v>0.2796792317717392</v>
      </c>
      <c r="K1005" s="79">
        <f>INDEX('Resumo Operacional'!$A$1:$P$151,MATCH("Desconto percentual Ucs",'Resumo Operacional'!$B$1:$B$151,0),MATCH('Detalhe Por UC'!$R1005,'Resumo Operacional'!$A$1:$P$1,0))</f>
        <v>0.26414553913427991</v>
      </c>
      <c r="M1005" s="56"/>
      <c r="N1005" s="56"/>
      <c r="O1005" s="56"/>
      <c r="P1005" s="56"/>
      <c r="Q1005" s="61"/>
      <c r="R1005" s="111">
        <v>45931</v>
      </c>
      <c r="S1005" s="152">
        <v>1.8E-3</v>
      </c>
      <c r="T1005" s="113">
        <f>IF($H1005="GIROSSOL II",AP1005/INDEX('Resumo Operacional'!$A$1:$P$1103,17,MATCH('Detalhe Por UC'!$R1005,'Resumo Operacional'!$A$1:$P$1,0)),
IF($H1005="GIROSSOL II e III",AP1005/INDEX('Resumo Operacional'!$A$1:$P$1103,17,MATCH('Detalhe Por UC'!$R1005,'Resumo Operacional'!$A$1:$P$1,0)),
""))</f>
        <v>1.0631880561001358E-2</v>
      </c>
      <c r="U1005" s="113" t="str">
        <f>IF($H1005="GIROSSOL III",AP1005/INDEX('Resumo Operacional'!$A$1:$P$1103,53,MATCH('Detalhe Por UC'!$R1005,'Resumo Operacional'!$A$1:$P$1,0)),
IF($H1005="GIROSSOL II e III",AP1005/INDEX('Resumo Operacional'!$A$1:$P$1103,53,MATCH('Detalhe Por UC'!$R1005,'Resumo Operacional'!$A$1:$P$1,0)),
""))</f>
        <v/>
      </c>
      <c r="X1005">
        <v>1.206484319315752</v>
      </c>
      <c r="Z1005" s="54">
        <v>1.1766907331006031</v>
      </c>
      <c r="AB1005" s="18">
        <v>366</v>
      </c>
      <c r="AD1005" s="143">
        <v>274</v>
      </c>
      <c r="AF1005" s="18">
        <v>126</v>
      </c>
      <c r="AH1005">
        <v>61.67</v>
      </c>
      <c r="AL1005" s="43"/>
      <c r="AN1005" s="71">
        <f t="shared" si="563"/>
        <v>-133</v>
      </c>
      <c r="AO1005" s="71">
        <f t="shared" si="564"/>
        <v>0</v>
      </c>
      <c r="AP1005" s="71">
        <f t="shared" si="565"/>
        <v>141</v>
      </c>
      <c r="AQ1005" s="72">
        <f>IF(OR($H1005="GIROSSOL II",$H1005="GIROSSOL II e III"),INDEX('Resumo Operacional'!$A$1:$P$1103,MATCH("Energia Injetada prevista total Fatura da Usina (TUSD)",'Resumo Operacional'!$B$1:$B$1103,0),MATCH('Detalhe Por UC'!$R1005,'Resumo Operacional'!$A$1:$P$1,0))*$S1005,INDEX('Resumo Operacional'!$A$1:$P$1103,53,MATCH('Detalhe Por UC'!$R1005,'Resumo Operacional'!$A$1:$P$1,0))*$S1005)</f>
        <v>23.871600000000001</v>
      </c>
      <c r="AR1005" s="71">
        <f t="shared" si="566"/>
        <v>117.1284</v>
      </c>
      <c r="AS1005" s="73">
        <f t="shared" si="567"/>
        <v>180.82999999999998</v>
      </c>
      <c r="AT1005" s="74">
        <f t="shared" si="568"/>
        <v>180.82999999999998</v>
      </c>
      <c r="AU1005" s="74">
        <f t="shared" si="569"/>
        <v>1.1468971468854543</v>
      </c>
      <c r="AV1005" s="74">
        <f t="shared" si="570"/>
        <v>232.24096775654391</v>
      </c>
      <c r="AW1005" s="74">
        <f t="shared" si="571"/>
        <v>0</v>
      </c>
      <c r="AX1005" s="74">
        <f t="shared" si="572"/>
        <v>322.41326086956525</v>
      </c>
      <c r="AY1005" s="74">
        <f t="shared" si="573"/>
        <v>232.24</v>
      </c>
      <c r="AZ1005" s="129">
        <v>232.24</v>
      </c>
      <c r="BA1005" s="117">
        <v>232.24</v>
      </c>
      <c r="BB1005" s="49">
        <v>232.24</v>
      </c>
      <c r="BC1005" s="73" t="str">
        <f t="shared" si="574"/>
        <v/>
      </c>
      <c r="BD1005" s="73">
        <f t="shared" si="575"/>
        <v>503.24326086956523</v>
      </c>
      <c r="BE1005" s="73">
        <f t="shared" si="576"/>
        <v>413.07096775654389</v>
      </c>
      <c r="BF1005" s="77">
        <f t="shared" si="577"/>
        <v>90.17</v>
      </c>
      <c r="BG1005" s="77">
        <f t="shared" si="578"/>
        <v>27.050999999999998</v>
      </c>
      <c r="BH1005" s="77">
        <f t="shared" si="579"/>
        <v>322.41326086956531</v>
      </c>
      <c r="BI1005" s="78">
        <f t="shared" si="580"/>
        <v>0.28000000000000003</v>
      </c>
      <c r="BJ1005" s="79">
        <f t="shared" si="581"/>
        <v>0.1791777595673974</v>
      </c>
      <c r="BK1005" s="80">
        <f t="shared" si="582"/>
        <v>413.07</v>
      </c>
      <c r="BL1005" s="80">
        <f t="shared" si="583"/>
        <v>90.17326086956524</v>
      </c>
      <c r="BM1005" s="79">
        <f t="shared" si="584"/>
        <v>0.17918423927575872</v>
      </c>
      <c r="BN1005" s="81">
        <f t="shared" si="585"/>
        <v>0.84759124087591242</v>
      </c>
      <c r="BO1005" s="82">
        <f t="shared" si="586"/>
        <v>232.24</v>
      </c>
      <c r="BP1005" s="81">
        <f t="shared" si="587"/>
        <v>0.84759124087591242</v>
      </c>
      <c r="BQ1005" s="81">
        <f t="shared" si="588"/>
        <v>0.87738482709106125</v>
      </c>
      <c r="BR1005" s="81">
        <f t="shared" si="589"/>
        <v>1.206484319315752</v>
      </c>
      <c r="BS1005" s="82">
        <f t="shared" si="590"/>
        <v>274</v>
      </c>
      <c r="BT1005" s="82">
        <f t="shared" si="591"/>
        <v>330.57670349251606</v>
      </c>
      <c r="BU1005" s="82">
        <f t="shared" si="592"/>
        <v>322.41326086956525</v>
      </c>
      <c r="BW1005" s="82">
        <f>IFERROR(INDEX('Infos Clientes'!$T:$T,MATCH('Detalhe Por UC'!$C1005,'Infos Clientes'!B:B,0)),"")</f>
        <v>335.75</v>
      </c>
      <c r="BX1005" s="83">
        <f t="shared" si="593"/>
        <v>0</v>
      </c>
      <c r="BY1005" s="84">
        <f t="shared" si="594"/>
        <v>0.27277560674086249</v>
      </c>
      <c r="BZ1005" s="85">
        <f>IF(_xlfn.MINIFS('Detalhe Por UC'!R:R,'Detalhe Por UC'!C:C,C1005,'Detalhe Por UC'!AD:AD,"&gt;"&amp;0)=0,"",_xlfn.MINIFS('Detalhe Por UC'!R:R,'Detalhe Por UC'!C:C,C1005,'Detalhe Por UC'!AD:AD,"&gt;"&amp;0))</f>
        <v>45627</v>
      </c>
      <c r="CA1005" s="114">
        <f ca="1">IF(OR(S1005&gt;0,AD1005&gt;0),IFERROR(
SUMIFS(INDIRECT("'Infos Clientes'!$W"&amp;INDEX('Infos Clientes'!$C:$C,MATCH(C1005,'Infos Clientes'!$H:$H,0))&amp;":$CZ"&amp;INDEX('Infos Clientes'!$C:$C,MATCH(C1005,'Infos Clientes'!$H:$H,0))),'Infos Clientes'!$W$2:$CZ$2,"&gt;"&amp;$R1005-365,'Infos Clientes'!$W$2:$CZ$2,"&lt;="&amp;$R1005)/
COUNTIFS(INDIRECT("'Infos Clientes'!$W"&amp;INDEX('Infos Clientes'!$C:$C,MATCH(C1005,'Infos Clientes'!$H:$H,0))&amp;":$CZ"&amp;INDEX('Infos Clientes'!$C:$C,MATCH(C1005,'Infos Clientes'!$H:$H,0))),"&gt;="&amp;0,'Infos Clientes'!$W$2:$CZ$2,"&gt;"&amp;$R1005-365,'Infos Clientes'!$W$2:$CZ$2,"&lt;="&amp;$R1005),""),"")</f>
        <v>362.25</v>
      </c>
      <c r="CB1005" s="87">
        <f>VLOOKUP(C1005,'Infos Clientes'!B:L,11,0)</f>
        <v>0</v>
      </c>
      <c r="CC1005" s="88" t="str">
        <f t="shared" si="595"/>
        <v>A Unidade Consumidora 10/276283-9 economizou R$90,17 na fatura referente à out/2025  consumindo 274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5" s="115">
        <f t="shared" si="596"/>
        <v>-180.82999999999998</v>
      </c>
    </row>
    <row r="1006" spans="1:84" ht="16.2" hidden="1" customHeight="1" x14ac:dyDescent="0.3">
      <c r="A1006" s="105" t="str">
        <f>INDEX('Infos Clientes'!$D:$D,MATCH('Detalhe Por UC'!C1006,'Infos Clientes'!B:B,0))</f>
        <v>IGREJA DO EVANGELHO QUADRANGULAR</v>
      </c>
      <c r="B1006" s="106" t="str">
        <f>INDEX('Infos Clientes'!$F:$F,MATCH('Detalhe Por UC'!C1006,'Infos Clientes'!B:B,0))</f>
        <v>62.955.505/0155-12</v>
      </c>
      <c r="C1006" s="31" t="s">
        <v>129</v>
      </c>
      <c r="D1006" s="31" t="s">
        <v>351</v>
      </c>
      <c r="E1006" s="31" t="s">
        <v>352</v>
      </c>
      <c r="F1006" s="56" t="str">
        <f>INDEX('Infos Clientes'!$I:$I,MATCH('Detalhe Por UC'!C1006,'Infos Clientes'!B:B,0))</f>
        <v>BT</v>
      </c>
      <c r="G1006" s="56" t="str">
        <f>INDEX('Infos Clientes'!$J:$J,MATCH('Detalhe Por UC'!C1006,'Infos Clientes'!B:B,0))</f>
        <v>trifasico</v>
      </c>
      <c r="H1006" s="156" t="s">
        <v>24</v>
      </c>
      <c r="I1006" s="58">
        <f>IFERROR(VLOOKUP(C1006,'Infos Clientes'!B:E,4,),"")</f>
        <v>358</v>
      </c>
      <c r="J1006" s="152">
        <v>0.2796792317717392</v>
      </c>
      <c r="K1006" s="79">
        <f>INDEX('Resumo Operacional'!$A$1:$P$151,MATCH("Desconto percentual Ucs",'Resumo Operacional'!$B$1:$B$151,0),MATCH('Detalhe Por UC'!$R1006,'Resumo Operacional'!$A$1:$P$1,0))</f>
        <v>0.26414553913427991</v>
      </c>
      <c r="M1006" s="56"/>
      <c r="N1006" s="56"/>
      <c r="O1006" s="56"/>
      <c r="P1006" s="56"/>
      <c r="Q1006" s="61"/>
      <c r="R1006" s="111">
        <v>45931</v>
      </c>
      <c r="S1006" s="152">
        <v>8.0000000000000004E-4</v>
      </c>
      <c r="T1006" s="113">
        <f>IF($H1006="GIROSSOL II",AP1006/INDEX('Resumo Operacional'!$A$1:$P$1103,17,MATCH('Detalhe Por UC'!$R1006,'Resumo Operacional'!$A$1:$P$1,0)),
IF($H1006="GIROSSOL II e III",AP1006/INDEX('Resumo Operacional'!$A$1:$P$1103,17,MATCH('Detalhe Por UC'!$R1006,'Resumo Operacional'!$A$1:$P$1,0)),
""))</f>
        <v>6.7863067410646959E-4</v>
      </c>
      <c r="U1006" s="113" t="str">
        <f>IF($H1006="GIROSSOL III",AP1006/INDEX('Resumo Operacional'!$A$1:$P$1103,53,MATCH('Detalhe Por UC'!$R1006,'Resumo Operacional'!$A$1:$P$1,0)),
IF($H1006="GIROSSOL II e III",AP1006/INDEX('Resumo Operacional'!$A$1:$P$1103,53,MATCH('Detalhe Por UC'!$R1006,'Resumo Operacional'!$A$1:$P$1,0)),
""))</f>
        <v/>
      </c>
      <c r="X1006">
        <v>1.2356714285714285</v>
      </c>
      <c r="Z1006" s="31">
        <v>1.2356</v>
      </c>
      <c r="AB1006">
        <v>140</v>
      </c>
      <c r="AD1006">
        <v>40</v>
      </c>
      <c r="AF1006">
        <v>1116</v>
      </c>
      <c r="AG1006">
        <v>0</v>
      </c>
      <c r="AH1006">
        <v>52.57</v>
      </c>
      <c r="AL1006" s="43"/>
      <c r="AN1006" s="71">
        <f t="shared" si="563"/>
        <v>-31</v>
      </c>
      <c r="AO1006" s="71">
        <f t="shared" si="564"/>
        <v>0</v>
      </c>
      <c r="AP1006" s="71">
        <f t="shared" si="565"/>
        <v>9</v>
      </c>
      <c r="AQ1006" s="72">
        <f>IF(OR($H1006="GIROSSOL II",$H1006="GIROSSOL II e III"),INDEX('Resumo Operacional'!$A$1:$P$1103,MATCH("Energia Injetada prevista total Fatura da Usina (TUSD)",'Resumo Operacional'!$B$1:$B$1103,0),MATCH('Detalhe Por UC'!$R1006,'Resumo Operacional'!$A$1:$P$1,0))*$S1006,INDEX('Resumo Operacional'!$A$1:$P$1103,53,MATCH('Detalhe Por UC'!$R1006,'Resumo Operacional'!$A$1:$P$1,0))*$S1006)</f>
        <v>10.6096</v>
      </c>
      <c r="AR1006" s="71">
        <f t="shared" si="566"/>
        <v>-1.6096000000000004</v>
      </c>
      <c r="AS1006" s="73">
        <f t="shared" si="567"/>
        <v>176.14</v>
      </c>
      <c r="AT1006" s="74">
        <f t="shared" si="568"/>
        <v>176.14</v>
      </c>
      <c r="AU1006" s="74">
        <f t="shared" si="569"/>
        <v>1.2355285714285715</v>
      </c>
      <c r="AV1006" s="74">
        <f t="shared" si="570"/>
        <v>35.601133648913567</v>
      </c>
      <c r="AW1006" s="74">
        <f t="shared" si="571"/>
        <v>0</v>
      </c>
      <c r="AX1006" s="74">
        <f t="shared" si="572"/>
        <v>49.423999999999999</v>
      </c>
      <c r="AY1006" s="74">
        <f t="shared" si="573"/>
        <v>35.6</v>
      </c>
      <c r="AZ1006" s="129">
        <v>35.6</v>
      </c>
      <c r="BA1006" s="117">
        <v>35.6</v>
      </c>
      <c r="BC1006" s="73" t="str">
        <f t="shared" si="574"/>
        <v/>
      </c>
      <c r="BD1006" s="73">
        <f t="shared" si="575"/>
        <v>225.56399999999999</v>
      </c>
      <c r="BE1006" s="73">
        <f t="shared" si="576"/>
        <v>211.74113364891355</v>
      </c>
      <c r="BF1006" s="77">
        <f t="shared" si="577"/>
        <v>13.82</v>
      </c>
      <c r="BG1006" s="77">
        <f t="shared" si="578"/>
        <v>4.1459999999999999</v>
      </c>
      <c r="BH1006" s="77">
        <f t="shared" si="579"/>
        <v>49.424000000000007</v>
      </c>
      <c r="BI1006" s="78">
        <f t="shared" si="580"/>
        <v>0.28000000000000003</v>
      </c>
      <c r="BJ1006" s="79">
        <f t="shared" si="581"/>
        <v>6.1268642159209803E-2</v>
      </c>
      <c r="BK1006" s="80">
        <f t="shared" si="582"/>
        <v>211.73999999999998</v>
      </c>
      <c r="BL1006" s="80">
        <f t="shared" si="583"/>
        <v>13.824000000000012</v>
      </c>
      <c r="BM1006" s="79">
        <f t="shared" si="584"/>
        <v>6.1286375485449865E-2</v>
      </c>
      <c r="BN1006" s="81">
        <f t="shared" si="585"/>
        <v>0.89</v>
      </c>
      <c r="BO1006" s="82">
        <f t="shared" si="586"/>
        <v>35.6</v>
      </c>
      <c r="BP1006" s="81">
        <f t="shared" si="587"/>
        <v>0.89</v>
      </c>
      <c r="BQ1006" s="81">
        <f t="shared" si="588"/>
        <v>0.89007142857142851</v>
      </c>
      <c r="BR1006" s="81">
        <f t="shared" si="589"/>
        <v>1.2356714285714285</v>
      </c>
      <c r="BS1006" s="82">
        <f t="shared" si="590"/>
        <v>40</v>
      </c>
      <c r="BT1006" s="82">
        <f t="shared" si="591"/>
        <v>49.426857142857145</v>
      </c>
      <c r="BU1006" s="82">
        <f t="shared" si="592"/>
        <v>49.423999999999999</v>
      </c>
      <c r="BW1006" s="82">
        <f>IFERROR(INDEX('Infos Clientes'!$T:$T,MATCH('Detalhe Por UC'!$C1006,'Infos Clientes'!B:B,0)),"")</f>
        <v>123.5</v>
      </c>
      <c r="BX1006" s="83">
        <f t="shared" si="593"/>
        <v>0</v>
      </c>
      <c r="BY1006" s="84">
        <f t="shared" si="594"/>
        <v>0.2796860006705435</v>
      </c>
      <c r="BZ1006" s="85">
        <f>IF(_xlfn.MINIFS('Detalhe Por UC'!R:R,'Detalhe Por UC'!C:C,C1006,'Detalhe Por UC'!AD:AD,"&gt;"&amp;0)=0,"",_xlfn.MINIFS('Detalhe Por UC'!R:R,'Detalhe Por UC'!C:C,C1006,'Detalhe Por UC'!AD:AD,"&gt;"&amp;0))</f>
        <v>45627</v>
      </c>
      <c r="CA1006" s="114">
        <f ca="1">IF(OR(S1006&gt;0,AD1006&gt;0),IFERROR(
SUMIFS(INDIRECT("'Infos Clientes'!$W"&amp;INDEX('Infos Clientes'!$C:$C,MATCH(C1006,'Infos Clientes'!$H:$H,0))&amp;":$CZ"&amp;INDEX('Infos Clientes'!$C:$C,MATCH(C1006,'Infos Clientes'!$H:$H,0))),'Infos Clientes'!$W$2:$CZ$2,"&gt;"&amp;$R1006-365,'Infos Clientes'!$W$2:$CZ$2,"&lt;="&amp;$R1006)/
COUNTIFS(INDIRECT("'Infos Clientes'!$W"&amp;INDEX('Infos Clientes'!$C:$C,MATCH(C1006,'Infos Clientes'!$H:$H,0))&amp;":$CZ"&amp;INDEX('Infos Clientes'!$C:$C,MATCH(C1006,'Infos Clientes'!$H:$H,0))),"&gt;="&amp;0,'Infos Clientes'!$W$2:$CZ$2,"&gt;"&amp;$R1006-365,'Infos Clientes'!$W$2:$CZ$2,"&lt;="&amp;$R1006),""),"")</f>
        <v>138.90909090909091</v>
      </c>
      <c r="CB1006" s="87">
        <f>VLOOKUP(C1006,'Infos Clientes'!B:L,11,0)</f>
        <v>0</v>
      </c>
      <c r="CC1006" s="88" t="str">
        <f t="shared" si="595"/>
        <v>A Unidade Consumidora 10/987178-1 economizou R$13,82 na fatura referente à out/2025  consumindo 40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6" s="115">
        <f t="shared" si="596"/>
        <v>-176.14</v>
      </c>
    </row>
    <row r="1007" spans="1:84" ht="16.2" hidden="1" customHeight="1" x14ac:dyDescent="0.3">
      <c r="A1007" s="105" t="str">
        <f>INDEX('Infos Clientes'!$D:$D,MATCH('Detalhe Por UC'!C1007,'Infos Clientes'!B:B,0))</f>
        <v>IGREJA DO EVANGELHO QUADRANGULAR</v>
      </c>
      <c r="B1007" s="106" t="str">
        <f>INDEX('Infos Clientes'!$F:$F,MATCH('Detalhe Por UC'!C1007,'Infos Clientes'!B:B,0))</f>
        <v>62.955.505/0577-89</v>
      </c>
      <c r="C1007" s="31" t="s">
        <v>94</v>
      </c>
      <c r="D1007" s="31" t="s">
        <v>351</v>
      </c>
      <c r="E1007" s="31" t="s">
        <v>352</v>
      </c>
      <c r="F1007" s="56" t="str">
        <f>INDEX('Infos Clientes'!$I:$I,MATCH('Detalhe Por UC'!C1007,'Infos Clientes'!B:B,0))</f>
        <v>BT</v>
      </c>
      <c r="G1007" s="56" t="str">
        <f>INDEX('Infos Clientes'!$J:$J,MATCH('Detalhe Por UC'!C1007,'Infos Clientes'!B:B,0))</f>
        <v>bifasico</v>
      </c>
      <c r="H1007" s="156" t="s">
        <v>24</v>
      </c>
      <c r="I1007" s="58">
        <f>IFERROR(VLOOKUP(C1007,'Infos Clientes'!B:E,4,),"")</f>
        <v>319</v>
      </c>
      <c r="J1007" s="152">
        <v>0.2796792317717392</v>
      </c>
      <c r="K1007" s="79">
        <f>INDEX('Resumo Operacional'!$A$1:$P$151,MATCH("Desconto percentual Ucs",'Resumo Operacional'!$B$1:$B$151,0),MATCH('Detalhe Por UC'!$R1007,'Resumo Operacional'!$A$1:$P$1,0))</f>
        <v>0.26414553913427991</v>
      </c>
      <c r="M1007" s="56"/>
      <c r="N1007" s="56"/>
      <c r="O1007" s="56"/>
      <c r="P1007" s="56"/>
      <c r="Q1007" s="61"/>
      <c r="R1007" s="111">
        <v>45931</v>
      </c>
      <c r="S1007" s="152">
        <v>0</v>
      </c>
      <c r="T1007" s="113">
        <f>IF($H1007="GIROSSOL II",AP1007/INDEX('Resumo Operacional'!$A$1:$P$1103,17,MATCH('Detalhe Por UC'!$R1007,'Resumo Operacional'!$A$1:$P$1,0)),
IF($H1007="GIROSSOL II e III",AP1007/INDEX('Resumo Operacional'!$A$1:$P$1103,17,MATCH('Detalhe Por UC'!$R1007,'Resumo Operacional'!$A$1:$P$1,0)),
""))</f>
        <v>9.6063942090182472E-2</v>
      </c>
      <c r="U1007" s="113" t="str">
        <f>IF($H1007="GIROSSOL III",AP1007/INDEX('Resumo Operacional'!$A$1:$P$1103,53,MATCH('Detalhe Por UC'!$R1007,'Resumo Operacional'!$A$1:$P$1,0)),
IF($H1007="GIROSSOL II e III",AP1007/INDEX('Resumo Operacional'!$A$1:$P$1103,53,MATCH('Detalhe Por UC'!$R1007,'Resumo Operacional'!$A$1:$P$1,0)),
""))</f>
        <v/>
      </c>
      <c r="X1007">
        <v>1.1381072555205047</v>
      </c>
      <c r="Z1007" s="54">
        <v>0.98123028391167177</v>
      </c>
      <c r="AB1007" s="18">
        <v>317</v>
      </c>
      <c r="AD1007" s="143">
        <v>317</v>
      </c>
      <c r="AF1007" s="18">
        <v>3321</v>
      </c>
      <c r="AH1007">
        <v>58.59</v>
      </c>
      <c r="AL1007" s="43"/>
      <c r="AN1007" s="71">
        <f t="shared" si="563"/>
        <v>957</v>
      </c>
      <c r="AO1007" s="71">
        <f t="shared" si="564"/>
        <v>0</v>
      </c>
      <c r="AP1007" s="71">
        <f t="shared" si="565"/>
        <v>1274</v>
      </c>
      <c r="AQ1007" s="72">
        <f>IF(OR($H1007="GIROSSOL II",$H1007="GIROSSOL II e III"),INDEX('Resumo Operacional'!$A$1:$P$1103,MATCH("Energia Injetada prevista total Fatura da Usina (TUSD)",'Resumo Operacional'!$B$1:$B$1103,0),MATCH('Detalhe Por UC'!$R1007,'Resumo Operacional'!$A$1:$P$1,0))*$S1007,INDEX('Resumo Operacional'!$A$1:$P$1103,53,MATCH('Detalhe Por UC'!$R1007,'Resumo Operacional'!$A$1:$P$1,0))*$S1007)</f>
        <v>0</v>
      </c>
      <c r="AR1007" s="71">
        <f t="shared" si="566"/>
        <v>1274</v>
      </c>
      <c r="AS1007" s="73">
        <f t="shared" si="567"/>
        <v>108.32000000000002</v>
      </c>
      <c r="AT1007" s="74">
        <f t="shared" si="568"/>
        <v>108.32000000000002</v>
      </c>
      <c r="AU1007" s="74">
        <f t="shared" si="569"/>
        <v>0.82435331230283881</v>
      </c>
      <c r="AV1007" s="74">
        <f t="shared" si="570"/>
        <v>224.0557749574005</v>
      </c>
      <c r="AW1007" s="74">
        <f t="shared" si="571"/>
        <v>595.36999990000004</v>
      </c>
      <c r="AX1007" s="74">
        <f t="shared" si="572"/>
        <v>906.41999989999999</v>
      </c>
      <c r="AY1007" s="74">
        <f t="shared" si="573"/>
        <v>819.43</v>
      </c>
      <c r="AZ1007" s="129">
        <v>418.48</v>
      </c>
      <c r="BA1007" s="136">
        <v>9.9999999999999995E-8</v>
      </c>
      <c r="BC1007" s="73" t="str">
        <f t="shared" si="574"/>
        <v/>
      </c>
      <c r="BD1007" s="73">
        <f t="shared" si="575"/>
        <v>419.37</v>
      </c>
      <c r="BE1007" s="73">
        <f t="shared" si="576"/>
        <v>332.37577495740049</v>
      </c>
      <c r="BF1007" s="77">
        <f t="shared" si="577"/>
        <v>86.99</v>
      </c>
      <c r="BG1007" s="77">
        <f t="shared" si="578"/>
        <v>26.096999999999998</v>
      </c>
      <c r="BH1007" s="77">
        <f t="shared" si="579"/>
        <v>311.04999999999995</v>
      </c>
      <c r="BI1007" s="78">
        <f t="shared" si="580"/>
        <v>0.1</v>
      </c>
      <c r="BJ1007" s="79">
        <f t="shared" si="581"/>
        <v>0.20743019290841022</v>
      </c>
      <c r="BK1007" s="80">
        <f t="shared" si="582"/>
        <v>927.75</v>
      </c>
      <c r="BL1007" s="80">
        <f t="shared" si="583"/>
        <v>-508.38</v>
      </c>
      <c r="BM1007" s="79">
        <f t="shared" si="584"/>
        <v>-1.2122469418413333</v>
      </c>
      <c r="BN1007" s="81">
        <f t="shared" si="585"/>
        <v>2.5849526813880126</v>
      </c>
      <c r="BO1007" s="82">
        <f t="shared" si="586"/>
        <v>819.43</v>
      </c>
      <c r="BP1007" s="81">
        <f t="shared" si="587"/>
        <v>2.5849526813880126</v>
      </c>
      <c r="BQ1007" s="81">
        <f t="shared" si="588"/>
        <v>2.7418296529968456</v>
      </c>
      <c r="BR1007" s="81">
        <f t="shared" si="589"/>
        <v>1.1381072555205047</v>
      </c>
      <c r="BS1007" s="82">
        <f t="shared" si="590"/>
        <v>317</v>
      </c>
      <c r="BT1007" s="82">
        <f t="shared" si="591"/>
        <v>360.78</v>
      </c>
      <c r="BU1007" s="82">
        <f t="shared" si="592"/>
        <v>311.04999999999995</v>
      </c>
      <c r="BW1007" s="82">
        <f>IFERROR(INDEX('Infos Clientes'!$T:$T,MATCH('Detalhe Por UC'!$C1007,'Infos Clientes'!B:B,0)),"")</f>
        <v>55.25</v>
      </c>
      <c r="BX1007" s="83">
        <f t="shared" si="593"/>
        <v>0</v>
      </c>
      <c r="BY1007" s="84">
        <f t="shared" si="594"/>
        <v>-1.4091135872276734</v>
      </c>
      <c r="BZ1007" s="85">
        <f>IF(_xlfn.MINIFS('Detalhe Por UC'!R:R,'Detalhe Por UC'!C:C,C1007,'Detalhe Por UC'!AD:AD,"&gt;"&amp;0)=0,"",_xlfn.MINIFS('Detalhe Por UC'!R:R,'Detalhe Por UC'!C:C,C1007,'Detalhe Por UC'!AD:AD,"&gt;"&amp;0))</f>
        <v>45689</v>
      </c>
      <c r="CA1007" s="114">
        <f ca="1">IF(OR(S1007&gt;0,AD1007&gt;0),IFERROR(
SUMIFS(INDIRECT("'Infos Clientes'!$W"&amp;INDEX('Infos Clientes'!$C:$C,MATCH(C1007,'Infos Clientes'!$H:$H,0))&amp;":$CZ"&amp;INDEX('Infos Clientes'!$C:$C,MATCH(C1007,'Infos Clientes'!$H:$H,0))),'Infos Clientes'!$W$2:$CZ$2,"&gt;"&amp;$R1007-365,'Infos Clientes'!$W$2:$CZ$2,"&lt;="&amp;$R1007)/
COUNTIFS(INDIRECT("'Infos Clientes'!$W"&amp;INDEX('Infos Clientes'!$C:$C,MATCH(C1007,'Infos Clientes'!$H:$H,0))&amp;":$CZ"&amp;INDEX('Infos Clientes'!$C:$C,MATCH(C1007,'Infos Clientes'!$H:$H,0))),"&gt;="&amp;0,'Infos Clientes'!$W$2:$CZ$2,"&gt;"&amp;$R1007-365,'Infos Clientes'!$W$2:$CZ$2,"&lt;="&amp;$R1007),""),"")</f>
        <v>281.25</v>
      </c>
      <c r="CB1007" s="87">
        <f>VLOOKUP(C1007,'Infos Clientes'!B:L,11,0)</f>
        <v>0</v>
      </c>
      <c r="CC1007" s="88" t="str">
        <f t="shared" si="595"/>
        <v>A Unidade Consumidora 10/3005226-0 economizou R$86,99 na fatura referente à out/2025  consumindo 317 kWh em créditos de energia renovável conforme fatura de energia. A economia foi de 27,9679231771739% em relação ao que seria pago para a Energisa considerando os créditos consumidos. Atenção: Mantenha as contas da Energisa em dia para evitar cortes.</v>
      </c>
      <c r="CF1007" s="115">
        <f t="shared" si="596"/>
        <v>-108.32000000000002</v>
      </c>
    </row>
    <row r="1008" spans="1:84" ht="16.2" customHeight="1" x14ac:dyDescent="0.3">
      <c r="C1008" s="31" t="s">
        <v>102</v>
      </c>
      <c r="D1008" s="31" t="s">
        <v>351</v>
      </c>
      <c r="E1008" s="31" t="s">
        <v>352</v>
      </c>
      <c r="F1008" s="56" t="str">
        <f>INDEX('Infos Clientes'!$I:$I,MATCH('Detalhe Por UC'!C1008,'Infos Clientes'!B:B,0))</f>
        <v>BT</v>
      </c>
      <c r="G1008" s="56" t="str">
        <f>INDEX('Infos Clientes'!$J:$J,MATCH('Detalhe Por UC'!C1008,'Infos Clientes'!B:B,0))</f>
        <v>trifasico</v>
      </c>
      <c r="H1008" s="156" t="s">
        <v>24</v>
      </c>
      <c r="I1008" s="58">
        <f>IFERROR(VLOOKUP(C1008,'Infos Clientes'!B:E,4,),"")</f>
        <v>306</v>
      </c>
      <c r="J1008" s="157">
        <v>0.21</v>
      </c>
      <c r="K1008" s="79">
        <f>INDEX('Resumo Operacional'!$A$1:$P$151,MATCH("Desconto percentual Ucs",'Resumo Operacional'!$B$1:$B$151,0),MATCH('Detalhe Por UC'!$R1008,'Resumo Operacional'!$A$1:$P$1,0))</f>
        <v>0.21</v>
      </c>
      <c r="M1008" s="56"/>
      <c r="N1008" s="56"/>
      <c r="O1008" s="56"/>
      <c r="P1008" s="56"/>
      <c r="Q1008" s="61"/>
      <c r="R1008" s="111">
        <v>45962</v>
      </c>
      <c r="S1008" s="151">
        <v>0.20730000000000001</v>
      </c>
      <c r="T1008" s="113">
        <f>IF($H1008="GIROSSOL II",AP1008/INDEX('Resumo Operacional'!$A$1:$P$1103,17,MATCH('Detalhe Por UC'!$R1008,'Resumo Operacional'!$A$1:$P$1,0)),
IF($H1008="GIROSSOL II e III",AP1008/INDEX('Resumo Operacional'!$A$1:$P$1103,17,MATCH('Detalhe Por UC'!$R1008,'Resumo Operacional'!$A$1:$P$1,0)),
""))</f>
        <v>0.2235504594616573</v>
      </c>
      <c r="U1008" s="113" t="str">
        <f>IF($H1008="GIROSSOL III",AP1008/INDEX('Resumo Operacional'!$A$1:$P$1103,53,MATCH('Detalhe Por UC'!$R1008,'Resumo Operacional'!$A$1:$P$1,0)),
IF($H1008="GIROSSOL II e III",AP1008/INDEX('Resumo Operacional'!$A$1:$P$1103,53,MATCH('Detalhe Por UC'!$R1008,'Resumo Operacional'!$A$1:$P$1,0)),
""))</f>
        <v/>
      </c>
      <c r="X1008">
        <v>1.212724024024024</v>
      </c>
      <c r="Z1008">
        <v>1.2127249609984398</v>
      </c>
      <c r="AB1008">
        <v>2664</v>
      </c>
      <c r="AD1008">
        <v>2564</v>
      </c>
      <c r="AF1008">
        <v>185</v>
      </c>
      <c r="AG1008">
        <v>0</v>
      </c>
      <c r="AH1008">
        <v>0</v>
      </c>
      <c r="AK1008">
        <v>121.27</v>
      </c>
      <c r="AL1008" s="43">
        <v>-4.4053649617126212E-13</v>
      </c>
      <c r="AN1008" s="71">
        <f t="shared" si="563"/>
        <v>185</v>
      </c>
      <c r="AO1008" s="71">
        <f t="shared" si="564"/>
        <v>0</v>
      </c>
      <c r="AP1008" s="71">
        <f t="shared" si="565"/>
        <v>2749</v>
      </c>
      <c r="AQ1008" s="72">
        <f>IF(OR($H1008="GIROSSOL II",$H1008="GIROSSOL II e III"),INDEX('Resumo Operacional'!$A$1:$P$1103,MATCH("Energia Injetada prevista total Fatura da Usina (TUSD)",'Resumo Operacional'!$B$1:$B$1103,0),MATCH('Detalhe Por UC'!$R1008,'Resumo Operacional'!$A$1:$P$1,0))*$S1008,INDEX('Resumo Operacional'!$A$1:$P$1103,53,MATCH('Detalhe Por UC'!$R1008,'Resumo Operacional'!$A$1:$P$1,0))*$S1008)</f>
        <v>2549.1681000000003</v>
      </c>
      <c r="AR1008" s="71">
        <f t="shared" si="566"/>
        <v>199.83189999999968</v>
      </c>
      <c r="AS1008" s="73">
        <f t="shared" si="567"/>
        <v>121.27000000000044</v>
      </c>
      <c r="AT1008" s="74">
        <f t="shared" si="568"/>
        <v>121.27000000000044</v>
      </c>
      <c r="AU1008" s="74">
        <f t="shared" si="569"/>
        <v>1.2127258979728557</v>
      </c>
      <c r="AV1008" s="74">
        <f t="shared" si="570"/>
        <v>2456.4471720000001</v>
      </c>
      <c r="AW1008" s="74">
        <f t="shared" si="571"/>
        <v>0</v>
      </c>
      <c r="AX1008" s="74">
        <f t="shared" si="572"/>
        <v>3109.4267999999997</v>
      </c>
      <c r="AY1008" s="74">
        <f t="shared" si="573"/>
        <v>2456.4499999999998</v>
      </c>
      <c r="AZ1008" s="129">
        <v>2456.4499999999998</v>
      </c>
      <c r="BA1008" s="117"/>
      <c r="BB1008" s="117"/>
      <c r="BC1008" s="73" t="str">
        <f t="shared" si="574"/>
        <v/>
      </c>
      <c r="BD1008" s="73">
        <f t="shared" si="575"/>
        <v>3230.6968000000002</v>
      </c>
      <c r="BE1008" s="73">
        <f t="shared" si="576"/>
        <v>2577.7171720000006</v>
      </c>
      <c r="BF1008" s="77">
        <f t="shared" si="577"/>
        <v>652.98</v>
      </c>
      <c r="BG1008" s="77">
        <f t="shared" si="578"/>
        <v>195.89400000000001</v>
      </c>
      <c r="BH1008" s="77">
        <f t="shared" si="579"/>
        <v>3109.4267999999997</v>
      </c>
      <c r="BI1008" s="78">
        <f t="shared" si="580"/>
        <v>0.21</v>
      </c>
      <c r="BJ1008" s="79">
        <f t="shared" si="581"/>
        <v>0.2021173884222128</v>
      </c>
      <c r="BK1008" s="80">
        <f t="shared" si="582"/>
        <v>2577.7200000000003</v>
      </c>
      <c r="BL1008" s="80">
        <f t="shared" si="583"/>
        <v>652.97679999999991</v>
      </c>
      <c r="BM1008" s="79">
        <f t="shared" si="584"/>
        <v>0.20211639792381628</v>
      </c>
      <c r="BN1008" s="81">
        <f t="shared" si="585"/>
        <v>0.95805382215288604</v>
      </c>
      <c r="BO1008" s="82">
        <f t="shared" si="586"/>
        <v>2456.4499999999998</v>
      </c>
      <c r="BP1008" s="81">
        <f t="shared" si="587"/>
        <v>0.95805382215288604</v>
      </c>
      <c r="BQ1008" s="81">
        <f t="shared" si="588"/>
        <v>0.9580528851784702</v>
      </c>
      <c r="BR1008" s="81">
        <f t="shared" si="589"/>
        <v>1.212724024024024</v>
      </c>
      <c r="BS1008" s="82">
        <f t="shared" si="590"/>
        <v>2564</v>
      </c>
      <c r="BT1008" s="82">
        <f t="shared" si="591"/>
        <v>3109.4243975975974</v>
      </c>
      <c r="BU1008" s="82">
        <f t="shared" si="592"/>
        <v>3109.4267999999997</v>
      </c>
      <c r="BW1008" s="82">
        <f>IFERROR(INDEX('Infos Clientes'!$T:$T,MATCH('Detalhe Por UC'!$C1008,'Infos Clientes'!B:B,0)),"")</f>
        <v>2675.750833333333</v>
      </c>
      <c r="BX1008" s="83">
        <f t="shared" si="593"/>
        <v>0</v>
      </c>
      <c r="BY1008" s="84">
        <f t="shared" si="594"/>
        <v>0.20999925275703846</v>
      </c>
      <c r="BZ1008" s="85">
        <f>IF(_xlfn.MINIFS('Detalhe Por UC'!R:R,'Detalhe Por UC'!C:C,C1008,'Detalhe Por UC'!AD:AD,"&gt;"&amp;0)=0,"",_xlfn.MINIFS('Detalhe Por UC'!R:R,'Detalhe Por UC'!C:C,C1008,'Detalhe Por UC'!AD:AD,"&gt;"&amp;0))</f>
        <v>45627</v>
      </c>
      <c r="CA1008" s="114">
        <f ca="1">IF(OR(S1008&gt;0,AD1008&gt;0),IFERROR(
SUMIFS(INDIRECT("'Infos Clientes'!$W"&amp;INDEX('Infos Clientes'!$C:$C,MATCH(C1008,'Infos Clientes'!$H:$H,0))&amp;":$CZ"&amp;INDEX('Infos Clientes'!$C:$C,MATCH(C1008,'Infos Clientes'!$H:$H,0))),'Infos Clientes'!$W$2:$CZ$2,"&gt;"&amp;$R1008-365,'Infos Clientes'!$W$2:$CZ$2,"&lt;="&amp;$R1008)/
COUNTIFS(INDIRECT("'Infos Clientes'!$W"&amp;INDEX('Infos Clientes'!$C:$C,MATCH(C1008,'Infos Clientes'!$H:$H,0))&amp;":$CZ"&amp;INDEX('Infos Clientes'!$C:$C,MATCH(C1008,'Infos Clientes'!$H:$H,0))),"&gt;="&amp;0,'Infos Clientes'!$W$2:$CZ$2,"&gt;"&amp;$R1008-365,'Infos Clientes'!$W$2:$CZ$2,"&lt;="&amp;$R1008),""),"")</f>
        <v>2664.8333333333335</v>
      </c>
      <c r="CB1008" s="87">
        <f>VLOOKUP(C1008,'Infos Clientes'!B:L,11,0)</f>
        <v>0</v>
      </c>
      <c r="CC1008" s="88" t="str">
        <f t="shared" si="595"/>
        <v>A Unidade Consumidora 10/364440-8 economizou R$652,98 na fatura referente à nov/2025  consumindo 2564 kWh em créditos de energia renovável conforme fatura de energia. A economia foi de 21% em relação ao que seria pago para a Energisa considerando os créditos consumidos. Atenção: Mantenha as contas da Energisa em dia para evitar cortes.</v>
      </c>
      <c r="CF1008" s="115">
        <f t="shared" si="596"/>
        <v>-121.27000000000044</v>
      </c>
    </row>
    <row r="1009" spans="3:84" ht="16.2" customHeight="1" x14ac:dyDescent="0.3">
      <c r="C1009" s="31" t="s">
        <v>119</v>
      </c>
      <c r="D1009" s="31" t="s">
        <v>351</v>
      </c>
      <c r="E1009" s="31" t="s">
        <v>352</v>
      </c>
      <c r="F1009" s="56" t="str">
        <f>INDEX('Infos Clientes'!$I:$I,MATCH('Detalhe Por UC'!C1009,'Infos Clientes'!B:B,0))</f>
        <v>BT</v>
      </c>
      <c r="G1009" s="56" t="str">
        <f>INDEX('Infos Clientes'!$J:$J,MATCH('Detalhe Por UC'!C1009,'Infos Clientes'!B:B,0))</f>
        <v>trifasico</v>
      </c>
      <c r="H1009" s="156" t="s">
        <v>24</v>
      </c>
      <c r="I1009" s="58">
        <f>IFERROR(VLOOKUP(C1009,'Infos Clientes'!B:E,4,),"")</f>
        <v>302</v>
      </c>
      <c r="J1009" s="157">
        <v>0.21</v>
      </c>
      <c r="K1009" s="79">
        <f>INDEX('Resumo Operacional'!$A$1:$P$151,MATCH("Desconto percentual Ucs",'Resumo Operacional'!$B$1:$B$151,0),MATCH('Detalhe Por UC'!$R1009,'Resumo Operacional'!$A$1:$P$1,0))</f>
        <v>0.21</v>
      </c>
      <c r="M1009" s="56"/>
      <c r="N1009" s="56"/>
      <c r="O1009" s="56"/>
      <c r="P1009" s="56"/>
      <c r="Q1009" s="61"/>
      <c r="R1009" s="111">
        <v>45962</v>
      </c>
      <c r="S1009" s="152">
        <v>0.10630000000000001</v>
      </c>
      <c r="T1009" s="113">
        <f>IF($H1009="GIROSSOL II",AP1009/INDEX('Resumo Operacional'!$A$1:$P$1103,17,MATCH('Detalhe Por UC'!$R1009,'Resumo Operacional'!$A$1:$P$1,0)),
IF($H1009="GIROSSOL II e III",AP1009/INDEX('Resumo Operacional'!$A$1:$P$1103,17,MATCH('Detalhe Por UC'!$R1009,'Resumo Operacional'!$A$1:$P$1,0)),
""))</f>
        <v>0.11458079206310483</v>
      </c>
      <c r="U1009" s="113" t="str">
        <f>IF($H1009="GIROSSOL III",AP1009/INDEX('Resumo Operacional'!$A$1:$P$1103,53,MATCH('Detalhe Por UC'!$R1009,'Resumo Operacional'!$A$1:$P$1,0)),
IF($H1009="GIROSSOL II e III",AP1009/INDEX('Resumo Operacional'!$A$1:$P$1103,53,MATCH('Detalhe Por UC'!$R1009,'Resumo Operacional'!$A$1:$P$1,0)),
""))</f>
        <v/>
      </c>
      <c r="X1009">
        <v>1.2126633562874316</v>
      </c>
      <c r="Z1009">
        <v>1.2126662628946638</v>
      </c>
      <c r="AB1009">
        <v>2185.61</v>
      </c>
      <c r="AD1009">
        <v>2085</v>
      </c>
      <c r="AF1009">
        <v>1766</v>
      </c>
      <c r="AG1009">
        <v>0</v>
      </c>
      <c r="AH1009">
        <v>259.04000000000002</v>
      </c>
      <c r="AK1009">
        <v>381.04</v>
      </c>
      <c r="AL1009" s="43">
        <v>4.5474735088646412E-13</v>
      </c>
      <c r="AN1009" s="71">
        <f t="shared" si="563"/>
        <v>-676</v>
      </c>
      <c r="AO1009" s="71">
        <f t="shared" si="564"/>
        <v>0</v>
      </c>
      <c r="AP1009" s="71">
        <f t="shared" si="565"/>
        <v>1409</v>
      </c>
      <c r="AQ1009" s="72">
        <f>IF(OR($H1009="GIROSSOL II",$H1009="GIROSSOL II e III"),INDEX('Resumo Operacional'!$A$1:$P$1103,MATCH("Energia Injetada prevista total Fatura da Usina (TUSD)",'Resumo Operacional'!$B$1:$B$1103,0),MATCH('Detalhe Por UC'!$R1009,'Resumo Operacional'!$A$1:$P$1,0))*$S1009,INDEX('Resumo Operacional'!$A$1:$P$1103,53,MATCH('Detalhe Por UC'!$R1009,'Resumo Operacional'!$A$1:$P$1,0))*$S1009)</f>
        <v>1307.1711</v>
      </c>
      <c r="AR1009" s="71">
        <f t="shared" si="566"/>
        <v>101.82889999999998</v>
      </c>
      <c r="AS1009" s="73">
        <f t="shared" si="567"/>
        <v>381.03999999999957</v>
      </c>
      <c r="AT1009" s="74">
        <f t="shared" si="568"/>
        <v>381.03999999999957</v>
      </c>
      <c r="AU1009" s="74">
        <f t="shared" si="569"/>
        <v>1.2126691695018961</v>
      </c>
      <c r="AV1009" s="74">
        <f t="shared" si="570"/>
        <v>1997.4432349269457</v>
      </c>
      <c r="AW1009" s="74">
        <f t="shared" si="571"/>
        <v>0</v>
      </c>
      <c r="AX1009" s="74">
        <f t="shared" si="572"/>
        <v>2528.4091581353741</v>
      </c>
      <c r="AY1009" s="74">
        <f t="shared" si="573"/>
        <v>1997.44</v>
      </c>
      <c r="AZ1009" s="129">
        <v>1997.44</v>
      </c>
      <c r="BA1009" s="117"/>
      <c r="BC1009" s="73" t="str">
        <f t="shared" si="574"/>
        <v/>
      </c>
      <c r="BD1009" s="73">
        <f t="shared" si="575"/>
        <v>2909.4491581353736</v>
      </c>
      <c r="BE1009" s="73">
        <f t="shared" si="576"/>
        <v>2378.4832349269454</v>
      </c>
      <c r="BF1009" s="77">
        <f t="shared" si="577"/>
        <v>530.97</v>
      </c>
      <c r="BG1009" s="77">
        <f t="shared" si="578"/>
        <v>159.291</v>
      </c>
      <c r="BH1009" s="77">
        <f t="shared" si="579"/>
        <v>2528.4091581353741</v>
      </c>
      <c r="BI1009" s="78">
        <f t="shared" si="580"/>
        <v>0.21</v>
      </c>
      <c r="BJ1009" s="79">
        <f t="shared" si="581"/>
        <v>0.18249846315936019</v>
      </c>
      <c r="BK1009" s="80">
        <f t="shared" si="582"/>
        <v>2378.4799999999996</v>
      </c>
      <c r="BL1009" s="80">
        <f t="shared" si="583"/>
        <v>530.96915813537407</v>
      </c>
      <c r="BM1009" s="79">
        <f t="shared" si="584"/>
        <v>0.18249817380402858</v>
      </c>
      <c r="BN1009" s="81">
        <f t="shared" si="585"/>
        <v>0.95800479616306955</v>
      </c>
      <c r="BO1009" s="82">
        <f t="shared" si="586"/>
        <v>1997.44</v>
      </c>
      <c r="BP1009" s="81">
        <f t="shared" si="587"/>
        <v>0.95800479616306955</v>
      </c>
      <c r="BQ1009" s="81">
        <f t="shared" si="588"/>
        <v>0.95800188955583732</v>
      </c>
      <c r="BR1009" s="81">
        <f t="shared" si="589"/>
        <v>1.2126633562874316</v>
      </c>
      <c r="BS1009" s="82">
        <f t="shared" si="590"/>
        <v>2085</v>
      </c>
      <c r="BT1009" s="82">
        <f t="shared" si="591"/>
        <v>2528.403097859295</v>
      </c>
      <c r="BU1009" s="82">
        <f t="shared" si="592"/>
        <v>2528.4091581353741</v>
      </c>
      <c r="BW1009" s="82">
        <f>IFERROR(INDEX('Infos Clientes'!$T:$T,MATCH('Detalhe Por UC'!$C1009,'Infos Clientes'!B:B,0)),"")</f>
        <v>1810.6008333333332</v>
      </c>
      <c r="BX1009" s="83">
        <f t="shared" si="593"/>
        <v>0</v>
      </c>
      <c r="BY1009" s="84">
        <f t="shared" si="594"/>
        <v>0.21000178277938591</v>
      </c>
      <c r="BZ1009" s="85">
        <f>IF(_xlfn.MINIFS('Detalhe Por UC'!R:R,'Detalhe Por UC'!C:C,C1009,'Detalhe Por UC'!AD:AD,"&gt;"&amp;0)=0,"",_xlfn.MINIFS('Detalhe Por UC'!R:R,'Detalhe Por UC'!C:C,C1009,'Detalhe Por UC'!AD:AD,"&gt;"&amp;0))</f>
        <v>45627</v>
      </c>
      <c r="CA1009" s="114">
        <f ca="1">IF(OR(S1009&gt;0,AD1009&gt;0),IFERROR(
SUMIFS(INDIRECT("'Infos Clientes'!$W"&amp;INDEX('Infos Clientes'!$C:$C,MATCH(C1009,'Infos Clientes'!$H:$H,0))&amp;":$CZ"&amp;INDEX('Infos Clientes'!$C:$C,MATCH(C1009,'Infos Clientes'!$H:$H,0))),'Infos Clientes'!$W$2:$CZ$2,"&gt;"&amp;$R1009-365,'Infos Clientes'!$W$2:$CZ$2,"&lt;="&amp;$R1009)/
COUNTIFS(INDIRECT("'Infos Clientes'!$W"&amp;INDEX('Infos Clientes'!$C:$C,MATCH(C1009,'Infos Clientes'!$H:$H,0))&amp;":$CZ"&amp;INDEX('Infos Clientes'!$C:$C,MATCH(C1009,'Infos Clientes'!$H:$H,0))),"&gt;="&amp;0,'Infos Clientes'!$W$2:$CZ$2,"&gt;"&amp;$R1009-365,'Infos Clientes'!$W$2:$CZ$2,"&lt;="&amp;$R1009),""),"")</f>
        <v>1737.5558333333331</v>
      </c>
      <c r="CB1009" s="87">
        <f>VLOOKUP(C1009,'Infos Clientes'!B:L,11,0)</f>
        <v>0</v>
      </c>
      <c r="CC1009" s="88" t="str">
        <f t="shared" si="595"/>
        <v>A Unidade Consumidora 10/5202-7 economizou R$530,97 na fatura referente à nov/2025  consumindo 2085 kWh em créditos de energia renovável conforme fatura de energia. A economia foi de 21% em relação ao que seria pago para a Energisa considerando os créditos consumidos. Atenção: Mantenha as contas da Energisa em dia para evitar cortes.</v>
      </c>
      <c r="CF1009" s="115">
        <f t="shared" si="596"/>
        <v>-381.03999999999957</v>
      </c>
    </row>
    <row r="1010" spans="3:84" ht="16.2" customHeight="1" x14ac:dyDescent="0.3">
      <c r="C1010" s="31" t="s">
        <v>57</v>
      </c>
      <c r="D1010" s="31" t="s">
        <v>351</v>
      </c>
      <c r="E1010" s="31" t="s">
        <v>352</v>
      </c>
      <c r="F1010" s="56" t="str">
        <f>INDEX('Infos Clientes'!$I:$I,MATCH('Detalhe Por UC'!C1010,'Infos Clientes'!B:B,0))</f>
        <v>BT</v>
      </c>
      <c r="G1010" s="56" t="str">
        <f>INDEX('Infos Clientes'!$J:$J,MATCH('Detalhe Por UC'!C1010,'Infos Clientes'!B:B,0))</f>
        <v>trifasico</v>
      </c>
      <c r="H1010" s="156" t="s">
        <v>24</v>
      </c>
      <c r="I1010" s="58">
        <f>IFERROR(VLOOKUP(C1010,'Infos Clientes'!B:E,4,),"")</f>
        <v>306</v>
      </c>
      <c r="J1010" s="157">
        <v>0.21</v>
      </c>
      <c r="K1010" s="79">
        <f>INDEX('Resumo Operacional'!$A$1:$P$151,MATCH("Desconto percentual Ucs",'Resumo Operacional'!$B$1:$B$151,0),MATCH('Detalhe Por UC'!$R1010,'Resumo Operacional'!$A$1:$P$1,0))</f>
        <v>0.21</v>
      </c>
      <c r="M1010" s="56"/>
      <c r="N1010" s="56"/>
      <c r="O1010" s="56"/>
      <c r="P1010" s="56"/>
      <c r="Q1010" s="61"/>
      <c r="R1010" s="111">
        <v>45962</v>
      </c>
      <c r="S1010" s="152">
        <v>6.6199999999999995E-2</v>
      </c>
      <c r="T1010" s="113">
        <f>IF($H1010="GIROSSOL II",AP1010/INDEX('Resumo Operacional'!$A$1:$P$1103,17,MATCH('Detalhe Por UC'!$R1010,'Resumo Operacional'!$A$1:$P$1,0)),
IF($H1010="GIROSSOL II e III",AP1010/INDEX('Resumo Operacional'!$A$1:$P$1103,17,MATCH('Detalhe Por UC'!$R1010,'Resumo Operacional'!$A$1:$P$1,0)),
""))</f>
        <v>0</v>
      </c>
      <c r="U1010" s="113" t="str">
        <f>IF($H1010="GIROSSOL III",AP1010/INDEX('Resumo Operacional'!$A$1:$P$1103,53,MATCH('Detalhe Por UC'!$R1010,'Resumo Operacional'!$A$1:$P$1,0)),
IF($H1010="GIROSSOL II e III",AP1010/INDEX('Resumo Operacional'!$A$1:$P$1103,53,MATCH('Detalhe Por UC'!$R1010,'Resumo Operacional'!$A$1:$P$1,0)),
""))</f>
        <v/>
      </c>
      <c r="X1010">
        <v>1.212721101992966</v>
      </c>
      <c r="Z1010">
        <v>1.2127106241699865</v>
      </c>
      <c r="AB1010">
        <v>853</v>
      </c>
      <c r="AD1010">
        <v>753</v>
      </c>
      <c r="AF1010">
        <v>70</v>
      </c>
      <c r="AG1010">
        <v>0</v>
      </c>
      <c r="AH1010">
        <v>126.28</v>
      </c>
      <c r="AK1010">
        <v>247.56</v>
      </c>
      <c r="AL1010" s="43">
        <v>0</v>
      </c>
      <c r="AN1010" s="71">
        <f t="shared" si="563"/>
        <v>-753</v>
      </c>
      <c r="AO1010" s="71">
        <f t="shared" si="564"/>
        <v>0</v>
      </c>
      <c r="AP1010" s="71">
        <f t="shared" si="565"/>
        <v>0</v>
      </c>
      <c r="AQ1010" s="72">
        <f>IF(OR($H1010="GIROSSOL II",$H1010="GIROSSOL II e III"),INDEX('Resumo Operacional'!$A$1:$P$1103,MATCH("Energia Injetada prevista total Fatura da Usina (TUSD)",'Resumo Operacional'!$B$1:$B$1103,0),MATCH('Detalhe Por UC'!$R1010,'Resumo Operacional'!$A$1:$P$1,0))*$S1010,INDEX('Resumo Operacional'!$A$1:$P$1103,53,MATCH('Detalhe Por UC'!$R1010,'Resumo Operacional'!$A$1:$P$1,0))*$S1010)</f>
        <v>814.06139999999994</v>
      </c>
      <c r="AR1010" s="71">
        <f t="shared" si="566"/>
        <v>-814.06139999999994</v>
      </c>
      <c r="AS1010" s="73">
        <f t="shared" si="567"/>
        <v>247.56000000000009</v>
      </c>
      <c r="AT1010" s="74">
        <f t="shared" si="568"/>
        <v>247.56000000000009</v>
      </c>
      <c r="AU1010" s="74">
        <f t="shared" si="569"/>
        <v>1.2127001463470071</v>
      </c>
      <c r="AV1010" s="74">
        <f t="shared" si="570"/>
        <v>721.40516899999989</v>
      </c>
      <c r="AW1010" s="74">
        <f t="shared" si="571"/>
        <v>47.509999999999991</v>
      </c>
      <c r="AX1010" s="74">
        <f t="shared" si="572"/>
        <v>960.6810999999999</v>
      </c>
      <c r="AY1010" s="74">
        <f t="shared" si="573"/>
        <v>768.92</v>
      </c>
      <c r="AZ1010" s="76">
        <v>845.34</v>
      </c>
      <c r="BC1010" s="73" t="str">
        <f t="shared" si="574"/>
        <v/>
      </c>
      <c r="BD1010" s="73">
        <f t="shared" si="575"/>
        <v>1160.7311</v>
      </c>
      <c r="BE1010" s="73">
        <f t="shared" si="576"/>
        <v>968.96516899999995</v>
      </c>
      <c r="BF1010" s="77">
        <f t="shared" si="577"/>
        <v>191.77</v>
      </c>
      <c r="BG1010" s="77">
        <f t="shared" si="578"/>
        <v>57.530999999999999</v>
      </c>
      <c r="BH1010" s="77">
        <f t="shared" si="579"/>
        <v>913.17109999999991</v>
      </c>
      <c r="BI1010" s="78">
        <f t="shared" si="580"/>
        <v>0.2</v>
      </c>
      <c r="BJ1010" s="79">
        <f t="shared" si="581"/>
        <v>0.16521483744167795</v>
      </c>
      <c r="BK1010" s="80">
        <f t="shared" si="582"/>
        <v>1016.48</v>
      </c>
      <c r="BL1010" s="80">
        <f t="shared" si="583"/>
        <v>144.25109999999995</v>
      </c>
      <c r="BM1010" s="79">
        <f t="shared" si="584"/>
        <v>0.12427607048695426</v>
      </c>
      <c r="BN1010" s="81">
        <f t="shared" si="585"/>
        <v>1.0211420982735724</v>
      </c>
      <c r="BO1010" s="82">
        <f t="shared" si="586"/>
        <v>768.92</v>
      </c>
      <c r="BP1010" s="81">
        <f t="shared" si="587"/>
        <v>1.0211420982735724</v>
      </c>
      <c r="BQ1010" s="81">
        <f t="shared" si="588"/>
        <v>1.0211525760965519</v>
      </c>
      <c r="BR1010" s="81">
        <f t="shared" si="589"/>
        <v>1.212721101992966</v>
      </c>
      <c r="BS1010" s="82">
        <f t="shared" si="590"/>
        <v>753</v>
      </c>
      <c r="BT1010" s="82">
        <f t="shared" si="591"/>
        <v>913.17898980070345</v>
      </c>
      <c r="BU1010" s="82">
        <f t="shared" si="592"/>
        <v>913.17109999999991</v>
      </c>
      <c r="BW1010" s="82">
        <f>IFERROR(INDEX('Infos Clientes'!$T:$T,MATCH('Detalhe Por UC'!$C1010,'Infos Clientes'!B:B,0)),"")</f>
        <v>511.41666666666669</v>
      </c>
      <c r="BX1010" s="83">
        <f t="shared" si="593"/>
        <v>0</v>
      </c>
      <c r="BY1010" s="84">
        <f t="shared" si="594"/>
        <v>0.15796585511837272</v>
      </c>
      <c r="BZ1010" s="85">
        <f>IF(_xlfn.MINIFS('Detalhe Por UC'!R:R,'Detalhe Por UC'!C:C,C1010,'Detalhe Por UC'!AD:AD,"&gt;"&amp;0)=0,"",_xlfn.MINIFS('Detalhe Por UC'!R:R,'Detalhe Por UC'!C:C,C1010,'Detalhe Por UC'!AD:AD,"&gt;"&amp;0))</f>
        <v>45627</v>
      </c>
      <c r="CA1010" s="114">
        <f ca="1">IF(OR(S1010&gt;0,AD1010&gt;0),IFERROR(
SUMIFS(INDIRECT("'Infos Clientes'!$W"&amp;INDEX('Infos Clientes'!$C:$C,MATCH(C1010,'Infos Clientes'!$H:$H,0))&amp;":$CZ"&amp;INDEX('Infos Clientes'!$C:$C,MATCH(C1010,'Infos Clientes'!$H:$H,0))),'Infos Clientes'!$W$2:$CZ$2,"&gt;"&amp;$R1010-365,'Infos Clientes'!$W$2:$CZ$2,"&lt;="&amp;$R1010)/
COUNTIFS(INDIRECT("'Infos Clientes'!$W"&amp;INDEX('Infos Clientes'!$C:$C,MATCH(C1010,'Infos Clientes'!$H:$H,0))&amp;":$CZ"&amp;INDEX('Infos Clientes'!$C:$C,MATCH(C1010,'Infos Clientes'!$H:$H,0))),"&gt;="&amp;0,'Infos Clientes'!$W$2:$CZ$2,"&gt;"&amp;$R1010-365,'Infos Clientes'!$W$2:$CZ$2,"&lt;="&amp;$R1010),""),"")</f>
        <v>754.16666666666663</v>
      </c>
      <c r="CB1010" s="87">
        <f>VLOOKUP(C1010,'Infos Clientes'!B:L,11,0)</f>
        <v>0</v>
      </c>
      <c r="CC1010" s="88" t="str">
        <f t="shared" si="595"/>
        <v>A Unidade Consumidora 10/1695011-5 economizou R$191,77 na fatura referente à nov/2025  consumindo 753 kWh em créditos de energia renovável conforme fatura de energia. A economia foi de 21% em relação ao que seria pago para a Energisa considerando os créditos consumidos. Atenção: Mantenha as contas da Energisa em dia para evitar cortes.</v>
      </c>
      <c r="CF1010" s="115">
        <f t="shared" si="596"/>
        <v>-247.56000000000009</v>
      </c>
    </row>
    <row r="1011" spans="3:84" ht="16.2" customHeight="1" x14ac:dyDescent="0.3">
      <c r="C1011" s="31" t="s">
        <v>61</v>
      </c>
      <c r="D1011" s="31" t="s">
        <v>351</v>
      </c>
      <c r="E1011" s="31" t="s">
        <v>352</v>
      </c>
      <c r="F1011" s="56" t="str">
        <f>INDEX('Infos Clientes'!$I:$I,MATCH('Detalhe Por UC'!C1011,'Infos Clientes'!B:B,0))</f>
        <v>BT</v>
      </c>
      <c r="G1011" s="56" t="str">
        <f>INDEX('Infos Clientes'!$J:$J,MATCH('Detalhe Por UC'!C1011,'Infos Clientes'!B:B,0))</f>
        <v>trifasico</v>
      </c>
      <c r="H1011" s="156" t="s">
        <v>24</v>
      </c>
      <c r="I1011" s="58">
        <f>IFERROR(VLOOKUP(C1011,'Infos Clientes'!B:E,4,),"")</f>
        <v>357</v>
      </c>
      <c r="J1011" s="157">
        <v>0.21</v>
      </c>
      <c r="K1011" s="79">
        <f>INDEX('Resumo Operacional'!$A$1:$P$151,MATCH("Desconto percentual Ucs",'Resumo Operacional'!$B$1:$B$151,0),MATCH('Detalhe Por UC'!$R1011,'Resumo Operacional'!$A$1:$P$1,0))</f>
        <v>0.21</v>
      </c>
      <c r="M1011" s="56"/>
      <c r="N1011" s="56"/>
      <c r="O1011" s="56"/>
      <c r="P1011" s="56"/>
      <c r="Q1011" s="61"/>
      <c r="R1011" s="111">
        <v>45962</v>
      </c>
      <c r="S1011" s="152">
        <v>6.4500000000000002E-2</v>
      </c>
      <c r="T1011" s="113">
        <f>IF($H1011="GIROSSOL II",AP1011/INDEX('Resumo Operacional'!$A$1:$P$1103,17,MATCH('Detalhe Por UC'!$R1011,'Resumo Operacional'!$A$1:$P$1,0)),
IF($H1011="GIROSSOL II e III",AP1011/INDEX('Resumo Operacional'!$A$1:$P$1103,17,MATCH('Detalhe Por UC'!$R1011,'Resumo Operacional'!$A$1:$P$1,0)),
""))</f>
        <v>6.4487273318695623E-2</v>
      </c>
      <c r="U1011" s="113" t="str">
        <f>IF($H1011="GIROSSOL III",AP1011/INDEX('Resumo Operacional'!$A$1:$P$1103,53,MATCH('Detalhe Por UC'!$R1011,'Resumo Operacional'!$A$1:$P$1,0)),
IF($H1011="GIROSSOL II e III",AP1011/INDEX('Resumo Operacional'!$A$1:$P$1103,53,MATCH('Detalhe Por UC'!$R1011,'Resumo Operacional'!$A$1:$P$1,0)),
""))</f>
        <v/>
      </c>
      <c r="X1011" s="158">
        <v>1.2127205223880595</v>
      </c>
      <c r="Y1011" s="158"/>
      <c r="Z1011" s="158">
        <v>1.212722633744856</v>
      </c>
      <c r="AA1011" s="158"/>
      <c r="AB1011" s="158">
        <v>1072</v>
      </c>
      <c r="AC1011" s="158"/>
      <c r="AD1011" s="158">
        <v>972</v>
      </c>
      <c r="AE1011" s="158"/>
      <c r="AF1011" s="158">
        <v>47</v>
      </c>
      <c r="AG1011" s="158">
        <v>0</v>
      </c>
      <c r="AH1011" s="158">
        <v>3.19</v>
      </c>
      <c r="AI1011" s="158"/>
      <c r="AJ1011" s="158"/>
      <c r="AK1011" s="158">
        <v>124.46</v>
      </c>
      <c r="AL1011" s="43">
        <f>AK1011-AT1011</f>
        <v>2.4158453015843406E-13</v>
      </c>
      <c r="AN1011" s="71">
        <f t="shared" si="563"/>
        <v>-179</v>
      </c>
      <c r="AO1011" s="71">
        <f t="shared" si="564"/>
        <v>0</v>
      </c>
      <c r="AP1011" s="71">
        <f t="shared" si="565"/>
        <v>793</v>
      </c>
      <c r="AQ1011" s="72">
        <f>IF(OR($H1011="GIROSSOL II",$H1011="GIROSSOL II e III"),INDEX('Resumo Operacional'!$A$1:$P$1103,MATCH("Energia Injetada prevista total Fatura da Usina (TUSD)",'Resumo Operacional'!$B$1:$B$1103,0),MATCH('Detalhe Por UC'!$R1011,'Resumo Operacional'!$A$1:$P$1,0))*$S1011,INDEX('Resumo Operacional'!$A$1:$P$1103,53,MATCH('Detalhe Por UC'!$R1011,'Resumo Operacional'!$A$1:$P$1,0))*$S1011)</f>
        <v>793.15650000000005</v>
      </c>
      <c r="AR1011" s="71">
        <f t="shared" si="566"/>
        <v>-0.15650000000005093</v>
      </c>
      <c r="AS1011" s="73">
        <f t="shared" si="567"/>
        <v>124.45999999999975</v>
      </c>
      <c r="AT1011" s="74">
        <f t="shared" si="568"/>
        <v>124.45999999999975</v>
      </c>
      <c r="AU1011" s="74">
        <f t="shared" si="569"/>
        <v>1.2127247451016525</v>
      </c>
      <c r="AV1011" s="74">
        <f t="shared" si="570"/>
        <v>931.22545600000001</v>
      </c>
      <c r="AW1011" s="74">
        <f t="shared" si="571"/>
        <v>0</v>
      </c>
      <c r="AX1011" s="74">
        <f t="shared" si="572"/>
        <v>1178.7664</v>
      </c>
      <c r="AY1011" s="74">
        <f t="shared" si="573"/>
        <v>931.23</v>
      </c>
      <c r="AZ1011" s="129">
        <v>931.23</v>
      </c>
      <c r="BC1011" s="73" t="str">
        <f t="shared" si="574"/>
        <v/>
      </c>
      <c r="BD1011" s="73">
        <f t="shared" si="575"/>
        <v>1303.2263999999998</v>
      </c>
      <c r="BE1011" s="73">
        <f t="shared" si="576"/>
        <v>1055.6854559999997</v>
      </c>
      <c r="BF1011" s="77">
        <f t="shared" si="577"/>
        <v>247.54</v>
      </c>
      <c r="BG1011" s="77">
        <f t="shared" si="578"/>
        <v>74.262</v>
      </c>
      <c r="BH1011" s="77">
        <f t="shared" si="579"/>
        <v>1178.7664000000002</v>
      </c>
      <c r="BI1011" s="78">
        <f t="shared" si="580"/>
        <v>0.21</v>
      </c>
      <c r="BJ1011" s="79">
        <f t="shared" si="581"/>
        <v>0.18994397289680445</v>
      </c>
      <c r="BK1011" s="80">
        <f t="shared" si="582"/>
        <v>1055.6899999999998</v>
      </c>
      <c r="BL1011" s="80">
        <f t="shared" si="583"/>
        <v>247.53639999999996</v>
      </c>
      <c r="BM1011" s="79">
        <f t="shared" si="584"/>
        <v>0.18994121052182492</v>
      </c>
      <c r="BN1011" s="81">
        <f t="shared" si="585"/>
        <v>0.95805555555555555</v>
      </c>
      <c r="BO1011" s="82">
        <f t="shared" si="586"/>
        <v>931.23</v>
      </c>
      <c r="BP1011" s="81">
        <f t="shared" si="587"/>
        <v>0.95805555555555555</v>
      </c>
      <c r="BQ1011" s="81">
        <f t="shared" si="588"/>
        <v>0.95805344419875904</v>
      </c>
      <c r="BR1011" s="81">
        <f t="shared" si="589"/>
        <v>1.2127205223880595</v>
      </c>
      <c r="BS1011" s="82">
        <f t="shared" si="590"/>
        <v>972</v>
      </c>
      <c r="BT1011" s="82">
        <f t="shared" si="591"/>
        <v>1178.7643477611939</v>
      </c>
      <c r="BU1011" s="82">
        <f t="shared" si="592"/>
        <v>1178.7664</v>
      </c>
      <c r="BW1011" s="82">
        <f>IFERROR(INDEX('Infos Clientes'!$T:$T,MATCH('Detalhe Por UC'!$C1011,'Infos Clientes'!B:B,0)),"")</f>
        <v>958.25</v>
      </c>
      <c r="BX1011" s="83">
        <f t="shared" si="593"/>
        <v>0</v>
      </c>
      <c r="BY1011" s="84">
        <f t="shared" si="594"/>
        <v>0.20999651072764589</v>
      </c>
      <c r="BZ1011" s="85">
        <f>IF(_xlfn.MINIFS('Detalhe Por UC'!R:R,'Detalhe Por UC'!C:C,C1011,'Detalhe Por UC'!AD:AD,"&gt;"&amp;0)=0,"",_xlfn.MINIFS('Detalhe Por UC'!R:R,'Detalhe Por UC'!C:C,C1011,'Detalhe Por UC'!AD:AD,"&gt;"&amp;0))</f>
        <v>45627</v>
      </c>
      <c r="CA1011" s="114">
        <f ca="1">IF(OR(S1011&gt;0,AD1011&gt;0),IFERROR(
SUMIFS(INDIRECT("'Infos Clientes'!$W"&amp;INDEX('Infos Clientes'!$C:$C,MATCH(C1011,'Infos Clientes'!$H:$H,0))&amp;":$CZ"&amp;INDEX('Infos Clientes'!$C:$C,MATCH(C1011,'Infos Clientes'!$H:$H,0))),'Infos Clientes'!$W$2:$CZ$2,"&gt;"&amp;$R1011-365,'Infos Clientes'!$W$2:$CZ$2,"&lt;="&amp;$R1011)/
COUNTIFS(INDIRECT("'Infos Clientes'!$W"&amp;INDEX('Infos Clientes'!$C:$C,MATCH(C1011,'Infos Clientes'!$H:$H,0))&amp;":$CZ"&amp;INDEX('Infos Clientes'!$C:$C,MATCH(C1011,'Infos Clientes'!$H:$H,0))),"&gt;="&amp;0,'Infos Clientes'!$W$2:$CZ$2,"&gt;"&amp;$R1011-365,'Infos Clientes'!$W$2:$CZ$2,"&lt;="&amp;$R1011),""),"")</f>
        <v>955.33333333333337</v>
      </c>
      <c r="CB1011" s="87">
        <f>VLOOKUP(C1011,'Infos Clientes'!B:L,11,0)</f>
        <v>0</v>
      </c>
      <c r="CC1011" s="88" t="str">
        <f t="shared" si="595"/>
        <v>A Unidade Consumidora 10/18015-8 economizou R$247,54 na fatura referente à nov/2025  consumindo 972 kWh em créditos de energia renovável conforme fatura de energia. A economia foi de 21% em relação ao que seria pago para a Energisa considerando os créditos consumidos. Atenção: Mantenha as contas da Energisa em dia para evitar cortes.</v>
      </c>
      <c r="CF1011" s="115">
        <f t="shared" si="596"/>
        <v>-124.45999999999975</v>
      </c>
    </row>
    <row r="1012" spans="3:84" ht="16.2" customHeight="1" x14ac:dyDescent="0.3">
      <c r="C1012" s="31" t="s">
        <v>87</v>
      </c>
      <c r="D1012" s="31" t="s">
        <v>351</v>
      </c>
      <c r="E1012" s="31" t="s">
        <v>352</v>
      </c>
      <c r="F1012" s="56" t="str">
        <f>INDEX('Infos Clientes'!$I:$I,MATCH('Detalhe Por UC'!C1012,'Infos Clientes'!B:B,0))</f>
        <v>BT</v>
      </c>
      <c r="G1012" s="56" t="str">
        <f>INDEX('Infos Clientes'!$J:$J,MATCH('Detalhe Por UC'!C1012,'Infos Clientes'!B:B,0))</f>
        <v>trifasico</v>
      </c>
      <c r="H1012" s="156" t="s">
        <v>24</v>
      </c>
      <c r="I1012" s="58">
        <f>IFERROR(VLOOKUP(C1012,'Infos Clientes'!B:E,4,),"")</f>
        <v>371</v>
      </c>
      <c r="J1012" s="157">
        <v>0.21</v>
      </c>
      <c r="K1012" s="79">
        <f>INDEX('Resumo Operacional'!$A$1:$P$151,MATCH("Desconto percentual Ucs",'Resumo Operacional'!$B$1:$B$151,0),MATCH('Detalhe Por UC'!$R1012,'Resumo Operacional'!$A$1:$P$1,0))</f>
        <v>0.21</v>
      </c>
      <c r="M1012" s="56"/>
      <c r="N1012" s="56"/>
      <c r="O1012" s="56"/>
      <c r="P1012" s="56"/>
      <c r="Q1012" s="61"/>
      <c r="R1012" s="111">
        <v>45962</v>
      </c>
      <c r="S1012" s="152">
        <v>6.3299999999999995E-2</v>
      </c>
      <c r="T1012" s="113">
        <f>IF($H1012="GIROSSOL II",AP1012/INDEX('Resumo Operacional'!$A$1:$P$1103,17,MATCH('Detalhe Por UC'!$R1012,'Resumo Operacional'!$A$1:$P$1,0)),
IF($H1012="GIROSSOL II e III",AP1012/INDEX('Resumo Operacional'!$A$1:$P$1103,17,MATCH('Detalhe Por UC'!$R1012,'Resumo Operacional'!$A$1:$P$1,0)),
""))</f>
        <v>6.3267463609010324E-2</v>
      </c>
      <c r="U1012" s="113" t="str">
        <f>IF($H1012="GIROSSOL III",AP1012/INDEX('Resumo Operacional'!$A$1:$P$1103,53,MATCH('Detalhe Por UC'!$R1012,'Resumo Operacional'!$A$1:$P$1,0)),
IF($H1012="GIROSSOL II e III",AP1012/INDEX('Resumo Operacional'!$A$1:$P$1103,53,MATCH('Detalhe Por UC'!$R1012,'Resumo Operacional'!$A$1:$P$1,0)),
""))</f>
        <v/>
      </c>
      <c r="X1012" s="158">
        <v>1.2127238313473876</v>
      </c>
      <c r="Y1012" s="158"/>
      <c r="Z1012" s="158">
        <v>1.2127161453077699</v>
      </c>
      <c r="AA1012" s="158"/>
      <c r="AB1012" s="158">
        <v>1091</v>
      </c>
      <c r="AC1012" s="158"/>
      <c r="AD1012" s="158">
        <v>991</v>
      </c>
      <c r="AE1012" s="158"/>
      <c r="AF1012" s="158">
        <v>215</v>
      </c>
      <c r="AG1012" s="158">
        <v>0</v>
      </c>
      <c r="AH1012" s="158">
        <v>111.02</v>
      </c>
      <c r="AI1012" s="158"/>
      <c r="AJ1012" s="158"/>
      <c r="AK1012" s="158">
        <v>232.3</v>
      </c>
      <c r="AL1012" s="43">
        <f t="shared" ref="AL1012" si="597">AK1012-AT1012</f>
        <v>0</v>
      </c>
      <c r="AN1012" s="71">
        <f t="shared" si="563"/>
        <v>-213</v>
      </c>
      <c r="AO1012" s="71">
        <f t="shared" si="564"/>
        <v>0</v>
      </c>
      <c r="AP1012" s="71">
        <f t="shared" si="565"/>
        <v>778</v>
      </c>
      <c r="AQ1012" s="72">
        <f>IF(OR($H1012="GIROSSOL II",$H1012="GIROSSOL II e III"),INDEX('Resumo Operacional'!$A$1:$P$1103,MATCH("Energia Injetada prevista total Fatura da Usina (TUSD)",'Resumo Operacional'!$B$1:$B$1103,0),MATCH('Detalhe Por UC'!$R1012,'Resumo Operacional'!$A$1:$P$1,0))*$S1012,INDEX('Resumo Operacional'!$A$1:$P$1103,53,MATCH('Detalhe Por UC'!$R1012,'Resumo Operacional'!$A$1:$P$1,0))*$S1012)</f>
        <v>778.40009999999995</v>
      </c>
      <c r="AR1012" s="71">
        <f t="shared" si="566"/>
        <v>-0.40009999999995216</v>
      </c>
      <c r="AS1012" s="73">
        <f t="shared" si="567"/>
        <v>232.29999999999995</v>
      </c>
      <c r="AT1012" s="74">
        <f t="shared" si="568"/>
        <v>232.29999999999995</v>
      </c>
      <c r="AU1012" s="74">
        <f t="shared" si="569"/>
        <v>1.2127084592681523</v>
      </c>
      <c r="AV1012" s="74">
        <f t="shared" si="570"/>
        <v>949.42334300000005</v>
      </c>
      <c r="AW1012" s="74">
        <f t="shared" si="571"/>
        <v>0</v>
      </c>
      <c r="AX1012" s="74">
        <f t="shared" si="572"/>
        <v>1201.8017</v>
      </c>
      <c r="AY1012" s="74">
        <f t="shared" si="573"/>
        <v>949.42</v>
      </c>
      <c r="AZ1012" s="129">
        <v>949.42</v>
      </c>
      <c r="BC1012" s="73" t="str">
        <f t="shared" si="574"/>
        <v/>
      </c>
      <c r="BD1012" s="73">
        <f t="shared" si="575"/>
        <v>1434.1016999999999</v>
      </c>
      <c r="BE1012" s="73">
        <f t="shared" si="576"/>
        <v>1181.7233430000001</v>
      </c>
      <c r="BF1012" s="77">
        <f t="shared" si="577"/>
        <v>252.38</v>
      </c>
      <c r="BG1012" s="77">
        <f t="shared" si="578"/>
        <v>75.713999999999999</v>
      </c>
      <c r="BH1012" s="77">
        <f t="shared" si="579"/>
        <v>1201.8017</v>
      </c>
      <c r="BI1012" s="78">
        <f t="shared" si="580"/>
        <v>0.21</v>
      </c>
      <c r="BJ1012" s="79">
        <f t="shared" si="581"/>
        <v>0.17598472967433201</v>
      </c>
      <c r="BK1012" s="80">
        <f t="shared" si="582"/>
        <v>1181.7199999999998</v>
      </c>
      <c r="BL1012" s="80">
        <f t="shared" si="583"/>
        <v>252.38170000000014</v>
      </c>
      <c r="BM1012" s="79">
        <f t="shared" si="584"/>
        <v>0.17598591508538072</v>
      </c>
      <c r="BN1012" s="81">
        <f t="shared" si="585"/>
        <v>0.958042381432896</v>
      </c>
      <c r="BO1012" s="82">
        <f t="shared" si="586"/>
        <v>949.42</v>
      </c>
      <c r="BP1012" s="81">
        <f t="shared" si="587"/>
        <v>0.958042381432896</v>
      </c>
      <c r="BQ1012" s="81">
        <f t="shared" si="588"/>
        <v>0.95805006747251364</v>
      </c>
      <c r="BR1012" s="81">
        <f t="shared" si="589"/>
        <v>1.2127238313473876</v>
      </c>
      <c r="BS1012" s="82">
        <f t="shared" si="590"/>
        <v>991</v>
      </c>
      <c r="BT1012" s="82">
        <f t="shared" si="591"/>
        <v>1201.8093168652611</v>
      </c>
      <c r="BU1012" s="82">
        <f t="shared" si="592"/>
        <v>1201.8017</v>
      </c>
      <c r="BW1012" s="82">
        <f>IFERROR(INDEX('Infos Clientes'!$T:$T,MATCH('Detalhe Por UC'!$C1012,'Infos Clientes'!B:B,0)),"")</f>
        <v>1056.1666666666667</v>
      </c>
      <c r="BX1012" s="83">
        <f t="shared" si="593"/>
        <v>0</v>
      </c>
      <c r="BY1012" s="84">
        <f t="shared" si="594"/>
        <v>0.21000145069460752</v>
      </c>
      <c r="BZ1012" s="85">
        <f>IF(_xlfn.MINIFS('Detalhe Por UC'!R:R,'Detalhe Por UC'!C:C,C1012,'Detalhe Por UC'!AD:AD,"&gt;"&amp;0)=0,"",_xlfn.MINIFS('Detalhe Por UC'!R:R,'Detalhe Por UC'!C:C,C1012,'Detalhe Por UC'!AD:AD,"&gt;"&amp;0))</f>
        <v>45627</v>
      </c>
      <c r="CA1012" s="114">
        <f ca="1">IF(OR(S1012&gt;0,AD1012&gt;0),IFERROR(
SUMIFS(INDIRECT("'Infos Clientes'!$W"&amp;INDEX('Infos Clientes'!$C:$C,MATCH(C1012,'Infos Clientes'!$H:$H,0))&amp;":$CZ"&amp;INDEX('Infos Clientes'!$C:$C,MATCH(C1012,'Infos Clientes'!$H:$H,0))),'Infos Clientes'!$W$2:$CZ$2,"&gt;"&amp;$R1012-365,'Infos Clientes'!$W$2:$CZ$2,"&lt;="&amp;$R1012)/
COUNTIFS(INDIRECT("'Infos Clientes'!$W"&amp;INDEX('Infos Clientes'!$C:$C,MATCH(C1012,'Infos Clientes'!$H:$H,0))&amp;":$CZ"&amp;INDEX('Infos Clientes'!$C:$C,MATCH(C1012,'Infos Clientes'!$H:$H,0))),"&gt;="&amp;0,'Infos Clientes'!$W$2:$CZ$2,"&gt;"&amp;$R1012-365,'Infos Clientes'!$W$2:$CZ$2,"&lt;="&amp;$R1012),""),"")</f>
        <v>1050.3333333333333</v>
      </c>
      <c r="CB1012" s="87">
        <f>VLOOKUP(C1012,'Infos Clientes'!B:L,11,0)</f>
        <v>0</v>
      </c>
      <c r="CC1012" s="88" t="str">
        <f t="shared" si="595"/>
        <v>A Unidade Consumidora 10/2605731-5 economizou R$252,38 na fatura referente à nov/2025  consumindo 991 kWh em créditos de energia renovável conforme fatura de energia. A economia foi de 21% em relação ao que seria pago para a Energisa considerando os créditos consumidos. Atenção: Mantenha as contas da Energisa em dia para evitar cortes.</v>
      </c>
      <c r="CF1012" s="115">
        <f t="shared" si="596"/>
        <v>-232.29999999999995</v>
      </c>
    </row>
    <row r="1013" spans="3:84" ht="16.2" customHeight="1" x14ac:dyDescent="0.3">
      <c r="C1013" s="31" t="s">
        <v>70</v>
      </c>
      <c r="D1013" s="31" t="s">
        <v>351</v>
      </c>
      <c r="E1013" s="31" t="s">
        <v>352</v>
      </c>
      <c r="F1013" s="56" t="str">
        <f>INDEX('Infos Clientes'!$I:$I,MATCH('Detalhe Por UC'!C1013,'Infos Clientes'!B:B,0))</f>
        <v>BT</v>
      </c>
      <c r="G1013" s="56" t="str">
        <f>INDEX('Infos Clientes'!$J:$J,MATCH('Detalhe Por UC'!C1013,'Infos Clientes'!B:B,0))</f>
        <v>trifasico</v>
      </c>
      <c r="H1013" s="156" t="s">
        <v>24</v>
      </c>
      <c r="I1013" s="58">
        <f>IFERROR(VLOOKUP(C1013,'Infos Clientes'!B:E,4,),"")</f>
        <v>371</v>
      </c>
      <c r="J1013" s="157">
        <v>0.21</v>
      </c>
      <c r="K1013" s="79">
        <f>INDEX('Resumo Operacional'!$A$1:$P$151,MATCH("Desconto percentual Ucs",'Resumo Operacional'!$B$1:$B$151,0),MATCH('Detalhe Por UC'!$R1013,'Resumo Operacional'!$A$1:$P$1,0))</f>
        <v>0.21</v>
      </c>
      <c r="M1013" s="56"/>
      <c r="N1013" s="56"/>
      <c r="O1013" s="56"/>
      <c r="P1013" s="56"/>
      <c r="Q1013" s="61"/>
      <c r="R1013" s="111">
        <v>45962</v>
      </c>
      <c r="S1013" s="152">
        <v>4.9000000000000002E-2</v>
      </c>
      <c r="T1013" s="113">
        <f>IF($H1013="GIROSSOL II",AP1013/INDEX('Resumo Operacional'!$A$1:$P$1103,17,MATCH('Detalhe Por UC'!$R1013,'Resumo Operacional'!$A$1:$P$1,0)),
IF($H1013="GIROSSOL II e III",AP1013/INDEX('Resumo Operacional'!$A$1:$P$1103,17,MATCH('Detalhe Por UC'!$R1013,'Resumo Operacional'!$A$1:$P$1,0)),
""))</f>
        <v>5.0662763275595671E-2</v>
      </c>
      <c r="U1013" s="113" t="str">
        <f>IF($H1013="GIROSSOL III",AP1013/INDEX('Resumo Operacional'!$A$1:$P$1103,53,MATCH('Detalhe Por UC'!$R1013,'Resumo Operacional'!$A$1:$P$1,0)),
IF($H1013="GIROSSOL II e III",AP1013/INDEX('Resumo Operacional'!$A$1:$P$1103,53,MATCH('Detalhe Por UC'!$R1013,'Resumo Operacional'!$A$1:$P$1,0)),
""))</f>
        <v/>
      </c>
      <c r="X1013">
        <v>1.2127250000000001</v>
      </c>
      <c r="Z1013">
        <v>1.2127000000000001</v>
      </c>
      <c r="AB1013">
        <v>800</v>
      </c>
      <c r="AD1013">
        <v>700</v>
      </c>
      <c r="AF1013">
        <v>689</v>
      </c>
      <c r="AG1013">
        <v>0</v>
      </c>
      <c r="AH1013">
        <v>185.95000000000002</v>
      </c>
      <c r="AK1013">
        <v>307.24</v>
      </c>
      <c r="AL1013" s="43">
        <v>0</v>
      </c>
      <c r="AN1013" s="71">
        <f t="shared" si="563"/>
        <v>-77</v>
      </c>
      <c r="AO1013" s="71">
        <f t="shared" si="564"/>
        <v>0</v>
      </c>
      <c r="AP1013" s="71">
        <f t="shared" si="565"/>
        <v>623</v>
      </c>
      <c r="AQ1013" s="72">
        <f>IF(OR($H1013="GIROSSOL II",$H1013="GIROSSOL II e III"),INDEX('Resumo Operacional'!$A$1:$P$1103,MATCH("Energia Injetada prevista total Fatura da Usina (TUSD)",'Resumo Operacional'!$B$1:$B$1103,0),MATCH('Detalhe Por UC'!$R1013,'Resumo Operacional'!$A$1:$P$1,0))*$S1013,INDEX('Resumo Operacional'!$A$1:$P$1103,53,MATCH('Detalhe Por UC'!$R1013,'Resumo Operacional'!$A$1:$P$1,0))*$S1013)</f>
        <v>602.553</v>
      </c>
      <c r="AR1013" s="71">
        <f t="shared" si="566"/>
        <v>20.447000000000003</v>
      </c>
      <c r="AS1013" s="73">
        <f t="shared" si="567"/>
        <v>307.24</v>
      </c>
      <c r="AT1013" s="74">
        <f t="shared" si="568"/>
        <v>307.24</v>
      </c>
      <c r="AU1013" s="74">
        <f t="shared" si="569"/>
        <v>1.2126750000000002</v>
      </c>
      <c r="AV1013" s="74">
        <f t="shared" si="570"/>
        <v>670.62310000000014</v>
      </c>
      <c r="AW1013" s="74">
        <f t="shared" si="571"/>
        <v>-9.9999999999909051E-2</v>
      </c>
      <c r="AX1013" s="74">
        <f t="shared" si="572"/>
        <v>848.79000000000019</v>
      </c>
      <c r="AY1013" s="74">
        <f t="shared" si="573"/>
        <v>670.52</v>
      </c>
      <c r="AZ1013" s="129">
        <v>670.52</v>
      </c>
      <c r="BA1013" s="117"/>
      <c r="BC1013" s="73" t="str">
        <f t="shared" si="574"/>
        <v/>
      </c>
      <c r="BD1013" s="73">
        <f t="shared" si="575"/>
        <v>1156.1300000000001</v>
      </c>
      <c r="BE1013" s="73">
        <f t="shared" si="576"/>
        <v>977.86310000000014</v>
      </c>
      <c r="BF1013" s="77">
        <f t="shared" si="577"/>
        <v>178.27</v>
      </c>
      <c r="BG1013" s="77">
        <f t="shared" si="578"/>
        <v>53.481000000000002</v>
      </c>
      <c r="BH1013" s="77">
        <f t="shared" si="579"/>
        <v>848.8900000000001</v>
      </c>
      <c r="BI1013" s="78">
        <f t="shared" si="580"/>
        <v>0.21</v>
      </c>
      <c r="BJ1013" s="79">
        <f t="shared" si="581"/>
        <v>0.15419546244799459</v>
      </c>
      <c r="BK1013" s="80">
        <f t="shared" si="582"/>
        <v>977.76</v>
      </c>
      <c r="BL1013" s="80">
        <f t="shared" si="583"/>
        <v>178.37000000000012</v>
      </c>
      <c r="BM1013" s="79">
        <f t="shared" si="584"/>
        <v>0.15428195791130764</v>
      </c>
      <c r="BN1013" s="81">
        <f t="shared" si="585"/>
        <v>0.95788571428571423</v>
      </c>
      <c r="BO1013" s="82">
        <f t="shared" si="586"/>
        <v>670.52</v>
      </c>
      <c r="BP1013" s="81">
        <f t="shared" si="587"/>
        <v>0.95788571428571423</v>
      </c>
      <c r="BQ1013" s="81">
        <f t="shared" si="588"/>
        <v>0.95791071428571417</v>
      </c>
      <c r="BR1013" s="81">
        <f t="shared" si="589"/>
        <v>1.2127250000000001</v>
      </c>
      <c r="BS1013" s="82">
        <f t="shared" si="590"/>
        <v>700</v>
      </c>
      <c r="BT1013" s="82">
        <f t="shared" si="591"/>
        <v>848.90750000000003</v>
      </c>
      <c r="BU1013" s="82">
        <f t="shared" si="592"/>
        <v>848.8900000000001</v>
      </c>
      <c r="BW1013" s="82">
        <f>IFERROR(INDEX('Infos Clientes'!$T:$T,MATCH('Detalhe Por UC'!$C1013,'Infos Clientes'!B:B,0)),"")</f>
        <v>796.66666666666663</v>
      </c>
      <c r="BX1013" s="83">
        <f t="shared" si="593"/>
        <v>0</v>
      </c>
      <c r="BY1013" s="84">
        <f t="shared" si="594"/>
        <v>0.21011712112332628</v>
      </c>
      <c r="BZ1013" s="85">
        <f>IF(_xlfn.MINIFS('Detalhe Por UC'!R:R,'Detalhe Por UC'!C:C,C1013,'Detalhe Por UC'!AD:AD,"&gt;"&amp;0)=0,"",_xlfn.MINIFS('Detalhe Por UC'!R:R,'Detalhe Por UC'!C:C,C1013,'Detalhe Por UC'!AD:AD,"&gt;"&amp;0))</f>
        <v>45627</v>
      </c>
      <c r="CA1013" s="114">
        <f ca="1">IF(OR(S1013&gt;0,AD1013&gt;0),IFERROR(
SUMIFS(INDIRECT("'Infos Clientes'!$W"&amp;INDEX('Infos Clientes'!$C:$C,MATCH(C1013,'Infos Clientes'!$H:$H,0))&amp;":$CZ"&amp;INDEX('Infos Clientes'!$C:$C,MATCH(C1013,'Infos Clientes'!$H:$H,0))),'Infos Clientes'!$W$2:$CZ$2,"&gt;"&amp;$R1013-365,'Infos Clientes'!$W$2:$CZ$2,"&lt;="&amp;$R1013)/
COUNTIFS(INDIRECT("'Infos Clientes'!$W"&amp;INDEX('Infos Clientes'!$C:$C,MATCH(C1013,'Infos Clientes'!$H:$H,0))&amp;":$CZ"&amp;INDEX('Infos Clientes'!$C:$C,MATCH(C1013,'Infos Clientes'!$H:$H,0))),"&gt;="&amp;0,'Infos Clientes'!$W$2:$CZ$2,"&gt;"&amp;$R1013-365,'Infos Clientes'!$W$2:$CZ$2,"&lt;="&amp;$R1013),""),"")</f>
        <v>753.33333333333337</v>
      </c>
      <c r="CB1013" s="87">
        <f>VLOOKUP(C1013,'Infos Clientes'!B:L,11,0)</f>
        <v>0</v>
      </c>
      <c r="CC1013" s="88" t="str">
        <f t="shared" si="595"/>
        <v>A Unidade Consumidora 10/202838-9 economizou R$178,27 na fatura referente à nov/2025  consumindo 700 kWh em créditos de energia renovável conforme fatura de energia. A economia foi de 21% em relação ao que seria pago para a Energisa considerando os créditos consumidos. Atenção: Mantenha as contas da Energisa em dia para evitar cortes.</v>
      </c>
      <c r="CF1013" s="115">
        <f t="shared" si="596"/>
        <v>-307.24</v>
      </c>
    </row>
    <row r="1014" spans="3:84" ht="16.2" customHeight="1" x14ac:dyDescent="0.3">
      <c r="C1014" s="31" t="s">
        <v>64</v>
      </c>
      <c r="D1014" s="31" t="s">
        <v>351</v>
      </c>
      <c r="E1014" s="31" t="s">
        <v>352</v>
      </c>
      <c r="F1014" s="56" t="str">
        <f>INDEX('Infos Clientes'!$I:$I,MATCH('Detalhe Por UC'!C1014,'Infos Clientes'!B:B,0))</f>
        <v>BT</v>
      </c>
      <c r="G1014" s="56" t="str">
        <f>INDEX('Infos Clientes'!$J:$J,MATCH('Detalhe Por UC'!C1014,'Infos Clientes'!B:B,0))</f>
        <v>trifasico</v>
      </c>
      <c r="H1014" s="156" t="s">
        <v>24</v>
      </c>
      <c r="I1014" s="58">
        <f>IFERROR(VLOOKUP(C1014,'Infos Clientes'!B:E,4,),"")</f>
        <v>349</v>
      </c>
      <c r="J1014" s="157">
        <v>0.21</v>
      </c>
      <c r="K1014" s="79">
        <f>INDEX('Resumo Operacional'!$A$1:$P$151,MATCH("Desconto percentual Ucs",'Resumo Operacional'!$B$1:$B$151,0),MATCH('Detalhe Por UC'!$R1014,'Resumo Operacional'!$A$1:$P$1,0))</f>
        <v>0.21</v>
      </c>
      <c r="M1014" s="56"/>
      <c r="N1014" s="56"/>
      <c r="O1014" s="56"/>
      <c r="P1014" s="56"/>
      <c r="Q1014" s="61"/>
      <c r="R1014" s="111">
        <v>45962</v>
      </c>
      <c r="S1014" s="152">
        <v>4.4400000000000002E-2</v>
      </c>
      <c r="T1014" s="113">
        <f>IF($H1014="GIROSSOL II",AP1014/INDEX('Resumo Operacional'!$A$1:$P$1103,17,MATCH('Detalhe Por UC'!$R1014,'Resumo Operacional'!$A$1:$P$1,0)),
IF($H1014="GIROSSOL II e III",AP1014/INDEX('Resumo Operacional'!$A$1:$P$1103,17,MATCH('Detalhe Por UC'!$R1014,'Resumo Operacional'!$A$1:$P$1,0)),
""))</f>
        <v>4.4319752785232168E-2</v>
      </c>
      <c r="U1014" s="113" t="str">
        <f>IF($H1014="GIROSSOL III",AP1014/INDEX('Resumo Operacional'!$A$1:$P$1103,53,MATCH('Detalhe Por UC'!$R1014,'Resumo Operacional'!$A$1:$P$1,0)),
IF($H1014="GIROSSOL II e III",AP1014/INDEX('Resumo Operacional'!$A$1:$P$1103,53,MATCH('Detalhe Por UC'!$R1014,'Resumo Operacional'!$A$1:$P$1,0)),
""))</f>
        <v/>
      </c>
      <c r="X1014" s="158">
        <v>1.2128203193033382</v>
      </c>
      <c r="Y1014" s="158"/>
      <c r="Z1014" s="158">
        <v>1.212806791171477</v>
      </c>
      <c r="AA1014" s="158"/>
      <c r="AB1014" s="158">
        <v>689</v>
      </c>
      <c r="AC1014" s="158"/>
      <c r="AD1014" s="158">
        <v>589</v>
      </c>
      <c r="AE1014" s="158"/>
      <c r="AF1014" s="158">
        <v>392</v>
      </c>
      <c r="AG1014" s="158">
        <v>0</v>
      </c>
      <c r="AH1014" s="158">
        <v>125.8</v>
      </c>
      <c r="AI1014" s="158"/>
      <c r="AJ1014" s="158"/>
      <c r="AK1014" s="158">
        <v>247.09</v>
      </c>
      <c r="AL1014" s="43">
        <f t="shared" ref="AL1014:AL1015" si="598">AK1014-AT1014</f>
        <v>0</v>
      </c>
      <c r="AN1014" s="71">
        <f t="shared" si="563"/>
        <v>-44</v>
      </c>
      <c r="AO1014" s="71">
        <f t="shared" si="564"/>
        <v>0</v>
      </c>
      <c r="AP1014" s="71">
        <f t="shared" si="565"/>
        <v>545</v>
      </c>
      <c r="AQ1014" s="72">
        <f>IF(OR($H1014="GIROSSOL II",$H1014="GIROSSOL II e III"),INDEX('Resumo Operacional'!$A$1:$P$1103,MATCH("Energia Injetada prevista total Fatura da Usina (TUSD)",'Resumo Operacional'!$B$1:$B$1103,0),MATCH('Detalhe Por UC'!$R1014,'Resumo Operacional'!$A$1:$P$1,0))*$S1014,INDEX('Resumo Operacional'!$A$1:$P$1103,53,MATCH('Detalhe Por UC'!$R1014,'Resumo Operacional'!$A$1:$P$1,0))*$S1014)</f>
        <v>545.98680000000002</v>
      </c>
      <c r="AR1014" s="71">
        <f t="shared" si="566"/>
        <v>-0.98680000000001655</v>
      </c>
      <c r="AS1014" s="73">
        <f t="shared" si="567"/>
        <v>247.08999999999997</v>
      </c>
      <c r="AT1014" s="74">
        <f t="shared" si="568"/>
        <v>247.08999999999997</v>
      </c>
      <c r="AU1014" s="74">
        <f t="shared" si="569"/>
        <v>1.2127932630396159</v>
      </c>
      <c r="AV1014" s="74">
        <f t="shared" si="570"/>
        <v>564.33112800000004</v>
      </c>
      <c r="AW1014" s="74">
        <f t="shared" si="571"/>
        <v>0</v>
      </c>
      <c r="AX1014" s="74">
        <f t="shared" si="572"/>
        <v>714.34320000000002</v>
      </c>
      <c r="AY1014" s="74">
        <f t="shared" si="573"/>
        <v>564.33000000000004</v>
      </c>
      <c r="AZ1014" s="129">
        <v>564.33000000000004</v>
      </c>
      <c r="BC1014" s="73" t="str">
        <f t="shared" si="574"/>
        <v/>
      </c>
      <c r="BD1014" s="73">
        <f t="shared" si="575"/>
        <v>961.43319999999994</v>
      </c>
      <c r="BE1014" s="73">
        <f t="shared" si="576"/>
        <v>811.42112799999995</v>
      </c>
      <c r="BF1014" s="77">
        <f t="shared" si="577"/>
        <v>150.01</v>
      </c>
      <c r="BG1014" s="77">
        <f t="shared" si="578"/>
        <v>45.002999999999993</v>
      </c>
      <c r="BH1014" s="77">
        <f t="shared" si="579"/>
        <v>714.34319999999991</v>
      </c>
      <c r="BI1014" s="78">
        <f t="shared" si="580"/>
        <v>0.21</v>
      </c>
      <c r="BJ1014" s="79">
        <f t="shared" si="581"/>
        <v>0.15602748064036065</v>
      </c>
      <c r="BK1014" s="80">
        <f t="shared" si="582"/>
        <v>811.42000000000007</v>
      </c>
      <c r="BL1014" s="80">
        <f t="shared" si="583"/>
        <v>150.01319999999987</v>
      </c>
      <c r="BM1014" s="79">
        <f t="shared" si="584"/>
        <v>0.15603080900472324</v>
      </c>
      <c r="BN1014" s="81">
        <f t="shared" si="585"/>
        <v>0.95811544991511044</v>
      </c>
      <c r="BO1014" s="82">
        <f t="shared" si="586"/>
        <v>564.33000000000004</v>
      </c>
      <c r="BP1014" s="81">
        <f t="shared" si="587"/>
        <v>0.95811544991511044</v>
      </c>
      <c r="BQ1014" s="81">
        <f t="shared" si="588"/>
        <v>0.95812897804697161</v>
      </c>
      <c r="BR1014" s="81">
        <f t="shared" si="589"/>
        <v>1.2128203193033382</v>
      </c>
      <c r="BS1014" s="82">
        <f t="shared" si="590"/>
        <v>589</v>
      </c>
      <c r="BT1014" s="82">
        <f t="shared" si="591"/>
        <v>714.35116806966619</v>
      </c>
      <c r="BU1014" s="82">
        <f t="shared" si="592"/>
        <v>714.34320000000002</v>
      </c>
      <c r="BW1014" s="82">
        <f>IFERROR(INDEX('Infos Clientes'!$T:$T,MATCH('Detalhe Por UC'!$C1014,'Infos Clientes'!B:B,0)),"")</f>
        <v>802.5</v>
      </c>
      <c r="BX1014" s="83">
        <f t="shared" si="593"/>
        <v>0</v>
      </c>
      <c r="BY1014" s="84">
        <f t="shared" si="594"/>
        <v>0.20999923665746717</v>
      </c>
      <c r="BZ1014" s="85">
        <f>IF(_xlfn.MINIFS('Detalhe Por UC'!R:R,'Detalhe Por UC'!C:C,C1014,'Detalhe Por UC'!AD:AD,"&gt;"&amp;0)=0,"",_xlfn.MINIFS('Detalhe Por UC'!R:R,'Detalhe Por UC'!C:C,C1014,'Detalhe Por UC'!AD:AD,"&gt;"&amp;0))</f>
        <v>45627</v>
      </c>
      <c r="CA1014" s="114">
        <f ca="1">IF(OR(S1014&gt;0,AD1014&gt;0),IFERROR(
SUMIFS(INDIRECT("'Infos Clientes'!$W"&amp;INDEX('Infos Clientes'!$C:$C,MATCH(C1014,'Infos Clientes'!$H:$H,0))&amp;":$CZ"&amp;INDEX('Infos Clientes'!$C:$C,MATCH(C1014,'Infos Clientes'!$H:$H,0))),'Infos Clientes'!$W$2:$CZ$2,"&gt;"&amp;$R1014-365,'Infos Clientes'!$W$2:$CZ$2,"&lt;="&amp;$R1014)/
COUNTIFS(INDIRECT("'Infos Clientes'!$W"&amp;INDEX('Infos Clientes'!$C:$C,MATCH(C1014,'Infos Clientes'!$H:$H,0))&amp;":$CZ"&amp;INDEX('Infos Clientes'!$C:$C,MATCH(C1014,'Infos Clientes'!$H:$H,0))),"&gt;="&amp;0,'Infos Clientes'!$W$2:$CZ$2,"&gt;"&amp;$R1014-365,'Infos Clientes'!$W$2:$CZ$2,"&lt;="&amp;$R1014),""),"")</f>
        <v>711.75</v>
      </c>
      <c r="CB1014" s="87">
        <f>VLOOKUP(C1014,'Infos Clientes'!B:L,11,0)</f>
        <v>0</v>
      </c>
      <c r="CC1014" s="88" t="str">
        <f t="shared" si="595"/>
        <v>A Unidade Consumidora 10/191945-5 economizou R$150,01 na fatura referente à nov/2025  consumindo 589 kWh em créditos de energia renovável conforme fatura de energia. A economia foi de 21% em relação ao que seria pago para a Energisa considerando os créditos consumidos. Atenção: Mantenha as contas da Energisa em dia para evitar cortes.</v>
      </c>
      <c r="CF1014" s="115">
        <f t="shared" si="596"/>
        <v>-247.08999999999997</v>
      </c>
    </row>
    <row r="1015" spans="3:84" ht="16.2" customHeight="1" x14ac:dyDescent="0.3">
      <c r="C1015" s="31" t="s">
        <v>48</v>
      </c>
      <c r="D1015" s="31" t="s">
        <v>351</v>
      </c>
      <c r="E1015" s="31" t="s">
        <v>352</v>
      </c>
      <c r="F1015" s="56" t="str">
        <f>INDEX('Infos Clientes'!$I:$I,MATCH('Detalhe Por UC'!C1015,'Infos Clientes'!B:B,0))</f>
        <v>BT</v>
      </c>
      <c r="G1015" s="56" t="str">
        <f>INDEX('Infos Clientes'!$J:$J,MATCH('Detalhe Por UC'!C1015,'Infos Clientes'!B:B,0))</f>
        <v>trifasico</v>
      </c>
      <c r="H1015" s="156" t="s">
        <v>24</v>
      </c>
      <c r="I1015" s="58">
        <f>IFERROR(VLOOKUP(C1015,'Infos Clientes'!B:E,4,),"")</f>
        <v>306</v>
      </c>
      <c r="J1015" s="157">
        <v>0.21</v>
      </c>
      <c r="K1015" s="79">
        <f>INDEX('Resumo Operacional'!$A$1:$P$151,MATCH("Desconto percentual Ucs",'Resumo Operacional'!$B$1:$B$151,0),MATCH('Detalhe Por UC'!$R1015,'Resumo Operacional'!$A$1:$P$1,0))</f>
        <v>0.21</v>
      </c>
      <c r="M1015" s="56"/>
      <c r="N1015" s="56"/>
      <c r="O1015" s="56"/>
      <c r="P1015" s="56"/>
      <c r="Q1015" s="61"/>
      <c r="R1015" s="111">
        <v>45962</v>
      </c>
      <c r="S1015" s="152">
        <v>4.0599999999999997E-2</v>
      </c>
      <c r="T1015" s="113">
        <f>IF($H1015="GIROSSOL II",AP1015/INDEX('Resumo Operacional'!$A$1:$P$1103,17,MATCH('Detalhe Por UC'!$R1015,'Resumo Operacional'!$A$1:$P$1,0)),
IF($H1015="GIROSSOL II e III",AP1015/INDEX('Resumo Operacional'!$A$1:$P$1103,17,MATCH('Detalhe Por UC'!$R1015,'Resumo Operacional'!$A$1:$P$1,0)),
""))</f>
        <v>4.0579003008863954E-2</v>
      </c>
      <c r="U1015" s="113" t="str">
        <f>IF($H1015="GIROSSOL III",AP1015/INDEX('Resumo Operacional'!$A$1:$P$1103,53,MATCH('Detalhe Por UC'!$R1015,'Resumo Operacional'!$A$1:$P$1,0)),
IF($H1015="GIROSSOL II e III",AP1015/INDEX('Resumo Operacional'!$A$1:$P$1103,53,MATCH('Detalhe Por UC'!$R1015,'Resumo Operacional'!$A$1:$P$1,0)),
""))</f>
        <v/>
      </c>
      <c r="X1015" s="158">
        <v>1.2127246406570842</v>
      </c>
      <c r="Y1015" s="158"/>
      <c r="Z1015" s="158">
        <v>1.2127051679586565</v>
      </c>
      <c r="AA1015" s="158"/>
      <c r="AB1015" s="158">
        <v>487</v>
      </c>
      <c r="AC1015" s="158"/>
      <c r="AD1015" s="158">
        <v>387</v>
      </c>
      <c r="AE1015" s="158"/>
      <c r="AF1015" s="158">
        <v>306</v>
      </c>
      <c r="AG1015" s="158">
        <v>0</v>
      </c>
      <c r="AH1015" s="158">
        <v>2.76</v>
      </c>
      <c r="AI1015" s="158"/>
      <c r="AJ1015" s="158"/>
      <c r="AK1015" s="158">
        <v>124.04</v>
      </c>
      <c r="AL1015" s="43">
        <f t="shared" si="598"/>
        <v>0</v>
      </c>
      <c r="AN1015" s="71">
        <f t="shared" si="563"/>
        <v>112</v>
      </c>
      <c r="AO1015" s="71">
        <f t="shared" si="564"/>
        <v>0</v>
      </c>
      <c r="AP1015" s="71">
        <f t="shared" si="565"/>
        <v>499</v>
      </c>
      <c r="AQ1015" s="72">
        <f>IF(OR($H1015="GIROSSOL II",$H1015="GIROSSOL II e III"),INDEX('Resumo Operacional'!$A$1:$P$1103,MATCH("Energia Injetada prevista total Fatura da Usina (TUSD)",'Resumo Operacional'!$B$1:$B$1103,0),MATCH('Detalhe Por UC'!$R1015,'Resumo Operacional'!$A$1:$P$1,0))*$S1015,INDEX('Resumo Operacional'!$A$1:$P$1103,53,MATCH('Detalhe Por UC'!$R1015,'Resumo Operacional'!$A$1:$P$1,0))*$S1015)</f>
        <v>499.25819999999999</v>
      </c>
      <c r="AR1015" s="71">
        <f t="shared" si="566"/>
        <v>-0.25819999999998799</v>
      </c>
      <c r="AS1015" s="73">
        <f t="shared" si="567"/>
        <v>124.03999999999998</v>
      </c>
      <c r="AT1015" s="74">
        <f t="shared" si="568"/>
        <v>124.03999999999998</v>
      </c>
      <c r="AU1015" s="74">
        <f t="shared" si="569"/>
        <v>1.2126856952602287</v>
      </c>
      <c r="AV1015" s="74">
        <f t="shared" si="570"/>
        <v>370.76035100000007</v>
      </c>
      <c r="AW1015" s="74">
        <f t="shared" si="571"/>
        <v>0</v>
      </c>
      <c r="AX1015" s="74">
        <f t="shared" si="572"/>
        <v>469.31690000000003</v>
      </c>
      <c r="AY1015" s="74">
        <f t="shared" si="573"/>
        <v>370.76</v>
      </c>
      <c r="AZ1015" s="129">
        <v>370.76</v>
      </c>
      <c r="BC1015" s="73" t="str">
        <f t="shared" si="574"/>
        <v/>
      </c>
      <c r="BD1015" s="73">
        <f t="shared" si="575"/>
        <v>593.3569</v>
      </c>
      <c r="BE1015" s="73">
        <f t="shared" si="576"/>
        <v>494.80035100000003</v>
      </c>
      <c r="BF1015" s="77">
        <f t="shared" si="577"/>
        <v>98.56</v>
      </c>
      <c r="BG1015" s="77">
        <f t="shared" si="578"/>
        <v>29.567999999999998</v>
      </c>
      <c r="BH1015" s="77">
        <f t="shared" si="579"/>
        <v>469.31690000000003</v>
      </c>
      <c r="BI1015" s="78">
        <f t="shared" si="580"/>
        <v>0.21</v>
      </c>
      <c r="BJ1015" s="79">
        <f t="shared" si="581"/>
        <v>0.16610576197900453</v>
      </c>
      <c r="BK1015" s="80">
        <f t="shared" si="582"/>
        <v>494.79999999999995</v>
      </c>
      <c r="BL1015" s="80">
        <f t="shared" si="583"/>
        <v>98.556900000000041</v>
      </c>
      <c r="BM1015" s="79">
        <f t="shared" si="584"/>
        <v>0.1661005374674164</v>
      </c>
      <c r="BN1015" s="81">
        <f t="shared" si="585"/>
        <v>0.9580361757105943</v>
      </c>
      <c r="BO1015" s="82">
        <f t="shared" si="586"/>
        <v>370.76</v>
      </c>
      <c r="BP1015" s="81">
        <f t="shared" si="587"/>
        <v>0.9580361757105943</v>
      </c>
      <c r="BQ1015" s="81">
        <f t="shared" si="588"/>
        <v>0.95805564840902202</v>
      </c>
      <c r="BR1015" s="81">
        <f t="shared" si="589"/>
        <v>1.2127246406570842</v>
      </c>
      <c r="BS1015" s="82">
        <f t="shared" si="590"/>
        <v>387</v>
      </c>
      <c r="BT1015" s="82">
        <f t="shared" si="591"/>
        <v>469.32443593429156</v>
      </c>
      <c r="BU1015" s="82">
        <f t="shared" si="592"/>
        <v>469.31690000000003</v>
      </c>
      <c r="BW1015" s="82">
        <f>IFERROR(INDEX('Infos Clientes'!$T:$T,MATCH('Detalhe Por UC'!$C1015,'Infos Clientes'!B:B,0)),"")</f>
        <v>286.5</v>
      </c>
      <c r="BX1015" s="83">
        <f t="shared" si="593"/>
        <v>0</v>
      </c>
      <c r="BY1015" s="84">
        <f t="shared" si="594"/>
        <v>0.20999737591715478</v>
      </c>
      <c r="BZ1015" s="85">
        <f>IF(_xlfn.MINIFS('Detalhe Por UC'!R:R,'Detalhe Por UC'!C:C,C1015,'Detalhe Por UC'!AD:AD,"&gt;"&amp;0)=0,"",_xlfn.MINIFS('Detalhe Por UC'!R:R,'Detalhe Por UC'!C:C,C1015,'Detalhe Por UC'!AD:AD,"&gt;"&amp;0))</f>
        <v>45658</v>
      </c>
      <c r="CA1015" s="114">
        <f ca="1">IF(OR(S1015&gt;0,AD1015&gt;0),IFERROR(
SUMIFS(INDIRECT("'Infos Clientes'!$W"&amp;INDEX('Infos Clientes'!$C:$C,MATCH(C1015,'Infos Clientes'!$H:$H,0))&amp;":$CZ"&amp;INDEX('Infos Clientes'!$C:$C,MATCH(C1015,'Infos Clientes'!$H:$H,0))),'Infos Clientes'!$W$2:$CZ$2,"&gt;"&amp;$R1015-365,'Infos Clientes'!$W$2:$CZ$2,"&lt;="&amp;$R1015)/
COUNTIFS(INDIRECT("'Infos Clientes'!$W"&amp;INDEX('Infos Clientes'!$C:$C,MATCH(C1015,'Infos Clientes'!$H:$H,0))&amp;":$CZ"&amp;INDEX('Infos Clientes'!$C:$C,MATCH(C1015,'Infos Clientes'!$H:$H,0))),"&gt;="&amp;0,'Infos Clientes'!$W$2:$CZ$2,"&gt;"&amp;$R1015-365,'Infos Clientes'!$W$2:$CZ$2,"&lt;="&amp;$R1015),""),"")</f>
        <v>494.83333333333331</v>
      </c>
      <c r="CB1015" s="87">
        <f>VLOOKUP(C1015,'Infos Clientes'!B:L,11,0)</f>
        <v>0</v>
      </c>
      <c r="CC1015" s="88" t="str">
        <f t="shared" si="595"/>
        <v>A Unidade Consumidora 10/2794432-1 economizou R$98,56 na fatura referente à nov/2025  consumindo 387 kWh em créditos de energia renovável conforme fatura de energia. A economia foi de 21% em relação ao que seria pago para a Energisa considerando os créditos consumidos. Atenção: Mantenha as contas da Energisa em dia para evitar cortes.</v>
      </c>
      <c r="CF1015" s="115">
        <f t="shared" si="596"/>
        <v>-124.03999999999998</v>
      </c>
    </row>
    <row r="1016" spans="3:84" ht="16.2" customHeight="1" x14ac:dyDescent="0.3">
      <c r="C1016" s="31" t="s">
        <v>91</v>
      </c>
      <c r="D1016" s="31" t="s">
        <v>351</v>
      </c>
      <c r="E1016" s="31" t="s">
        <v>352</v>
      </c>
      <c r="F1016" s="56" t="str">
        <f>INDEX('Infos Clientes'!$I:$I,MATCH('Detalhe Por UC'!C1016,'Infos Clientes'!B:B,0))</f>
        <v>BT</v>
      </c>
      <c r="G1016" s="56" t="str">
        <f>INDEX('Infos Clientes'!$J:$J,MATCH('Detalhe Por UC'!C1016,'Infos Clientes'!B:B,0))</f>
        <v>trifasico</v>
      </c>
      <c r="H1016" s="156" t="s">
        <v>24</v>
      </c>
      <c r="I1016" s="58">
        <f>IFERROR(VLOOKUP(C1016,'Infos Clientes'!B:E,4,),"")</f>
        <v>357</v>
      </c>
      <c r="J1016" s="157">
        <v>0.21</v>
      </c>
      <c r="K1016" s="79">
        <f>INDEX('Resumo Operacional'!$A$1:$P$151,MATCH("Desconto percentual Ucs",'Resumo Operacional'!$B$1:$B$151,0),MATCH('Detalhe Por UC'!$R1016,'Resumo Operacional'!$A$1:$P$1,0))</f>
        <v>0.21</v>
      </c>
      <c r="M1016" s="56"/>
      <c r="N1016" s="56"/>
      <c r="O1016" s="56"/>
      <c r="P1016" s="56"/>
      <c r="Q1016" s="61"/>
      <c r="R1016" s="111">
        <v>45962</v>
      </c>
      <c r="S1016" s="152">
        <v>2.8899999999999999E-2</v>
      </c>
      <c r="T1016" s="113">
        <f>IF($H1016="GIROSSOL II",AP1016/INDEX('Resumo Operacional'!$A$1:$P$1103,17,MATCH('Detalhe Por UC'!$R1016,'Resumo Operacional'!$A$1:$P$1,0)),
IF($H1016="GIROSSOL II e III",AP1016/INDEX('Resumo Operacional'!$A$1:$P$1103,17,MATCH('Detalhe Por UC'!$R1016,'Resumo Operacional'!$A$1:$P$1,0)),
""))</f>
        <v>6.0014637716516224E-2</v>
      </c>
      <c r="U1016" s="113" t="str">
        <f>IF($H1016="GIROSSOL III",AP1016/INDEX('Resumo Operacional'!$A$1:$P$1103,53,MATCH('Detalhe Por UC'!$R1016,'Resumo Operacional'!$A$1:$P$1,0)),
IF($H1016="GIROSSOL II e III",AP1016/INDEX('Resumo Operacional'!$A$1:$P$1103,53,MATCH('Detalhe Por UC'!$R1016,'Resumo Operacional'!$A$1:$P$1,0)),
""))</f>
        <v/>
      </c>
      <c r="X1016">
        <v>1.2128184049079753</v>
      </c>
      <c r="Z1016">
        <v>1.2128036231884058</v>
      </c>
      <c r="AB1016">
        <v>652</v>
      </c>
      <c r="AD1016">
        <v>552</v>
      </c>
      <c r="AF1016">
        <v>611</v>
      </c>
      <c r="AG1016">
        <v>0</v>
      </c>
      <c r="AH1016">
        <v>3.4699999999999998</v>
      </c>
      <c r="AK1016">
        <v>124.76</v>
      </c>
      <c r="AL1016" s="43">
        <v>1.5631940186722204E-13</v>
      </c>
      <c r="AN1016" s="71">
        <f t="shared" si="563"/>
        <v>186</v>
      </c>
      <c r="AO1016" s="71">
        <f t="shared" si="564"/>
        <v>0</v>
      </c>
      <c r="AP1016" s="71">
        <f t="shared" si="565"/>
        <v>738</v>
      </c>
      <c r="AQ1016" s="72">
        <f>IF(OR($H1016="GIROSSOL II",$H1016="GIROSSOL II e III"),INDEX('Resumo Operacional'!$A$1:$P$1103,MATCH("Energia Injetada prevista total Fatura da Usina (TUSD)",'Resumo Operacional'!$B$1:$B$1103,0),MATCH('Detalhe Por UC'!$R1016,'Resumo Operacional'!$A$1:$P$1,0))*$S1016,INDEX('Resumo Operacional'!$A$1:$P$1103,53,MATCH('Detalhe Por UC'!$R1016,'Resumo Operacional'!$A$1:$P$1,0))*$S1016)</f>
        <v>355.38329999999996</v>
      </c>
      <c r="AR1016" s="71">
        <f t="shared" si="566"/>
        <v>382.61670000000004</v>
      </c>
      <c r="AS1016" s="73">
        <f t="shared" si="567"/>
        <v>124.75999999999985</v>
      </c>
      <c r="AT1016" s="74">
        <f t="shared" si="568"/>
        <v>124.75999999999985</v>
      </c>
      <c r="AU1016" s="74">
        <f t="shared" si="569"/>
        <v>1.2127888414688364</v>
      </c>
      <c r="AV1016" s="74">
        <f t="shared" si="570"/>
        <v>528.87940400000002</v>
      </c>
      <c r="AW1016" s="74">
        <f t="shared" si="571"/>
        <v>0</v>
      </c>
      <c r="AX1016" s="74">
        <f t="shared" si="572"/>
        <v>669.46760000000006</v>
      </c>
      <c r="AY1016" s="74">
        <f t="shared" si="573"/>
        <v>528.88</v>
      </c>
      <c r="AZ1016" s="129">
        <v>528.88</v>
      </c>
      <c r="BA1016" s="117"/>
      <c r="BC1016" s="73" t="str">
        <f t="shared" si="574"/>
        <v/>
      </c>
      <c r="BD1016" s="73">
        <f t="shared" si="575"/>
        <v>794.22759999999994</v>
      </c>
      <c r="BE1016" s="73">
        <f t="shared" si="576"/>
        <v>653.6394039999999</v>
      </c>
      <c r="BF1016" s="77">
        <f t="shared" si="577"/>
        <v>140.59</v>
      </c>
      <c r="BG1016" s="77">
        <f t="shared" si="578"/>
        <v>42.177</v>
      </c>
      <c r="BH1016" s="77">
        <f t="shared" si="579"/>
        <v>669.46760000000006</v>
      </c>
      <c r="BI1016" s="78">
        <f t="shared" si="580"/>
        <v>0.21</v>
      </c>
      <c r="BJ1016" s="79">
        <f t="shared" si="581"/>
        <v>0.17701474992810626</v>
      </c>
      <c r="BK1016" s="80">
        <f t="shared" si="582"/>
        <v>653.63999999999987</v>
      </c>
      <c r="BL1016" s="80">
        <f t="shared" si="583"/>
        <v>140.58760000000007</v>
      </c>
      <c r="BM1016" s="79">
        <f t="shared" si="584"/>
        <v>0.17701172812428084</v>
      </c>
      <c r="BN1016" s="81">
        <f t="shared" si="585"/>
        <v>0.95811594202898553</v>
      </c>
      <c r="BO1016" s="82">
        <f t="shared" si="586"/>
        <v>528.88</v>
      </c>
      <c r="BP1016" s="81">
        <f t="shared" si="587"/>
        <v>0.95811594202898553</v>
      </c>
      <c r="BQ1016" s="81">
        <f t="shared" si="588"/>
        <v>0.95813072374855501</v>
      </c>
      <c r="BR1016" s="81">
        <f t="shared" si="589"/>
        <v>1.2128184049079753</v>
      </c>
      <c r="BS1016" s="82">
        <f t="shared" si="590"/>
        <v>552</v>
      </c>
      <c r="BT1016" s="82">
        <f t="shared" si="591"/>
        <v>669.47575950920236</v>
      </c>
      <c r="BU1016" s="82">
        <f t="shared" si="592"/>
        <v>669.46760000000006</v>
      </c>
      <c r="BW1016" s="82">
        <f>IFERROR(INDEX('Infos Clientes'!$T:$T,MATCH('Detalhe Por UC'!$C1016,'Infos Clientes'!B:B,0)),"")</f>
        <v>708</v>
      </c>
      <c r="BX1016" s="83">
        <f t="shared" si="593"/>
        <v>0</v>
      </c>
      <c r="BY1016" s="84">
        <f t="shared" si="594"/>
        <v>0.20999655029043296</v>
      </c>
      <c r="BZ1016" s="85">
        <f>IF(_xlfn.MINIFS('Detalhe Por UC'!R:R,'Detalhe Por UC'!C:C,C1016,'Detalhe Por UC'!AD:AD,"&gt;"&amp;0)=0,"",_xlfn.MINIFS('Detalhe Por UC'!R:R,'Detalhe Por UC'!C:C,C1016,'Detalhe Por UC'!AD:AD,"&gt;"&amp;0))</f>
        <v>45627</v>
      </c>
      <c r="CA1016" s="114">
        <f ca="1">IF(OR(S1016&gt;0,AD1016&gt;0),IFERROR(
SUMIFS(INDIRECT("'Infos Clientes'!$W"&amp;INDEX('Infos Clientes'!$C:$C,MATCH(C1016,'Infos Clientes'!$H:$H,0))&amp;":$CZ"&amp;INDEX('Infos Clientes'!$C:$C,MATCH(C1016,'Infos Clientes'!$H:$H,0))),'Infos Clientes'!$W$2:$CZ$2,"&gt;"&amp;$R1016-365,'Infos Clientes'!$W$2:$CZ$2,"&lt;="&amp;$R1016)/
COUNTIFS(INDIRECT("'Infos Clientes'!$W"&amp;INDEX('Infos Clientes'!$C:$C,MATCH(C1016,'Infos Clientes'!$H:$H,0))&amp;":$CZ"&amp;INDEX('Infos Clientes'!$C:$C,MATCH(C1016,'Infos Clientes'!$H:$H,0))),"&gt;="&amp;0,'Infos Clientes'!$W$2:$CZ$2,"&gt;"&amp;$R1016-365,'Infos Clientes'!$W$2:$CZ$2,"&lt;="&amp;$R1016),""),"")</f>
        <v>625.33333333333337</v>
      </c>
      <c r="CB1016" s="87">
        <f>VLOOKUP(C1016,'Infos Clientes'!B:L,11,0)</f>
        <v>0</v>
      </c>
      <c r="CC1016" s="88" t="str">
        <f t="shared" si="595"/>
        <v>A Unidade Consumidora 10/29964-4 economizou R$140,59 na fatura referente à nov/2025  consumindo 552 kWh em créditos de energia renovável conforme fatura de energia. A economia foi de 21% em relação ao que seria pago para a Energisa considerando os créditos consumidos. Atenção: Mantenha as contas da Energisa em dia para evitar cortes.</v>
      </c>
      <c r="CF1016" s="115">
        <f t="shared" si="596"/>
        <v>-124.75999999999985</v>
      </c>
    </row>
    <row r="1017" spans="3:84" ht="16.2" customHeight="1" x14ac:dyDescent="0.3">
      <c r="C1017" s="31" t="s">
        <v>84</v>
      </c>
      <c r="D1017" s="31" t="s">
        <v>351</v>
      </c>
      <c r="E1017" s="31" t="s">
        <v>352</v>
      </c>
      <c r="F1017" s="56" t="str">
        <f>INDEX('Infos Clientes'!$I:$I,MATCH('Detalhe Por UC'!C1017,'Infos Clientes'!B:B,0))</f>
        <v>BT</v>
      </c>
      <c r="G1017" s="56" t="str">
        <f>INDEX('Infos Clientes'!$J:$J,MATCH('Detalhe Por UC'!C1017,'Infos Clientes'!B:B,0))</f>
        <v>trifasico</v>
      </c>
      <c r="H1017" s="156" t="s">
        <v>24</v>
      </c>
      <c r="I1017" s="58">
        <f>IFERROR(VLOOKUP(C1017,'Infos Clientes'!B:E,4,),"")</f>
        <v>302</v>
      </c>
      <c r="J1017" s="157">
        <v>0.21</v>
      </c>
      <c r="K1017" s="79">
        <f>INDEX('Resumo Operacional'!$A$1:$P$151,MATCH("Desconto percentual Ucs",'Resumo Operacional'!$B$1:$B$151,0),MATCH('Detalhe Por UC'!$R1017,'Resumo Operacional'!$A$1:$P$1,0))</f>
        <v>0.21</v>
      </c>
      <c r="M1017" s="56"/>
      <c r="N1017" s="56"/>
      <c r="O1017" s="56"/>
      <c r="P1017" s="56"/>
      <c r="Q1017" s="61"/>
      <c r="R1017" s="111">
        <v>45962</v>
      </c>
      <c r="S1017" s="152">
        <v>2.87E-2</v>
      </c>
      <c r="T1017" s="113">
        <f>IF($H1017="GIROSSOL II",AP1017/INDEX('Resumo Operacional'!$A$1:$P$1103,17,MATCH('Detalhe Por UC'!$R1017,'Resumo Operacional'!$A$1:$P$1,0)),
IF($H1017="GIROSSOL II e III",AP1017/INDEX('Resumo Operacional'!$A$1:$P$1103,17,MATCH('Detalhe Por UC'!$R1017,'Resumo Operacional'!$A$1:$P$1,0)),
""))</f>
        <v>3.0901845978693991E-2</v>
      </c>
      <c r="U1017" s="113" t="str">
        <f>IF($H1017="GIROSSOL III",AP1017/INDEX('Resumo Operacional'!$A$1:$P$1103,53,MATCH('Detalhe Por UC'!$R1017,'Resumo Operacional'!$A$1:$P$1,0)),
IF($H1017="GIROSSOL II e III",AP1017/INDEX('Resumo Operacional'!$A$1:$P$1103,53,MATCH('Detalhe Por UC'!$R1017,'Resumo Operacional'!$A$1:$P$1,0)),
""))</f>
        <v/>
      </c>
      <c r="X1017">
        <v>1.2126965110394128</v>
      </c>
      <c r="Z1017">
        <v>1.2126786428642864</v>
      </c>
      <c r="AB1017">
        <v>1437</v>
      </c>
      <c r="AD1017">
        <v>909</v>
      </c>
      <c r="AF1017">
        <v>0</v>
      </c>
      <c r="AG1017">
        <v>0</v>
      </c>
      <c r="AH1017">
        <v>2.96</v>
      </c>
      <c r="AK1017">
        <v>643.28</v>
      </c>
      <c r="AL1017" s="43">
        <v>0</v>
      </c>
      <c r="AN1017" s="71">
        <f t="shared" si="563"/>
        <v>-529</v>
      </c>
      <c r="AO1017" s="71">
        <f t="shared" si="564"/>
        <v>0</v>
      </c>
      <c r="AP1017" s="71">
        <f t="shared" si="565"/>
        <v>380</v>
      </c>
      <c r="AQ1017" s="72">
        <f>IF(OR($H1017="GIROSSOL II",$H1017="GIROSSOL II e III"),INDEX('Resumo Operacional'!$A$1:$P$1103,MATCH("Energia Injetada prevista total Fatura da Usina (TUSD)",'Resumo Operacional'!$B$1:$B$1103,0),MATCH('Detalhe Por UC'!$R1017,'Resumo Operacional'!$A$1:$P$1,0))*$S1017,INDEX('Resumo Operacional'!$A$1:$P$1103,53,MATCH('Detalhe Por UC'!$R1017,'Resumo Operacional'!$A$1:$P$1,0))*$S1017)</f>
        <v>352.9239</v>
      </c>
      <c r="AR1017" s="71">
        <f t="shared" si="566"/>
        <v>27.076099999999997</v>
      </c>
      <c r="AS1017" s="73">
        <f t="shared" si="567"/>
        <v>643.28</v>
      </c>
      <c r="AT1017" s="74">
        <f t="shared" si="568"/>
        <v>643.28</v>
      </c>
      <c r="AU1017" s="74">
        <f t="shared" si="569"/>
        <v>1.21266077468916</v>
      </c>
      <c r="AV1017" s="74">
        <f t="shared" si="570"/>
        <v>870.83666022727277</v>
      </c>
      <c r="AW1017" s="74">
        <f t="shared" si="571"/>
        <v>0</v>
      </c>
      <c r="AX1017" s="74">
        <f t="shared" si="572"/>
        <v>1102.3248863636363</v>
      </c>
      <c r="AY1017" s="74">
        <f t="shared" si="573"/>
        <v>870.84</v>
      </c>
      <c r="AZ1017" s="129">
        <v>870.84</v>
      </c>
      <c r="BA1017" s="117"/>
      <c r="BC1017" s="73" t="str">
        <f t="shared" si="574"/>
        <v/>
      </c>
      <c r="BD1017" s="73">
        <f t="shared" si="575"/>
        <v>1745.6048863636363</v>
      </c>
      <c r="BE1017" s="73">
        <f t="shared" si="576"/>
        <v>1514.1166602272729</v>
      </c>
      <c r="BF1017" s="77">
        <f t="shared" si="577"/>
        <v>231.49</v>
      </c>
      <c r="BG1017" s="77">
        <f t="shared" si="578"/>
        <v>69.447000000000003</v>
      </c>
      <c r="BH1017" s="77">
        <f t="shared" si="579"/>
        <v>1102.3248863636363</v>
      </c>
      <c r="BI1017" s="78">
        <f t="shared" si="580"/>
        <v>0.21</v>
      </c>
      <c r="BJ1017" s="79">
        <f t="shared" si="581"/>
        <v>0.13261305683110758</v>
      </c>
      <c r="BK1017" s="80">
        <f t="shared" si="582"/>
        <v>1514.12</v>
      </c>
      <c r="BL1017" s="80">
        <f t="shared" si="583"/>
        <v>231.48488636363641</v>
      </c>
      <c r="BM1017" s="79">
        <f t="shared" si="584"/>
        <v>0.13261012739592809</v>
      </c>
      <c r="BN1017" s="81">
        <f t="shared" si="585"/>
        <v>0.95801980198019809</v>
      </c>
      <c r="BO1017" s="82">
        <f t="shared" si="586"/>
        <v>870.84</v>
      </c>
      <c r="BP1017" s="81">
        <f t="shared" si="587"/>
        <v>0.95801980198019809</v>
      </c>
      <c r="BQ1017" s="81">
        <f t="shared" si="588"/>
        <v>0.95803767015532448</v>
      </c>
      <c r="BR1017" s="81">
        <f t="shared" si="589"/>
        <v>1.2126965110394126</v>
      </c>
      <c r="BS1017" s="82">
        <f t="shared" si="590"/>
        <v>909</v>
      </c>
      <c r="BT1017" s="82">
        <f t="shared" si="591"/>
        <v>1102.3411285348261</v>
      </c>
      <c r="BU1017" s="82">
        <f t="shared" si="592"/>
        <v>1102.3248863636363</v>
      </c>
      <c r="BW1017" s="82">
        <f>IFERROR(INDEX('Infos Clientes'!$T:$T,MATCH('Detalhe Por UC'!$C1017,'Infos Clientes'!B:B,0)),"")</f>
        <v>818</v>
      </c>
      <c r="BX1017" s="83">
        <f t="shared" si="593"/>
        <v>0</v>
      </c>
      <c r="BY1017" s="84">
        <f t="shared" si="594"/>
        <v>0.20999387609833065</v>
      </c>
      <c r="BZ1017" s="85">
        <f>IF(_xlfn.MINIFS('Detalhe Por UC'!R:R,'Detalhe Por UC'!C:C,C1017,'Detalhe Por UC'!AD:AD,"&gt;"&amp;0)=0,"",_xlfn.MINIFS('Detalhe Por UC'!R:R,'Detalhe Por UC'!C:C,C1017,'Detalhe Por UC'!AD:AD,"&gt;"&amp;0))</f>
        <v>45627</v>
      </c>
      <c r="CA1017" s="114">
        <f ca="1">IF(OR(S1017&gt;0,AD1017&gt;0),IFERROR(
SUMIFS(INDIRECT("'Infos Clientes'!$W"&amp;INDEX('Infos Clientes'!$C:$C,MATCH(C1017,'Infos Clientes'!$H:$H,0))&amp;":$CZ"&amp;INDEX('Infos Clientes'!$C:$C,MATCH(C1017,'Infos Clientes'!$H:$H,0))),'Infos Clientes'!$W$2:$CZ$2,"&gt;"&amp;$R1017-365,'Infos Clientes'!$W$2:$CZ$2,"&lt;="&amp;$R1017)/
COUNTIFS(INDIRECT("'Infos Clientes'!$W"&amp;INDEX('Infos Clientes'!$C:$C,MATCH(C1017,'Infos Clientes'!$H:$H,0))&amp;":$CZ"&amp;INDEX('Infos Clientes'!$C:$C,MATCH(C1017,'Infos Clientes'!$H:$H,0))),"&gt;="&amp;0,'Infos Clientes'!$W$2:$CZ$2,"&gt;"&amp;$R1017-365,'Infos Clientes'!$W$2:$CZ$2,"&lt;="&amp;$R1017),""),"")</f>
        <v>874.91666666666663</v>
      </c>
      <c r="CB1017" s="87">
        <f>VLOOKUP(C1017,'Infos Clientes'!B:L,11,0)</f>
        <v>0</v>
      </c>
      <c r="CC1017" s="88" t="str">
        <f t="shared" si="595"/>
        <v>A Unidade Consumidora 10/2599101-9 economizou R$231,49 na fatura referente à nov/2025  consumindo 909 kWh em créditos de energia renovável conforme fatura de energia. A economia foi de 21% em relação ao que seria pago para a Energisa considerando os créditos consumidos. Atenção: Mantenha as contas da Energisa em dia para evitar cortes.</v>
      </c>
      <c r="CF1017" s="115">
        <f t="shared" si="596"/>
        <v>-643.28</v>
      </c>
    </row>
    <row r="1018" spans="3:84" ht="16.2" customHeight="1" x14ac:dyDescent="0.3">
      <c r="C1018" s="31" t="s">
        <v>97</v>
      </c>
      <c r="D1018" s="31" t="s">
        <v>351</v>
      </c>
      <c r="E1018" s="31" t="s">
        <v>352</v>
      </c>
      <c r="F1018" s="56" t="str">
        <f>INDEX('Infos Clientes'!$I:$I,MATCH('Detalhe Por UC'!C1018,'Infos Clientes'!B:B,0))</f>
        <v>BT</v>
      </c>
      <c r="G1018" s="56" t="str">
        <f>INDEX('Infos Clientes'!$J:$J,MATCH('Detalhe Por UC'!C1018,'Infos Clientes'!B:B,0))</f>
        <v>trifasico</v>
      </c>
      <c r="H1018" s="156" t="s">
        <v>24</v>
      </c>
      <c r="I1018" s="58">
        <f>IFERROR(VLOOKUP(C1018,'Infos Clientes'!B:E,4,),"")</f>
        <v>357</v>
      </c>
      <c r="J1018" s="157">
        <v>0.21</v>
      </c>
      <c r="K1018" s="79">
        <f>INDEX('Resumo Operacional'!$A$1:$P$151,MATCH("Desconto percentual Ucs",'Resumo Operacional'!$B$1:$B$151,0),MATCH('Detalhe Por UC'!$R1018,'Resumo Operacional'!$A$1:$P$1,0))</f>
        <v>0.21</v>
      </c>
      <c r="M1018" s="56"/>
      <c r="N1018" s="56"/>
      <c r="O1018" s="56"/>
      <c r="P1018" s="56"/>
      <c r="Q1018" s="61"/>
      <c r="R1018" s="111">
        <v>45962</v>
      </c>
      <c r="S1018" s="152">
        <v>2.64E-2</v>
      </c>
      <c r="T1018" s="113">
        <f>IF($H1018="GIROSSOL II",AP1018/INDEX('Resumo Operacional'!$A$1:$P$1103,17,MATCH('Detalhe Por UC'!$R1018,'Resumo Operacional'!$A$1:$P$1,0)),
IF($H1018="GIROSSOL II e III",AP1018/INDEX('Resumo Operacional'!$A$1:$P$1103,17,MATCH('Detalhe Por UC'!$R1018,'Resumo Operacional'!$A$1:$P$1,0)),
""))</f>
        <v>2.8462226559323411E-2</v>
      </c>
      <c r="U1018" s="113" t="str">
        <f>IF($H1018="GIROSSOL III",AP1018/INDEX('Resumo Operacional'!$A$1:$P$1103,53,MATCH('Detalhe Por UC'!$R1018,'Resumo Operacional'!$A$1:$P$1,0)),
IF($H1018="GIROSSOL II e III",AP1018/INDEX('Resumo Operacional'!$A$1:$P$1103,53,MATCH('Detalhe Por UC'!$R1018,'Resumo Operacional'!$A$1:$P$1,0)),
""))</f>
        <v/>
      </c>
      <c r="X1018">
        <v>1.2127119760479041</v>
      </c>
      <c r="Z1018">
        <v>1.2127149625935161</v>
      </c>
      <c r="AB1018">
        <v>501</v>
      </c>
      <c r="AD1018">
        <v>401</v>
      </c>
      <c r="AF1018">
        <v>263</v>
      </c>
      <c r="AG1018">
        <v>0</v>
      </c>
      <c r="AH1018">
        <v>11.140000000000008</v>
      </c>
      <c r="AK1018">
        <v>132.41</v>
      </c>
      <c r="AL1018" s="43">
        <v>0</v>
      </c>
      <c r="AN1018" s="71">
        <f t="shared" si="563"/>
        <v>-51</v>
      </c>
      <c r="AO1018" s="71">
        <f t="shared" si="564"/>
        <v>0</v>
      </c>
      <c r="AP1018" s="71">
        <f t="shared" si="565"/>
        <v>350</v>
      </c>
      <c r="AQ1018" s="72">
        <f>IF(OR($H1018="GIROSSOL II",$H1018="GIROSSOL II e III"),INDEX('Resumo Operacional'!$A$1:$P$1103,MATCH("Energia Injetada prevista total Fatura da Usina (TUSD)",'Resumo Operacional'!$B$1:$B$1103,0),MATCH('Detalhe Por UC'!$R1018,'Resumo Operacional'!$A$1:$P$1,0))*$S1018,INDEX('Resumo Operacional'!$A$1:$P$1103,53,MATCH('Detalhe Por UC'!$R1018,'Resumo Operacional'!$A$1:$P$1,0))*$S1018)</f>
        <v>324.64080000000001</v>
      </c>
      <c r="AR1018" s="71">
        <f t="shared" si="566"/>
        <v>25.359199999999987</v>
      </c>
      <c r="AS1018" s="73">
        <f t="shared" si="567"/>
        <v>132.41000000000011</v>
      </c>
      <c r="AT1018" s="74">
        <f t="shared" si="568"/>
        <v>132.41000000000011</v>
      </c>
      <c r="AU1018" s="74">
        <f t="shared" si="569"/>
        <v>1.212717949139128</v>
      </c>
      <c r="AV1018" s="74">
        <f t="shared" si="570"/>
        <v>384.17597299999994</v>
      </c>
      <c r="AW1018" s="74">
        <f t="shared" si="571"/>
        <v>0</v>
      </c>
      <c r="AX1018" s="74">
        <f t="shared" si="572"/>
        <v>486.29869999999994</v>
      </c>
      <c r="AY1018" s="74">
        <f t="shared" si="573"/>
        <v>384.18</v>
      </c>
      <c r="AZ1018" s="129">
        <v>384.18</v>
      </c>
      <c r="BA1018" s="117"/>
      <c r="BC1018" s="73" t="str">
        <f t="shared" si="574"/>
        <v/>
      </c>
      <c r="BD1018" s="73">
        <f t="shared" si="575"/>
        <v>618.70870000000002</v>
      </c>
      <c r="BE1018" s="73">
        <f t="shared" si="576"/>
        <v>516.58597300000008</v>
      </c>
      <c r="BF1018" s="77">
        <f t="shared" si="577"/>
        <v>102.12</v>
      </c>
      <c r="BG1018" s="77">
        <f t="shared" si="578"/>
        <v>30.635999999999999</v>
      </c>
      <c r="BH1018" s="77">
        <f t="shared" si="579"/>
        <v>486.29869999999994</v>
      </c>
      <c r="BI1018" s="78">
        <f t="shared" si="580"/>
        <v>0.21</v>
      </c>
      <c r="BJ1018" s="79">
        <f t="shared" si="581"/>
        <v>0.16505344114281892</v>
      </c>
      <c r="BK1018" s="80">
        <f t="shared" si="582"/>
        <v>516.59000000000015</v>
      </c>
      <c r="BL1018" s="80">
        <f t="shared" si="583"/>
        <v>102.11869999999988</v>
      </c>
      <c r="BM1018" s="79">
        <f t="shared" si="584"/>
        <v>0.16505133999247121</v>
      </c>
      <c r="BN1018" s="81">
        <f t="shared" si="585"/>
        <v>0.95805486284289276</v>
      </c>
      <c r="BO1018" s="82">
        <f t="shared" si="586"/>
        <v>384.18</v>
      </c>
      <c r="BP1018" s="81">
        <f t="shared" si="587"/>
        <v>0.95805486284289276</v>
      </c>
      <c r="BQ1018" s="81">
        <f t="shared" si="588"/>
        <v>0.95805187629728084</v>
      </c>
      <c r="BR1018" s="81">
        <f t="shared" si="589"/>
        <v>1.2127119760479041</v>
      </c>
      <c r="BS1018" s="82">
        <f t="shared" si="590"/>
        <v>401</v>
      </c>
      <c r="BT1018" s="82">
        <f t="shared" si="591"/>
        <v>486.29750239520956</v>
      </c>
      <c r="BU1018" s="82">
        <f t="shared" si="592"/>
        <v>486.29869999999994</v>
      </c>
      <c r="BW1018" s="82">
        <f>IFERROR(INDEX('Infos Clientes'!$T:$T,MATCH('Detalhe Por UC'!$C1018,'Infos Clientes'!B:B,0)),"")</f>
        <v>468.66666666666669</v>
      </c>
      <c r="BX1018" s="83">
        <f t="shared" si="593"/>
        <v>0</v>
      </c>
      <c r="BY1018" s="84">
        <f t="shared" si="594"/>
        <v>0.20999223622787397</v>
      </c>
      <c r="BZ1018" s="85">
        <f>IF(_xlfn.MINIFS('Detalhe Por UC'!R:R,'Detalhe Por UC'!C:C,C1018,'Detalhe Por UC'!AD:AD,"&gt;"&amp;0)=0,"",_xlfn.MINIFS('Detalhe Por UC'!R:R,'Detalhe Por UC'!C:C,C1018,'Detalhe Por UC'!AD:AD,"&gt;"&amp;0))</f>
        <v>45627</v>
      </c>
      <c r="CA1018" s="114">
        <f ca="1">IF(OR(S1018&gt;0,AD1018&gt;0),IFERROR(
SUMIFS(INDIRECT("'Infos Clientes'!$W"&amp;INDEX('Infos Clientes'!$C:$C,MATCH(C1018,'Infos Clientes'!$H:$H,0))&amp;":$CZ"&amp;INDEX('Infos Clientes'!$C:$C,MATCH(C1018,'Infos Clientes'!$H:$H,0))),'Infos Clientes'!$W$2:$CZ$2,"&gt;"&amp;$R1018-365,'Infos Clientes'!$W$2:$CZ$2,"&lt;="&amp;$R1018)/
COUNTIFS(INDIRECT("'Infos Clientes'!$W"&amp;INDEX('Infos Clientes'!$C:$C,MATCH(C1018,'Infos Clientes'!$H:$H,0))&amp;":$CZ"&amp;INDEX('Infos Clientes'!$C:$C,MATCH(C1018,'Infos Clientes'!$H:$H,0))),"&gt;="&amp;0,'Infos Clientes'!$W$2:$CZ$2,"&gt;"&amp;$R1018-365,'Infos Clientes'!$W$2:$CZ$2,"&lt;="&amp;$R1018),""),"")</f>
        <v>461.33333333333331</v>
      </c>
      <c r="CB1018" s="87">
        <f>VLOOKUP(C1018,'Infos Clientes'!B:L,11,0)</f>
        <v>0</v>
      </c>
      <c r="CC1018" s="88" t="str">
        <f t="shared" si="595"/>
        <v>A Unidade Consumidora 10/3030784-7 economizou R$102,12 na fatura referente à nov/2025  consumindo 401 kWh em créditos de energia renovável conforme fatura de energia. A economia foi de 21% em relação ao que seria pago para a Energisa considerando os créditos consumidos. Atenção: Mantenha as contas da Energisa em dia para evitar cortes.</v>
      </c>
      <c r="CF1018" s="115">
        <f t="shared" si="596"/>
        <v>-132.41000000000011</v>
      </c>
    </row>
    <row r="1019" spans="3:84" ht="16.2" customHeight="1" x14ac:dyDescent="0.3">
      <c r="C1019" s="31" t="s">
        <v>54</v>
      </c>
      <c r="D1019" s="31" t="s">
        <v>351</v>
      </c>
      <c r="E1019" s="31" t="s">
        <v>352</v>
      </c>
      <c r="F1019" s="56" t="str">
        <f>INDEX('Infos Clientes'!$I:$I,MATCH('Detalhe Por UC'!C1019,'Infos Clientes'!B:B,0))</f>
        <v>BT</v>
      </c>
      <c r="G1019" s="56" t="str">
        <f>INDEX('Infos Clientes'!$J:$J,MATCH('Detalhe Por UC'!C1019,'Infos Clientes'!B:B,0))</f>
        <v>trifasico</v>
      </c>
      <c r="H1019" s="156" t="s">
        <v>24</v>
      </c>
      <c r="I1019" s="58">
        <f>IFERROR(VLOOKUP(C1019,'Infos Clientes'!B:E,4,),"")</f>
        <v>371</v>
      </c>
      <c r="J1019" s="157">
        <v>0.21</v>
      </c>
      <c r="K1019" s="79">
        <f>INDEX('Resumo Operacional'!$A$1:$P$151,MATCH("Desconto percentual Ucs",'Resumo Operacional'!$B$1:$B$151,0),MATCH('Detalhe Por UC'!$R1019,'Resumo Operacional'!$A$1:$P$1,0))</f>
        <v>0.21</v>
      </c>
      <c r="M1019" s="56"/>
      <c r="N1019" s="56"/>
      <c r="O1019" s="56"/>
      <c r="P1019" s="56"/>
      <c r="Q1019" s="61"/>
      <c r="R1019" s="111">
        <v>45962</v>
      </c>
      <c r="S1019" s="152">
        <v>2.5999999999999999E-2</v>
      </c>
      <c r="T1019" s="113">
        <f>IF($H1019="GIROSSOL II",AP1019/INDEX('Resumo Operacional'!$A$1:$P$1103,17,MATCH('Detalhe Por UC'!$R1019,'Resumo Operacional'!$A$1:$P$1,0)),
IF($H1019="GIROSSOL II e III",AP1019/INDEX('Resumo Operacional'!$A$1:$P$1103,17,MATCH('Detalhe Por UC'!$R1019,'Resumo Operacional'!$A$1:$P$1,0)),
""))</f>
        <v>2.5941286492640481E-2</v>
      </c>
      <c r="U1019" s="113" t="str">
        <f>IF($H1019="GIROSSOL III",AP1019/INDEX('Resumo Operacional'!$A$1:$P$1103,53,MATCH('Detalhe Por UC'!$R1019,'Resumo Operacional'!$A$1:$P$1,0)),
IF($H1019="GIROSSOL II e III",AP1019/INDEX('Resumo Operacional'!$A$1:$P$1103,53,MATCH('Detalhe Por UC'!$R1019,'Resumo Operacional'!$A$1:$P$1,0)),
""))</f>
        <v/>
      </c>
      <c r="X1019">
        <v>1.2125999999999999</v>
      </c>
      <c r="Z1019">
        <v>1.2126000000000001</v>
      </c>
      <c r="AB1019">
        <v>360</v>
      </c>
      <c r="AD1019">
        <v>260</v>
      </c>
      <c r="AF1019">
        <v>2477</v>
      </c>
      <c r="AG1019">
        <v>0</v>
      </c>
      <c r="AH1019">
        <v>45.71</v>
      </c>
      <c r="AK1019">
        <v>166.97</v>
      </c>
      <c r="AL1019" s="43">
        <v>0</v>
      </c>
      <c r="AN1019" s="71">
        <f t="shared" si="563"/>
        <v>59</v>
      </c>
      <c r="AO1019" s="71">
        <f t="shared" si="564"/>
        <v>0</v>
      </c>
      <c r="AP1019" s="71">
        <f t="shared" si="565"/>
        <v>319</v>
      </c>
      <c r="AQ1019" s="72">
        <f>IF(OR($H1019="GIROSSOL II",$H1019="GIROSSOL II e III"),INDEX('Resumo Operacional'!$A$1:$P$1103,MATCH("Energia Injetada prevista total Fatura da Usina (TUSD)",'Resumo Operacional'!$B$1:$B$1103,0),MATCH('Detalhe Por UC'!$R1019,'Resumo Operacional'!$A$1:$P$1,0))*$S1019,INDEX('Resumo Operacional'!$A$1:$P$1103,53,MATCH('Detalhe Por UC'!$R1019,'Resumo Operacional'!$A$1:$P$1,0))*$S1019)</f>
        <v>319.72199999999998</v>
      </c>
      <c r="AR1019" s="71">
        <f t="shared" si="566"/>
        <v>-0.72199999999997999</v>
      </c>
      <c r="AS1019" s="73">
        <f t="shared" si="567"/>
        <v>166.96999999999994</v>
      </c>
      <c r="AT1019" s="74">
        <f t="shared" si="568"/>
        <v>166.96999999999994</v>
      </c>
      <c r="AU1019" s="74">
        <f t="shared" si="569"/>
        <v>1.2126000000000003</v>
      </c>
      <c r="AV1019" s="74">
        <f t="shared" si="570"/>
        <v>249.06804000000005</v>
      </c>
      <c r="AW1019" s="74">
        <f t="shared" si="571"/>
        <v>-0.13999999999998636</v>
      </c>
      <c r="AX1019" s="74">
        <f t="shared" si="572"/>
        <v>315.13600000000002</v>
      </c>
      <c r="AY1019" s="74">
        <f t="shared" si="573"/>
        <v>248.93</v>
      </c>
      <c r="AZ1019" s="129">
        <v>248.93</v>
      </c>
      <c r="BA1019" s="117"/>
      <c r="BC1019" s="73" t="str">
        <f t="shared" si="574"/>
        <v/>
      </c>
      <c r="BD1019" s="73">
        <f t="shared" si="575"/>
        <v>482.24599999999992</v>
      </c>
      <c r="BE1019" s="73">
        <f t="shared" si="576"/>
        <v>416.03804000000002</v>
      </c>
      <c r="BF1019" s="77">
        <f t="shared" si="577"/>
        <v>66.209999999999994</v>
      </c>
      <c r="BG1019" s="77">
        <f t="shared" si="578"/>
        <v>19.862999999999996</v>
      </c>
      <c r="BH1019" s="77">
        <f t="shared" si="579"/>
        <v>315.27600000000001</v>
      </c>
      <c r="BI1019" s="78">
        <f t="shared" si="580"/>
        <v>0.21</v>
      </c>
      <c r="BJ1019" s="79">
        <f t="shared" si="581"/>
        <v>0.13729507346872757</v>
      </c>
      <c r="BK1019" s="80">
        <f t="shared" si="582"/>
        <v>415.9</v>
      </c>
      <c r="BL1019" s="80">
        <f t="shared" si="583"/>
        <v>66.345999999999947</v>
      </c>
      <c r="BM1019" s="79">
        <f t="shared" si="584"/>
        <v>0.13757708721275025</v>
      </c>
      <c r="BN1019" s="81">
        <f t="shared" si="585"/>
        <v>0.95742307692307693</v>
      </c>
      <c r="BO1019" s="82">
        <f t="shared" si="586"/>
        <v>248.93</v>
      </c>
      <c r="BP1019" s="81">
        <f t="shared" si="587"/>
        <v>0.95742307692307693</v>
      </c>
      <c r="BQ1019" s="81">
        <f t="shared" si="588"/>
        <v>0.95742307692307671</v>
      </c>
      <c r="BR1019" s="81">
        <f t="shared" si="589"/>
        <v>1.2125999999999999</v>
      </c>
      <c r="BS1019" s="82">
        <f t="shared" si="590"/>
        <v>260</v>
      </c>
      <c r="BT1019" s="82">
        <f t="shared" si="591"/>
        <v>315.27599999999995</v>
      </c>
      <c r="BU1019" s="82">
        <f t="shared" si="592"/>
        <v>315.27600000000001</v>
      </c>
      <c r="BW1019" s="82">
        <f>IFERROR(INDEX('Infos Clientes'!$T:$T,MATCH('Detalhe Por UC'!$C1019,'Infos Clientes'!B:B,0)),"")</f>
        <v>418.16666666666669</v>
      </c>
      <c r="BX1019" s="83">
        <f t="shared" si="593"/>
        <v>0</v>
      </c>
      <c r="BY1019" s="84">
        <f t="shared" si="594"/>
        <v>0.21043783859221774</v>
      </c>
      <c r="BZ1019" s="85">
        <f>IF(_xlfn.MINIFS('Detalhe Por UC'!R:R,'Detalhe Por UC'!C:C,C1019,'Detalhe Por UC'!AD:AD,"&gt;"&amp;0)=0,"",_xlfn.MINIFS('Detalhe Por UC'!R:R,'Detalhe Por UC'!C:C,C1019,'Detalhe Por UC'!AD:AD,"&gt;"&amp;0))</f>
        <v>45627</v>
      </c>
      <c r="CA1019" s="114">
        <f ca="1">IF(OR(S1019&gt;0,AD1019&gt;0),IFERROR(
SUMIFS(INDIRECT("'Infos Clientes'!$W"&amp;INDEX('Infos Clientes'!$C:$C,MATCH(C1019,'Infos Clientes'!$H:$H,0))&amp;":$CZ"&amp;INDEX('Infos Clientes'!$C:$C,MATCH(C1019,'Infos Clientes'!$H:$H,0))),'Infos Clientes'!$W$2:$CZ$2,"&gt;"&amp;$R1019-365,'Infos Clientes'!$W$2:$CZ$2,"&lt;="&amp;$R1019)/
COUNTIFS(INDIRECT("'Infos Clientes'!$W"&amp;INDEX('Infos Clientes'!$C:$C,MATCH(C1019,'Infos Clientes'!$H:$H,0))&amp;":$CZ"&amp;INDEX('Infos Clientes'!$C:$C,MATCH(C1019,'Infos Clientes'!$H:$H,0))),"&gt;="&amp;0,'Infos Clientes'!$W$2:$CZ$2,"&gt;"&amp;$R1019-365,'Infos Clientes'!$W$2:$CZ$2,"&lt;="&amp;$R1019),""),"")</f>
        <v>379</v>
      </c>
      <c r="CB1019" s="87">
        <f>VLOOKUP(C1019,'Infos Clientes'!B:L,11,0)</f>
        <v>0</v>
      </c>
      <c r="CC1019" s="88" t="str">
        <f t="shared" si="595"/>
        <v>A Unidade Consumidora 10/1672452-8 economizou R$66,21 na fatura referente à nov/2025  consumindo 260 kWh em créditos de energia renovável conforme fatura de energia. A economia foi de 21% em relação ao que seria pago para a Energisa considerando os créditos consumidos. Atenção: Mantenha as contas da Energisa em dia para evitar cortes.</v>
      </c>
      <c r="CF1019" s="115">
        <f t="shared" si="596"/>
        <v>-166.96999999999994</v>
      </c>
    </row>
    <row r="1020" spans="3:84" ht="16.2" customHeight="1" x14ac:dyDescent="0.3">
      <c r="C1020" s="31" t="s">
        <v>111</v>
      </c>
      <c r="D1020" s="31" t="s">
        <v>351</v>
      </c>
      <c r="E1020" s="31" t="s">
        <v>352</v>
      </c>
      <c r="F1020" s="56" t="str">
        <f>INDEX('Infos Clientes'!$I:$I,MATCH('Detalhe Por UC'!C1020,'Infos Clientes'!B:B,0))</f>
        <v>BT</v>
      </c>
      <c r="G1020" s="56" t="str">
        <f>INDEX('Infos Clientes'!$J:$J,MATCH('Detalhe Por UC'!C1020,'Infos Clientes'!B:B,0))</f>
        <v>trifasico</v>
      </c>
      <c r="H1020" s="156" t="s">
        <v>24</v>
      </c>
      <c r="I1020" s="58">
        <f>IFERROR(VLOOKUP(C1020,'Infos Clientes'!B:E,4,),"")</f>
        <v>358</v>
      </c>
      <c r="J1020" s="157">
        <v>0.21</v>
      </c>
      <c r="K1020" s="79">
        <f>INDEX('Resumo Operacional'!$A$1:$P$151,MATCH("Desconto percentual Ucs",'Resumo Operacional'!$B$1:$B$151,0),MATCH('Detalhe Por UC'!$R1020,'Resumo Operacional'!$A$1:$P$1,0))</f>
        <v>0.21</v>
      </c>
      <c r="M1020" s="56"/>
      <c r="N1020" s="56"/>
      <c r="O1020" s="56"/>
      <c r="P1020" s="56"/>
      <c r="Q1020" s="61"/>
      <c r="R1020" s="111">
        <v>45962</v>
      </c>
      <c r="S1020" s="152">
        <v>2.5600000000000001E-2</v>
      </c>
      <c r="T1020" s="113">
        <f>IF($H1020="GIROSSOL II",AP1020/INDEX('Resumo Operacional'!$A$1:$P$1103,17,MATCH('Detalhe Por UC'!$R1020,'Resumo Operacional'!$A$1:$P$1,0)),
IF($H1020="GIROSSOL II e III",AP1020/INDEX('Resumo Operacional'!$A$1:$P$1103,17,MATCH('Detalhe Por UC'!$R1020,'Resumo Operacional'!$A$1:$P$1,0)),
""))</f>
        <v>2.553468325607872E-2</v>
      </c>
      <c r="U1020" s="113" t="str">
        <f>IF($H1020="GIROSSOL III",AP1020/INDEX('Resumo Operacional'!$A$1:$P$1103,53,MATCH('Detalhe Por UC'!$R1020,'Resumo Operacional'!$A$1:$P$1,0)),
IF($H1020="GIROSSOL II e III",AP1020/INDEX('Resumo Operacional'!$A$1:$P$1103,53,MATCH('Detalhe Por UC'!$R1020,'Resumo Operacional'!$A$1:$P$1,0)),
""))</f>
        <v/>
      </c>
      <c r="X1020">
        <v>1.2128120967741935</v>
      </c>
      <c r="Z1020">
        <v>1.2128151515151515</v>
      </c>
      <c r="AB1020">
        <v>496</v>
      </c>
      <c r="AD1020">
        <v>396</v>
      </c>
      <c r="AF1020">
        <v>851</v>
      </c>
      <c r="AG1020">
        <v>0</v>
      </c>
      <c r="AH1020">
        <v>80.600000000000009</v>
      </c>
      <c r="AK1020">
        <v>201.88</v>
      </c>
      <c r="AL1020" s="43">
        <v>0</v>
      </c>
      <c r="AN1020" s="71">
        <f t="shared" si="563"/>
        <v>-82</v>
      </c>
      <c r="AO1020" s="71">
        <f t="shared" si="564"/>
        <v>0</v>
      </c>
      <c r="AP1020" s="71">
        <f t="shared" si="565"/>
        <v>314</v>
      </c>
      <c r="AQ1020" s="72">
        <f>IF(OR($H1020="GIROSSOL II",$H1020="GIROSSOL II e III"),INDEX('Resumo Operacional'!$A$1:$P$1103,MATCH("Energia Injetada prevista total Fatura da Usina (TUSD)",'Resumo Operacional'!$B$1:$B$1103,0),MATCH('Detalhe Por UC'!$R1020,'Resumo Operacional'!$A$1:$P$1,0))*$S1020,INDEX('Resumo Operacional'!$A$1:$P$1103,53,MATCH('Detalhe Por UC'!$R1020,'Resumo Operacional'!$A$1:$P$1,0))*$S1020)</f>
        <v>314.8032</v>
      </c>
      <c r="AR1020" s="71">
        <f t="shared" si="566"/>
        <v>-0.80320000000000391</v>
      </c>
      <c r="AS1020" s="73">
        <f t="shared" si="567"/>
        <v>201.88</v>
      </c>
      <c r="AT1020" s="74">
        <f t="shared" si="568"/>
        <v>201.88</v>
      </c>
      <c r="AU1020" s="74">
        <f t="shared" si="569"/>
        <v>1.2128182062561095</v>
      </c>
      <c r="AV1020" s="74">
        <f t="shared" si="570"/>
        <v>379.41709200000003</v>
      </c>
      <c r="AW1020" s="74">
        <f t="shared" si="571"/>
        <v>-0.12999999999999545</v>
      </c>
      <c r="AX1020" s="74">
        <f t="shared" si="572"/>
        <v>480.14480000000003</v>
      </c>
      <c r="AY1020" s="74">
        <f t="shared" si="573"/>
        <v>379.29</v>
      </c>
      <c r="AZ1020" s="129">
        <v>379.29</v>
      </c>
      <c r="BA1020" s="117"/>
      <c r="BC1020" s="73" t="str">
        <f t="shared" si="574"/>
        <v/>
      </c>
      <c r="BD1020" s="73">
        <f t="shared" si="575"/>
        <v>682.15480000000002</v>
      </c>
      <c r="BE1020" s="73">
        <f t="shared" si="576"/>
        <v>581.29709200000002</v>
      </c>
      <c r="BF1020" s="77">
        <f t="shared" si="577"/>
        <v>100.86</v>
      </c>
      <c r="BG1020" s="77">
        <f t="shared" si="578"/>
        <v>30.257999999999999</v>
      </c>
      <c r="BH1020" s="77">
        <f t="shared" si="579"/>
        <v>480.27479999999997</v>
      </c>
      <c r="BI1020" s="78">
        <f t="shared" si="580"/>
        <v>0.21</v>
      </c>
      <c r="BJ1020" s="79">
        <f t="shared" si="581"/>
        <v>0.14785500299931922</v>
      </c>
      <c r="BK1020" s="80">
        <f t="shared" si="582"/>
        <v>581.17000000000007</v>
      </c>
      <c r="BL1020" s="80">
        <f t="shared" si="583"/>
        <v>100.98479999999995</v>
      </c>
      <c r="BM1020" s="79">
        <f t="shared" si="584"/>
        <v>0.14803795267584419</v>
      </c>
      <c r="BN1020" s="81">
        <f t="shared" si="585"/>
        <v>0.95780303030303038</v>
      </c>
      <c r="BO1020" s="82">
        <f t="shared" si="586"/>
        <v>379.29</v>
      </c>
      <c r="BP1020" s="81">
        <f t="shared" si="587"/>
        <v>0.95780303030303038</v>
      </c>
      <c r="BQ1020" s="81">
        <f t="shared" si="588"/>
        <v>0.95779997556207241</v>
      </c>
      <c r="BR1020" s="81">
        <f t="shared" si="589"/>
        <v>1.2128120967741935</v>
      </c>
      <c r="BS1020" s="82">
        <f t="shared" si="590"/>
        <v>396</v>
      </c>
      <c r="BT1020" s="82">
        <f t="shared" si="591"/>
        <v>480.27359032258062</v>
      </c>
      <c r="BU1020" s="82">
        <f t="shared" si="592"/>
        <v>480.27480000000003</v>
      </c>
      <c r="BW1020" s="82">
        <f>IFERROR(INDEX('Infos Clientes'!$T:$T,MATCH('Detalhe Por UC'!$C1020,'Infos Clientes'!B:B,0)),"")</f>
        <v>586</v>
      </c>
      <c r="BX1020" s="83">
        <f t="shared" si="593"/>
        <v>0</v>
      </c>
      <c r="BY1020" s="84">
        <f t="shared" si="594"/>
        <v>0.21026515310194863</v>
      </c>
      <c r="BZ1020" s="85">
        <f>IF(_xlfn.MINIFS('Detalhe Por UC'!R:R,'Detalhe Por UC'!C:C,C1020,'Detalhe Por UC'!AD:AD,"&gt;"&amp;0)=0,"",_xlfn.MINIFS('Detalhe Por UC'!R:R,'Detalhe Por UC'!C:C,C1020,'Detalhe Por UC'!AD:AD,"&gt;"&amp;0))</f>
        <v>45627</v>
      </c>
      <c r="CA1020" s="114">
        <f ca="1">IF(OR(S1020&gt;0,AD1020&gt;0),IFERROR(
SUMIFS(INDIRECT("'Infos Clientes'!$W"&amp;INDEX('Infos Clientes'!$C:$C,MATCH(C1020,'Infos Clientes'!$H:$H,0))&amp;":$CZ"&amp;INDEX('Infos Clientes'!$C:$C,MATCH(C1020,'Infos Clientes'!$H:$H,0))),'Infos Clientes'!$W$2:$CZ$2,"&gt;"&amp;$R1020-365,'Infos Clientes'!$W$2:$CZ$2,"&lt;="&amp;$R1020)/
COUNTIFS(INDIRECT("'Infos Clientes'!$W"&amp;INDEX('Infos Clientes'!$C:$C,MATCH(C1020,'Infos Clientes'!$H:$H,0))&amp;":$CZ"&amp;INDEX('Infos Clientes'!$C:$C,MATCH(C1020,'Infos Clientes'!$H:$H,0))),"&gt;="&amp;0,'Infos Clientes'!$W$2:$CZ$2,"&gt;"&amp;$R1020-365,'Infos Clientes'!$W$2:$CZ$2,"&lt;="&amp;$R1020),""),"")</f>
        <v>529.33333333333337</v>
      </c>
      <c r="CB1020" s="87">
        <f>VLOOKUP(C1020,'Infos Clientes'!B:L,11,0)</f>
        <v>0</v>
      </c>
      <c r="CC1020" s="88" t="str">
        <f t="shared" si="595"/>
        <v>A Unidade Consumidora 10/510330-4 economizou R$100,86 na fatura referente à nov/2025  consumindo 396 kWh em créditos de energia renovável conforme fatura de energia. A economia foi de 21% em relação ao que seria pago para a Energisa considerando os créditos consumidos. Atenção: Mantenha as contas da Energisa em dia para evitar cortes.</v>
      </c>
      <c r="CF1020" s="115">
        <f t="shared" si="596"/>
        <v>-201.88</v>
      </c>
    </row>
    <row r="1021" spans="3:84" ht="16.2" customHeight="1" x14ac:dyDescent="0.3">
      <c r="C1021" s="31" t="s">
        <v>99</v>
      </c>
      <c r="D1021" s="31" t="s">
        <v>351</v>
      </c>
      <c r="E1021" s="31" t="s">
        <v>352</v>
      </c>
      <c r="F1021" s="56" t="str">
        <f>INDEX('Infos Clientes'!$I:$I,MATCH('Detalhe Por UC'!C1021,'Infos Clientes'!B:B,0))</f>
        <v>BT</v>
      </c>
      <c r="G1021" s="56" t="str">
        <f>INDEX('Infos Clientes'!$J:$J,MATCH('Detalhe Por UC'!C1021,'Infos Clientes'!B:B,0))</f>
        <v>trifasico</v>
      </c>
      <c r="H1021" s="156" t="s">
        <v>24</v>
      </c>
      <c r="I1021" s="58">
        <f>IFERROR(VLOOKUP(C1021,'Infos Clientes'!B:E,4,),"")</f>
        <v>331</v>
      </c>
      <c r="J1021" s="157">
        <v>0.21</v>
      </c>
      <c r="K1021" s="79">
        <f>INDEX('Resumo Operacional'!$A$1:$P$151,MATCH("Desconto percentual Ucs",'Resumo Operacional'!$B$1:$B$151,0),MATCH('Detalhe Por UC'!$R1021,'Resumo Operacional'!$A$1:$P$1,0))</f>
        <v>0.21</v>
      </c>
      <c r="M1021" s="56"/>
      <c r="N1021" s="56"/>
      <c r="O1021" s="56"/>
      <c r="P1021" s="56"/>
      <c r="Q1021" s="61"/>
      <c r="R1021" s="111">
        <v>45962</v>
      </c>
      <c r="S1021" s="152">
        <v>1.6500000000000001E-2</v>
      </c>
      <c r="T1021" s="113">
        <f>IF($H1021="GIROSSOL II",AP1021/INDEX('Resumo Operacional'!$A$1:$P$1103,17,MATCH('Detalhe Por UC'!$R1021,'Resumo Operacional'!$A$1:$P$1,0)),
IF($H1021="GIROSSOL II e III",AP1021/INDEX('Resumo Operacional'!$A$1:$P$1103,17,MATCH('Detalhe Por UC'!$R1021,'Resumo Operacional'!$A$1:$P$1,0)),
""))</f>
        <v>1.6426770757095227E-2</v>
      </c>
      <c r="U1021" s="113" t="str">
        <f>IF($H1021="GIROSSOL III",AP1021/INDEX('Resumo Operacional'!$A$1:$P$1103,53,MATCH('Detalhe Por UC'!$R1021,'Resumo Operacional'!$A$1:$P$1,0)),
IF($H1021="GIROSSOL II e III",AP1021/INDEX('Resumo Operacional'!$A$1:$P$1103,53,MATCH('Detalhe Por UC'!$R1021,'Resumo Operacional'!$A$1:$P$1,0)),
""))</f>
        <v/>
      </c>
      <c r="X1021">
        <v>1.2128000000000001</v>
      </c>
      <c r="Z1021">
        <v>1.2128000000000001</v>
      </c>
      <c r="AB1021">
        <v>370</v>
      </c>
      <c r="AD1021">
        <v>270</v>
      </c>
      <c r="AF1021">
        <v>363</v>
      </c>
      <c r="AG1021">
        <v>0</v>
      </c>
      <c r="AH1021">
        <v>0</v>
      </c>
      <c r="AK1021">
        <v>121.28</v>
      </c>
      <c r="AL1021" s="43">
        <v>0</v>
      </c>
      <c r="AN1021" s="71">
        <f t="shared" si="563"/>
        <v>-68</v>
      </c>
      <c r="AO1021" s="71">
        <f t="shared" si="564"/>
        <v>0</v>
      </c>
      <c r="AP1021" s="71">
        <f t="shared" si="565"/>
        <v>202</v>
      </c>
      <c r="AQ1021" s="72">
        <f>IF(OR($H1021="GIROSSOL II",$H1021="GIROSSOL II e III"),INDEX('Resumo Operacional'!$A$1:$P$1103,MATCH("Energia Injetada prevista total Fatura da Usina (TUSD)",'Resumo Operacional'!$B$1:$B$1103,0),MATCH('Detalhe Por UC'!$R1021,'Resumo Operacional'!$A$1:$P$1,0))*$S1021,INDEX('Resumo Operacional'!$A$1:$P$1103,53,MATCH('Detalhe Por UC'!$R1021,'Resumo Operacional'!$A$1:$P$1,0))*$S1021)</f>
        <v>202.90050000000002</v>
      </c>
      <c r="AR1021" s="71">
        <f t="shared" si="566"/>
        <v>-0.90050000000002228</v>
      </c>
      <c r="AS1021" s="73">
        <f t="shared" si="567"/>
        <v>121.28000000000003</v>
      </c>
      <c r="AT1021" s="74">
        <f t="shared" si="568"/>
        <v>121.28000000000003</v>
      </c>
      <c r="AU1021" s="74">
        <f t="shared" si="569"/>
        <v>1.2128000000000001</v>
      </c>
      <c r="AV1021" s="74">
        <f t="shared" si="570"/>
        <v>258.69024000000002</v>
      </c>
      <c r="AW1021" s="74">
        <f t="shared" si="571"/>
        <v>0</v>
      </c>
      <c r="AX1021" s="74">
        <f t="shared" si="572"/>
        <v>327.45600000000002</v>
      </c>
      <c r="AY1021" s="74">
        <f t="shared" si="573"/>
        <v>258.69</v>
      </c>
      <c r="AZ1021" s="129">
        <v>258.69</v>
      </c>
      <c r="BA1021" s="117"/>
      <c r="BC1021" s="73" t="str">
        <f t="shared" si="574"/>
        <v/>
      </c>
      <c r="BD1021" s="73">
        <f t="shared" si="575"/>
        <v>448.73600000000005</v>
      </c>
      <c r="BE1021" s="73">
        <f t="shared" si="576"/>
        <v>379.97024000000005</v>
      </c>
      <c r="BF1021" s="77">
        <f t="shared" si="577"/>
        <v>68.77</v>
      </c>
      <c r="BG1021" s="77">
        <f t="shared" si="578"/>
        <v>20.630999999999997</v>
      </c>
      <c r="BH1021" s="77">
        <f t="shared" si="579"/>
        <v>327.45600000000002</v>
      </c>
      <c r="BI1021" s="78">
        <f t="shared" si="580"/>
        <v>0.21</v>
      </c>
      <c r="BJ1021" s="79">
        <f t="shared" si="581"/>
        <v>0.15325269200599012</v>
      </c>
      <c r="BK1021" s="80">
        <f t="shared" si="582"/>
        <v>379.97</v>
      </c>
      <c r="BL1021" s="80">
        <f t="shared" si="583"/>
        <v>68.76600000000002</v>
      </c>
      <c r="BM1021" s="79">
        <f t="shared" si="584"/>
        <v>0.15324377807887046</v>
      </c>
      <c r="BN1021" s="81">
        <f t="shared" si="585"/>
        <v>0.95811111111111114</v>
      </c>
      <c r="BO1021" s="82">
        <f t="shared" si="586"/>
        <v>258.69</v>
      </c>
      <c r="BP1021" s="81">
        <f t="shared" si="587"/>
        <v>0.95811111111111114</v>
      </c>
      <c r="BQ1021" s="81">
        <f t="shared" si="588"/>
        <v>0.95811111111111114</v>
      </c>
      <c r="BR1021" s="81">
        <f t="shared" si="589"/>
        <v>1.2128000000000001</v>
      </c>
      <c r="BS1021" s="82">
        <f t="shared" si="590"/>
        <v>270</v>
      </c>
      <c r="BT1021" s="82">
        <f t="shared" si="591"/>
        <v>327.45600000000002</v>
      </c>
      <c r="BU1021" s="82">
        <f t="shared" si="592"/>
        <v>327.45600000000002</v>
      </c>
      <c r="BW1021" s="82">
        <f>IFERROR(INDEX('Infos Clientes'!$T:$T,MATCH('Detalhe Por UC'!$C1021,'Infos Clientes'!B:B,0)),"")</f>
        <v>433.16666666666669</v>
      </c>
      <c r="BX1021" s="83">
        <f t="shared" si="593"/>
        <v>0</v>
      </c>
      <c r="BY1021" s="84">
        <f t="shared" si="594"/>
        <v>0.21000073292289656</v>
      </c>
      <c r="BZ1021" s="85">
        <f>IF(_xlfn.MINIFS('Detalhe Por UC'!R:R,'Detalhe Por UC'!C:C,C1021,'Detalhe Por UC'!AD:AD,"&gt;"&amp;0)=0,"",_xlfn.MINIFS('Detalhe Por UC'!R:R,'Detalhe Por UC'!C:C,C1021,'Detalhe Por UC'!AD:AD,"&gt;"&amp;0))</f>
        <v>45627</v>
      </c>
      <c r="CA1021" s="114">
        <f ca="1">IF(OR(S1021&gt;0,AD1021&gt;0),IFERROR(
SUMIFS(INDIRECT("'Infos Clientes'!$W"&amp;INDEX('Infos Clientes'!$C:$C,MATCH(C1021,'Infos Clientes'!$H:$H,0))&amp;":$CZ"&amp;INDEX('Infos Clientes'!$C:$C,MATCH(C1021,'Infos Clientes'!$H:$H,0))),'Infos Clientes'!$W$2:$CZ$2,"&gt;"&amp;$R1021-365,'Infos Clientes'!$W$2:$CZ$2,"&lt;="&amp;$R1021)/
COUNTIFS(INDIRECT("'Infos Clientes'!$W"&amp;INDEX('Infos Clientes'!$C:$C,MATCH(C1021,'Infos Clientes'!$H:$H,0))&amp;":$CZ"&amp;INDEX('Infos Clientes'!$C:$C,MATCH(C1021,'Infos Clientes'!$H:$H,0))),"&gt;="&amp;0,'Infos Clientes'!$W$2:$CZ$2,"&gt;"&amp;$R1021-365,'Infos Clientes'!$W$2:$CZ$2,"&lt;="&amp;$R1021),""),"")</f>
        <v>384.16666666666669</v>
      </c>
      <c r="CB1021" s="87">
        <f>VLOOKUP(C1021,'Infos Clientes'!B:L,11,0)</f>
        <v>0</v>
      </c>
      <c r="CC1021" s="88" t="str">
        <f t="shared" si="595"/>
        <v>A Unidade Consumidora 10/3092868-3 economizou R$68,77 na fatura referente à nov/2025  consumindo 270 kWh em créditos de energia renovável conforme fatura de energia. A economia foi de 21% em relação ao que seria pago para a Energisa considerando os créditos consumidos. Atenção: Mantenha as contas da Energisa em dia para evitar cortes.</v>
      </c>
      <c r="CF1021" s="115">
        <f t="shared" si="596"/>
        <v>-121.28000000000003</v>
      </c>
    </row>
    <row r="1022" spans="3:84" ht="16.2" customHeight="1" x14ac:dyDescent="0.3">
      <c r="C1022" s="31" t="s">
        <v>35</v>
      </c>
      <c r="D1022" s="31" t="s">
        <v>351</v>
      </c>
      <c r="E1022" s="31" t="s">
        <v>352</v>
      </c>
      <c r="F1022" s="56" t="str">
        <f>INDEX('Infos Clientes'!$I:$I,MATCH('Detalhe Por UC'!C1022,'Infos Clientes'!B:B,0))</f>
        <v>BT</v>
      </c>
      <c r="G1022" s="56" t="str">
        <f>INDEX('Infos Clientes'!$J:$J,MATCH('Detalhe Por UC'!C1022,'Infos Clientes'!B:B,0))</f>
        <v>trifasico</v>
      </c>
      <c r="H1022" s="156" t="s">
        <v>24</v>
      </c>
      <c r="I1022" s="58">
        <f>IFERROR(VLOOKUP(C1022,'Infos Clientes'!B:E,4,),"")</f>
        <v>319</v>
      </c>
      <c r="J1022" s="157">
        <v>0.21</v>
      </c>
      <c r="K1022" s="79">
        <f>INDEX('Resumo Operacional'!$A$1:$P$151,MATCH("Desconto percentual Ucs",'Resumo Operacional'!$B$1:$B$151,0),MATCH('Detalhe Por UC'!$R1022,'Resumo Operacional'!$A$1:$P$1,0))</f>
        <v>0.21</v>
      </c>
      <c r="M1022" s="56"/>
      <c r="N1022" s="56"/>
      <c r="O1022" s="56"/>
      <c r="P1022" s="56"/>
      <c r="Q1022" s="61"/>
      <c r="R1022" s="111">
        <v>45962</v>
      </c>
      <c r="S1022" s="152">
        <v>1.5699999999999999E-2</v>
      </c>
      <c r="T1022" s="113">
        <f>IF($H1022="GIROSSOL II",AP1022/INDEX('Resumo Operacional'!$A$1:$P$1103,17,MATCH('Detalhe Por UC'!$R1022,'Resumo Operacional'!$A$1:$P$1,0)),
IF($H1022="GIROSSOL II e III",AP1022/INDEX('Resumo Operacional'!$A$1:$P$1103,17,MATCH('Detalhe Por UC'!$R1022,'Resumo Operacional'!$A$1:$P$1,0)),
""))</f>
        <v>1.6914694640969341E-2</v>
      </c>
      <c r="U1022" s="113" t="str">
        <f>IF($H1022="GIROSSOL III",AP1022/INDEX('Resumo Operacional'!$A$1:$P$1103,53,MATCH('Detalhe Por UC'!$R1022,'Resumo Operacional'!$A$1:$P$1,0)),
IF($H1022="GIROSSOL II e III",AP1022/INDEX('Resumo Operacional'!$A$1:$P$1103,53,MATCH('Detalhe Por UC'!$R1022,'Resumo Operacional'!$A$1:$P$1,0)),
""))</f>
        <v/>
      </c>
      <c r="X1022">
        <v>1.2127138408304499</v>
      </c>
      <c r="Z1022">
        <v>1.2127211640211641</v>
      </c>
      <c r="AB1022">
        <v>289</v>
      </c>
      <c r="AD1022">
        <v>189</v>
      </c>
      <c r="AF1022">
        <v>19</v>
      </c>
      <c r="AG1022">
        <v>0</v>
      </c>
      <c r="AH1022">
        <v>59.51</v>
      </c>
      <c r="AK1022">
        <v>180.78</v>
      </c>
      <c r="AL1022" s="43">
        <v>0</v>
      </c>
      <c r="AN1022" s="71">
        <f t="shared" si="563"/>
        <v>19</v>
      </c>
      <c r="AO1022" s="71">
        <f t="shared" si="564"/>
        <v>0</v>
      </c>
      <c r="AP1022" s="71">
        <f t="shared" si="565"/>
        <v>208</v>
      </c>
      <c r="AQ1022" s="72">
        <f>IF(OR($H1022="GIROSSOL II",$H1022="GIROSSOL II e III"),INDEX('Resumo Operacional'!$A$1:$P$1103,MATCH("Energia Injetada prevista total Fatura da Usina (TUSD)",'Resumo Operacional'!$B$1:$B$1103,0),MATCH('Detalhe Por UC'!$R1022,'Resumo Operacional'!$A$1:$P$1,0))*$S1022,INDEX('Resumo Operacional'!$A$1:$P$1103,53,MATCH('Detalhe Por UC'!$R1022,'Resumo Operacional'!$A$1:$P$1,0))*$S1022)</f>
        <v>193.06289999999998</v>
      </c>
      <c r="AR1022" s="71">
        <f t="shared" si="566"/>
        <v>14.937100000000015</v>
      </c>
      <c r="AS1022" s="73">
        <f t="shared" si="567"/>
        <v>180.78</v>
      </c>
      <c r="AT1022" s="74">
        <f t="shared" si="568"/>
        <v>180.78</v>
      </c>
      <c r="AU1022" s="74">
        <f t="shared" si="569"/>
        <v>1.2127284872118784</v>
      </c>
      <c r="AV1022" s="74">
        <f t="shared" si="570"/>
        <v>181.07139700000002</v>
      </c>
      <c r="AW1022" s="74">
        <f t="shared" si="571"/>
        <v>0</v>
      </c>
      <c r="AX1022" s="74">
        <f t="shared" si="572"/>
        <v>229.20430000000002</v>
      </c>
      <c r="AY1022" s="74">
        <f t="shared" si="573"/>
        <v>181.07</v>
      </c>
      <c r="AZ1022" s="129">
        <v>181.07</v>
      </c>
      <c r="BA1022" s="117"/>
      <c r="BC1022" s="73" t="str">
        <f t="shared" si="574"/>
        <v/>
      </c>
      <c r="BD1022" s="73">
        <f t="shared" si="575"/>
        <v>409.98430000000002</v>
      </c>
      <c r="BE1022" s="73">
        <f t="shared" si="576"/>
        <v>361.85139700000002</v>
      </c>
      <c r="BF1022" s="77">
        <f t="shared" si="577"/>
        <v>48.13</v>
      </c>
      <c r="BG1022" s="77">
        <f t="shared" si="578"/>
        <v>14.439</v>
      </c>
      <c r="BH1022" s="77">
        <f t="shared" si="579"/>
        <v>229.20430000000002</v>
      </c>
      <c r="BI1022" s="78">
        <f t="shared" si="580"/>
        <v>0.21</v>
      </c>
      <c r="BJ1022" s="79">
        <f t="shared" si="581"/>
        <v>0.11739473926196686</v>
      </c>
      <c r="BK1022" s="80">
        <f t="shared" si="582"/>
        <v>361.85</v>
      </c>
      <c r="BL1022" s="80">
        <f t="shared" si="583"/>
        <v>48.134299999999996</v>
      </c>
      <c r="BM1022" s="79">
        <f t="shared" si="584"/>
        <v>0.11740522746846646</v>
      </c>
      <c r="BN1022" s="81">
        <f t="shared" si="585"/>
        <v>0.95804232804232803</v>
      </c>
      <c r="BO1022" s="82">
        <f t="shared" si="586"/>
        <v>181.07</v>
      </c>
      <c r="BP1022" s="81">
        <f t="shared" si="587"/>
        <v>0.95804232804232803</v>
      </c>
      <c r="BQ1022" s="81">
        <f t="shared" si="588"/>
        <v>0.95803500485161375</v>
      </c>
      <c r="BR1022" s="81">
        <f t="shared" si="589"/>
        <v>1.2127138408304499</v>
      </c>
      <c r="BS1022" s="82">
        <f t="shared" si="590"/>
        <v>189</v>
      </c>
      <c r="BT1022" s="82">
        <f t="shared" si="591"/>
        <v>229.20291591695502</v>
      </c>
      <c r="BU1022" s="82">
        <f t="shared" si="592"/>
        <v>229.20430000000002</v>
      </c>
      <c r="BW1022" s="82">
        <f>IFERROR(INDEX('Infos Clientes'!$T:$T,MATCH('Detalhe Por UC'!$C1022,'Infos Clientes'!B:B,0)),"")</f>
        <v>182.25</v>
      </c>
      <c r="BX1022" s="83">
        <f t="shared" si="593"/>
        <v>0</v>
      </c>
      <c r="BY1022" s="84">
        <f t="shared" si="594"/>
        <v>0.21000736315867849</v>
      </c>
      <c r="BZ1022" s="85">
        <f>IF(_xlfn.MINIFS('Detalhe Por UC'!R:R,'Detalhe Por UC'!C:C,C1022,'Detalhe Por UC'!AD:AD,"&gt;"&amp;0)=0,"",_xlfn.MINIFS('Detalhe Por UC'!R:R,'Detalhe Por UC'!C:C,C1022,'Detalhe Por UC'!AD:AD,"&gt;"&amp;0))</f>
        <v>45627</v>
      </c>
      <c r="CA1022" s="114">
        <f ca="1">IF(OR(S1022&gt;0,AD1022&gt;0),IFERROR(
SUMIFS(INDIRECT("'Infos Clientes'!$W"&amp;INDEX('Infos Clientes'!$C:$C,MATCH(C1022,'Infos Clientes'!$H:$H,0))&amp;":$CZ"&amp;INDEX('Infos Clientes'!$C:$C,MATCH(C1022,'Infos Clientes'!$H:$H,0))),'Infos Clientes'!$W$2:$CZ$2,"&gt;"&amp;$R1022-365,'Infos Clientes'!$W$2:$CZ$2,"&lt;="&amp;$R1022)/
COUNTIFS(INDIRECT("'Infos Clientes'!$W"&amp;INDEX('Infos Clientes'!$C:$C,MATCH(C1022,'Infos Clientes'!$H:$H,0))&amp;":$CZ"&amp;INDEX('Infos Clientes'!$C:$C,MATCH(C1022,'Infos Clientes'!$H:$H,0))),"&gt;="&amp;0,'Infos Clientes'!$W$2:$CZ$2,"&gt;"&amp;$R1022-365,'Infos Clientes'!$W$2:$CZ$2,"&lt;="&amp;$R1022),""),"")</f>
        <v>287.5</v>
      </c>
      <c r="CB1022" s="87">
        <f>VLOOKUP(C1022,'Infos Clientes'!B:L,11,0)</f>
        <v>0</v>
      </c>
      <c r="CC1022" s="88" t="str">
        <f t="shared" si="595"/>
        <v>A Unidade Consumidora 10/1184751-4 economizou R$48,13 na fatura referente à nov/2025  consumindo 189 kWh em créditos de energia renovável conforme fatura de energia. A economia foi de 21% em relação ao que seria pago para a Energisa considerando os créditos consumidos. Atenção: Mantenha as contas da Energisa em dia para evitar cortes.</v>
      </c>
      <c r="CF1022" s="115">
        <f t="shared" si="596"/>
        <v>-180.78</v>
      </c>
    </row>
    <row r="1023" spans="3:84" ht="16.2" customHeight="1" x14ac:dyDescent="0.3">
      <c r="C1023" s="31" t="s">
        <v>67</v>
      </c>
      <c r="D1023" s="31" t="s">
        <v>351</v>
      </c>
      <c r="E1023" s="31" t="s">
        <v>352</v>
      </c>
      <c r="F1023" s="56" t="str">
        <f>INDEX('Infos Clientes'!$I:$I,MATCH('Detalhe Por UC'!C1023,'Infos Clientes'!B:B,0))</f>
        <v>BT</v>
      </c>
      <c r="G1023" s="56" t="str">
        <f>INDEX('Infos Clientes'!$J:$J,MATCH('Detalhe Por UC'!C1023,'Infos Clientes'!B:B,0))</f>
        <v>bifasico</v>
      </c>
      <c r="H1023" s="156" t="s">
        <v>24</v>
      </c>
      <c r="I1023" s="58">
        <f>IFERROR(VLOOKUP(C1023,'Infos Clientes'!B:E,4,),"")</f>
        <v>331</v>
      </c>
      <c r="J1023" s="157">
        <v>0.21</v>
      </c>
      <c r="K1023" s="79">
        <f>INDEX('Resumo Operacional'!$A$1:$P$151,MATCH("Desconto percentual Ucs",'Resumo Operacional'!$B$1:$B$151,0),MATCH('Detalhe Por UC'!$R1023,'Resumo Operacional'!$A$1:$P$1,0))</f>
        <v>0.21</v>
      </c>
      <c r="M1023" s="56"/>
      <c r="N1023" s="56"/>
      <c r="O1023" s="56"/>
      <c r="P1023" s="56"/>
      <c r="Q1023" s="61"/>
      <c r="R1023" s="111">
        <v>45962</v>
      </c>
      <c r="S1023" s="152">
        <v>1.5599999999999999E-2</v>
      </c>
      <c r="T1023" s="113">
        <f>IF($H1023="GIROSSOL II",AP1023/INDEX('Resumo Operacional'!$A$1:$P$1103,17,MATCH('Detalhe Por UC'!$R1023,'Resumo Operacional'!$A$1:$P$1,0)),
IF($H1023="GIROSSOL II e III",AP1023/INDEX('Resumo Operacional'!$A$1:$P$1103,17,MATCH('Detalhe Por UC'!$R1023,'Resumo Operacional'!$A$1:$P$1,0)),
""))</f>
        <v>1.5532243636659348E-2</v>
      </c>
      <c r="U1023" s="113" t="str">
        <f>IF($H1023="GIROSSOL III",AP1023/INDEX('Resumo Operacional'!$A$1:$P$1103,53,MATCH('Detalhe Por UC'!$R1023,'Resumo Operacional'!$A$1:$P$1,0)),
IF($H1023="GIROSSOL II e III",AP1023/INDEX('Resumo Operacional'!$A$1:$P$1103,53,MATCH('Detalhe Por UC'!$R1023,'Resumo Operacional'!$A$1:$P$1,0)),
""))</f>
        <v/>
      </c>
      <c r="X1023">
        <v>1.212795118047219</v>
      </c>
      <c r="Z1023">
        <v>1.2090478837449379</v>
      </c>
      <c r="AB1023">
        <v>306</v>
      </c>
      <c r="AD1023">
        <v>257</v>
      </c>
      <c r="AF1023">
        <v>372</v>
      </c>
      <c r="AG1023">
        <v>0</v>
      </c>
      <c r="AH1023">
        <v>37</v>
      </c>
      <c r="AK1023">
        <v>97.39</v>
      </c>
      <c r="AL1023" s="43">
        <v>0</v>
      </c>
      <c r="AN1023" s="71">
        <f t="shared" si="563"/>
        <v>-66</v>
      </c>
      <c r="AO1023" s="71">
        <f t="shared" si="564"/>
        <v>0</v>
      </c>
      <c r="AP1023" s="71">
        <f t="shared" si="565"/>
        <v>191</v>
      </c>
      <c r="AQ1023" s="72">
        <f>IF(OR($H1023="GIROSSOL II",$H1023="GIROSSOL II e III"),INDEX('Resumo Operacional'!$A$1:$P$1103,MATCH("Energia Injetada prevista total Fatura da Usina (TUSD)",'Resumo Operacional'!$B$1:$B$1103,0),MATCH('Detalhe Por UC'!$R1023,'Resumo Operacional'!$A$1:$P$1,0))*$S1023,INDEX('Resumo Operacional'!$A$1:$P$1103,53,MATCH('Detalhe Por UC'!$R1023,'Resumo Operacional'!$A$1:$P$1,0))*$S1023)</f>
        <v>191.83320000000001</v>
      </c>
      <c r="AR1023" s="71">
        <f t="shared" si="566"/>
        <v>-0.83320000000000505</v>
      </c>
      <c r="AS1023" s="73">
        <f t="shared" si="567"/>
        <v>97.389999999999986</v>
      </c>
      <c r="AT1023" s="74">
        <f t="shared" si="568"/>
        <v>97.389999999999986</v>
      </c>
      <c r="AU1023" s="74">
        <f t="shared" si="569"/>
        <v>1.2053006494426568</v>
      </c>
      <c r="AV1023" s="74">
        <f t="shared" si="570"/>
        <v>245.47299183673474</v>
      </c>
      <c r="AW1023" s="74">
        <f t="shared" si="571"/>
        <v>-0.94999999999998863</v>
      </c>
      <c r="AX1023" s="74">
        <f t="shared" si="572"/>
        <v>309.77530612244902</v>
      </c>
      <c r="AY1023" s="74">
        <f t="shared" si="573"/>
        <v>244.52</v>
      </c>
      <c r="AZ1023" s="129">
        <v>244.52</v>
      </c>
      <c r="BA1023" s="117"/>
      <c r="BC1023" s="73" t="str">
        <f t="shared" si="574"/>
        <v/>
      </c>
      <c r="BD1023" s="73">
        <f t="shared" si="575"/>
        <v>408.115306122449</v>
      </c>
      <c r="BE1023" s="73">
        <f t="shared" si="576"/>
        <v>342.86299183673475</v>
      </c>
      <c r="BF1023" s="77">
        <f t="shared" si="577"/>
        <v>65.25</v>
      </c>
      <c r="BG1023" s="77">
        <f t="shared" si="578"/>
        <v>19.574999999999999</v>
      </c>
      <c r="BH1023" s="77">
        <f t="shared" si="579"/>
        <v>310.72530612244901</v>
      </c>
      <c r="BI1023" s="78">
        <f t="shared" si="580"/>
        <v>0.21</v>
      </c>
      <c r="BJ1023" s="79">
        <f t="shared" si="581"/>
        <v>0.15988128605111099</v>
      </c>
      <c r="BK1023" s="80">
        <f t="shared" si="582"/>
        <v>341.90999999999997</v>
      </c>
      <c r="BL1023" s="80">
        <f t="shared" si="583"/>
        <v>66.205306122449031</v>
      </c>
      <c r="BM1023" s="79">
        <f t="shared" si="584"/>
        <v>0.16222206109217846</v>
      </c>
      <c r="BN1023" s="81">
        <f t="shared" si="585"/>
        <v>0.9514396887159533</v>
      </c>
      <c r="BO1023" s="82">
        <f t="shared" si="586"/>
        <v>244.52</v>
      </c>
      <c r="BP1023" s="81">
        <f t="shared" si="587"/>
        <v>0.9514396887159533</v>
      </c>
      <c r="BQ1023" s="81">
        <f t="shared" si="588"/>
        <v>0.95518692301823438</v>
      </c>
      <c r="BR1023" s="81">
        <f t="shared" si="589"/>
        <v>1.212795118047219</v>
      </c>
      <c r="BS1023" s="82">
        <f t="shared" si="590"/>
        <v>257</v>
      </c>
      <c r="BT1023" s="82">
        <f t="shared" si="591"/>
        <v>311.68834533813526</v>
      </c>
      <c r="BU1023" s="82">
        <f t="shared" si="592"/>
        <v>310.72530612244901</v>
      </c>
      <c r="BW1023" s="82">
        <f>IFERROR(INDEX('Infos Clientes'!$T:$T,MATCH('Detalhe Por UC'!$C1023,'Infos Clientes'!B:B,0)),"")</f>
        <v>372.25</v>
      </c>
      <c r="BX1023" s="83">
        <f t="shared" si="593"/>
        <v>0</v>
      </c>
      <c r="BY1023" s="84">
        <f t="shared" si="594"/>
        <v>0.21240866754458262</v>
      </c>
      <c r="BZ1023" s="85">
        <f>IF(_xlfn.MINIFS('Detalhe Por UC'!R:R,'Detalhe Por UC'!C:C,C1023,'Detalhe Por UC'!AD:AD,"&gt;"&amp;0)=0,"",_xlfn.MINIFS('Detalhe Por UC'!R:R,'Detalhe Por UC'!C:C,C1023,'Detalhe Por UC'!AD:AD,"&gt;"&amp;0))</f>
        <v>45627</v>
      </c>
      <c r="CA1023" s="114">
        <f ca="1">IF(OR(S1023&gt;0,AD1023&gt;0),IFERROR(
SUMIFS(INDIRECT("'Infos Clientes'!$W"&amp;INDEX('Infos Clientes'!$C:$C,MATCH(C1023,'Infos Clientes'!$H:$H,0))&amp;":$CZ"&amp;INDEX('Infos Clientes'!$C:$C,MATCH(C1023,'Infos Clientes'!$H:$H,0))),'Infos Clientes'!$W$2:$CZ$2,"&gt;"&amp;$R1023-365,'Infos Clientes'!$W$2:$CZ$2,"&lt;="&amp;$R1023)/
COUNTIFS(INDIRECT("'Infos Clientes'!$W"&amp;INDEX('Infos Clientes'!$C:$C,MATCH(C1023,'Infos Clientes'!$H:$H,0))&amp;":$CZ"&amp;INDEX('Infos Clientes'!$C:$C,MATCH(C1023,'Infos Clientes'!$H:$H,0))),"&gt;="&amp;0,'Infos Clientes'!$W$2:$CZ$2,"&gt;"&amp;$R1023-365,'Infos Clientes'!$W$2:$CZ$2,"&lt;="&amp;$R1023),""),"")</f>
        <v>332.41666666666669</v>
      </c>
      <c r="CB1023" s="87">
        <f>VLOOKUP(C1023,'Infos Clientes'!B:L,11,0)</f>
        <v>0</v>
      </c>
      <c r="CC1023" s="88" t="str">
        <f t="shared" si="595"/>
        <v>A Unidade Consumidora 10/1939035-0 economizou R$65,25 na fatura referente à nov/2025  consumindo 257 kWh em créditos de energia renovável conforme fatura de energia. A economia foi de 21% em relação ao que seria pago para a Energisa considerando os créditos consumidos. Atenção: Mantenha as contas da Energisa em dia para evitar cortes.</v>
      </c>
      <c r="CF1023" s="115">
        <f t="shared" si="596"/>
        <v>-97.389999999999986</v>
      </c>
    </row>
    <row r="1024" spans="3:84" ht="16.2" customHeight="1" x14ac:dyDescent="0.3">
      <c r="C1024" s="31" t="s">
        <v>250</v>
      </c>
      <c r="D1024" s="31" t="s">
        <v>351</v>
      </c>
      <c r="E1024" s="31" t="s">
        <v>352</v>
      </c>
      <c r="F1024" s="56">
        <f>INDEX('Infos Clientes'!$I:$I,MATCH('Detalhe Por UC'!C1024,'Infos Clientes'!B:B,0))</f>
        <v>0</v>
      </c>
      <c r="G1024" s="56" t="str">
        <f>INDEX('Infos Clientes'!$J:$J,MATCH('Detalhe Por UC'!C1024,'Infos Clientes'!B:B,0))</f>
        <v>bifasico</v>
      </c>
      <c r="H1024" s="156" t="s">
        <v>24</v>
      </c>
      <c r="I1024" s="58">
        <f>IFERROR(VLOOKUP(C1024,'Infos Clientes'!B:E,4,),"")</f>
        <v>319</v>
      </c>
      <c r="J1024" s="157">
        <v>0.21</v>
      </c>
      <c r="K1024" s="79">
        <f>INDEX('Resumo Operacional'!$A$1:$P$151,MATCH("Desconto percentual Ucs",'Resumo Operacional'!$B$1:$B$151,0),MATCH('Detalhe Por UC'!$R1024,'Resumo Operacional'!$A$1:$P$1,0))</f>
        <v>0.21</v>
      </c>
      <c r="M1024" s="56"/>
      <c r="N1024" s="56"/>
      <c r="O1024" s="56"/>
      <c r="P1024" s="56"/>
      <c r="Q1024" s="61"/>
      <c r="R1024" s="111">
        <v>45962</v>
      </c>
      <c r="S1024" s="152">
        <v>1.46E-2</v>
      </c>
      <c r="T1024" s="113">
        <f>IF($H1024="GIROSSOL II",AP1024/INDEX('Resumo Operacional'!$A$1:$P$1103,17,MATCH('Detalhe Por UC'!$R1024,'Resumo Operacional'!$A$1:$P$1,0)),
IF($H1024="GIROSSOL II e III",AP1024/INDEX('Resumo Operacional'!$A$1:$P$1103,17,MATCH('Detalhe Por UC'!$R1024,'Resumo Operacional'!$A$1:$P$1,0)),
""))</f>
        <v>1.5694884931284053E-2</v>
      </c>
      <c r="U1024" s="113" t="str">
        <f>IF($H1024="GIROSSOL III",AP1024/INDEX('Resumo Operacional'!$A$1:$P$1103,53,MATCH('Detalhe Por UC'!$R1024,'Resumo Operacional'!$A$1:$P$1,0)),
IF($H1024="GIROSSOL II e III",AP1024/INDEX('Resumo Operacional'!$A$1:$P$1103,53,MATCH('Detalhe Por UC'!$R1024,'Resumo Operacional'!$A$1:$P$1,0)),
""))</f>
        <v/>
      </c>
      <c r="X1024" s="158">
        <v>1.2128170940170941</v>
      </c>
      <c r="Y1024" s="158"/>
      <c r="Z1024" s="158">
        <v>1.212767391304348</v>
      </c>
      <c r="AA1024" s="158"/>
      <c r="AB1024" s="158">
        <v>234</v>
      </c>
      <c r="AC1024" s="158"/>
      <c r="AD1024" s="158">
        <v>184</v>
      </c>
      <c r="AE1024" s="158"/>
      <c r="AF1024" s="158">
        <v>398</v>
      </c>
      <c r="AG1024" s="158">
        <v>0</v>
      </c>
      <c r="AH1024" s="158">
        <v>88.100000000000009</v>
      </c>
      <c r="AI1024" s="158"/>
      <c r="AJ1024" s="158"/>
      <c r="AK1024" s="158">
        <v>148.75</v>
      </c>
      <c r="AL1024" s="43">
        <f>AK1024-AT1024</f>
        <v>0</v>
      </c>
      <c r="AN1024" s="71">
        <f t="shared" si="563"/>
        <v>9</v>
      </c>
      <c r="AO1024" s="71">
        <f t="shared" si="564"/>
        <v>0</v>
      </c>
      <c r="AP1024" s="71">
        <f t="shared" si="565"/>
        <v>193</v>
      </c>
      <c r="AQ1024" s="72">
        <f>IF(OR($H1024="GIROSSOL II",$H1024="GIROSSOL II e III"),INDEX('Resumo Operacional'!$A$1:$P$1103,MATCH("Energia Injetada prevista total Fatura da Usina (TUSD)",'Resumo Operacional'!$B$1:$B$1103,0),MATCH('Detalhe Por UC'!$R1024,'Resumo Operacional'!$A$1:$P$1,0))*$S1024,INDEX('Resumo Operacional'!$A$1:$P$1103,53,MATCH('Detalhe Por UC'!$R1024,'Resumo Operacional'!$A$1:$P$1,0))*$S1024)</f>
        <v>179.53620000000001</v>
      </c>
      <c r="AR1024" s="71">
        <f t="shared" si="566"/>
        <v>13.463799999999992</v>
      </c>
      <c r="AS1024" s="73">
        <f t="shared" si="567"/>
        <v>148.75</v>
      </c>
      <c r="AT1024" s="74">
        <f t="shared" si="568"/>
        <v>148.75</v>
      </c>
      <c r="AU1024" s="74">
        <f t="shared" si="569"/>
        <v>1.2127176885916018</v>
      </c>
      <c r="AV1024" s="74">
        <f t="shared" si="570"/>
        <v>176.28786800000003</v>
      </c>
      <c r="AW1024" s="74">
        <f t="shared" si="571"/>
        <v>0</v>
      </c>
      <c r="AX1024" s="74">
        <f t="shared" si="572"/>
        <v>223.14920000000004</v>
      </c>
      <c r="AY1024" s="74">
        <f t="shared" si="573"/>
        <v>176.29</v>
      </c>
      <c r="AZ1024" s="129">
        <v>176.29</v>
      </c>
      <c r="BC1024" s="73" t="str">
        <f t="shared" si="574"/>
        <v/>
      </c>
      <c r="BD1024" s="73">
        <f t="shared" si="575"/>
        <v>371.89920000000006</v>
      </c>
      <c r="BE1024" s="73">
        <f t="shared" si="576"/>
        <v>325.037868</v>
      </c>
      <c r="BF1024" s="77">
        <f t="shared" si="577"/>
        <v>46.86</v>
      </c>
      <c r="BG1024" s="77">
        <f t="shared" si="578"/>
        <v>14.058</v>
      </c>
      <c r="BH1024" s="77">
        <f t="shared" si="579"/>
        <v>223.14920000000001</v>
      </c>
      <c r="BI1024" s="78">
        <f t="shared" si="580"/>
        <v>0.21</v>
      </c>
      <c r="BJ1024" s="79">
        <f t="shared" si="581"/>
        <v>0.12600188438157434</v>
      </c>
      <c r="BK1024" s="80">
        <f t="shared" si="582"/>
        <v>325.03999999999996</v>
      </c>
      <c r="BL1024" s="80">
        <f t="shared" si="583"/>
        <v>46.859200000000101</v>
      </c>
      <c r="BM1024" s="79">
        <f t="shared" si="584"/>
        <v>0.12599973326105593</v>
      </c>
      <c r="BN1024" s="81">
        <f t="shared" si="585"/>
        <v>0.95809782608695648</v>
      </c>
      <c r="BO1024" s="82">
        <f t="shared" si="586"/>
        <v>176.29</v>
      </c>
      <c r="BP1024" s="81">
        <f t="shared" si="587"/>
        <v>0.95809782608695648</v>
      </c>
      <c r="BQ1024" s="81">
        <f t="shared" si="588"/>
        <v>0.95814752879970266</v>
      </c>
      <c r="BR1024" s="81">
        <f t="shared" si="589"/>
        <v>1.2128170940170941</v>
      </c>
      <c r="BS1024" s="82">
        <f t="shared" si="590"/>
        <v>184</v>
      </c>
      <c r="BT1024" s="82">
        <f t="shared" si="591"/>
        <v>223.15834529914531</v>
      </c>
      <c r="BU1024" s="82">
        <f t="shared" si="592"/>
        <v>223.14920000000004</v>
      </c>
      <c r="BW1024" s="82">
        <f>IFERROR(INDEX('Infos Clientes'!$T:$T,MATCH('Detalhe Por UC'!$C1024,'Infos Clientes'!B:B,0)),"")</f>
        <v>325</v>
      </c>
      <c r="BX1024" s="83">
        <f t="shared" si="593"/>
        <v>0</v>
      </c>
      <c r="BY1024" s="84">
        <f t="shared" si="594"/>
        <v>0.20998184019147906</v>
      </c>
      <c r="BZ1024" s="85">
        <f>IF(_xlfn.MINIFS('Detalhe Por UC'!R:R,'Detalhe Por UC'!C:C,C1024,'Detalhe Por UC'!AD:AD,"&gt;"&amp;0)=0,"",_xlfn.MINIFS('Detalhe Por UC'!R:R,'Detalhe Por UC'!C:C,C1024,'Detalhe Por UC'!AD:AD,"&gt;"&amp;0))</f>
        <v>45839</v>
      </c>
      <c r="CA1024" s="114">
        <f ca="1">IF(OR(S1024&gt;0,AD1024&gt;0),IFERROR(
SUMIFS(INDIRECT("'Infos Clientes'!$W"&amp;INDEX('Infos Clientes'!$C:$C,MATCH(C1024,'Infos Clientes'!$H:$H,0))&amp;":$CZ"&amp;INDEX('Infos Clientes'!$C:$C,MATCH(C1024,'Infos Clientes'!$H:$H,0))),'Infos Clientes'!$W$2:$CZ$2,"&gt;"&amp;$R1024-365,'Infos Clientes'!$W$2:$CZ$2,"&lt;="&amp;$R1024)/
COUNTIFS(INDIRECT("'Infos Clientes'!$W"&amp;INDEX('Infos Clientes'!$C:$C,MATCH(C1024,'Infos Clientes'!$H:$H,0))&amp;":$CZ"&amp;INDEX('Infos Clientes'!$C:$C,MATCH(C1024,'Infos Clientes'!$H:$H,0))),"&gt;="&amp;0,'Infos Clientes'!$W$2:$CZ$2,"&gt;"&amp;$R1024-365,'Infos Clientes'!$W$2:$CZ$2,"&lt;="&amp;$R1024),""),"")</f>
        <v>228.8</v>
      </c>
      <c r="CB1024" s="87">
        <f>VLOOKUP(C1024,'Infos Clientes'!B:L,11,0)</f>
        <v>0</v>
      </c>
      <c r="CC1024" s="88" t="str">
        <f t="shared" si="595"/>
        <v>A Unidade Consumidora 10/1017804-4 economizou R$46,86 na fatura referente à nov/2025  consumindo 184 kWh em créditos de energia renovável conforme fatura de energia. A economia foi de 21% em relação ao que seria pago para a Energisa considerando os créditos consumidos. Atenção: Mantenha as contas da Energisa em dia para evitar cortes.</v>
      </c>
      <c r="CF1024" s="115">
        <f t="shared" si="596"/>
        <v>-148.75</v>
      </c>
    </row>
    <row r="1025" spans="3:84" ht="16.2" customHeight="1" x14ac:dyDescent="0.3">
      <c r="C1025" s="31" t="s">
        <v>120</v>
      </c>
      <c r="D1025" s="31" t="s">
        <v>351</v>
      </c>
      <c r="E1025" s="31" t="s">
        <v>352</v>
      </c>
      <c r="F1025" s="56" t="str">
        <f>INDEX('Infos Clientes'!$I:$I,MATCH('Detalhe Por UC'!C1025,'Infos Clientes'!B:B,0))</f>
        <v>BT</v>
      </c>
      <c r="G1025" s="56" t="str">
        <f>INDEX('Infos Clientes'!$J:$J,MATCH('Detalhe Por UC'!C1025,'Infos Clientes'!B:B,0))</f>
        <v>trifasico</v>
      </c>
      <c r="H1025" s="156" t="s">
        <v>24</v>
      </c>
      <c r="I1025" s="58">
        <f>IFERROR(VLOOKUP(C1025,'Infos Clientes'!B:E,4,),"")</f>
        <v>994</v>
      </c>
      <c r="J1025" s="157">
        <v>0.21</v>
      </c>
      <c r="K1025" s="79">
        <f>INDEX('Resumo Operacional'!$A$1:$P$151,MATCH("Desconto percentual Ucs",'Resumo Operacional'!$B$1:$B$151,0),MATCH('Detalhe Por UC'!$R1025,'Resumo Operacional'!$A$1:$P$1,0))</f>
        <v>0.21</v>
      </c>
      <c r="M1025" s="56"/>
      <c r="N1025" s="56"/>
      <c r="O1025" s="56"/>
      <c r="P1025" s="56"/>
      <c r="Q1025" s="61"/>
      <c r="R1025" s="111">
        <v>45962</v>
      </c>
      <c r="S1025" s="152">
        <v>1.3899999999999999E-2</v>
      </c>
      <c r="T1025" s="113">
        <f>IF($H1025="GIROSSOL II",AP1025/INDEX('Resumo Operacional'!$A$1:$P$1103,17,MATCH('Detalhe Por UC'!$R1025,'Resumo Operacional'!$A$1:$P$1,0)),
IF($H1025="GIROSSOL II e III",AP1025/INDEX('Resumo Operacional'!$A$1:$P$1103,17,MATCH('Detalhe Por UC'!$R1025,'Resumo Operacional'!$A$1:$P$1,0)),
""))</f>
        <v>0</v>
      </c>
      <c r="U1025" s="113" t="str">
        <f>IF($H1025="GIROSSOL III",AP1025/INDEX('Resumo Operacional'!$A$1:$P$1103,53,MATCH('Detalhe Por UC'!$R1025,'Resumo Operacional'!$A$1:$P$1,0)),
IF($H1025="GIROSSOL II e III",AP1025/INDEX('Resumo Operacional'!$A$1:$P$1103,53,MATCH('Detalhe Por UC'!$R1025,'Resumo Operacional'!$A$1:$P$1,0)),
""))</f>
        <v/>
      </c>
      <c r="X1025">
        <v>1.2127070921985816</v>
      </c>
      <c r="Z1025">
        <v>1.2126560439560441</v>
      </c>
      <c r="AB1025">
        <v>282</v>
      </c>
      <c r="AD1025">
        <v>182</v>
      </c>
      <c r="AF1025">
        <v>348</v>
      </c>
      <c r="AG1025">
        <v>0</v>
      </c>
      <c r="AH1025">
        <v>62.38</v>
      </c>
      <c r="AK1025">
        <v>183.66</v>
      </c>
      <c r="AL1025" s="43">
        <v>0</v>
      </c>
      <c r="AN1025" s="71">
        <f t="shared" si="563"/>
        <v>-182</v>
      </c>
      <c r="AO1025" s="71">
        <f t="shared" si="564"/>
        <v>0</v>
      </c>
      <c r="AP1025" s="71">
        <f t="shared" si="565"/>
        <v>0</v>
      </c>
      <c r="AQ1025" s="72">
        <f>IF(OR($H1025="GIROSSOL II",$H1025="GIROSSOL II e III"),INDEX('Resumo Operacional'!$A$1:$P$1103,MATCH("Energia Injetada prevista total Fatura da Usina (TUSD)",'Resumo Operacional'!$B$1:$B$1103,0),MATCH('Detalhe Por UC'!$R1025,'Resumo Operacional'!$A$1:$P$1,0))*$S1025,INDEX('Resumo Operacional'!$A$1:$P$1103,53,MATCH('Detalhe Por UC'!$R1025,'Resumo Operacional'!$A$1:$P$1,0))*$S1025)</f>
        <v>170.92829999999998</v>
      </c>
      <c r="AR1025" s="71">
        <f t="shared" si="566"/>
        <v>-170.92829999999998</v>
      </c>
      <c r="AS1025" s="73">
        <f t="shared" si="567"/>
        <v>183.66</v>
      </c>
      <c r="AT1025" s="74">
        <f t="shared" si="568"/>
        <v>183.66</v>
      </c>
      <c r="AU1025" s="74">
        <f t="shared" si="569"/>
        <v>1.2126049957135066</v>
      </c>
      <c r="AV1025" s="74">
        <f t="shared" si="570"/>
        <v>174.35568600000002</v>
      </c>
      <c r="AW1025" s="74">
        <f t="shared" si="571"/>
        <v>0.90000000000000568</v>
      </c>
      <c r="AX1025" s="74">
        <f t="shared" si="572"/>
        <v>221.60340000000002</v>
      </c>
      <c r="AY1025" s="74">
        <f t="shared" si="573"/>
        <v>175.26</v>
      </c>
      <c r="AZ1025" s="129">
        <v>175.26</v>
      </c>
      <c r="BA1025" s="117"/>
      <c r="BC1025" s="73" t="str">
        <f t="shared" si="574"/>
        <v/>
      </c>
      <c r="BD1025" s="73">
        <f t="shared" si="575"/>
        <v>404.36340000000001</v>
      </c>
      <c r="BE1025" s="73">
        <f t="shared" si="576"/>
        <v>358.01568600000002</v>
      </c>
      <c r="BF1025" s="77">
        <f t="shared" si="577"/>
        <v>46.35</v>
      </c>
      <c r="BG1025" s="77">
        <f t="shared" si="578"/>
        <v>13.904999999999999</v>
      </c>
      <c r="BH1025" s="77">
        <f t="shared" si="579"/>
        <v>220.70340000000002</v>
      </c>
      <c r="BI1025" s="78">
        <f t="shared" si="580"/>
        <v>0.21</v>
      </c>
      <c r="BJ1025" s="79">
        <f t="shared" si="581"/>
        <v>0.11462461736151194</v>
      </c>
      <c r="BK1025" s="80">
        <f t="shared" si="582"/>
        <v>358.91999999999996</v>
      </c>
      <c r="BL1025" s="80">
        <f t="shared" si="583"/>
        <v>45.443400000000054</v>
      </c>
      <c r="BM1025" s="79">
        <f t="shared" si="584"/>
        <v>0.11238257468405907</v>
      </c>
      <c r="BN1025" s="81">
        <f t="shared" si="585"/>
        <v>0.9629670329670329</v>
      </c>
      <c r="BO1025" s="82">
        <f t="shared" si="586"/>
        <v>175.26</v>
      </c>
      <c r="BP1025" s="81">
        <f t="shared" si="587"/>
        <v>0.9629670329670329</v>
      </c>
      <c r="BQ1025" s="81">
        <f t="shared" si="588"/>
        <v>0.96301808120957044</v>
      </c>
      <c r="BR1025" s="81">
        <f t="shared" si="589"/>
        <v>1.2127070921985816</v>
      </c>
      <c r="BS1025" s="82">
        <f t="shared" si="590"/>
        <v>182</v>
      </c>
      <c r="BT1025" s="82">
        <f t="shared" si="591"/>
        <v>220.71269078014186</v>
      </c>
      <c r="BU1025" s="82">
        <f t="shared" si="592"/>
        <v>220.70340000000002</v>
      </c>
      <c r="BW1025" s="82">
        <f>IFERROR(INDEX('Infos Clientes'!$T:$T,MATCH('Detalhe Por UC'!$C1025,'Infos Clientes'!B:B,0)),"")</f>
        <v>350.91666666666669</v>
      </c>
      <c r="BX1025" s="83">
        <f t="shared" si="593"/>
        <v>0</v>
      </c>
      <c r="BY1025" s="84">
        <f t="shared" si="594"/>
        <v>0.20589391502307175</v>
      </c>
      <c r="BZ1025" s="85">
        <f>IF(_xlfn.MINIFS('Detalhe Por UC'!R:R,'Detalhe Por UC'!C:C,C1025,'Detalhe Por UC'!AD:AD,"&gt;"&amp;0)=0,"",_xlfn.MINIFS('Detalhe Por UC'!R:R,'Detalhe Por UC'!C:C,C1025,'Detalhe Por UC'!AD:AD,"&gt;"&amp;0))</f>
        <v>45627</v>
      </c>
      <c r="CA1025" s="114">
        <f ca="1">IF(OR(S1025&gt;0,AD1025&gt;0),IFERROR(
SUMIFS(INDIRECT("'Infos Clientes'!$W"&amp;INDEX('Infos Clientes'!$C:$C,MATCH(C1025,'Infos Clientes'!$H:$H,0))&amp;":$CZ"&amp;INDEX('Infos Clientes'!$C:$C,MATCH(C1025,'Infos Clientes'!$H:$H,0))),'Infos Clientes'!$W$2:$CZ$2,"&gt;"&amp;$R1025-365,'Infos Clientes'!$W$2:$CZ$2,"&lt;="&amp;$R1025)/
COUNTIFS(INDIRECT("'Infos Clientes'!$W"&amp;INDEX('Infos Clientes'!$C:$C,MATCH(C1025,'Infos Clientes'!$H:$H,0))&amp;":$CZ"&amp;INDEX('Infos Clientes'!$C:$C,MATCH(C1025,'Infos Clientes'!$H:$H,0))),"&gt;="&amp;0,'Infos Clientes'!$W$2:$CZ$2,"&gt;"&amp;$R1025-365,'Infos Clientes'!$W$2:$CZ$2,"&lt;="&amp;$R1025),""),"")</f>
        <v>318.58333333333331</v>
      </c>
      <c r="CB1025" s="87">
        <f>VLOOKUP(C1025,'Infos Clientes'!B:L,11,0)</f>
        <v>0</v>
      </c>
      <c r="CC1025" s="88" t="str">
        <f t="shared" si="595"/>
        <v>A Unidade Consumidora 10/532081-7 economizou R$46,35 na fatura referente à nov/2025  consumindo 182 kWh em créditos de energia renovável conforme fatura de energia. A economia foi de 21% em relação ao que seria pago para a Energisa considerando os créditos consumidos. Atenção: Mantenha as contas da Energisa em dia para evitar cortes.</v>
      </c>
      <c r="CF1025" s="115">
        <f t="shared" si="596"/>
        <v>-183.66</v>
      </c>
    </row>
    <row r="1026" spans="3:84" ht="16.2" customHeight="1" x14ac:dyDescent="0.3">
      <c r="C1026" s="31" t="s">
        <v>106</v>
      </c>
      <c r="D1026" s="31" t="s">
        <v>351</v>
      </c>
      <c r="E1026" s="31" t="s">
        <v>352</v>
      </c>
      <c r="F1026" s="56" t="str">
        <f>INDEX('Infos Clientes'!$I:$I,MATCH('Detalhe Por UC'!C1026,'Infos Clientes'!B:B,0))</f>
        <v>BT</v>
      </c>
      <c r="G1026" s="56" t="str">
        <f>INDEX('Infos Clientes'!$J:$J,MATCH('Detalhe Por UC'!C1026,'Infos Clientes'!B:B,0))</f>
        <v>bifasico</v>
      </c>
      <c r="H1026" s="156" t="s">
        <v>24</v>
      </c>
      <c r="I1026" s="58">
        <f>IFERROR(VLOOKUP(C1026,'Infos Clientes'!B:E,4,),"")</f>
        <v>302</v>
      </c>
      <c r="J1026" s="157">
        <v>0.21</v>
      </c>
      <c r="K1026" s="79">
        <f>INDEX('Resumo Operacional'!$A$1:$P$151,MATCH("Desconto percentual Ucs",'Resumo Operacional'!$B$1:$B$151,0),MATCH('Detalhe Por UC'!$R1026,'Resumo Operacional'!$A$1:$P$1,0))</f>
        <v>0.21</v>
      </c>
      <c r="M1026" s="56"/>
      <c r="N1026" s="56"/>
      <c r="O1026" s="56"/>
      <c r="P1026" s="56"/>
      <c r="Q1026" s="61"/>
      <c r="R1026" s="111">
        <v>45962</v>
      </c>
      <c r="S1026" s="152">
        <v>1.35E-2</v>
      </c>
      <c r="T1026" s="113">
        <f>IF($H1026="GIROSSOL II",AP1026/INDEX('Resumo Operacional'!$A$1:$P$1103,17,MATCH('Detalhe Por UC'!$R1026,'Resumo Operacional'!$A$1:$P$1,0)),
IF($H1026="GIROSSOL II e III",AP1026/INDEX('Resumo Operacional'!$A$1:$P$1103,17,MATCH('Detalhe Por UC'!$R1026,'Resumo Operacional'!$A$1:$P$1,0)),
""))</f>
        <v>1.3499227453850533E-2</v>
      </c>
      <c r="U1026" s="113" t="str">
        <f>IF($H1026="GIROSSOL III",AP1026/INDEX('Resumo Operacional'!$A$1:$P$1103,53,MATCH('Detalhe Por UC'!$R1026,'Resumo Operacional'!$A$1:$P$1,0)),
IF($H1026="GIROSSOL II e III",AP1026/INDEX('Resumo Operacional'!$A$1:$P$1103,53,MATCH('Detalhe Por UC'!$R1026,'Resumo Operacional'!$A$1:$P$1,0)),
""))</f>
        <v/>
      </c>
      <c r="X1026" s="158">
        <v>1.2125361702127659</v>
      </c>
      <c r="Y1026" s="158"/>
      <c r="Z1026" s="158">
        <v>1.2124636363636365</v>
      </c>
      <c r="AA1026" s="158"/>
      <c r="AB1026" s="158">
        <v>94</v>
      </c>
      <c r="AC1026" s="158"/>
      <c r="AD1026" s="158">
        <v>44</v>
      </c>
      <c r="AE1026" s="158"/>
      <c r="AF1026" s="158">
        <v>361</v>
      </c>
      <c r="AG1026" s="158">
        <v>0</v>
      </c>
      <c r="AH1026" s="158">
        <v>1.63</v>
      </c>
      <c r="AI1026" s="158"/>
      <c r="AJ1026" s="158"/>
      <c r="AK1026" s="158">
        <v>62.26</v>
      </c>
      <c r="AL1026" s="43">
        <f>AK1026-AT1026</f>
        <v>0</v>
      </c>
      <c r="AN1026" s="71">
        <f t="shared" si="563"/>
        <v>122</v>
      </c>
      <c r="AO1026" s="71">
        <f t="shared" si="564"/>
        <v>0</v>
      </c>
      <c r="AP1026" s="71">
        <f t="shared" si="565"/>
        <v>166</v>
      </c>
      <c r="AQ1026" s="72">
        <f>IF(OR($H1026="GIROSSOL II",$H1026="GIROSSOL II e III"),INDEX('Resumo Operacional'!$A$1:$P$1103,MATCH("Energia Injetada prevista total Fatura da Usina (TUSD)",'Resumo Operacional'!$B$1:$B$1103,0),MATCH('Detalhe Por UC'!$R1026,'Resumo Operacional'!$A$1:$P$1,0))*$S1026,INDEX('Resumo Operacional'!$A$1:$P$1103,53,MATCH('Detalhe Por UC'!$R1026,'Resumo Operacional'!$A$1:$P$1,0))*$S1026)</f>
        <v>166.0095</v>
      </c>
      <c r="AR1026" s="71">
        <f t="shared" si="566"/>
        <v>-9.5000000000027285E-3</v>
      </c>
      <c r="AS1026" s="73">
        <f t="shared" si="567"/>
        <v>62.259999999999991</v>
      </c>
      <c r="AT1026" s="74">
        <f t="shared" si="568"/>
        <v>62.259999999999991</v>
      </c>
      <c r="AU1026" s="74">
        <f t="shared" si="569"/>
        <v>1.2123911025145071</v>
      </c>
      <c r="AV1026" s="74">
        <f t="shared" si="570"/>
        <v>42.145236000000004</v>
      </c>
      <c r="AW1026" s="74">
        <f t="shared" si="571"/>
        <v>0</v>
      </c>
      <c r="AX1026" s="74">
        <f t="shared" si="572"/>
        <v>53.348400000000005</v>
      </c>
      <c r="AY1026" s="74">
        <f t="shared" si="573"/>
        <v>42.15</v>
      </c>
      <c r="AZ1026" s="129">
        <v>42.15</v>
      </c>
      <c r="BC1026" s="73" t="str">
        <f t="shared" si="574"/>
        <v/>
      </c>
      <c r="BD1026" s="73">
        <f t="shared" si="575"/>
        <v>115.60839999999999</v>
      </c>
      <c r="BE1026" s="73">
        <f t="shared" si="576"/>
        <v>104.405236</v>
      </c>
      <c r="BF1026" s="77">
        <f t="shared" si="577"/>
        <v>11.2</v>
      </c>
      <c r="BG1026" s="77">
        <f t="shared" si="578"/>
        <v>3.36</v>
      </c>
      <c r="BH1026" s="77">
        <f t="shared" si="579"/>
        <v>53.348400000000005</v>
      </c>
      <c r="BI1026" s="78">
        <f t="shared" si="580"/>
        <v>0.21</v>
      </c>
      <c r="BJ1026" s="79">
        <f t="shared" si="581"/>
        <v>9.6878773514727304E-2</v>
      </c>
      <c r="BK1026" s="80">
        <f t="shared" si="582"/>
        <v>104.41</v>
      </c>
      <c r="BL1026" s="80">
        <f t="shared" si="583"/>
        <v>11.198399999999992</v>
      </c>
      <c r="BM1026" s="79">
        <f t="shared" si="584"/>
        <v>9.6864933689939425E-2</v>
      </c>
      <c r="BN1026" s="81">
        <f t="shared" si="585"/>
        <v>0.95795454545454539</v>
      </c>
      <c r="BO1026" s="82">
        <f t="shared" si="586"/>
        <v>42.15</v>
      </c>
      <c r="BP1026" s="81">
        <f t="shared" si="587"/>
        <v>0.95795454545454539</v>
      </c>
      <c r="BQ1026" s="81">
        <f t="shared" si="588"/>
        <v>0.95802707930367481</v>
      </c>
      <c r="BR1026" s="81">
        <f t="shared" si="589"/>
        <v>1.2125361702127659</v>
      </c>
      <c r="BS1026" s="82">
        <f t="shared" si="590"/>
        <v>44</v>
      </c>
      <c r="BT1026" s="82">
        <f t="shared" si="591"/>
        <v>53.351591489361702</v>
      </c>
      <c r="BU1026" s="82">
        <f t="shared" si="592"/>
        <v>53.348400000000005</v>
      </c>
      <c r="BW1026" s="82">
        <f>IFERROR(INDEX('Infos Clientes'!$T:$T,MATCH('Detalhe Por UC'!$C1026,'Infos Clientes'!B:B,0)),"")</f>
        <v>147.33333333333334</v>
      </c>
      <c r="BX1026" s="83">
        <f t="shared" si="593"/>
        <v>0</v>
      </c>
      <c r="BY1026" s="84">
        <f t="shared" si="594"/>
        <v>0.20989814338027701</v>
      </c>
      <c r="BZ1026" s="85">
        <f>IF(_xlfn.MINIFS('Detalhe Por UC'!R:R,'Detalhe Por UC'!C:C,C1026,'Detalhe Por UC'!AD:AD,"&gt;"&amp;0)=0,"",_xlfn.MINIFS('Detalhe Por UC'!R:R,'Detalhe Por UC'!C:C,C1026,'Detalhe Por UC'!AD:AD,"&gt;"&amp;0))</f>
        <v>45627</v>
      </c>
      <c r="CA1026" s="114">
        <f ca="1">IF(OR(S1026&gt;0,AD1026&gt;0),IFERROR(
SUMIFS(INDIRECT("'Infos Clientes'!$W"&amp;INDEX('Infos Clientes'!$C:$C,MATCH(C1026,'Infos Clientes'!$H:$H,0))&amp;":$CZ"&amp;INDEX('Infos Clientes'!$C:$C,MATCH(C1026,'Infos Clientes'!$H:$H,0))),'Infos Clientes'!$W$2:$CZ$2,"&gt;"&amp;$R1026-365,'Infos Clientes'!$W$2:$CZ$2,"&lt;="&amp;$R1026)/
COUNTIFS(INDIRECT("'Infos Clientes'!$W"&amp;INDEX('Infos Clientes'!$C:$C,MATCH(C1026,'Infos Clientes'!$H:$H,0))&amp;":$CZ"&amp;INDEX('Infos Clientes'!$C:$C,MATCH(C1026,'Infos Clientes'!$H:$H,0))),"&gt;="&amp;0,'Infos Clientes'!$W$2:$CZ$2,"&gt;"&amp;$R1026-365,'Infos Clientes'!$W$2:$CZ$2,"&lt;="&amp;$R1026),""),"")</f>
        <v>186.08333333333334</v>
      </c>
      <c r="CB1026" s="87">
        <f>VLOOKUP(C1026,'Infos Clientes'!B:L,11,0)</f>
        <v>0</v>
      </c>
      <c r="CC1026" s="88" t="str">
        <f t="shared" si="595"/>
        <v>A Unidade Consumidora 10/452884-0 economizou R$11,2 na fatura referente à nov/2025  consumindo 44 kWh em créditos de energia renovável conforme fatura de energia. A economia foi de 21% em relação ao que seria pago para a Energisa considerando os créditos consumidos. Atenção: Mantenha as contas da Energisa em dia para evitar cortes.</v>
      </c>
      <c r="CF1026" s="115">
        <f t="shared" si="596"/>
        <v>-62.259999999999991</v>
      </c>
    </row>
    <row r="1027" spans="3:84" ht="16.2" customHeight="1" x14ac:dyDescent="0.3">
      <c r="C1027" s="31" t="s">
        <v>60</v>
      </c>
      <c r="D1027" s="31" t="s">
        <v>351</v>
      </c>
      <c r="E1027" s="31" t="s">
        <v>352</v>
      </c>
      <c r="F1027" s="56" t="str">
        <f>INDEX('Infos Clientes'!$I:$I,MATCH('Detalhe Por UC'!C1027,'Infos Clientes'!B:B,0))</f>
        <v>BT</v>
      </c>
      <c r="G1027" s="56" t="str">
        <f>INDEX('Infos Clientes'!$J:$J,MATCH('Detalhe Por UC'!C1027,'Infos Clientes'!B:B,0))</f>
        <v>trifasico</v>
      </c>
      <c r="H1027" s="156" t="s">
        <v>24</v>
      </c>
      <c r="I1027" s="58">
        <f>IFERROR(VLOOKUP(C1027,'Infos Clientes'!B:E,4,),"")</f>
        <v>306</v>
      </c>
      <c r="J1027" s="157">
        <v>0.21</v>
      </c>
      <c r="K1027" s="79">
        <f>INDEX('Resumo Operacional'!$A$1:$P$151,MATCH("Desconto percentual Ucs",'Resumo Operacional'!$B$1:$B$151,0),MATCH('Detalhe Por UC'!$R1027,'Resumo Operacional'!$A$1:$P$1,0))</f>
        <v>0.21</v>
      </c>
      <c r="M1027" s="56"/>
      <c r="N1027" s="56"/>
      <c r="O1027" s="56"/>
      <c r="P1027" s="56"/>
      <c r="Q1027" s="61"/>
      <c r="R1027" s="111">
        <v>45962</v>
      </c>
      <c r="S1027" s="152">
        <v>1.3299999999999999E-2</v>
      </c>
      <c r="T1027" s="113">
        <f>IF($H1027="GIROSSOL II",AP1027/INDEX('Resumo Operacional'!$A$1:$P$1103,17,MATCH('Detalhe Por UC'!$R1027,'Resumo Operacional'!$A$1:$P$1,0)),
IF($H1027="GIROSSOL II e III",AP1027/INDEX('Resumo Operacional'!$A$1:$P$1103,17,MATCH('Detalhe Por UC'!$R1027,'Resumo Operacional'!$A$1:$P$1,0)),
""))</f>
        <v>0</v>
      </c>
      <c r="U1027" s="113" t="str">
        <f>IF($H1027="GIROSSOL III",AP1027/INDEX('Resumo Operacional'!$A$1:$P$1103,53,MATCH('Detalhe Por UC'!$R1027,'Resumo Operacional'!$A$1:$P$1,0)),
IF($H1027="GIROSSOL II e III",AP1027/INDEX('Resumo Operacional'!$A$1:$P$1103,53,MATCH('Detalhe Por UC'!$R1027,'Resumo Operacional'!$A$1:$P$1,0)),
""))</f>
        <v/>
      </c>
      <c r="X1027">
        <v>1.2127119760479041</v>
      </c>
      <c r="Z1027">
        <v>1.2126743589743589</v>
      </c>
      <c r="AB1027">
        <v>334</v>
      </c>
      <c r="AD1027">
        <v>234</v>
      </c>
      <c r="AF1027">
        <v>12</v>
      </c>
      <c r="AG1027">
        <v>0</v>
      </c>
      <c r="AH1027">
        <v>83.110000000000014</v>
      </c>
      <c r="AK1027">
        <v>204.39</v>
      </c>
      <c r="AL1027" s="43">
        <v>0</v>
      </c>
      <c r="AN1027" s="71">
        <f t="shared" si="563"/>
        <v>-234</v>
      </c>
      <c r="AO1027" s="71">
        <f t="shared" si="564"/>
        <v>0</v>
      </c>
      <c r="AP1027" s="71">
        <f t="shared" si="565"/>
        <v>0</v>
      </c>
      <c r="AQ1027" s="72">
        <f>IF(OR($H1027="GIROSSOL II",$H1027="GIROSSOL II e III"),INDEX('Resumo Operacional'!$A$1:$P$1103,MATCH("Energia Injetada prevista total Fatura da Usina (TUSD)",'Resumo Operacional'!$B$1:$B$1103,0),MATCH('Detalhe Por UC'!$R1027,'Resumo Operacional'!$A$1:$P$1,0))*$S1027,INDEX('Resumo Operacional'!$A$1:$P$1103,53,MATCH('Detalhe Por UC'!$R1027,'Resumo Operacional'!$A$1:$P$1,0))*$S1027)</f>
        <v>163.55009999999999</v>
      </c>
      <c r="AR1027" s="71">
        <f t="shared" si="566"/>
        <v>-163.55009999999999</v>
      </c>
      <c r="AS1027" s="73">
        <f t="shared" si="567"/>
        <v>204.39</v>
      </c>
      <c r="AT1027" s="74">
        <f t="shared" si="568"/>
        <v>204.39</v>
      </c>
      <c r="AU1027" s="74">
        <f t="shared" si="569"/>
        <v>1.2126367419008137</v>
      </c>
      <c r="AV1027" s="74">
        <f t="shared" si="570"/>
        <v>224.174982</v>
      </c>
      <c r="AW1027" s="74">
        <f t="shared" si="571"/>
        <v>6.0000000000002274E-2</v>
      </c>
      <c r="AX1027" s="74">
        <f t="shared" si="572"/>
        <v>283.82580000000002</v>
      </c>
      <c r="AY1027" s="74">
        <f t="shared" si="573"/>
        <v>224.23</v>
      </c>
      <c r="AZ1027" s="129">
        <v>224.23</v>
      </c>
      <c r="BA1027" s="117"/>
      <c r="BC1027" s="73" t="str">
        <f t="shared" si="574"/>
        <v/>
      </c>
      <c r="BD1027" s="73">
        <f t="shared" si="575"/>
        <v>488.1558</v>
      </c>
      <c r="BE1027" s="73">
        <f t="shared" si="576"/>
        <v>428.56498199999999</v>
      </c>
      <c r="BF1027" s="77">
        <f t="shared" si="577"/>
        <v>59.59</v>
      </c>
      <c r="BG1027" s="77">
        <f t="shared" si="578"/>
        <v>17.876999999999999</v>
      </c>
      <c r="BH1027" s="77">
        <f t="shared" si="579"/>
        <v>283.76580000000001</v>
      </c>
      <c r="BI1027" s="78">
        <f t="shared" si="580"/>
        <v>0.21</v>
      </c>
      <c r="BJ1027" s="79">
        <f t="shared" si="581"/>
        <v>0.12207168285207305</v>
      </c>
      <c r="BK1027" s="80">
        <f t="shared" si="582"/>
        <v>428.62</v>
      </c>
      <c r="BL1027" s="80">
        <f t="shared" si="583"/>
        <v>59.535799999999995</v>
      </c>
      <c r="BM1027" s="79">
        <f t="shared" si="584"/>
        <v>0.1219606527260354</v>
      </c>
      <c r="BN1027" s="81">
        <f t="shared" si="585"/>
        <v>0.95824786324786315</v>
      </c>
      <c r="BO1027" s="82">
        <f t="shared" si="586"/>
        <v>224.23</v>
      </c>
      <c r="BP1027" s="81">
        <f t="shared" si="587"/>
        <v>0.95824786324786315</v>
      </c>
      <c r="BQ1027" s="81">
        <f t="shared" si="588"/>
        <v>0.95828548032140837</v>
      </c>
      <c r="BR1027" s="81">
        <f t="shared" si="589"/>
        <v>1.2127119760479041</v>
      </c>
      <c r="BS1027" s="82">
        <f t="shared" si="590"/>
        <v>234</v>
      </c>
      <c r="BT1027" s="82">
        <f t="shared" si="591"/>
        <v>283.77460239520957</v>
      </c>
      <c r="BU1027" s="82">
        <f t="shared" si="592"/>
        <v>283.76580000000001</v>
      </c>
      <c r="BW1027" s="82">
        <f>IFERROR(INDEX('Infos Clientes'!$T:$T,MATCH('Detalhe Por UC'!$C1027,'Infos Clientes'!B:B,0)),"")</f>
        <v>279.08333333333331</v>
      </c>
      <c r="BX1027" s="83">
        <f t="shared" si="593"/>
        <v>0</v>
      </c>
      <c r="BY1027" s="84">
        <f t="shared" si="594"/>
        <v>0.20979960679174947</v>
      </c>
      <c r="BZ1027" s="85">
        <f>IF(_xlfn.MINIFS('Detalhe Por UC'!R:R,'Detalhe Por UC'!C:C,C1027,'Detalhe Por UC'!AD:AD,"&gt;"&amp;0)=0,"",_xlfn.MINIFS('Detalhe Por UC'!R:R,'Detalhe Por UC'!C:C,C1027,'Detalhe Por UC'!AD:AD,"&gt;"&amp;0))</f>
        <v>45627</v>
      </c>
      <c r="CA1027" s="114">
        <f ca="1">IF(OR(S1027&gt;0,AD1027&gt;0),IFERROR(
SUMIFS(INDIRECT("'Infos Clientes'!$W"&amp;INDEX('Infos Clientes'!$C:$C,MATCH(C1027,'Infos Clientes'!$H:$H,0))&amp;":$CZ"&amp;INDEX('Infos Clientes'!$C:$C,MATCH(C1027,'Infos Clientes'!$H:$H,0))),'Infos Clientes'!$W$2:$CZ$2,"&gt;"&amp;$R1027-365,'Infos Clientes'!$W$2:$CZ$2,"&lt;="&amp;$R1027)/
COUNTIFS(INDIRECT("'Infos Clientes'!$W"&amp;INDEX('Infos Clientes'!$C:$C,MATCH(C1027,'Infos Clientes'!$H:$H,0))&amp;":$CZ"&amp;INDEX('Infos Clientes'!$C:$C,MATCH(C1027,'Infos Clientes'!$H:$H,0))),"&gt;="&amp;0,'Infos Clientes'!$W$2:$CZ$2,"&gt;"&amp;$R1027-365,'Infos Clientes'!$W$2:$CZ$2,"&lt;="&amp;$R1027),""),"")</f>
        <v>275.5</v>
      </c>
      <c r="CB1027" s="87">
        <f>VLOOKUP(C1027,'Infos Clientes'!B:L,11,0)</f>
        <v>0</v>
      </c>
      <c r="CC1027" s="88" t="str">
        <f t="shared" si="595"/>
        <v>A Unidade Consumidora 10/1698130-0 economizou R$59,59 na fatura referente à nov/2025  consumindo 234 kWh em créditos de energia renovável conforme fatura de energia. A economia foi de 21% em relação ao que seria pago para a Energisa considerando os créditos consumidos. Atenção: Mantenha as contas da Energisa em dia para evitar cortes.</v>
      </c>
      <c r="CF1027" s="115">
        <f t="shared" si="596"/>
        <v>-204.39</v>
      </c>
    </row>
    <row r="1028" spans="3:84" ht="16.2" customHeight="1" x14ac:dyDescent="0.3">
      <c r="C1028" s="31" t="s">
        <v>123</v>
      </c>
      <c r="D1028" s="31" t="s">
        <v>351</v>
      </c>
      <c r="E1028" s="31" t="s">
        <v>352</v>
      </c>
      <c r="F1028" s="56" t="str">
        <f>INDEX('Infos Clientes'!$I:$I,MATCH('Detalhe Por UC'!C1028,'Infos Clientes'!B:B,0))</f>
        <v>BT</v>
      </c>
      <c r="G1028" s="56" t="str">
        <f>INDEX('Infos Clientes'!$J:$J,MATCH('Detalhe Por UC'!C1028,'Infos Clientes'!B:B,0))</f>
        <v>trifasico</v>
      </c>
      <c r="H1028" s="156" t="s">
        <v>24</v>
      </c>
      <c r="I1028" s="58">
        <f>IFERROR(VLOOKUP(C1028,'Infos Clientes'!B:E,4,),"")</f>
        <v>351</v>
      </c>
      <c r="J1028" s="157">
        <v>0.21</v>
      </c>
      <c r="K1028" s="79">
        <f>INDEX('Resumo Operacional'!$A$1:$P$151,MATCH("Desconto percentual Ucs",'Resumo Operacional'!$B$1:$B$151,0),MATCH('Detalhe Por UC'!$R1028,'Resumo Operacional'!$A$1:$P$1,0))</f>
        <v>0.21</v>
      </c>
      <c r="M1028" s="56"/>
      <c r="N1028" s="56"/>
      <c r="O1028" s="56"/>
      <c r="P1028" s="56"/>
      <c r="Q1028" s="61"/>
      <c r="R1028" s="111">
        <v>45962</v>
      </c>
      <c r="S1028" s="152">
        <v>1.29E-2</v>
      </c>
      <c r="T1028" s="113">
        <f>IF($H1028="GIROSSOL II",AP1028/INDEX('Resumo Operacional'!$A$1:$P$1103,17,MATCH('Detalhe Por UC'!$R1028,'Resumo Operacional'!$A$1:$P$1,0)),
IF($H1028="GIROSSOL II e III",AP1028/INDEX('Resumo Operacional'!$A$1:$P$1103,17,MATCH('Detalhe Por UC'!$R1028,'Resumo Operacional'!$A$1:$P$1,0)),
""))</f>
        <v>1.2848662275351712E-2</v>
      </c>
      <c r="U1028" s="113" t="str">
        <f>IF($H1028="GIROSSOL III",AP1028/INDEX('Resumo Operacional'!$A$1:$P$1103,53,MATCH('Detalhe Por UC'!$R1028,'Resumo Operacional'!$A$1:$P$1,0)),
IF($H1028="GIROSSOL II e III",AP1028/INDEX('Resumo Operacional'!$A$1:$P$1103,53,MATCH('Detalhe Por UC'!$R1028,'Resumo Operacional'!$A$1:$P$1,0)),
""))</f>
        <v/>
      </c>
      <c r="X1028" s="158">
        <v>1.2128449771329444</v>
      </c>
      <c r="Y1028" s="158"/>
      <c r="Z1028" s="158">
        <v>1.1632332516339872</v>
      </c>
      <c r="AA1028" s="158"/>
      <c r="AB1028" s="158">
        <v>373</v>
      </c>
      <c r="AC1028" s="158"/>
      <c r="AD1028" s="158">
        <v>288</v>
      </c>
      <c r="AE1028" s="158"/>
      <c r="AF1028" s="158">
        <v>377</v>
      </c>
      <c r="AG1028" s="158">
        <v>0</v>
      </c>
      <c r="AH1028" s="158">
        <v>71.75</v>
      </c>
      <c r="AI1028" s="158"/>
      <c r="AJ1028" s="158"/>
      <c r="AK1028" s="158">
        <v>189.13</v>
      </c>
      <c r="AL1028" s="43">
        <f>AK1028-AT1028</f>
        <v>0</v>
      </c>
      <c r="AN1028" s="71">
        <f t="shared" si="563"/>
        <v>-130</v>
      </c>
      <c r="AO1028" s="71">
        <f t="shared" si="564"/>
        <v>0</v>
      </c>
      <c r="AP1028" s="71">
        <f t="shared" si="565"/>
        <v>158</v>
      </c>
      <c r="AQ1028" s="72">
        <f>IF(OR($H1028="GIROSSOL II",$H1028="GIROSSOL II e III"),INDEX('Resumo Operacional'!$A$1:$P$1103,MATCH("Energia Injetada prevista total Fatura da Usina (TUSD)",'Resumo Operacional'!$B$1:$B$1103,0),MATCH('Detalhe Por UC'!$R1028,'Resumo Operacional'!$A$1:$P$1,0))*$S1028,INDEX('Resumo Operacional'!$A$1:$P$1103,53,MATCH('Detalhe Por UC'!$R1028,'Resumo Operacional'!$A$1:$P$1,0))*$S1028)</f>
        <v>158.63130000000001</v>
      </c>
      <c r="AR1028" s="71">
        <f t="shared" si="566"/>
        <v>-0.63130000000001019</v>
      </c>
      <c r="AS1028" s="73">
        <f t="shared" si="567"/>
        <v>189.13</v>
      </c>
      <c r="AT1028" s="74">
        <f t="shared" si="568"/>
        <v>189.13</v>
      </c>
      <c r="AU1028" s="74">
        <f t="shared" si="569"/>
        <v>1.11362152613503</v>
      </c>
      <c r="AV1028" s="74">
        <f t="shared" si="570"/>
        <v>264.65882941176477</v>
      </c>
      <c r="AW1028" s="74">
        <f t="shared" si="571"/>
        <v>0</v>
      </c>
      <c r="AX1028" s="74">
        <f t="shared" si="572"/>
        <v>335.01117647058828</v>
      </c>
      <c r="AY1028" s="74">
        <f t="shared" si="573"/>
        <v>264.66000000000003</v>
      </c>
      <c r="AZ1028" s="129">
        <v>264.66000000000003</v>
      </c>
      <c r="BC1028" s="73" t="str">
        <f t="shared" si="574"/>
        <v/>
      </c>
      <c r="BD1028" s="73">
        <f t="shared" si="575"/>
        <v>524.14117647058833</v>
      </c>
      <c r="BE1028" s="73">
        <f t="shared" si="576"/>
        <v>453.78882941176477</v>
      </c>
      <c r="BF1028" s="77">
        <f t="shared" si="577"/>
        <v>70.349999999999994</v>
      </c>
      <c r="BG1028" s="77">
        <f t="shared" si="578"/>
        <v>21.104999999999997</v>
      </c>
      <c r="BH1028" s="77">
        <f t="shared" si="579"/>
        <v>335.01117647058828</v>
      </c>
      <c r="BI1028" s="78">
        <f t="shared" si="580"/>
        <v>0.21</v>
      </c>
      <c r="BJ1028" s="79">
        <f t="shared" si="581"/>
        <v>0.13421956365595256</v>
      </c>
      <c r="BK1028" s="80">
        <f t="shared" si="582"/>
        <v>453.79</v>
      </c>
      <c r="BL1028" s="80">
        <f t="shared" si="583"/>
        <v>70.351176470588314</v>
      </c>
      <c r="BM1028" s="79">
        <f t="shared" si="584"/>
        <v>0.13422180822409782</v>
      </c>
      <c r="BN1028" s="81">
        <f t="shared" si="585"/>
        <v>0.91895833333333343</v>
      </c>
      <c r="BO1028" s="82">
        <f t="shared" si="586"/>
        <v>264.66000000000003</v>
      </c>
      <c r="BP1028" s="81">
        <f t="shared" si="587"/>
        <v>0.91895833333333343</v>
      </c>
      <c r="BQ1028" s="81">
        <f t="shared" si="588"/>
        <v>0.96857005883229064</v>
      </c>
      <c r="BR1028" s="81">
        <f t="shared" si="589"/>
        <v>1.2128449771329444</v>
      </c>
      <c r="BS1028" s="82">
        <f t="shared" si="590"/>
        <v>288</v>
      </c>
      <c r="BT1028" s="82">
        <f t="shared" si="591"/>
        <v>349.29935341428796</v>
      </c>
      <c r="BU1028" s="82">
        <f t="shared" si="592"/>
        <v>335.01117647058828</v>
      </c>
      <c r="BW1028" s="82">
        <f>IFERROR(INDEX('Infos Clientes'!$T:$T,MATCH('Detalhe Por UC'!$C1028,'Infos Clientes'!B:B,0)),"")</f>
        <v>409.33333333333331</v>
      </c>
      <c r="BX1028" s="83">
        <f t="shared" si="593"/>
        <v>0</v>
      </c>
      <c r="BY1028" s="84">
        <f t="shared" si="594"/>
        <v>0.20140654651355155</v>
      </c>
      <c r="BZ1028" s="85">
        <f>IF(_xlfn.MINIFS('Detalhe Por UC'!R:R,'Detalhe Por UC'!C:C,C1028,'Detalhe Por UC'!AD:AD,"&gt;"&amp;0)=0,"",_xlfn.MINIFS('Detalhe Por UC'!R:R,'Detalhe Por UC'!C:C,C1028,'Detalhe Por UC'!AD:AD,"&gt;"&amp;0))</f>
        <v>45627</v>
      </c>
      <c r="CA1028" s="114">
        <f ca="1">IF(OR(S1028&gt;0,AD1028&gt;0),IFERROR(
SUMIFS(INDIRECT("'Infos Clientes'!$W"&amp;INDEX('Infos Clientes'!$C:$C,MATCH(C1028,'Infos Clientes'!$H:$H,0))&amp;":$CZ"&amp;INDEX('Infos Clientes'!$C:$C,MATCH(C1028,'Infos Clientes'!$H:$H,0))),'Infos Clientes'!$W$2:$CZ$2,"&gt;"&amp;$R1028-365,'Infos Clientes'!$W$2:$CZ$2,"&lt;="&amp;$R1028)/
COUNTIFS(INDIRECT("'Infos Clientes'!$W"&amp;INDEX('Infos Clientes'!$C:$C,MATCH(C1028,'Infos Clientes'!$H:$H,0))&amp;":$CZ"&amp;INDEX('Infos Clientes'!$C:$C,MATCH(C1028,'Infos Clientes'!$H:$H,0))),"&gt;="&amp;0,'Infos Clientes'!$W$2:$CZ$2,"&gt;"&amp;$R1028-365,'Infos Clientes'!$W$2:$CZ$2,"&lt;="&amp;$R1028),""),"")</f>
        <v>384.33333333333331</v>
      </c>
      <c r="CB1028" s="87">
        <f>VLOOKUP(C1028,'Infos Clientes'!B:L,11,0)</f>
        <v>0</v>
      </c>
      <c r="CC1028" s="88" t="str">
        <f t="shared" si="595"/>
        <v>A Unidade Consumidora 10/532723-4 economizou R$70,35 na fatura referente à nov/2025  consumindo 288 kWh em créditos de energia renovável conforme fatura de energia. A economia foi de 21% em relação ao que seria pago para a Energisa considerando os créditos consumidos. Atenção: Mantenha as contas da Energisa em dia para evitar cortes.</v>
      </c>
      <c r="CF1028" s="115">
        <f t="shared" si="596"/>
        <v>-189.13</v>
      </c>
    </row>
    <row r="1029" spans="3:84" ht="16.2" customHeight="1" x14ac:dyDescent="0.3">
      <c r="C1029" s="31" t="s">
        <v>51</v>
      </c>
      <c r="D1029" s="31" t="s">
        <v>351</v>
      </c>
      <c r="E1029" s="31" t="s">
        <v>352</v>
      </c>
      <c r="F1029" s="56" t="str">
        <f>INDEX('Infos Clientes'!$I:$I,MATCH('Detalhe Por UC'!C1029,'Infos Clientes'!B:B,0))</f>
        <v>BT</v>
      </c>
      <c r="G1029" s="56" t="str">
        <f>INDEX('Infos Clientes'!$J:$J,MATCH('Detalhe Por UC'!C1029,'Infos Clientes'!B:B,0))</f>
        <v>trifasico</v>
      </c>
      <c r="H1029" s="156" t="s">
        <v>24</v>
      </c>
      <c r="I1029" s="58">
        <f>IFERROR(VLOOKUP(C1029,'Infos Clientes'!B:E,4,),"")</f>
        <v>360</v>
      </c>
      <c r="J1029" s="157">
        <v>0.21</v>
      </c>
      <c r="K1029" s="79">
        <f>INDEX('Resumo Operacional'!$A$1:$P$151,MATCH("Desconto percentual Ucs",'Resumo Operacional'!$B$1:$B$151,0),MATCH('Detalhe Por UC'!$R1029,'Resumo Operacional'!$A$1:$P$1,0))</f>
        <v>0.21</v>
      </c>
      <c r="M1029" s="56"/>
      <c r="N1029" s="56"/>
      <c r="O1029" s="56"/>
      <c r="P1029" s="56"/>
      <c r="Q1029" s="61"/>
      <c r="R1029" s="111">
        <v>45962</v>
      </c>
      <c r="S1029" s="152">
        <v>1.0999999999999999E-2</v>
      </c>
      <c r="T1029" s="113">
        <f>IF($H1029="GIROSSOL II",AP1029/INDEX('Resumo Operacional'!$A$1:$P$1103,17,MATCH('Detalhe Por UC'!$R1029,'Resumo Operacional'!$A$1:$P$1,0)),
IF($H1029="GIROSSOL II e III",AP1029/INDEX('Resumo Operacional'!$A$1:$P$1103,17,MATCH('Detalhe Por UC'!$R1029,'Resumo Operacional'!$A$1:$P$1,0)),
""))</f>
        <v>2.276978124745873E-2</v>
      </c>
      <c r="U1029" s="113" t="str">
        <f>IF($H1029="GIROSSOL III",AP1029/INDEX('Resumo Operacional'!$A$1:$P$1103,53,MATCH('Detalhe Por UC'!$R1029,'Resumo Operacional'!$A$1:$P$1,0)),
IF($H1029="GIROSSOL II e III",AP1029/INDEX('Resumo Operacional'!$A$1:$P$1103,53,MATCH('Detalhe Por UC'!$R1029,'Resumo Operacional'!$A$1:$P$1,0)),
""))</f>
        <v/>
      </c>
      <c r="X1029">
        <v>1.2126086206896551</v>
      </c>
      <c r="Z1029">
        <v>1.2126151515151515</v>
      </c>
      <c r="AB1029">
        <v>232</v>
      </c>
      <c r="AD1029">
        <v>132</v>
      </c>
      <c r="AF1029">
        <v>381</v>
      </c>
      <c r="AG1029">
        <v>0</v>
      </c>
      <c r="AH1029">
        <v>53.180000000000007</v>
      </c>
      <c r="AK1029">
        <v>174.44</v>
      </c>
      <c r="AL1029" s="43">
        <v>0</v>
      </c>
      <c r="AN1029" s="71">
        <f t="shared" si="563"/>
        <v>148</v>
      </c>
      <c r="AO1029" s="71">
        <f t="shared" si="564"/>
        <v>0</v>
      </c>
      <c r="AP1029" s="71">
        <f t="shared" si="565"/>
        <v>280</v>
      </c>
      <c r="AQ1029" s="72">
        <f>IF(OR($H1029="GIROSSOL II",$H1029="GIROSSOL II e III"),INDEX('Resumo Operacional'!$A$1:$P$1103,MATCH("Energia Injetada prevista total Fatura da Usina (TUSD)",'Resumo Operacional'!$B$1:$B$1103,0),MATCH('Detalhe Por UC'!$R1029,'Resumo Operacional'!$A$1:$P$1,0))*$S1029,INDEX('Resumo Operacional'!$A$1:$P$1103,53,MATCH('Detalhe Por UC'!$R1029,'Resumo Operacional'!$A$1:$P$1,0))*$S1029)</f>
        <v>135.267</v>
      </c>
      <c r="AR1029" s="71">
        <f t="shared" si="566"/>
        <v>144.733</v>
      </c>
      <c r="AS1029" s="73">
        <f t="shared" si="567"/>
        <v>174.44</v>
      </c>
      <c r="AT1029" s="74">
        <f t="shared" si="568"/>
        <v>174.44</v>
      </c>
      <c r="AU1029" s="74">
        <f t="shared" si="569"/>
        <v>1.2126216823406479</v>
      </c>
      <c r="AV1029" s="74">
        <f t="shared" si="570"/>
        <v>126.45150800000002</v>
      </c>
      <c r="AW1029" s="74">
        <f t="shared" si="571"/>
        <v>0</v>
      </c>
      <c r="AX1029" s="74">
        <f t="shared" si="572"/>
        <v>160.0652</v>
      </c>
      <c r="AY1029" s="74">
        <f t="shared" si="573"/>
        <v>126.45</v>
      </c>
      <c r="AZ1029" s="129">
        <v>126.45</v>
      </c>
      <c r="BA1029" s="117"/>
      <c r="BC1029" s="73" t="str">
        <f t="shared" si="574"/>
        <v/>
      </c>
      <c r="BD1029" s="73">
        <f t="shared" si="575"/>
        <v>334.5052</v>
      </c>
      <c r="BE1029" s="73">
        <f t="shared" si="576"/>
        <v>300.89150800000004</v>
      </c>
      <c r="BF1029" s="77">
        <f t="shared" si="577"/>
        <v>33.61</v>
      </c>
      <c r="BG1029" s="77">
        <f t="shared" si="578"/>
        <v>10.083</v>
      </c>
      <c r="BH1029" s="77">
        <f t="shared" si="579"/>
        <v>160.0652</v>
      </c>
      <c r="BI1029" s="78">
        <f t="shared" si="580"/>
        <v>0.21</v>
      </c>
      <c r="BJ1029" s="79">
        <f t="shared" si="581"/>
        <v>0.10047676388887228</v>
      </c>
      <c r="BK1029" s="80">
        <f t="shared" si="582"/>
        <v>300.89</v>
      </c>
      <c r="BL1029" s="80">
        <f t="shared" si="583"/>
        <v>33.615200000000016</v>
      </c>
      <c r="BM1029" s="79">
        <f t="shared" si="584"/>
        <v>0.10049230923764418</v>
      </c>
      <c r="BN1029" s="81">
        <f t="shared" si="585"/>
        <v>0.9579545454545455</v>
      </c>
      <c r="BO1029" s="82">
        <f t="shared" si="586"/>
        <v>126.45</v>
      </c>
      <c r="BP1029" s="81">
        <f t="shared" si="587"/>
        <v>0.9579545454545455</v>
      </c>
      <c r="BQ1029" s="81">
        <f t="shared" si="588"/>
        <v>0.9579480146290491</v>
      </c>
      <c r="BR1029" s="81">
        <f t="shared" si="589"/>
        <v>1.2126086206896551</v>
      </c>
      <c r="BS1029" s="82">
        <f t="shared" si="590"/>
        <v>132</v>
      </c>
      <c r="BT1029" s="82">
        <f t="shared" si="591"/>
        <v>160.06433793103449</v>
      </c>
      <c r="BU1029" s="82">
        <f t="shared" si="592"/>
        <v>160.0652</v>
      </c>
      <c r="BW1029" s="82">
        <f>IFERROR(INDEX('Infos Clientes'!$T:$T,MATCH('Detalhe Por UC'!$C1029,'Infos Clientes'!B:B,0)),"")</f>
        <v>185.66666666666666</v>
      </c>
      <c r="BX1029" s="83">
        <f t="shared" si="593"/>
        <v>0</v>
      </c>
      <c r="BY1029" s="84">
        <f t="shared" si="594"/>
        <v>0.21001055222234127</v>
      </c>
      <c r="BZ1029" s="85">
        <f>IF(_xlfn.MINIFS('Detalhe Por UC'!R:R,'Detalhe Por UC'!C:C,C1029,'Detalhe Por UC'!AD:AD,"&gt;"&amp;0)=0,"",_xlfn.MINIFS('Detalhe Por UC'!R:R,'Detalhe Por UC'!C:C,C1029,'Detalhe Por UC'!AD:AD,"&gt;"&amp;0))</f>
        <v>45627</v>
      </c>
      <c r="CA1029" s="114">
        <f ca="1">IF(OR(S1029&gt;0,AD1029&gt;0),IFERROR(
SUMIFS(INDIRECT("'Infos Clientes'!$W"&amp;INDEX('Infos Clientes'!$C:$C,MATCH(C1029,'Infos Clientes'!$H:$H,0))&amp;":$CZ"&amp;INDEX('Infos Clientes'!$C:$C,MATCH(C1029,'Infos Clientes'!$H:$H,0))),'Infos Clientes'!$W$2:$CZ$2,"&gt;"&amp;$R1029-365,'Infos Clientes'!$W$2:$CZ$2,"&lt;="&amp;$R1029)/
COUNTIFS(INDIRECT("'Infos Clientes'!$W"&amp;INDEX('Infos Clientes'!$C:$C,MATCH(C1029,'Infos Clientes'!$H:$H,0))&amp;":$CZ"&amp;INDEX('Infos Clientes'!$C:$C,MATCH(C1029,'Infos Clientes'!$H:$H,0))),"&gt;="&amp;0,'Infos Clientes'!$W$2:$CZ$2,"&gt;"&amp;$R1029-365,'Infos Clientes'!$W$2:$CZ$2,"&lt;="&amp;$R1029),""),"")</f>
        <v>299.39999999999998</v>
      </c>
      <c r="CB1029" s="87">
        <f>VLOOKUP(C1029,'Infos Clientes'!B:L,11,0)</f>
        <v>0</v>
      </c>
      <c r="CC1029" s="88" t="str">
        <f t="shared" si="595"/>
        <v>A Unidade Consumidora 10/162736-3 economizou R$33,61 na fatura referente à nov/2025  consumindo 132 kWh em créditos de energia renovável conforme fatura de energia. A economia foi de 21% em relação ao que seria pago para a Energisa considerando os créditos consumidos. Atenção: Mantenha as contas da Energisa em dia para evitar cortes.</v>
      </c>
      <c r="CF1029" s="115">
        <f t="shared" si="596"/>
        <v>-174.44</v>
      </c>
    </row>
    <row r="1030" spans="3:84" ht="16.2" customHeight="1" x14ac:dyDescent="0.3">
      <c r="C1030" s="31" t="s">
        <v>88</v>
      </c>
      <c r="D1030" s="31" t="s">
        <v>351</v>
      </c>
      <c r="E1030" s="31" t="s">
        <v>352</v>
      </c>
      <c r="F1030" s="56" t="str">
        <f>INDEX('Infos Clientes'!$I:$I,MATCH('Detalhe Por UC'!C1030,'Infos Clientes'!B:B,0))</f>
        <v>BT</v>
      </c>
      <c r="G1030" s="56" t="str">
        <f>INDEX('Infos Clientes'!$J:$J,MATCH('Detalhe Por UC'!C1030,'Infos Clientes'!B:B,0))</f>
        <v>trifasico</v>
      </c>
      <c r="H1030" s="156" t="s">
        <v>24</v>
      </c>
      <c r="I1030" s="58">
        <f>IFERROR(VLOOKUP(C1030,'Infos Clientes'!B:E,4,),"")</f>
        <v>994</v>
      </c>
      <c r="J1030" s="157">
        <v>0.21</v>
      </c>
      <c r="K1030" s="79">
        <f>INDEX('Resumo Operacional'!$A$1:$P$151,MATCH("Desconto percentual Ucs",'Resumo Operacional'!$B$1:$B$151,0),MATCH('Detalhe Por UC'!$R1030,'Resumo Operacional'!$A$1:$P$1,0))</f>
        <v>0.21</v>
      </c>
      <c r="M1030" s="56"/>
      <c r="N1030" s="56"/>
      <c r="O1030" s="56"/>
      <c r="P1030" s="56"/>
      <c r="Q1030" s="61"/>
      <c r="R1030" s="111">
        <v>45962</v>
      </c>
      <c r="S1030" s="152">
        <v>1.0699999999999999E-2</v>
      </c>
      <c r="T1030" s="113">
        <f>IF($H1030="GIROSSOL II",AP1030/INDEX('Resumo Operacional'!$A$1:$P$1103,17,MATCH('Detalhe Por UC'!$R1030,'Resumo Operacional'!$A$1:$P$1,0)),
IF($H1030="GIROSSOL II e III",AP1030/INDEX('Resumo Operacional'!$A$1:$P$1103,17,MATCH('Detalhe Por UC'!$R1030,'Resumo Operacional'!$A$1:$P$1,0)),
""))</f>
        <v>1.0653004797918192E-2</v>
      </c>
      <c r="U1030" s="113" t="str">
        <f>IF($H1030="GIROSSOL III",AP1030/INDEX('Resumo Operacional'!$A$1:$P$1103,53,MATCH('Detalhe Por UC'!$R1030,'Resumo Operacional'!$A$1:$P$1,0)),
IF($H1030="GIROSSOL II e III",AP1030/INDEX('Resumo Operacional'!$A$1:$P$1103,53,MATCH('Detalhe Por UC'!$R1030,'Resumo Operacional'!$A$1:$P$1,0)),
""))</f>
        <v/>
      </c>
      <c r="X1030" s="158">
        <v>1.2127177819334907</v>
      </c>
      <c r="Y1030" s="158"/>
      <c r="Z1030" s="158">
        <v>1.2126627491463511</v>
      </c>
      <c r="AA1030" s="158"/>
      <c r="AB1030" s="158">
        <v>502</v>
      </c>
      <c r="AC1030" s="158"/>
      <c r="AD1030" s="158">
        <v>257</v>
      </c>
      <c r="AE1030" s="158"/>
      <c r="AF1030" s="158">
        <v>0</v>
      </c>
      <c r="AG1030" s="158">
        <v>0</v>
      </c>
      <c r="AH1030" s="158">
        <v>92.51</v>
      </c>
      <c r="AI1030" s="158"/>
      <c r="AJ1030" s="158"/>
      <c r="AK1030" s="158">
        <v>389.64</v>
      </c>
      <c r="AL1030" s="43">
        <f>AK1030-AT1030</f>
        <v>0</v>
      </c>
      <c r="AN1030" s="71">
        <f t="shared" si="563"/>
        <v>-126</v>
      </c>
      <c r="AO1030" s="71">
        <f t="shared" si="564"/>
        <v>0</v>
      </c>
      <c r="AP1030" s="71">
        <f t="shared" si="565"/>
        <v>131</v>
      </c>
      <c r="AQ1030" s="72">
        <f>IF(OR($H1030="GIROSSOL II",$H1030="GIROSSOL II e III"),INDEX('Resumo Operacional'!$A$1:$P$1103,MATCH("Energia Injetada prevista total Fatura da Usina (TUSD)",'Resumo Operacional'!$B$1:$B$1103,0),MATCH('Detalhe Por UC'!$R1030,'Resumo Operacional'!$A$1:$P$1,0))*$S1030,INDEX('Resumo Operacional'!$A$1:$P$1103,53,MATCH('Detalhe Por UC'!$R1030,'Resumo Operacional'!$A$1:$P$1,0))*$S1030)</f>
        <v>131.5779</v>
      </c>
      <c r="AR1030" s="71">
        <f t="shared" si="566"/>
        <v>-0.57789999999999964</v>
      </c>
      <c r="AS1030" s="73">
        <f t="shared" si="567"/>
        <v>389.6400000000001</v>
      </c>
      <c r="AT1030" s="74">
        <f t="shared" si="568"/>
        <v>389.6400000000001</v>
      </c>
      <c r="AU1030" s="74">
        <f t="shared" si="569"/>
        <v>1.2126077163592115</v>
      </c>
      <c r="AV1030" s="74">
        <f t="shared" si="570"/>
        <v>246.20691795918367</v>
      </c>
      <c r="AW1030" s="74">
        <f t="shared" si="571"/>
        <v>0</v>
      </c>
      <c r="AX1030" s="74">
        <f t="shared" si="572"/>
        <v>311.65432653061225</v>
      </c>
      <c r="AY1030" s="74">
        <f t="shared" si="573"/>
        <v>246.21</v>
      </c>
      <c r="AZ1030" s="129">
        <v>246.21</v>
      </c>
      <c r="BC1030" s="73" t="str">
        <f t="shared" si="574"/>
        <v/>
      </c>
      <c r="BD1030" s="73">
        <f t="shared" si="575"/>
        <v>701.29432653061235</v>
      </c>
      <c r="BE1030" s="73">
        <f t="shared" si="576"/>
        <v>635.84691795918377</v>
      </c>
      <c r="BF1030" s="77">
        <f t="shared" si="577"/>
        <v>65.45</v>
      </c>
      <c r="BG1030" s="77">
        <f t="shared" si="578"/>
        <v>19.635000000000002</v>
      </c>
      <c r="BH1030" s="77">
        <f t="shared" si="579"/>
        <v>311.6543265306122</v>
      </c>
      <c r="BI1030" s="78">
        <f t="shared" si="580"/>
        <v>0.21</v>
      </c>
      <c r="BJ1030" s="79">
        <f t="shared" si="581"/>
        <v>9.3327434037273699E-2</v>
      </c>
      <c r="BK1030" s="80">
        <f t="shared" si="582"/>
        <v>635.85000000000014</v>
      </c>
      <c r="BL1030" s="80">
        <f t="shared" si="583"/>
        <v>65.444326530612216</v>
      </c>
      <c r="BM1030" s="79">
        <f t="shared" si="584"/>
        <v>9.3319344039717519E-2</v>
      </c>
      <c r="BN1030" s="81">
        <f t="shared" si="585"/>
        <v>0.95801556420233469</v>
      </c>
      <c r="BO1030" s="82">
        <f t="shared" si="586"/>
        <v>246.21</v>
      </c>
      <c r="BP1030" s="81">
        <f t="shared" si="587"/>
        <v>0.95801556420233469</v>
      </c>
      <c r="BQ1030" s="81">
        <f t="shared" si="588"/>
        <v>0.95807059698947428</v>
      </c>
      <c r="BR1030" s="81">
        <f t="shared" si="589"/>
        <v>1.2127177819334907</v>
      </c>
      <c r="BS1030" s="82">
        <f t="shared" si="590"/>
        <v>257</v>
      </c>
      <c r="BT1030" s="82">
        <f t="shared" si="591"/>
        <v>311.66846995690707</v>
      </c>
      <c r="BU1030" s="82">
        <f t="shared" si="592"/>
        <v>311.65432653061225</v>
      </c>
      <c r="BW1030" s="82">
        <f>IFERROR(INDEX('Infos Clientes'!$T:$T,MATCH('Detalhe Por UC'!$C1030,'Infos Clientes'!B:B,0)),"")</f>
        <v>335.75</v>
      </c>
      <c r="BX1030" s="83">
        <f t="shared" si="593"/>
        <v>0</v>
      </c>
      <c r="BY1030" s="84">
        <f t="shared" si="594"/>
        <v>0.20998058141608256</v>
      </c>
      <c r="BZ1030" s="85">
        <f>IF(_xlfn.MINIFS('Detalhe Por UC'!R:R,'Detalhe Por UC'!C:C,C1030,'Detalhe Por UC'!AD:AD,"&gt;"&amp;0)=0,"",_xlfn.MINIFS('Detalhe Por UC'!R:R,'Detalhe Por UC'!C:C,C1030,'Detalhe Por UC'!AD:AD,"&gt;"&amp;0))</f>
        <v>45627</v>
      </c>
      <c r="CA1030" s="114">
        <f ca="1">IF(OR(S1030&gt;0,AD1030&gt;0),IFERROR(
SUMIFS(INDIRECT("'Infos Clientes'!$W"&amp;INDEX('Infos Clientes'!$C:$C,MATCH(C1030,'Infos Clientes'!$H:$H,0))&amp;":$CZ"&amp;INDEX('Infos Clientes'!$C:$C,MATCH(C1030,'Infos Clientes'!$H:$H,0))),'Infos Clientes'!$W$2:$CZ$2,"&gt;"&amp;$R1030-365,'Infos Clientes'!$W$2:$CZ$2,"&lt;="&amp;$R1030)/
COUNTIFS(INDIRECT("'Infos Clientes'!$W"&amp;INDEX('Infos Clientes'!$C:$C,MATCH(C1030,'Infos Clientes'!$H:$H,0))&amp;":$CZ"&amp;INDEX('Infos Clientes'!$C:$C,MATCH(C1030,'Infos Clientes'!$H:$H,0))),"&gt;="&amp;0,'Infos Clientes'!$W$2:$CZ$2,"&gt;"&amp;$R1030-365,'Infos Clientes'!$W$2:$CZ$2,"&lt;="&amp;$R1030),""),"")</f>
        <v>370</v>
      </c>
      <c r="CB1030" s="87">
        <f>VLOOKUP(C1030,'Infos Clientes'!B:L,11,0)</f>
        <v>0</v>
      </c>
      <c r="CC1030" s="88" t="str">
        <f t="shared" si="595"/>
        <v>A Unidade Consumidora 10/276283-9 economizou R$65,45 na fatura referente à nov/2025  consumindo 257 kWh em créditos de energia renovável conforme fatura de energia. A economia foi de 21% em relação ao que seria pago para a Energisa considerando os créditos consumidos. Atenção: Mantenha as contas da Energisa em dia para evitar cortes.</v>
      </c>
      <c r="CF1030" s="115">
        <f t="shared" si="596"/>
        <v>-389.6400000000001</v>
      </c>
    </row>
    <row r="1031" spans="3:84" ht="16.2" customHeight="1" x14ac:dyDescent="0.3">
      <c r="C1031" s="31" t="s">
        <v>126</v>
      </c>
      <c r="D1031" s="31" t="s">
        <v>351</v>
      </c>
      <c r="E1031" s="31" t="s">
        <v>352</v>
      </c>
      <c r="F1031" s="56" t="str">
        <f>INDEX('Infos Clientes'!$I:$I,MATCH('Detalhe Por UC'!C1031,'Infos Clientes'!B:B,0))</f>
        <v>BT</v>
      </c>
      <c r="G1031" s="56" t="str">
        <f>INDEX('Infos Clientes'!$J:$J,MATCH('Detalhe Por UC'!C1031,'Infos Clientes'!B:B,0))</f>
        <v>trifasico</v>
      </c>
      <c r="H1031" s="156" t="s">
        <v>24</v>
      </c>
      <c r="I1031" s="58">
        <f>IFERROR(VLOOKUP(C1031,'Infos Clientes'!B:E,4,),"")</f>
        <v>994</v>
      </c>
      <c r="J1031" s="157">
        <v>0.21</v>
      </c>
      <c r="K1031" s="79">
        <f>INDEX('Resumo Operacional'!$A$1:$P$151,MATCH("Desconto percentual Ucs",'Resumo Operacional'!$B$1:$B$151,0),MATCH('Detalhe Por UC'!$R1031,'Resumo Operacional'!$A$1:$P$1,0))</f>
        <v>0.21</v>
      </c>
      <c r="M1031" s="56"/>
      <c r="N1031" s="56"/>
      <c r="O1031" s="56"/>
      <c r="P1031" s="56"/>
      <c r="Q1031" s="61"/>
      <c r="R1031" s="111">
        <v>45962</v>
      </c>
      <c r="S1031" s="152">
        <v>1.04E-2</v>
      </c>
      <c r="T1031" s="113">
        <f>IF($H1031="GIROSSOL II",AP1031/INDEX('Resumo Operacional'!$A$1:$P$1103,17,MATCH('Detalhe Por UC'!$R1031,'Resumo Operacional'!$A$1:$P$1,0)),
IF($H1031="GIROSSOL II e III",AP1031/INDEX('Resumo Operacional'!$A$1:$P$1103,17,MATCH('Detalhe Por UC'!$R1031,'Resumo Operacional'!$A$1:$P$1,0)),
""))</f>
        <v>1.0327722208668781E-2</v>
      </c>
      <c r="U1031" s="113" t="str">
        <f>IF($H1031="GIROSSOL III",AP1031/INDEX('Resumo Operacional'!$A$1:$P$1103,53,MATCH('Detalhe Por UC'!$R1031,'Resumo Operacional'!$A$1:$P$1,0)),
IF($H1031="GIROSSOL II e III",AP1031/INDEX('Resumo Operacional'!$A$1:$P$1103,53,MATCH('Detalhe Por UC'!$R1031,'Resumo Operacional'!$A$1:$P$1,0)),
""))</f>
        <v/>
      </c>
      <c r="X1031">
        <v>1.2128136054421768</v>
      </c>
      <c r="Z1031">
        <v>1.2127690721649484</v>
      </c>
      <c r="AB1031">
        <v>294</v>
      </c>
      <c r="AD1031">
        <v>194</v>
      </c>
      <c r="AF1031">
        <v>417</v>
      </c>
      <c r="AG1031">
        <v>0</v>
      </c>
      <c r="AH1031">
        <v>59.88</v>
      </c>
      <c r="AK1031">
        <v>181.17</v>
      </c>
      <c r="AL1031" s="43">
        <v>0</v>
      </c>
      <c r="AN1031" s="71">
        <f t="shared" si="563"/>
        <v>-67</v>
      </c>
      <c r="AO1031" s="71">
        <f t="shared" si="564"/>
        <v>0</v>
      </c>
      <c r="AP1031" s="71">
        <f t="shared" si="565"/>
        <v>127</v>
      </c>
      <c r="AQ1031" s="72">
        <f>IF(OR($H1031="GIROSSOL II",$H1031="GIROSSOL II e III"),INDEX('Resumo Operacional'!$A$1:$P$1103,MATCH("Energia Injetada prevista total Fatura da Usina (TUSD)",'Resumo Operacional'!$B$1:$B$1103,0),MATCH('Detalhe Por UC'!$R1031,'Resumo Operacional'!$A$1:$P$1,0))*$S1031,INDEX('Resumo Operacional'!$A$1:$P$1103,53,MATCH('Detalhe Por UC'!$R1031,'Resumo Operacional'!$A$1:$P$1,0))*$S1031)</f>
        <v>127.88879999999999</v>
      </c>
      <c r="AR1031" s="71">
        <f t="shared" si="566"/>
        <v>-0.88879999999998915</v>
      </c>
      <c r="AS1031" s="73">
        <f t="shared" si="567"/>
        <v>181.16999999999996</v>
      </c>
      <c r="AT1031" s="74">
        <f t="shared" si="568"/>
        <v>181.16999999999996</v>
      </c>
      <c r="AU1031" s="74">
        <f t="shared" si="569"/>
        <v>1.2127245388877201</v>
      </c>
      <c r="AV1031" s="74">
        <f t="shared" si="570"/>
        <v>185.868988</v>
      </c>
      <c r="AW1031" s="74">
        <f t="shared" si="571"/>
        <v>0</v>
      </c>
      <c r="AX1031" s="74">
        <f t="shared" si="572"/>
        <v>235.27719999999999</v>
      </c>
      <c r="AY1031" s="74">
        <f t="shared" si="573"/>
        <v>185.87</v>
      </c>
      <c r="AZ1031" s="129">
        <v>185.87</v>
      </c>
      <c r="BA1031" s="117"/>
      <c r="BC1031" s="73" t="str">
        <f t="shared" si="574"/>
        <v/>
      </c>
      <c r="BD1031" s="73">
        <f t="shared" si="575"/>
        <v>416.44719999999995</v>
      </c>
      <c r="BE1031" s="73">
        <f t="shared" si="576"/>
        <v>367.03898799999996</v>
      </c>
      <c r="BF1031" s="77">
        <f t="shared" si="577"/>
        <v>49.41</v>
      </c>
      <c r="BG1031" s="77">
        <f t="shared" si="578"/>
        <v>14.822999999999999</v>
      </c>
      <c r="BH1031" s="77">
        <f t="shared" si="579"/>
        <v>235.27719999999999</v>
      </c>
      <c r="BI1031" s="78">
        <f t="shared" si="580"/>
        <v>0.21</v>
      </c>
      <c r="BJ1031" s="79">
        <f t="shared" si="581"/>
        <v>0.11864649348104635</v>
      </c>
      <c r="BK1031" s="80">
        <f t="shared" si="582"/>
        <v>367.03999999999996</v>
      </c>
      <c r="BL1031" s="80">
        <f t="shared" si="583"/>
        <v>49.407199999999989</v>
      </c>
      <c r="BM1031" s="79">
        <f t="shared" si="584"/>
        <v>0.11863976993962258</v>
      </c>
      <c r="BN1031" s="81">
        <f t="shared" si="585"/>
        <v>0.9580927835051547</v>
      </c>
      <c r="BO1031" s="82">
        <f t="shared" si="586"/>
        <v>185.87</v>
      </c>
      <c r="BP1031" s="81">
        <f t="shared" si="587"/>
        <v>0.9580927835051547</v>
      </c>
      <c r="BQ1031" s="81">
        <f t="shared" si="588"/>
        <v>0.95813731678238301</v>
      </c>
      <c r="BR1031" s="81">
        <f t="shared" si="589"/>
        <v>1.2128136054421768</v>
      </c>
      <c r="BS1031" s="82">
        <f t="shared" si="590"/>
        <v>194</v>
      </c>
      <c r="BT1031" s="82">
        <f t="shared" si="591"/>
        <v>235.28583945578228</v>
      </c>
      <c r="BU1031" s="82">
        <f t="shared" si="592"/>
        <v>235.27719999999999</v>
      </c>
      <c r="BW1031" s="82">
        <f>IFERROR(INDEX('Infos Clientes'!$T:$T,MATCH('Detalhe Por UC'!$C1031,'Infos Clientes'!B:B,0)),"")</f>
        <v>274.25</v>
      </c>
      <c r="BX1031" s="83">
        <f t="shared" si="593"/>
        <v>0</v>
      </c>
      <c r="BY1031" s="84">
        <f t="shared" si="594"/>
        <v>0.2099879878630995</v>
      </c>
      <c r="BZ1031" s="85">
        <f>IF(_xlfn.MINIFS('Detalhe Por UC'!R:R,'Detalhe Por UC'!C:C,C1031,'Detalhe Por UC'!AD:AD,"&gt;"&amp;0)=0,"",_xlfn.MINIFS('Detalhe Por UC'!R:R,'Detalhe Por UC'!C:C,C1031,'Detalhe Por UC'!AD:AD,"&gt;"&amp;0))</f>
        <v>45627</v>
      </c>
      <c r="CA1031" s="114">
        <f ca="1">IF(OR(S1031&gt;0,AD1031&gt;0),IFERROR(
SUMIFS(INDIRECT("'Infos Clientes'!$W"&amp;INDEX('Infos Clientes'!$C:$C,MATCH(C1031,'Infos Clientes'!$H:$H,0))&amp;":$CZ"&amp;INDEX('Infos Clientes'!$C:$C,MATCH(C1031,'Infos Clientes'!$H:$H,0))),'Infos Clientes'!$W$2:$CZ$2,"&gt;"&amp;$R1031-365,'Infos Clientes'!$W$2:$CZ$2,"&lt;="&amp;$R1031)/
COUNTIFS(INDIRECT("'Infos Clientes'!$W"&amp;INDEX('Infos Clientes'!$C:$C,MATCH(C1031,'Infos Clientes'!$H:$H,0))&amp;":$CZ"&amp;INDEX('Infos Clientes'!$C:$C,MATCH(C1031,'Infos Clientes'!$H:$H,0))),"&gt;="&amp;0,'Infos Clientes'!$W$2:$CZ$2,"&gt;"&amp;$R1031-365,'Infos Clientes'!$W$2:$CZ$2,"&lt;="&amp;$R1031),""),"")</f>
        <v>322.5</v>
      </c>
      <c r="CB1031" s="87">
        <f>VLOOKUP(C1031,'Infos Clientes'!B:L,11,0)</f>
        <v>0</v>
      </c>
      <c r="CC1031" s="88" t="str">
        <f t="shared" si="595"/>
        <v>A Unidade Consumidora 10/931327-1 economizou R$49,41 na fatura referente à nov/2025  consumindo 194 kWh em créditos de energia renovável conforme fatura de energia. A economia foi de 21% em relação ao que seria pago para a Energisa considerando os créditos consumidos. Atenção: Mantenha as contas da Energisa em dia para evitar cortes.</v>
      </c>
      <c r="CF1031" s="115">
        <f t="shared" si="596"/>
        <v>-181.16999999999996</v>
      </c>
    </row>
    <row r="1032" spans="3:84" ht="16.2" customHeight="1" x14ac:dyDescent="0.3">
      <c r="C1032" s="31" t="s">
        <v>79</v>
      </c>
      <c r="D1032" s="31" t="s">
        <v>351</v>
      </c>
      <c r="E1032" s="31" t="s">
        <v>352</v>
      </c>
      <c r="F1032" s="56" t="str">
        <f>INDEX('Infos Clientes'!$I:$I,MATCH('Detalhe Por UC'!C1032,'Infos Clientes'!B:B,0))</f>
        <v>BT</v>
      </c>
      <c r="G1032" s="56" t="str">
        <f>INDEX('Infos Clientes'!$J:$J,MATCH('Detalhe Por UC'!C1032,'Infos Clientes'!B:B,0))</f>
        <v>trifasico</v>
      </c>
      <c r="H1032" s="156" t="s">
        <v>24</v>
      </c>
      <c r="I1032" s="58">
        <f>IFERROR(VLOOKUP(C1032,'Infos Clientes'!B:E,4,),"")</f>
        <v>371</v>
      </c>
      <c r="J1032" s="157">
        <v>0.21</v>
      </c>
      <c r="K1032" s="79">
        <f>INDEX('Resumo Operacional'!$A$1:$P$151,MATCH("Desconto percentual Ucs",'Resumo Operacional'!$B$1:$B$151,0),MATCH('Detalhe Por UC'!$R1032,'Resumo Operacional'!$A$1:$P$1,0))</f>
        <v>0.21</v>
      </c>
      <c r="M1032" s="56"/>
      <c r="N1032" s="56"/>
      <c r="O1032" s="56"/>
      <c r="P1032" s="56"/>
      <c r="Q1032" s="61"/>
      <c r="R1032" s="111">
        <v>45962</v>
      </c>
      <c r="S1032" s="152">
        <v>9.9000000000000008E-3</v>
      </c>
      <c r="T1032" s="113">
        <f>IF($H1032="GIROSSOL II",AP1032/INDEX('Resumo Operacional'!$A$1:$P$1103,17,MATCH('Detalhe Por UC'!$R1032,'Resumo Operacional'!$A$1:$P$1,0)),
IF($H1032="GIROSSOL II e III",AP1032/INDEX('Resumo Operacional'!$A$1:$P$1103,17,MATCH('Detalhe Por UC'!$R1032,'Resumo Operacional'!$A$1:$P$1,0)),
""))</f>
        <v>9.8397983247946654E-3</v>
      </c>
      <c r="U1032" s="113" t="str">
        <f>IF($H1032="GIROSSOL III",AP1032/INDEX('Resumo Operacional'!$A$1:$P$1103,53,MATCH('Detalhe Por UC'!$R1032,'Resumo Operacional'!$A$1:$P$1,0)),
IF($H1032="GIROSSOL II e III",AP1032/INDEX('Resumo Operacional'!$A$1:$P$1103,53,MATCH('Detalhe Por UC'!$R1032,'Resumo Operacional'!$A$1:$P$1,0)),
""))</f>
        <v/>
      </c>
      <c r="X1032">
        <v>1.2126449541284403</v>
      </c>
      <c r="Z1032">
        <v>1.2120333333333333</v>
      </c>
      <c r="AB1032">
        <v>109</v>
      </c>
      <c r="AD1032">
        <v>9</v>
      </c>
      <c r="AF1032">
        <v>780</v>
      </c>
      <c r="AG1032">
        <v>0</v>
      </c>
      <c r="AH1032">
        <v>9.25</v>
      </c>
      <c r="AK1032">
        <v>130.52000000000001</v>
      </c>
      <c r="AL1032" s="43">
        <v>0</v>
      </c>
      <c r="AN1032" s="71">
        <f t="shared" si="563"/>
        <v>112</v>
      </c>
      <c r="AO1032" s="71">
        <f t="shared" si="564"/>
        <v>0</v>
      </c>
      <c r="AP1032" s="71">
        <f t="shared" si="565"/>
        <v>121</v>
      </c>
      <c r="AQ1032" s="72">
        <f>IF(OR($H1032="GIROSSOL II",$H1032="GIROSSOL II e III"),INDEX('Resumo Operacional'!$A$1:$P$1103,MATCH("Energia Injetada prevista total Fatura da Usina (TUSD)",'Resumo Operacional'!$B$1:$B$1103,0),MATCH('Detalhe Por UC'!$R1032,'Resumo Operacional'!$A$1:$P$1,0))*$S1032,INDEX('Resumo Operacional'!$A$1:$P$1103,53,MATCH('Detalhe Por UC'!$R1032,'Resumo Operacional'!$A$1:$P$1,0))*$S1032)</f>
        <v>121.7403</v>
      </c>
      <c r="AR1032" s="71">
        <f t="shared" si="566"/>
        <v>-0.74030000000000484</v>
      </c>
      <c r="AS1032" s="73">
        <f t="shared" si="567"/>
        <v>130.52000000000001</v>
      </c>
      <c r="AT1032" s="74">
        <f t="shared" si="568"/>
        <v>130.52000000000001</v>
      </c>
      <c r="AU1032" s="74">
        <f t="shared" si="569"/>
        <v>1.2114217125382263</v>
      </c>
      <c r="AV1032" s="74">
        <f t="shared" si="570"/>
        <v>8.6175569999999997</v>
      </c>
      <c r="AW1032" s="74">
        <f t="shared" si="571"/>
        <v>0</v>
      </c>
      <c r="AX1032" s="74">
        <f t="shared" si="572"/>
        <v>10.908300000000001</v>
      </c>
      <c r="AY1032" s="74">
        <f t="shared" si="573"/>
        <v>8.6199999999999992</v>
      </c>
      <c r="AZ1032" s="129">
        <v>8.6199999999999992</v>
      </c>
      <c r="BA1032" s="117"/>
      <c r="BC1032" s="73" t="str">
        <f t="shared" si="574"/>
        <v/>
      </c>
      <c r="BD1032" s="73">
        <f t="shared" si="575"/>
        <v>141.42830000000001</v>
      </c>
      <c r="BE1032" s="73">
        <f t="shared" si="576"/>
        <v>139.13755700000002</v>
      </c>
      <c r="BF1032" s="77">
        <f t="shared" si="577"/>
        <v>2.29</v>
      </c>
      <c r="BG1032" s="77">
        <f t="shared" si="578"/>
        <v>0.68699999999999994</v>
      </c>
      <c r="BH1032" s="77">
        <f t="shared" si="579"/>
        <v>10.908299999999999</v>
      </c>
      <c r="BI1032" s="78">
        <f t="shared" si="580"/>
        <v>0.21</v>
      </c>
      <c r="BJ1032" s="79">
        <f t="shared" si="581"/>
        <v>1.6191950267379299E-2</v>
      </c>
      <c r="BK1032" s="80">
        <f t="shared" si="582"/>
        <v>139.14000000000001</v>
      </c>
      <c r="BL1032" s="80">
        <f t="shared" si="583"/>
        <v>2.2882999999999925</v>
      </c>
      <c r="BM1032" s="79">
        <f t="shared" si="584"/>
        <v>1.6179930042289927E-2</v>
      </c>
      <c r="BN1032" s="81">
        <f t="shared" si="585"/>
        <v>0.95777777777777773</v>
      </c>
      <c r="BO1032" s="82">
        <f t="shared" si="586"/>
        <v>8.6199999999999992</v>
      </c>
      <c r="BP1032" s="81">
        <f t="shared" si="587"/>
        <v>0.95777777777777773</v>
      </c>
      <c r="BQ1032" s="81">
        <f t="shared" si="588"/>
        <v>0.95838939857288474</v>
      </c>
      <c r="BR1032" s="81">
        <f t="shared" si="589"/>
        <v>1.2126449541284403</v>
      </c>
      <c r="BS1032" s="82">
        <f t="shared" si="590"/>
        <v>9</v>
      </c>
      <c r="BT1032" s="82">
        <f t="shared" si="591"/>
        <v>10.913804587155962</v>
      </c>
      <c r="BU1032" s="82">
        <f t="shared" si="592"/>
        <v>10.908300000000001</v>
      </c>
      <c r="BW1032" s="82">
        <f>IFERROR(INDEX('Infos Clientes'!$T:$T,MATCH('Detalhe Por UC'!$C1032,'Infos Clientes'!B:B,0)),"")</f>
        <v>166.66666666666666</v>
      </c>
      <c r="BX1032" s="83">
        <f t="shared" si="593"/>
        <v>0</v>
      </c>
      <c r="BY1032" s="84">
        <f t="shared" si="594"/>
        <v>0.2096702375167146</v>
      </c>
      <c r="BZ1032" s="85">
        <f>IF(_xlfn.MINIFS('Detalhe Por UC'!R:R,'Detalhe Por UC'!C:C,C1032,'Detalhe Por UC'!AD:AD,"&gt;"&amp;0)=0,"",_xlfn.MINIFS('Detalhe Por UC'!R:R,'Detalhe Por UC'!C:C,C1032,'Detalhe Por UC'!AD:AD,"&gt;"&amp;0))</f>
        <v>45627</v>
      </c>
      <c r="CA1032" s="114">
        <f ca="1">IF(OR(S1032&gt;0,AD1032&gt;0),IFERROR(
SUMIFS(INDIRECT("'Infos Clientes'!$W"&amp;INDEX('Infos Clientes'!$C:$C,MATCH(C1032,'Infos Clientes'!$H:$H,0))&amp;":$CZ"&amp;INDEX('Infos Clientes'!$C:$C,MATCH(C1032,'Infos Clientes'!$H:$H,0))),'Infos Clientes'!$W$2:$CZ$2,"&gt;"&amp;$R1032-365,'Infos Clientes'!$W$2:$CZ$2,"&lt;="&amp;$R1032)/
COUNTIFS(INDIRECT("'Infos Clientes'!$W"&amp;INDEX('Infos Clientes'!$C:$C,MATCH(C1032,'Infos Clientes'!$H:$H,0))&amp;":$CZ"&amp;INDEX('Infos Clientes'!$C:$C,MATCH(C1032,'Infos Clientes'!$H:$H,0))),"&gt;="&amp;0,'Infos Clientes'!$W$2:$CZ$2,"&gt;"&amp;$R1032-365,'Infos Clientes'!$W$2:$CZ$2,"&lt;="&amp;$R1032),""),"")</f>
        <v>200</v>
      </c>
      <c r="CB1032" s="87">
        <f>VLOOKUP(C1032,'Infos Clientes'!B:L,11,0)</f>
        <v>0</v>
      </c>
      <c r="CC1032" s="88" t="str">
        <f t="shared" si="595"/>
        <v>A Unidade Consumidora 10/237441-1 economizou R$2,29 na fatura referente à nov/2025  consumindo 9 kWh em créditos de energia renovável conforme fatura de energia. A economia foi de 21% em relação ao que seria pago para a Energisa considerando os créditos consumidos. Atenção: Mantenha as contas da Energisa em dia para evitar cortes.</v>
      </c>
      <c r="CF1032" s="115">
        <f t="shared" si="596"/>
        <v>-130.52000000000001</v>
      </c>
    </row>
    <row r="1033" spans="3:84" ht="16.2" customHeight="1" x14ac:dyDescent="0.3">
      <c r="C1033" s="31" t="s">
        <v>108</v>
      </c>
      <c r="D1033" s="31" t="s">
        <v>351</v>
      </c>
      <c r="E1033" s="31" t="s">
        <v>352</v>
      </c>
      <c r="F1033" s="56" t="str">
        <f>INDEX('Infos Clientes'!$I:$I,MATCH('Detalhe Por UC'!C1033,'Infos Clientes'!B:B,0))</f>
        <v>BT</v>
      </c>
      <c r="G1033" s="56" t="str">
        <f>INDEX('Infos Clientes'!$J:$J,MATCH('Detalhe Por UC'!C1033,'Infos Clientes'!B:B,0))</f>
        <v>trifasico</v>
      </c>
      <c r="H1033" s="156" t="s">
        <v>24</v>
      </c>
      <c r="I1033" s="58">
        <f>IFERROR(VLOOKUP(C1033,'Infos Clientes'!B:E,4,),"")</f>
        <v>306</v>
      </c>
      <c r="J1033" s="157">
        <v>0.21</v>
      </c>
      <c r="K1033" s="79">
        <f>INDEX('Resumo Operacional'!$A$1:$P$151,MATCH("Desconto percentual Ucs",'Resumo Operacional'!$B$1:$B$151,0),MATCH('Detalhe Por UC'!$R1033,'Resumo Operacional'!$A$1:$P$1,0))</f>
        <v>0.21</v>
      </c>
      <c r="M1033" s="56"/>
      <c r="N1033" s="56"/>
      <c r="O1033" s="56"/>
      <c r="P1033" s="56"/>
      <c r="Q1033" s="61"/>
      <c r="R1033" s="111">
        <v>45962</v>
      </c>
      <c r="S1033" s="152">
        <v>9.4000000000000004E-3</v>
      </c>
      <c r="T1033" s="113">
        <f>IF($H1033="GIROSSOL II",AP1033/INDEX('Resumo Operacional'!$A$1:$P$1103,17,MATCH('Detalhe Por UC'!$R1033,'Resumo Operacional'!$A$1:$P$1,0)),
IF($H1033="GIROSSOL II e III",AP1033/INDEX('Resumo Operacional'!$A$1:$P$1103,17,MATCH('Detalhe Por UC'!$R1033,'Resumo Operacional'!$A$1:$P$1,0)),
""))</f>
        <v>1.0083760266731722E-2</v>
      </c>
      <c r="U1033" s="113" t="str">
        <f>IF($H1033="GIROSSOL III",AP1033/INDEX('Resumo Operacional'!$A$1:$P$1103,53,MATCH('Detalhe Por UC'!$R1033,'Resumo Operacional'!$A$1:$P$1,0)),
IF($H1033="GIROSSOL II e III",AP1033/INDEX('Resumo Operacional'!$A$1:$P$1103,53,MATCH('Detalhe Por UC'!$R1033,'Resumo Operacional'!$A$1:$P$1,0)),
""))</f>
        <v/>
      </c>
      <c r="X1033">
        <v>1.2125999999999999</v>
      </c>
      <c r="Z1033">
        <v>1.2123999999999999</v>
      </c>
      <c r="AB1033">
        <v>150</v>
      </c>
      <c r="AD1033">
        <v>50</v>
      </c>
      <c r="AF1033">
        <v>304</v>
      </c>
      <c r="AG1033">
        <v>0</v>
      </c>
      <c r="AH1033">
        <v>0</v>
      </c>
      <c r="AK1033">
        <v>121.27</v>
      </c>
      <c r="AL1033" s="43">
        <v>0</v>
      </c>
      <c r="AN1033" s="71">
        <f t="shared" ref="AN1033:AN1096" si="599">IF(X1033="","",AF1033-SUMIFS(AF:AF,$C:$C,$C1033,$R:$R,EDATE($R1033,-1)))</f>
        <v>74</v>
      </c>
      <c r="AO1033" s="71">
        <f t="shared" ref="AO1033:AO1096" si="600">IF(X1033="","",AG1033-SUMIFS(AG:AG,$H:$H,$H1033,$C:$C,$C1033,$R:$R,EDATE($R1033,-1)))</f>
        <v>0</v>
      </c>
      <c r="AP1033" s="71">
        <f t="shared" ref="AP1033:AP1096" si="601">IFERROR(IF(D1033="CRÉD. CONSUMIDO",SUM(AD1033,AE1033,AN1033,AO1033),IF(D1033="GERADO",AQ1033)),"")</f>
        <v>124</v>
      </c>
      <c r="AQ1033" s="72">
        <f>IF(OR($H1033="GIROSSOL II",$H1033="GIROSSOL II e III"),INDEX('Resumo Operacional'!$A$1:$P$1103,MATCH("Energia Injetada prevista total Fatura da Usina (TUSD)",'Resumo Operacional'!$B$1:$B$1103,0),MATCH('Detalhe Por UC'!$R1033,'Resumo Operacional'!$A$1:$P$1,0))*$S1033,INDEX('Resumo Operacional'!$A$1:$P$1103,53,MATCH('Detalhe Por UC'!$R1033,'Resumo Operacional'!$A$1:$P$1,0))*$S1033)</f>
        <v>115.59180000000001</v>
      </c>
      <c r="AR1033" s="71">
        <f t="shared" ref="AR1033:AR1096" si="602">IF(X1033="","",AP1033-AQ1033)</f>
        <v>8.4081999999999937</v>
      </c>
      <c r="AS1033" s="73">
        <f t="shared" ref="AS1033:AS1096" si="603">IFERROR((X1033*AB1033-Z1033*AD1033+Y1033*AC1033-AA1033*AE1033)+AH1033+
IF(F1033&lt;&gt;"BT",0,
IF(AND(G1033="trifasico",AD1033=0,AB1033&lt;100),X1033*(100-(AB1033-AD1033)),
IF(AND(G1033="bifasico",AD1033=0,AB1033&lt;50),X1033*(50-(AB1033-AD1033)),
IF(AND(G1033="monofasico",AD1033=0,AB1033&lt;30),X1033*(30-(AB1033-AD1033)),0)))),"")</f>
        <v>121.26999999999998</v>
      </c>
      <c r="AT1033" s="74">
        <f t="shared" ref="AT1033:AT1096" si="604">IFERROR(AS1033+AI1033+AJ1033,"")</f>
        <v>121.26999999999998</v>
      </c>
      <c r="AU1033" s="74">
        <f t="shared" ref="AU1033:AU1096" si="605">IFERROR((Z1033*AD1033+AA1033*AE1033)/(AD1033+AE1033)-((X1033-Z1033)*AD1033+(Y1033-AA1033)*AE1033)/(AD1033+AE1033),"")</f>
        <v>1.2121999999999999</v>
      </c>
      <c r="AV1033" s="74">
        <f t="shared" ref="AV1033:AV1096" si="606">IFERROR(IF(AND(E1033="FINAL-Ñ.COMP",D1033="CRÉD. CONSUMIDO"),(X1033*(1-J1033)-(X1033-Z1033))*AD1033+(Y1033*(1-J1033)-(Y1033-AA1033))*AE1033,
IF(AND(E1033="T.COMP",D1033="CRÉD. CONSUMIDO"),Z1033*(1-J1033)*AD1033+AA1033*(1-J1033)*AE1033,
IF(AND(E1033="T.S.IMP",D1033="CRÉD. CONSUMIDO"),V1033*(1-J1033)*AD1033+W1033*(1-J1033)*AE1033,
IF(AND(E1033="T.S.IMP",D1033="GERADO"),V1033*(1-J1033)*AQ1033+W1033*(1-J1033)*AQ1033,
IF(AND(E1033="T.COMP",D1033="GERADO"),AU1033*(1-J1033)*AQ1033,
IF(AND(E1033="FINAL-Ñ.COMP",D1033="GERADO"),(AU1033*(1-J1033)-(X1033-Z1033))*AQ1033,"ERRO")))))),"")</f>
        <v>47.889800000000001</v>
      </c>
      <c r="AW1033" s="74">
        <f t="shared" ref="AW1033:AW1096" si="607">IF(45658=R1033,0,IF(
SUMIFS($BA:$BA,$C:$C,$C1033,$R:$R,EDATE($R1033,-1))
&gt;=0,
SUMIFS(AY:AY,$C:$C,$C1033,$R:$R,EDATE($R1033,-1))-SUMIFS(BA:BA,$C:$C,$C1033,$R:$R,EDATE($R1033,-1)),0))</f>
        <v>0</v>
      </c>
      <c r="AX1033" s="74">
        <f t="shared" ref="AX1033:AX1096" si="608">IFERROR(IF(AND(E1033="FINAL-Ñ.COMP",D1033="CRÉD. CONSUMIDO"),(X1033-(X1033-Z1033))*AD1033+(Y1033-(Y1033-AA1033))*AE1033,
IF(AND(E1033="T.COMP",D1033="CRÉD. CONSUMIDO"),Z1033*AD1033+AA1033*AE1033,
IF(AND(E1033="T.S.IMP",D1033="CRÉD. CONSUMIDO"),V1033*AD1033+W1033*AE1033,
IF(AND(E1033="T.S.IMP",D1033="GERADO"),V1033*AQ1033+W1033*AQ1033,
IF(AND(E1033="T.COMP",D1033="GERADO"),AU1033*AQ1033,
IF(AND(E1033="FINAL-Ñ.COMP",D1033="GERADO"),(AU1033-(X1033-Z1033))*AQ1033,"ERRO"))))))+AW1033,"")</f>
        <v>60.62</v>
      </c>
      <c r="AY1033" s="74">
        <f t="shared" ref="AY1033:AY1096" si="609">IF(AV1033=0,IF(AW1033=0,"",AW1033),IFERROR(ROUND(IF(SUMIFS($BA:$BA,$C:$C,$C1033,$R:$R,EDATE($R1033,-1))&gt;0,AV1033+AW1033,AV1033),2),""))</f>
        <v>47.89</v>
      </c>
      <c r="AZ1033" s="129">
        <v>47.89</v>
      </c>
      <c r="BA1033" s="117"/>
      <c r="BC1033" s="73" t="str">
        <f t="shared" ref="BC1033:BC1096" si="610">IF(BB1033&gt;BA1033,BB1033-BA1033,"")</f>
        <v/>
      </c>
      <c r="BD1033" s="73">
        <f t="shared" ref="BD1033:BD1096" si="611">IF(AB1033&gt;0,X1033*AB1033+Y1033*AC1033+AH1033,AH1033+
IF(AND(G1033="trifasico",AB1033-AD1033=0),X1033*(100-(AB1033-AD1033)),
IF(AND(G1033="bifasico",AB1033-AD1033=0),X1033*(50-(AB1033-AD1033)),
IF(AND(G1033="monofasico",AB1033-AD1033=0),X1033*(30-(AB1033-AD1033)),0))))</f>
        <v>181.89</v>
      </c>
      <c r="BE1033" s="73">
        <f t="shared" ref="BE1033:BE1096" si="612">IFERROR(AS1033+AV1033,"")</f>
        <v>169.15979999999999</v>
      </c>
      <c r="BF1033" s="77">
        <f t="shared" ref="BF1033:BF1096" si="613">ROUND(BD1033-BE1033,2)</f>
        <v>12.73</v>
      </c>
      <c r="BG1033" s="77">
        <f t="shared" ref="BG1033:BG1096" si="614">BF1033*0.3</f>
        <v>3.819</v>
      </c>
      <c r="BH1033" s="77">
        <f t="shared" ref="BH1033:BH1096" si="615">(X1033*AD1033)-((X1033-Z1033)*AD1033)</f>
        <v>60.62</v>
      </c>
      <c r="BI1033" s="78">
        <f t="shared" ref="BI1033:BI1096" si="616">IFERROR(ROUND(IFERROR(IF(BF1033=0,"",BF1033/(AY1033+Z1033*J1033*AD1033+AA1033*J1033*AE1033)),0),2),"")</f>
        <v>0.21</v>
      </c>
      <c r="BJ1033" s="79">
        <f t="shared" ref="BJ1033:BJ1096" si="617">IFERROR(BF1033/BD1033,"")</f>
        <v>6.9987354994777068E-2</v>
      </c>
      <c r="BK1033" s="80">
        <f t="shared" ref="BK1033:BK1096" si="618">IFERROR(AS1033+AY1033,"")</f>
        <v>169.15999999999997</v>
      </c>
      <c r="BL1033" s="80">
        <f t="shared" ref="BL1033:BL1096" si="619">IFERROR(BD1033-BK1033,"")</f>
        <v>12.730000000000018</v>
      </c>
      <c r="BM1033" s="79">
        <f t="shared" ref="BM1033:BM1096" si="620">IFERROR(IF(BL1033=0,"",BL1033/BD1033),"")</f>
        <v>6.9987354994777165E-2</v>
      </c>
      <c r="BN1033" s="81">
        <f t="shared" ref="BN1033:BN1096" si="621">IFERROR(IF(AD1033="","",AY1033/(AD1033+AE1033)),"")</f>
        <v>0.95779999999999998</v>
      </c>
      <c r="BO1033" s="82">
        <f t="shared" ref="BO1033:BO1096" si="622">IF(OR(BN1033="",BN1033=0),"",BN1033*(AD1033+AE1033))</f>
        <v>47.89</v>
      </c>
      <c r="BP1033" s="81">
        <f t="shared" ref="BP1033:BP1096" si="623">IFERROR(IF(AD1033="","",AY1033/AD1033),"")</f>
        <v>0.95779999999999998</v>
      </c>
      <c r="BQ1033" s="81">
        <f t="shared" ref="BQ1033:BQ1096" si="624">IFERROR(BP1033+(X1033-Z1033),"")</f>
        <v>0.95799999999999996</v>
      </c>
      <c r="BR1033" s="81">
        <f t="shared" ref="BR1033:BR1096" si="625">IFERROR(IF(AD1033="","",(X1033*AD1033+Y1033*AE1033)/(AD1033+AE1033)),"")</f>
        <v>1.2125999999999999</v>
      </c>
      <c r="BS1033" s="82">
        <f t="shared" ref="BS1033:BS1096" si="626">IFERROR(IF(D1033="gerado",AQ1033,AD1033),"")</f>
        <v>50</v>
      </c>
      <c r="BT1033" s="82">
        <f t="shared" ref="BT1033:BT1096" si="627">IF(OR(BR1033="",BR1033=0),"",BR1033*(AD1033+AE1033))</f>
        <v>60.629999999999995</v>
      </c>
      <c r="BU1033" s="82">
        <f t="shared" ref="BU1033:BU1096" si="628">IFERROR(BS1033*Z1033,"")</f>
        <v>60.62</v>
      </c>
      <c r="BW1033" s="82">
        <f>IFERROR(INDEX('Infos Clientes'!$T:$T,MATCH('Detalhe Por UC'!$C1033,'Infos Clientes'!B:B,0)),"")</f>
        <v>187.5</v>
      </c>
      <c r="BX1033" s="83">
        <f t="shared" ref="BX1033:BX1096" si="629">IFERROR(BW1033*Q1033,"")</f>
        <v>0</v>
      </c>
      <c r="BY1033" s="84">
        <f t="shared" ref="BY1033:BY1096" si="630">IFERROR((X1033-BQ1033)/X1033,"")</f>
        <v>0.20996206498433115</v>
      </c>
      <c r="BZ1033" s="85">
        <f>IF(_xlfn.MINIFS('Detalhe Por UC'!R:R,'Detalhe Por UC'!C:C,C1033,'Detalhe Por UC'!AD:AD,"&gt;"&amp;0)=0,"",_xlfn.MINIFS('Detalhe Por UC'!R:R,'Detalhe Por UC'!C:C,C1033,'Detalhe Por UC'!AD:AD,"&gt;"&amp;0))</f>
        <v>45627</v>
      </c>
      <c r="CA1033" s="114">
        <f ca="1">IF(OR(S1033&gt;0,AD1033&gt;0),IFERROR(
SUMIFS(INDIRECT("'Infos Clientes'!$W"&amp;INDEX('Infos Clientes'!$C:$C,MATCH(C1033,'Infos Clientes'!$H:$H,0))&amp;":$CZ"&amp;INDEX('Infos Clientes'!$C:$C,MATCH(C1033,'Infos Clientes'!$H:$H,0))),'Infos Clientes'!$W$2:$CZ$2,"&gt;"&amp;$R1033-365,'Infos Clientes'!$W$2:$CZ$2,"&lt;="&amp;$R1033)/
COUNTIFS(INDIRECT("'Infos Clientes'!$W"&amp;INDEX('Infos Clientes'!$C:$C,MATCH(C1033,'Infos Clientes'!$H:$H,0))&amp;":$CZ"&amp;INDEX('Infos Clientes'!$C:$C,MATCH(C1033,'Infos Clientes'!$H:$H,0))),"&gt;="&amp;0,'Infos Clientes'!$W$2:$CZ$2,"&gt;"&amp;$R1033-365,'Infos Clientes'!$W$2:$CZ$2,"&lt;="&amp;$R1033),""),"")</f>
        <v>185</v>
      </c>
      <c r="CB1033" s="87">
        <f>VLOOKUP(C1033,'Infos Clientes'!B:L,11,0)</f>
        <v>0</v>
      </c>
      <c r="CC1033" s="88" t="str">
        <f t="shared" ref="CC1033:CC1096" si="631">"A Unidade Consumidora "&amp;C1033&amp;" economizou R$"&amp;BF1033&amp;" na fatura referente à "&amp;TEXT(R1033,"mmm/aaaa")&amp;"  consumindo "&amp;AD1033&amp;" kWh em créditos de energia renovável conforme fatura de energia. A economia foi de "&amp;$J1033*100&amp;"% em relação ao que seria pago para a Energisa considerando os créditos consumidos. Atenção: Mantenha as contas da Energisa em dia para evitar cortes."</f>
        <v>A Unidade Consumidora 10/501586-2 economizou R$12,73 na fatura referente à nov/2025  consumindo 50 kWh em créditos de energia renovável conforme fatura de energia. A economia foi de 21% em relação ao que seria pago para a Energisa considerando os créditos consumidos. Atenção: Mantenha as contas da Energisa em dia para evitar cortes.</v>
      </c>
      <c r="CF1033" s="115">
        <f t="shared" ref="CF1033:CF1096" si="632">CE1033-AT1033</f>
        <v>-121.26999999999998</v>
      </c>
    </row>
    <row r="1034" spans="3:84" ht="16.2" customHeight="1" x14ac:dyDescent="0.3">
      <c r="C1034" s="31" t="s">
        <v>73</v>
      </c>
      <c r="D1034" s="31" t="s">
        <v>351</v>
      </c>
      <c r="E1034" s="31" t="s">
        <v>352</v>
      </c>
      <c r="F1034" s="56" t="str">
        <f>INDEX('Infos Clientes'!$I:$I,MATCH('Detalhe Por UC'!C1034,'Infos Clientes'!B:B,0))</f>
        <v>BT</v>
      </c>
      <c r="G1034" s="56" t="str">
        <f>INDEX('Infos Clientes'!$J:$J,MATCH('Detalhe Por UC'!C1034,'Infos Clientes'!B:B,0))</f>
        <v>bifasico</v>
      </c>
      <c r="H1034" s="156" t="s">
        <v>24</v>
      </c>
      <c r="I1034" s="58">
        <f>IFERROR(VLOOKUP(C1034,'Infos Clientes'!B:E,4,),"")</f>
        <v>306</v>
      </c>
      <c r="J1034" s="157">
        <v>0.21</v>
      </c>
      <c r="K1034" s="79">
        <f>INDEX('Resumo Operacional'!$A$1:$P$151,MATCH("Desconto percentual Ucs",'Resumo Operacional'!$B$1:$B$151,0),MATCH('Detalhe Por UC'!$R1034,'Resumo Operacional'!$A$1:$P$1,0))</f>
        <v>0.21</v>
      </c>
      <c r="M1034" s="56"/>
      <c r="N1034" s="56"/>
      <c r="O1034" s="56"/>
      <c r="P1034" s="56"/>
      <c r="Q1034" s="61"/>
      <c r="R1034" s="111">
        <v>45962</v>
      </c>
      <c r="S1034" s="152">
        <v>9.2999999999999992E-3</v>
      </c>
      <c r="T1034" s="113">
        <f>IF($H1034="GIROSSOL II",AP1034/INDEX('Resumo Operacional'!$A$1:$P$1103,17,MATCH('Detalhe Por UC'!$R1034,'Resumo Operacional'!$A$1:$P$1,0)),
IF($H1034="GIROSSOL II e III",AP1034/INDEX('Resumo Operacional'!$A$1:$P$1103,17,MATCH('Detalhe Por UC'!$R1034,'Resumo Operacional'!$A$1:$P$1,0)),
""))</f>
        <v>1.000243961941937E-2</v>
      </c>
      <c r="U1034" s="113" t="str">
        <f>IF($H1034="GIROSSOL III",AP1034/INDEX('Resumo Operacional'!$A$1:$P$1103,53,MATCH('Detalhe Por UC'!$R1034,'Resumo Operacional'!$A$1:$P$1,0)),
IF($H1034="GIROSSOL II e III",AP1034/INDEX('Resumo Operacional'!$A$1:$P$1103,53,MATCH('Detalhe Por UC'!$R1034,'Resumo Operacional'!$A$1:$P$1,0)),
""))</f>
        <v/>
      </c>
      <c r="X1034">
        <v>1.2129795918367348</v>
      </c>
      <c r="Z1034">
        <v>1.1891311069882495</v>
      </c>
      <c r="AB1034">
        <v>115</v>
      </c>
      <c r="AD1034">
        <v>66</v>
      </c>
      <c r="AF1034">
        <v>474</v>
      </c>
      <c r="AG1034">
        <v>0</v>
      </c>
      <c r="AH1034">
        <v>12.95</v>
      </c>
      <c r="AK1034">
        <v>73.959999999999994</v>
      </c>
      <c r="AL1034" s="43">
        <v>0</v>
      </c>
      <c r="AN1034" s="71">
        <f t="shared" si="599"/>
        <v>57</v>
      </c>
      <c r="AO1034" s="71">
        <f t="shared" si="600"/>
        <v>0</v>
      </c>
      <c r="AP1034" s="71">
        <f t="shared" si="601"/>
        <v>123</v>
      </c>
      <c r="AQ1034" s="72">
        <f>IF(OR($H1034="GIROSSOL II",$H1034="GIROSSOL II e III"),INDEX('Resumo Operacional'!$A$1:$P$1103,MATCH("Energia Injetada prevista total Fatura da Usina (TUSD)",'Resumo Operacional'!$B$1:$B$1103,0),MATCH('Detalhe Por UC'!$R1034,'Resumo Operacional'!$A$1:$P$1,0))*$S1034,INDEX('Resumo Operacional'!$A$1:$P$1103,53,MATCH('Detalhe Por UC'!$R1034,'Resumo Operacional'!$A$1:$P$1,0))*$S1034)</f>
        <v>114.36209999999998</v>
      </c>
      <c r="AR1034" s="71">
        <f t="shared" si="602"/>
        <v>8.6379000000000161</v>
      </c>
      <c r="AS1034" s="73">
        <f t="shared" si="603"/>
        <v>73.960000000000036</v>
      </c>
      <c r="AT1034" s="74">
        <f t="shared" si="604"/>
        <v>73.960000000000036</v>
      </c>
      <c r="AU1034" s="74">
        <f t="shared" si="605"/>
        <v>1.1652826221397643</v>
      </c>
      <c r="AV1034" s="74">
        <f t="shared" si="606"/>
        <v>62.001295918367333</v>
      </c>
      <c r="AW1034" s="74">
        <f t="shared" si="607"/>
        <v>0</v>
      </c>
      <c r="AX1034" s="74">
        <f t="shared" si="608"/>
        <v>78.482653061224468</v>
      </c>
      <c r="AY1034" s="74">
        <f t="shared" si="609"/>
        <v>62</v>
      </c>
      <c r="AZ1034" s="129">
        <v>62</v>
      </c>
      <c r="BA1034" s="117"/>
      <c r="BC1034" s="73" t="str">
        <f t="shared" si="610"/>
        <v/>
      </c>
      <c r="BD1034" s="73">
        <f t="shared" si="611"/>
        <v>152.44265306122449</v>
      </c>
      <c r="BE1034" s="73">
        <f t="shared" si="612"/>
        <v>135.96129591836737</v>
      </c>
      <c r="BF1034" s="77">
        <f t="shared" si="613"/>
        <v>16.48</v>
      </c>
      <c r="BG1034" s="77">
        <f t="shared" si="614"/>
        <v>4.944</v>
      </c>
      <c r="BH1034" s="77">
        <f t="shared" si="615"/>
        <v>78.482653061224468</v>
      </c>
      <c r="BI1034" s="78">
        <f t="shared" si="616"/>
        <v>0.21</v>
      </c>
      <c r="BJ1034" s="79">
        <f t="shared" si="617"/>
        <v>0.10810622663055629</v>
      </c>
      <c r="BK1034" s="80">
        <f t="shared" si="618"/>
        <v>135.96000000000004</v>
      </c>
      <c r="BL1034" s="80">
        <f t="shared" si="619"/>
        <v>16.482653061224454</v>
      </c>
      <c r="BM1034" s="79">
        <f t="shared" si="620"/>
        <v>0.10812363029791039</v>
      </c>
      <c r="BN1034" s="81">
        <f t="shared" si="621"/>
        <v>0.93939393939393945</v>
      </c>
      <c r="BO1034" s="82">
        <f t="shared" si="622"/>
        <v>62</v>
      </c>
      <c r="BP1034" s="81">
        <f t="shared" si="623"/>
        <v>0.93939393939393945</v>
      </c>
      <c r="BQ1034" s="81">
        <f t="shared" si="624"/>
        <v>0.96324242424242468</v>
      </c>
      <c r="BR1034" s="81">
        <f t="shared" si="625"/>
        <v>1.2129795918367348</v>
      </c>
      <c r="BS1034" s="82">
        <f t="shared" si="626"/>
        <v>66</v>
      </c>
      <c r="BT1034" s="82">
        <f t="shared" si="627"/>
        <v>80.056653061224495</v>
      </c>
      <c r="BU1034" s="82">
        <f t="shared" si="628"/>
        <v>78.482653061224468</v>
      </c>
      <c r="BW1034" s="82">
        <f>IFERROR(INDEX('Infos Clientes'!$T:$T,MATCH('Detalhe Por UC'!$C1034,'Infos Clientes'!B:B,0)),"")</f>
        <v>153.91666666666666</v>
      </c>
      <c r="BX1034" s="83">
        <f t="shared" si="629"/>
        <v>0</v>
      </c>
      <c r="BY1034" s="84">
        <f t="shared" si="630"/>
        <v>0.2058873613991721</v>
      </c>
      <c r="BZ1034" s="85">
        <f>IF(_xlfn.MINIFS('Detalhe Por UC'!R:R,'Detalhe Por UC'!C:C,C1034,'Detalhe Por UC'!AD:AD,"&gt;"&amp;0)=0,"",_xlfn.MINIFS('Detalhe Por UC'!R:R,'Detalhe Por UC'!C:C,C1034,'Detalhe Por UC'!AD:AD,"&gt;"&amp;0))</f>
        <v>45627</v>
      </c>
      <c r="CA1034" s="114">
        <f ca="1">IF(OR(S1034&gt;0,AD1034&gt;0),IFERROR(
SUMIFS(INDIRECT("'Infos Clientes'!$W"&amp;INDEX('Infos Clientes'!$C:$C,MATCH(C1034,'Infos Clientes'!$H:$H,0))&amp;":$CZ"&amp;INDEX('Infos Clientes'!$C:$C,MATCH(C1034,'Infos Clientes'!$H:$H,0))),'Infos Clientes'!$W$2:$CZ$2,"&gt;"&amp;$R1034-365,'Infos Clientes'!$W$2:$CZ$2,"&lt;="&amp;$R1034)/
COUNTIFS(INDIRECT("'Infos Clientes'!$W"&amp;INDEX('Infos Clientes'!$C:$C,MATCH(C1034,'Infos Clientes'!$H:$H,0))&amp;":$CZ"&amp;INDEX('Infos Clientes'!$C:$C,MATCH(C1034,'Infos Clientes'!$H:$H,0))),"&gt;="&amp;0,'Infos Clientes'!$W$2:$CZ$2,"&gt;"&amp;$R1034-365,'Infos Clientes'!$W$2:$CZ$2,"&lt;="&amp;$R1034),""),"")</f>
        <v>124.91666666666667</v>
      </c>
      <c r="CB1034" s="87">
        <f>VLOOKUP(C1034,'Infos Clientes'!B:L,11,0)</f>
        <v>0</v>
      </c>
      <c r="CC1034" s="88" t="str">
        <f t="shared" si="631"/>
        <v>A Unidade Consumidora 10/218777-1 economizou R$16,48 na fatura referente à nov/2025  consumindo 66 kWh em créditos de energia renovável conforme fatura de energia. A economia foi de 21% em relação ao que seria pago para a Energisa considerando os créditos consumidos. Atenção: Mantenha as contas da Energisa em dia para evitar cortes.</v>
      </c>
      <c r="CF1034" s="115">
        <f t="shared" si="632"/>
        <v>-73.960000000000036</v>
      </c>
    </row>
    <row r="1035" spans="3:84" ht="16.2" customHeight="1" x14ac:dyDescent="0.3">
      <c r="C1035" s="31" t="s">
        <v>103</v>
      </c>
      <c r="D1035" s="31" t="s">
        <v>351</v>
      </c>
      <c r="E1035" s="31" t="s">
        <v>352</v>
      </c>
      <c r="F1035" s="56" t="str">
        <f>INDEX('Infos Clientes'!$I:$I,MATCH('Detalhe Por UC'!C1035,'Infos Clientes'!B:B,0))</f>
        <v>BT</v>
      </c>
      <c r="G1035" s="56" t="str">
        <f>INDEX('Infos Clientes'!$J:$J,MATCH('Detalhe Por UC'!C1035,'Infos Clientes'!B:B,0))</f>
        <v>monofasico</v>
      </c>
      <c r="H1035" s="156" t="s">
        <v>24</v>
      </c>
      <c r="I1035" s="58">
        <f>IFERROR(VLOOKUP(C1035,'Infos Clientes'!B:E,4,),"")</f>
        <v>306</v>
      </c>
      <c r="J1035" s="157">
        <v>0.21</v>
      </c>
      <c r="K1035" s="79">
        <f>INDEX('Resumo Operacional'!$A$1:$P$151,MATCH("Desconto percentual Ucs",'Resumo Operacional'!$B$1:$B$151,0),MATCH('Detalhe Por UC'!$R1035,'Resumo Operacional'!$A$1:$P$1,0))</f>
        <v>0.21</v>
      </c>
      <c r="M1035" s="56"/>
      <c r="N1035" s="56"/>
      <c r="O1035" s="56"/>
      <c r="P1035" s="56"/>
      <c r="Q1035" s="61"/>
      <c r="R1035" s="111">
        <v>45962</v>
      </c>
      <c r="S1035" s="152">
        <v>8.9999999999999993E-3</v>
      </c>
      <c r="T1035" s="113">
        <f>IF($H1035="GIROSSOL II",AP1035/INDEX('Resumo Operacional'!$A$1:$P$1103,17,MATCH('Detalhe Por UC'!$R1035,'Resumo Operacional'!$A$1:$P$1,0)),
IF($H1035="GIROSSOL II e III",AP1035/INDEX('Resumo Operacional'!$A$1:$P$1103,17,MATCH('Detalhe Por UC'!$R1035,'Resumo Operacional'!$A$1:$P$1,0)),
""))</f>
        <v>9.6771570301699607E-3</v>
      </c>
      <c r="U1035" s="113" t="str">
        <f>IF($H1035="GIROSSOL III",AP1035/INDEX('Resumo Operacional'!$A$1:$P$1103,53,MATCH('Detalhe Por UC'!$R1035,'Resumo Operacional'!$A$1:$P$1,0)),
IF($H1035="GIROSSOL II e III",AP1035/INDEX('Resumo Operacional'!$A$1:$P$1103,53,MATCH('Detalhe Por UC'!$R1035,'Resumo Operacional'!$A$1:$P$1,0)),
""))</f>
        <v/>
      </c>
      <c r="X1035">
        <v>1.2126666666666666</v>
      </c>
      <c r="Z1035">
        <v>1.2125833333333333</v>
      </c>
      <c r="AB1035">
        <v>150</v>
      </c>
      <c r="AD1035">
        <v>120</v>
      </c>
      <c r="AF1035">
        <v>71</v>
      </c>
      <c r="AG1035">
        <v>0</v>
      </c>
      <c r="AH1035">
        <v>0.75</v>
      </c>
      <c r="AK1035">
        <v>37.14</v>
      </c>
      <c r="AL1035" s="43">
        <v>0</v>
      </c>
      <c r="AN1035" s="71">
        <f t="shared" si="599"/>
        <v>-1</v>
      </c>
      <c r="AO1035" s="71">
        <f t="shared" si="600"/>
        <v>0</v>
      </c>
      <c r="AP1035" s="71">
        <f t="shared" si="601"/>
        <v>119</v>
      </c>
      <c r="AQ1035" s="72">
        <f>IF(OR($H1035="GIROSSOL II",$H1035="GIROSSOL II e III"),INDEX('Resumo Operacional'!$A$1:$P$1103,MATCH("Energia Injetada prevista total Fatura da Usina (TUSD)",'Resumo Operacional'!$B$1:$B$1103,0),MATCH('Detalhe Por UC'!$R1035,'Resumo Operacional'!$A$1:$P$1,0))*$S1035,INDEX('Resumo Operacional'!$A$1:$P$1103,53,MATCH('Detalhe Por UC'!$R1035,'Resumo Operacional'!$A$1:$P$1,0))*$S1035)</f>
        <v>110.67299999999999</v>
      </c>
      <c r="AR1035" s="71">
        <f t="shared" si="602"/>
        <v>8.3270000000000124</v>
      </c>
      <c r="AS1035" s="73">
        <f t="shared" si="603"/>
        <v>37.139999999999986</v>
      </c>
      <c r="AT1035" s="74">
        <f t="shared" si="604"/>
        <v>37.139999999999986</v>
      </c>
      <c r="AU1035" s="74">
        <f t="shared" si="605"/>
        <v>1.2125000000000001</v>
      </c>
      <c r="AV1035" s="74">
        <f t="shared" si="606"/>
        <v>114.9529</v>
      </c>
      <c r="AW1035" s="74">
        <f t="shared" si="607"/>
        <v>0</v>
      </c>
      <c r="AX1035" s="74">
        <f t="shared" si="608"/>
        <v>145.51</v>
      </c>
      <c r="AY1035" s="74">
        <f t="shared" si="609"/>
        <v>114.95</v>
      </c>
      <c r="AZ1035" s="129">
        <v>114.95</v>
      </c>
      <c r="BA1035" s="117"/>
      <c r="BC1035" s="73" t="str">
        <f t="shared" si="610"/>
        <v/>
      </c>
      <c r="BD1035" s="73">
        <f t="shared" si="611"/>
        <v>182.64999999999998</v>
      </c>
      <c r="BE1035" s="73">
        <f t="shared" si="612"/>
        <v>152.09289999999999</v>
      </c>
      <c r="BF1035" s="77">
        <f t="shared" si="613"/>
        <v>30.56</v>
      </c>
      <c r="BG1035" s="77">
        <f t="shared" si="614"/>
        <v>9.1679999999999993</v>
      </c>
      <c r="BH1035" s="77">
        <f t="shared" si="615"/>
        <v>145.51</v>
      </c>
      <c r="BI1035" s="78">
        <f t="shared" si="616"/>
        <v>0.21</v>
      </c>
      <c r="BJ1035" s="79">
        <f t="shared" si="617"/>
        <v>0.16731453599781004</v>
      </c>
      <c r="BK1035" s="80">
        <f t="shared" si="618"/>
        <v>152.08999999999997</v>
      </c>
      <c r="BL1035" s="80">
        <f t="shared" si="619"/>
        <v>30.560000000000002</v>
      </c>
      <c r="BM1035" s="79">
        <f t="shared" si="620"/>
        <v>0.16731453599781004</v>
      </c>
      <c r="BN1035" s="81">
        <f t="shared" si="621"/>
        <v>0.95791666666666664</v>
      </c>
      <c r="BO1035" s="82">
        <f t="shared" si="622"/>
        <v>114.95</v>
      </c>
      <c r="BP1035" s="81">
        <f t="shared" si="623"/>
        <v>0.95791666666666664</v>
      </c>
      <c r="BQ1035" s="81">
        <f t="shared" si="624"/>
        <v>0.95799999999999985</v>
      </c>
      <c r="BR1035" s="81">
        <f t="shared" si="625"/>
        <v>1.2126666666666666</v>
      </c>
      <c r="BS1035" s="82">
        <f t="shared" si="626"/>
        <v>120</v>
      </c>
      <c r="BT1035" s="82">
        <f t="shared" si="627"/>
        <v>145.51999999999998</v>
      </c>
      <c r="BU1035" s="82">
        <f t="shared" si="628"/>
        <v>145.51</v>
      </c>
      <c r="BW1035" s="82">
        <f>IFERROR(INDEX('Infos Clientes'!$T:$T,MATCH('Detalhe Por UC'!$C1035,'Infos Clientes'!B:B,0)),"")</f>
        <v>144</v>
      </c>
      <c r="BX1035" s="83">
        <f t="shared" si="629"/>
        <v>0</v>
      </c>
      <c r="BY1035" s="84">
        <f t="shared" si="630"/>
        <v>0.21000549752611331</v>
      </c>
      <c r="BZ1035" s="85">
        <f>IF(_xlfn.MINIFS('Detalhe Por UC'!R:R,'Detalhe Por UC'!C:C,C1035,'Detalhe Por UC'!AD:AD,"&gt;"&amp;0)=0,"",_xlfn.MINIFS('Detalhe Por UC'!R:R,'Detalhe Por UC'!C:C,C1035,'Detalhe Por UC'!AD:AD,"&gt;"&amp;0))</f>
        <v>45627</v>
      </c>
      <c r="CA1035" s="114">
        <f ca="1">IF(OR(S1035&gt;0,AD1035&gt;0),IFERROR(
SUMIFS(INDIRECT("'Infos Clientes'!$W"&amp;INDEX('Infos Clientes'!$C:$C,MATCH(C1035,'Infos Clientes'!$H:$H,0))&amp;":$CZ"&amp;INDEX('Infos Clientes'!$C:$C,MATCH(C1035,'Infos Clientes'!$H:$H,0))),'Infos Clientes'!$W$2:$CZ$2,"&gt;"&amp;$R1035-365,'Infos Clientes'!$W$2:$CZ$2,"&lt;="&amp;$R1035)/
COUNTIFS(INDIRECT("'Infos Clientes'!$W"&amp;INDEX('Infos Clientes'!$C:$C,MATCH(C1035,'Infos Clientes'!$H:$H,0))&amp;":$CZ"&amp;INDEX('Infos Clientes'!$C:$C,MATCH(C1035,'Infos Clientes'!$H:$H,0))),"&gt;="&amp;0,'Infos Clientes'!$W$2:$CZ$2,"&gt;"&amp;$R1035-365,'Infos Clientes'!$W$2:$CZ$2,"&lt;="&amp;$R1035),""),"")</f>
        <v>133.33333333333334</v>
      </c>
      <c r="CB1035" s="87">
        <f>VLOOKUP(C1035,'Infos Clientes'!B:L,11,0)</f>
        <v>0</v>
      </c>
      <c r="CC1035" s="88" t="str">
        <f t="shared" si="631"/>
        <v>A Unidade Consumidora 10/384823-1 economizou R$30,56 na fatura referente à nov/2025  consumindo 120 kWh em créditos de energia renovável conforme fatura de energia. A economia foi de 21% em relação ao que seria pago para a Energisa considerando os créditos consumidos. Atenção: Mantenha as contas da Energisa em dia para evitar cortes.</v>
      </c>
      <c r="CF1035" s="115">
        <f t="shared" si="632"/>
        <v>-37.139999999999986</v>
      </c>
    </row>
    <row r="1036" spans="3:84" ht="16.2" customHeight="1" x14ac:dyDescent="0.3">
      <c r="C1036" s="31" t="s">
        <v>76</v>
      </c>
      <c r="D1036" s="31" t="s">
        <v>351</v>
      </c>
      <c r="E1036" s="31" t="s">
        <v>352</v>
      </c>
      <c r="F1036" s="56" t="str">
        <f>INDEX('Infos Clientes'!$I:$I,MATCH('Detalhe Por UC'!C1036,'Infos Clientes'!B:B,0))</f>
        <v>BT</v>
      </c>
      <c r="G1036" s="56" t="str">
        <f>INDEX('Infos Clientes'!$J:$J,MATCH('Detalhe Por UC'!C1036,'Infos Clientes'!B:B,0))</f>
        <v>bifasico</v>
      </c>
      <c r="H1036" s="156" t="s">
        <v>24</v>
      </c>
      <c r="I1036" s="58">
        <f>IFERROR(VLOOKUP(C1036,'Infos Clientes'!B:E,4,),"")</f>
        <v>371</v>
      </c>
      <c r="J1036" s="157">
        <v>0.21</v>
      </c>
      <c r="K1036" s="79">
        <f>INDEX('Resumo Operacional'!$A$1:$P$151,MATCH("Desconto percentual Ucs",'Resumo Operacional'!$B$1:$B$151,0),MATCH('Detalhe Por UC'!$R1036,'Resumo Operacional'!$A$1:$P$1,0))</f>
        <v>0.21</v>
      </c>
      <c r="M1036" s="56"/>
      <c r="N1036" s="56"/>
      <c r="O1036" s="56"/>
      <c r="P1036" s="56"/>
      <c r="Q1036" s="61"/>
      <c r="R1036" s="111">
        <v>45962</v>
      </c>
      <c r="S1036" s="152">
        <v>7.7999999999999996E-3</v>
      </c>
      <c r="T1036" s="113">
        <f>IF($H1036="GIROSSOL II",AP1036/INDEX('Resumo Operacional'!$A$1:$P$1103,17,MATCH('Detalhe Por UC'!$R1036,'Resumo Operacional'!$A$1:$P$1,0)),
IF($H1036="GIROSSOL II e III",AP1036/INDEX('Resumo Operacional'!$A$1:$P$1103,17,MATCH('Detalhe Por UC'!$R1036,'Resumo Operacional'!$A$1:$P$1,0)),
""))</f>
        <v>7.7254614946734978E-3</v>
      </c>
      <c r="U1036" s="113" t="str">
        <f>IF($H1036="GIROSSOL III",AP1036/INDEX('Resumo Operacional'!$A$1:$P$1103,53,MATCH('Detalhe Por UC'!$R1036,'Resumo Operacional'!$A$1:$P$1,0)),
IF($H1036="GIROSSOL II e III",AP1036/INDEX('Resumo Operacional'!$A$1:$P$1103,53,MATCH('Detalhe Por UC'!$R1036,'Resumo Operacional'!$A$1:$P$1,0)),
""))</f>
        <v/>
      </c>
      <c r="X1036">
        <v>1.2125603960396039</v>
      </c>
      <c r="Z1036">
        <v>1.2125215686274511</v>
      </c>
      <c r="AB1036">
        <v>101</v>
      </c>
      <c r="AD1036">
        <v>51</v>
      </c>
      <c r="AF1036">
        <v>759</v>
      </c>
      <c r="AG1036">
        <v>0</v>
      </c>
      <c r="AH1036">
        <v>30.83</v>
      </c>
      <c r="AK1036">
        <v>91.46</v>
      </c>
      <c r="AL1036" s="43">
        <v>0</v>
      </c>
      <c r="AN1036" s="71">
        <f t="shared" si="599"/>
        <v>44</v>
      </c>
      <c r="AO1036" s="71">
        <f t="shared" si="600"/>
        <v>0</v>
      </c>
      <c r="AP1036" s="71">
        <f t="shared" si="601"/>
        <v>95</v>
      </c>
      <c r="AQ1036" s="72">
        <f>IF(OR($H1036="GIROSSOL II",$H1036="GIROSSOL II e III"),INDEX('Resumo Operacional'!$A$1:$P$1103,MATCH("Energia Injetada prevista total Fatura da Usina (TUSD)",'Resumo Operacional'!$B$1:$B$1103,0),MATCH('Detalhe Por UC'!$R1036,'Resumo Operacional'!$A$1:$P$1,0))*$S1036,INDEX('Resumo Operacional'!$A$1:$P$1103,53,MATCH('Detalhe Por UC'!$R1036,'Resumo Operacional'!$A$1:$P$1,0))*$S1036)</f>
        <v>95.916600000000003</v>
      </c>
      <c r="AR1036" s="71">
        <f t="shared" si="602"/>
        <v>-0.91660000000000252</v>
      </c>
      <c r="AS1036" s="73">
        <f t="shared" si="603"/>
        <v>91.45999999999998</v>
      </c>
      <c r="AT1036" s="74">
        <f t="shared" si="604"/>
        <v>91.45999999999998</v>
      </c>
      <c r="AU1036" s="74">
        <f t="shared" si="605"/>
        <v>1.2124827412152983</v>
      </c>
      <c r="AV1036" s="74">
        <f t="shared" si="606"/>
        <v>48.852494000000007</v>
      </c>
      <c r="AW1036" s="74">
        <f t="shared" si="607"/>
        <v>0</v>
      </c>
      <c r="AX1036" s="74">
        <f t="shared" si="608"/>
        <v>61.838600000000007</v>
      </c>
      <c r="AY1036" s="74">
        <f t="shared" si="609"/>
        <v>48.85</v>
      </c>
      <c r="AZ1036" s="129">
        <v>48.85</v>
      </c>
      <c r="BA1036" s="117"/>
      <c r="BC1036" s="73" t="str">
        <f t="shared" si="610"/>
        <v/>
      </c>
      <c r="BD1036" s="73">
        <f t="shared" si="611"/>
        <v>153.29859999999999</v>
      </c>
      <c r="BE1036" s="73">
        <f t="shared" si="612"/>
        <v>140.31249399999999</v>
      </c>
      <c r="BF1036" s="77">
        <f t="shared" si="613"/>
        <v>12.99</v>
      </c>
      <c r="BG1036" s="77">
        <f t="shared" si="614"/>
        <v>3.8969999999999998</v>
      </c>
      <c r="BH1036" s="77">
        <f t="shared" si="615"/>
        <v>61.8386</v>
      </c>
      <c r="BI1036" s="78">
        <f t="shared" si="616"/>
        <v>0.21</v>
      </c>
      <c r="BJ1036" s="79">
        <f t="shared" si="617"/>
        <v>8.4736585983172713E-2</v>
      </c>
      <c r="BK1036" s="80">
        <f t="shared" si="618"/>
        <v>140.30999999999997</v>
      </c>
      <c r="BL1036" s="80">
        <f t="shared" si="619"/>
        <v>12.988600000000019</v>
      </c>
      <c r="BM1036" s="79">
        <f t="shared" si="620"/>
        <v>8.4727453479679651E-2</v>
      </c>
      <c r="BN1036" s="81">
        <f t="shared" si="621"/>
        <v>0.957843137254902</v>
      </c>
      <c r="BO1036" s="82">
        <f t="shared" si="622"/>
        <v>48.85</v>
      </c>
      <c r="BP1036" s="81">
        <f t="shared" si="623"/>
        <v>0.957843137254902</v>
      </c>
      <c r="BQ1036" s="81">
        <f t="shared" si="624"/>
        <v>0.95788196466705477</v>
      </c>
      <c r="BR1036" s="81">
        <f t="shared" si="625"/>
        <v>1.2125603960396039</v>
      </c>
      <c r="BS1036" s="82">
        <f t="shared" si="626"/>
        <v>51</v>
      </c>
      <c r="BT1036" s="82">
        <f t="shared" si="627"/>
        <v>61.840580198019794</v>
      </c>
      <c r="BU1036" s="82">
        <f t="shared" si="628"/>
        <v>61.838600000000007</v>
      </c>
      <c r="BW1036" s="82">
        <f>IFERROR(INDEX('Infos Clientes'!$T:$T,MATCH('Detalhe Por UC'!$C1036,'Infos Clientes'!B:B,0)),"")</f>
        <v>157.66666666666666</v>
      </c>
      <c r="BX1036" s="83">
        <f t="shared" si="629"/>
        <v>0</v>
      </c>
      <c r="BY1036" s="84">
        <f t="shared" si="630"/>
        <v>0.21003360509246827</v>
      </c>
      <c r="BZ1036" s="85">
        <f>IF(_xlfn.MINIFS('Detalhe Por UC'!R:R,'Detalhe Por UC'!C:C,C1036,'Detalhe Por UC'!AD:AD,"&gt;"&amp;0)=0,"",_xlfn.MINIFS('Detalhe Por UC'!R:R,'Detalhe Por UC'!C:C,C1036,'Detalhe Por UC'!AD:AD,"&gt;"&amp;0))</f>
        <v>45627</v>
      </c>
      <c r="CA1036" s="114">
        <f ca="1">IF(OR(S1036&gt;0,AD1036&gt;0),IFERROR(
SUMIFS(INDIRECT("'Infos Clientes'!$W"&amp;INDEX('Infos Clientes'!$C:$C,MATCH(C1036,'Infos Clientes'!$H:$H,0))&amp;":$CZ"&amp;INDEX('Infos Clientes'!$C:$C,MATCH(C1036,'Infos Clientes'!$H:$H,0))),'Infos Clientes'!$W$2:$CZ$2,"&gt;"&amp;$R1036-365,'Infos Clientes'!$W$2:$CZ$2,"&lt;="&amp;$R1036)/
COUNTIFS(INDIRECT("'Infos Clientes'!$W"&amp;INDEX('Infos Clientes'!$C:$C,MATCH(C1036,'Infos Clientes'!$H:$H,0))&amp;":$CZ"&amp;INDEX('Infos Clientes'!$C:$C,MATCH(C1036,'Infos Clientes'!$H:$H,0))),"&gt;="&amp;0,'Infos Clientes'!$W$2:$CZ$2,"&gt;"&amp;$R1036-365,'Infos Clientes'!$W$2:$CZ$2,"&lt;="&amp;$R1036),""),"")</f>
        <v>115.45454545454545</v>
      </c>
      <c r="CB1036" s="87">
        <f>VLOOKUP(C1036,'Infos Clientes'!B:L,11,0)</f>
        <v>0</v>
      </c>
      <c r="CC1036" s="88" t="str">
        <f t="shared" si="631"/>
        <v>A Unidade Consumidora 10/226667-4 economizou R$12,99 na fatura referente à nov/2025  consumindo 51 kWh em créditos de energia renovável conforme fatura de energia. A economia foi de 21% em relação ao que seria pago para a Energisa considerando os créditos consumidos. Atenção: Mantenha as contas da Energisa em dia para evitar cortes.</v>
      </c>
      <c r="CF1036" s="115">
        <f t="shared" si="632"/>
        <v>-91.45999999999998</v>
      </c>
    </row>
    <row r="1037" spans="3:84" ht="16.2" customHeight="1" x14ac:dyDescent="0.3">
      <c r="C1037" s="31" t="s">
        <v>45</v>
      </c>
      <c r="D1037" s="31" t="s">
        <v>351</v>
      </c>
      <c r="E1037" s="31" t="s">
        <v>352</v>
      </c>
      <c r="F1037" s="56" t="str">
        <f>INDEX('Infos Clientes'!$I:$I,MATCH('Detalhe Por UC'!C1037,'Infos Clientes'!B:B,0))</f>
        <v>BT</v>
      </c>
      <c r="G1037" s="56" t="str">
        <f>INDEX('Infos Clientes'!$J:$J,MATCH('Detalhe Por UC'!C1037,'Infos Clientes'!B:B,0))</f>
        <v>trifasico</v>
      </c>
      <c r="H1037" s="156" t="s">
        <v>24</v>
      </c>
      <c r="I1037" s="58">
        <f>IFERROR(VLOOKUP(C1037,'Infos Clientes'!B:E,4,),"")</f>
        <v>994</v>
      </c>
      <c r="J1037" s="157">
        <v>0.21</v>
      </c>
      <c r="K1037" s="79">
        <f>INDEX('Resumo Operacional'!$A$1:$P$151,MATCH("Desconto percentual Ucs",'Resumo Operacional'!$B$1:$B$151,0),MATCH('Detalhe Por UC'!$R1037,'Resumo Operacional'!$A$1:$P$1,0))</f>
        <v>0.21</v>
      </c>
      <c r="M1037" s="56"/>
      <c r="N1037" s="56"/>
      <c r="O1037" s="56"/>
      <c r="P1037" s="56"/>
      <c r="Q1037" s="61"/>
      <c r="R1037" s="111">
        <v>45962</v>
      </c>
      <c r="S1037" s="152">
        <v>7.1000000000000004E-3</v>
      </c>
      <c r="T1037" s="113">
        <f>IF($H1037="GIROSSOL II",AP1037/INDEX('Resumo Operacional'!$A$1:$P$1103,17,MATCH('Detalhe Por UC'!$R1037,'Resumo Operacional'!$A$1:$P$1,0)),
IF($H1037="GIROSSOL II e III",AP1037/INDEX('Resumo Operacional'!$A$1:$P$1103,17,MATCH('Detalhe Por UC'!$R1037,'Resumo Operacional'!$A$1:$P$1,0)),
""))</f>
        <v>7.6441408473611446E-3</v>
      </c>
      <c r="U1037" s="113" t="str">
        <f>IF($H1037="GIROSSOL III",AP1037/INDEX('Resumo Operacional'!$A$1:$P$1103,53,MATCH('Detalhe Por UC'!$R1037,'Resumo Operacional'!$A$1:$P$1,0)),
IF($H1037="GIROSSOL II e III",AP1037/INDEX('Resumo Operacional'!$A$1:$P$1103,53,MATCH('Detalhe Por UC'!$R1037,'Resumo Operacional'!$A$1:$P$1,0)),
""))</f>
        <v/>
      </c>
      <c r="X1037">
        <v>1.2128066225165561</v>
      </c>
      <c r="Z1037">
        <v>1.212809900990099</v>
      </c>
      <c r="AB1037">
        <v>302</v>
      </c>
      <c r="AD1037">
        <v>202</v>
      </c>
      <c r="AF1037">
        <v>369</v>
      </c>
      <c r="AG1037">
        <v>0</v>
      </c>
      <c r="AH1037">
        <v>71.790000000000006</v>
      </c>
      <c r="AK1037">
        <v>193.07</v>
      </c>
      <c r="AL1037" s="43">
        <v>0</v>
      </c>
      <c r="AN1037" s="71">
        <f t="shared" si="599"/>
        <v>-108</v>
      </c>
      <c r="AO1037" s="71">
        <f t="shared" si="600"/>
        <v>0</v>
      </c>
      <c r="AP1037" s="71">
        <f t="shared" si="601"/>
        <v>94</v>
      </c>
      <c r="AQ1037" s="72">
        <f>IF(OR($H1037="GIROSSOL II",$H1037="GIROSSOL II e III"),INDEX('Resumo Operacional'!$A$1:$P$1103,MATCH("Energia Injetada prevista total Fatura da Usina (TUSD)",'Resumo Operacional'!$B$1:$B$1103,0),MATCH('Detalhe Por UC'!$R1037,'Resumo Operacional'!$A$1:$P$1,0))*$S1037,INDEX('Resumo Operacional'!$A$1:$P$1103,53,MATCH('Detalhe Por UC'!$R1037,'Resumo Operacional'!$A$1:$P$1,0))*$S1037)</f>
        <v>87.308700000000002</v>
      </c>
      <c r="AR1037" s="71">
        <f t="shared" si="602"/>
        <v>6.6912999999999982</v>
      </c>
      <c r="AS1037" s="73">
        <f t="shared" si="603"/>
        <v>193.07</v>
      </c>
      <c r="AT1037" s="74">
        <f t="shared" si="604"/>
        <v>193.07</v>
      </c>
      <c r="AU1037" s="74">
        <f t="shared" si="605"/>
        <v>1.2128131794636419</v>
      </c>
      <c r="AV1037" s="74">
        <f t="shared" si="606"/>
        <v>193.54020400000002</v>
      </c>
      <c r="AW1037" s="74">
        <f t="shared" si="607"/>
        <v>0</v>
      </c>
      <c r="AX1037" s="74">
        <f t="shared" si="608"/>
        <v>244.98759999999999</v>
      </c>
      <c r="AY1037" s="74">
        <f t="shared" si="609"/>
        <v>193.54</v>
      </c>
      <c r="AZ1037" s="129">
        <v>193.54</v>
      </c>
      <c r="BA1037" s="117"/>
      <c r="BC1037" s="73" t="str">
        <f t="shared" si="610"/>
        <v/>
      </c>
      <c r="BD1037" s="73">
        <f t="shared" si="611"/>
        <v>438.05759999999998</v>
      </c>
      <c r="BE1037" s="73">
        <f t="shared" si="612"/>
        <v>386.61020400000001</v>
      </c>
      <c r="BF1037" s="77">
        <f t="shared" si="613"/>
        <v>51.45</v>
      </c>
      <c r="BG1037" s="77">
        <f t="shared" si="614"/>
        <v>15.435</v>
      </c>
      <c r="BH1037" s="77">
        <f t="shared" si="615"/>
        <v>244.98759999999999</v>
      </c>
      <c r="BI1037" s="78">
        <f t="shared" si="616"/>
        <v>0.21</v>
      </c>
      <c r="BJ1037" s="79">
        <f t="shared" si="617"/>
        <v>0.11745030790471392</v>
      </c>
      <c r="BK1037" s="80">
        <f t="shared" si="618"/>
        <v>386.61</v>
      </c>
      <c r="BL1037" s="80">
        <f t="shared" si="619"/>
        <v>51.447599999999966</v>
      </c>
      <c r="BM1037" s="79">
        <f t="shared" si="620"/>
        <v>0.11744482917314976</v>
      </c>
      <c r="BN1037" s="81">
        <f t="shared" si="621"/>
        <v>0.95811881188118808</v>
      </c>
      <c r="BO1037" s="82">
        <f t="shared" si="622"/>
        <v>193.54</v>
      </c>
      <c r="BP1037" s="81">
        <f t="shared" si="623"/>
        <v>0.95811881188118808</v>
      </c>
      <c r="BQ1037" s="81">
        <f t="shared" si="624"/>
        <v>0.95811553340764521</v>
      </c>
      <c r="BR1037" s="81">
        <f t="shared" si="625"/>
        <v>1.2128066225165561</v>
      </c>
      <c r="BS1037" s="82">
        <f t="shared" si="626"/>
        <v>202</v>
      </c>
      <c r="BT1037" s="82">
        <f t="shared" si="627"/>
        <v>244.98693774834433</v>
      </c>
      <c r="BU1037" s="82">
        <f t="shared" si="628"/>
        <v>244.98759999999999</v>
      </c>
      <c r="BW1037" s="82">
        <f>IFERROR(INDEX('Infos Clientes'!$T:$T,MATCH('Detalhe Por UC'!$C1037,'Infos Clientes'!B:B,0)),"")</f>
        <v>362.41666666666669</v>
      </c>
      <c r="BX1037" s="83">
        <f t="shared" si="629"/>
        <v>0</v>
      </c>
      <c r="BY1037" s="84">
        <f t="shared" si="630"/>
        <v>0.2100014003719988</v>
      </c>
      <c r="BZ1037" s="85">
        <f>IF(_xlfn.MINIFS('Detalhe Por UC'!R:R,'Detalhe Por UC'!C:C,C1037,'Detalhe Por UC'!AD:AD,"&gt;"&amp;0)=0,"",_xlfn.MINIFS('Detalhe Por UC'!R:R,'Detalhe Por UC'!C:C,C1037,'Detalhe Por UC'!AD:AD,"&gt;"&amp;0))</f>
        <v>45627</v>
      </c>
      <c r="CA1037" s="114">
        <f ca="1">IF(OR(S1037&gt;0,AD1037&gt;0),IFERROR(
SUMIFS(INDIRECT("'Infos Clientes'!$W"&amp;INDEX('Infos Clientes'!$C:$C,MATCH(C1037,'Infos Clientes'!$H:$H,0))&amp;":$CZ"&amp;INDEX('Infos Clientes'!$C:$C,MATCH(C1037,'Infos Clientes'!$H:$H,0))),'Infos Clientes'!$W$2:$CZ$2,"&gt;"&amp;$R1037-365,'Infos Clientes'!$W$2:$CZ$2,"&lt;="&amp;$R1037)/
COUNTIFS(INDIRECT("'Infos Clientes'!$W"&amp;INDEX('Infos Clientes'!$C:$C,MATCH(C1037,'Infos Clientes'!$H:$H,0))&amp;":$CZ"&amp;INDEX('Infos Clientes'!$C:$C,MATCH(C1037,'Infos Clientes'!$H:$H,0))),"&gt;="&amp;0,'Infos Clientes'!$W$2:$CZ$2,"&gt;"&amp;$R1037-365,'Infos Clientes'!$W$2:$CZ$2,"&lt;="&amp;$R1037),""),"")</f>
        <v>321.16666666666669</v>
      </c>
      <c r="CB1037" s="87">
        <f>VLOOKUP(C1037,'Infos Clientes'!B:L,11,0)</f>
        <v>0</v>
      </c>
      <c r="CC1037" s="88" t="str">
        <f t="shared" si="631"/>
        <v>A Unidade Consumidora 10/156956-5 economizou R$51,45 na fatura referente à nov/2025  consumindo 202 kWh em créditos de energia renovável conforme fatura de energia. A economia foi de 21% em relação ao que seria pago para a Energisa considerando os créditos consumidos. Atenção: Mantenha as contas da Energisa em dia para evitar cortes.</v>
      </c>
      <c r="CF1037" s="115">
        <f t="shared" si="632"/>
        <v>-193.07</v>
      </c>
    </row>
    <row r="1038" spans="3:84" ht="16.2" customHeight="1" x14ac:dyDescent="0.3">
      <c r="C1038" s="31" t="s">
        <v>41</v>
      </c>
      <c r="D1038" s="31" t="s">
        <v>351</v>
      </c>
      <c r="E1038" s="31" t="s">
        <v>352</v>
      </c>
      <c r="F1038" s="56" t="str">
        <f>INDEX('Infos Clientes'!$I:$I,MATCH('Detalhe Por UC'!C1038,'Infos Clientes'!B:B,0))</f>
        <v>BT</v>
      </c>
      <c r="G1038" s="56" t="str">
        <f>INDEX('Infos Clientes'!$J:$J,MATCH('Detalhe Por UC'!C1038,'Infos Clientes'!B:B,0))</f>
        <v>monofasico</v>
      </c>
      <c r="H1038" s="156" t="s">
        <v>24</v>
      </c>
      <c r="I1038" s="58">
        <f>IFERROR(VLOOKUP(C1038,'Infos Clientes'!B:E,4,),"")</f>
        <v>349</v>
      </c>
      <c r="J1038" s="157">
        <v>0.21</v>
      </c>
      <c r="K1038" s="79">
        <f>INDEX('Resumo Operacional'!$A$1:$P$151,MATCH("Desconto percentual Ucs",'Resumo Operacional'!$B$1:$B$151,0),MATCH('Detalhe Por UC'!$R1038,'Resumo Operacional'!$A$1:$P$1,0))</f>
        <v>0.21</v>
      </c>
      <c r="M1038" s="56"/>
      <c r="N1038" s="56"/>
      <c r="O1038" s="56"/>
      <c r="P1038" s="56"/>
      <c r="Q1038" s="61"/>
      <c r="R1038" s="111">
        <v>45962</v>
      </c>
      <c r="S1038" s="152">
        <v>6.6E-3</v>
      </c>
      <c r="T1038" s="113">
        <f>IF($H1038="GIROSSOL II",AP1038/INDEX('Resumo Operacional'!$A$1:$P$1103,17,MATCH('Detalhe Por UC'!$R1038,'Resumo Operacional'!$A$1:$P$1,0)),
IF($H1038="GIROSSOL II e III",AP1038/INDEX('Resumo Operacional'!$A$1:$P$1103,17,MATCH('Detalhe Por UC'!$R1038,'Resumo Operacional'!$A$1:$P$1,0)),
""))</f>
        <v>1.1628852565666422E-2</v>
      </c>
      <c r="U1038" s="113" t="str">
        <f>IF($H1038="GIROSSOL III",AP1038/INDEX('Resumo Operacional'!$A$1:$P$1103,53,MATCH('Detalhe Por UC'!$R1038,'Resumo Operacional'!$A$1:$P$1,0)),
IF($H1038="GIROSSOL II e III",AP1038/INDEX('Resumo Operacional'!$A$1:$P$1103,53,MATCH('Detalhe Por UC'!$R1038,'Resumo Operacional'!$A$1:$P$1,0)),
""))</f>
        <v/>
      </c>
      <c r="X1038" s="158">
        <v>1.2129037267080744</v>
      </c>
      <c r="Y1038" s="158"/>
      <c r="Z1038" s="158">
        <v>1.1963721804511278</v>
      </c>
      <c r="AA1038" s="158"/>
      <c r="AB1038" s="158">
        <v>161</v>
      </c>
      <c r="AC1038" s="158"/>
      <c r="AD1038" s="158">
        <v>133</v>
      </c>
      <c r="AE1038" s="158"/>
      <c r="AF1038" s="158">
        <v>10</v>
      </c>
      <c r="AG1038" s="158">
        <v>0</v>
      </c>
      <c r="AH1038" s="158">
        <v>62.47</v>
      </c>
      <c r="AI1038" s="158"/>
      <c r="AJ1038" s="158"/>
      <c r="AK1038" s="158">
        <v>98.63</v>
      </c>
      <c r="AL1038" s="43">
        <f>AK1038-AT1038</f>
        <v>0</v>
      </c>
      <c r="AN1038" s="71">
        <f t="shared" si="599"/>
        <v>10</v>
      </c>
      <c r="AO1038" s="71">
        <f t="shared" si="600"/>
        <v>0</v>
      </c>
      <c r="AP1038" s="71">
        <f t="shared" si="601"/>
        <v>143</v>
      </c>
      <c r="AQ1038" s="72">
        <f>IF(OR($H1038="GIROSSOL II",$H1038="GIROSSOL II e III"),INDEX('Resumo Operacional'!$A$1:$P$1103,MATCH("Energia Injetada prevista total Fatura da Usina (TUSD)",'Resumo Operacional'!$B$1:$B$1103,0),MATCH('Detalhe Por UC'!$R1038,'Resumo Operacional'!$A$1:$P$1,0))*$S1038,INDEX('Resumo Operacional'!$A$1:$P$1103,53,MATCH('Detalhe Por UC'!$R1038,'Resumo Operacional'!$A$1:$P$1,0))*$S1038)</f>
        <v>81.160200000000003</v>
      </c>
      <c r="AR1038" s="71">
        <f t="shared" si="602"/>
        <v>61.839799999999997</v>
      </c>
      <c r="AS1038" s="73">
        <f t="shared" si="603"/>
        <v>98.629999999999967</v>
      </c>
      <c r="AT1038" s="74">
        <f t="shared" si="604"/>
        <v>98.629999999999967</v>
      </c>
      <c r="AU1038" s="74">
        <f t="shared" si="605"/>
        <v>1.1798406341941812</v>
      </c>
      <c r="AV1038" s="74">
        <f t="shared" si="606"/>
        <v>125.702825</v>
      </c>
      <c r="AW1038" s="74">
        <f t="shared" si="607"/>
        <v>0</v>
      </c>
      <c r="AX1038" s="74">
        <f t="shared" si="608"/>
        <v>159.11750000000001</v>
      </c>
      <c r="AY1038" s="74">
        <f t="shared" si="609"/>
        <v>125.7</v>
      </c>
      <c r="AZ1038" s="129">
        <v>125.7</v>
      </c>
      <c r="BC1038" s="73" t="str">
        <f t="shared" si="610"/>
        <v/>
      </c>
      <c r="BD1038" s="73">
        <f t="shared" si="611"/>
        <v>257.74749999999995</v>
      </c>
      <c r="BE1038" s="73">
        <f t="shared" si="612"/>
        <v>224.33282499999996</v>
      </c>
      <c r="BF1038" s="77">
        <f t="shared" si="613"/>
        <v>33.409999999999997</v>
      </c>
      <c r="BG1038" s="77">
        <f t="shared" si="614"/>
        <v>10.022999999999998</v>
      </c>
      <c r="BH1038" s="77">
        <f t="shared" si="615"/>
        <v>159.11749999999998</v>
      </c>
      <c r="BI1038" s="78">
        <f t="shared" si="616"/>
        <v>0.21</v>
      </c>
      <c r="BJ1038" s="79">
        <f t="shared" si="617"/>
        <v>0.12962298373408085</v>
      </c>
      <c r="BK1038" s="80">
        <f t="shared" si="618"/>
        <v>224.32999999999998</v>
      </c>
      <c r="BL1038" s="80">
        <f t="shared" si="619"/>
        <v>33.417499999999961</v>
      </c>
      <c r="BM1038" s="79">
        <f t="shared" si="620"/>
        <v>0.12965208197945652</v>
      </c>
      <c r="BN1038" s="81">
        <f t="shared" si="621"/>
        <v>0.94511278195488724</v>
      </c>
      <c r="BO1038" s="82">
        <f t="shared" si="622"/>
        <v>125.7</v>
      </c>
      <c r="BP1038" s="81">
        <f t="shared" si="623"/>
        <v>0.94511278195488724</v>
      </c>
      <c r="BQ1038" s="81">
        <f t="shared" si="624"/>
        <v>0.96164432821183388</v>
      </c>
      <c r="BR1038" s="81">
        <f t="shared" si="625"/>
        <v>1.2129037267080744</v>
      </c>
      <c r="BS1038" s="82">
        <f t="shared" si="626"/>
        <v>133</v>
      </c>
      <c r="BT1038" s="82">
        <f t="shared" si="627"/>
        <v>161.31619565217389</v>
      </c>
      <c r="BU1038" s="82">
        <f t="shared" si="628"/>
        <v>159.11750000000001</v>
      </c>
      <c r="BW1038" s="82">
        <f>IFERROR(INDEX('Infos Clientes'!$T:$T,MATCH('Detalhe Por UC'!$C1038,'Infos Clientes'!B:B,0)),"")</f>
        <v>156.25</v>
      </c>
      <c r="BX1038" s="83">
        <f t="shared" si="629"/>
        <v>0</v>
      </c>
      <c r="BY1038" s="84">
        <f t="shared" si="630"/>
        <v>0.20715526959273206</v>
      </c>
      <c r="BZ1038" s="85">
        <f>IF(_xlfn.MINIFS('Detalhe Por UC'!R:R,'Detalhe Por UC'!C:C,C1038,'Detalhe Por UC'!AD:AD,"&gt;"&amp;0)=0,"",_xlfn.MINIFS('Detalhe Por UC'!R:R,'Detalhe Por UC'!C:C,C1038,'Detalhe Por UC'!AD:AD,"&gt;"&amp;0))</f>
        <v>45627</v>
      </c>
      <c r="CA1038" s="114">
        <f ca="1">IF(OR(S1038&gt;0,AD1038&gt;0),IFERROR(
SUMIFS(INDIRECT("'Infos Clientes'!$W"&amp;INDEX('Infos Clientes'!$C:$C,MATCH(C1038,'Infos Clientes'!$H:$H,0))&amp;":$CZ"&amp;INDEX('Infos Clientes'!$C:$C,MATCH(C1038,'Infos Clientes'!$H:$H,0))),'Infos Clientes'!$W$2:$CZ$2,"&gt;"&amp;$R1038-365,'Infos Clientes'!$W$2:$CZ$2,"&lt;="&amp;$R1038)/
COUNTIFS(INDIRECT("'Infos Clientes'!$W"&amp;INDEX('Infos Clientes'!$C:$C,MATCH(C1038,'Infos Clientes'!$H:$H,0))&amp;":$CZ"&amp;INDEX('Infos Clientes'!$C:$C,MATCH(C1038,'Infos Clientes'!$H:$H,0))),"&gt;="&amp;0,'Infos Clientes'!$W$2:$CZ$2,"&gt;"&amp;$R1038-365,'Infos Clientes'!$W$2:$CZ$2,"&lt;="&amp;$R1038),""),"")</f>
        <v>152.91666666666666</v>
      </c>
      <c r="CB1038" s="87">
        <f>VLOOKUP(C1038,'Infos Clientes'!B:L,11,0)</f>
        <v>0</v>
      </c>
      <c r="CC1038" s="88" t="str">
        <f t="shared" si="631"/>
        <v>A Unidade Consumidora 10/1548741-6 economizou R$33,41 na fatura referente à nov/2025  consumindo 133 kWh em créditos de energia renovável conforme fatura de energia. A economia foi de 21% em relação ao que seria pago para a Energisa considerando os créditos consumidos. Atenção: Mantenha as contas da Energisa em dia para evitar cortes.</v>
      </c>
      <c r="CF1038" s="115">
        <f t="shared" si="632"/>
        <v>-98.629999999999967</v>
      </c>
    </row>
    <row r="1039" spans="3:84" ht="16.2" customHeight="1" x14ac:dyDescent="0.3">
      <c r="C1039" s="31" t="s">
        <v>81</v>
      </c>
      <c r="D1039" s="31" t="s">
        <v>351</v>
      </c>
      <c r="E1039" s="31" t="s">
        <v>352</v>
      </c>
      <c r="F1039" s="56" t="str">
        <f>INDEX('Infos Clientes'!$I:$I,MATCH('Detalhe Por UC'!C1039,'Infos Clientes'!B:B,0))</f>
        <v>BT</v>
      </c>
      <c r="G1039" s="56" t="str">
        <f>INDEX('Infos Clientes'!$J:$J,MATCH('Detalhe Por UC'!C1039,'Infos Clientes'!B:B,0))</f>
        <v>bifasico</v>
      </c>
      <c r="H1039" s="156" t="s">
        <v>24</v>
      </c>
      <c r="I1039" s="58">
        <f>IFERROR(VLOOKUP(C1039,'Infos Clientes'!B:E,4,),"")</f>
        <v>362</v>
      </c>
      <c r="J1039" s="157">
        <v>0.21</v>
      </c>
      <c r="K1039" s="79">
        <f>INDEX('Resumo Operacional'!$A$1:$P$151,MATCH("Desconto percentual Ucs",'Resumo Operacional'!$B$1:$B$151,0),MATCH('Detalhe Por UC'!$R1039,'Resumo Operacional'!$A$1:$P$1,0))</f>
        <v>0.21</v>
      </c>
      <c r="M1039" s="56"/>
      <c r="N1039" s="56"/>
      <c r="O1039" s="56"/>
      <c r="P1039" s="56"/>
      <c r="Q1039" s="61"/>
      <c r="R1039" s="111">
        <v>45962</v>
      </c>
      <c r="S1039" s="152">
        <v>6.4999999999999997E-3</v>
      </c>
      <c r="T1039" s="113">
        <f>IF($H1039="GIROSSOL II",AP1039/INDEX('Resumo Operacional'!$A$1:$P$1103,17,MATCH('Detalhe Por UC'!$R1039,'Resumo Operacional'!$A$1:$P$1,0)),
IF($H1039="GIROSSOL II e III",AP1039/INDEX('Resumo Operacional'!$A$1:$P$1103,17,MATCH('Detalhe Por UC'!$R1039,'Resumo Operacional'!$A$1:$P$1,0)),
""))</f>
        <v>6.9935756688623242E-3</v>
      </c>
      <c r="U1039" s="113" t="str">
        <f>IF($H1039="GIROSSOL III",AP1039/INDEX('Resumo Operacional'!$A$1:$P$1103,53,MATCH('Detalhe Por UC'!$R1039,'Resumo Operacional'!$A$1:$P$1,0)),
IF($H1039="GIROSSOL II e III",AP1039/INDEX('Resumo Operacional'!$A$1:$P$1103,53,MATCH('Detalhe Por UC'!$R1039,'Resumo Operacional'!$A$1:$P$1,0)),
""))</f>
        <v/>
      </c>
      <c r="X1039">
        <v>1.2125130434782609</v>
      </c>
      <c r="Z1039">
        <v>1.2122842105263159</v>
      </c>
      <c r="AB1039">
        <v>69</v>
      </c>
      <c r="AD1039">
        <v>19</v>
      </c>
      <c r="AF1039">
        <v>453</v>
      </c>
      <c r="AG1039">
        <v>0</v>
      </c>
      <c r="AH1039">
        <v>14.12</v>
      </c>
      <c r="AK1039">
        <v>74.75</v>
      </c>
      <c r="AL1039" s="43">
        <v>0</v>
      </c>
      <c r="AN1039" s="71">
        <f t="shared" si="599"/>
        <v>67</v>
      </c>
      <c r="AO1039" s="71">
        <f t="shared" si="600"/>
        <v>0</v>
      </c>
      <c r="AP1039" s="71">
        <f t="shared" si="601"/>
        <v>86</v>
      </c>
      <c r="AQ1039" s="72">
        <f>IF(OR($H1039="GIROSSOL II",$H1039="GIROSSOL II e III"),INDEX('Resumo Operacional'!$A$1:$P$1103,MATCH("Energia Injetada prevista total Fatura da Usina (TUSD)",'Resumo Operacional'!$B$1:$B$1103,0),MATCH('Detalhe Por UC'!$R1039,'Resumo Operacional'!$A$1:$P$1,0))*$S1039,INDEX('Resumo Operacional'!$A$1:$P$1103,53,MATCH('Detalhe Por UC'!$R1039,'Resumo Operacional'!$A$1:$P$1,0))*$S1039)</f>
        <v>79.930499999999995</v>
      </c>
      <c r="AR1039" s="71">
        <f t="shared" si="602"/>
        <v>6.069500000000005</v>
      </c>
      <c r="AS1039" s="73">
        <f t="shared" si="603"/>
        <v>74.750000000000014</v>
      </c>
      <c r="AT1039" s="74">
        <f t="shared" si="604"/>
        <v>74.750000000000014</v>
      </c>
      <c r="AU1039" s="74">
        <f t="shared" si="605"/>
        <v>1.2120553775743708</v>
      </c>
      <c r="AV1039" s="74">
        <f t="shared" si="606"/>
        <v>18.196386000000004</v>
      </c>
      <c r="AW1039" s="74">
        <f t="shared" si="607"/>
        <v>0</v>
      </c>
      <c r="AX1039" s="74">
        <f t="shared" si="608"/>
        <v>23.0334</v>
      </c>
      <c r="AY1039" s="74">
        <f t="shared" si="609"/>
        <v>18.2</v>
      </c>
      <c r="AZ1039" s="129">
        <v>18.2</v>
      </c>
      <c r="BA1039" s="117"/>
      <c r="BC1039" s="73" t="str">
        <f t="shared" si="610"/>
        <v/>
      </c>
      <c r="BD1039" s="73">
        <f t="shared" si="611"/>
        <v>97.783400000000015</v>
      </c>
      <c r="BE1039" s="73">
        <f t="shared" si="612"/>
        <v>92.946386000000018</v>
      </c>
      <c r="BF1039" s="77">
        <f t="shared" si="613"/>
        <v>4.84</v>
      </c>
      <c r="BG1039" s="77">
        <f t="shared" si="614"/>
        <v>1.452</v>
      </c>
      <c r="BH1039" s="77">
        <f t="shared" si="615"/>
        <v>23.0334</v>
      </c>
      <c r="BI1039" s="78">
        <f t="shared" si="616"/>
        <v>0.21</v>
      </c>
      <c r="BJ1039" s="79">
        <f t="shared" si="617"/>
        <v>4.9497153913649956E-2</v>
      </c>
      <c r="BK1039" s="80">
        <f t="shared" si="618"/>
        <v>92.950000000000017</v>
      </c>
      <c r="BL1039" s="80">
        <f t="shared" si="619"/>
        <v>4.8333999999999975</v>
      </c>
      <c r="BM1039" s="79">
        <f t="shared" si="620"/>
        <v>4.9429657794676771E-2</v>
      </c>
      <c r="BN1039" s="81">
        <f t="shared" si="621"/>
        <v>0.95789473684210524</v>
      </c>
      <c r="BO1039" s="82">
        <f t="shared" si="622"/>
        <v>18.2</v>
      </c>
      <c r="BP1039" s="81">
        <f t="shared" si="623"/>
        <v>0.95789473684210524</v>
      </c>
      <c r="BQ1039" s="81">
        <f t="shared" si="624"/>
        <v>0.95812356979405033</v>
      </c>
      <c r="BR1039" s="81">
        <f t="shared" si="625"/>
        <v>1.2125130434782609</v>
      </c>
      <c r="BS1039" s="82">
        <f t="shared" si="626"/>
        <v>19</v>
      </c>
      <c r="BT1039" s="82">
        <f t="shared" si="627"/>
        <v>23.037747826086957</v>
      </c>
      <c r="BU1039" s="82">
        <f t="shared" si="628"/>
        <v>23.0334</v>
      </c>
      <c r="BW1039" s="82">
        <f>IFERROR(INDEX('Infos Clientes'!$T:$T,MATCH('Detalhe Por UC'!$C1039,'Infos Clientes'!B:B,0)),"")</f>
        <v>153.91666666666666</v>
      </c>
      <c r="BX1039" s="83">
        <f t="shared" si="629"/>
        <v>0</v>
      </c>
      <c r="BY1039" s="84">
        <f t="shared" si="630"/>
        <v>0.20980349452939434</v>
      </c>
      <c r="BZ1039" s="85">
        <f>IF(_xlfn.MINIFS('Detalhe Por UC'!R:R,'Detalhe Por UC'!C:C,C1039,'Detalhe Por UC'!AD:AD,"&gt;"&amp;0)=0,"",_xlfn.MINIFS('Detalhe Por UC'!R:R,'Detalhe Por UC'!C:C,C1039,'Detalhe Por UC'!AD:AD,"&gt;"&amp;0))</f>
        <v>45627</v>
      </c>
      <c r="CA1039" s="114">
        <f ca="1">IF(OR(S1039&gt;0,AD1039&gt;0),IFERROR(
SUMIFS(INDIRECT("'Infos Clientes'!$W"&amp;INDEX('Infos Clientes'!$C:$C,MATCH(C1039,'Infos Clientes'!$H:$H,0))&amp;":$CZ"&amp;INDEX('Infos Clientes'!$C:$C,MATCH(C1039,'Infos Clientes'!$H:$H,0))),'Infos Clientes'!$W$2:$CZ$2,"&gt;"&amp;$R1039-365,'Infos Clientes'!$W$2:$CZ$2,"&lt;="&amp;$R1039)/
COUNTIFS(INDIRECT("'Infos Clientes'!$W"&amp;INDEX('Infos Clientes'!$C:$C,MATCH(C1039,'Infos Clientes'!$H:$H,0))&amp;":$CZ"&amp;INDEX('Infos Clientes'!$C:$C,MATCH(C1039,'Infos Clientes'!$H:$H,0))),"&gt;="&amp;0,'Infos Clientes'!$W$2:$CZ$2,"&gt;"&amp;$R1039-365,'Infos Clientes'!$W$2:$CZ$2,"&lt;="&amp;$R1039),""),"")</f>
        <v>154.91666666666666</v>
      </c>
      <c r="CB1039" s="87">
        <f>VLOOKUP(C1039,'Infos Clientes'!B:L,11,0)</f>
        <v>0</v>
      </c>
      <c r="CC1039" s="88" t="str">
        <f t="shared" si="631"/>
        <v>A Unidade Consumidora 10/257864-9 economizou R$4,84 na fatura referente à nov/2025  consumindo 19 kWh em créditos de energia renovável conforme fatura de energia. A economia foi de 21% em relação ao que seria pago para a Energisa considerando os créditos consumidos. Atenção: Mantenha as contas da Energisa em dia para evitar cortes.</v>
      </c>
      <c r="CF1039" s="115">
        <f t="shared" si="632"/>
        <v>-74.750000000000014</v>
      </c>
    </row>
    <row r="1040" spans="3:84" ht="16.2" customHeight="1" x14ac:dyDescent="0.3">
      <c r="C1040" s="31" t="s">
        <v>38</v>
      </c>
      <c r="D1040" s="31" t="s">
        <v>351</v>
      </c>
      <c r="E1040" s="31" t="s">
        <v>352</v>
      </c>
      <c r="F1040" s="56" t="str">
        <f>INDEX('Infos Clientes'!$I:$I,MATCH('Detalhe Por UC'!C1040,'Infos Clientes'!B:B,0))</f>
        <v>BT</v>
      </c>
      <c r="G1040" s="56" t="str">
        <f>INDEX('Infos Clientes'!$J:$J,MATCH('Detalhe Por UC'!C1040,'Infos Clientes'!B:B,0))</f>
        <v>trifasico</v>
      </c>
      <c r="H1040" s="156" t="s">
        <v>24</v>
      </c>
      <c r="I1040" s="58">
        <f>IFERROR(VLOOKUP(C1040,'Infos Clientes'!B:E,4,),"")</f>
        <v>351</v>
      </c>
      <c r="J1040" s="157">
        <v>0.21</v>
      </c>
      <c r="K1040" s="79">
        <f>INDEX('Resumo Operacional'!$A$1:$P$151,MATCH("Desconto percentual Ucs",'Resumo Operacional'!$B$1:$B$151,0),MATCH('Detalhe Por UC'!$R1040,'Resumo Operacional'!$A$1:$P$1,0))</f>
        <v>0.21</v>
      </c>
      <c r="M1040" s="56"/>
      <c r="N1040" s="56"/>
      <c r="O1040" s="56"/>
      <c r="P1040" s="56"/>
      <c r="Q1040" s="61"/>
      <c r="R1040" s="111">
        <v>45962</v>
      </c>
      <c r="S1040" s="152">
        <v>3.7000000000000002E-3</v>
      </c>
      <c r="T1040" s="113">
        <f>IF($H1040="GIROSSOL II",AP1040/INDEX('Resumo Operacional'!$A$1:$P$1103,17,MATCH('Detalhe Por UC'!$R1040,'Resumo Operacional'!$A$1:$P$1,0)),
IF($H1040="GIROSSOL II e III",AP1040/INDEX('Resumo Operacional'!$A$1:$P$1103,17,MATCH('Detalhe Por UC'!$R1040,'Resumo Operacional'!$A$1:$P$1,0)),
""))</f>
        <v>7.6441408473611446E-3</v>
      </c>
      <c r="U1040" s="113" t="str">
        <f>IF($H1040="GIROSSOL III",AP1040/INDEX('Resumo Operacional'!$A$1:$P$1103,53,MATCH('Detalhe Por UC'!$R1040,'Resumo Operacional'!$A$1:$P$1,0)),
IF($H1040="GIROSSOL II e III",AP1040/INDEX('Resumo Operacional'!$A$1:$P$1103,53,MATCH('Detalhe Por UC'!$R1040,'Resumo Operacional'!$A$1:$P$1,0)),
""))</f>
        <v/>
      </c>
      <c r="X1040">
        <v>1.2126814814814815</v>
      </c>
      <c r="Z1040">
        <v>1.2126655172413794</v>
      </c>
      <c r="AB1040">
        <v>216</v>
      </c>
      <c r="AD1040">
        <v>116</v>
      </c>
      <c r="AF1040">
        <v>988</v>
      </c>
      <c r="AG1040">
        <v>0</v>
      </c>
      <c r="AH1040">
        <v>20.46</v>
      </c>
      <c r="AK1040">
        <v>141.72999999999999</v>
      </c>
      <c r="AL1040" s="43">
        <v>0</v>
      </c>
      <c r="AN1040" s="71">
        <f t="shared" si="599"/>
        <v>-22</v>
      </c>
      <c r="AO1040" s="71">
        <f t="shared" si="600"/>
        <v>0</v>
      </c>
      <c r="AP1040" s="71">
        <f t="shared" si="601"/>
        <v>94</v>
      </c>
      <c r="AQ1040" s="72">
        <f>IF(OR($H1040="GIROSSOL II",$H1040="GIROSSOL II e III"),INDEX('Resumo Operacional'!$A$1:$P$1103,MATCH("Energia Injetada prevista total Fatura da Usina (TUSD)",'Resumo Operacional'!$B$1:$B$1103,0),MATCH('Detalhe Por UC'!$R1040,'Resumo Operacional'!$A$1:$P$1,0))*$S1040,INDEX('Resumo Operacional'!$A$1:$P$1103,53,MATCH('Detalhe Por UC'!$R1040,'Resumo Operacional'!$A$1:$P$1,0))*$S1040)</f>
        <v>45.498899999999999</v>
      </c>
      <c r="AR1040" s="71">
        <f t="shared" si="602"/>
        <v>48.501100000000001</v>
      </c>
      <c r="AS1040" s="73">
        <f t="shared" si="603"/>
        <v>141.72999999999996</v>
      </c>
      <c r="AT1040" s="74">
        <f t="shared" si="604"/>
        <v>141.72999999999996</v>
      </c>
      <c r="AU1040" s="74">
        <f t="shared" si="605"/>
        <v>1.2126495530012773</v>
      </c>
      <c r="AV1040" s="74">
        <f t="shared" si="606"/>
        <v>111.128668</v>
      </c>
      <c r="AW1040" s="74">
        <f t="shared" si="607"/>
        <v>0</v>
      </c>
      <c r="AX1040" s="74">
        <f t="shared" si="608"/>
        <v>140.66920000000002</v>
      </c>
      <c r="AY1040" s="74">
        <f t="shared" si="609"/>
        <v>111.13</v>
      </c>
      <c r="AZ1040" s="129">
        <v>111.13</v>
      </c>
      <c r="BA1040" s="117"/>
      <c r="BC1040" s="73" t="str">
        <f t="shared" si="610"/>
        <v/>
      </c>
      <c r="BD1040" s="73">
        <f t="shared" si="611"/>
        <v>282.39919999999995</v>
      </c>
      <c r="BE1040" s="73">
        <f t="shared" si="612"/>
        <v>252.85866799999997</v>
      </c>
      <c r="BF1040" s="77">
        <f t="shared" si="613"/>
        <v>29.54</v>
      </c>
      <c r="BG1040" s="77">
        <f t="shared" si="614"/>
        <v>8.8620000000000001</v>
      </c>
      <c r="BH1040" s="77">
        <f t="shared" si="615"/>
        <v>140.66919999999999</v>
      </c>
      <c r="BI1040" s="78">
        <f t="shared" si="616"/>
        <v>0.21</v>
      </c>
      <c r="BJ1040" s="79">
        <f t="shared" si="617"/>
        <v>0.10460369576117781</v>
      </c>
      <c r="BK1040" s="80">
        <f t="shared" si="618"/>
        <v>252.85999999999996</v>
      </c>
      <c r="BL1040" s="80">
        <f t="shared" si="619"/>
        <v>29.539199999999994</v>
      </c>
      <c r="BM1040" s="79">
        <f t="shared" si="620"/>
        <v>0.10460086289196287</v>
      </c>
      <c r="BN1040" s="81">
        <f t="shared" si="621"/>
        <v>0.95801724137931032</v>
      </c>
      <c r="BO1040" s="82">
        <f t="shared" si="622"/>
        <v>111.13</v>
      </c>
      <c r="BP1040" s="81">
        <f t="shared" si="623"/>
        <v>0.95801724137931032</v>
      </c>
      <c r="BQ1040" s="81">
        <f t="shared" si="624"/>
        <v>0.95803320561941241</v>
      </c>
      <c r="BR1040" s="81">
        <f t="shared" si="625"/>
        <v>1.2126814814814815</v>
      </c>
      <c r="BS1040" s="82">
        <f t="shared" si="626"/>
        <v>116</v>
      </c>
      <c r="BT1040" s="82">
        <f t="shared" si="627"/>
        <v>140.67105185185184</v>
      </c>
      <c r="BU1040" s="82">
        <f t="shared" si="628"/>
        <v>140.66920000000002</v>
      </c>
      <c r="BW1040" s="82">
        <f>IFERROR(INDEX('Infos Clientes'!$T:$T,MATCH('Detalhe Por UC'!$C1040,'Infos Clientes'!B:B,0)),"")</f>
        <v>134.36363636363637</v>
      </c>
      <c r="BX1040" s="83">
        <f t="shared" si="629"/>
        <v>0</v>
      </c>
      <c r="BY1040" s="84">
        <f t="shared" si="630"/>
        <v>0.20998776657410162</v>
      </c>
      <c r="BZ1040" s="85">
        <f>IF(_xlfn.MINIFS('Detalhe Por UC'!R:R,'Detalhe Por UC'!C:C,C1040,'Detalhe Por UC'!AD:AD,"&gt;"&amp;0)=0,"",_xlfn.MINIFS('Detalhe Por UC'!R:R,'Detalhe Por UC'!C:C,C1040,'Detalhe Por UC'!AD:AD,"&gt;"&amp;0))</f>
        <v>45627</v>
      </c>
      <c r="CA1040" s="114">
        <f ca="1">IF(OR(S1040&gt;0,AD1040&gt;0),IFERROR(
SUMIFS(INDIRECT("'Infos Clientes'!$W"&amp;INDEX('Infos Clientes'!$C:$C,MATCH(C1040,'Infos Clientes'!$H:$H,0))&amp;":$CZ"&amp;INDEX('Infos Clientes'!$C:$C,MATCH(C1040,'Infos Clientes'!$H:$H,0))),'Infos Clientes'!$W$2:$CZ$2,"&gt;"&amp;$R1040-365,'Infos Clientes'!$W$2:$CZ$2,"&lt;="&amp;$R1040)/
COUNTIFS(INDIRECT("'Infos Clientes'!$W"&amp;INDEX('Infos Clientes'!$C:$C,MATCH(C1040,'Infos Clientes'!$H:$H,0))&amp;":$CZ"&amp;INDEX('Infos Clientes'!$C:$C,MATCH(C1040,'Infos Clientes'!$H:$H,0))),"&gt;="&amp;0,'Infos Clientes'!$W$2:$CZ$2,"&gt;"&amp;$R1040-365,'Infos Clientes'!$W$2:$CZ$2,"&lt;="&amp;$R1040),""),"")</f>
        <v>148.125</v>
      </c>
      <c r="CB1040" s="87">
        <f>VLOOKUP(C1040,'Infos Clientes'!B:L,11,0)</f>
        <v>0</v>
      </c>
      <c r="CC1040" s="88" t="str">
        <f t="shared" si="631"/>
        <v>A Unidade Consumidora 10/135237-6 economizou R$29,54 na fatura referente à nov/2025  consumindo 116 kWh em créditos de energia renovável conforme fatura de energia. A economia foi de 21% em relação ao que seria pago para a Energisa considerando os créditos consumidos. Atenção: Mantenha as contas da Energisa em dia para evitar cortes.</v>
      </c>
      <c r="CF1040" s="115">
        <f t="shared" si="632"/>
        <v>-141.72999999999996</v>
      </c>
    </row>
    <row r="1041" spans="3:84" ht="16.2" customHeight="1" x14ac:dyDescent="0.3">
      <c r="C1041" s="31" t="s">
        <v>129</v>
      </c>
      <c r="D1041" s="31" t="s">
        <v>351</v>
      </c>
      <c r="E1041" s="31" t="s">
        <v>352</v>
      </c>
      <c r="F1041" s="56" t="str">
        <f>INDEX('Infos Clientes'!$I:$I,MATCH('Detalhe Por UC'!C1041,'Infos Clientes'!B:B,0))</f>
        <v>BT</v>
      </c>
      <c r="G1041" s="56" t="str">
        <f>INDEX('Infos Clientes'!$J:$J,MATCH('Detalhe Por UC'!C1041,'Infos Clientes'!B:B,0))</f>
        <v>trifasico</v>
      </c>
      <c r="H1041" s="156" t="s">
        <v>24</v>
      </c>
      <c r="I1041" s="58">
        <f>IFERROR(VLOOKUP(C1041,'Infos Clientes'!B:E,4,),"")</f>
        <v>358</v>
      </c>
      <c r="J1041" s="157">
        <v>0.21</v>
      </c>
      <c r="K1041" s="79">
        <f>INDEX('Resumo Operacional'!$A$1:$P$151,MATCH("Desconto percentual Ucs",'Resumo Operacional'!$B$1:$B$151,0),MATCH('Detalhe Por UC'!$R1041,'Resumo Operacional'!$A$1:$P$1,0))</f>
        <v>0.21</v>
      </c>
      <c r="M1041" s="56"/>
      <c r="N1041" s="56"/>
      <c r="O1041" s="56"/>
      <c r="P1041" s="56"/>
      <c r="Q1041" s="61"/>
      <c r="R1041" s="111">
        <v>45962</v>
      </c>
      <c r="S1041" s="152">
        <v>2.8999999999999998E-3</v>
      </c>
      <c r="T1041" s="113">
        <f>IF($H1041="GIROSSOL II",AP1041/INDEX('Resumo Operacional'!$A$1:$P$1103,17,MATCH('Detalhe Por UC'!$R1041,'Resumo Operacional'!$A$1:$P$1,0)),
IF($H1041="GIROSSOL II e III",AP1041/INDEX('Resumo Operacional'!$A$1:$P$1103,17,MATCH('Detalhe Por UC'!$R1041,'Resumo Operacional'!$A$1:$P$1,0)),
""))</f>
        <v>3.0901845978693991E-3</v>
      </c>
      <c r="U1041" s="113" t="str">
        <f>IF($H1041="GIROSSOL III",AP1041/INDEX('Resumo Operacional'!$A$1:$P$1103,53,MATCH('Detalhe Por UC'!$R1041,'Resumo Operacional'!$A$1:$P$1,0)),
IF($H1041="GIROSSOL II e III",AP1041/INDEX('Resumo Operacional'!$A$1:$P$1103,53,MATCH('Detalhe Por UC'!$R1041,'Resumo Operacional'!$A$1:$P$1,0)),
""))</f>
        <v/>
      </c>
      <c r="X1041">
        <v>1.2126999999999999</v>
      </c>
      <c r="Z1041">
        <v>1.212609090909091</v>
      </c>
      <c r="AB1041">
        <v>210</v>
      </c>
      <c r="AD1041">
        <v>110</v>
      </c>
      <c r="AF1041">
        <v>1044</v>
      </c>
      <c r="AG1041">
        <v>0</v>
      </c>
      <c r="AH1041">
        <v>57.72</v>
      </c>
      <c r="AK1041">
        <v>179</v>
      </c>
      <c r="AL1041" s="43">
        <v>0</v>
      </c>
      <c r="AN1041" s="71">
        <f t="shared" si="599"/>
        <v>-72</v>
      </c>
      <c r="AO1041" s="71">
        <f t="shared" si="600"/>
        <v>0</v>
      </c>
      <c r="AP1041" s="71">
        <f t="shared" si="601"/>
        <v>38</v>
      </c>
      <c r="AQ1041" s="72">
        <f>IF(OR($H1041="GIROSSOL II",$H1041="GIROSSOL II e III"),INDEX('Resumo Operacional'!$A$1:$P$1103,MATCH("Energia Injetada prevista total Fatura da Usina (TUSD)",'Resumo Operacional'!$B$1:$B$1103,0),MATCH('Detalhe Por UC'!$R1041,'Resumo Operacional'!$A$1:$P$1,0))*$S1041,INDEX('Resumo Operacional'!$A$1:$P$1103,53,MATCH('Detalhe Por UC'!$R1041,'Resumo Operacional'!$A$1:$P$1,0))*$S1041)</f>
        <v>35.661299999999997</v>
      </c>
      <c r="AR1041" s="71">
        <f t="shared" si="602"/>
        <v>2.3387000000000029</v>
      </c>
      <c r="AS1041" s="73">
        <f t="shared" si="603"/>
        <v>178.99999999999997</v>
      </c>
      <c r="AT1041" s="74">
        <f t="shared" si="604"/>
        <v>178.99999999999997</v>
      </c>
      <c r="AU1041" s="74">
        <f t="shared" si="605"/>
        <v>1.2125181818181821</v>
      </c>
      <c r="AV1041" s="74">
        <f t="shared" si="606"/>
        <v>105.37573</v>
      </c>
      <c r="AW1041" s="74">
        <f t="shared" si="607"/>
        <v>0</v>
      </c>
      <c r="AX1041" s="74">
        <f t="shared" si="608"/>
        <v>133.387</v>
      </c>
      <c r="AY1041" s="74">
        <f t="shared" si="609"/>
        <v>105.38</v>
      </c>
      <c r="AZ1041" s="129">
        <v>105.38</v>
      </c>
      <c r="BA1041" s="117"/>
      <c r="BC1041" s="73" t="str">
        <f t="shared" si="610"/>
        <v/>
      </c>
      <c r="BD1041" s="73">
        <f t="shared" si="611"/>
        <v>312.38699999999994</v>
      </c>
      <c r="BE1041" s="73">
        <f t="shared" si="612"/>
        <v>284.37572999999998</v>
      </c>
      <c r="BF1041" s="77">
        <f t="shared" si="613"/>
        <v>28.01</v>
      </c>
      <c r="BG1041" s="77">
        <f t="shared" si="614"/>
        <v>8.4030000000000005</v>
      </c>
      <c r="BH1041" s="77">
        <f t="shared" si="615"/>
        <v>133.387</v>
      </c>
      <c r="BI1041" s="78">
        <f t="shared" si="616"/>
        <v>0.21</v>
      </c>
      <c r="BJ1041" s="79">
        <f t="shared" si="617"/>
        <v>8.9664422655232154E-2</v>
      </c>
      <c r="BK1041" s="80">
        <f t="shared" si="618"/>
        <v>284.38</v>
      </c>
      <c r="BL1041" s="80">
        <f t="shared" si="619"/>
        <v>28.006999999999948</v>
      </c>
      <c r="BM1041" s="79">
        <f t="shared" si="620"/>
        <v>8.965481918261628E-2</v>
      </c>
      <c r="BN1041" s="81">
        <f t="shared" si="621"/>
        <v>0.95799999999999996</v>
      </c>
      <c r="BO1041" s="82">
        <f t="shared" si="622"/>
        <v>105.38</v>
      </c>
      <c r="BP1041" s="81">
        <f t="shared" si="623"/>
        <v>0.95799999999999996</v>
      </c>
      <c r="BQ1041" s="81">
        <f t="shared" si="624"/>
        <v>0.95809090909090888</v>
      </c>
      <c r="BR1041" s="81">
        <f t="shared" si="625"/>
        <v>1.2126999999999999</v>
      </c>
      <c r="BS1041" s="82">
        <f t="shared" si="626"/>
        <v>110</v>
      </c>
      <c r="BT1041" s="82">
        <f t="shared" si="627"/>
        <v>133.39699999999999</v>
      </c>
      <c r="BU1041" s="82">
        <f t="shared" si="628"/>
        <v>133.387</v>
      </c>
      <c r="BW1041" s="82">
        <f>IFERROR(INDEX('Infos Clientes'!$T:$T,MATCH('Detalhe Por UC'!$C1041,'Infos Clientes'!B:B,0)),"")</f>
        <v>123.5</v>
      </c>
      <c r="BX1041" s="83">
        <f t="shared" si="629"/>
        <v>0</v>
      </c>
      <c r="BY1041" s="84">
        <f t="shared" si="630"/>
        <v>0.20995224780167479</v>
      </c>
      <c r="BZ1041" s="85">
        <f>IF(_xlfn.MINIFS('Detalhe Por UC'!R:R,'Detalhe Por UC'!C:C,C1041,'Detalhe Por UC'!AD:AD,"&gt;"&amp;0)=0,"",_xlfn.MINIFS('Detalhe Por UC'!R:R,'Detalhe Por UC'!C:C,C1041,'Detalhe Por UC'!AD:AD,"&gt;"&amp;0))</f>
        <v>45627</v>
      </c>
      <c r="CA1041" s="114">
        <f ca="1">IF(OR(S1041&gt;0,AD1041&gt;0),IFERROR(
SUMIFS(INDIRECT("'Infos Clientes'!$W"&amp;INDEX('Infos Clientes'!$C:$C,MATCH(C1041,'Infos Clientes'!$H:$H,0))&amp;":$CZ"&amp;INDEX('Infos Clientes'!$C:$C,MATCH(C1041,'Infos Clientes'!$H:$H,0))),'Infos Clientes'!$W$2:$CZ$2,"&gt;"&amp;$R1041-365,'Infos Clientes'!$W$2:$CZ$2,"&lt;="&amp;$R1041)/
COUNTIFS(INDIRECT("'Infos Clientes'!$W"&amp;INDEX('Infos Clientes'!$C:$C,MATCH(C1041,'Infos Clientes'!$H:$H,0))&amp;":$CZ"&amp;INDEX('Infos Clientes'!$C:$C,MATCH(C1041,'Infos Clientes'!$H:$H,0))),"&gt;="&amp;0,'Infos Clientes'!$W$2:$CZ$2,"&gt;"&amp;$R1041-365,'Infos Clientes'!$W$2:$CZ$2,"&lt;="&amp;$R1041),""),"")</f>
        <v>147.09090909090909</v>
      </c>
      <c r="CB1041" s="87">
        <f>VLOOKUP(C1041,'Infos Clientes'!B:L,11,0)</f>
        <v>0</v>
      </c>
      <c r="CC1041" s="88" t="str">
        <f t="shared" si="631"/>
        <v>A Unidade Consumidora 10/987178-1 economizou R$28,01 na fatura referente à nov/2025  consumindo 110 kWh em créditos de energia renovável conforme fatura de energia. A economia foi de 21% em relação ao que seria pago para a Energisa considerando os créditos consumidos. Atenção: Mantenha as contas da Energisa em dia para evitar cortes.</v>
      </c>
      <c r="CF1041" s="115">
        <f t="shared" si="632"/>
        <v>-178.99999999999997</v>
      </c>
    </row>
    <row r="1042" spans="3:84" ht="16.2" customHeight="1" x14ac:dyDescent="0.3">
      <c r="C1042" s="31" t="s">
        <v>114</v>
      </c>
      <c r="D1042" s="31" t="s">
        <v>351</v>
      </c>
      <c r="E1042" s="31" t="s">
        <v>352</v>
      </c>
      <c r="F1042" s="56" t="str">
        <f>INDEX('Infos Clientes'!$I:$I,MATCH('Detalhe Por UC'!C1042,'Infos Clientes'!B:B,0))</f>
        <v>BT</v>
      </c>
      <c r="G1042" s="56" t="str">
        <f>INDEX('Infos Clientes'!$J:$J,MATCH('Detalhe Por UC'!C1042,'Infos Clientes'!B:B,0))</f>
        <v>bifasico</v>
      </c>
      <c r="H1042" s="156" t="s">
        <v>24</v>
      </c>
      <c r="I1042" s="58">
        <f>IFERROR(VLOOKUP(C1042,'Infos Clientes'!B:E,4,),"")</f>
        <v>357</v>
      </c>
      <c r="J1042" s="157">
        <v>0.21</v>
      </c>
      <c r="K1042" s="79">
        <f>INDEX('Resumo Operacional'!$A$1:$P$151,MATCH("Desconto percentual Ucs",'Resumo Operacional'!$B$1:$B$151,0),MATCH('Detalhe Por UC'!$R1042,'Resumo Operacional'!$A$1:$P$1,0))</f>
        <v>0.21</v>
      </c>
      <c r="M1042" s="56"/>
      <c r="N1042" s="56"/>
      <c r="O1042" s="56"/>
      <c r="P1042" s="56"/>
      <c r="Q1042" s="61"/>
      <c r="R1042" s="111">
        <v>45962</v>
      </c>
      <c r="S1042" s="152">
        <v>1.6999999999999999E-3</v>
      </c>
      <c r="T1042" s="113">
        <f>IF($H1042="GIROSSOL II",AP1042/INDEX('Resumo Operacional'!$A$1:$P$1103,17,MATCH('Detalhe Por UC'!$R1042,'Resumo Operacional'!$A$1:$P$1,0)),
IF($H1042="GIROSSOL II e III",AP1042/INDEX('Resumo Operacional'!$A$1:$P$1103,17,MATCH('Detalhe Por UC'!$R1042,'Resumo Operacional'!$A$1:$P$1,0)),
""))</f>
        <v>1.7890542408717574E-3</v>
      </c>
      <c r="U1042" s="113" t="str">
        <f>IF($H1042="GIROSSOL III",AP1042/INDEX('Resumo Operacional'!$A$1:$P$1103,53,MATCH('Detalhe Por UC'!$R1042,'Resumo Operacional'!$A$1:$P$1,0)),
IF($H1042="GIROSSOL II e III",AP1042/INDEX('Resumo Operacional'!$A$1:$P$1103,53,MATCH('Detalhe Por UC'!$R1042,'Resumo Operacional'!$A$1:$P$1,0)),
""))</f>
        <v/>
      </c>
      <c r="X1042">
        <v>1.2128102827763496</v>
      </c>
      <c r="Z1042">
        <v>1.2127528023598817</v>
      </c>
      <c r="AB1042">
        <v>389</v>
      </c>
      <c r="AD1042">
        <v>339</v>
      </c>
      <c r="AF1042">
        <v>140</v>
      </c>
      <c r="AG1042">
        <v>0</v>
      </c>
      <c r="AH1042">
        <v>61.67</v>
      </c>
      <c r="AK1042">
        <v>122.33</v>
      </c>
      <c r="AL1042" s="43">
        <v>-1.4210854715202004E-13</v>
      </c>
      <c r="AN1042" s="71">
        <f t="shared" si="599"/>
        <v>-317</v>
      </c>
      <c r="AO1042" s="71">
        <f t="shared" si="600"/>
        <v>0</v>
      </c>
      <c r="AP1042" s="71">
        <f t="shared" si="601"/>
        <v>22</v>
      </c>
      <c r="AQ1042" s="72">
        <f>IF(OR($H1042="GIROSSOL II",$H1042="GIROSSOL II e III"),INDEX('Resumo Operacional'!$A$1:$P$1103,MATCH("Energia Injetada prevista total Fatura da Usina (TUSD)",'Resumo Operacional'!$B$1:$B$1103,0),MATCH('Detalhe Por UC'!$R1042,'Resumo Operacional'!$A$1:$P$1,0))*$S1042,INDEX('Resumo Operacional'!$A$1:$P$1103,53,MATCH('Detalhe Por UC'!$R1042,'Resumo Operacional'!$A$1:$P$1,0))*$S1042)</f>
        <v>20.904899999999998</v>
      </c>
      <c r="AR1042" s="71">
        <f t="shared" si="602"/>
        <v>1.0951000000000022</v>
      </c>
      <c r="AS1042" s="73">
        <f t="shared" si="603"/>
        <v>122.33000000000014</v>
      </c>
      <c r="AT1042" s="74">
        <f t="shared" si="604"/>
        <v>122.33000000000014</v>
      </c>
      <c r="AU1042" s="74">
        <f t="shared" si="605"/>
        <v>1.2126953219434138</v>
      </c>
      <c r="AV1042" s="74">
        <f t="shared" si="606"/>
        <v>324.78732799999989</v>
      </c>
      <c r="AW1042" s="74">
        <f t="shared" si="607"/>
        <v>0</v>
      </c>
      <c r="AX1042" s="74">
        <f t="shared" si="608"/>
        <v>411.12319999999988</v>
      </c>
      <c r="AY1042" s="74">
        <f t="shared" si="609"/>
        <v>324.79000000000002</v>
      </c>
      <c r="AZ1042" s="129">
        <v>324.79000000000002</v>
      </c>
      <c r="BA1042" s="117"/>
      <c r="BC1042" s="73" t="str">
        <f t="shared" si="610"/>
        <v/>
      </c>
      <c r="BD1042" s="73">
        <f t="shared" si="611"/>
        <v>533.45320000000004</v>
      </c>
      <c r="BE1042" s="73">
        <f t="shared" si="612"/>
        <v>447.11732800000004</v>
      </c>
      <c r="BF1042" s="77">
        <f t="shared" si="613"/>
        <v>86.34</v>
      </c>
      <c r="BG1042" s="77">
        <f t="shared" si="614"/>
        <v>25.902000000000001</v>
      </c>
      <c r="BH1042" s="77">
        <f t="shared" si="615"/>
        <v>411.12319999999994</v>
      </c>
      <c r="BI1042" s="78">
        <f t="shared" si="616"/>
        <v>0.21</v>
      </c>
      <c r="BJ1042" s="79">
        <f t="shared" si="617"/>
        <v>0.16185112395989001</v>
      </c>
      <c r="BK1042" s="80">
        <f t="shared" si="618"/>
        <v>447.12000000000018</v>
      </c>
      <c r="BL1042" s="80">
        <f t="shared" si="619"/>
        <v>86.333199999999863</v>
      </c>
      <c r="BM1042" s="79">
        <f t="shared" si="620"/>
        <v>0.16183837682480837</v>
      </c>
      <c r="BN1042" s="81">
        <f t="shared" si="621"/>
        <v>0.9580825958702065</v>
      </c>
      <c r="BO1042" s="82">
        <f t="shared" si="622"/>
        <v>324.79000000000002</v>
      </c>
      <c r="BP1042" s="81">
        <f t="shared" si="623"/>
        <v>0.9580825958702065</v>
      </c>
      <c r="BQ1042" s="81">
        <f t="shared" si="624"/>
        <v>0.95814007628667441</v>
      </c>
      <c r="BR1042" s="81">
        <f t="shared" si="625"/>
        <v>1.2128102827763496</v>
      </c>
      <c r="BS1042" s="82">
        <f t="shared" si="626"/>
        <v>339</v>
      </c>
      <c r="BT1042" s="82">
        <f t="shared" si="627"/>
        <v>411.14268586118254</v>
      </c>
      <c r="BU1042" s="82">
        <f t="shared" si="628"/>
        <v>411.12319999999988</v>
      </c>
      <c r="BW1042" s="82">
        <f>IFERROR(INDEX('Infos Clientes'!$T:$T,MATCH('Detalhe Por UC'!$C1042,'Infos Clientes'!B:B,0)),"")</f>
        <v>215.58333333333334</v>
      </c>
      <c r="BX1042" s="83">
        <f t="shared" si="629"/>
        <v>0</v>
      </c>
      <c r="BY1042" s="84">
        <f t="shared" si="630"/>
        <v>0.20998354821554402</v>
      </c>
      <c r="BZ1042" s="85">
        <f>IF(_xlfn.MINIFS('Detalhe Por UC'!R:R,'Detalhe Por UC'!C:C,C1042,'Detalhe Por UC'!AD:AD,"&gt;"&amp;0)=0,"",_xlfn.MINIFS('Detalhe Por UC'!R:R,'Detalhe Por UC'!C:C,C1042,'Detalhe Por UC'!AD:AD,"&gt;"&amp;0))</f>
        <v>45627</v>
      </c>
      <c r="CA1042" s="114">
        <f ca="1">IF(OR(S1042&gt;0,AD1042&gt;0),IFERROR(
SUMIFS(INDIRECT("'Infos Clientes'!$W"&amp;INDEX('Infos Clientes'!$C:$C,MATCH(C1042,'Infos Clientes'!$H:$H,0))&amp;":$CZ"&amp;INDEX('Infos Clientes'!$C:$C,MATCH(C1042,'Infos Clientes'!$H:$H,0))),'Infos Clientes'!$W$2:$CZ$2,"&gt;"&amp;$R1042-365,'Infos Clientes'!$W$2:$CZ$2,"&lt;="&amp;$R1042)/
COUNTIFS(INDIRECT("'Infos Clientes'!$W"&amp;INDEX('Infos Clientes'!$C:$C,MATCH(C1042,'Infos Clientes'!$H:$H,0))&amp;":$CZ"&amp;INDEX('Infos Clientes'!$C:$C,MATCH(C1042,'Infos Clientes'!$H:$H,0))),"&gt;="&amp;0,'Infos Clientes'!$W$2:$CZ$2,"&gt;"&amp;$R1042-365,'Infos Clientes'!$W$2:$CZ$2,"&lt;="&amp;$R1042),""),"")</f>
        <v>239</v>
      </c>
      <c r="CB1042" s="87">
        <f>VLOOKUP(C1042,'Infos Clientes'!B:L,11,0)</f>
        <v>0</v>
      </c>
      <c r="CC1042" s="88" t="str">
        <f t="shared" si="631"/>
        <v>A Unidade Consumidora 10/511753-6 economizou R$86,34 na fatura referente à nov/2025  consumindo 339 kWh em créditos de energia renovável conforme fatura de energia. A economia foi de 21% em relação ao que seria pago para a Energisa considerando os créditos consumidos. Atenção: Mantenha as contas da Energisa em dia para evitar cortes.</v>
      </c>
      <c r="CF1042" s="115">
        <f t="shared" si="632"/>
        <v>-122.33000000000014</v>
      </c>
    </row>
    <row r="1043" spans="3:84" ht="16.2" customHeight="1" x14ac:dyDescent="0.3">
      <c r="C1043" s="31" t="s">
        <v>18</v>
      </c>
      <c r="D1043" s="31" t="s">
        <v>351</v>
      </c>
      <c r="E1043" s="31" t="s">
        <v>352</v>
      </c>
      <c r="F1043" s="56" t="str">
        <f>INDEX('Infos Clientes'!$I:$I,MATCH('Detalhe Por UC'!C1043,'Infos Clientes'!B:B,0))</f>
        <v>BT</v>
      </c>
      <c r="G1043" s="56" t="str">
        <f>INDEX('Infos Clientes'!$J:$J,MATCH('Detalhe Por UC'!C1043,'Infos Clientes'!B:B,0))</f>
        <v>bifasico</v>
      </c>
      <c r="H1043" s="156" t="s">
        <v>24</v>
      </c>
      <c r="I1043" s="58">
        <f>IFERROR(VLOOKUP(C1043,'Infos Clientes'!B:E,4,),"")</f>
        <v>302</v>
      </c>
      <c r="J1043" s="157">
        <v>0.21</v>
      </c>
      <c r="K1043" s="79">
        <f>INDEX('Resumo Operacional'!$A$1:$P$151,MATCH("Desconto percentual Ucs",'Resumo Operacional'!$B$1:$B$151,0),MATCH('Detalhe Por UC'!$R1043,'Resumo Operacional'!$A$1:$P$1,0))</f>
        <v>0.21</v>
      </c>
      <c r="M1043" s="56"/>
      <c r="N1043" s="56"/>
      <c r="O1043" s="56"/>
      <c r="P1043" s="56"/>
      <c r="Q1043" s="61"/>
      <c r="R1043" s="111">
        <v>45962</v>
      </c>
      <c r="S1043" s="152">
        <v>1E-4</v>
      </c>
      <c r="T1043" s="113">
        <f>IF($H1043="GIROSSOL II",AP1043/INDEX('Resumo Operacional'!$A$1:$P$1103,17,MATCH('Detalhe Por UC'!$R1043,'Resumo Operacional'!$A$1:$P$1,0)),
IF($H1043="GIROSSOL II e III",AP1043/INDEX('Resumo Operacional'!$A$1:$P$1103,17,MATCH('Detalhe Por UC'!$R1043,'Resumo Operacional'!$A$1:$P$1,0)),
""))</f>
        <v>8.1320647312352605E-5</v>
      </c>
      <c r="U1043" s="113" t="str">
        <f>IF($H1043="GIROSSOL III",AP1043/INDEX('Resumo Operacional'!$A$1:$P$1103,53,MATCH('Detalhe Por UC'!$R1043,'Resumo Operacional'!$A$1:$P$1,0)),
IF($H1043="GIROSSOL II e III",AP1043/INDEX('Resumo Operacional'!$A$1:$P$1103,53,MATCH('Detalhe Por UC'!$R1043,'Resumo Operacional'!$A$1:$P$1,0)),
""))</f>
        <v/>
      </c>
      <c r="X1043" s="158">
        <v>1.2130545257954899</v>
      </c>
      <c r="Y1043" s="158"/>
      <c r="Z1043" s="158">
        <v>1.1556374463100354</v>
      </c>
      <c r="AA1043" s="158"/>
      <c r="AB1043" s="158">
        <v>249</v>
      </c>
      <c r="AC1043" s="158"/>
      <c r="AD1043" s="158">
        <v>197</v>
      </c>
      <c r="AE1043" s="158"/>
      <c r="AF1043" s="158">
        <v>0</v>
      </c>
      <c r="AG1043" s="158">
        <v>0</v>
      </c>
      <c r="AH1043" s="158">
        <v>43.17</v>
      </c>
      <c r="AI1043" s="158"/>
      <c r="AJ1043" s="158"/>
      <c r="AK1043" s="158">
        <v>117.56</v>
      </c>
      <c r="AL1043" s="43">
        <f t="shared" ref="AL1043:AL1045" si="633">AK1043-AT1043</f>
        <v>0</v>
      </c>
      <c r="AN1043" s="71">
        <f t="shared" si="599"/>
        <v>-196</v>
      </c>
      <c r="AO1043" s="71">
        <f t="shared" si="600"/>
        <v>0</v>
      </c>
      <c r="AP1043" s="71">
        <f t="shared" si="601"/>
        <v>1</v>
      </c>
      <c r="AQ1043" s="72">
        <f>IF(OR($H1043="GIROSSOL II",$H1043="GIROSSOL II e III"),INDEX('Resumo Operacional'!$A$1:$P$1103,MATCH("Energia Injetada prevista total Fatura da Usina (TUSD)",'Resumo Operacional'!$B$1:$B$1103,0),MATCH('Detalhe Por UC'!$R1043,'Resumo Operacional'!$A$1:$P$1,0))*$S1043,INDEX('Resumo Operacional'!$A$1:$P$1103,53,MATCH('Detalhe Por UC'!$R1043,'Resumo Operacional'!$A$1:$P$1,0))*$S1043)</f>
        <v>1.2297</v>
      </c>
      <c r="AR1043" s="71">
        <f t="shared" si="602"/>
        <v>-0.22970000000000002</v>
      </c>
      <c r="AS1043" s="73">
        <f t="shared" si="603"/>
        <v>117.55999999999999</v>
      </c>
      <c r="AT1043" s="74">
        <f t="shared" si="604"/>
        <v>117.55999999999999</v>
      </c>
      <c r="AU1043" s="74">
        <f t="shared" si="605"/>
        <v>1.0982203668245809</v>
      </c>
      <c r="AV1043" s="74">
        <f t="shared" si="606"/>
        <v>179.85185576923081</v>
      </c>
      <c r="AW1043" s="74">
        <f t="shared" si="607"/>
        <v>0</v>
      </c>
      <c r="AX1043" s="74">
        <f t="shared" si="608"/>
        <v>227.66057692307697</v>
      </c>
      <c r="AY1043" s="74">
        <f t="shared" si="609"/>
        <v>179.85</v>
      </c>
      <c r="AZ1043" s="129">
        <v>179.85</v>
      </c>
      <c r="BC1043" s="73" t="str">
        <f t="shared" si="610"/>
        <v/>
      </c>
      <c r="BD1043" s="73">
        <f t="shared" si="611"/>
        <v>345.22057692307698</v>
      </c>
      <c r="BE1043" s="73">
        <f t="shared" si="612"/>
        <v>297.41185576923078</v>
      </c>
      <c r="BF1043" s="77">
        <f t="shared" si="613"/>
        <v>47.81</v>
      </c>
      <c r="BG1043" s="77">
        <f t="shared" si="614"/>
        <v>14.343</v>
      </c>
      <c r="BH1043" s="77">
        <f t="shared" si="615"/>
        <v>227.66057692307697</v>
      </c>
      <c r="BI1043" s="78">
        <f t="shared" si="616"/>
        <v>0.21</v>
      </c>
      <c r="BJ1043" s="79">
        <f t="shared" si="617"/>
        <v>0.13849116534746178</v>
      </c>
      <c r="BK1043" s="80">
        <f t="shared" si="618"/>
        <v>297.40999999999997</v>
      </c>
      <c r="BL1043" s="80">
        <f t="shared" si="619"/>
        <v>47.810576923077008</v>
      </c>
      <c r="BM1043" s="79">
        <f t="shared" si="620"/>
        <v>0.13849283651979499</v>
      </c>
      <c r="BN1043" s="81">
        <f t="shared" si="621"/>
        <v>0.91294416243654819</v>
      </c>
      <c r="BO1043" s="82">
        <f t="shared" si="622"/>
        <v>179.85</v>
      </c>
      <c r="BP1043" s="81">
        <f t="shared" si="623"/>
        <v>0.91294416243654819</v>
      </c>
      <c r="BQ1043" s="81">
        <f t="shared" si="624"/>
        <v>0.97036124192200268</v>
      </c>
      <c r="BR1043" s="81">
        <f t="shared" si="625"/>
        <v>1.2130545257954899</v>
      </c>
      <c r="BS1043" s="82">
        <f t="shared" si="626"/>
        <v>197</v>
      </c>
      <c r="BT1043" s="82">
        <f t="shared" si="627"/>
        <v>238.97174158171151</v>
      </c>
      <c r="BU1043" s="82">
        <f t="shared" si="628"/>
        <v>227.66057692307697</v>
      </c>
      <c r="BW1043" s="82">
        <f>IFERROR(INDEX('Infos Clientes'!$T:$T,MATCH('Detalhe Por UC'!$C1043,'Infos Clientes'!B:B,0)),"")</f>
        <v>99.833333333333329</v>
      </c>
      <c r="BX1043" s="83">
        <f t="shared" si="629"/>
        <v>0</v>
      </c>
      <c r="BY1043" s="84">
        <f t="shared" si="630"/>
        <v>0.2000679101496573</v>
      </c>
      <c r="BZ1043" s="85">
        <f>IF(_xlfn.MINIFS('Detalhe Por UC'!R:R,'Detalhe Por UC'!C:C,C1043,'Detalhe Por UC'!AD:AD,"&gt;"&amp;0)=0,"",_xlfn.MINIFS('Detalhe Por UC'!R:R,'Detalhe Por UC'!C:C,C1043,'Detalhe Por UC'!AD:AD,"&gt;"&amp;0))</f>
        <v>45627</v>
      </c>
      <c r="CA1043" s="114">
        <f ca="1">IF(OR(S1043&gt;0,AD1043&gt;0),IFERROR(
SUMIFS(INDIRECT("'Infos Clientes'!$W"&amp;INDEX('Infos Clientes'!$C:$C,MATCH(C1043,'Infos Clientes'!$H:$H,0))&amp;":$CZ"&amp;INDEX('Infos Clientes'!$C:$C,MATCH(C1043,'Infos Clientes'!$H:$H,0))),'Infos Clientes'!$W$2:$CZ$2,"&gt;"&amp;$R1043-365,'Infos Clientes'!$W$2:$CZ$2,"&lt;="&amp;$R1043)/
COUNTIFS(INDIRECT("'Infos Clientes'!$W"&amp;INDEX('Infos Clientes'!$C:$C,MATCH(C1043,'Infos Clientes'!$H:$H,0))&amp;":$CZ"&amp;INDEX('Infos Clientes'!$C:$C,MATCH(C1043,'Infos Clientes'!$H:$H,0))),"&gt;="&amp;0,'Infos Clientes'!$W$2:$CZ$2,"&gt;"&amp;$R1043-365,'Infos Clientes'!$W$2:$CZ$2,"&lt;="&amp;$R1043),""),"")</f>
        <v>153.83333333333334</v>
      </c>
      <c r="CB1043" s="87">
        <f>VLOOKUP(C1043,'Infos Clientes'!B:L,11,0)</f>
        <v>0</v>
      </c>
      <c r="CC1043" s="88" t="str">
        <f t="shared" si="631"/>
        <v>A Unidade Consumidora 10/10232-7 economizou R$47,81 na fatura referente à nov/2025  consumindo 197 kWh em créditos de energia renovável conforme fatura de energia. A economia foi de 21% em relação ao que seria pago para a Energisa considerando os créditos consumidos. Atenção: Mantenha as contas da Energisa em dia para evitar cortes.</v>
      </c>
      <c r="CF1043" s="115">
        <f t="shared" si="632"/>
        <v>-117.55999999999999</v>
      </c>
    </row>
    <row r="1044" spans="3:84" ht="16.2" customHeight="1" x14ac:dyDescent="0.3">
      <c r="C1044" s="31" t="s">
        <v>25</v>
      </c>
      <c r="D1044" s="31" t="s">
        <v>351</v>
      </c>
      <c r="E1044" s="31" t="s">
        <v>352</v>
      </c>
      <c r="F1044" s="56" t="str">
        <f>INDEX('Infos Clientes'!$I:$I,MATCH('Detalhe Por UC'!C1044,'Infos Clientes'!B:B,0))</f>
        <v>BT</v>
      </c>
      <c r="G1044" s="56" t="str">
        <f>INDEX('Infos Clientes'!$J:$J,MATCH('Detalhe Por UC'!C1044,'Infos Clientes'!B:B,0))</f>
        <v>trifasico</v>
      </c>
      <c r="H1044" s="156" t="s">
        <v>24</v>
      </c>
      <c r="I1044" s="58">
        <f>IFERROR(VLOOKUP(C1044,'Infos Clientes'!B:E,4,),"")</f>
        <v>319</v>
      </c>
      <c r="J1044" s="157">
        <v>0.21</v>
      </c>
      <c r="K1044" s="79">
        <f>INDEX('Resumo Operacional'!$A$1:$P$151,MATCH("Desconto percentual Ucs",'Resumo Operacional'!$B$1:$B$151,0),MATCH('Detalhe Por UC'!$R1044,'Resumo Operacional'!$A$1:$P$1,0))</f>
        <v>0.21</v>
      </c>
      <c r="M1044" s="56"/>
      <c r="N1044" s="56"/>
      <c r="O1044" s="56"/>
      <c r="P1044" s="56"/>
      <c r="Q1044" s="61"/>
      <c r="R1044" s="111">
        <v>45962</v>
      </c>
      <c r="S1044" s="152">
        <v>1E-4</v>
      </c>
      <c r="T1044" s="113">
        <f>IF($H1044="GIROSSOL II",AP1044/INDEX('Resumo Operacional'!$A$1:$P$1103,17,MATCH('Detalhe Por UC'!$R1044,'Resumo Operacional'!$A$1:$P$1,0)),
IF($H1044="GIROSSOL II e III",AP1044/INDEX('Resumo Operacional'!$A$1:$P$1103,17,MATCH('Detalhe Por UC'!$R1044,'Resumo Operacional'!$A$1:$P$1,0)),
""))</f>
        <v>8.1320647312352605E-5</v>
      </c>
      <c r="U1044" s="113" t="str">
        <f>IF($H1044="GIROSSOL III",AP1044/INDEX('Resumo Operacional'!$A$1:$P$1103,53,MATCH('Detalhe Por UC'!$R1044,'Resumo Operacional'!$A$1:$P$1,0)),
IF($H1044="GIROSSOL II e III",AP1044/INDEX('Resumo Operacional'!$A$1:$P$1103,53,MATCH('Detalhe Por UC'!$R1044,'Resumo Operacional'!$A$1:$P$1,0)),
""))</f>
        <v/>
      </c>
      <c r="X1044" s="158">
        <v>1.2127472527472527</v>
      </c>
      <c r="Y1044" s="158"/>
      <c r="Z1044" s="158">
        <v>1.0917857142857144</v>
      </c>
      <c r="AA1044" s="158"/>
      <c r="AB1044" s="158">
        <v>351</v>
      </c>
      <c r="AC1044" s="158"/>
      <c r="AD1044" s="158">
        <v>288</v>
      </c>
      <c r="AE1044" s="158"/>
      <c r="AF1044" s="158">
        <v>1388</v>
      </c>
      <c r="AG1044" s="158">
        <v>0</v>
      </c>
      <c r="AH1044" s="158">
        <v>68.47999999999999</v>
      </c>
      <c r="AI1044" s="158"/>
      <c r="AJ1044" s="158"/>
      <c r="AK1044" s="158">
        <v>179.72</v>
      </c>
      <c r="AL1044" s="43">
        <f t="shared" si="633"/>
        <v>0</v>
      </c>
      <c r="AN1044" s="71">
        <f t="shared" si="599"/>
        <v>-287</v>
      </c>
      <c r="AO1044" s="71">
        <f t="shared" si="600"/>
        <v>0</v>
      </c>
      <c r="AP1044" s="71">
        <f t="shared" si="601"/>
        <v>1</v>
      </c>
      <c r="AQ1044" s="72">
        <f>IF(OR($H1044="GIROSSOL II",$H1044="GIROSSOL II e III"),INDEX('Resumo Operacional'!$A$1:$P$1103,MATCH("Energia Injetada prevista total Fatura da Usina (TUSD)",'Resumo Operacional'!$B$1:$B$1103,0),MATCH('Detalhe Por UC'!$R1044,'Resumo Operacional'!$A$1:$P$1,0))*$S1044,INDEX('Resumo Operacional'!$A$1:$P$1103,53,MATCH('Detalhe Por UC'!$R1044,'Resumo Operacional'!$A$1:$P$1,0))*$S1044)</f>
        <v>1.2297</v>
      </c>
      <c r="AR1044" s="71">
        <f t="shared" si="602"/>
        <v>-0.22970000000000002</v>
      </c>
      <c r="AS1044" s="73">
        <f t="shared" si="603"/>
        <v>179.71999999999994</v>
      </c>
      <c r="AT1044" s="74">
        <f t="shared" si="604"/>
        <v>179.71999999999994</v>
      </c>
      <c r="AU1044" s="74">
        <f t="shared" si="605"/>
        <v>0.97082417582417602</v>
      </c>
      <c r="AV1044" s="74">
        <f t="shared" si="606"/>
        <v>248.40308571428574</v>
      </c>
      <c r="AW1044" s="74">
        <f t="shared" si="607"/>
        <v>0</v>
      </c>
      <c r="AX1044" s="74">
        <f t="shared" si="608"/>
        <v>314.43428571428575</v>
      </c>
      <c r="AY1044" s="74">
        <f t="shared" si="609"/>
        <v>248.4</v>
      </c>
      <c r="AZ1044" s="129">
        <v>248.4</v>
      </c>
      <c r="BC1044" s="73" t="str">
        <f t="shared" si="610"/>
        <v/>
      </c>
      <c r="BD1044" s="73">
        <f t="shared" si="611"/>
        <v>494.15428571428572</v>
      </c>
      <c r="BE1044" s="73">
        <f t="shared" si="612"/>
        <v>428.12308571428571</v>
      </c>
      <c r="BF1044" s="77">
        <f t="shared" si="613"/>
        <v>66.03</v>
      </c>
      <c r="BG1044" s="77">
        <f t="shared" si="614"/>
        <v>19.809000000000001</v>
      </c>
      <c r="BH1044" s="77">
        <f t="shared" si="615"/>
        <v>314.43428571428575</v>
      </c>
      <c r="BI1044" s="78">
        <f t="shared" si="616"/>
        <v>0.21</v>
      </c>
      <c r="BJ1044" s="79">
        <f t="shared" si="617"/>
        <v>0.13362223481388114</v>
      </c>
      <c r="BK1044" s="80">
        <f t="shared" si="618"/>
        <v>428.11999999999995</v>
      </c>
      <c r="BL1044" s="80">
        <f t="shared" si="619"/>
        <v>66.034285714285772</v>
      </c>
      <c r="BM1044" s="79">
        <f t="shared" si="620"/>
        <v>0.1336309076401819</v>
      </c>
      <c r="BN1044" s="81">
        <f t="shared" si="621"/>
        <v>0.86250000000000004</v>
      </c>
      <c r="BO1044" s="82">
        <f t="shared" si="622"/>
        <v>248.4</v>
      </c>
      <c r="BP1044" s="81">
        <f t="shared" si="623"/>
        <v>0.86250000000000004</v>
      </c>
      <c r="BQ1044" s="81">
        <f t="shared" si="624"/>
        <v>0.98346153846153839</v>
      </c>
      <c r="BR1044" s="81">
        <f t="shared" si="625"/>
        <v>1.2127472527472527</v>
      </c>
      <c r="BS1044" s="82">
        <f t="shared" si="626"/>
        <v>288</v>
      </c>
      <c r="BT1044" s="82">
        <f t="shared" si="627"/>
        <v>349.27120879120878</v>
      </c>
      <c r="BU1044" s="82">
        <f t="shared" si="628"/>
        <v>314.43428571428575</v>
      </c>
      <c r="BW1044" s="82">
        <f>IFERROR(INDEX('Infos Clientes'!$T:$T,MATCH('Detalhe Por UC'!$C1044,'Infos Clientes'!B:B,0)),"")</f>
        <v>453.58333333333331</v>
      </c>
      <c r="BX1044" s="83">
        <f t="shared" si="629"/>
        <v>0</v>
      </c>
      <c r="BY1044" s="84">
        <f t="shared" si="630"/>
        <v>0.18906306632837988</v>
      </c>
      <c r="BZ1044" s="85">
        <f>IF(_xlfn.MINIFS('Detalhe Por UC'!R:R,'Detalhe Por UC'!C:C,C1044,'Detalhe Por UC'!AD:AD,"&gt;"&amp;0)=0,"",_xlfn.MINIFS('Detalhe Por UC'!R:R,'Detalhe Por UC'!C:C,C1044,'Detalhe Por UC'!AD:AD,"&gt;"&amp;0))</f>
        <v>45627</v>
      </c>
      <c r="CA1044" s="114">
        <f ca="1">IF(OR(S1044&gt;0,AD1044&gt;0),IFERROR(
SUMIFS(INDIRECT("'Infos Clientes'!$W"&amp;INDEX('Infos Clientes'!$C:$C,MATCH(C1044,'Infos Clientes'!$H:$H,0))&amp;":$CZ"&amp;INDEX('Infos Clientes'!$C:$C,MATCH(C1044,'Infos Clientes'!$H:$H,0))),'Infos Clientes'!$W$2:$CZ$2,"&gt;"&amp;$R1044-365,'Infos Clientes'!$W$2:$CZ$2,"&lt;="&amp;$R1044)/
COUNTIFS(INDIRECT("'Infos Clientes'!$W"&amp;INDEX('Infos Clientes'!$C:$C,MATCH(C1044,'Infos Clientes'!$H:$H,0))&amp;":$CZ"&amp;INDEX('Infos Clientes'!$C:$C,MATCH(C1044,'Infos Clientes'!$H:$H,0))),"&gt;="&amp;0,'Infos Clientes'!$W$2:$CZ$2,"&gt;"&amp;$R1044-365,'Infos Clientes'!$W$2:$CZ$2,"&lt;="&amp;$R1044),""),"")</f>
        <v>375.91666666666669</v>
      </c>
      <c r="CB1044" s="87">
        <f>VLOOKUP(C1044,'Infos Clientes'!B:L,11,0)</f>
        <v>0</v>
      </c>
      <c r="CC1044" s="88" t="str">
        <f t="shared" si="631"/>
        <v>A Unidade Consumidora 10/1035655-8 economizou R$66,03 na fatura referente à nov/2025  consumindo 288 kWh em créditos de energia renovável conforme fatura de energia. A economia foi de 21% em relação ao que seria pago para a Energisa considerando os créditos consumidos. Atenção: Mantenha as contas da Energisa em dia para evitar cortes.</v>
      </c>
      <c r="CF1044" s="115">
        <f t="shared" si="632"/>
        <v>-179.71999999999994</v>
      </c>
    </row>
    <row r="1045" spans="3:84" ht="16.2" customHeight="1" x14ac:dyDescent="0.3">
      <c r="C1045" s="31" t="s">
        <v>29</v>
      </c>
      <c r="D1045" s="31" t="s">
        <v>351</v>
      </c>
      <c r="E1045" s="31" t="s">
        <v>352</v>
      </c>
      <c r="F1045" s="56" t="str">
        <f>INDEX('Infos Clientes'!$I:$I,MATCH('Detalhe Por UC'!C1045,'Infos Clientes'!B:B,0))</f>
        <v>BT</v>
      </c>
      <c r="G1045" s="56" t="str">
        <f>INDEX('Infos Clientes'!$J:$J,MATCH('Detalhe Por UC'!C1045,'Infos Clientes'!B:B,0))</f>
        <v>trifasico</v>
      </c>
      <c r="H1045" s="156" t="s">
        <v>24</v>
      </c>
      <c r="I1045" s="58">
        <f>IFERROR(VLOOKUP(C1045,'Infos Clientes'!B:E,4,),"")</f>
        <v>362</v>
      </c>
      <c r="J1045" s="157">
        <v>0.21</v>
      </c>
      <c r="K1045" s="79">
        <f>INDEX('Resumo Operacional'!$A$1:$P$151,MATCH("Desconto percentual Ucs",'Resumo Operacional'!$B$1:$B$151,0),MATCH('Detalhe Por UC'!$R1045,'Resumo Operacional'!$A$1:$P$1,0))</f>
        <v>0.21</v>
      </c>
      <c r="M1045" s="56"/>
      <c r="N1045" s="56"/>
      <c r="O1045" s="56"/>
      <c r="P1045" s="56"/>
      <c r="Q1045" s="61"/>
      <c r="R1045" s="111">
        <v>45962</v>
      </c>
      <c r="S1045" s="152">
        <v>1E-4</v>
      </c>
      <c r="T1045" s="113">
        <f>IF($H1045="GIROSSOL II",AP1045/INDEX('Resumo Operacional'!$A$1:$P$1103,17,MATCH('Detalhe Por UC'!$R1045,'Resumo Operacional'!$A$1:$P$1,0)),
IF($H1045="GIROSSOL II e III",AP1045/INDEX('Resumo Operacional'!$A$1:$P$1103,17,MATCH('Detalhe Por UC'!$R1045,'Resumo Operacional'!$A$1:$P$1,0)),
""))</f>
        <v>8.1320647312352605E-5</v>
      </c>
      <c r="U1045" s="113" t="str">
        <f>IF($H1045="GIROSSOL III",AP1045/INDEX('Resumo Operacional'!$A$1:$P$1103,53,MATCH('Detalhe Por UC'!$R1045,'Resumo Operacional'!$A$1:$P$1,0)),
IF($H1045="GIROSSOL II e III",AP1045/INDEX('Resumo Operacional'!$A$1:$P$1103,53,MATCH('Detalhe Por UC'!$R1045,'Resumo Operacional'!$A$1:$P$1,0)),
""))</f>
        <v/>
      </c>
      <c r="X1045" s="158">
        <v>1.212787341772152</v>
      </c>
      <c r="Y1045" s="158"/>
      <c r="Z1045" s="158">
        <v>1.2125931034482758</v>
      </c>
      <c r="AA1045" s="158"/>
      <c r="AB1045" s="158">
        <v>158</v>
      </c>
      <c r="AC1045" s="158"/>
      <c r="AD1045" s="158">
        <v>58</v>
      </c>
      <c r="AE1045" s="158"/>
      <c r="AF1045" s="158">
        <v>360</v>
      </c>
      <c r="AG1045" s="158">
        <v>0</v>
      </c>
      <c r="AH1045" s="158">
        <v>40.47</v>
      </c>
      <c r="AI1045" s="158"/>
      <c r="AJ1045" s="158"/>
      <c r="AK1045" s="158">
        <v>161.76</v>
      </c>
      <c r="AL1045" s="43">
        <f t="shared" si="633"/>
        <v>0</v>
      </c>
      <c r="AN1045" s="71">
        <f t="shared" si="599"/>
        <v>-57</v>
      </c>
      <c r="AO1045" s="71">
        <f t="shared" si="600"/>
        <v>0</v>
      </c>
      <c r="AP1045" s="71">
        <f t="shared" si="601"/>
        <v>1</v>
      </c>
      <c r="AQ1045" s="72">
        <f>IF(OR($H1045="GIROSSOL II",$H1045="GIROSSOL II e III"),INDEX('Resumo Operacional'!$A$1:$P$1103,MATCH("Energia Injetada prevista total Fatura da Usina (TUSD)",'Resumo Operacional'!$B$1:$B$1103,0),MATCH('Detalhe Por UC'!$R1045,'Resumo Operacional'!$A$1:$P$1,0))*$S1045,INDEX('Resumo Operacional'!$A$1:$P$1103,53,MATCH('Detalhe Por UC'!$R1045,'Resumo Operacional'!$A$1:$P$1,0))*$S1045)</f>
        <v>1.2297</v>
      </c>
      <c r="AR1045" s="71">
        <f t="shared" si="602"/>
        <v>-0.22970000000000002</v>
      </c>
      <c r="AS1045" s="73">
        <f t="shared" si="603"/>
        <v>161.76000000000002</v>
      </c>
      <c r="AT1045" s="74">
        <f t="shared" si="604"/>
        <v>161.76000000000002</v>
      </c>
      <c r="AU1045" s="74">
        <f t="shared" si="605"/>
        <v>1.2123988651243995</v>
      </c>
      <c r="AV1045" s="74">
        <f t="shared" si="606"/>
        <v>55.561015999999995</v>
      </c>
      <c r="AW1045" s="74">
        <f t="shared" si="607"/>
        <v>0</v>
      </c>
      <c r="AX1045" s="74">
        <f t="shared" si="608"/>
        <v>70.330399999999997</v>
      </c>
      <c r="AY1045" s="74">
        <f t="shared" si="609"/>
        <v>55.56</v>
      </c>
      <c r="AZ1045" s="129">
        <v>55.56</v>
      </c>
      <c r="BC1045" s="73" t="str">
        <f t="shared" si="610"/>
        <v/>
      </c>
      <c r="BD1045" s="73">
        <f t="shared" si="611"/>
        <v>232.09040000000002</v>
      </c>
      <c r="BE1045" s="73">
        <f t="shared" si="612"/>
        <v>217.32101600000001</v>
      </c>
      <c r="BF1045" s="77">
        <f t="shared" si="613"/>
        <v>14.77</v>
      </c>
      <c r="BG1045" s="77">
        <f t="shared" si="614"/>
        <v>4.431</v>
      </c>
      <c r="BH1045" s="77">
        <f t="shared" si="615"/>
        <v>70.330399999999997</v>
      </c>
      <c r="BI1045" s="78">
        <f t="shared" si="616"/>
        <v>0.21</v>
      </c>
      <c r="BJ1045" s="79">
        <f t="shared" si="617"/>
        <v>6.3638995839552168E-2</v>
      </c>
      <c r="BK1045" s="80">
        <f t="shared" si="618"/>
        <v>217.32000000000002</v>
      </c>
      <c r="BL1045" s="80">
        <f t="shared" si="619"/>
        <v>14.770399999999995</v>
      </c>
      <c r="BM1045" s="79">
        <f t="shared" si="620"/>
        <v>6.3640719305925603E-2</v>
      </c>
      <c r="BN1045" s="81">
        <f t="shared" si="621"/>
        <v>0.95793103448275863</v>
      </c>
      <c r="BO1045" s="82">
        <f t="shared" si="622"/>
        <v>55.56</v>
      </c>
      <c r="BP1045" s="81">
        <f t="shared" si="623"/>
        <v>0.95793103448275863</v>
      </c>
      <c r="BQ1045" s="81">
        <f t="shared" si="624"/>
        <v>0.95812527280663484</v>
      </c>
      <c r="BR1045" s="81">
        <f t="shared" si="625"/>
        <v>1.212787341772152</v>
      </c>
      <c r="BS1045" s="82">
        <f t="shared" si="626"/>
        <v>58</v>
      </c>
      <c r="BT1045" s="82">
        <f t="shared" si="627"/>
        <v>70.341665822784819</v>
      </c>
      <c r="BU1045" s="82">
        <f t="shared" si="628"/>
        <v>70.330399999999997</v>
      </c>
      <c r="BW1045" s="82">
        <f>IFERROR(INDEX('Infos Clientes'!$T:$T,MATCH('Detalhe Por UC'!$C1045,'Infos Clientes'!B:B,0)),"")</f>
        <v>178.41666666666666</v>
      </c>
      <c r="BX1045" s="83">
        <f t="shared" si="629"/>
        <v>0</v>
      </c>
      <c r="BY1045" s="84">
        <f t="shared" si="630"/>
        <v>0.20998081048026046</v>
      </c>
      <c r="BZ1045" s="85">
        <f>IF(_xlfn.MINIFS('Detalhe Por UC'!R:R,'Detalhe Por UC'!C:C,C1045,'Detalhe Por UC'!AD:AD,"&gt;"&amp;0)=0,"",_xlfn.MINIFS('Detalhe Por UC'!R:R,'Detalhe Por UC'!C:C,C1045,'Detalhe Por UC'!AD:AD,"&gt;"&amp;0))</f>
        <v>45627</v>
      </c>
      <c r="CA1045" s="114">
        <f ca="1">IF(OR(S1045&gt;0,AD1045&gt;0),IFERROR(
SUMIFS(INDIRECT("'Infos Clientes'!$W"&amp;INDEX('Infos Clientes'!$C:$C,MATCH(C1045,'Infos Clientes'!$H:$H,0))&amp;":$CZ"&amp;INDEX('Infos Clientes'!$C:$C,MATCH(C1045,'Infos Clientes'!$H:$H,0))),'Infos Clientes'!$W$2:$CZ$2,"&gt;"&amp;$R1045-365,'Infos Clientes'!$W$2:$CZ$2,"&lt;="&amp;$R1045)/
COUNTIFS(INDIRECT("'Infos Clientes'!$W"&amp;INDEX('Infos Clientes'!$C:$C,MATCH(C1045,'Infos Clientes'!$H:$H,0))&amp;":$CZ"&amp;INDEX('Infos Clientes'!$C:$C,MATCH(C1045,'Infos Clientes'!$H:$H,0))),"&gt;="&amp;0,'Infos Clientes'!$W$2:$CZ$2,"&gt;"&amp;$R1045-365,'Infos Clientes'!$W$2:$CZ$2,"&lt;="&amp;$R1045),""),"")</f>
        <v>161.33333333333334</v>
      </c>
      <c r="CB1045" s="87">
        <f>VLOOKUP(C1045,'Infos Clientes'!B:L,11,0)</f>
        <v>0</v>
      </c>
      <c r="CC1045" s="88" t="str">
        <f t="shared" si="631"/>
        <v>A Unidade Consumidora 10/1117293-9 economizou R$14,77 na fatura referente à nov/2025  consumindo 58 kWh em créditos de energia renovável conforme fatura de energia. A economia foi de 21% em relação ao que seria pago para a Energisa considerando os créditos consumidos. Atenção: Mantenha as contas da Energisa em dia para evitar cortes.</v>
      </c>
      <c r="CF1045" s="115">
        <f t="shared" si="632"/>
        <v>-161.76000000000002</v>
      </c>
    </row>
    <row r="1046" spans="3:84" ht="16.2" customHeight="1" x14ac:dyDescent="0.3">
      <c r="C1046" s="31" t="s">
        <v>32</v>
      </c>
      <c r="D1046" s="31" t="s">
        <v>351</v>
      </c>
      <c r="E1046" s="31" t="s">
        <v>352</v>
      </c>
      <c r="F1046" s="56" t="str">
        <f>INDEX('Infos Clientes'!$I:$I,MATCH('Detalhe Por UC'!C1046,'Infos Clientes'!B:B,0))</f>
        <v>BT</v>
      </c>
      <c r="G1046" s="56" t="str">
        <f>INDEX('Infos Clientes'!$J:$J,MATCH('Detalhe Por UC'!C1046,'Infos Clientes'!B:B,0))</f>
        <v>trifasico</v>
      </c>
      <c r="H1046" s="156" t="s">
        <v>24</v>
      </c>
      <c r="I1046" s="58">
        <f>IFERROR(VLOOKUP(C1046,'Infos Clientes'!B:E,4,),"")</f>
        <v>319</v>
      </c>
      <c r="J1046" s="157">
        <v>0.21</v>
      </c>
      <c r="K1046" s="79">
        <f>INDEX('Resumo Operacional'!$A$1:$P$151,MATCH("Desconto percentual Ucs",'Resumo Operacional'!$B$1:$B$151,0),MATCH('Detalhe Por UC'!$R1046,'Resumo Operacional'!$A$1:$P$1,0))</f>
        <v>0.21</v>
      </c>
      <c r="M1046" s="56"/>
      <c r="N1046" s="56"/>
      <c r="O1046" s="56"/>
      <c r="P1046" s="56"/>
      <c r="Q1046" s="61"/>
      <c r="R1046" s="111">
        <v>45962</v>
      </c>
      <c r="S1046" s="152">
        <v>1E-4</v>
      </c>
      <c r="T1046" s="113">
        <f>IF($H1046="GIROSSOL II",AP1046/INDEX('Resumo Operacional'!$A$1:$P$1103,17,MATCH('Detalhe Por UC'!$R1046,'Resumo Operacional'!$A$1:$P$1,0)),
IF($H1046="GIROSSOL II e III",AP1046/INDEX('Resumo Operacional'!$A$1:$P$1103,17,MATCH('Detalhe Por UC'!$R1046,'Resumo Operacional'!$A$1:$P$1,0)),
""))</f>
        <v>8.1320647312352605E-5</v>
      </c>
      <c r="U1046" s="113" t="str">
        <f>IF($H1046="GIROSSOL III",AP1046/INDEX('Resumo Operacional'!$A$1:$P$1103,53,MATCH('Detalhe Por UC'!$R1046,'Resumo Operacional'!$A$1:$P$1,0)),
IF($H1046="GIROSSOL II e III",AP1046/INDEX('Resumo Operacional'!$A$1:$P$1103,53,MATCH('Detalhe Por UC'!$R1046,'Resumo Operacional'!$A$1:$P$1,0)),
""))</f>
        <v/>
      </c>
      <c r="X1046">
        <v>1.2126942251765684</v>
      </c>
      <c r="Z1046">
        <v>1.212544827586207</v>
      </c>
      <c r="AB1046">
        <v>249</v>
      </c>
      <c r="AD1046">
        <v>75</v>
      </c>
      <c r="AF1046">
        <v>0</v>
      </c>
      <c r="AG1046">
        <v>0</v>
      </c>
      <c r="AH1046">
        <v>28.01</v>
      </c>
      <c r="AK1046">
        <v>239.03</v>
      </c>
      <c r="AL1046" s="43">
        <v>0</v>
      </c>
      <c r="AN1046" s="71">
        <f t="shared" si="599"/>
        <v>-74</v>
      </c>
      <c r="AO1046" s="71">
        <f t="shared" si="600"/>
        <v>0</v>
      </c>
      <c r="AP1046" s="71">
        <f t="shared" si="601"/>
        <v>1</v>
      </c>
      <c r="AQ1046" s="72">
        <f>IF(OR($H1046="GIROSSOL II",$H1046="GIROSSOL II e III"),INDEX('Resumo Operacional'!$A$1:$P$1103,MATCH("Energia Injetada prevista total Fatura da Usina (TUSD)",'Resumo Operacional'!$B$1:$B$1103,0),MATCH('Detalhe Por UC'!$R1046,'Resumo Operacional'!$A$1:$P$1,0))*$S1046,INDEX('Resumo Operacional'!$A$1:$P$1103,53,MATCH('Detalhe Por UC'!$R1046,'Resumo Operacional'!$A$1:$P$1,0))*$S1046)</f>
        <v>1.2297</v>
      </c>
      <c r="AR1046" s="71">
        <f t="shared" si="602"/>
        <v>-0.22970000000000002</v>
      </c>
      <c r="AS1046" s="73">
        <f t="shared" si="603"/>
        <v>239.03</v>
      </c>
      <c r="AT1046" s="74">
        <f t="shared" si="604"/>
        <v>239.03</v>
      </c>
      <c r="AU1046" s="74">
        <f t="shared" si="605"/>
        <v>1.2123954299958455</v>
      </c>
      <c r="AV1046" s="74">
        <f t="shared" si="606"/>
        <v>71.843281034482771</v>
      </c>
      <c r="AW1046" s="74">
        <f t="shared" si="607"/>
        <v>0</v>
      </c>
      <c r="AX1046" s="74">
        <f t="shared" si="608"/>
        <v>90.940862068965515</v>
      </c>
      <c r="AY1046" s="74">
        <f t="shared" si="609"/>
        <v>71.84</v>
      </c>
      <c r="AZ1046" s="129">
        <v>71.84</v>
      </c>
      <c r="BA1046" s="117"/>
      <c r="BC1046" s="73" t="str">
        <f t="shared" si="610"/>
        <v/>
      </c>
      <c r="BD1046" s="73">
        <f t="shared" si="611"/>
        <v>329.97086206896552</v>
      </c>
      <c r="BE1046" s="73">
        <f t="shared" si="612"/>
        <v>310.87328103448277</v>
      </c>
      <c r="BF1046" s="77">
        <f t="shared" si="613"/>
        <v>19.100000000000001</v>
      </c>
      <c r="BG1046" s="77">
        <f t="shared" si="614"/>
        <v>5.73</v>
      </c>
      <c r="BH1046" s="77">
        <f t="shared" si="615"/>
        <v>90.940862068965515</v>
      </c>
      <c r="BI1046" s="78">
        <f t="shared" si="616"/>
        <v>0.21</v>
      </c>
      <c r="BJ1046" s="79">
        <f t="shared" si="617"/>
        <v>5.7883898839552715E-2</v>
      </c>
      <c r="BK1046" s="80">
        <f t="shared" si="618"/>
        <v>310.87</v>
      </c>
      <c r="BL1046" s="80">
        <f t="shared" si="619"/>
        <v>19.100862068965512</v>
      </c>
      <c r="BM1046" s="79">
        <f t="shared" si="620"/>
        <v>5.7886511400431891E-2</v>
      </c>
      <c r="BN1046" s="81">
        <f t="shared" si="621"/>
        <v>0.95786666666666676</v>
      </c>
      <c r="BO1046" s="82">
        <f t="shared" si="622"/>
        <v>71.84</v>
      </c>
      <c r="BP1046" s="81">
        <f t="shared" si="623"/>
        <v>0.95786666666666676</v>
      </c>
      <c r="BQ1046" s="81">
        <f t="shared" si="624"/>
        <v>0.95801606425702823</v>
      </c>
      <c r="BR1046" s="81">
        <f t="shared" si="625"/>
        <v>1.2126942251765684</v>
      </c>
      <c r="BS1046" s="82">
        <f t="shared" si="626"/>
        <v>75</v>
      </c>
      <c r="BT1046" s="82">
        <f t="shared" si="627"/>
        <v>90.952066888242626</v>
      </c>
      <c r="BU1046" s="82">
        <f t="shared" si="628"/>
        <v>90.940862068965515</v>
      </c>
      <c r="BW1046" s="82">
        <f>IFERROR(INDEX('Infos Clientes'!$T:$T,MATCH('Detalhe Por UC'!$C1046,'Infos Clientes'!B:B,0)),"")</f>
        <v>236.08333333333334</v>
      </c>
      <c r="BX1046" s="83">
        <f t="shared" si="629"/>
        <v>0</v>
      </c>
      <c r="BY1046" s="84">
        <f t="shared" si="630"/>
        <v>0.21001020342325702</v>
      </c>
      <c r="BZ1046" s="85">
        <f>IF(_xlfn.MINIFS('Detalhe Por UC'!R:R,'Detalhe Por UC'!C:C,C1046,'Detalhe Por UC'!AD:AD,"&gt;"&amp;0)=0,"",_xlfn.MINIFS('Detalhe Por UC'!R:R,'Detalhe Por UC'!C:C,C1046,'Detalhe Por UC'!AD:AD,"&gt;"&amp;0))</f>
        <v>45627</v>
      </c>
      <c r="CA1046" s="114">
        <f ca="1">IF(OR(S1046&gt;0,AD1046&gt;0),IFERROR(
SUMIFS(INDIRECT("'Infos Clientes'!$W"&amp;INDEX('Infos Clientes'!$C:$C,MATCH(C1046,'Infos Clientes'!$H:$H,0))&amp;":$CZ"&amp;INDEX('Infos Clientes'!$C:$C,MATCH(C1046,'Infos Clientes'!$H:$H,0))),'Infos Clientes'!$W$2:$CZ$2,"&gt;"&amp;$R1046-365,'Infos Clientes'!$W$2:$CZ$2,"&lt;="&amp;$R1046)/
COUNTIFS(INDIRECT("'Infos Clientes'!$W"&amp;INDEX('Infos Clientes'!$C:$C,MATCH(C1046,'Infos Clientes'!$H:$H,0))&amp;":$CZ"&amp;INDEX('Infos Clientes'!$C:$C,MATCH(C1046,'Infos Clientes'!$H:$H,0))),"&gt;="&amp;0,'Infos Clientes'!$W$2:$CZ$2,"&gt;"&amp;$R1046-365,'Infos Clientes'!$W$2:$CZ$2,"&lt;="&amp;$R1046),""),"")</f>
        <v>256.91666666666669</v>
      </c>
      <c r="CB1046" s="87">
        <f>VLOOKUP(C1046,'Infos Clientes'!B:L,11,0)</f>
        <v>0</v>
      </c>
      <c r="CC1046" s="88" t="str">
        <f t="shared" si="631"/>
        <v>A Unidade Consumidora 10/113971-6 economizou R$19,1 na fatura referente à nov/2025  consumindo 75 kWh em créditos de energia renovável conforme fatura de energia. A economia foi de 21% em relação ao que seria pago para a Energisa considerando os créditos consumidos. Atenção: Mantenha as contas da Energisa em dia para evitar cortes.</v>
      </c>
      <c r="CF1046" s="115">
        <f t="shared" si="632"/>
        <v>-239.03</v>
      </c>
    </row>
    <row r="1047" spans="3:84" ht="16.2" customHeight="1" x14ac:dyDescent="0.3">
      <c r="C1047" s="31" t="s">
        <v>94</v>
      </c>
      <c r="D1047" s="31" t="s">
        <v>351</v>
      </c>
      <c r="E1047" s="31" t="s">
        <v>352</v>
      </c>
      <c r="F1047" s="56" t="str">
        <f>INDEX('Infos Clientes'!$I:$I,MATCH('Detalhe Por UC'!C1047,'Infos Clientes'!B:B,0))</f>
        <v>BT</v>
      </c>
      <c r="G1047" s="56" t="str">
        <f>INDEX('Infos Clientes'!$J:$J,MATCH('Detalhe Por UC'!C1047,'Infos Clientes'!B:B,0))</f>
        <v>bifasico</v>
      </c>
      <c r="H1047" s="156" t="s">
        <v>24</v>
      </c>
      <c r="I1047" s="58">
        <f>IFERROR(VLOOKUP(C1047,'Infos Clientes'!B:E,4,),"")</f>
        <v>319</v>
      </c>
      <c r="J1047" s="157">
        <v>0.21</v>
      </c>
      <c r="K1047" s="79">
        <f>INDEX('Resumo Operacional'!$A$1:$P$151,MATCH("Desconto percentual Ucs",'Resumo Operacional'!$B$1:$B$151,0),MATCH('Detalhe Por UC'!$R1047,'Resumo Operacional'!$A$1:$P$1,0))</f>
        <v>0.21</v>
      </c>
      <c r="M1047" s="56"/>
      <c r="N1047" s="56"/>
      <c r="O1047" s="56"/>
      <c r="P1047" s="56"/>
      <c r="Q1047" s="61"/>
      <c r="R1047" s="111">
        <v>45962</v>
      </c>
      <c r="S1047" s="152">
        <v>1E-4</v>
      </c>
      <c r="T1047" s="113">
        <f>IF($H1047="GIROSSOL II",AP1047/INDEX('Resumo Operacional'!$A$1:$P$1103,17,MATCH('Detalhe Por UC'!$R1047,'Resumo Operacional'!$A$1:$P$1,0)),
IF($H1047="GIROSSOL II e III",AP1047/INDEX('Resumo Operacional'!$A$1:$P$1103,17,MATCH('Detalhe Por UC'!$R1047,'Resumo Operacional'!$A$1:$P$1,0)),
""))</f>
        <v>7.9612913718793199E-2</v>
      </c>
      <c r="U1047" s="113" t="str">
        <f>IF($H1047="GIROSSOL III",AP1047/INDEX('Resumo Operacional'!$A$1:$P$1103,53,MATCH('Detalhe Por UC'!$R1047,'Resumo Operacional'!$A$1:$P$1,0)),
IF($H1047="GIROSSOL II e III",AP1047/INDEX('Resumo Operacional'!$A$1:$P$1103,53,MATCH('Detalhe Por UC'!$R1047,'Resumo Operacional'!$A$1:$P$1,0)),
""))</f>
        <v/>
      </c>
      <c r="X1047">
        <v>1.1540065146579803</v>
      </c>
      <c r="Z1047">
        <v>0.99762214983713349</v>
      </c>
      <c r="AB1047">
        <v>307</v>
      </c>
      <c r="AD1047">
        <v>307</v>
      </c>
      <c r="AF1047">
        <v>3993</v>
      </c>
      <c r="AG1047">
        <v>0</v>
      </c>
      <c r="AH1047">
        <v>58.59</v>
      </c>
      <c r="AK1047">
        <v>106.6</v>
      </c>
      <c r="AL1047" s="43">
        <v>0</v>
      </c>
      <c r="AN1047" s="71">
        <f t="shared" si="599"/>
        <v>672</v>
      </c>
      <c r="AO1047" s="71">
        <f t="shared" si="600"/>
        <v>0</v>
      </c>
      <c r="AP1047" s="71">
        <f t="shared" si="601"/>
        <v>979</v>
      </c>
      <c r="AQ1047" s="72">
        <f>IF(OR($H1047="GIROSSOL II",$H1047="GIROSSOL II e III"),INDEX('Resumo Operacional'!$A$1:$P$1103,MATCH("Energia Injetada prevista total Fatura da Usina (TUSD)",'Resumo Operacional'!$B$1:$B$1103,0),MATCH('Detalhe Por UC'!$R1047,'Resumo Operacional'!$A$1:$P$1,0))*$S1047,INDEX('Resumo Operacional'!$A$1:$P$1103,53,MATCH('Detalhe Por UC'!$R1047,'Resumo Operacional'!$A$1:$P$1,0))*$S1047)</f>
        <v>1.2297</v>
      </c>
      <c r="AR1047" s="71">
        <f t="shared" si="602"/>
        <v>977.77030000000002</v>
      </c>
      <c r="AS1047" s="73">
        <f t="shared" si="603"/>
        <v>106.6</v>
      </c>
      <c r="AT1047" s="74">
        <f t="shared" si="604"/>
        <v>106.6</v>
      </c>
      <c r="AU1047" s="74">
        <f t="shared" si="605"/>
        <v>0.84123778501628665</v>
      </c>
      <c r="AV1047" s="74">
        <f t="shared" si="606"/>
        <v>241.95329999999998</v>
      </c>
      <c r="AW1047" s="74">
        <f t="shared" si="607"/>
        <v>819.42999989999998</v>
      </c>
      <c r="AX1047" s="74">
        <f t="shared" si="608"/>
        <v>1125.6999999</v>
      </c>
      <c r="AY1047" s="74">
        <f t="shared" si="609"/>
        <v>1061.3800000000001</v>
      </c>
      <c r="AZ1047" s="76">
        <v>1061.3800000000001</v>
      </c>
      <c r="BC1047" s="73" t="str">
        <f t="shared" si="610"/>
        <v/>
      </c>
      <c r="BD1047" s="73">
        <f t="shared" si="611"/>
        <v>412.87</v>
      </c>
      <c r="BE1047" s="73">
        <f t="shared" si="612"/>
        <v>348.55329999999998</v>
      </c>
      <c r="BF1047" s="77">
        <f t="shared" si="613"/>
        <v>64.319999999999993</v>
      </c>
      <c r="BG1047" s="77">
        <f t="shared" si="614"/>
        <v>19.295999999999996</v>
      </c>
      <c r="BH1047" s="77">
        <f t="shared" si="615"/>
        <v>306.27</v>
      </c>
      <c r="BI1047" s="78">
        <f t="shared" si="616"/>
        <v>0.06</v>
      </c>
      <c r="BJ1047" s="79">
        <f t="shared" si="617"/>
        <v>0.15578753602828976</v>
      </c>
      <c r="BK1047" s="80">
        <f t="shared" si="618"/>
        <v>1167.98</v>
      </c>
      <c r="BL1047" s="80">
        <f t="shared" si="619"/>
        <v>-755.11</v>
      </c>
      <c r="BM1047" s="79">
        <f t="shared" si="620"/>
        <v>-1.8289292028967956</v>
      </c>
      <c r="BN1047" s="81">
        <f t="shared" si="621"/>
        <v>3.4572638436482088</v>
      </c>
      <c r="BO1047" s="82">
        <f t="shared" si="622"/>
        <v>1061.3800000000001</v>
      </c>
      <c r="BP1047" s="81">
        <f t="shared" si="623"/>
        <v>3.4572638436482088</v>
      </c>
      <c r="BQ1047" s="81">
        <f t="shared" si="624"/>
        <v>3.6136482084690558</v>
      </c>
      <c r="BR1047" s="81">
        <f t="shared" si="625"/>
        <v>1.1540065146579803</v>
      </c>
      <c r="BS1047" s="82">
        <f t="shared" si="626"/>
        <v>307</v>
      </c>
      <c r="BT1047" s="82">
        <f t="shared" si="627"/>
        <v>354.28</v>
      </c>
      <c r="BU1047" s="82">
        <f t="shared" si="628"/>
        <v>306.27</v>
      </c>
      <c r="BW1047" s="82">
        <f>IFERROR(INDEX('Infos Clientes'!$T:$T,MATCH('Detalhe Por UC'!$C1047,'Infos Clientes'!B:B,0)),"")</f>
        <v>55.25</v>
      </c>
      <c r="BX1047" s="83">
        <f t="shared" si="629"/>
        <v>0</v>
      </c>
      <c r="BY1047" s="84">
        <f t="shared" si="630"/>
        <v>-2.131393248278199</v>
      </c>
      <c r="BZ1047" s="85">
        <f>IF(_xlfn.MINIFS('Detalhe Por UC'!R:R,'Detalhe Por UC'!C:C,C1047,'Detalhe Por UC'!AD:AD,"&gt;"&amp;0)=0,"",_xlfn.MINIFS('Detalhe Por UC'!R:R,'Detalhe Por UC'!C:C,C1047,'Detalhe Por UC'!AD:AD,"&gt;"&amp;0))</f>
        <v>45689</v>
      </c>
      <c r="CA1047" s="114">
        <f ca="1">IF(OR(S1047&gt;0,AD1047&gt;0),IFERROR(
SUMIFS(INDIRECT("'Infos Clientes'!$W"&amp;INDEX('Infos Clientes'!$C:$C,MATCH(C1047,'Infos Clientes'!$H:$H,0))&amp;":$CZ"&amp;INDEX('Infos Clientes'!$C:$C,MATCH(C1047,'Infos Clientes'!$H:$H,0))),'Infos Clientes'!$W$2:$CZ$2,"&gt;"&amp;$R1047-365,'Infos Clientes'!$W$2:$CZ$2,"&lt;="&amp;$R1047)/
COUNTIFS(INDIRECT("'Infos Clientes'!$W"&amp;INDEX('Infos Clientes'!$C:$C,MATCH(C1047,'Infos Clientes'!$H:$H,0))&amp;":$CZ"&amp;INDEX('Infos Clientes'!$C:$C,MATCH(C1047,'Infos Clientes'!$H:$H,0))),"&gt;="&amp;0,'Infos Clientes'!$W$2:$CZ$2,"&gt;"&amp;$R1047-365,'Infos Clientes'!$W$2:$CZ$2,"&lt;="&amp;$R1047),""),"")</f>
        <v>306.83333333333331</v>
      </c>
      <c r="CB1047" s="87">
        <f>VLOOKUP(C1047,'Infos Clientes'!B:L,11,0)</f>
        <v>0</v>
      </c>
      <c r="CC1047" s="88" t="str">
        <f t="shared" si="631"/>
        <v>A Unidade Consumidora 10/3005226-0 economizou R$64,32 na fatura referente à nov/2025  consumindo 307 kWh em créditos de energia renovável conforme fatura de energia. A economia foi de 21% em relação ao que seria pago para a Energisa considerando os créditos consumidos. Atenção: Mantenha as contas da Energisa em dia para evitar cortes.</v>
      </c>
      <c r="CF1047" s="115">
        <f t="shared" si="632"/>
        <v>-106.6</v>
      </c>
    </row>
    <row r="1048" spans="3:84" ht="16.2" customHeight="1" x14ac:dyDescent="0.3">
      <c r="C1048" s="31" t="s">
        <v>116</v>
      </c>
      <c r="D1048" s="31" t="s">
        <v>351</v>
      </c>
      <c r="E1048" s="31" t="s">
        <v>352</v>
      </c>
      <c r="F1048" s="56" t="str">
        <f>INDEX('Infos Clientes'!$I:$I,MATCH('Detalhe Por UC'!C1048,'Infos Clientes'!B:B,0))</f>
        <v>BT</v>
      </c>
      <c r="G1048" s="56" t="str">
        <f>INDEX('Infos Clientes'!$J:$J,MATCH('Detalhe Por UC'!C1048,'Infos Clientes'!B:B,0))</f>
        <v>trifasico</v>
      </c>
      <c r="H1048" s="156" t="s">
        <v>24</v>
      </c>
      <c r="I1048" s="58">
        <f>IFERROR(VLOOKUP(C1048,'Infos Clientes'!B:E,4,),"")</f>
        <v>371</v>
      </c>
      <c r="J1048" s="157">
        <v>0.21</v>
      </c>
      <c r="K1048" s="79">
        <f>INDEX('Resumo Operacional'!$A$1:$P$151,MATCH("Desconto percentual Ucs",'Resumo Operacional'!$B$1:$B$151,0),MATCH('Detalhe Por UC'!$R1048,'Resumo Operacional'!$A$1:$P$1,0))</f>
        <v>0.21</v>
      </c>
      <c r="M1048" s="56"/>
      <c r="N1048" s="56"/>
      <c r="O1048" s="56"/>
      <c r="P1048" s="56"/>
      <c r="Q1048" s="61"/>
      <c r="R1048" s="111">
        <v>45962</v>
      </c>
      <c r="S1048" s="152">
        <v>1E-4</v>
      </c>
      <c r="T1048" s="113">
        <f>IF($H1048="GIROSSOL II",AP1048/INDEX('Resumo Operacional'!$A$1:$P$1103,17,MATCH('Detalhe Por UC'!$R1048,'Resumo Operacional'!$A$1:$P$1,0)),
IF($H1048="GIROSSOL II e III",AP1048/INDEX('Resumo Operacional'!$A$1:$P$1103,17,MATCH('Detalhe Por UC'!$R1048,'Resumo Operacional'!$A$1:$P$1,0)),
""))</f>
        <v>8.1320647312352605E-5</v>
      </c>
      <c r="U1048" s="113" t="str">
        <f>IF($H1048="GIROSSOL III",AP1048/INDEX('Resumo Operacional'!$A$1:$P$1103,53,MATCH('Detalhe Por UC'!$R1048,'Resumo Operacional'!$A$1:$P$1,0)),
IF($H1048="GIROSSOL II e III",AP1048/INDEX('Resumo Operacional'!$A$1:$P$1103,53,MATCH('Detalhe Por UC'!$R1048,'Resumo Operacional'!$A$1:$P$1,0)),
""))</f>
        <v/>
      </c>
      <c r="X1048">
        <v>1.2127093240093241</v>
      </c>
      <c r="Z1048">
        <v>1.2126817629179329</v>
      </c>
      <c r="AB1048">
        <v>429</v>
      </c>
      <c r="AD1048">
        <v>329</v>
      </c>
      <c r="AF1048">
        <v>177</v>
      </c>
      <c r="AG1048">
        <v>0</v>
      </c>
      <c r="AH1048">
        <v>92.51</v>
      </c>
      <c r="AK1048">
        <v>213.79</v>
      </c>
      <c r="AL1048" s="43">
        <v>0</v>
      </c>
      <c r="AN1048" s="71">
        <f t="shared" si="599"/>
        <v>-328</v>
      </c>
      <c r="AO1048" s="71">
        <f t="shared" si="600"/>
        <v>0</v>
      </c>
      <c r="AP1048" s="71">
        <f t="shared" si="601"/>
        <v>1</v>
      </c>
      <c r="AQ1048" s="72">
        <f>IF(OR($H1048="GIROSSOL II",$H1048="GIROSSOL II e III"),INDEX('Resumo Operacional'!$A$1:$P$1103,MATCH("Energia Injetada prevista total Fatura da Usina (TUSD)",'Resumo Operacional'!$B$1:$B$1103,0),MATCH('Detalhe Por UC'!$R1048,'Resumo Operacional'!$A$1:$P$1,0))*$S1048,INDEX('Resumo Operacional'!$A$1:$P$1103,53,MATCH('Detalhe Por UC'!$R1048,'Resumo Operacional'!$A$1:$P$1,0))*$S1048)</f>
        <v>1.2297</v>
      </c>
      <c r="AR1048" s="71">
        <f t="shared" si="602"/>
        <v>-0.22970000000000002</v>
      </c>
      <c r="AS1048" s="73">
        <f t="shared" si="603"/>
        <v>213.79000000000002</v>
      </c>
      <c r="AT1048" s="74">
        <f t="shared" si="604"/>
        <v>213.79000000000002</v>
      </c>
      <c r="AU1048" s="74">
        <f t="shared" si="605"/>
        <v>1.2126542018265418</v>
      </c>
      <c r="AV1048" s="74">
        <f t="shared" si="606"/>
        <v>315.18811699999998</v>
      </c>
      <c r="AW1048" s="74">
        <f t="shared" si="607"/>
        <v>0</v>
      </c>
      <c r="AX1048" s="74">
        <f t="shared" si="608"/>
        <v>398.97229999999996</v>
      </c>
      <c r="AY1048" s="74">
        <f t="shared" si="609"/>
        <v>315.19</v>
      </c>
      <c r="AZ1048" s="129">
        <v>315.19</v>
      </c>
      <c r="BA1048" s="117"/>
      <c r="BC1048" s="73" t="str">
        <f t="shared" si="610"/>
        <v/>
      </c>
      <c r="BD1048" s="73">
        <f t="shared" si="611"/>
        <v>612.76229999999998</v>
      </c>
      <c r="BE1048" s="73">
        <f t="shared" si="612"/>
        <v>528.978117</v>
      </c>
      <c r="BF1048" s="77">
        <f t="shared" si="613"/>
        <v>83.78</v>
      </c>
      <c r="BG1048" s="77">
        <f t="shared" si="614"/>
        <v>25.134</v>
      </c>
      <c r="BH1048" s="77">
        <f t="shared" si="615"/>
        <v>398.9722999999999</v>
      </c>
      <c r="BI1048" s="78">
        <f t="shared" si="616"/>
        <v>0.21</v>
      </c>
      <c r="BJ1048" s="79">
        <f t="shared" si="617"/>
        <v>0.13672512163362532</v>
      </c>
      <c r="BK1048" s="80">
        <f t="shared" si="618"/>
        <v>528.98</v>
      </c>
      <c r="BL1048" s="80">
        <f t="shared" si="619"/>
        <v>83.782299999999964</v>
      </c>
      <c r="BM1048" s="79">
        <f t="shared" si="620"/>
        <v>0.13672887512825113</v>
      </c>
      <c r="BN1048" s="81">
        <f t="shared" si="621"/>
        <v>0.95802431610942251</v>
      </c>
      <c r="BO1048" s="82">
        <f t="shared" si="622"/>
        <v>315.19</v>
      </c>
      <c r="BP1048" s="81">
        <f t="shared" si="623"/>
        <v>0.95802431610942251</v>
      </c>
      <c r="BQ1048" s="81">
        <f t="shared" si="624"/>
        <v>0.95805187720081364</v>
      </c>
      <c r="BR1048" s="81">
        <f t="shared" si="625"/>
        <v>1.2127093240093241</v>
      </c>
      <c r="BS1048" s="82">
        <f t="shared" si="626"/>
        <v>329</v>
      </c>
      <c r="BT1048" s="82">
        <f t="shared" si="627"/>
        <v>398.9813675990676</v>
      </c>
      <c r="BU1048" s="82">
        <f t="shared" si="628"/>
        <v>398.97229999999996</v>
      </c>
      <c r="BW1048" s="82">
        <f>IFERROR(INDEX('Infos Clientes'!$T:$T,MATCH('Detalhe Por UC'!$C1048,'Infos Clientes'!B:B,0)),"")</f>
        <v>513.41666666666663</v>
      </c>
      <c r="BX1048" s="83">
        <f t="shared" si="629"/>
        <v>0</v>
      </c>
      <c r="BY1048" s="84">
        <f t="shared" si="630"/>
        <v>0.20999050783792975</v>
      </c>
      <c r="BZ1048" s="85">
        <f>IF(_xlfn.MINIFS('Detalhe Por UC'!R:R,'Detalhe Por UC'!C:C,C1048,'Detalhe Por UC'!AD:AD,"&gt;"&amp;0)=0,"",_xlfn.MINIFS('Detalhe Por UC'!R:R,'Detalhe Por UC'!C:C,C1048,'Detalhe Por UC'!AD:AD,"&gt;"&amp;0))</f>
        <v>45627</v>
      </c>
      <c r="CA1048" s="114">
        <f ca="1">IF(OR(S1048&gt;0,AD1048&gt;0),IFERROR(
SUMIFS(INDIRECT("'Infos Clientes'!$W"&amp;INDEX('Infos Clientes'!$C:$C,MATCH(C1048,'Infos Clientes'!$H:$H,0))&amp;":$CZ"&amp;INDEX('Infos Clientes'!$C:$C,MATCH(C1048,'Infos Clientes'!$H:$H,0))),'Infos Clientes'!$W$2:$CZ$2,"&gt;"&amp;$R1048-365,'Infos Clientes'!$W$2:$CZ$2,"&lt;="&amp;$R1048)/
COUNTIFS(INDIRECT("'Infos Clientes'!$W"&amp;INDEX('Infos Clientes'!$C:$C,MATCH(C1048,'Infos Clientes'!$H:$H,0))&amp;":$CZ"&amp;INDEX('Infos Clientes'!$C:$C,MATCH(C1048,'Infos Clientes'!$H:$H,0))),"&gt;="&amp;0,'Infos Clientes'!$W$2:$CZ$2,"&gt;"&amp;$R1048-365,'Infos Clientes'!$W$2:$CZ$2,"&lt;="&amp;$R1048),""),"")</f>
        <v>449.16666666666669</v>
      </c>
      <c r="CB1048" s="87">
        <f>VLOOKUP(C1048,'Infos Clientes'!B:L,11,0)</f>
        <v>0</v>
      </c>
      <c r="CC1048" s="88" t="str">
        <f t="shared" si="631"/>
        <v>A Unidade Consumidora 10/513413-5 economizou R$83,78 na fatura referente à nov/2025  consumindo 329 kWh em créditos de energia renovável conforme fatura de energia. A economia foi de 21% em relação ao que seria pago para a Energisa considerando os créditos consumidos. Atenção: Mantenha as contas da Energisa em dia para evitar cortes.</v>
      </c>
      <c r="CF1048" s="115">
        <f t="shared" si="632"/>
        <v>-213.79000000000002</v>
      </c>
    </row>
    <row r="1049" spans="3:84" ht="16.2" customHeight="1" x14ac:dyDescent="0.3">
      <c r="C1049" s="31" t="s">
        <v>134</v>
      </c>
      <c r="D1049" s="31" t="s">
        <v>351</v>
      </c>
      <c r="E1049" s="31" t="s">
        <v>352</v>
      </c>
      <c r="F1049" s="56" t="str">
        <f>INDEX('Infos Clientes'!$I:$I,MATCH('Detalhe Por UC'!C1049,'Infos Clientes'!B:B,0))</f>
        <v>BT</v>
      </c>
      <c r="G1049" s="56" t="str">
        <f>INDEX('Infos Clientes'!$J:$J,MATCH('Detalhe Por UC'!C1049,'Infos Clientes'!B:B,0))</f>
        <v>monofasico</v>
      </c>
      <c r="H1049" s="156" t="s">
        <v>24</v>
      </c>
      <c r="I1049" s="58">
        <f>IFERROR(VLOOKUP(C1049,'Infos Clientes'!B:E,4,),"")</f>
        <v>0</v>
      </c>
      <c r="J1049" s="157">
        <v>0.21</v>
      </c>
      <c r="K1049" s="79">
        <f>INDEX('Resumo Operacional'!$A$1:$P$151,MATCH("Desconto percentual Ucs",'Resumo Operacional'!$B$1:$B$151,0),MATCH('Detalhe Por UC'!$R1049,'Resumo Operacional'!$A$1:$P$1,0))</f>
        <v>0.21</v>
      </c>
      <c r="M1049" s="56"/>
      <c r="N1049" s="56"/>
      <c r="O1049" s="56"/>
      <c r="P1049" s="56"/>
      <c r="Q1049" s="61"/>
      <c r="R1049" s="111">
        <v>45962</v>
      </c>
      <c r="S1049" s="152">
        <v>1E-4</v>
      </c>
      <c r="T1049" s="113">
        <f>IF($H1049="GIROSSOL II",AP1049/INDEX('Resumo Operacional'!$A$1:$P$1103,17,MATCH('Detalhe Por UC'!$R1049,'Resumo Operacional'!$A$1:$P$1,0)),
IF($H1049="GIROSSOL II e III",AP1049/INDEX('Resumo Operacional'!$A$1:$P$1103,17,MATCH('Detalhe Por UC'!$R1049,'Resumo Operacional'!$A$1:$P$1,0)),
""))</f>
        <v>8.1320647312352605E-5</v>
      </c>
      <c r="U1049" s="113" t="str">
        <f>IF($H1049="GIROSSOL III",AP1049/INDEX('Resumo Operacional'!$A$1:$P$1103,53,MATCH('Detalhe Por UC'!$R1049,'Resumo Operacional'!$A$1:$P$1,0)),
IF($H1049="GIROSSOL II e III",AP1049/INDEX('Resumo Operacional'!$A$1:$P$1103,53,MATCH('Detalhe Por UC'!$R1049,'Resumo Operacional'!$A$1:$P$1,0)),
""))</f>
        <v/>
      </c>
      <c r="X1049" s="158">
        <v>1.2132467532467535</v>
      </c>
      <c r="Y1049" s="158"/>
      <c r="Z1049" s="158">
        <v>1.1056428571428574</v>
      </c>
      <c r="AA1049" s="158"/>
      <c r="AB1049" s="158">
        <v>154</v>
      </c>
      <c r="AC1049" s="158"/>
      <c r="AD1049" s="158">
        <v>140</v>
      </c>
      <c r="AE1049" s="158"/>
      <c r="AF1049" s="158">
        <v>254</v>
      </c>
      <c r="AG1049" s="158">
        <v>0</v>
      </c>
      <c r="AH1049" s="158">
        <v>53.57</v>
      </c>
      <c r="AI1049" s="158"/>
      <c r="AJ1049" s="158"/>
      <c r="AK1049" s="158">
        <v>85.62</v>
      </c>
      <c r="AL1049" s="43">
        <f t="shared" ref="AL1049:AL1050" si="634">AK1049-AT1049</f>
        <v>0</v>
      </c>
      <c r="AN1049" s="71">
        <f t="shared" si="599"/>
        <v>-139</v>
      </c>
      <c r="AO1049" s="71">
        <f t="shared" si="600"/>
        <v>0</v>
      </c>
      <c r="AP1049" s="71">
        <f t="shared" si="601"/>
        <v>1</v>
      </c>
      <c r="AQ1049" s="72">
        <f>IF(OR($H1049="GIROSSOL II",$H1049="GIROSSOL II e III"),INDEX('Resumo Operacional'!$A$1:$P$1103,MATCH("Energia Injetada prevista total Fatura da Usina (TUSD)",'Resumo Operacional'!$B$1:$B$1103,0),MATCH('Detalhe Por UC'!$R1049,'Resumo Operacional'!$A$1:$P$1,0))*$S1049,INDEX('Resumo Operacional'!$A$1:$P$1103,53,MATCH('Detalhe Por UC'!$R1049,'Resumo Operacional'!$A$1:$P$1,0))*$S1049)</f>
        <v>1.2297</v>
      </c>
      <c r="AR1049" s="71">
        <f t="shared" si="602"/>
        <v>-0.22970000000000002</v>
      </c>
      <c r="AS1049" s="73">
        <f t="shared" si="603"/>
        <v>85.62</v>
      </c>
      <c r="AT1049" s="74">
        <f t="shared" si="604"/>
        <v>85.62</v>
      </c>
      <c r="AU1049" s="74">
        <f t="shared" si="605"/>
        <v>0.99803896103896128</v>
      </c>
      <c r="AV1049" s="74">
        <f t="shared" si="606"/>
        <v>122.28410000000004</v>
      </c>
      <c r="AW1049" s="74">
        <f t="shared" si="607"/>
        <v>0</v>
      </c>
      <c r="AX1049" s="74">
        <f t="shared" si="608"/>
        <v>154.79000000000002</v>
      </c>
      <c r="AY1049" s="74">
        <f t="shared" si="609"/>
        <v>122.28</v>
      </c>
      <c r="AZ1049" s="129">
        <v>122.28</v>
      </c>
      <c r="BC1049" s="73" t="str">
        <f t="shared" si="610"/>
        <v/>
      </c>
      <c r="BD1049" s="73">
        <f t="shared" si="611"/>
        <v>240.41000000000003</v>
      </c>
      <c r="BE1049" s="73">
        <f t="shared" si="612"/>
        <v>207.90410000000003</v>
      </c>
      <c r="BF1049" s="77">
        <f t="shared" si="613"/>
        <v>32.51</v>
      </c>
      <c r="BG1049" s="77">
        <f t="shared" si="614"/>
        <v>9.7529999999999983</v>
      </c>
      <c r="BH1049" s="77">
        <f t="shared" si="615"/>
        <v>154.79000000000002</v>
      </c>
      <c r="BI1049" s="78">
        <f t="shared" si="616"/>
        <v>0.21</v>
      </c>
      <c r="BJ1049" s="79">
        <f t="shared" si="617"/>
        <v>0.1352273199950085</v>
      </c>
      <c r="BK1049" s="80">
        <f t="shared" si="618"/>
        <v>207.9</v>
      </c>
      <c r="BL1049" s="80">
        <f t="shared" si="619"/>
        <v>32.510000000000019</v>
      </c>
      <c r="BM1049" s="79">
        <f t="shared" si="620"/>
        <v>0.13522731999500859</v>
      </c>
      <c r="BN1049" s="81">
        <f t="shared" si="621"/>
        <v>0.87342857142857144</v>
      </c>
      <c r="BO1049" s="82">
        <f t="shared" si="622"/>
        <v>122.28</v>
      </c>
      <c r="BP1049" s="81">
        <f t="shared" si="623"/>
        <v>0.87342857142857144</v>
      </c>
      <c r="BQ1049" s="81">
        <f t="shared" si="624"/>
        <v>0.98103246753246753</v>
      </c>
      <c r="BR1049" s="81">
        <f t="shared" si="625"/>
        <v>1.2132467532467535</v>
      </c>
      <c r="BS1049" s="82">
        <f t="shared" si="626"/>
        <v>140</v>
      </c>
      <c r="BT1049" s="82">
        <f t="shared" si="627"/>
        <v>169.85454545454547</v>
      </c>
      <c r="BU1049" s="82">
        <f t="shared" si="628"/>
        <v>154.79000000000002</v>
      </c>
      <c r="BW1049" s="82">
        <f>IFERROR(INDEX('Infos Clientes'!$T:$T,MATCH('Detalhe Por UC'!$C1049,'Infos Clientes'!B:B,0)),"")</f>
        <v>0</v>
      </c>
      <c r="BX1049" s="83">
        <f t="shared" si="629"/>
        <v>0</v>
      </c>
      <c r="BY1049" s="84">
        <f t="shared" si="630"/>
        <v>0.19139905801755527</v>
      </c>
      <c r="BZ1049" s="85">
        <f>IF(_xlfn.MINIFS('Detalhe Por UC'!R:R,'Detalhe Por UC'!C:C,C1049,'Detalhe Por UC'!AD:AD,"&gt;"&amp;0)=0,"",_xlfn.MINIFS('Detalhe Por UC'!R:R,'Detalhe Por UC'!C:C,C1049,'Detalhe Por UC'!AD:AD,"&gt;"&amp;0))</f>
        <v>45658</v>
      </c>
      <c r="CA1049" s="114">
        <f ca="1">IF(OR(S1049&gt;0,AD1049&gt;0),IFERROR(
SUMIFS(INDIRECT("'Infos Clientes'!$W"&amp;INDEX('Infos Clientes'!$C:$C,MATCH(C1049,'Infos Clientes'!$H:$H,0))&amp;":$CZ"&amp;INDEX('Infos Clientes'!$C:$C,MATCH(C1049,'Infos Clientes'!$H:$H,0))),'Infos Clientes'!$W$2:$CZ$2,"&gt;"&amp;$R1049-365,'Infos Clientes'!$W$2:$CZ$2,"&lt;="&amp;$R1049)/
COUNTIFS(INDIRECT("'Infos Clientes'!$W"&amp;INDEX('Infos Clientes'!$C:$C,MATCH(C1049,'Infos Clientes'!$H:$H,0))&amp;":$CZ"&amp;INDEX('Infos Clientes'!$C:$C,MATCH(C1049,'Infos Clientes'!$H:$H,0))),"&gt;="&amp;0,'Infos Clientes'!$W$2:$CZ$2,"&gt;"&amp;$R1049-365,'Infos Clientes'!$W$2:$CZ$2,"&lt;="&amp;$R1049),""),"")</f>
        <v>139.72727272727272</v>
      </c>
      <c r="CB1049" s="87">
        <f>VLOOKUP(C1049,'Infos Clientes'!B:L,11,0)</f>
        <v>0</v>
      </c>
      <c r="CC1049" s="88" t="str">
        <f t="shared" si="631"/>
        <v>A Unidade Consumidora 10/150263-2 economizou R$32,51 na fatura referente à nov/2025  consumindo 140 kWh em créditos de energia renovável conforme fatura de energia. A economia foi de 21% em relação ao que seria pago para a Energisa considerando os créditos consumidos. Atenção: Mantenha as contas da Energisa em dia para evitar cortes.</v>
      </c>
      <c r="CF1049" s="115">
        <f t="shared" si="632"/>
        <v>-85.62</v>
      </c>
    </row>
    <row r="1050" spans="3:84" ht="16.2" customHeight="1" x14ac:dyDescent="0.3">
      <c r="C1050" s="31" t="s">
        <v>135</v>
      </c>
      <c r="D1050" s="31" t="s">
        <v>351</v>
      </c>
      <c r="E1050" s="31" t="s">
        <v>352</v>
      </c>
      <c r="F1050" s="56" t="str">
        <f>INDEX('Infos Clientes'!$I:$I,MATCH('Detalhe Por UC'!C1050,'Infos Clientes'!B:B,0))</f>
        <v>BT</v>
      </c>
      <c r="G1050" s="56" t="str">
        <f>INDEX('Infos Clientes'!$J:$J,MATCH('Detalhe Por UC'!C1050,'Infos Clientes'!B:B,0))</f>
        <v>trifasico</v>
      </c>
      <c r="H1050" s="156" t="s">
        <v>24</v>
      </c>
      <c r="I1050" s="58">
        <f>IFERROR(VLOOKUP(C1050,'Infos Clientes'!B:E,4,),"")</f>
        <v>0</v>
      </c>
      <c r="J1050" s="157">
        <v>0.21</v>
      </c>
      <c r="K1050" s="79">
        <f>INDEX('Resumo Operacional'!$A$1:$P$151,MATCH("Desconto percentual Ucs",'Resumo Operacional'!$B$1:$B$151,0),MATCH('Detalhe Por UC'!$R1050,'Resumo Operacional'!$A$1:$P$1,0))</f>
        <v>0.21</v>
      </c>
      <c r="M1050" s="56"/>
      <c r="N1050" s="56"/>
      <c r="O1050" s="56"/>
      <c r="P1050" s="56"/>
      <c r="Q1050" s="61"/>
      <c r="R1050" s="111">
        <v>45962</v>
      </c>
      <c r="S1050" s="152">
        <v>1E-4</v>
      </c>
      <c r="T1050" s="113">
        <f>IF($H1050="GIROSSOL II",AP1050/INDEX('Resumo Operacional'!$A$1:$P$1103,17,MATCH('Detalhe Por UC'!$R1050,'Resumo Operacional'!$A$1:$P$1,0)),
IF($H1050="GIROSSOL II e III",AP1050/INDEX('Resumo Operacional'!$A$1:$P$1103,17,MATCH('Detalhe Por UC'!$R1050,'Resumo Operacional'!$A$1:$P$1,0)),
""))</f>
        <v>1.6264129462470521E-4</v>
      </c>
      <c r="U1050" s="113" t="str">
        <f>IF($H1050="GIROSSOL III",AP1050/INDEX('Resumo Operacional'!$A$1:$P$1103,53,MATCH('Detalhe Por UC'!$R1050,'Resumo Operacional'!$A$1:$P$1,0)),
IF($H1050="GIROSSOL II e III",AP1050/INDEX('Resumo Operacional'!$A$1:$P$1103,53,MATCH('Detalhe Por UC'!$R1050,'Resumo Operacional'!$A$1:$P$1,0)),
""))</f>
        <v/>
      </c>
      <c r="X1050" s="158">
        <v>1.2127170940170942</v>
      </c>
      <c r="Y1050" s="158"/>
      <c r="Z1050" s="158">
        <v>1.212655223880597</v>
      </c>
      <c r="AA1050" s="158"/>
      <c r="AB1050" s="158">
        <v>234</v>
      </c>
      <c r="AC1050" s="158"/>
      <c r="AD1050" s="158">
        <v>134</v>
      </c>
      <c r="AE1050" s="158"/>
      <c r="AF1050" s="158">
        <v>263</v>
      </c>
      <c r="AG1050" s="158">
        <v>0</v>
      </c>
      <c r="AH1050" s="158">
        <v>27.330000000000002</v>
      </c>
      <c r="AI1050" s="158"/>
      <c r="AJ1050" s="158"/>
      <c r="AK1050" s="158">
        <v>148.61000000000001</v>
      </c>
      <c r="AL1050" s="43">
        <f t="shared" si="634"/>
        <v>0</v>
      </c>
      <c r="AN1050" s="71">
        <f t="shared" si="599"/>
        <v>-132</v>
      </c>
      <c r="AO1050" s="71">
        <f t="shared" si="600"/>
        <v>0</v>
      </c>
      <c r="AP1050" s="71">
        <f t="shared" si="601"/>
        <v>2</v>
      </c>
      <c r="AQ1050" s="72">
        <f>IF(OR($H1050="GIROSSOL II",$H1050="GIROSSOL II e III"),INDEX('Resumo Operacional'!$A$1:$P$1103,MATCH("Energia Injetada prevista total Fatura da Usina (TUSD)",'Resumo Operacional'!$B$1:$B$1103,0),MATCH('Detalhe Por UC'!$R1050,'Resumo Operacional'!$A$1:$P$1,0))*$S1050,INDEX('Resumo Operacional'!$A$1:$P$1103,53,MATCH('Detalhe Por UC'!$R1050,'Resumo Operacional'!$A$1:$P$1,0))*$S1050)</f>
        <v>1.2297</v>
      </c>
      <c r="AR1050" s="71">
        <f t="shared" si="602"/>
        <v>0.77029999999999998</v>
      </c>
      <c r="AS1050" s="73">
        <f t="shared" si="603"/>
        <v>148.61000000000001</v>
      </c>
      <c r="AT1050" s="74">
        <f t="shared" si="604"/>
        <v>148.61000000000001</v>
      </c>
      <c r="AU1050" s="74">
        <f t="shared" si="605"/>
        <v>1.2125933537440998</v>
      </c>
      <c r="AV1050" s="74">
        <f t="shared" si="606"/>
        <v>128.37168199999999</v>
      </c>
      <c r="AW1050" s="74">
        <f t="shared" si="607"/>
        <v>0</v>
      </c>
      <c r="AX1050" s="74">
        <f t="shared" si="608"/>
        <v>162.4958</v>
      </c>
      <c r="AY1050" s="74">
        <f t="shared" si="609"/>
        <v>128.37</v>
      </c>
      <c r="AZ1050" s="129">
        <v>128.37</v>
      </c>
      <c r="BC1050" s="73" t="str">
        <f t="shared" si="610"/>
        <v/>
      </c>
      <c r="BD1050" s="73">
        <f t="shared" si="611"/>
        <v>311.10579999999999</v>
      </c>
      <c r="BE1050" s="73">
        <f t="shared" si="612"/>
        <v>276.98168199999998</v>
      </c>
      <c r="BF1050" s="77">
        <f t="shared" si="613"/>
        <v>34.119999999999997</v>
      </c>
      <c r="BG1050" s="77">
        <f t="shared" si="614"/>
        <v>10.235999999999999</v>
      </c>
      <c r="BH1050" s="77">
        <f t="shared" si="615"/>
        <v>162.4958</v>
      </c>
      <c r="BI1050" s="78">
        <f t="shared" si="616"/>
        <v>0.21</v>
      </c>
      <c r="BJ1050" s="79">
        <f t="shared" si="617"/>
        <v>0.10967330085135024</v>
      </c>
      <c r="BK1050" s="80">
        <f t="shared" si="618"/>
        <v>276.98</v>
      </c>
      <c r="BL1050" s="80">
        <f t="shared" si="619"/>
        <v>34.12579999999997</v>
      </c>
      <c r="BM1050" s="79">
        <f t="shared" si="620"/>
        <v>0.10969194402675865</v>
      </c>
      <c r="BN1050" s="81">
        <f t="shared" si="621"/>
        <v>0.95798507462686566</v>
      </c>
      <c r="BO1050" s="82">
        <f t="shared" si="622"/>
        <v>128.37</v>
      </c>
      <c r="BP1050" s="81">
        <f t="shared" si="623"/>
        <v>0.95798507462686566</v>
      </c>
      <c r="BQ1050" s="81">
        <f t="shared" si="624"/>
        <v>0.95804694476336283</v>
      </c>
      <c r="BR1050" s="81">
        <f t="shared" si="625"/>
        <v>1.2127170940170942</v>
      </c>
      <c r="BS1050" s="82">
        <f t="shared" si="626"/>
        <v>134</v>
      </c>
      <c r="BT1050" s="82">
        <f t="shared" si="627"/>
        <v>162.50409059829062</v>
      </c>
      <c r="BU1050" s="82">
        <f t="shared" si="628"/>
        <v>162.4958</v>
      </c>
      <c r="BW1050" s="82">
        <f>IFERROR(INDEX('Infos Clientes'!$T:$T,MATCH('Detalhe Por UC'!$C1050,'Infos Clientes'!B:B,0)),"")</f>
        <v>0</v>
      </c>
      <c r="BX1050" s="83">
        <f t="shared" si="629"/>
        <v>0</v>
      </c>
      <c r="BY1050" s="84">
        <f t="shared" si="630"/>
        <v>0.2099996367744294</v>
      </c>
      <c r="BZ1050" s="85">
        <f>IF(_xlfn.MINIFS('Detalhe Por UC'!R:R,'Detalhe Por UC'!C:C,C1050,'Detalhe Por UC'!AD:AD,"&gt;"&amp;0)=0,"",_xlfn.MINIFS('Detalhe Por UC'!R:R,'Detalhe Por UC'!C:C,C1050,'Detalhe Por UC'!AD:AD,"&gt;"&amp;0))</f>
        <v>45689</v>
      </c>
      <c r="CA1050" s="114">
        <f ca="1">IF(OR(S1050&gt;0,AD1050&gt;0),IFERROR(
SUMIFS(INDIRECT("'Infos Clientes'!$W"&amp;INDEX('Infos Clientes'!$C:$C,MATCH(C1050,'Infos Clientes'!$H:$H,0))&amp;":$CZ"&amp;INDEX('Infos Clientes'!$C:$C,MATCH(C1050,'Infos Clientes'!$H:$H,0))),'Infos Clientes'!$W$2:$CZ$2,"&gt;"&amp;$R1050-365,'Infos Clientes'!$W$2:$CZ$2,"&lt;="&amp;$R1050)/
COUNTIFS(INDIRECT("'Infos Clientes'!$W"&amp;INDEX('Infos Clientes'!$C:$C,MATCH(C1050,'Infos Clientes'!$H:$H,0))&amp;":$CZ"&amp;INDEX('Infos Clientes'!$C:$C,MATCH(C1050,'Infos Clientes'!$H:$H,0))),"&gt;="&amp;0,'Infos Clientes'!$W$2:$CZ$2,"&gt;"&amp;$R1050-365,'Infos Clientes'!$W$2:$CZ$2,"&lt;="&amp;$R1050),""),"")</f>
        <v>309.33333333333331</v>
      </c>
      <c r="CB1050" s="87">
        <f>VLOOKUP(C1050,'Infos Clientes'!B:L,11,0)</f>
        <v>0</v>
      </c>
      <c r="CC1050" s="88" t="str">
        <f t="shared" si="631"/>
        <v>A Unidade Consumidora 10/1433087-2 economizou R$34,12 na fatura referente à nov/2025  consumindo 134 kWh em créditos de energia renovável conforme fatura de energia. A economia foi de 21% em relação ao que seria pago para a Energisa considerando os créditos consumidos. Atenção: Mantenha as contas da Energisa em dia para evitar cortes.</v>
      </c>
      <c r="CF1050" s="115">
        <f t="shared" si="632"/>
        <v>-148.61000000000001</v>
      </c>
    </row>
    <row r="1051" spans="3:84" ht="16.2" customHeight="1" x14ac:dyDescent="0.3">
      <c r="C1051" s="31" t="s">
        <v>192</v>
      </c>
      <c r="D1051" s="31" t="s">
        <v>351</v>
      </c>
      <c r="E1051" s="31" t="s">
        <v>352</v>
      </c>
      <c r="F1051" s="56" t="str">
        <f>INDEX('Infos Clientes'!$I:$I,MATCH('Detalhe Por UC'!C1051,'Infos Clientes'!B:B,0))</f>
        <v>BT</v>
      </c>
      <c r="G1051" s="56" t="str">
        <f>INDEX('Infos Clientes'!$J:$J,MATCH('Detalhe Por UC'!C1051,'Infos Clientes'!B:B,0))</f>
        <v>trifasico</v>
      </c>
      <c r="H1051" s="156" t="s">
        <v>138</v>
      </c>
      <c r="I1051" s="58">
        <f>IFERROR(VLOOKUP(C1051,'Infos Clientes'!B:E,4,),"")</f>
        <v>319</v>
      </c>
      <c r="J1051" s="157">
        <v>0.21</v>
      </c>
      <c r="K1051" s="79">
        <f>INDEX('Resumo Operacional'!$A$1:$P$151,MATCH("Desconto percentual Ucs",'Resumo Operacional'!$B$1:$B$151,0),MATCH('Detalhe Por UC'!$R1051,'Resumo Operacional'!$A$1:$P$1,0))</f>
        <v>0.21</v>
      </c>
      <c r="M1051" s="56"/>
      <c r="N1051" s="56"/>
      <c r="O1051" s="56"/>
      <c r="P1051" s="56"/>
      <c r="Q1051" s="61"/>
      <c r="R1051" s="111">
        <v>45962</v>
      </c>
      <c r="S1051" s="152">
        <v>4.1599999999999998E-2</v>
      </c>
      <c r="T1051" s="113" t="str">
        <f>IF($H1051="GIROSSOL II",AP1051/INDEX('Resumo Operacional'!$A$1:$P$1103,17,MATCH('Detalhe Por UC'!$R1051,'Resumo Operacional'!$A$1:$P$1,0)),
IF($H1051="GIROSSOL II e III",AP1051/INDEX('Resumo Operacional'!$A$1:$P$1103,17,MATCH('Detalhe Por UC'!$R1051,'Resumo Operacional'!$A$1:$P$1,0)),
""))</f>
        <v/>
      </c>
      <c r="U1051" s="113">
        <f>IF($H1051="GIROSSOL III",AP1051/INDEX('Resumo Operacional'!$A$1:$P$1103,53,MATCH('Detalhe Por UC'!$R1051,'Resumo Operacional'!$A$1:$P$1,0)),
IF($H1051="GIROSSOL II e III",AP1051/INDEX('Resumo Operacional'!$A$1:$P$1103,53,MATCH('Detalhe Por UC'!$R1051,'Resumo Operacional'!$A$1:$P$1,0)),
""))</f>
        <v>4.1059507573038549E-2</v>
      </c>
      <c r="X1051">
        <v>1.2134978290797416</v>
      </c>
      <c r="Z1051">
        <v>1.0566075754239153</v>
      </c>
      <c r="AB1051">
        <v>497</v>
      </c>
      <c r="AD1051">
        <v>478</v>
      </c>
      <c r="AF1051">
        <v>176</v>
      </c>
      <c r="AG1051">
        <v>0</v>
      </c>
      <c r="AH1051">
        <v>71.42</v>
      </c>
      <c r="AK1051">
        <v>169.47</v>
      </c>
      <c r="AL1051" s="43">
        <v>0</v>
      </c>
      <c r="AN1051" s="71">
        <f t="shared" si="599"/>
        <v>94</v>
      </c>
      <c r="AO1051" s="71">
        <f t="shared" si="600"/>
        <v>0</v>
      </c>
      <c r="AP1051" s="71">
        <f t="shared" si="601"/>
        <v>572</v>
      </c>
      <c r="AQ1051" s="72">
        <f>IF(OR($H1051="GIROSSOL II",$H1051="GIROSSOL II e III"),INDEX('Resumo Operacional'!$A$1:$P$1103,MATCH("Energia Injetada prevista total Fatura da Usina (TUSD)",'Resumo Operacional'!$B$1:$B$1103,0),MATCH('Detalhe Por UC'!$R1051,'Resumo Operacional'!$A$1:$P$1,0))*$S1051,INDEX('Resumo Operacional'!$A$1:$P$1103,53,MATCH('Detalhe Por UC'!$R1051,'Resumo Operacional'!$A$1:$P$1,0))*$S1051)</f>
        <v>579.52959999999996</v>
      </c>
      <c r="AR1051" s="71">
        <f t="shared" si="602"/>
        <v>-7.5295999999999594</v>
      </c>
      <c r="AS1051" s="73">
        <f t="shared" si="603"/>
        <v>169.47000000000008</v>
      </c>
      <c r="AT1051" s="74">
        <f t="shared" si="604"/>
        <v>169.47000000000008</v>
      </c>
      <c r="AU1051" s="74">
        <f t="shared" si="605"/>
        <v>0.89971732176808894</v>
      </c>
      <c r="AV1051" s="74">
        <f t="shared" si="606"/>
        <v>398.99615263157887</v>
      </c>
      <c r="AW1051" s="74">
        <f t="shared" si="607"/>
        <v>0</v>
      </c>
      <c r="AX1051" s="74">
        <f t="shared" si="608"/>
        <v>505.0584210526315</v>
      </c>
      <c r="AY1051" s="74">
        <f t="shared" si="609"/>
        <v>399</v>
      </c>
      <c r="AZ1051" s="129">
        <v>399</v>
      </c>
      <c r="BA1051" s="117"/>
      <c r="BC1051" s="73" t="str">
        <f t="shared" si="610"/>
        <v/>
      </c>
      <c r="BD1051" s="73">
        <f t="shared" si="611"/>
        <v>674.52842105263153</v>
      </c>
      <c r="BE1051" s="73">
        <f t="shared" si="612"/>
        <v>568.46615263157901</v>
      </c>
      <c r="BF1051" s="77">
        <f t="shared" si="613"/>
        <v>106.06</v>
      </c>
      <c r="BG1051" s="77">
        <f t="shared" si="614"/>
        <v>31.817999999999998</v>
      </c>
      <c r="BH1051" s="77">
        <f t="shared" si="615"/>
        <v>505.05842105263145</v>
      </c>
      <c r="BI1051" s="78">
        <f t="shared" si="616"/>
        <v>0.21</v>
      </c>
      <c r="BJ1051" s="79">
        <f t="shared" si="617"/>
        <v>0.15723577641767661</v>
      </c>
      <c r="BK1051" s="80">
        <f t="shared" si="618"/>
        <v>568.47</v>
      </c>
      <c r="BL1051" s="80">
        <f t="shared" si="619"/>
        <v>106.0584210526315</v>
      </c>
      <c r="BM1051" s="79">
        <f t="shared" si="620"/>
        <v>0.15723343560101238</v>
      </c>
      <c r="BN1051" s="81">
        <f t="shared" si="621"/>
        <v>0.83472803347280333</v>
      </c>
      <c r="BO1051" s="82">
        <f t="shared" si="622"/>
        <v>399</v>
      </c>
      <c r="BP1051" s="81">
        <f t="shared" si="623"/>
        <v>0.83472803347280333</v>
      </c>
      <c r="BQ1051" s="81">
        <f t="shared" si="624"/>
        <v>0.99161828712862965</v>
      </c>
      <c r="BR1051" s="81">
        <f t="shared" si="625"/>
        <v>1.2134978290797416</v>
      </c>
      <c r="BS1051" s="82">
        <f t="shared" si="626"/>
        <v>478</v>
      </c>
      <c r="BT1051" s="82">
        <f t="shared" si="627"/>
        <v>580.05196230011643</v>
      </c>
      <c r="BU1051" s="82">
        <f t="shared" si="628"/>
        <v>505.0584210526315</v>
      </c>
      <c r="BW1051" s="82">
        <f>IFERROR(INDEX('Infos Clientes'!$T:$T,MATCH('Detalhe Por UC'!$C1051,'Infos Clientes'!B:B,0)),"")</f>
        <v>502.09090909090907</v>
      </c>
      <c r="BX1051" s="83">
        <f t="shared" si="629"/>
        <v>0</v>
      </c>
      <c r="BY1051" s="84">
        <f t="shared" si="630"/>
        <v>0.18284296570960881</v>
      </c>
      <c r="BZ1051" s="85">
        <f>IF(_xlfn.MINIFS('Detalhe Por UC'!R:R,'Detalhe Por UC'!C:C,C1051,'Detalhe Por UC'!AD:AD,"&gt;"&amp;0)=0,"",_xlfn.MINIFS('Detalhe Por UC'!R:R,'Detalhe Por UC'!C:C,C1051,'Detalhe Por UC'!AD:AD,"&gt;"&amp;0))</f>
        <v>45658</v>
      </c>
      <c r="CA1051" s="114">
        <f ca="1">IF(OR(S1051&gt;0,AD1051&gt;0),IFERROR(
SUMIFS(INDIRECT("'Infos Clientes'!$W"&amp;INDEX('Infos Clientes'!$C:$C,MATCH(C1051,'Infos Clientes'!$H:$H,0))&amp;":$CZ"&amp;INDEX('Infos Clientes'!$C:$C,MATCH(C1051,'Infos Clientes'!$H:$H,0))),'Infos Clientes'!$W$2:$CZ$2,"&gt;"&amp;$R1051-365,'Infos Clientes'!$W$2:$CZ$2,"&lt;="&amp;$R1051)/
COUNTIFS(INDIRECT("'Infos Clientes'!$W"&amp;INDEX('Infos Clientes'!$C:$C,MATCH(C1051,'Infos Clientes'!$H:$H,0))&amp;":$CZ"&amp;INDEX('Infos Clientes'!$C:$C,MATCH(C1051,'Infos Clientes'!$H:$H,0))),"&gt;="&amp;0,'Infos Clientes'!$W$2:$CZ$2,"&gt;"&amp;$R1051-365,'Infos Clientes'!$W$2:$CZ$2,"&lt;="&amp;$R1051),""),"")</f>
        <v>443.08333333333331</v>
      </c>
      <c r="CB1051" s="87">
        <f>VLOOKUP(C1051,'Infos Clientes'!B:L,11,0)</f>
        <v>0</v>
      </c>
      <c r="CC1051" s="88" t="str">
        <f t="shared" si="631"/>
        <v>A Unidade Consumidora 10/3139326-7 economizou R$106,06 na fatura referente à nov/2025  consumindo 478 kWh em créditos de energia renovável conforme fatura de energia. A economia foi de 21% em relação ao que seria pago para a Energisa considerando os créditos consumidos. Atenção: Mantenha as contas da Energisa em dia para evitar cortes.</v>
      </c>
      <c r="CF1051" s="115">
        <f t="shared" si="632"/>
        <v>-169.47000000000008</v>
      </c>
    </row>
    <row r="1052" spans="3:84" ht="16.2" customHeight="1" x14ac:dyDescent="0.3">
      <c r="C1052" s="31" t="s">
        <v>139</v>
      </c>
      <c r="D1052" s="31" t="s">
        <v>351</v>
      </c>
      <c r="E1052" s="31" t="s">
        <v>352</v>
      </c>
      <c r="F1052" s="56" t="str">
        <f>INDEX('Infos Clientes'!$I:$I,MATCH('Detalhe Por UC'!C1052,'Infos Clientes'!B:B,0))</f>
        <v>BT</v>
      </c>
      <c r="G1052" s="56" t="str">
        <f>INDEX('Infos Clientes'!$J:$J,MATCH('Detalhe Por UC'!C1052,'Infos Clientes'!B:B,0))</f>
        <v>bifasico</v>
      </c>
      <c r="H1052" s="156" t="s">
        <v>138</v>
      </c>
      <c r="I1052" s="58">
        <f>IFERROR(VLOOKUP(C1052,'Infos Clientes'!B:E,4,),"")</f>
        <v>351</v>
      </c>
      <c r="J1052" s="157">
        <v>0.21</v>
      </c>
      <c r="K1052" s="79">
        <f>INDEX('Resumo Operacional'!$A$1:$P$151,MATCH("Desconto percentual Ucs",'Resumo Operacional'!$B$1:$B$151,0),MATCH('Detalhe Por UC'!$R1052,'Resumo Operacional'!$A$1:$P$1,0))</f>
        <v>0.21</v>
      </c>
      <c r="M1052" s="56"/>
      <c r="N1052" s="56"/>
      <c r="O1052" s="56"/>
      <c r="P1052" s="56"/>
      <c r="Q1052" s="61"/>
      <c r="R1052" s="111">
        <v>45962</v>
      </c>
      <c r="S1052" s="152">
        <v>4.0800000000000003E-2</v>
      </c>
      <c r="T1052" s="113" t="str">
        <f>IF($H1052="GIROSSOL II",AP1052/INDEX('Resumo Operacional'!$A$1:$P$1103,17,MATCH('Detalhe Por UC'!$R1052,'Resumo Operacional'!$A$1:$P$1,0)),
IF($H1052="GIROSSOL II e III",AP1052/INDEX('Resumo Operacional'!$A$1:$P$1103,17,MATCH('Detalhe Por UC'!$R1052,'Resumo Operacional'!$A$1:$P$1,0)),
""))</f>
        <v/>
      </c>
      <c r="U1052" s="113">
        <f>IF($H1052="GIROSSOL III",AP1052/INDEX('Resumo Operacional'!$A$1:$P$1103,53,MATCH('Detalhe Por UC'!$R1052,'Resumo Operacional'!$A$1:$P$1,0)),
IF($H1052="GIROSSOL II e III",AP1052/INDEX('Resumo Operacional'!$A$1:$P$1103,53,MATCH('Detalhe Por UC'!$R1052,'Resumo Operacional'!$A$1:$P$1,0)),
""))</f>
        <v>4.0269901658172423E-2</v>
      </c>
      <c r="X1052">
        <v>1.1540123456790123</v>
      </c>
      <c r="Z1052">
        <v>0.99709876543209885</v>
      </c>
      <c r="AB1052">
        <v>486</v>
      </c>
      <c r="AD1052">
        <v>486</v>
      </c>
      <c r="AF1052">
        <v>537</v>
      </c>
      <c r="AG1052">
        <v>0</v>
      </c>
      <c r="AH1052">
        <v>52.27</v>
      </c>
      <c r="AK1052">
        <v>128.53</v>
      </c>
      <c r="AL1052" s="43">
        <v>0</v>
      </c>
      <c r="AN1052" s="71">
        <f t="shared" si="599"/>
        <v>75</v>
      </c>
      <c r="AO1052" s="71">
        <f t="shared" si="600"/>
        <v>0</v>
      </c>
      <c r="AP1052" s="71">
        <f t="shared" si="601"/>
        <v>561</v>
      </c>
      <c r="AQ1052" s="72">
        <f>IF(OR($H1052="GIROSSOL II",$H1052="GIROSSOL II e III"),INDEX('Resumo Operacional'!$A$1:$P$1103,MATCH("Energia Injetada prevista total Fatura da Usina (TUSD)",'Resumo Operacional'!$B$1:$B$1103,0),MATCH('Detalhe Por UC'!$R1052,'Resumo Operacional'!$A$1:$P$1,0))*$S1052,INDEX('Resumo Operacional'!$A$1:$P$1103,53,MATCH('Detalhe Por UC'!$R1052,'Resumo Operacional'!$A$1:$P$1,0))*$S1052)</f>
        <v>568.38480000000004</v>
      </c>
      <c r="AR1052" s="71">
        <f t="shared" si="602"/>
        <v>-7.3848000000000411</v>
      </c>
      <c r="AS1052" s="73">
        <f t="shared" si="603"/>
        <v>128.53</v>
      </c>
      <c r="AT1052" s="74">
        <f t="shared" si="604"/>
        <v>128.53</v>
      </c>
      <c r="AU1052" s="74">
        <f t="shared" si="605"/>
        <v>0.84018518518518537</v>
      </c>
      <c r="AV1052" s="74">
        <f t="shared" si="606"/>
        <v>382.82610000000005</v>
      </c>
      <c r="AW1052" s="74">
        <f t="shared" si="607"/>
        <v>0</v>
      </c>
      <c r="AX1052" s="74">
        <f t="shared" si="608"/>
        <v>484.59000000000003</v>
      </c>
      <c r="AY1052" s="74">
        <f t="shared" si="609"/>
        <v>382.83</v>
      </c>
      <c r="AZ1052" s="129">
        <v>382.83</v>
      </c>
      <c r="BA1052" s="117"/>
      <c r="BC1052" s="73" t="str">
        <f t="shared" si="610"/>
        <v/>
      </c>
      <c r="BD1052" s="73">
        <f t="shared" si="611"/>
        <v>613.12</v>
      </c>
      <c r="BE1052" s="73">
        <f t="shared" si="612"/>
        <v>511.35610000000008</v>
      </c>
      <c r="BF1052" s="77">
        <f t="shared" si="613"/>
        <v>101.76</v>
      </c>
      <c r="BG1052" s="77">
        <f t="shared" si="614"/>
        <v>30.527999999999999</v>
      </c>
      <c r="BH1052" s="77">
        <f t="shared" si="615"/>
        <v>484.59000000000009</v>
      </c>
      <c r="BI1052" s="78">
        <f t="shared" si="616"/>
        <v>0.21</v>
      </c>
      <c r="BJ1052" s="79">
        <f t="shared" si="617"/>
        <v>0.16597077244258873</v>
      </c>
      <c r="BK1052" s="80">
        <f t="shared" si="618"/>
        <v>511.36</v>
      </c>
      <c r="BL1052" s="80">
        <f t="shared" si="619"/>
        <v>101.75999999999999</v>
      </c>
      <c r="BM1052" s="79">
        <f t="shared" si="620"/>
        <v>0.1659707724425887</v>
      </c>
      <c r="BN1052" s="81">
        <f t="shared" si="621"/>
        <v>0.787716049382716</v>
      </c>
      <c r="BO1052" s="82">
        <f t="shared" si="622"/>
        <v>382.83</v>
      </c>
      <c r="BP1052" s="81">
        <f t="shared" si="623"/>
        <v>0.787716049382716</v>
      </c>
      <c r="BQ1052" s="81">
        <f t="shared" si="624"/>
        <v>0.94462962962962949</v>
      </c>
      <c r="BR1052" s="81">
        <f t="shared" si="625"/>
        <v>1.1540123456790123</v>
      </c>
      <c r="BS1052" s="82">
        <f t="shared" si="626"/>
        <v>486</v>
      </c>
      <c r="BT1052" s="82">
        <f t="shared" si="627"/>
        <v>560.85</v>
      </c>
      <c r="BU1052" s="82">
        <f t="shared" si="628"/>
        <v>484.59000000000003</v>
      </c>
      <c r="BW1052" s="82">
        <f>IFERROR(INDEX('Infos Clientes'!$T:$T,MATCH('Detalhe Por UC'!$C1052,'Infos Clientes'!B:B,0)),"")</f>
        <v>547.4545454545455</v>
      </c>
      <c r="BX1052" s="83">
        <f t="shared" si="629"/>
        <v>0</v>
      </c>
      <c r="BY1052" s="84">
        <f t="shared" si="630"/>
        <v>0.18143888740304906</v>
      </c>
      <c r="BZ1052" s="85">
        <f>IF(_xlfn.MINIFS('Detalhe Por UC'!R:R,'Detalhe Por UC'!C:C,C1052,'Detalhe Por UC'!AD:AD,"&gt;"&amp;0)=0,"",_xlfn.MINIFS('Detalhe Por UC'!R:R,'Detalhe Por UC'!C:C,C1052,'Detalhe Por UC'!AD:AD,"&gt;"&amp;0))</f>
        <v>45658</v>
      </c>
      <c r="CA1052" s="114">
        <f ca="1">IF(OR(S1052&gt;0,AD1052&gt;0),IFERROR(
SUMIFS(INDIRECT("'Infos Clientes'!$W"&amp;INDEX('Infos Clientes'!$C:$C,MATCH(C1052,'Infos Clientes'!$H:$H,0))&amp;":$CZ"&amp;INDEX('Infos Clientes'!$C:$C,MATCH(C1052,'Infos Clientes'!$H:$H,0))),'Infos Clientes'!$W$2:$CZ$2,"&gt;"&amp;$R1052-365,'Infos Clientes'!$W$2:$CZ$2,"&lt;="&amp;$R1052)/
COUNTIFS(INDIRECT("'Infos Clientes'!$W"&amp;INDEX('Infos Clientes'!$C:$C,MATCH(C1052,'Infos Clientes'!$H:$H,0))&amp;":$CZ"&amp;INDEX('Infos Clientes'!$C:$C,MATCH(C1052,'Infos Clientes'!$H:$H,0))),"&gt;="&amp;0,'Infos Clientes'!$W$2:$CZ$2,"&gt;"&amp;$R1052-365,'Infos Clientes'!$W$2:$CZ$2,"&lt;="&amp;$R1052),""),"")</f>
        <v>533.66666666666663</v>
      </c>
      <c r="CB1052" s="87">
        <f>VLOOKUP(C1052,'Infos Clientes'!B:L,11,0)</f>
        <v>0</v>
      </c>
      <c r="CC1052" s="88" t="str">
        <f t="shared" si="631"/>
        <v>A Unidade Consumidora 10/1081489-5 economizou R$101,76 na fatura referente à nov/2025  consumindo 486 kWh em créditos de energia renovável conforme fatura de energia. A economia foi de 21% em relação ao que seria pago para a Energisa considerando os créditos consumidos. Atenção: Mantenha as contas da Energisa em dia para evitar cortes.</v>
      </c>
      <c r="CF1052" s="115">
        <f t="shared" si="632"/>
        <v>-128.53</v>
      </c>
    </row>
    <row r="1053" spans="3:84" ht="16.2" customHeight="1" x14ac:dyDescent="0.3">
      <c r="C1053" s="31" t="s">
        <v>240</v>
      </c>
      <c r="D1053" s="31" t="s">
        <v>351</v>
      </c>
      <c r="E1053" s="31" t="s">
        <v>352</v>
      </c>
      <c r="F1053" s="56" t="str">
        <f>INDEX('Infos Clientes'!$I:$I,MATCH('Detalhe Por UC'!C1053,'Infos Clientes'!B:B,0))</f>
        <v>BT</v>
      </c>
      <c r="G1053" s="56" t="str">
        <f>INDEX('Infos Clientes'!$J:$J,MATCH('Detalhe Por UC'!C1053,'Infos Clientes'!B:B,0))</f>
        <v>trifasico</v>
      </c>
      <c r="H1053" s="156" t="s">
        <v>138</v>
      </c>
      <c r="I1053" s="58">
        <f>IFERROR(VLOOKUP(C1053,'Infos Clientes'!B:E,4,),"")</f>
        <v>360</v>
      </c>
      <c r="J1053" s="157">
        <v>0.21</v>
      </c>
      <c r="K1053" s="79">
        <f>INDEX('Resumo Operacional'!$A$1:$P$151,MATCH("Desconto percentual Ucs",'Resumo Operacional'!$B$1:$B$151,0),MATCH('Detalhe Por UC'!$R1053,'Resumo Operacional'!$A$1:$P$1,0))</f>
        <v>0.21</v>
      </c>
      <c r="M1053" s="56"/>
      <c r="N1053" s="56"/>
      <c r="O1053" s="56"/>
      <c r="P1053" s="56"/>
      <c r="Q1053" s="61"/>
      <c r="R1053" s="111">
        <v>45962</v>
      </c>
      <c r="S1053" s="152">
        <v>3.9600000000000003E-2</v>
      </c>
      <c r="T1053" s="113" t="str">
        <f>IF($H1053="GIROSSOL II",AP1053/INDEX('Resumo Operacional'!$A$1:$P$1103,17,MATCH('Detalhe Por UC'!$R1053,'Resumo Operacional'!$A$1:$P$1,0)),
IF($H1053="GIROSSOL II e III",AP1053/INDEX('Resumo Operacional'!$A$1:$P$1103,17,MATCH('Detalhe Por UC'!$R1053,'Resumo Operacional'!$A$1:$P$1,0)),
""))</f>
        <v/>
      </c>
      <c r="U1053" s="113">
        <f>IF($H1053="GIROSSOL III",AP1053/INDEX('Resumo Operacional'!$A$1:$P$1103,53,MATCH('Detalhe Por UC'!$R1053,'Resumo Operacional'!$A$1:$P$1,0)),
IF($H1053="GIROSSOL II e III",AP1053/INDEX('Resumo Operacional'!$A$1:$P$1103,53,MATCH('Detalhe Por UC'!$R1053,'Resumo Operacional'!$A$1:$P$1,0)),
""))</f>
        <v>6.1445696647763982E-2</v>
      </c>
      <c r="X1053">
        <v>1.2126567164179103</v>
      </c>
      <c r="Z1053">
        <v>1.0557779285391227</v>
      </c>
      <c r="AB1053">
        <v>265</v>
      </c>
      <c r="AD1053">
        <v>198</v>
      </c>
      <c r="AF1053">
        <v>658</v>
      </c>
      <c r="AG1053">
        <v>0</v>
      </c>
      <c r="AH1053">
        <v>55.51</v>
      </c>
      <c r="AI1053">
        <v>-517.55999999999995</v>
      </c>
      <c r="AJ1053">
        <v>349.74</v>
      </c>
      <c r="AK1053">
        <v>0</v>
      </c>
      <c r="AL1053" s="43">
        <v>0</v>
      </c>
      <c r="AN1053" s="71">
        <f t="shared" si="599"/>
        <v>658</v>
      </c>
      <c r="AO1053" s="71">
        <f t="shared" si="600"/>
        <v>0</v>
      </c>
      <c r="AP1053" s="71">
        <f t="shared" si="601"/>
        <v>856</v>
      </c>
      <c r="AQ1053" s="72">
        <f>IF(OR($H1053="GIROSSOL II",$H1053="GIROSSOL II e III"),INDEX('Resumo Operacional'!$A$1:$P$1103,MATCH("Energia Injetada prevista total Fatura da Usina (TUSD)",'Resumo Operacional'!$B$1:$B$1103,0),MATCH('Detalhe Por UC'!$R1053,'Resumo Operacional'!$A$1:$P$1,0))*$S1053,INDEX('Resumo Operacional'!$A$1:$P$1103,53,MATCH('Detalhe Por UC'!$R1053,'Resumo Operacional'!$A$1:$P$1,0))*$S1053)</f>
        <v>551.66759999999999</v>
      </c>
      <c r="AR1053" s="71">
        <f t="shared" si="602"/>
        <v>304.33240000000001</v>
      </c>
      <c r="AS1053" s="73">
        <f t="shared" si="603"/>
        <v>167.81999999999991</v>
      </c>
      <c r="AT1053" s="74">
        <f t="shared" si="604"/>
        <v>0</v>
      </c>
      <c r="AU1053" s="74">
        <f t="shared" si="605"/>
        <v>0.89889914066033505</v>
      </c>
      <c r="AV1053" s="74">
        <f t="shared" si="606"/>
        <v>165.14478358208959</v>
      </c>
      <c r="AW1053" s="74">
        <f t="shared" si="607"/>
        <v>0</v>
      </c>
      <c r="AX1053" s="74">
        <f t="shared" si="608"/>
        <v>209.04402985074628</v>
      </c>
      <c r="AY1053" s="74">
        <f t="shared" si="609"/>
        <v>165.14</v>
      </c>
      <c r="AZ1053" s="129">
        <v>165.14</v>
      </c>
      <c r="BA1053" s="117"/>
      <c r="BC1053" s="73" t="str">
        <f t="shared" si="610"/>
        <v/>
      </c>
      <c r="BD1053" s="73">
        <f t="shared" si="611"/>
        <v>376.86402985074619</v>
      </c>
      <c r="BE1053" s="73">
        <f t="shared" si="612"/>
        <v>332.96478358208947</v>
      </c>
      <c r="BF1053" s="77">
        <f t="shared" si="613"/>
        <v>43.9</v>
      </c>
      <c r="BG1053" s="77">
        <f t="shared" si="614"/>
        <v>13.17</v>
      </c>
      <c r="BH1053" s="77">
        <f t="shared" si="615"/>
        <v>209.04402985074628</v>
      </c>
      <c r="BI1053" s="78">
        <f t="shared" si="616"/>
        <v>0.21</v>
      </c>
      <c r="BJ1053" s="79">
        <f t="shared" si="617"/>
        <v>0.11648763618376161</v>
      </c>
      <c r="BK1053" s="80">
        <f t="shared" si="618"/>
        <v>332.95999999999992</v>
      </c>
      <c r="BL1053" s="80">
        <f t="shared" si="619"/>
        <v>43.904029850746269</v>
      </c>
      <c r="BM1053" s="79">
        <f t="shared" si="620"/>
        <v>0.11649832929965243</v>
      </c>
      <c r="BN1053" s="81">
        <f t="shared" si="621"/>
        <v>0.83404040404040403</v>
      </c>
      <c r="BO1053" s="82">
        <f t="shared" si="622"/>
        <v>165.14</v>
      </c>
      <c r="BP1053" s="81">
        <f t="shared" si="623"/>
        <v>0.83404040404040403</v>
      </c>
      <c r="BQ1053" s="81">
        <f t="shared" si="624"/>
        <v>0.99091919191919164</v>
      </c>
      <c r="BR1053" s="81">
        <f t="shared" si="625"/>
        <v>1.2126567164179103</v>
      </c>
      <c r="BS1053" s="82">
        <f t="shared" si="626"/>
        <v>198</v>
      </c>
      <c r="BT1053" s="82">
        <f t="shared" si="627"/>
        <v>240.10602985074624</v>
      </c>
      <c r="BU1053" s="82">
        <f t="shared" si="628"/>
        <v>209.04402985074628</v>
      </c>
      <c r="BW1053" s="82">
        <f>IFERROR(INDEX('Infos Clientes'!$T:$T,MATCH('Detalhe Por UC'!$C1053,'Infos Clientes'!B:B,0)),"")</f>
        <v>413.36363636363637</v>
      </c>
      <c r="BX1053" s="83">
        <f t="shared" si="629"/>
        <v>0</v>
      </c>
      <c r="BY1053" s="84">
        <f t="shared" si="630"/>
        <v>0.18285267503709815</v>
      </c>
      <c r="BZ1053" s="85">
        <f>IF(_xlfn.MINIFS('Detalhe Por UC'!R:R,'Detalhe Por UC'!C:C,C1053,'Detalhe Por UC'!AD:AD,"&gt;"&amp;0)=0,"",_xlfn.MINIFS('Detalhe Por UC'!R:R,'Detalhe Por UC'!C:C,C1053,'Detalhe Por UC'!AD:AD,"&gt;"&amp;0))</f>
        <v>45658</v>
      </c>
      <c r="CA1053" s="114">
        <f ca="1">IF(OR(S1053&gt;0,AD1053&gt;0),IFERROR(
SUMIFS(INDIRECT("'Infos Clientes'!$W"&amp;INDEX('Infos Clientes'!$C:$C,MATCH(C1053,'Infos Clientes'!$H:$H,0))&amp;":$CZ"&amp;INDEX('Infos Clientes'!$C:$C,MATCH(C1053,'Infos Clientes'!$H:$H,0))),'Infos Clientes'!$W$2:$CZ$2,"&gt;"&amp;$R1053-365,'Infos Clientes'!$W$2:$CZ$2,"&lt;="&amp;$R1053)/
COUNTIFS(INDIRECT("'Infos Clientes'!$W"&amp;INDEX('Infos Clientes'!$C:$C,MATCH(C1053,'Infos Clientes'!$H:$H,0))&amp;":$CZ"&amp;INDEX('Infos Clientes'!$C:$C,MATCH(C1053,'Infos Clientes'!$H:$H,0))),"&gt;="&amp;0,'Infos Clientes'!$W$2:$CZ$2,"&gt;"&amp;$R1053-365,'Infos Clientes'!$W$2:$CZ$2,"&lt;="&amp;$R1053),""),"")</f>
        <v>408</v>
      </c>
      <c r="CB1053" s="87">
        <f>VLOOKUP(C1053,'Infos Clientes'!B:L,11,0)</f>
        <v>0</v>
      </c>
      <c r="CC1053" s="88" t="str">
        <f t="shared" si="631"/>
        <v>A Unidade Consumidora 10/260761-2 economizou R$43,9 na fatura referente à nov/2025  consumindo 198 kWh em créditos de energia renovável conforme fatura de energia. A economia foi de 21% em relação ao que seria pago para a Energisa considerando os créditos consumidos. Atenção: Mantenha as contas da Energisa em dia para evitar cortes.</v>
      </c>
      <c r="CF1053" s="115">
        <f t="shared" si="632"/>
        <v>0</v>
      </c>
    </row>
    <row r="1054" spans="3:84" ht="16.2" customHeight="1" x14ac:dyDescent="0.3">
      <c r="C1054" s="31" t="s">
        <v>207</v>
      </c>
      <c r="D1054" s="31" t="s">
        <v>351</v>
      </c>
      <c r="E1054" s="31" t="s">
        <v>352</v>
      </c>
      <c r="F1054" s="56" t="str">
        <f>INDEX('Infos Clientes'!$I:$I,MATCH('Detalhe Por UC'!C1054,'Infos Clientes'!B:B,0))</f>
        <v>BT</v>
      </c>
      <c r="G1054" s="56" t="str">
        <f>INDEX('Infos Clientes'!$J:$J,MATCH('Detalhe Por UC'!C1054,'Infos Clientes'!B:B,0))</f>
        <v>trifasico</v>
      </c>
      <c r="H1054" s="156" t="s">
        <v>138</v>
      </c>
      <c r="I1054" s="58">
        <f>IFERROR(VLOOKUP(C1054,'Infos Clientes'!B:E,4,),"")</f>
        <v>357</v>
      </c>
      <c r="J1054" s="157">
        <v>0.21</v>
      </c>
      <c r="K1054" s="79">
        <f>INDEX('Resumo Operacional'!$A$1:$P$151,MATCH("Desconto percentual Ucs",'Resumo Operacional'!$B$1:$B$151,0),MATCH('Detalhe Por UC'!$R1054,'Resumo Operacional'!$A$1:$P$1,0))</f>
        <v>0.21</v>
      </c>
      <c r="M1054" s="56"/>
      <c r="N1054" s="56"/>
      <c r="O1054" s="56"/>
      <c r="P1054" s="56"/>
      <c r="Q1054" s="61"/>
      <c r="R1054" s="111">
        <v>45962</v>
      </c>
      <c r="S1054" s="152">
        <v>3.78E-2</v>
      </c>
      <c r="T1054" s="113" t="str">
        <f>IF($H1054="GIROSSOL II",AP1054/INDEX('Resumo Operacional'!$A$1:$P$1103,17,MATCH('Detalhe Por UC'!$R1054,'Resumo Operacional'!$A$1:$P$1,0)),
IF($H1054="GIROSSOL II e III",AP1054/INDEX('Resumo Operacional'!$A$1:$P$1103,17,MATCH('Detalhe Por UC'!$R1054,'Resumo Operacional'!$A$1:$P$1,0)),
""))</f>
        <v/>
      </c>
      <c r="U1054" s="113">
        <f>IF($H1054="GIROSSOL III",AP1054/INDEX('Resumo Operacional'!$A$1:$P$1103,53,MATCH('Detalhe Por UC'!$R1054,'Resumo Operacional'!$A$1:$P$1,0)),
IF($H1054="GIROSSOL II e III",AP1054/INDEX('Resumo Operacional'!$A$1:$P$1103,53,MATCH('Detalhe Por UC'!$R1054,'Resumo Operacional'!$A$1:$P$1,0)),
""))</f>
        <v>3.7326825066398679E-2</v>
      </c>
      <c r="X1054">
        <v>1.2127592165898617</v>
      </c>
      <c r="Z1054">
        <v>1.0558644278606966</v>
      </c>
      <c r="AB1054">
        <v>434</v>
      </c>
      <c r="AD1054">
        <v>402</v>
      </c>
      <c r="AF1054">
        <v>415</v>
      </c>
      <c r="AG1054">
        <v>0</v>
      </c>
      <c r="AH1054">
        <v>74.010000000000005</v>
      </c>
      <c r="AK1054">
        <v>175.89</v>
      </c>
      <c r="AL1054" s="43">
        <v>0</v>
      </c>
      <c r="AN1054" s="71">
        <f t="shared" si="599"/>
        <v>118</v>
      </c>
      <c r="AO1054" s="71">
        <f t="shared" si="600"/>
        <v>0</v>
      </c>
      <c r="AP1054" s="71">
        <f t="shared" si="601"/>
        <v>520</v>
      </c>
      <c r="AQ1054" s="72">
        <f>IF(OR($H1054="GIROSSOL II",$H1054="GIROSSOL II e III"),INDEX('Resumo Operacional'!$A$1:$P$1103,MATCH("Energia Injetada prevista total Fatura da Usina (TUSD)",'Resumo Operacional'!$B$1:$B$1103,0),MATCH('Detalhe Por UC'!$R1054,'Resumo Operacional'!$A$1:$P$1,0))*$S1054,INDEX('Resumo Operacional'!$A$1:$P$1103,53,MATCH('Detalhe Por UC'!$R1054,'Resumo Operacional'!$A$1:$P$1,0))*$S1054)</f>
        <v>526.59180000000003</v>
      </c>
      <c r="AR1054" s="71">
        <f t="shared" si="602"/>
        <v>-6.5918000000000347</v>
      </c>
      <c r="AS1054" s="73">
        <f t="shared" si="603"/>
        <v>175.88999999999993</v>
      </c>
      <c r="AT1054" s="74">
        <f t="shared" si="604"/>
        <v>175.88999999999993</v>
      </c>
      <c r="AU1054" s="74">
        <f t="shared" si="605"/>
        <v>0.89896963913153138</v>
      </c>
      <c r="AV1054" s="74">
        <f t="shared" si="606"/>
        <v>335.32142500000003</v>
      </c>
      <c r="AW1054" s="74">
        <f t="shared" si="607"/>
        <v>0</v>
      </c>
      <c r="AX1054" s="74">
        <f t="shared" si="608"/>
        <v>424.45750000000004</v>
      </c>
      <c r="AY1054" s="74">
        <f t="shared" si="609"/>
        <v>335.32</v>
      </c>
      <c r="AZ1054" s="129">
        <v>335.32</v>
      </c>
      <c r="BA1054" s="117"/>
      <c r="BC1054" s="73" t="str">
        <f t="shared" si="610"/>
        <v/>
      </c>
      <c r="BD1054" s="73">
        <f t="shared" si="611"/>
        <v>600.34749999999997</v>
      </c>
      <c r="BE1054" s="73">
        <f t="shared" si="612"/>
        <v>511.21142499999996</v>
      </c>
      <c r="BF1054" s="77">
        <f t="shared" si="613"/>
        <v>89.14</v>
      </c>
      <c r="BG1054" s="77">
        <f t="shared" si="614"/>
        <v>26.742000000000001</v>
      </c>
      <c r="BH1054" s="77">
        <f t="shared" si="615"/>
        <v>424.45750000000004</v>
      </c>
      <c r="BI1054" s="78">
        <f t="shared" si="616"/>
        <v>0.21</v>
      </c>
      <c r="BJ1054" s="79">
        <f t="shared" si="617"/>
        <v>0.14848067161102529</v>
      </c>
      <c r="BK1054" s="80">
        <f t="shared" si="618"/>
        <v>511.20999999999992</v>
      </c>
      <c r="BL1054" s="80">
        <f t="shared" si="619"/>
        <v>89.137500000000045</v>
      </c>
      <c r="BM1054" s="79">
        <f t="shared" si="620"/>
        <v>0.14847650735615631</v>
      </c>
      <c r="BN1054" s="81">
        <f t="shared" si="621"/>
        <v>0.83412935323383086</v>
      </c>
      <c r="BO1054" s="82">
        <f t="shared" si="622"/>
        <v>335.32</v>
      </c>
      <c r="BP1054" s="81">
        <f t="shared" si="623"/>
        <v>0.83412935323383086</v>
      </c>
      <c r="BQ1054" s="81">
        <f t="shared" si="624"/>
        <v>0.99102414196299604</v>
      </c>
      <c r="BR1054" s="81">
        <f t="shared" si="625"/>
        <v>1.2127592165898617</v>
      </c>
      <c r="BS1054" s="82">
        <f t="shared" si="626"/>
        <v>402</v>
      </c>
      <c r="BT1054" s="82">
        <f t="shared" si="627"/>
        <v>487.52920506912443</v>
      </c>
      <c r="BU1054" s="82">
        <f t="shared" si="628"/>
        <v>424.45750000000004</v>
      </c>
      <c r="BW1054" s="82">
        <f>IFERROR(INDEX('Infos Clientes'!$T:$T,MATCH('Detalhe Por UC'!$C1054,'Infos Clientes'!B:B,0)),"")</f>
        <v>510.45454545454544</v>
      </c>
      <c r="BX1054" s="83">
        <f t="shared" si="629"/>
        <v>0</v>
      </c>
      <c r="BY1054" s="84">
        <f t="shared" si="630"/>
        <v>0.18283520058528932</v>
      </c>
      <c r="BZ1054" s="85">
        <f>IF(_xlfn.MINIFS('Detalhe Por UC'!R:R,'Detalhe Por UC'!C:C,C1054,'Detalhe Por UC'!AD:AD,"&gt;"&amp;0)=0,"",_xlfn.MINIFS('Detalhe Por UC'!R:R,'Detalhe Por UC'!C:C,C1054,'Detalhe Por UC'!AD:AD,"&gt;"&amp;0))</f>
        <v>45658</v>
      </c>
      <c r="CA1054" s="114">
        <f ca="1">IF(OR(S1054&gt;0,AD1054&gt;0),IFERROR(
SUMIFS(INDIRECT("'Infos Clientes'!$W"&amp;INDEX('Infos Clientes'!$C:$C,MATCH(C1054,'Infos Clientes'!$H:$H,0))&amp;":$CZ"&amp;INDEX('Infos Clientes'!$C:$C,MATCH(C1054,'Infos Clientes'!$H:$H,0))),'Infos Clientes'!$W$2:$CZ$2,"&gt;"&amp;$R1054-365,'Infos Clientes'!$W$2:$CZ$2,"&lt;="&amp;$R1054)/
COUNTIFS(INDIRECT("'Infos Clientes'!$W"&amp;INDEX('Infos Clientes'!$C:$C,MATCH(C1054,'Infos Clientes'!$H:$H,0))&amp;":$CZ"&amp;INDEX('Infos Clientes'!$C:$C,MATCH(C1054,'Infos Clientes'!$H:$H,0))),"&gt;="&amp;0,'Infos Clientes'!$W$2:$CZ$2,"&gt;"&amp;$R1054-365,'Infos Clientes'!$W$2:$CZ$2,"&lt;="&amp;$R1054),""),"")</f>
        <v>447.33333333333331</v>
      </c>
      <c r="CB1054" s="87">
        <f>VLOOKUP(C1054,'Infos Clientes'!B:L,11,0)</f>
        <v>0</v>
      </c>
      <c r="CC1054" s="88" t="str">
        <f t="shared" si="631"/>
        <v>A Unidade Consumidora 10/489076-0 economizou R$89,14 na fatura referente à nov/2025  consumindo 402 kWh em créditos de energia renovável conforme fatura de energia. A economia foi de 21% em relação ao que seria pago para a Energisa considerando os créditos consumidos. Atenção: Mantenha as contas da Energisa em dia para evitar cortes.</v>
      </c>
      <c r="CF1054" s="115">
        <f t="shared" si="632"/>
        <v>-175.88999999999993</v>
      </c>
    </row>
    <row r="1055" spans="3:84" ht="16.2" customHeight="1" x14ac:dyDescent="0.3">
      <c r="C1055" s="31" t="s">
        <v>147</v>
      </c>
      <c r="D1055" s="31" t="s">
        <v>351</v>
      </c>
      <c r="E1055" s="31" t="s">
        <v>352</v>
      </c>
      <c r="F1055" s="56" t="str">
        <f>INDEX('Infos Clientes'!$I:$I,MATCH('Detalhe Por UC'!C1055,'Infos Clientes'!B:B,0))</f>
        <v>BT</v>
      </c>
      <c r="G1055" s="56" t="str">
        <f>INDEX('Infos Clientes'!$J:$J,MATCH('Detalhe Por UC'!C1055,'Infos Clientes'!B:B,0))</f>
        <v>trifasico</v>
      </c>
      <c r="H1055" s="156" t="s">
        <v>138</v>
      </c>
      <c r="I1055" s="58">
        <f>IFERROR(VLOOKUP(C1055,'Infos Clientes'!B:E,4,),"")</f>
        <v>360</v>
      </c>
      <c r="J1055" s="157">
        <v>0.21</v>
      </c>
      <c r="K1055" s="79">
        <f>INDEX('Resumo Operacional'!$A$1:$P$151,MATCH("Desconto percentual Ucs",'Resumo Operacional'!$B$1:$B$151,0),MATCH('Detalhe Por UC'!$R1055,'Resumo Operacional'!$A$1:$P$1,0))</f>
        <v>0.21</v>
      </c>
      <c r="M1055" s="56"/>
      <c r="N1055" s="56"/>
      <c r="O1055" s="56"/>
      <c r="P1055" s="56"/>
      <c r="Q1055" s="61"/>
      <c r="R1055" s="111">
        <v>45962</v>
      </c>
      <c r="S1055" s="152">
        <v>3.5799999999999998E-2</v>
      </c>
      <c r="T1055" s="113" t="str">
        <f>IF($H1055="GIROSSOL II",AP1055/INDEX('Resumo Operacional'!$A$1:$P$1103,17,MATCH('Detalhe Por UC'!$R1055,'Resumo Operacional'!$A$1:$P$1,0)),
IF($H1055="GIROSSOL II e III",AP1055/INDEX('Resumo Operacional'!$A$1:$P$1103,17,MATCH('Detalhe Por UC'!$R1055,'Resumo Operacional'!$A$1:$P$1,0)),
""))</f>
        <v/>
      </c>
      <c r="U1055" s="113">
        <f>IF($H1055="GIROSSOL III",AP1055/INDEX('Resumo Operacional'!$A$1:$P$1103,53,MATCH('Detalhe Por UC'!$R1055,'Resumo Operacional'!$A$1:$P$1,0)),
IF($H1055="GIROSSOL II e III",AP1055/INDEX('Resumo Operacional'!$A$1:$P$1103,53,MATCH('Detalhe Por UC'!$R1055,'Resumo Operacional'!$A$1:$P$1,0)),
""))</f>
        <v>3.5316919101284906E-2</v>
      </c>
      <c r="X1055">
        <v>1.1540157480314961</v>
      </c>
      <c r="Z1055">
        <v>0.99711811023622043</v>
      </c>
      <c r="AB1055">
        <v>635</v>
      </c>
      <c r="AD1055">
        <v>635</v>
      </c>
      <c r="AF1055">
        <v>0</v>
      </c>
      <c r="AG1055">
        <v>0</v>
      </c>
      <c r="AH1055">
        <v>110.26</v>
      </c>
      <c r="AK1055">
        <v>209.89</v>
      </c>
      <c r="AL1055" s="43">
        <v>0</v>
      </c>
      <c r="AN1055" s="71">
        <f t="shared" si="599"/>
        <v>-143</v>
      </c>
      <c r="AO1055" s="71">
        <f t="shared" si="600"/>
        <v>0</v>
      </c>
      <c r="AP1055" s="71">
        <f t="shared" si="601"/>
        <v>492</v>
      </c>
      <c r="AQ1055" s="72">
        <f>IF(OR($H1055="GIROSSOL II",$H1055="GIROSSOL II e III"),INDEX('Resumo Operacional'!$A$1:$P$1103,MATCH("Energia Injetada prevista total Fatura da Usina (TUSD)",'Resumo Operacional'!$B$1:$B$1103,0),MATCH('Detalhe Por UC'!$R1055,'Resumo Operacional'!$A$1:$P$1,0))*$S1055,INDEX('Resumo Operacional'!$A$1:$P$1103,53,MATCH('Detalhe Por UC'!$R1055,'Resumo Operacional'!$A$1:$P$1,0))*$S1055)</f>
        <v>498.72979999999995</v>
      </c>
      <c r="AR1055" s="71">
        <f t="shared" si="602"/>
        <v>-6.7297999999999547</v>
      </c>
      <c r="AS1055" s="73">
        <f t="shared" si="603"/>
        <v>209.8900000000001</v>
      </c>
      <c r="AT1055" s="74">
        <f t="shared" si="604"/>
        <v>209.8900000000001</v>
      </c>
      <c r="AU1055" s="74">
        <f t="shared" si="605"/>
        <v>0.84022047244094478</v>
      </c>
      <c r="AV1055" s="74">
        <f t="shared" si="606"/>
        <v>500.20429999999999</v>
      </c>
      <c r="AW1055" s="74">
        <f t="shared" si="607"/>
        <v>0</v>
      </c>
      <c r="AX1055" s="74">
        <f t="shared" si="608"/>
        <v>633.16999999999996</v>
      </c>
      <c r="AY1055" s="74">
        <f t="shared" si="609"/>
        <v>500.2</v>
      </c>
      <c r="AZ1055" s="129">
        <v>500.2</v>
      </c>
      <c r="BA1055" s="117"/>
      <c r="BC1055" s="73" t="str">
        <f t="shared" si="610"/>
        <v/>
      </c>
      <c r="BD1055" s="73">
        <f t="shared" si="611"/>
        <v>843.06000000000006</v>
      </c>
      <c r="BE1055" s="73">
        <f t="shared" si="612"/>
        <v>710.09430000000009</v>
      </c>
      <c r="BF1055" s="77">
        <f t="shared" si="613"/>
        <v>132.97</v>
      </c>
      <c r="BG1055" s="77">
        <f t="shared" si="614"/>
        <v>39.890999999999998</v>
      </c>
      <c r="BH1055" s="77">
        <f t="shared" si="615"/>
        <v>633.17000000000007</v>
      </c>
      <c r="BI1055" s="78">
        <f t="shared" si="616"/>
        <v>0.21</v>
      </c>
      <c r="BJ1055" s="79">
        <f t="shared" si="617"/>
        <v>0.15772305648471044</v>
      </c>
      <c r="BK1055" s="80">
        <f t="shared" si="618"/>
        <v>710.09000000000015</v>
      </c>
      <c r="BL1055" s="80">
        <f t="shared" si="619"/>
        <v>132.96999999999991</v>
      </c>
      <c r="BM1055" s="79">
        <f t="shared" si="620"/>
        <v>0.15772305648471036</v>
      </c>
      <c r="BN1055" s="81">
        <f t="shared" si="621"/>
        <v>0.78771653543307085</v>
      </c>
      <c r="BO1055" s="82">
        <f t="shared" si="622"/>
        <v>500.2</v>
      </c>
      <c r="BP1055" s="81">
        <f t="shared" si="623"/>
        <v>0.78771653543307085</v>
      </c>
      <c r="BQ1055" s="81">
        <f t="shared" si="624"/>
        <v>0.94461417322834651</v>
      </c>
      <c r="BR1055" s="81">
        <f t="shared" si="625"/>
        <v>1.1540157480314961</v>
      </c>
      <c r="BS1055" s="82">
        <f t="shared" si="626"/>
        <v>635</v>
      </c>
      <c r="BT1055" s="82">
        <f t="shared" si="627"/>
        <v>732.80000000000007</v>
      </c>
      <c r="BU1055" s="82">
        <f t="shared" si="628"/>
        <v>633.16999999999996</v>
      </c>
      <c r="BW1055" s="82">
        <f>IFERROR(INDEX('Infos Clientes'!$T:$T,MATCH('Detalhe Por UC'!$C1055,'Infos Clientes'!B:B,0)),"")</f>
        <v>471.63636363636363</v>
      </c>
      <c r="BX1055" s="83">
        <f t="shared" si="629"/>
        <v>0</v>
      </c>
      <c r="BY1055" s="84">
        <f t="shared" si="630"/>
        <v>0.18145469432314407</v>
      </c>
      <c r="BZ1055" s="85">
        <f>IF(_xlfn.MINIFS('Detalhe Por UC'!R:R,'Detalhe Por UC'!C:C,C1055,'Detalhe Por UC'!AD:AD,"&gt;"&amp;0)=0,"",_xlfn.MINIFS('Detalhe Por UC'!R:R,'Detalhe Por UC'!C:C,C1055,'Detalhe Por UC'!AD:AD,"&gt;"&amp;0))</f>
        <v>45658</v>
      </c>
      <c r="CA1055" s="114">
        <f ca="1">IF(OR(S1055&gt;0,AD1055&gt;0),IFERROR(
SUMIFS(INDIRECT("'Infos Clientes'!$W"&amp;INDEX('Infos Clientes'!$C:$C,MATCH(C1055,'Infos Clientes'!$H:$H,0))&amp;":$CZ"&amp;INDEX('Infos Clientes'!$C:$C,MATCH(C1055,'Infos Clientes'!$H:$H,0))),'Infos Clientes'!$W$2:$CZ$2,"&gt;"&amp;$R1055-365,'Infos Clientes'!$W$2:$CZ$2,"&lt;="&amp;$R1055)/
COUNTIFS(INDIRECT("'Infos Clientes'!$W"&amp;INDEX('Infos Clientes'!$C:$C,MATCH(C1055,'Infos Clientes'!$H:$H,0))&amp;":$CZ"&amp;INDEX('Infos Clientes'!$C:$C,MATCH(C1055,'Infos Clientes'!$H:$H,0))),"&gt;="&amp;0,'Infos Clientes'!$W$2:$CZ$2,"&gt;"&amp;$R1055-365,'Infos Clientes'!$W$2:$CZ$2,"&lt;="&amp;$R1055),""),"")</f>
        <v>486.41666666666669</v>
      </c>
      <c r="CB1055" s="87">
        <f>VLOOKUP(C1055,'Infos Clientes'!B:L,11,0)</f>
        <v>0</v>
      </c>
      <c r="CC1055" s="88" t="str">
        <f t="shared" si="631"/>
        <v>A Unidade Consumidora 10/127464-6 economizou R$132,97 na fatura referente à nov/2025  consumindo 635 kWh em créditos de energia renovável conforme fatura de energia. A economia foi de 21% em relação ao que seria pago para a Energisa considerando os créditos consumidos. Atenção: Mantenha as contas da Energisa em dia para evitar cortes.</v>
      </c>
      <c r="CF1055" s="115">
        <f t="shared" si="632"/>
        <v>-209.8900000000001</v>
      </c>
    </row>
    <row r="1056" spans="3:84" ht="16.2" customHeight="1" x14ac:dyDescent="0.3">
      <c r="C1056" s="31" t="s">
        <v>219</v>
      </c>
      <c r="D1056" s="31" t="s">
        <v>351</v>
      </c>
      <c r="E1056" s="31" t="s">
        <v>352</v>
      </c>
      <c r="F1056" s="56" t="str">
        <f>INDEX('Infos Clientes'!$I:$I,MATCH('Detalhe Por UC'!C1056,'Infos Clientes'!B:B,0))</f>
        <v>BT</v>
      </c>
      <c r="G1056" s="56" t="str">
        <f>INDEX('Infos Clientes'!$J:$J,MATCH('Detalhe Por UC'!C1056,'Infos Clientes'!B:B,0))</f>
        <v>trifasico</v>
      </c>
      <c r="H1056" s="156" t="s">
        <v>138</v>
      </c>
      <c r="I1056" s="58">
        <f>IFERROR(VLOOKUP(C1056,'Infos Clientes'!B:E,4,),"")</f>
        <v>319</v>
      </c>
      <c r="J1056" s="157">
        <v>0.21</v>
      </c>
      <c r="K1056" s="79">
        <f>INDEX('Resumo Operacional'!$A$1:$P$151,MATCH("Desconto percentual Ucs",'Resumo Operacional'!$B$1:$B$151,0),MATCH('Detalhe Por UC'!$R1056,'Resumo Operacional'!$A$1:$P$1,0))</f>
        <v>0.21</v>
      </c>
      <c r="M1056" s="56"/>
      <c r="N1056" s="56"/>
      <c r="O1056" s="56"/>
      <c r="P1056" s="56"/>
      <c r="Q1056" s="61"/>
      <c r="R1056" s="111">
        <v>45962</v>
      </c>
      <c r="S1056" s="152">
        <v>3.3000000000000002E-2</v>
      </c>
      <c r="T1056" s="113" t="str">
        <f>IF($H1056="GIROSSOL II",AP1056/INDEX('Resumo Operacional'!$A$1:$P$1103,17,MATCH('Detalhe Por UC'!$R1056,'Resumo Operacional'!$A$1:$P$1,0)),
IF($H1056="GIROSSOL II e III",AP1056/INDEX('Resumo Operacional'!$A$1:$P$1103,17,MATCH('Detalhe Por UC'!$R1056,'Resumo Operacional'!$A$1:$P$1,0)),
""))</f>
        <v/>
      </c>
      <c r="U1056" s="113">
        <f>IF($H1056="GIROSSOL III",AP1056/INDEX('Resumo Operacional'!$A$1:$P$1103,53,MATCH('Detalhe Por UC'!$R1056,'Resumo Operacional'!$A$1:$P$1,0)),
IF($H1056="GIROSSOL II e III",AP1056/INDEX('Resumo Operacional'!$A$1:$P$1103,53,MATCH('Detalhe Por UC'!$R1056,'Resumo Operacional'!$A$1:$P$1,0)),
""))</f>
        <v>0</v>
      </c>
      <c r="X1056">
        <v>1.2132393899204243</v>
      </c>
      <c r="Z1056">
        <v>1.0563312258517739</v>
      </c>
      <c r="AB1056">
        <v>464</v>
      </c>
      <c r="AD1056">
        <v>438</v>
      </c>
      <c r="AF1056">
        <v>113</v>
      </c>
      <c r="AG1056">
        <v>0</v>
      </c>
      <c r="AH1056">
        <v>71.42</v>
      </c>
      <c r="AK1056">
        <v>171.69</v>
      </c>
      <c r="AL1056" s="43">
        <v>0</v>
      </c>
      <c r="AN1056" s="71">
        <f t="shared" si="599"/>
        <v>-438</v>
      </c>
      <c r="AO1056" s="71">
        <f t="shared" si="600"/>
        <v>0</v>
      </c>
      <c r="AP1056" s="71">
        <f t="shared" si="601"/>
        <v>0</v>
      </c>
      <c r="AQ1056" s="72">
        <f>IF(OR($H1056="GIROSSOL II",$H1056="GIROSSOL II e III"),INDEX('Resumo Operacional'!$A$1:$P$1103,MATCH("Energia Injetada prevista total Fatura da Usina (TUSD)",'Resumo Operacional'!$B$1:$B$1103,0),MATCH('Detalhe Por UC'!$R1056,'Resumo Operacional'!$A$1:$P$1,0))*$S1056,INDEX('Resumo Operacional'!$A$1:$P$1103,53,MATCH('Detalhe Por UC'!$R1056,'Resumo Operacional'!$A$1:$P$1,0))*$S1056)</f>
        <v>459.72300000000001</v>
      </c>
      <c r="AR1056" s="71">
        <f t="shared" si="602"/>
        <v>-459.72300000000001</v>
      </c>
      <c r="AS1056" s="73">
        <f t="shared" si="603"/>
        <v>171.68999999999994</v>
      </c>
      <c r="AT1056" s="74">
        <f t="shared" si="604"/>
        <v>171.68999999999994</v>
      </c>
      <c r="AU1056" s="74">
        <f t="shared" si="605"/>
        <v>0.89942306178312337</v>
      </c>
      <c r="AV1056" s="74">
        <f t="shared" si="606"/>
        <v>365.51173076923084</v>
      </c>
      <c r="AW1056" s="74">
        <f t="shared" si="607"/>
        <v>-6.9999999999993179E-2</v>
      </c>
      <c r="AX1056" s="74">
        <f t="shared" si="608"/>
        <v>462.60307692307697</v>
      </c>
      <c r="AY1056" s="74">
        <f t="shared" si="609"/>
        <v>365.44</v>
      </c>
      <c r="AZ1056" s="129">
        <v>365.44</v>
      </c>
      <c r="BA1056" s="117"/>
      <c r="BC1056" s="73" t="str">
        <f t="shared" si="610"/>
        <v/>
      </c>
      <c r="BD1056" s="73">
        <f t="shared" si="611"/>
        <v>634.36307692307685</v>
      </c>
      <c r="BE1056" s="73">
        <f t="shared" si="612"/>
        <v>537.20173076923083</v>
      </c>
      <c r="BF1056" s="77">
        <f t="shared" si="613"/>
        <v>97.16</v>
      </c>
      <c r="BG1056" s="77">
        <f t="shared" si="614"/>
        <v>29.147999999999996</v>
      </c>
      <c r="BH1056" s="77">
        <f t="shared" si="615"/>
        <v>462.67307692307696</v>
      </c>
      <c r="BI1056" s="78">
        <f t="shared" si="616"/>
        <v>0.21</v>
      </c>
      <c r="BJ1056" s="79">
        <f t="shared" si="617"/>
        <v>0.15316149935974546</v>
      </c>
      <c r="BK1056" s="80">
        <f t="shared" si="618"/>
        <v>537.12999999999988</v>
      </c>
      <c r="BL1056" s="80">
        <f t="shared" si="619"/>
        <v>97.233076923076965</v>
      </c>
      <c r="BM1056" s="79">
        <f t="shared" si="620"/>
        <v>0.15327669667455676</v>
      </c>
      <c r="BN1056" s="81">
        <f t="shared" si="621"/>
        <v>0.834337899543379</v>
      </c>
      <c r="BO1056" s="82">
        <f t="shared" si="622"/>
        <v>365.44</v>
      </c>
      <c r="BP1056" s="81">
        <f t="shared" si="623"/>
        <v>0.834337899543379</v>
      </c>
      <c r="BQ1056" s="81">
        <f t="shared" si="624"/>
        <v>0.99124606361202949</v>
      </c>
      <c r="BR1056" s="81">
        <f t="shared" si="625"/>
        <v>1.2132393899204243</v>
      </c>
      <c r="BS1056" s="82">
        <f t="shared" si="626"/>
        <v>438</v>
      </c>
      <c r="BT1056" s="82">
        <f t="shared" si="627"/>
        <v>531.39885278514589</v>
      </c>
      <c r="BU1056" s="82">
        <f t="shared" si="628"/>
        <v>462.67307692307696</v>
      </c>
      <c r="BW1056" s="82">
        <f>IFERROR(INDEX('Infos Clientes'!$T:$T,MATCH('Detalhe Por UC'!$C1056,'Infos Clientes'!B:B,0)),"")</f>
        <v>385.63636363636363</v>
      </c>
      <c r="BX1056" s="83">
        <f t="shared" si="629"/>
        <v>0</v>
      </c>
      <c r="BY1056" s="84">
        <f t="shared" si="630"/>
        <v>0.18297569972810993</v>
      </c>
      <c r="BZ1056" s="85">
        <f>IF(_xlfn.MINIFS('Detalhe Por UC'!R:R,'Detalhe Por UC'!C:C,C1056,'Detalhe Por UC'!AD:AD,"&gt;"&amp;0)=0,"",_xlfn.MINIFS('Detalhe Por UC'!R:R,'Detalhe Por UC'!C:C,C1056,'Detalhe Por UC'!AD:AD,"&gt;"&amp;0))</f>
        <v>45658</v>
      </c>
      <c r="CA1056" s="114">
        <f ca="1">IF(OR(S1056&gt;0,AD1056&gt;0),IFERROR(
SUMIFS(INDIRECT("'Infos Clientes'!$W"&amp;INDEX('Infos Clientes'!$C:$C,MATCH(C1056,'Infos Clientes'!$H:$H,0))&amp;":$CZ"&amp;INDEX('Infos Clientes'!$C:$C,MATCH(C1056,'Infos Clientes'!$H:$H,0))),'Infos Clientes'!$W$2:$CZ$2,"&gt;"&amp;$R1056-365,'Infos Clientes'!$W$2:$CZ$2,"&lt;="&amp;$R1056)/
COUNTIFS(INDIRECT("'Infos Clientes'!$W"&amp;INDEX('Infos Clientes'!$C:$C,MATCH(C1056,'Infos Clientes'!$H:$H,0))&amp;":$CZ"&amp;INDEX('Infos Clientes'!$C:$C,MATCH(C1056,'Infos Clientes'!$H:$H,0))),"&gt;="&amp;0,'Infos Clientes'!$W$2:$CZ$2,"&gt;"&amp;$R1056-365,'Infos Clientes'!$W$2:$CZ$2,"&lt;="&amp;$R1056),""),"")</f>
        <v>381.66666666666669</v>
      </c>
      <c r="CB1056" s="87">
        <f>VLOOKUP(C1056,'Infos Clientes'!B:L,11,0)</f>
        <v>0</v>
      </c>
      <c r="CC1056" s="88" t="str">
        <f t="shared" si="631"/>
        <v>A Unidade Consumidora 10/63920-3 economizou R$97,16 na fatura referente à nov/2025  consumindo 438 kWh em créditos de energia renovável conforme fatura de energia. A economia foi de 21% em relação ao que seria pago para a Energisa considerando os créditos consumidos. Atenção: Mantenha as contas da Energisa em dia para evitar cortes.</v>
      </c>
      <c r="CF1056" s="115">
        <f t="shared" si="632"/>
        <v>-171.68999999999994</v>
      </c>
    </row>
    <row r="1057" spans="3:84" ht="16.2" customHeight="1" x14ac:dyDescent="0.3">
      <c r="C1057" s="31" t="s">
        <v>163</v>
      </c>
      <c r="D1057" s="31" t="s">
        <v>351</v>
      </c>
      <c r="E1057" s="31" t="s">
        <v>352</v>
      </c>
      <c r="F1057" s="56" t="str">
        <f>INDEX('Infos Clientes'!$I:$I,MATCH('Detalhe Por UC'!C1057,'Infos Clientes'!B:B,0))</f>
        <v>BT</v>
      </c>
      <c r="G1057" s="56" t="str">
        <f>INDEX('Infos Clientes'!$J:$J,MATCH('Detalhe Por UC'!C1057,'Infos Clientes'!B:B,0))</f>
        <v>trifasico</v>
      </c>
      <c r="H1057" s="156" t="s">
        <v>138</v>
      </c>
      <c r="I1057" s="58">
        <f>IFERROR(VLOOKUP(C1057,'Infos Clientes'!B:E,4,),"")</f>
        <v>302</v>
      </c>
      <c r="J1057" s="157">
        <v>0.21</v>
      </c>
      <c r="K1057" s="79">
        <f>INDEX('Resumo Operacional'!$A$1:$P$151,MATCH("Desconto percentual Ucs",'Resumo Operacional'!$B$1:$B$151,0),MATCH('Detalhe Por UC'!$R1057,'Resumo Operacional'!$A$1:$P$1,0))</f>
        <v>0.21</v>
      </c>
      <c r="M1057" s="56"/>
      <c r="N1057" s="56"/>
      <c r="O1057" s="56"/>
      <c r="P1057" s="56"/>
      <c r="Q1057" s="61"/>
      <c r="R1057" s="111">
        <v>45962</v>
      </c>
      <c r="S1057" s="152">
        <v>3.2399999999999998E-2</v>
      </c>
      <c r="T1057" s="113" t="str">
        <f>IF($H1057="GIROSSOL II",AP1057/INDEX('Resumo Operacional'!$A$1:$P$1103,17,MATCH('Detalhe Por UC'!$R1057,'Resumo Operacional'!$A$1:$P$1,0)),
IF($H1057="GIROSSOL II e III",AP1057/INDEX('Resumo Operacional'!$A$1:$P$1103,17,MATCH('Detalhe Por UC'!$R1057,'Resumo Operacional'!$A$1:$P$1,0)),
""))</f>
        <v/>
      </c>
      <c r="U1057" s="113">
        <f>IF($H1057="GIROSSOL III",AP1057/INDEX('Resumo Operacional'!$A$1:$P$1103,53,MATCH('Detalhe Por UC'!$R1057,'Resumo Operacional'!$A$1:$P$1,0)),
IF($H1057="GIROSSOL II e III",AP1057/INDEX('Resumo Operacional'!$A$1:$P$1103,53,MATCH('Detalhe Por UC'!$R1057,'Resumo Operacional'!$A$1:$P$1,0)),
""))</f>
        <v>0</v>
      </c>
      <c r="X1057">
        <v>1.2126641146141317</v>
      </c>
      <c r="Z1057">
        <v>1.0557424434848872</v>
      </c>
      <c r="AB1057" s="31">
        <v>759</v>
      </c>
      <c r="AC1057" s="31"/>
      <c r="AD1057" s="31">
        <v>124</v>
      </c>
      <c r="AF1057">
        <v>0</v>
      </c>
      <c r="AG1057">
        <v>0</v>
      </c>
      <c r="AH1057">
        <v>127.06</v>
      </c>
      <c r="AK1057">
        <v>916.56</v>
      </c>
      <c r="AL1057" s="43">
        <v>0</v>
      </c>
      <c r="AN1057" s="71">
        <f t="shared" si="599"/>
        <v>-124</v>
      </c>
      <c r="AO1057" s="71">
        <f t="shared" si="600"/>
        <v>0</v>
      </c>
      <c r="AP1057" s="71">
        <f t="shared" si="601"/>
        <v>0</v>
      </c>
      <c r="AQ1057" s="72">
        <f>IF(OR($H1057="GIROSSOL II",$H1057="GIROSSOL II e III"),INDEX('Resumo Operacional'!$A$1:$P$1103,MATCH("Energia Injetada prevista total Fatura da Usina (TUSD)",'Resumo Operacional'!$B$1:$B$1103,0),MATCH('Detalhe Por UC'!$R1057,'Resumo Operacional'!$A$1:$P$1,0))*$S1057,INDEX('Resumo Operacional'!$A$1:$P$1103,53,MATCH('Detalhe Por UC'!$R1057,'Resumo Operacional'!$A$1:$P$1,0))*$S1057)</f>
        <v>451.36439999999999</v>
      </c>
      <c r="AR1057" s="71">
        <f t="shared" si="602"/>
        <v>-451.36439999999999</v>
      </c>
      <c r="AS1057" s="73">
        <f t="shared" si="603"/>
        <v>916.56</v>
      </c>
      <c r="AT1057" s="74">
        <f t="shared" si="604"/>
        <v>916.56</v>
      </c>
      <c r="AU1057" s="74">
        <f t="shared" si="605"/>
        <v>0.89882077235564273</v>
      </c>
      <c r="AV1057" s="74">
        <f t="shared" si="606"/>
        <v>103.42052976377956</v>
      </c>
      <c r="AW1057" s="74">
        <f t="shared" si="607"/>
        <v>192.5</v>
      </c>
      <c r="AX1057" s="74">
        <f t="shared" si="608"/>
        <v>323.41206299212604</v>
      </c>
      <c r="AY1057" s="74">
        <f t="shared" si="609"/>
        <v>295.92</v>
      </c>
      <c r="AZ1057" s="129">
        <v>295.92</v>
      </c>
      <c r="BC1057" s="73" t="str">
        <f t="shared" si="610"/>
        <v/>
      </c>
      <c r="BD1057" s="73">
        <f t="shared" si="611"/>
        <v>1047.472062992126</v>
      </c>
      <c r="BE1057" s="73">
        <f t="shared" si="612"/>
        <v>1019.9805297637795</v>
      </c>
      <c r="BF1057" s="77">
        <f t="shared" si="613"/>
        <v>27.49</v>
      </c>
      <c r="BG1057" s="77">
        <f t="shared" si="614"/>
        <v>8.2469999999999999</v>
      </c>
      <c r="BH1057" s="77">
        <f t="shared" si="615"/>
        <v>130.91206299212604</v>
      </c>
      <c r="BI1057" s="78">
        <f t="shared" si="616"/>
        <v>0.09</v>
      </c>
      <c r="BJ1057" s="79">
        <f t="shared" si="617"/>
        <v>2.6244136689883867E-2</v>
      </c>
      <c r="BK1057" s="80">
        <f t="shared" si="618"/>
        <v>1212.48</v>
      </c>
      <c r="BL1057" s="80">
        <f t="shared" si="619"/>
        <v>-165.00793700787403</v>
      </c>
      <c r="BM1057" s="79">
        <f t="shared" si="620"/>
        <v>-0.15752967820117836</v>
      </c>
      <c r="BN1057" s="81">
        <f t="shared" si="621"/>
        <v>2.386451612903226</v>
      </c>
      <c r="BO1057" s="82">
        <f t="shared" si="622"/>
        <v>295.92</v>
      </c>
      <c r="BP1057" s="81">
        <f t="shared" si="623"/>
        <v>2.386451612903226</v>
      </c>
      <c r="BQ1057" s="81">
        <f t="shared" si="624"/>
        <v>2.5433732840324703</v>
      </c>
      <c r="BR1057" s="81">
        <f t="shared" si="625"/>
        <v>1.2126641146141319</v>
      </c>
      <c r="BS1057" s="82">
        <f t="shared" si="626"/>
        <v>124</v>
      </c>
      <c r="BT1057" s="82">
        <f t="shared" si="627"/>
        <v>150.37035021215235</v>
      </c>
      <c r="BU1057" s="82">
        <f t="shared" si="628"/>
        <v>130.91206299212601</v>
      </c>
      <c r="BW1057" s="82">
        <f>IFERROR(INDEX('Infos Clientes'!$T:$T,MATCH('Detalhe Por UC'!$C1057,'Infos Clientes'!B:B,0)),"")</f>
        <v>393</v>
      </c>
      <c r="BX1057" s="83">
        <f t="shared" si="629"/>
        <v>0</v>
      </c>
      <c r="BY1057" s="84">
        <f t="shared" si="630"/>
        <v>-1.0973435705580921</v>
      </c>
      <c r="BZ1057" s="85">
        <f>IF(_xlfn.MINIFS('Detalhe Por UC'!R:R,'Detalhe Por UC'!C:C,C1057,'Detalhe Por UC'!AD:AD,"&gt;"&amp;0)=0,"",_xlfn.MINIFS('Detalhe Por UC'!R:R,'Detalhe Por UC'!C:C,C1057,'Detalhe Por UC'!AD:AD,"&gt;"&amp;0))</f>
        <v>45658</v>
      </c>
      <c r="CA1057" s="114">
        <f ca="1">IF(OR(S1057&gt;0,AD1057&gt;0),IFERROR(
SUMIFS(INDIRECT("'Infos Clientes'!$W"&amp;INDEX('Infos Clientes'!$C:$C,MATCH(C1057,'Infos Clientes'!$H:$H,0))&amp;":$CZ"&amp;INDEX('Infos Clientes'!$C:$C,MATCH(C1057,'Infos Clientes'!$H:$H,0))),'Infos Clientes'!$W$2:$CZ$2,"&gt;"&amp;$R1057-365,'Infos Clientes'!$W$2:$CZ$2,"&lt;="&amp;$R1057)/
COUNTIFS(INDIRECT("'Infos Clientes'!$W"&amp;INDEX('Infos Clientes'!$C:$C,MATCH(C1057,'Infos Clientes'!$H:$H,0))&amp;":$CZ"&amp;INDEX('Infos Clientes'!$C:$C,MATCH(C1057,'Infos Clientes'!$H:$H,0))),"&gt;="&amp;0,'Infos Clientes'!$W$2:$CZ$2,"&gt;"&amp;$R1057-365,'Infos Clientes'!$W$2:$CZ$2,"&lt;="&amp;$R1057),""),"")</f>
        <v>238.33333333333334</v>
      </c>
      <c r="CB1057" s="87">
        <f>VLOOKUP(C1057,'Infos Clientes'!B:L,11,0)</f>
        <v>0</v>
      </c>
      <c r="CC1057" s="88" t="str">
        <f t="shared" si="631"/>
        <v>A Unidade Consumidora 10/1674177-9 economizou R$27,49 na fatura referente à nov/2025  consumindo 124 kWh em créditos de energia renovável conforme fatura de energia. A economia foi de 21% em relação ao que seria pago para a Energisa considerando os créditos consumidos. Atenção: Mantenha as contas da Energisa em dia para evitar cortes.</v>
      </c>
      <c r="CF1057" s="115">
        <f t="shared" si="632"/>
        <v>-916.56</v>
      </c>
    </row>
    <row r="1058" spans="3:84" ht="16.2" customHeight="1" x14ac:dyDescent="0.3">
      <c r="C1058" s="31" t="s">
        <v>157</v>
      </c>
      <c r="D1058" s="31" t="s">
        <v>351</v>
      </c>
      <c r="E1058" s="31" t="s">
        <v>352</v>
      </c>
      <c r="F1058" s="56" t="str">
        <f>INDEX('Infos Clientes'!$I:$I,MATCH('Detalhe Por UC'!C1058,'Infos Clientes'!B:B,0))</f>
        <v>BT</v>
      </c>
      <c r="G1058" s="56" t="str">
        <f>INDEX('Infos Clientes'!$J:$J,MATCH('Detalhe Por UC'!C1058,'Infos Clientes'!B:B,0))</f>
        <v>bifasico</v>
      </c>
      <c r="H1058" s="156" t="s">
        <v>138</v>
      </c>
      <c r="I1058" s="58">
        <f>IFERROR(VLOOKUP(C1058,'Infos Clientes'!B:E,4,),"")</f>
        <v>358</v>
      </c>
      <c r="J1058" s="157">
        <v>0.21</v>
      </c>
      <c r="K1058" s="79">
        <f>INDEX('Resumo Operacional'!$A$1:$P$151,MATCH("Desconto percentual Ucs",'Resumo Operacional'!$B$1:$B$151,0),MATCH('Detalhe Por UC'!$R1058,'Resumo Operacional'!$A$1:$P$1,0))</f>
        <v>0.21</v>
      </c>
      <c r="M1058" s="56"/>
      <c r="N1058" s="56"/>
      <c r="O1058" s="56"/>
      <c r="P1058" s="56"/>
      <c r="Q1058" s="61"/>
      <c r="R1058" s="111">
        <v>45962</v>
      </c>
      <c r="S1058" s="152">
        <v>3.1300000000000001E-2</v>
      </c>
      <c r="T1058" s="113" t="str">
        <f>IF($H1058="GIROSSOL II",AP1058/INDEX('Resumo Operacional'!$A$1:$P$1103,17,MATCH('Detalhe Por UC'!$R1058,'Resumo Operacional'!$A$1:$P$1,0)),
IF($H1058="GIROSSOL II e III",AP1058/INDEX('Resumo Operacional'!$A$1:$P$1103,17,MATCH('Detalhe Por UC'!$R1058,'Resumo Operacional'!$A$1:$P$1,0)),
""))</f>
        <v/>
      </c>
      <c r="U1058" s="113">
        <f>IF($H1058="GIROSSOL III",AP1058/INDEX('Resumo Operacional'!$A$1:$P$1103,53,MATCH('Detalhe Por UC'!$R1058,'Resumo Operacional'!$A$1:$P$1,0)),
IF($H1058="GIROSSOL II e III",AP1058/INDEX('Resumo Operacional'!$A$1:$P$1103,53,MATCH('Detalhe Por UC'!$R1058,'Resumo Operacional'!$A$1:$P$1,0)),
""))</f>
        <v>6.2163520206733186E-2</v>
      </c>
      <c r="X1058">
        <v>1.1540243902439025</v>
      </c>
      <c r="Z1058">
        <v>0.99714634146341463</v>
      </c>
      <c r="AB1058">
        <v>410</v>
      </c>
      <c r="AD1058">
        <v>410</v>
      </c>
      <c r="AF1058">
        <v>851</v>
      </c>
      <c r="AG1058">
        <v>0</v>
      </c>
      <c r="AH1058">
        <v>74.7</v>
      </c>
      <c r="AK1058">
        <v>139.02000000000001</v>
      </c>
      <c r="AL1058" s="43">
        <v>0</v>
      </c>
      <c r="AN1058" s="71">
        <f t="shared" si="599"/>
        <v>456</v>
      </c>
      <c r="AO1058" s="71">
        <f t="shared" si="600"/>
        <v>0</v>
      </c>
      <c r="AP1058" s="71">
        <f t="shared" si="601"/>
        <v>866</v>
      </c>
      <c r="AQ1058" s="72">
        <f>IF(OR($H1058="GIROSSOL II",$H1058="GIROSSOL II e III"),INDEX('Resumo Operacional'!$A$1:$P$1103,MATCH("Energia Injetada prevista total Fatura da Usina (TUSD)",'Resumo Operacional'!$B$1:$B$1103,0),MATCH('Detalhe Por UC'!$R1058,'Resumo Operacional'!$A$1:$P$1,0))*$S1058,INDEX('Resumo Operacional'!$A$1:$P$1103,53,MATCH('Detalhe Por UC'!$R1058,'Resumo Operacional'!$A$1:$P$1,0))*$S1058)</f>
        <v>436.0403</v>
      </c>
      <c r="AR1058" s="71">
        <f t="shared" si="602"/>
        <v>429.9597</v>
      </c>
      <c r="AS1058" s="73">
        <f t="shared" si="603"/>
        <v>139.02000000000004</v>
      </c>
      <c r="AT1058" s="74">
        <f t="shared" si="604"/>
        <v>139.02000000000004</v>
      </c>
      <c r="AU1058" s="74">
        <f t="shared" si="605"/>
        <v>0.8402682926829268</v>
      </c>
      <c r="AV1058" s="74">
        <f t="shared" si="606"/>
        <v>322.97570000000002</v>
      </c>
      <c r="AW1058" s="74">
        <f t="shared" si="607"/>
        <v>0</v>
      </c>
      <c r="AX1058" s="74">
        <f t="shared" si="608"/>
        <v>408.83</v>
      </c>
      <c r="AY1058" s="74">
        <f t="shared" si="609"/>
        <v>322.98</v>
      </c>
      <c r="AZ1058" s="129">
        <v>322.98</v>
      </c>
      <c r="BA1058" s="117"/>
      <c r="BC1058" s="73" t="str">
        <f t="shared" si="610"/>
        <v/>
      </c>
      <c r="BD1058" s="73">
        <f t="shared" si="611"/>
        <v>547.85</v>
      </c>
      <c r="BE1058" s="73">
        <f t="shared" si="612"/>
        <v>461.99570000000006</v>
      </c>
      <c r="BF1058" s="77">
        <f t="shared" si="613"/>
        <v>85.85</v>
      </c>
      <c r="BG1058" s="77">
        <f t="shared" si="614"/>
        <v>25.754999999999999</v>
      </c>
      <c r="BH1058" s="77">
        <f t="shared" si="615"/>
        <v>408.83000000000004</v>
      </c>
      <c r="BI1058" s="78">
        <f t="shared" si="616"/>
        <v>0.21</v>
      </c>
      <c r="BJ1058" s="79">
        <f t="shared" si="617"/>
        <v>0.15670347722916855</v>
      </c>
      <c r="BK1058" s="80">
        <f t="shared" si="618"/>
        <v>462.00000000000006</v>
      </c>
      <c r="BL1058" s="80">
        <f t="shared" si="619"/>
        <v>85.849999999999966</v>
      </c>
      <c r="BM1058" s="79">
        <f t="shared" si="620"/>
        <v>0.1567034772291685</v>
      </c>
      <c r="BN1058" s="81">
        <f t="shared" si="621"/>
        <v>0.78775609756097564</v>
      </c>
      <c r="BO1058" s="82">
        <f t="shared" si="622"/>
        <v>322.98</v>
      </c>
      <c r="BP1058" s="81">
        <f t="shared" si="623"/>
        <v>0.78775609756097564</v>
      </c>
      <c r="BQ1058" s="81">
        <f t="shared" si="624"/>
        <v>0.94463414634146348</v>
      </c>
      <c r="BR1058" s="81">
        <f t="shared" si="625"/>
        <v>1.1540243902439025</v>
      </c>
      <c r="BS1058" s="82">
        <f t="shared" si="626"/>
        <v>410</v>
      </c>
      <c r="BT1058" s="82">
        <f t="shared" si="627"/>
        <v>473.15000000000003</v>
      </c>
      <c r="BU1058" s="82">
        <f t="shared" si="628"/>
        <v>408.83</v>
      </c>
      <c r="BW1058" s="82">
        <f>IFERROR(INDEX('Infos Clientes'!$T:$T,MATCH('Detalhe Por UC'!$C1058,'Infos Clientes'!B:B,0)),"")</f>
        <v>449.81818181818181</v>
      </c>
      <c r="BX1058" s="83">
        <f t="shared" si="629"/>
        <v>0</v>
      </c>
      <c r="BY1058" s="84">
        <f t="shared" si="630"/>
        <v>0.18144351685511992</v>
      </c>
      <c r="BZ1058" s="85">
        <f>IF(_xlfn.MINIFS('Detalhe Por UC'!R:R,'Detalhe Por UC'!C:C,C1058,'Detalhe Por UC'!AD:AD,"&gt;"&amp;0)=0,"",_xlfn.MINIFS('Detalhe Por UC'!R:R,'Detalhe Por UC'!C:C,C1058,'Detalhe Por UC'!AD:AD,"&gt;"&amp;0))</f>
        <v>45658</v>
      </c>
      <c r="CA1058" s="114">
        <f ca="1">IF(OR(S1058&gt;0,AD1058&gt;0),IFERROR(
SUMIFS(INDIRECT("'Infos Clientes'!$W"&amp;INDEX('Infos Clientes'!$C:$C,MATCH(C1058,'Infos Clientes'!$H:$H,0))&amp;":$CZ"&amp;INDEX('Infos Clientes'!$C:$C,MATCH(C1058,'Infos Clientes'!$H:$H,0))),'Infos Clientes'!$W$2:$CZ$2,"&gt;"&amp;$R1058-365,'Infos Clientes'!$W$2:$CZ$2,"&lt;="&amp;$R1058)/
COUNTIFS(INDIRECT("'Infos Clientes'!$W"&amp;INDEX('Infos Clientes'!$C:$C,MATCH(C1058,'Infos Clientes'!$H:$H,0))&amp;":$CZ"&amp;INDEX('Infos Clientes'!$C:$C,MATCH(C1058,'Infos Clientes'!$H:$H,0))),"&gt;="&amp;0,'Infos Clientes'!$W$2:$CZ$2,"&gt;"&amp;$R1058-365,'Infos Clientes'!$W$2:$CZ$2,"&lt;="&amp;$R1058),""),"")</f>
        <v>431.75</v>
      </c>
      <c r="CB1058" s="87">
        <f>VLOOKUP(C1058,'Infos Clientes'!B:L,11,0)</f>
        <v>0</v>
      </c>
      <c r="CC1058" s="88" t="str">
        <f t="shared" si="631"/>
        <v>A Unidade Consumidora 10/142353-2 economizou R$85,85 na fatura referente à nov/2025  consumindo 410 kWh em créditos de energia renovável conforme fatura de energia. A economia foi de 21% em relação ao que seria pago para a Energisa considerando os créditos consumidos. Atenção: Mantenha as contas da Energisa em dia para evitar cortes.</v>
      </c>
      <c r="CF1058" s="115">
        <f t="shared" si="632"/>
        <v>-139.02000000000004</v>
      </c>
    </row>
    <row r="1059" spans="3:84" ht="16.2" customHeight="1" x14ac:dyDescent="0.3">
      <c r="C1059" s="31" t="s">
        <v>160</v>
      </c>
      <c r="D1059" s="31" t="s">
        <v>351</v>
      </c>
      <c r="E1059" s="31" t="s">
        <v>352</v>
      </c>
      <c r="F1059" s="56" t="str">
        <f>INDEX('Infos Clientes'!$I:$I,MATCH('Detalhe Por UC'!C1059,'Infos Clientes'!B:B,0))</f>
        <v>BT</v>
      </c>
      <c r="G1059" s="56" t="str">
        <f>INDEX('Infos Clientes'!$J:$J,MATCH('Detalhe Por UC'!C1059,'Infos Clientes'!B:B,0))</f>
        <v>trifasico</v>
      </c>
      <c r="H1059" s="156" t="s">
        <v>138</v>
      </c>
      <c r="I1059" s="58">
        <f>IFERROR(VLOOKUP(C1059,'Infos Clientes'!B:E,4,),"")</f>
        <v>357</v>
      </c>
      <c r="J1059" s="157">
        <v>0.21</v>
      </c>
      <c r="K1059" s="79">
        <f>INDEX('Resumo Operacional'!$A$1:$P$151,MATCH("Desconto percentual Ucs",'Resumo Operacional'!$B$1:$B$151,0),MATCH('Detalhe Por UC'!$R1059,'Resumo Operacional'!$A$1:$P$1,0))</f>
        <v>0.21</v>
      </c>
      <c r="M1059" s="56"/>
      <c r="N1059" s="56"/>
      <c r="O1059" s="56"/>
      <c r="P1059" s="56"/>
      <c r="Q1059" s="61"/>
      <c r="R1059" s="111">
        <v>45962</v>
      </c>
      <c r="S1059" s="152">
        <v>3.09E-2</v>
      </c>
      <c r="T1059" s="113" t="str">
        <f>IF($H1059="GIROSSOL II",AP1059/INDEX('Resumo Operacional'!$A$1:$P$1103,17,MATCH('Detalhe Por UC'!$R1059,'Resumo Operacional'!$A$1:$P$1,0)),
IF($H1059="GIROSSOL II e III",AP1059/INDEX('Resumo Operacional'!$A$1:$P$1103,17,MATCH('Detalhe Por UC'!$R1059,'Resumo Operacional'!$A$1:$P$1,0)),
""))</f>
        <v/>
      </c>
      <c r="U1059" s="113">
        <f>IF($H1059="GIROSSOL III",AP1059/INDEX('Resumo Operacional'!$A$1:$P$1103,53,MATCH('Detalhe Por UC'!$R1059,'Resumo Operacional'!$A$1:$P$1,0)),
IF($H1059="GIROSSOL II e III",AP1059/INDEX('Resumo Operacional'!$A$1:$P$1103,53,MATCH('Detalhe Por UC'!$R1059,'Resumo Operacional'!$A$1:$P$1,0)),
""))</f>
        <v>3.0866413035675833E-2</v>
      </c>
      <c r="X1059">
        <v>1.2125867249385411</v>
      </c>
      <c r="Z1059">
        <v>1.055683412854336</v>
      </c>
      <c r="AB1059">
        <v>523</v>
      </c>
      <c r="AD1059">
        <v>509</v>
      </c>
      <c r="AF1059">
        <v>432</v>
      </c>
      <c r="AG1059">
        <v>0</v>
      </c>
      <c r="AH1059">
        <v>0</v>
      </c>
      <c r="AK1059">
        <v>96.84</v>
      </c>
      <c r="AL1059" s="43">
        <v>0</v>
      </c>
      <c r="AN1059" s="71">
        <f t="shared" si="599"/>
        <v>-79</v>
      </c>
      <c r="AO1059" s="71">
        <f t="shared" si="600"/>
        <v>0</v>
      </c>
      <c r="AP1059" s="71">
        <f t="shared" si="601"/>
        <v>430</v>
      </c>
      <c r="AQ1059" s="72">
        <f>IF(OR($H1059="GIROSSOL II",$H1059="GIROSSOL II e III"),INDEX('Resumo Operacional'!$A$1:$P$1103,MATCH("Energia Injetada prevista total Fatura da Usina (TUSD)",'Resumo Operacional'!$B$1:$B$1103,0),MATCH('Detalhe Por UC'!$R1059,'Resumo Operacional'!$A$1:$P$1,0))*$S1059,INDEX('Resumo Operacional'!$A$1:$P$1103,53,MATCH('Detalhe Por UC'!$R1059,'Resumo Operacional'!$A$1:$P$1,0))*$S1059)</f>
        <v>430.46789999999999</v>
      </c>
      <c r="AR1059" s="71">
        <f t="shared" si="602"/>
        <v>-0.46789999999998599</v>
      </c>
      <c r="AS1059" s="73">
        <f t="shared" si="603"/>
        <v>96.839999999999918</v>
      </c>
      <c r="AT1059" s="74">
        <f t="shared" si="604"/>
        <v>96.839999999999918</v>
      </c>
      <c r="AU1059" s="74">
        <f t="shared" si="605"/>
        <v>0.89878010077013082</v>
      </c>
      <c r="AV1059" s="74">
        <f t="shared" si="606"/>
        <v>424.50085714285706</v>
      </c>
      <c r="AW1059" s="74">
        <f t="shared" si="607"/>
        <v>0</v>
      </c>
      <c r="AX1059" s="74">
        <f t="shared" si="608"/>
        <v>537.34285714285704</v>
      </c>
      <c r="AY1059" s="74">
        <f t="shared" si="609"/>
        <v>424.5</v>
      </c>
      <c r="AZ1059" s="129">
        <v>424.5</v>
      </c>
      <c r="BA1059" s="117"/>
      <c r="BC1059" s="73" t="str">
        <f t="shared" si="610"/>
        <v/>
      </c>
      <c r="BD1059" s="73">
        <f t="shared" si="611"/>
        <v>634.18285714285696</v>
      </c>
      <c r="BE1059" s="73">
        <f t="shared" si="612"/>
        <v>521.34085714285698</v>
      </c>
      <c r="BF1059" s="77">
        <f t="shared" si="613"/>
        <v>112.84</v>
      </c>
      <c r="BG1059" s="77">
        <f t="shared" si="614"/>
        <v>33.851999999999997</v>
      </c>
      <c r="BH1059" s="77">
        <f t="shared" si="615"/>
        <v>537.34285714285704</v>
      </c>
      <c r="BI1059" s="78">
        <f t="shared" si="616"/>
        <v>0.21</v>
      </c>
      <c r="BJ1059" s="79">
        <f t="shared" si="617"/>
        <v>0.17792975437458333</v>
      </c>
      <c r="BK1059" s="80">
        <f t="shared" si="618"/>
        <v>521.33999999999992</v>
      </c>
      <c r="BL1059" s="80">
        <f t="shared" si="619"/>
        <v>112.84285714285704</v>
      </c>
      <c r="BM1059" s="79">
        <f t="shared" si="620"/>
        <v>0.17793425960966633</v>
      </c>
      <c r="BN1059" s="81">
        <f t="shared" si="621"/>
        <v>0.83398821218074659</v>
      </c>
      <c r="BO1059" s="82">
        <f t="shared" si="622"/>
        <v>424.5</v>
      </c>
      <c r="BP1059" s="81">
        <f t="shared" si="623"/>
        <v>0.83398821218074659</v>
      </c>
      <c r="BQ1059" s="81">
        <f t="shared" si="624"/>
        <v>0.99089152426495175</v>
      </c>
      <c r="BR1059" s="81">
        <f t="shared" si="625"/>
        <v>1.2125867249385411</v>
      </c>
      <c r="BS1059" s="82">
        <f t="shared" si="626"/>
        <v>509</v>
      </c>
      <c r="BT1059" s="82">
        <f t="shared" si="627"/>
        <v>617.20664299371742</v>
      </c>
      <c r="BU1059" s="82">
        <f t="shared" si="628"/>
        <v>537.34285714285704</v>
      </c>
      <c r="BW1059" s="82">
        <f>IFERROR(INDEX('Infos Clientes'!$T:$T,MATCH('Detalhe Por UC'!$C1059,'Infos Clientes'!B:B,0)),"")</f>
        <v>495.18181818181819</v>
      </c>
      <c r="BX1059" s="83">
        <f t="shared" si="629"/>
        <v>0</v>
      </c>
      <c r="BY1059" s="84">
        <f t="shared" si="630"/>
        <v>0.18282832568930343</v>
      </c>
      <c r="BZ1059" s="85">
        <f>IF(_xlfn.MINIFS('Detalhe Por UC'!R:R,'Detalhe Por UC'!C:C,C1059,'Detalhe Por UC'!AD:AD,"&gt;"&amp;0)=0,"",_xlfn.MINIFS('Detalhe Por UC'!R:R,'Detalhe Por UC'!C:C,C1059,'Detalhe Por UC'!AD:AD,"&gt;"&amp;0))</f>
        <v>45658</v>
      </c>
      <c r="CA1059" s="114">
        <f ca="1">IF(OR(S1059&gt;0,AD1059&gt;0),IFERROR(
SUMIFS(INDIRECT("'Infos Clientes'!$W"&amp;INDEX('Infos Clientes'!$C:$C,MATCH(C1059,'Infos Clientes'!$H:$H,0))&amp;":$CZ"&amp;INDEX('Infos Clientes'!$C:$C,MATCH(C1059,'Infos Clientes'!$H:$H,0))),'Infos Clientes'!$W$2:$CZ$2,"&gt;"&amp;$R1059-365,'Infos Clientes'!$W$2:$CZ$2,"&lt;="&amp;$R1059)/
COUNTIFS(INDIRECT("'Infos Clientes'!$W"&amp;INDEX('Infos Clientes'!$C:$C,MATCH(C1059,'Infos Clientes'!$H:$H,0))&amp;":$CZ"&amp;INDEX('Infos Clientes'!$C:$C,MATCH(C1059,'Infos Clientes'!$H:$H,0))),"&gt;="&amp;0,'Infos Clientes'!$W$2:$CZ$2,"&gt;"&amp;$R1059-365,'Infos Clientes'!$W$2:$CZ$2,"&lt;="&amp;$R1059),""),"")</f>
        <v>528.58333333333337</v>
      </c>
      <c r="CB1059" s="87">
        <f>VLOOKUP(C1059,'Infos Clientes'!B:L,11,0)</f>
        <v>0</v>
      </c>
      <c r="CC1059" s="88" t="str">
        <f t="shared" si="631"/>
        <v>A Unidade Consumidora 10/15297-5 economizou R$112,84 na fatura referente à nov/2025  consumindo 509 kWh em créditos de energia renovável conforme fatura de energia. A economia foi de 21% em relação ao que seria pago para a Energisa considerando os créditos consumidos. Atenção: Mantenha as contas da Energisa em dia para evitar cortes.</v>
      </c>
      <c r="CF1059" s="115">
        <f t="shared" si="632"/>
        <v>-96.839999999999918</v>
      </c>
    </row>
    <row r="1060" spans="3:84" ht="16.2" customHeight="1" x14ac:dyDescent="0.3">
      <c r="C1060" s="31" t="s">
        <v>209</v>
      </c>
      <c r="D1060" s="31" t="s">
        <v>351</v>
      </c>
      <c r="E1060" s="31" t="s">
        <v>352</v>
      </c>
      <c r="F1060" s="56" t="str">
        <f>INDEX('Infos Clientes'!$I:$I,MATCH('Detalhe Por UC'!C1060,'Infos Clientes'!B:B,0))</f>
        <v>BT</v>
      </c>
      <c r="G1060" s="56" t="str">
        <f>INDEX('Infos Clientes'!$J:$J,MATCH('Detalhe Por UC'!C1060,'Infos Clientes'!B:B,0))</f>
        <v>trifasico</v>
      </c>
      <c r="H1060" s="156" t="s">
        <v>138</v>
      </c>
      <c r="I1060" s="58">
        <f>IFERROR(VLOOKUP(C1060,'Infos Clientes'!B:E,4,),"")</f>
        <v>371</v>
      </c>
      <c r="J1060" s="157">
        <v>0.21</v>
      </c>
      <c r="K1060" s="79">
        <f>INDEX('Resumo Operacional'!$A$1:$P$151,MATCH("Desconto percentual Ucs",'Resumo Operacional'!$B$1:$B$151,0),MATCH('Detalhe Por UC'!$R1060,'Resumo Operacional'!$A$1:$P$1,0))</f>
        <v>0.21</v>
      </c>
      <c r="M1060" s="56"/>
      <c r="N1060" s="56"/>
      <c r="O1060" s="56"/>
      <c r="P1060" s="56"/>
      <c r="Q1060" s="61"/>
      <c r="R1060" s="111">
        <v>45962</v>
      </c>
      <c r="S1060" s="152">
        <v>3.09E-2</v>
      </c>
      <c r="T1060" s="113" t="str">
        <f>IF($H1060="GIROSSOL II",AP1060/INDEX('Resumo Operacional'!$A$1:$P$1103,17,MATCH('Detalhe Por UC'!$R1060,'Resumo Operacional'!$A$1:$P$1,0)),
IF($H1060="GIROSSOL II e III",AP1060/INDEX('Resumo Operacional'!$A$1:$P$1103,17,MATCH('Detalhe Por UC'!$R1060,'Resumo Operacional'!$A$1:$P$1,0)),
""))</f>
        <v/>
      </c>
      <c r="U1060" s="113">
        <f>IF($H1060="GIROSSOL III",AP1060/INDEX('Resumo Operacional'!$A$1:$P$1103,53,MATCH('Detalhe Por UC'!$R1060,'Resumo Operacional'!$A$1:$P$1,0)),
IF($H1060="GIROSSOL II e III",AP1060/INDEX('Resumo Operacional'!$A$1:$P$1103,53,MATCH('Detalhe Por UC'!$R1060,'Resumo Operacional'!$A$1:$P$1,0)),
""))</f>
        <v>5.0750125619122823E-2</v>
      </c>
      <c r="X1060">
        <v>1.2140105078809109</v>
      </c>
      <c r="Z1060">
        <v>1.0571252204585539</v>
      </c>
      <c r="AB1060">
        <v>571</v>
      </c>
      <c r="AD1060">
        <v>567</v>
      </c>
      <c r="AF1060">
        <v>140</v>
      </c>
      <c r="AG1060">
        <v>0</v>
      </c>
      <c r="AH1060">
        <v>-93.809999999999974</v>
      </c>
      <c r="AK1060">
        <v>0</v>
      </c>
      <c r="AL1060" s="43">
        <v>-8.5265128291212022E-14</v>
      </c>
      <c r="AN1060" s="71">
        <f t="shared" si="599"/>
        <v>140</v>
      </c>
      <c r="AO1060" s="71">
        <f t="shared" si="600"/>
        <v>0</v>
      </c>
      <c r="AP1060" s="71">
        <f t="shared" si="601"/>
        <v>707</v>
      </c>
      <c r="AQ1060" s="72">
        <f>IF(OR($H1060="GIROSSOL II",$H1060="GIROSSOL II e III"),INDEX('Resumo Operacional'!$A$1:$P$1103,MATCH("Energia Injetada prevista total Fatura da Usina (TUSD)",'Resumo Operacional'!$B$1:$B$1103,0),MATCH('Detalhe Por UC'!$R1060,'Resumo Operacional'!$A$1:$P$1,0))*$S1060,INDEX('Resumo Operacional'!$A$1:$P$1103,53,MATCH('Detalhe Por UC'!$R1060,'Resumo Operacional'!$A$1:$P$1,0))*$S1060)</f>
        <v>430.46789999999999</v>
      </c>
      <c r="AR1060" s="71">
        <f t="shared" si="602"/>
        <v>276.53210000000001</v>
      </c>
      <c r="AS1060" s="73">
        <f t="shared" si="603"/>
        <v>8.5265128291212022E-14</v>
      </c>
      <c r="AT1060" s="74">
        <f t="shared" si="604"/>
        <v>8.5265128291212022E-14</v>
      </c>
      <c r="AU1060" s="74">
        <f t="shared" si="605"/>
        <v>0.90023993303619698</v>
      </c>
      <c r="AV1060" s="74">
        <f t="shared" si="606"/>
        <v>473.51810000000012</v>
      </c>
      <c r="AW1060" s="74">
        <f t="shared" si="607"/>
        <v>0</v>
      </c>
      <c r="AX1060" s="74">
        <f t="shared" si="608"/>
        <v>599.3900000000001</v>
      </c>
      <c r="AY1060" s="74">
        <f t="shared" si="609"/>
        <v>473.52</v>
      </c>
      <c r="AZ1060" s="129">
        <v>473.52</v>
      </c>
      <c r="BA1060" s="117"/>
      <c r="BC1060" s="73" t="str">
        <f t="shared" si="610"/>
        <v/>
      </c>
      <c r="BD1060" s="73">
        <f t="shared" si="611"/>
        <v>599.39000000000021</v>
      </c>
      <c r="BE1060" s="73">
        <f t="shared" si="612"/>
        <v>473.51810000000023</v>
      </c>
      <c r="BF1060" s="77">
        <f t="shared" si="613"/>
        <v>125.87</v>
      </c>
      <c r="BG1060" s="77">
        <f t="shared" si="614"/>
        <v>37.761000000000003</v>
      </c>
      <c r="BH1060" s="77">
        <f t="shared" si="615"/>
        <v>599.3900000000001</v>
      </c>
      <c r="BI1060" s="78">
        <f t="shared" si="616"/>
        <v>0.21</v>
      </c>
      <c r="BJ1060" s="79">
        <f t="shared" si="617"/>
        <v>0.20999683011061238</v>
      </c>
      <c r="BK1060" s="80">
        <f t="shared" si="618"/>
        <v>473.5200000000001</v>
      </c>
      <c r="BL1060" s="80">
        <f t="shared" si="619"/>
        <v>125.87000000000012</v>
      </c>
      <c r="BM1060" s="79">
        <f t="shared" si="620"/>
        <v>0.20999683011061257</v>
      </c>
      <c r="BN1060" s="81">
        <f t="shared" si="621"/>
        <v>0.83513227513227506</v>
      </c>
      <c r="BO1060" s="82">
        <f t="shared" si="622"/>
        <v>473.52</v>
      </c>
      <c r="BP1060" s="81">
        <f t="shared" si="623"/>
        <v>0.83513227513227506</v>
      </c>
      <c r="BQ1060" s="81">
        <f t="shared" si="624"/>
        <v>0.99201756255463203</v>
      </c>
      <c r="BR1060" s="81">
        <f t="shared" si="625"/>
        <v>1.2140105078809109</v>
      </c>
      <c r="BS1060" s="82">
        <f t="shared" si="626"/>
        <v>567</v>
      </c>
      <c r="BT1060" s="82">
        <f t="shared" si="627"/>
        <v>688.3439579684765</v>
      </c>
      <c r="BU1060" s="82">
        <f t="shared" si="628"/>
        <v>599.3900000000001</v>
      </c>
      <c r="BW1060" s="82">
        <f>IFERROR(INDEX('Infos Clientes'!$T:$T,MATCH('Detalhe Por UC'!$C1060,'Infos Clientes'!B:B,0)),"")</f>
        <v>433.54545454545456</v>
      </c>
      <c r="BX1060" s="83">
        <f t="shared" si="629"/>
        <v>0</v>
      </c>
      <c r="BY1060" s="84">
        <f t="shared" si="630"/>
        <v>0.1828591629851489</v>
      </c>
      <c r="BZ1060" s="85">
        <f>IF(_xlfn.MINIFS('Detalhe Por UC'!R:R,'Detalhe Por UC'!C:C,C1060,'Detalhe Por UC'!AD:AD,"&gt;"&amp;0)=0,"",_xlfn.MINIFS('Detalhe Por UC'!R:R,'Detalhe Por UC'!C:C,C1060,'Detalhe Por UC'!AD:AD,"&gt;"&amp;0))</f>
        <v>45658</v>
      </c>
      <c r="CA1060" s="114">
        <f ca="1">IF(OR(S1060&gt;0,AD1060&gt;0),IFERROR(
SUMIFS(INDIRECT("'Infos Clientes'!$W"&amp;INDEX('Infos Clientes'!$C:$C,MATCH(C1060,'Infos Clientes'!$H:$H,0))&amp;":$CZ"&amp;INDEX('Infos Clientes'!$C:$C,MATCH(C1060,'Infos Clientes'!$H:$H,0))),'Infos Clientes'!$W$2:$CZ$2,"&gt;"&amp;$R1060-365,'Infos Clientes'!$W$2:$CZ$2,"&lt;="&amp;$R1060)/
COUNTIFS(INDIRECT("'Infos Clientes'!$W"&amp;INDEX('Infos Clientes'!$C:$C,MATCH(C1060,'Infos Clientes'!$H:$H,0))&amp;":$CZ"&amp;INDEX('Infos Clientes'!$C:$C,MATCH(C1060,'Infos Clientes'!$H:$H,0))),"&gt;="&amp;0,'Infos Clientes'!$W$2:$CZ$2,"&gt;"&amp;$R1060-365,'Infos Clientes'!$W$2:$CZ$2,"&lt;="&amp;$R1060),""),"")</f>
        <v>463.5</v>
      </c>
      <c r="CB1060" s="87">
        <f>VLOOKUP(C1060,'Infos Clientes'!B:L,11,0)</f>
        <v>0</v>
      </c>
      <c r="CC1060" s="88" t="str">
        <f t="shared" si="631"/>
        <v>A Unidade Consumidora 10/504844-2 economizou R$125,87 na fatura referente à nov/2025  consumindo 567 kWh em créditos de energia renovável conforme fatura de energia. A economia foi de 21% em relação ao que seria pago para a Energisa considerando os créditos consumidos. Atenção: Mantenha as contas da Energisa em dia para evitar cortes.</v>
      </c>
      <c r="CF1060" s="115">
        <f t="shared" si="632"/>
        <v>-8.5265128291212022E-14</v>
      </c>
    </row>
    <row r="1061" spans="3:84" ht="16.2" customHeight="1" x14ac:dyDescent="0.3">
      <c r="C1061" s="31" t="s">
        <v>142</v>
      </c>
      <c r="D1061" s="31" t="s">
        <v>351</v>
      </c>
      <c r="E1061" s="31" t="s">
        <v>352</v>
      </c>
      <c r="F1061" s="56" t="str">
        <f>INDEX('Infos Clientes'!$I:$I,MATCH('Detalhe Por UC'!C1061,'Infos Clientes'!B:B,0))</f>
        <v>BT</v>
      </c>
      <c r="G1061" s="56" t="str">
        <f>INDEX('Infos Clientes'!$J:$J,MATCH('Detalhe Por UC'!C1061,'Infos Clientes'!B:B,0))</f>
        <v>bifasico</v>
      </c>
      <c r="H1061" s="156" t="s">
        <v>138</v>
      </c>
      <c r="I1061" s="58">
        <f>IFERROR(VLOOKUP(C1061,'Infos Clientes'!B:E,4,),"")</f>
        <v>319</v>
      </c>
      <c r="J1061" s="157">
        <v>0.21</v>
      </c>
      <c r="K1061" s="79">
        <f>INDEX('Resumo Operacional'!$A$1:$P$151,MATCH("Desconto percentual Ucs",'Resumo Operacional'!$B$1:$B$151,0),MATCH('Detalhe Por UC'!$R1061,'Resumo Operacional'!$A$1:$P$1,0))</f>
        <v>0.21</v>
      </c>
      <c r="M1061" s="56"/>
      <c r="N1061" s="56"/>
      <c r="O1061" s="56"/>
      <c r="P1061" s="56"/>
      <c r="Q1061" s="61"/>
      <c r="R1061" s="111">
        <v>45962</v>
      </c>
      <c r="S1061" s="152">
        <v>2.9000000000000001E-2</v>
      </c>
      <c r="T1061" s="113" t="str">
        <f>IF($H1061="GIROSSOL II",AP1061/INDEX('Resumo Operacional'!$A$1:$P$1103,17,MATCH('Detalhe Por UC'!$R1061,'Resumo Operacional'!$A$1:$P$1,0)),
IF($H1061="GIROSSOL II e III",AP1061/INDEX('Resumo Operacional'!$A$1:$P$1103,17,MATCH('Detalhe Por UC'!$R1061,'Resumo Operacional'!$A$1:$P$1,0)),
""))</f>
        <v/>
      </c>
      <c r="U1061" s="113">
        <f>IF($H1061="GIROSSOL III",AP1061/INDEX('Resumo Operacional'!$A$1:$P$1103,53,MATCH('Detalhe Por UC'!$R1061,'Resumo Operacional'!$A$1:$P$1,0)),
IF($H1061="GIROSSOL II e III",AP1061/INDEX('Resumo Operacional'!$A$1:$P$1103,53,MATCH('Detalhe Por UC'!$R1061,'Resumo Operacional'!$A$1:$P$1,0)),
""))</f>
        <v>2.8641160002871296E-2</v>
      </c>
      <c r="X1061">
        <v>1.1540233236151602</v>
      </c>
      <c r="Z1061">
        <v>0.99714285714285711</v>
      </c>
      <c r="AB1061">
        <v>343</v>
      </c>
      <c r="AD1061">
        <v>343</v>
      </c>
      <c r="AF1061">
        <v>56</v>
      </c>
      <c r="AG1061">
        <v>0</v>
      </c>
      <c r="AH1061">
        <v>0</v>
      </c>
      <c r="AK1061">
        <v>53.81</v>
      </c>
      <c r="AL1061" s="43">
        <v>0</v>
      </c>
      <c r="AN1061" s="71">
        <f t="shared" si="599"/>
        <v>56</v>
      </c>
      <c r="AO1061" s="71">
        <f t="shared" si="600"/>
        <v>0</v>
      </c>
      <c r="AP1061" s="71">
        <f t="shared" si="601"/>
        <v>399</v>
      </c>
      <c r="AQ1061" s="72">
        <f>IF(OR($H1061="GIROSSOL II",$H1061="GIROSSOL II e III"),INDEX('Resumo Operacional'!$A$1:$P$1103,MATCH("Energia Injetada prevista total Fatura da Usina (TUSD)",'Resumo Operacional'!$B$1:$B$1103,0),MATCH('Detalhe Por UC'!$R1061,'Resumo Operacional'!$A$1:$P$1,0))*$S1061,INDEX('Resumo Operacional'!$A$1:$P$1103,53,MATCH('Detalhe Por UC'!$R1061,'Resumo Operacional'!$A$1:$P$1,0))*$S1061)</f>
        <v>403.99900000000002</v>
      </c>
      <c r="AR1061" s="71">
        <f t="shared" si="602"/>
        <v>-4.9990000000000236</v>
      </c>
      <c r="AS1061" s="73">
        <f t="shared" si="603"/>
        <v>53.81</v>
      </c>
      <c r="AT1061" s="74">
        <f t="shared" si="604"/>
        <v>53.81</v>
      </c>
      <c r="AU1061" s="74">
        <f t="shared" si="605"/>
        <v>0.84026239067055397</v>
      </c>
      <c r="AV1061" s="74">
        <f t="shared" si="606"/>
        <v>270.19580000000002</v>
      </c>
      <c r="AW1061" s="74">
        <f t="shared" si="607"/>
        <v>0</v>
      </c>
      <c r="AX1061" s="74">
        <f t="shared" si="608"/>
        <v>342.02</v>
      </c>
      <c r="AY1061" s="74">
        <f t="shared" si="609"/>
        <v>270.2</v>
      </c>
      <c r="AZ1061" s="129">
        <v>270.2</v>
      </c>
      <c r="BA1061" s="117"/>
      <c r="BC1061" s="73" t="str">
        <f t="shared" si="610"/>
        <v/>
      </c>
      <c r="BD1061" s="73">
        <f t="shared" si="611"/>
        <v>395.83</v>
      </c>
      <c r="BE1061" s="73">
        <f t="shared" si="612"/>
        <v>324.00580000000002</v>
      </c>
      <c r="BF1061" s="77">
        <f t="shared" si="613"/>
        <v>71.819999999999993</v>
      </c>
      <c r="BG1061" s="77">
        <f t="shared" si="614"/>
        <v>21.545999999999996</v>
      </c>
      <c r="BH1061" s="77">
        <f t="shared" si="615"/>
        <v>342.02</v>
      </c>
      <c r="BI1061" s="78">
        <f t="shared" si="616"/>
        <v>0.21</v>
      </c>
      <c r="BJ1061" s="79">
        <f t="shared" si="617"/>
        <v>0.18144152792865623</v>
      </c>
      <c r="BK1061" s="80">
        <f t="shared" si="618"/>
        <v>324.01</v>
      </c>
      <c r="BL1061" s="80">
        <f t="shared" si="619"/>
        <v>71.819999999999993</v>
      </c>
      <c r="BM1061" s="79">
        <f t="shared" si="620"/>
        <v>0.18144152792865623</v>
      </c>
      <c r="BN1061" s="81">
        <f t="shared" si="621"/>
        <v>0.78775510204081634</v>
      </c>
      <c r="BO1061" s="82">
        <f t="shared" si="622"/>
        <v>270.2</v>
      </c>
      <c r="BP1061" s="81">
        <f t="shared" si="623"/>
        <v>0.78775510204081634</v>
      </c>
      <c r="BQ1061" s="81">
        <f t="shared" si="624"/>
        <v>0.94463556851311947</v>
      </c>
      <c r="BR1061" s="81">
        <f t="shared" si="625"/>
        <v>1.1540233236151602</v>
      </c>
      <c r="BS1061" s="82">
        <f t="shared" si="626"/>
        <v>343</v>
      </c>
      <c r="BT1061" s="82">
        <f t="shared" si="627"/>
        <v>395.83</v>
      </c>
      <c r="BU1061" s="82">
        <f t="shared" si="628"/>
        <v>342.02</v>
      </c>
      <c r="BW1061" s="82">
        <f>IFERROR(INDEX('Infos Clientes'!$T:$T,MATCH('Detalhe Por UC'!$C1061,'Infos Clientes'!B:B,0)),"")</f>
        <v>244.81818181818181</v>
      </c>
      <c r="BX1061" s="83">
        <f t="shared" si="629"/>
        <v>0</v>
      </c>
      <c r="BY1061" s="84">
        <f t="shared" si="630"/>
        <v>0.18144152792865623</v>
      </c>
      <c r="BZ1061" s="85">
        <f>IF(_xlfn.MINIFS('Detalhe Por UC'!R:R,'Detalhe Por UC'!C:C,C1061,'Detalhe Por UC'!AD:AD,"&gt;"&amp;0)=0,"",_xlfn.MINIFS('Detalhe Por UC'!R:R,'Detalhe Por UC'!C:C,C1061,'Detalhe Por UC'!AD:AD,"&gt;"&amp;0))</f>
        <v>45658</v>
      </c>
      <c r="CA1061" s="114">
        <f ca="1">IF(OR(S1061&gt;0,AD1061&gt;0),IFERROR(
SUMIFS(INDIRECT("'Infos Clientes'!$W"&amp;INDEX('Infos Clientes'!$C:$C,MATCH(C1061,'Infos Clientes'!$H:$H,0))&amp;":$CZ"&amp;INDEX('Infos Clientes'!$C:$C,MATCH(C1061,'Infos Clientes'!$H:$H,0))),'Infos Clientes'!$W$2:$CZ$2,"&gt;"&amp;$R1061-365,'Infos Clientes'!$W$2:$CZ$2,"&lt;="&amp;$R1061)/
COUNTIFS(INDIRECT("'Infos Clientes'!$W"&amp;INDEX('Infos Clientes'!$C:$C,MATCH(C1061,'Infos Clientes'!$H:$H,0))&amp;":$CZ"&amp;INDEX('Infos Clientes'!$C:$C,MATCH(C1061,'Infos Clientes'!$H:$H,0))),"&gt;="&amp;0,'Infos Clientes'!$W$2:$CZ$2,"&gt;"&amp;$R1061-365,'Infos Clientes'!$W$2:$CZ$2,"&lt;="&amp;$R1061),""),"")</f>
        <v>309.33333333333331</v>
      </c>
      <c r="CB1061" s="87">
        <f>VLOOKUP(C1061,'Infos Clientes'!B:L,11,0)</f>
        <v>0</v>
      </c>
      <c r="CC1061" s="88" t="str">
        <f t="shared" si="631"/>
        <v>A Unidade Consumidora 10/109074-5 economizou R$71,82 na fatura referente à nov/2025  consumindo 343 kWh em créditos de energia renovável conforme fatura de energia. A economia foi de 21% em relação ao que seria pago para a Energisa considerando os créditos consumidos. Atenção: Mantenha as contas da Energisa em dia para evitar cortes.</v>
      </c>
      <c r="CF1061" s="115">
        <f t="shared" si="632"/>
        <v>-53.81</v>
      </c>
    </row>
    <row r="1062" spans="3:84" ht="16.2" customHeight="1" x14ac:dyDescent="0.3">
      <c r="C1062" s="31" t="s">
        <v>187</v>
      </c>
      <c r="D1062" s="31" t="s">
        <v>351</v>
      </c>
      <c r="E1062" s="31" t="s">
        <v>352</v>
      </c>
      <c r="F1062" s="56" t="str">
        <f>INDEX('Infos Clientes'!$I:$I,MATCH('Detalhe Por UC'!C1062,'Infos Clientes'!B:B,0))</f>
        <v>BT</v>
      </c>
      <c r="G1062" s="56" t="str">
        <f>INDEX('Infos Clientes'!$J:$J,MATCH('Detalhe Por UC'!C1062,'Infos Clientes'!B:B,0))</f>
        <v>trifasico</v>
      </c>
      <c r="H1062" s="156" t="s">
        <v>138</v>
      </c>
      <c r="I1062" s="58">
        <f>IFERROR(VLOOKUP(C1062,'Infos Clientes'!B:E,4,),"")</f>
        <v>362</v>
      </c>
      <c r="J1062" s="157">
        <v>0.21</v>
      </c>
      <c r="K1062" s="79">
        <f>INDEX('Resumo Operacional'!$A$1:$P$151,MATCH("Desconto percentual Ucs",'Resumo Operacional'!$B$1:$B$151,0),MATCH('Detalhe Por UC'!$R1062,'Resumo Operacional'!$A$1:$P$1,0))</f>
        <v>0.21</v>
      </c>
      <c r="M1062" s="56"/>
      <c r="N1062" s="56"/>
      <c r="O1062" s="56"/>
      <c r="P1062" s="56"/>
      <c r="Q1062" s="61"/>
      <c r="R1062" s="111">
        <v>45962</v>
      </c>
      <c r="S1062" s="152">
        <v>2.8899999999999999E-2</v>
      </c>
      <c r="T1062" s="113" t="str">
        <f>IF($H1062="GIROSSOL II",AP1062/INDEX('Resumo Operacional'!$A$1:$P$1103,17,MATCH('Detalhe Por UC'!$R1062,'Resumo Operacional'!$A$1:$P$1,0)),
IF($H1062="GIROSSOL II e III",AP1062/INDEX('Resumo Operacional'!$A$1:$P$1103,17,MATCH('Detalhe Por UC'!$R1062,'Resumo Operacional'!$A$1:$P$1,0)),
""))</f>
        <v/>
      </c>
      <c r="U1062" s="113">
        <f>IF($H1062="GIROSSOL III",AP1062/INDEX('Resumo Operacional'!$A$1:$P$1103,53,MATCH('Detalhe Por UC'!$R1062,'Resumo Operacional'!$A$1:$P$1,0)),
IF($H1062="GIROSSOL II e III",AP1062/INDEX('Resumo Operacional'!$A$1:$P$1103,53,MATCH('Detalhe Por UC'!$R1062,'Resumo Operacional'!$A$1:$P$1,0)),
""))</f>
        <v>2.8856507070562056E-2</v>
      </c>
      <c r="X1062" s="158">
        <v>1.2127958330734203</v>
      </c>
      <c r="Y1062" s="158"/>
      <c r="Z1062" s="158">
        <v>1.0558947735191635</v>
      </c>
      <c r="AA1062" s="158"/>
      <c r="AB1062" s="158">
        <v>391</v>
      </c>
      <c r="AC1062" s="158"/>
      <c r="AD1062" s="158">
        <v>350</v>
      </c>
      <c r="AE1062" s="158"/>
      <c r="AF1062" s="158">
        <v>107</v>
      </c>
      <c r="AG1062" s="158">
        <v>0</v>
      </c>
      <c r="AH1062" s="158">
        <v>57.25</v>
      </c>
      <c r="AI1062" s="158">
        <v>-455.44</v>
      </c>
      <c r="AJ1062">
        <v>293.55</v>
      </c>
      <c r="AK1062" s="158">
        <v>0</v>
      </c>
      <c r="AL1062" s="43">
        <f>AK1062-AT1062</f>
        <v>-1.7053025658242404E-13</v>
      </c>
      <c r="AN1062" s="71">
        <f t="shared" si="599"/>
        <v>52</v>
      </c>
      <c r="AO1062" s="71">
        <f t="shared" si="600"/>
        <v>0</v>
      </c>
      <c r="AP1062" s="71">
        <f t="shared" si="601"/>
        <v>402</v>
      </c>
      <c r="AQ1062" s="72">
        <f>IF(OR($H1062="GIROSSOL II",$H1062="GIROSSOL II e III"),INDEX('Resumo Operacional'!$A$1:$P$1103,MATCH("Energia Injetada prevista total Fatura da Usina (TUSD)",'Resumo Operacional'!$B$1:$B$1103,0),MATCH('Detalhe Por UC'!$R1062,'Resumo Operacional'!$A$1:$P$1,0))*$S1062,INDEX('Resumo Operacional'!$A$1:$P$1103,53,MATCH('Detalhe Por UC'!$R1062,'Resumo Operacional'!$A$1:$P$1,0))*$S1062)</f>
        <v>402.60589999999996</v>
      </c>
      <c r="AR1062" s="71">
        <f t="shared" si="602"/>
        <v>-0.6058999999999628</v>
      </c>
      <c r="AS1062" s="73">
        <f t="shared" si="603"/>
        <v>161.89000000000016</v>
      </c>
      <c r="AT1062" s="74">
        <f t="shared" si="604"/>
        <v>1.7053025658242404E-13</v>
      </c>
      <c r="AU1062" s="74">
        <f t="shared" si="605"/>
        <v>0.89899371396490668</v>
      </c>
      <c r="AV1062" s="74">
        <f t="shared" si="606"/>
        <v>291.95490487804875</v>
      </c>
      <c r="AW1062" s="74">
        <f t="shared" si="607"/>
        <v>0</v>
      </c>
      <c r="AX1062" s="74">
        <f t="shared" si="608"/>
        <v>369.5631707317072</v>
      </c>
      <c r="AY1062" s="74">
        <f t="shared" si="609"/>
        <v>291.95</v>
      </c>
      <c r="AZ1062" s="129">
        <v>291.95</v>
      </c>
      <c r="BC1062" s="73" t="str">
        <f t="shared" si="610"/>
        <v/>
      </c>
      <c r="BD1062" s="73">
        <f t="shared" si="611"/>
        <v>531.45317073170736</v>
      </c>
      <c r="BE1062" s="73">
        <f t="shared" si="612"/>
        <v>453.84490487804891</v>
      </c>
      <c r="BF1062" s="77">
        <f t="shared" si="613"/>
        <v>77.61</v>
      </c>
      <c r="BG1062" s="77">
        <f t="shared" si="614"/>
        <v>23.282999999999998</v>
      </c>
      <c r="BH1062" s="77">
        <f t="shared" si="615"/>
        <v>369.56317073170726</v>
      </c>
      <c r="BI1062" s="78">
        <f t="shared" si="616"/>
        <v>0.21</v>
      </c>
      <c r="BJ1062" s="79">
        <f t="shared" si="617"/>
        <v>0.14603356283140839</v>
      </c>
      <c r="BK1062" s="80">
        <f t="shared" si="618"/>
        <v>453.84000000000015</v>
      </c>
      <c r="BL1062" s="80">
        <f t="shared" si="619"/>
        <v>77.613170731707214</v>
      </c>
      <c r="BM1062" s="79">
        <f t="shared" si="620"/>
        <v>0.14603952898587286</v>
      </c>
      <c r="BN1062" s="81">
        <f t="shared" si="621"/>
        <v>0.83414285714285707</v>
      </c>
      <c r="BO1062" s="82">
        <f t="shared" si="622"/>
        <v>291.95</v>
      </c>
      <c r="BP1062" s="81">
        <f t="shared" si="623"/>
        <v>0.83414285714285707</v>
      </c>
      <c r="BQ1062" s="81">
        <f t="shared" si="624"/>
        <v>0.99104391669711389</v>
      </c>
      <c r="BR1062" s="81">
        <f t="shared" si="625"/>
        <v>1.2127958330734203</v>
      </c>
      <c r="BS1062" s="82">
        <f t="shared" si="626"/>
        <v>350</v>
      </c>
      <c r="BT1062" s="82">
        <f t="shared" si="627"/>
        <v>424.47854157569714</v>
      </c>
      <c r="BU1062" s="82">
        <f t="shared" si="628"/>
        <v>369.5631707317072</v>
      </c>
      <c r="BW1062" s="82">
        <f>IFERROR(INDEX('Infos Clientes'!$T:$T,MATCH('Detalhe Por UC'!$C1062,'Infos Clientes'!B:B,0)),"")</f>
        <v>365.90909090909093</v>
      </c>
      <c r="BX1062" s="83">
        <f t="shared" si="629"/>
        <v>0</v>
      </c>
      <c r="BY1062" s="84">
        <f t="shared" si="630"/>
        <v>0.18284356717680278</v>
      </c>
      <c r="BZ1062" s="85">
        <f>IF(_xlfn.MINIFS('Detalhe Por UC'!R:R,'Detalhe Por UC'!C:C,C1062,'Detalhe Por UC'!AD:AD,"&gt;"&amp;0)=0,"",_xlfn.MINIFS('Detalhe Por UC'!R:R,'Detalhe Por UC'!C:C,C1062,'Detalhe Por UC'!AD:AD,"&gt;"&amp;0))</f>
        <v>45658</v>
      </c>
      <c r="CA1062" s="114">
        <f ca="1">IF(OR(S1062&gt;0,AD1062&gt;0),IFERROR(
SUMIFS(INDIRECT("'Infos Clientes'!$W"&amp;INDEX('Infos Clientes'!$C:$C,MATCH(C1062,'Infos Clientes'!$H:$H,0))&amp;":$CZ"&amp;INDEX('Infos Clientes'!$C:$C,MATCH(C1062,'Infos Clientes'!$H:$H,0))),'Infos Clientes'!$W$2:$CZ$2,"&gt;"&amp;$R1062-365,'Infos Clientes'!$W$2:$CZ$2,"&lt;="&amp;$R1062)/
COUNTIFS(INDIRECT("'Infos Clientes'!$W"&amp;INDEX('Infos Clientes'!$C:$C,MATCH(C1062,'Infos Clientes'!$H:$H,0))&amp;":$CZ"&amp;INDEX('Infos Clientes'!$C:$C,MATCH(C1062,'Infos Clientes'!$H:$H,0))),"&gt;="&amp;0,'Infos Clientes'!$W$2:$CZ$2,"&gt;"&amp;$R1062-365,'Infos Clientes'!$W$2:$CZ$2,"&lt;="&amp;$R1062),""),"")</f>
        <v>353.75</v>
      </c>
      <c r="CB1062" s="87">
        <f>VLOOKUP(C1062,'Infos Clientes'!B:L,11,0)</f>
        <v>0</v>
      </c>
      <c r="CC1062" s="88" t="str">
        <f t="shared" si="631"/>
        <v>A Unidade Consumidora 10/3123706-8 economizou R$77,61 na fatura referente à nov/2025  consumindo 350 kWh em créditos de energia renovável conforme fatura de energia. A economia foi de 21% em relação ao que seria pago para a Energisa considerando os créditos consumidos. Atenção: Mantenha as contas da Energisa em dia para evitar cortes.</v>
      </c>
      <c r="CF1062" s="115">
        <f t="shared" si="632"/>
        <v>-1.7053025658242404E-13</v>
      </c>
    </row>
    <row r="1063" spans="3:84" ht="16.2" customHeight="1" x14ac:dyDescent="0.3">
      <c r="C1063" s="31" t="s">
        <v>206</v>
      </c>
      <c r="D1063" s="31" t="s">
        <v>351</v>
      </c>
      <c r="E1063" s="31" t="s">
        <v>352</v>
      </c>
      <c r="F1063" s="56" t="str">
        <f>INDEX('Infos Clientes'!$I:$I,MATCH('Detalhe Por UC'!C1063,'Infos Clientes'!B:B,0))</f>
        <v>BT</v>
      </c>
      <c r="G1063" s="56" t="str">
        <f>INDEX('Infos Clientes'!$J:$J,MATCH('Detalhe Por UC'!C1063,'Infos Clientes'!B:B,0))</f>
        <v>trifasico</v>
      </c>
      <c r="H1063" s="156" t="s">
        <v>138</v>
      </c>
      <c r="I1063" s="58">
        <f>IFERROR(VLOOKUP(C1063,'Infos Clientes'!B:E,4,),"")</f>
        <v>319</v>
      </c>
      <c r="J1063" s="157">
        <v>0.21</v>
      </c>
      <c r="K1063" s="79">
        <f>INDEX('Resumo Operacional'!$A$1:$P$151,MATCH("Desconto percentual Ucs",'Resumo Operacional'!$B$1:$B$151,0),MATCH('Detalhe Por UC'!$R1063,'Resumo Operacional'!$A$1:$P$1,0))</f>
        <v>0.21</v>
      </c>
      <c r="M1063" s="56"/>
      <c r="N1063" s="56"/>
      <c r="O1063" s="56"/>
      <c r="P1063" s="56"/>
      <c r="Q1063" s="61"/>
      <c r="R1063" s="111">
        <v>45962</v>
      </c>
      <c r="S1063" s="152">
        <v>2.86E-2</v>
      </c>
      <c r="T1063" s="113" t="str">
        <f>IF($H1063="GIROSSOL II",AP1063/INDEX('Resumo Operacional'!$A$1:$P$1103,17,MATCH('Detalhe Por UC'!$R1063,'Resumo Operacional'!$A$1:$P$1,0)),
IF($H1063="GIROSSOL II e III",AP1063/INDEX('Resumo Operacional'!$A$1:$P$1103,17,MATCH('Detalhe Por UC'!$R1063,'Resumo Operacional'!$A$1:$P$1,0)),
""))</f>
        <v/>
      </c>
      <c r="U1063" s="113">
        <f>IF($H1063="GIROSSOL III",AP1063/INDEX('Resumo Operacional'!$A$1:$P$1103,53,MATCH('Detalhe Por UC'!$R1063,'Resumo Operacional'!$A$1:$P$1,0)),
IF($H1063="GIROSSOL II e III",AP1063/INDEX('Resumo Operacional'!$A$1:$P$1103,53,MATCH('Detalhe Por UC'!$R1063,'Resumo Operacional'!$A$1:$P$1,0)),
""))</f>
        <v>2.8210465867489772E-2</v>
      </c>
      <c r="X1063">
        <v>1.2129582087802591</v>
      </c>
      <c r="Z1063">
        <v>1.0560247778077028</v>
      </c>
      <c r="AB1063">
        <v>363</v>
      </c>
      <c r="AD1063">
        <v>316</v>
      </c>
      <c r="AF1063">
        <v>332</v>
      </c>
      <c r="AG1063">
        <v>0</v>
      </c>
      <c r="AH1063">
        <v>66.3</v>
      </c>
      <c r="AK1063">
        <v>172.9</v>
      </c>
      <c r="AL1063" s="43">
        <v>0</v>
      </c>
      <c r="AN1063" s="71">
        <f t="shared" si="599"/>
        <v>77</v>
      </c>
      <c r="AO1063" s="71">
        <f t="shared" si="600"/>
        <v>0</v>
      </c>
      <c r="AP1063" s="71">
        <f t="shared" si="601"/>
        <v>393</v>
      </c>
      <c r="AQ1063" s="72">
        <f>IF(OR($H1063="GIROSSOL II",$H1063="GIROSSOL II e III"),INDEX('Resumo Operacional'!$A$1:$P$1103,MATCH("Energia Injetada prevista total Fatura da Usina (TUSD)",'Resumo Operacional'!$B$1:$B$1103,0),MATCH('Detalhe Por UC'!$R1063,'Resumo Operacional'!$A$1:$P$1,0))*$S1063,INDEX('Resumo Operacional'!$A$1:$P$1103,53,MATCH('Detalhe Por UC'!$R1063,'Resumo Operacional'!$A$1:$P$1,0))*$S1063)</f>
        <v>398.42660000000001</v>
      </c>
      <c r="AR1063" s="71">
        <f t="shared" si="602"/>
        <v>-5.4266000000000076</v>
      </c>
      <c r="AS1063" s="73">
        <f t="shared" si="603"/>
        <v>172.89999999999998</v>
      </c>
      <c r="AT1063" s="74">
        <f t="shared" si="604"/>
        <v>172.89999999999998</v>
      </c>
      <c r="AU1063" s="74">
        <f t="shared" si="605"/>
        <v>0.89909134683514647</v>
      </c>
      <c r="AV1063" s="74">
        <f t="shared" si="606"/>
        <v>263.62602553191493</v>
      </c>
      <c r="AW1063" s="74">
        <f t="shared" si="607"/>
        <v>0</v>
      </c>
      <c r="AX1063" s="74">
        <f t="shared" si="608"/>
        <v>333.7038297872341</v>
      </c>
      <c r="AY1063" s="74">
        <f t="shared" si="609"/>
        <v>263.63</v>
      </c>
      <c r="AZ1063" s="129">
        <v>263.63</v>
      </c>
      <c r="BA1063" s="117"/>
      <c r="BC1063" s="73" t="str">
        <f t="shared" si="610"/>
        <v/>
      </c>
      <c r="BD1063" s="73">
        <f t="shared" si="611"/>
        <v>506.60382978723408</v>
      </c>
      <c r="BE1063" s="73">
        <f t="shared" si="612"/>
        <v>436.52602553191491</v>
      </c>
      <c r="BF1063" s="77">
        <f t="shared" si="613"/>
        <v>70.08</v>
      </c>
      <c r="BG1063" s="77">
        <f t="shared" si="614"/>
        <v>21.023999999999997</v>
      </c>
      <c r="BH1063" s="77">
        <f t="shared" si="615"/>
        <v>333.70382978723404</v>
      </c>
      <c r="BI1063" s="78">
        <f t="shared" si="616"/>
        <v>0.21</v>
      </c>
      <c r="BJ1063" s="79">
        <f t="shared" si="617"/>
        <v>0.1383329455472781</v>
      </c>
      <c r="BK1063" s="80">
        <f t="shared" si="618"/>
        <v>436.53</v>
      </c>
      <c r="BL1063" s="80">
        <f t="shared" si="619"/>
        <v>70.073829787234104</v>
      </c>
      <c r="BM1063" s="79">
        <f t="shared" si="620"/>
        <v>0.13832076598525528</v>
      </c>
      <c r="BN1063" s="81">
        <f t="shared" si="621"/>
        <v>0.83427215189873416</v>
      </c>
      <c r="BO1063" s="82">
        <f t="shared" si="622"/>
        <v>263.63</v>
      </c>
      <c r="BP1063" s="81">
        <f t="shared" si="623"/>
        <v>0.83427215189873416</v>
      </c>
      <c r="BQ1063" s="81">
        <f t="shared" si="624"/>
        <v>0.99120558287129046</v>
      </c>
      <c r="BR1063" s="81">
        <f t="shared" si="625"/>
        <v>1.2129582087802591</v>
      </c>
      <c r="BS1063" s="82">
        <f t="shared" si="626"/>
        <v>316</v>
      </c>
      <c r="BT1063" s="82">
        <f t="shared" si="627"/>
        <v>383.29479397456186</v>
      </c>
      <c r="BU1063" s="82">
        <f t="shared" si="628"/>
        <v>333.7038297872341</v>
      </c>
      <c r="BW1063" s="82">
        <f>IFERROR(INDEX('Infos Clientes'!$T:$T,MATCH('Detalhe Por UC'!$C1063,'Infos Clientes'!B:B,0)),"")</f>
        <v>361.81818181818181</v>
      </c>
      <c r="BX1063" s="83">
        <f t="shared" si="629"/>
        <v>0</v>
      </c>
      <c r="BY1063" s="84">
        <f t="shared" si="630"/>
        <v>0.1828196753225004</v>
      </c>
      <c r="BZ1063" s="85">
        <f>IF(_xlfn.MINIFS('Detalhe Por UC'!R:R,'Detalhe Por UC'!C:C,C1063,'Detalhe Por UC'!AD:AD,"&gt;"&amp;0)=0,"",_xlfn.MINIFS('Detalhe Por UC'!R:R,'Detalhe Por UC'!C:C,C1063,'Detalhe Por UC'!AD:AD,"&gt;"&amp;0))</f>
        <v>45658</v>
      </c>
      <c r="CA1063" s="114">
        <f ca="1">IF(OR(S1063&gt;0,AD1063&gt;0),IFERROR(
SUMIFS(INDIRECT("'Infos Clientes'!$W"&amp;INDEX('Infos Clientes'!$C:$C,MATCH(C1063,'Infos Clientes'!$H:$H,0))&amp;":$CZ"&amp;INDEX('Infos Clientes'!$C:$C,MATCH(C1063,'Infos Clientes'!$H:$H,0))),'Infos Clientes'!$W$2:$CZ$2,"&gt;"&amp;$R1063-365,'Infos Clientes'!$W$2:$CZ$2,"&lt;="&amp;$R1063)/
COUNTIFS(INDIRECT("'Infos Clientes'!$W"&amp;INDEX('Infos Clientes'!$C:$C,MATCH(C1063,'Infos Clientes'!$H:$H,0))&amp;":$CZ"&amp;INDEX('Infos Clientes'!$C:$C,MATCH(C1063,'Infos Clientes'!$H:$H,0))),"&gt;="&amp;0,'Infos Clientes'!$W$2:$CZ$2,"&gt;"&amp;$R1063-365,'Infos Clientes'!$W$2:$CZ$2,"&lt;="&amp;$R1063),""),"")</f>
        <v>351.75</v>
      </c>
      <c r="CB1063" s="87">
        <f>VLOOKUP(C1063,'Infos Clientes'!B:L,11,0)</f>
        <v>0</v>
      </c>
      <c r="CC1063" s="88" t="str">
        <f t="shared" si="631"/>
        <v>A Unidade Consumidora 10/480529-7 economizou R$70,08 na fatura referente à nov/2025  consumindo 316 kWh em créditos de energia renovável conforme fatura de energia. A economia foi de 21% em relação ao que seria pago para a Energisa considerando os créditos consumidos. Atenção: Mantenha as contas da Energisa em dia para evitar cortes.</v>
      </c>
      <c r="CF1063" s="115">
        <f t="shared" si="632"/>
        <v>-172.89999999999998</v>
      </c>
    </row>
    <row r="1064" spans="3:84" ht="16.2" customHeight="1" x14ac:dyDescent="0.3">
      <c r="C1064" s="31" t="s">
        <v>197</v>
      </c>
      <c r="D1064" s="31" t="s">
        <v>351</v>
      </c>
      <c r="E1064" s="31" t="s">
        <v>352</v>
      </c>
      <c r="F1064" s="56" t="str">
        <f>INDEX('Infos Clientes'!$I:$I,MATCH('Detalhe Por UC'!C1064,'Infos Clientes'!B:B,0))</f>
        <v>BT</v>
      </c>
      <c r="G1064" s="56" t="str">
        <f>INDEX('Infos Clientes'!$J:$J,MATCH('Detalhe Por UC'!C1064,'Infos Clientes'!B:B,0))</f>
        <v>trifasico</v>
      </c>
      <c r="H1064" s="156" t="s">
        <v>138</v>
      </c>
      <c r="I1064" s="58">
        <f>IFERROR(VLOOKUP(C1064,'Infos Clientes'!B:E,4,),"")</f>
        <v>306</v>
      </c>
      <c r="J1064" s="157">
        <v>0.21</v>
      </c>
      <c r="K1064" s="79">
        <f>INDEX('Resumo Operacional'!$A$1:$P$151,MATCH("Desconto percentual Ucs",'Resumo Operacional'!$B$1:$B$151,0),MATCH('Detalhe Por UC'!$R1064,'Resumo Operacional'!$A$1:$P$1,0))</f>
        <v>0.21</v>
      </c>
      <c r="M1064" s="56"/>
      <c r="N1064" s="56"/>
      <c r="O1064" s="56"/>
      <c r="P1064" s="56"/>
      <c r="Q1064" s="61"/>
      <c r="R1064" s="111">
        <v>45962</v>
      </c>
      <c r="S1064" s="152">
        <v>2.75E-2</v>
      </c>
      <c r="T1064" s="113" t="str">
        <f>IF($H1064="GIROSSOL II",AP1064/INDEX('Resumo Operacional'!$A$1:$P$1103,17,MATCH('Detalhe Por UC'!$R1064,'Resumo Operacional'!$A$1:$P$1,0)),
IF($H1064="GIROSSOL II e III",AP1064/INDEX('Resumo Operacional'!$A$1:$P$1103,17,MATCH('Detalhe Por UC'!$R1064,'Resumo Operacional'!$A$1:$P$1,0)),
""))</f>
        <v/>
      </c>
      <c r="U1064" s="113">
        <f>IF($H1064="GIROSSOL III",AP1064/INDEX('Resumo Operacional'!$A$1:$P$1103,53,MATCH('Detalhe Por UC'!$R1064,'Resumo Operacional'!$A$1:$P$1,0)),
IF($H1064="GIROSSOL II e III",AP1064/INDEX('Resumo Operacional'!$A$1:$P$1103,53,MATCH('Detalhe Por UC'!$R1064,'Resumo Operacional'!$A$1:$P$1,0)),
""))</f>
        <v>2.7492642308520564E-2</v>
      </c>
      <c r="X1064">
        <v>1.2129127932713593</v>
      </c>
      <c r="Z1064">
        <v>1.0559963269054178</v>
      </c>
      <c r="AB1064">
        <v>502</v>
      </c>
      <c r="AD1064">
        <v>484</v>
      </c>
      <c r="AF1064">
        <v>986</v>
      </c>
      <c r="AG1064">
        <v>0</v>
      </c>
      <c r="AH1064">
        <v>0</v>
      </c>
      <c r="AK1064">
        <v>97.78</v>
      </c>
      <c r="AL1064" s="43">
        <v>-1.4210854715202004E-13</v>
      </c>
      <c r="AN1064" s="71">
        <f t="shared" si="599"/>
        <v>-101</v>
      </c>
      <c r="AO1064" s="71">
        <f t="shared" si="600"/>
        <v>0</v>
      </c>
      <c r="AP1064" s="71">
        <f t="shared" si="601"/>
        <v>383</v>
      </c>
      <c r="AQ1064" s="72">
        <f>IF(OR($H1064="GIROSSOL II",$H1064="GIROSSOL II e III"),INDEX('Resumo Operacional'!$A$1:$P$1103,MATCH("Energia Injetada prevista total Fatura da Usina (TUSD)",'Resumo Operacional'!$B$1:$B$1103,0),MATCH('Detalhe Por UC'!$R1064,'Resumo Operacional'!$A$1:$P$1,0))*$S1064,INDEX('Resumo Operacional'!$A$1:$P$1103,53,MATCH('Detalhe Por UC'!$R1064,'Resumo Operacional'!$A$1:$P$1,0))*$S1064)</f>
        <v>383.10250000000002</v>
      </c>
      <c r="AR1064" s="71">
        <f t="shared" si="602"/>
        <v>-0.10250000000002046</v>
      </c>
      <c r="AS1064" s="73">
        <f t="shared" si="603"/>
        <v>97.780000000000143</v>
      </c>
      <c r="AT1064" s="74">
        <f t="shared" si="604"/>
        <v>97.780000000000143</v>
      </c>
      <c r="AU1064" s="74">
        <f t="shared" si="605"/>
        <v>0.89907986053947631</v>
      </c>
      <c r="AV1064" s="74">
        <f t="shared" si="606"/>
        <v>403.77075555555552</v>
      </c>
      <c r="AW1064" s="74">
        <f t="shared" si="607"/>
        <v>0.92000000000001592</v>
      </c>
      <c r="AX1064" s="74">
        <f t="shared" si="608"/>
        <v>512.02222222222224</v>
      </c>
      <c r="AY1064" s="74">
        <f t="shared" si="609"/>
        <v>404.69</v>
      </c>
      <c r="AZ1064" s="129">
        <v>404.69</v>
      </c>
      <c r="BA1064" s="117"/>
      <c r="BC1064" s="73" t="str">
        <f t="shared" si="610"/>
        <v/>
      </c>
      <c r="BD1064" s="73">
        <f t="shared" si="611"/>
        <v>608.88222222222237</v>
      </c>
      <c r="BE1064" s="73">
        <f t="shared" si="612"/>
        <v>501.55075555555567</v>
      </c>
      <c r="BF1064" s="77">
        <f t="shared" si="613"/>
        <v>107.33</v>
      </c>
      <c r="BG1064" s="77">
        <f t="shared" si="614"/>
        <v>32.198999999999998</v>
      </c>
      <c r="BH1064" s="77">
        <f t="shared" si="615"/>
        <v>511.10222222222228</v>
      </c>
      <c r="BI1064" s="78">
        <f t="shared" si="616"/>
        <v>0.21</v>
      </c>
      <c r="BJ1064" s="79">
        <f t="shared" si="617"/>
        <v>0.17627382781563297</v>
      </c>
      <c r="BK1064" s="80">
        <f t="shared" si="618"/>
        <v>502.47000000000014</v>
      </c>
      <c r="BL1064" s="80">
        <f t="shared" si="619"/>
        <v>106.41222222222223</v>
      </c>
      <c r="BM1064" s="79">
        <f t="shared" si="620"/>
        <v>0.17476651204210261</v>
      </c>
      <c r="BN1064" s="81">
        <f t="shared" si="621"/>
        <v>0.83613636363636368</v>
      </c>
      <c r="BO1064" s="82">
        <f t="shared" si="622"/>
        <v>404.69</v>
      </c>
      <c r="BP1064" s="81">
        <f t="shared" si="623"/>
        <v>0.83613636363636368</v>
      </c>
      <c r="BQ1064" s="81">
        <f t="shared" si="624"/>
        <v>0.99305283000230515</v>
      </c>
      <c r="BR1064" s="81">
        <f t="shared" si="625"/>
        <v>1.2129127932713595</v>
      </c>
      <c r="BS1064" s="82">
        <f t="shared" si="626"/>
        <v>484</v>
      </c>
      <c r="BT1064" s="82">
        <f t="shared" si="627"/>
        <v>587.04979194333794</v>
      </c>
      <c r="BU1064" s="82">
        <f t="shared" si="628"/>
        <v>511.10222222222222</v>
      </c>
      <c r="BW1064" s="82">
        <f>IFERROR(INDEX('Infos Clientes'!$T:$T,MATCH('Detalhe Por UC'!$C1064,'Infos Clientes'!B:B,0)),"")</f>
        <v>659.09090909090912</v>
      </c>
      <c r="BX1064" s="83">
        <f t="shared" si="629"/>
        <v>0</v>
      </c>
      <c r="BY1064" s="84">
        <f t="shared" si="630"/>
        <v>0.18126609306846175</v>
      </c>
      <c r="BZ1064" s="85">
        <f>IF(_xlfn.MINIFS('Detalhe Por UC'!R:R,'Detalhe Por UC'!C:C,C1064,'Detalhe Por UC'!AD:AD,"&gt;"&amp;0)=0,"",_xlfn.MINIFS('Detalhe Por UC'!R:R,'Detalhe Por UC'!C:C,C1064,'Detalhe Por UC'!AD:AD,"&gt;"&amp;0))</f>
        <v>45658</v>
      </c>
      <c r="CA1064" s="114">
        <f ca="1">IF(OR(S1064&gt;0,AD1064&gt;0),IFERROR(
SUMIFS(INDIRECT("'Infos Clientes'!$W"&amp;INDEX('Infos Clientes'!$C:$C,MATCH(C1064,'Infos Clientes'!$H:$H,0))&amp;":$CZ"&amp;INDEX('Infos Clientes'!$C:$C,MATCH(C1064,'Infos Clientes'!$H:$H,0))),'Infos Clientes'!$W$2:$CZ$2,"&gt;"&amp;$R1064-365,'Infos Clientes'!$W$2:$CZ$2,"&lt;="&amp;$R1064)/
COUNTIFS(INDIRECT("'Infos Clientes'!$W"&amp;INDEX('Infos Clientes'!$C:$C,MATCH(C1064,'Infos Clientes'!$H:$H,0))&amp;":$CZ"&amp;INDEX('Infos Clientes'!$C:$C,MATCH(C1064,'Infos Clientes'!$H:$H,0))),"&gt;="&amp;0,'Infos Clientes'!$W$2:$CZ$2,"&gt;"&amp;$R1064-365,'Infos Clientes'!$W$2:$CZ$2,"&lt;="&amp;$R1064),""),"")</f>
        <v>505.58333333333331</v>
      </c>
      <c r="CB1064" s="87">
        <f>VLOOKUP(C1064,'Infos Clientes'!B:L,11,0)</f>
        <v>0</v>
      </c>
      <c r="CC1064" s="88" t="str">
        <f t="shared" si="631"/>
        <v>A Unidade Consumidora 10/399338-3 economizou R$107,33 na fatura referente à nov/2025  consumindo 484 kWh em créditos de energia renovável conforme fatura de energia. A economia foi de 21% em relação ao que seria pago para a Energisa considerando os créditos consumidos. Atenção: Mantenha as contas da Energisa em dia para evitar cortes.</v>
      </c>
      <c r="CF1064" s="115">
        <f t="shared" si="632"/>
        <v>-97.780000000000143</v>
      </c>
    </row>
    <row r="1065" spans="3:84" ht="16.2" customHeight="1" x14ac:dyDescent="0.3">
      <c r="C1065" s="31" t="s">
        <v>218</v>
      </c>
      <c r="D1065" s="31" t="s">
        <v>351</v>
      </c>
      <c r="E1065" s="31" t="s">
        <v>352</v>
      </c>
      <c r="F1065" s="56" t="str">
        <f>INDEX('Infos Clientes'!$I:$I,MATCH('Detalhe Por UC'!C1065,'Infos Clientes'!B:B,0))</f>
        <v>BT</v>
      </c>
      <c r="G1065" s="56" t="str">
        <f>INDEX('Infos Clientes'!$J:$J,MATCH('Detalhe Por UC'!C1065,'Infos Clientes'!B:B,0))</f>
        <v>bifasico</v>
      </c>
      <c r="H1065" s="156" t="s">
        <v>138</v>
      </c>
      <c r="I1065" s="58">
        <f>IFERROR(VLOOKUP(C1065,'Infos Clientes'!B:E,4,),"")</f>
        <v>319</v>
      </c>
      <c r="J1065" s="157">
        <v>0.21</v>
      </c>
      <c r="K1065" s="79">
        <f>INDEX('Resumo Operacional'!$A$1:$P$151,MATCH("Desconto percentual Ucs",'Resumo Operacional'!$B$1:$B$151,0),MATCH('Detalhe Por UC'!$R1065,'Resumo Operacional'!$A$1:$P$1,0))</f>
        <v>0.21</v>
      </c>
      <c r="M1065" s="56"/>
      <c r="N1065" s="56"/>
      <c r="O1065" s="56"/>
      <c r="P1065" s="56"/>
      <c r="Q1065" s="61"/>
      <c r="R1065" s="111">
        <v>45962</v>
      </c>
      <c r="S1065" s="152">
        <v>2.6499999999999999E-2</v>
      </c>
      <c r="T1065" s="113" t="str">
        <f>IF($H1065="GIROSSOL II",AP1065/INDEX('Resumo Operacional'!$A$1:$P$1103,17,MATCH('Detalhe Por UC'!$R1065,'Resumo Operacional'!$A$1:$P$1,0)),
IF($H1065="GIROSSOL II e III",AP1065/INDEX('Resumo Operacional'!$A$1:$P$1103,17,MATCH('Detalhe Por UC'!$R1065,'Resumo Operacional'!$A$1:$P$1,0)),
""))</f>
        <v/>
      </c>
      <c r="U1065" s="113">
        <f>IF($H1065="GIROSSOL III",AP1065/INDEX('Resumo Operacional'!$A$1:$P$1103,53,MATCH('Detalhe Por UC'!$R1065,'Resumo Operacional'!$A$1:$P$1,0)),
IF($H1065="GIROSSOL II e III",AP1065/INDEX('Resumo Operacional'!$A$1:$P$1103,53,MATCH('Detalhe Por UC'!$R1065,'Resumo Operacional'!$A$1:$P$1,0)),
""))</f>
        <v>5.2616466872442751E-2</v>
      </c>
      <c r="X1065" s="158">
        <v>1.1540191387559808</v>
      </c>
      <c r="Y1065" s="158"/>
      <c r="Z1065" s="158">
        <v>0.99711323763955328</v>
      </c>
      <c r="AA1065" s="158"/>
      <c r="AB1065" s="158">
        <v>627</v>
      </c>
      <c r="AC1065" s="158"/>
      <c r="AD1065" s="158">
        <v>627</v>
      </c>
      <c r="AE1065" s="158"/>
      <c r="AF1065" s="158">
        <v>1024</v>
      </c>
      <c r="AG1065" s="158">
        <v>0</v>
      </c>
      <c r="AH1065" s="158">
        <v>75.569999999999993</v>
      </c>
      <c r="AI1065" s="158">
        <v>-967.68</v>
      </c>
      <c r="AJ1065" s="158">
        <v>793.73</v>
      </c>
      <c r="AK1065" s="158">
        <v>0</v>
      </c>
      <c r="AL1065" s="43">
        <f>AK1065-AT1065</f>
        <v>0</v>
      </c>
      <c r="AN1065" s="71">
        <f t="shared" si="599"/>
        <v>106</v>
      </c>
      <c r="AO1065" s="71">
        <f t="shared" si="600"/>
        <v>0</v>
      </c>
      <c r="AP1065" s="71">
        <f t="shared" si="601"/>
        <v>733</v>
      </c>
      <c r="AQ1065" s="72">
        <f>IF(OR($H1065="GIROSSOL II",$H1065="GIROSSOL II e III"),INDEX('Resumo Operacional'!$A$1:$P$1103,MATCH("Energia Injetada prevista total Fatura da Usina (TUSD)",'Resumo Operacional'!$B$1:$B$1103,0),MATCH('Detalhe Por UC'!$R1065,'Resumo Operacional'!$A$1:$P$1,0))*$S1065,INDEX('Resumo Operacional'!$A$1:$P$1103,53,MATCH('Detalhe Por UC'!$R1065,'Resumo Operacional'!$A$1:$P$1,0))*$S1065)</f>
        <v>369.17149999999998</v>
      </c>
      <c r="AR1065" s="71">
        <f t="shared" si="602"/>
        <v>363.82850000000002</v>
      </c>
      <c r="AS1065" s="73">
        <f t="shared" si="603"/>
        <v>173.95</v>
      </c>
      <c r="AT1065" s="74">
        <f t="shared" si="604"/>
        <v>0</v>
      </c>
      <c r="AU1065" s="74">
        <f t="shared" si="605"/>
        <v>0.84020733652312574</v>
      </c>
      <c r="AV1065" s="74">
        <f t="shared" si="606"/>
        <v>493.90009999999995</v>
      </c>
      <c r="AW1065" s="74">
        <f t="shared" si="607"/>
        <v>0</v>
      </c>
      <c r="AX1065" s="74">
        <f t="shared" si="608"/>
        <v>625.18999999999994</v>
      </c>
      <c r="AY1065" s="74">
        <f t="shared" si="609"/>
        <v>493.9</v>
      </c>
      <c r="AZ1065" s="129">
        <v>493.9</v>
      </c>
      <c r="BC1065" s="73" t="str">
        <f t="shared" si="610"/>
        <v/>
      </c>
      <c r="BD1065" s="73">
        <f t="shared" si="611"/>
        <v>799.13999999999987</v>
      </c>
      <c r="BE1065" s="73">
        <f t="shared" si="612"/>
        <v>667.85009999999988</v>
      </c>
      <c r="BF1065" s="77">
        <f t="shared" si="613"/>
        <v>131.29</v>
      </c>
      <c r="BG1065" s="77">
        <f t="shared" si="614"/>
        <v>39.386999999999993</v>
      </c>
      <c r="BH1065" s="77">
        <f t="shared" si="615"/>
        <v>625.18999999999983</v>
      </c>
      <c r="BI1065" s="78">
        <f t="shared" si="616"/>
        <v>0.21</v>
      </c>
      <c r="BJ1065" s="79">
        <f t="shared" si="617"/>
        <v>0.16428911079410369</v>
      </c>
      <c r="BK1065" s="80">
        <f t="shared" si="618"/>
        <v>667.84999999999991</v>
      </c>
      <c r="BL1065" s="80">
        <f t="shared" si="619"/>
        <v>131.28999999999996</v>
      </c>
      <c r="BM1065" s="79">
        <f t="shared" si="620"/>
        <v>0.16428911079410363</v>
      </c>
      <c r="BN1065" s="81">
        <f t="shared" si="621"/>
        <v>0.78771929824561404</v>
      </c>
      <c r="BO1065" s="82">
        <f t="shared" si="622"/>
        <v>493.9</v>
      </c>
      <c r="BP1065" s="81">
        <f t="shared" si="623"/>
        <v>0.78771929824561404</v>
      </c>
      <c r="BQ1065" s="81">
        <f t="shared" si="624"/>
        <v>0.94462519936204159</v>
      </c>
      <c r="BR1065" s="81">
        <f t="shared" si="625"/>
        <v>1.1540191387559808</v>
      </c>
      <c r="BS1065" s="82">
        <f t="shared" si="626"/>
        <v>627</v>
      </c>
      <c r="BT1065" s="82">
        <f t="shared" si="627"/>
        <v>723.56999999999994</v>
      </c>
      <c r="BU1065" s="82">
        <f t="shared" si="628"/>
        <v>625.18999999999994</v>
      </c>
      <c r="BW1065" s="82">
        <f>IFERROR(INDEX('Infos Clientes'!$T:$T,MATCH('Detalhe Por UC'!$C1065,'Infos Clientes'!B:B,0)),"")</f>
        <v>806.81818181818187</v>
      </c>
      <c r="BX1065" s="83">
        <f t="shared" si="629"/>
        <v>0</v>
      </c>
      <c r="BY1065" s="84">
        <f t="shared" si="630"/>
        <v>0.18144754481252665</v>
      </c>
      <c r="BZ1065" s="85">
        <f>IF(_xlfn.MINIFS('Detalhe Por UC'!R:R,'Detalhe Por UC'!C:C,C1065,'Detalhe Por UC'!AD:AD,"&gt;"&amp;0)=0,"",_xlfn.MINIFS('Detalhe Por UC'!R:R,'Detalhe Por UC'!C:C,C1065,'Detalhe Por UC'!AD:AD,"&gt;"&amp;0))</f>
        <v>45658</v>
      </c>
      <c r="CA1065" s="114">
        <f ca="1">IF(OR(S1065&gt;0,AD1065&gt;0),IFERROR(
SUMIFS(INDIRECT("'Infos Clientes'!$W"&amp;INDEX('Infos Clientes'!$C:$C,MATCH(C1065,'Infos Clientes'!$H:$H,0))&amp;":$CZ"&amp;INDEX('Infos Clientes'!$C:$C,MATCH(C1065,'Infos Clientes'!$H:$H,0))),'Infos Clientes'!$W$2:$CZ$2,"&gt;"&amp;$R1065-365,'Infos Clientes'!$W$2:$CZ$2,"&lt;="&amp;$R1065)/
COUNTIFS(INDIRECT("'Infos Clientes'!$W"&amp;INDEX('Infos Clientes'!$C:$C,MATCH(C1065,'Infos Clientes'!$H:$H,0))&amp;":$CZ"&amp;INDEX('Infos Clientes'!$C:$C,MATCH(C1065,'Infos Clientes'!$H:$H,0))),"&gt;="&amp;0,'Infos Clientes'!$W$2:$CZ$2,"&gt;"&amp;$R1065-365,'Infos Clientes'!$W$2:$CZ$2,"&lt;="&amp;$R1065),""),"")</f>
        <v>684.66666666666663</v>
      </c>
      <c r="CB1065" s="87">
        <f>VLOOKUP(C1065,'Infos Clientes'!B:L,11,0)</f>
        <v>0</v>
      </c>
      <c r="CC1065" s="88" t="str">
        <f t="shared" si="631"/>
        <v>A Unidade Consumidora 10/61344-8 economizou R$131,29 na fatura referente à nov/2025  consumindo 627 kWh em créditos de energia renovável conforme fatura de energia. A economia foi de 21% em relação ao que seria pago para a Energisa considerando os créditos consumidos. Atenção: Mantenha as contas da Energisa em dia para evitar cortes.</v>
      </c>
      <c r="CF1065" s="115">
        <f t="shared" si="632"/>
        <v>0</v>
      </c>
    </row>
    <row r="1066" spans="3:84" ht="16.2" customHeight="1" x14ac:dyDescent="0.3">
      <c r="C1066" s="31" t="s">
        <v>231</v>
      </c>
      <c r="D1066" s="31" t="s">
        <v>351</v>
      </c>
      <c r="E1066" s="31" t="s">
        <v>352</v>
      </c>
      <c r="F1066" s="56" t="str">
        <f>INDEX('Infos Clientes'!$I:$I,MATCH('Detalhe Por UC'!C1066,'Infos Clientes'!B:B,0))</f>
        <v>BT</v>
      </c>
      <c r="G1066" s="56" t="str">
        <f>INDEX('Infos Clientes'!$J:$J,MATCH('Detalhe Por UC'!C1066,'Infos Clientes'!B:B,0))</f>
        <v>trifasico</v>
      </c>
      <c r="H1066" s="156" t="s">
        <v>138</v>
      </c>
      <c r="I1066" s="58">
        <f>IFERROR(VLOOKUP(C1066,'Infos Clientes'!B:E,4,),"")</f>
        <v>302</v>
      </c>
      <c r="J1066" s="157">
        <v>0.21</v>
      </c>
      <c r="K1066" s="79">
        <f>INDEX('Resumo Operacional'!$A$1:$P$151,MATCH("Desconto percentual Ucs",'Resumo Operacional'!$B$1:$B$151,0),MATCH('Detalhe Por UC'!$R1066,'Resumo Operacional'!$A$1:$P$1,0))</f>
        <v>0.21</v>
      </c>
      <c r="M1066" s="56"/>
      <c r="N1066" s="56"/>
      <c r="O1066" s="56"/>
      <c r="P1066" s="56"/>
      <c r="Q1066" s="61"/>
      <c r="R1066" s="111">
        <v>45962</v>
      </c>
      <c r="S1066" s="152">
        <v>2.6200000000000001E-2</v>
      </c>
      <c r="T1066" s="113" t="str">
        <f>IF($H1066="GIROSSOL II",AP1066/INDEX('Resumo Operacional'!$A$1:$P$1103,17,MATCH('Detalhe Por UC'!$R1066,'Resumo Operacional'!$A$1:$P$1,0)),
IF($H1066="GIROSSOL II e III",AP1066/INDEX('Resumo Operacional'!$A$1:$P$1103,17,MATCH('Detalhe Por UC'!$R1066,'Resumo Operacional'!$A$1:$P$1,0)),
""))</f>
        <v/>
      </c>
      <c r="U1066" s="113">
        <f>IF($H1066="GIROSSOL III",AP1066/INDEX('Resumo Operacional'!$A$1:$P$1103,53,MATCH('Detalhe Por UC'!$R1066,'Resumo Operacional'!$A$1:$P$1,0)),
IF($H1066="GIROSSOL II e III",AP1066/INDEX('Resumo Operacional'!$A$1:$P$1103,53,MATCH('Detalhe Por UC'!$R1066,'Resumo Operacional'!$A$1:$P$1,0)),
""))</f>
        <v>2.6128777546479076E-2</v>
      </c>
      <c r="X1066">
        <v>1.1540130505709625</v>
      </c>
      <c r="Z1066">
        <v>0.99709624796084828</v>
      </c>
      <c r="AB1066">
        <v>613</v>
      </c>
      <c r="AD1066">
        <v>613</v>
      </c>
      <c r="AF1066">
        <v>44</v>
      </c>
      <c r="AG1066">
        <v>0</v>
      </c>
      <c r="AH1066">
        <v>52.42</v>
      </c>
      <c r="AK1066">
        <v>148.61000000000001</v>
      </c>
      <c r="AL1066" s="43">
        <v>0</v>
      </c>
      <c r="AN1066" s="71">
        <f t="shared" si="599"/>
        <v>-249</v>
      </c>
      <c r="AO1066" s="71">
        <f t="shared" si="600"/>
        <v>0</v>
      </c>
      <c r="AP1066" s="71">
        <f t="shared" si="601"/>
        <v>364</v>
      </c>
      <c r="AQ1066" s="72">
        <f>IF(OR($H1066="GIROSSOL II",$H1066="GIROSSOL II e III"),INDEX('Resumo Operacional'!$A$1:$P$1103,MATCH("Energia Injetada prevista total Fatura da Usina (TUSD)",'Resumo Operacional'!$B$1:$B$1103,0),MATCH('Detalhe Por UC'!$R1066,'Resumo Operacional'!$A$1:$P$1,0))*$S1066,INDEX('Resumo Operacional'!$A$1:$P$1103,53,MATCH('Detalhe Por UC'!$R1066,'Resumo Operacional'!$A$1:$P$1,0))*$S1066)</f>
        <v>364.99220000000003</v>
      </c>
      <c r="AR1066" s="71">
        <f t="shared" si="602"/>
        <v>-0.99220000000002528</v>
      </c>
      <c r="AS1066" s="73">
        <f t="shared" si="603"/>
        <v>148.60999999999996</v>
      </c>
      <c r="AT1066" s="74">
        <f t="shared" si="604"/>
        <v>148.60999999999996</v>
      </c>
      <c r="AU1066" s="74">
        <f t="shared" si="605"/>
        <v>0.84017944535073408</v>
      </c>
      <c r="AV1066" s="74">
        <f t="shared" si="606"/>
        <v>482.86380000000003</v>
      </c>
      <c r="AW1066" s="74">
        <f t="shared" si="607"/>
        <v>54.160000000000025</v>
      </c>
      <c r="AX1066" s="74">
        <f t="shared" si="608"/>
        <v>665.38000000000011</v>
      </c>
      <c r="AY1066" s="74">
        <f t="shared" si="609"/>
        <v>537.02</v>
      </c>
      <c r="AZ1066" s="129">
        <v>537.02</v>
      </c>
      <c r="BC1066" s="73" t="str">
        <f t="shared" si="610"/>
        <v/>
      </c>
      <c r="BD1066" s="73">
        <f t="shared" si="611"/>
        <v>759.82999999999993</v>
      </c>
      <c r="BE1066" s="73">
        <f t="shared" si="612"/>
        <v>631.47379999999998</v>
      </c>
      <c r="BF1066" s="77">
        <f t="shared" si="613"/>
        <v>128.36000000000001</v>
      </c>
      <c r="BG1066" s="77">
        <f t="shared" si="614"/>
        <v>38.508000000000003</v>
      </c>
      <c r="BH1066" s="77">
        <f t="shared" si="615"/>
        <v>611.21999999999991</v>
      </c>
      <c r="BI1066" s="78">
        <f t="shared" si="616"/>
        <v>0.19</v>
      </c>
      <c r="BJ1066" s="79">
        <f t="shared" si="617"/>
        <v>0.16893252438045356</v>
      </c>
      <c r="BK1066" s="80">
        <f t="shared" si="618"/>
        <v>685.62999999999988</v>
      </c>
      <c r="BL1066" s="80">
        <f t="shared" si="619"/>
        <v>74.200000000000045</v>
      </c>
      <c r="BM1066" s="79">
        <f t="shared" si="620"/>
        <v>9.7653422476080248E-2</v>
      </c>
      <c r="BN1066" s="81">
        <f t="shared" si="621"/>
        <v>0.87605220228384983</v>
      </c>
      <c r="BO1066" s="82">
        <f t="shared" si="622"/>
        <v>537.02</v>
      </c>
      <c r="BP1066" s="81">
        <f t="shared" si="623"/>
        <v>0.87605220228384983</v>
      </c>
      <c r="BQ1066" s="81">
        <f t="shared" si="624"/>
        <v>1.0329690048939639</v>
      </c>
      <c r="BR1066" s="81">
        <f t="shared" si="625"/>
        <v>1.1540130505709625</v>
      </c>
      <c r="BS1066" s="82">
        <f t="shared" si="626"/>
        <v>613</v>
      </c>
      <c r="BT1066" s="82">
        <f t="shared" si="627"/>
        <v>707.41</v>
      </c>
      <c r="BU1066" s="82">
        <f t="shared" si="628"/>
        <v>611.22</v>
      </c>
      <c r="BW1066" s="82">
        <f>IFERROR(INDEX('Infos Clientes'!$T:$T,MATCH('Detalhe Por UC'!$C1066,'Infos Clientes'!B:B,0)),"")</f>
        <v>461.45454545454544</v>
      </c>
      <c r="BX1066" s="83">
        <f t="shared" si="629"/>
        <v>0</v>
      </c>
      <c r="BY1066" s="84">
        <f t="shared" si="630"/>
        <v>0.1048896679436255</v>
      </c>
      <c r="BZ1066" s="85">
        <f>IF(_xlfn.MINIFS('Detalhe Por UC'!R:R,'Detalhe Por UC'!C:C,C1066,'Detalhe Por UC'!AD:AD,"&gt;"&amp;0)=0,"",_xlfn.MINIFS('Detalhe Por UC'!R:R,'Detalhe Por UC'!C:C,C1066,'Detalhe Por UC'!AD:AD,"&gt;"&amp;0))</f>
        <v>45658</v>
      </c>
      <c r="CA1066" s="114">
        <f ca="1">IF(OR(S1066&gt;0,AD1066&gt;0),IFERROR(
SUMIFS(INDIRECT("'Infos Clientes'!$W"&amp;INDEX('Infos Clientes'!$C:$C,MATCH(C1066,'Infos Clientes'!$H:$H,0))&amp;":$CZ"&amp;INDEX('Infos Clientes'!$C:$C,MATCH(C1066,'Infos Clientes'!$H:$H,0))),'Infos Clientes'!$W$2:$CZ$2,"&gt;"&amp;$R1066-365,'Infos Clientes'!$W$2:$CZ$2,"&lt;="&amp;$R1066)/
COUNTIFS(INDIRECT("'Infos Clientes'!$W"&amp;INDEX('Infos Clientes'!$C:$C,MATCH(C1066,'Infos Clientes'!$H:$H,0))&amp;":$CZ"&amp;INDEX('Infos Clientes'!$C:$C,MATCH(C1066,'Infos Clientes'!$H:$H,0))),"&gt;="&amp;0,'Infos Clientes'!$W$2:$CZ$2,"&gt;"&amp;$R1066-365,'Infos Clientes'!$W$2:$CZ$2,"&lt;="&amp;$R1066),""),"")</f>
        <v>450.16666666666669</v>
      </c>
      <c r="CB1066" s="87">
        <f>VLOOKUP(C1066,'Infos Clientes'!B:L,11,0)</f>
        <v>0</v>
      </c>
      <c r="CC1066" s="88" t="str">
        <f t="shared" si="631"/>
        <v>A Unidade Consumidora 10/81222-2 economizou R$128,36 na fatura referente à nov/2025  consumindo 613 kWh em créditos de energia renovável conforme fatura de energia. A economia foi de 21% em relação ao que seria pago para a Energisa considerando os créditos consumidos. Atenção: Mantenha as contas da Energisa em dia para evitar cortes.</v>
      </c>
      <c r="CF1066" s="115">
        <f t="shared" si="632"/>
        <v>-148.60999999999996</v>
      </c>
    </row>
    <row r="1067" spans="3:84" ht="16.2" customHeight="1" x14ac:dyDescent="0.3">
      <c r="C1067" s="31" t="s">
        <v>252</v>
      </c>
      <c r="D1067" s="31" t="s">
        <v>351</v>
      </c>
      <c r="E1067" s="31" t="s">
        <v>352</v>
      </c>
      <c r="F1067" s="56" t="str">
        <f>INDEX('Infos Clientes'!$I:$I,MATCH('Detalhe Por UC'!C1067,'Infos Clientes'!B:B,0))</f>
        <v>BT</v>
      </c>
      <c r="G1067" s="56" t="str">
        <f>INDEX('Infos Clientes'!$J:$J,MATCH('Detalhe Por UC'!C1067,'Infos Clientes'!B:B,0))</f>
        <v>bifasico</v>
      </c>
      <c r="H1067" s="156" t="s">
        <v>138</v>
      </c>
      <c r="I1067" s="58">
        <f>IFERROR(VLOOKUP(C1067,'Infos Clientes'!B:E,4,),"")</f>
        <v>0</v>
      </c>
      <c r="J1067" s="157">
        <v>0.21</v>
      </c>
      <c r="K1067" s="79">
        <f>INDEX('Resumo Operacional'!$A$1:$P$151,MATCH("Desconto percentual Ucs",'Resumo Operacional'!$B$1:$B$151,0),MATCH('Detalhe Por UC'!$R1067,'Resumo Operacional'!$A$1:$P$1,0))</f>
        <v>0.21</v>
      </c>
      <c r="M1067" s="56"/>
      <c r="N1067" s="56"/>
      <c r="O1067" s="56"/>
      <c r="P1067" s="56"/>
      <c r="Q1067" s="61"/>
      <c r="R1067" s="111">
        <v>45962</v>
      </c>
      <c r="S1067" s="152">
        <v>2.5999999999999999E-2</v>
      </c>
      <c r="T1067" s="113" t="str">
        <f>IF($H1067="GIROSSOL II",AP1067/INDEX('Resumo Operacional'!$A$1:$P$1103,17,MATCH('Detalhe Por UC'!$R1067,'Resumo Operacional'!$A$1:$P$1,0)),
IF($H1067="GIROSSOL II e III",AP1067/INDEX('Resumo Operacional'!$A$1:$P$1103,17,MATCH('Detalhe Por UC'!$R1067,'Resumo Operacional'!$A$1:$P$1,0)),
""))</f>
        <v/>
      </c>
      <c r="U1067" s="113">
        <f>IF($H1067="GIROSSOL III",AP1067/INDEX('Resumo Operacional'!$A$1:$P$1103,53,MATCH('Detalhe Por UC'!$R1067,'Resumo Operacional'!$A$1:$P$1,0)),
IF($H1067="GIROSSOL II e III",AP1067/INDEX('Resumo Operacional'!$A$1:$P$1103,53,MATCH('Detalhe Por UC'!$R1067,'Resumo Operacional'!$A$1:$P$1,0)),
""))</f>
        <v>2.5985212834685235E-2</v>
      </c>
      <c r="X1067" s="158">
        <v>1.2125101522842641</v>
      </c>
      <c r="Y1067" s="158"/>
      <c r="Z1067" s="158">
        <v>1.0556186440677966</v>
      </c>
      <c r="AA1067" s="158"/>
      <c r="AB1067" s="158">
        <v>197</v>
      </c>
      <c r="AC1067" s="158"/>
      <c r="AD1067" s="158">
        <v>177</v>
      </c>
      <c r="AE1067" s="158"/>
      <c r="AF1067" s="158">
        <v>222</v>
      </c>
      <c r="AG1067" s="158">
        <v>0</v>
      </c>
      <c r="AH1067" s="158">
        <v>0</v>
      </c>
      <c r="AI1067" s="158"/>
      <c r="AJ1067" s="158"/>
      <c r="AK1067" s="158">
        <v>52.02</v>
      </c>
      <c r="AL1067" s="43">
        <f>AK1067-AT1067</f>
        <v>0</v>
      </c>
      <c r="AN1067" s="71">
        <f t="shared" si="599"/>
        <v>185</v>
      </c>
      <c r="AO1067" s="71">
        <f t="shared" si="600"/>
        <v>0</v>
      </c>
      <c r="AP1067" s="71">
        <f t="shared" si="601"/>
        <v>362</v>
      </c>
      <c r="AQ1067" s="72">
        <f>IF(OR($H1067="GIROSSOL II",$H1067="GIROSSOL II e III"),INDEX('Resumo Operacional'!$A$1:$P$1103,MATCH("Energia Injetada prevista total Fatura da Usina (TUSD)",'Resumo Operacional'!$B$1:$B$1103,0),MATCH('Detalhe Por UC'!$R1067,'Resumo Operacional'!$A$1:$P$1,0))*$S1067,INDEX('Resumo Operacional'!$A$1:$P$1103,53,MATCH('Detalhe Por UC'!$R1067,'Resumo Operacional'!$A$1:$P$1,0))*$S1067)</f>
        <v>362.20599999999996</v>
      </c>
      <c r="AR1067" s="71">
        <f t="shared" si="602"/>
        <v>-0.20599999999996044</v>
      </c>
      <c r="AS1067" s="73">
        <f t="shared" si="603"/>
        <v>52.02000000000001</v>
      </c>
      <c r="AT1067" s="74">
        <f t="shared" si="604"/>
        <v>52.02000000000001</v>
      </c>
      <c r="AU1067" s="74">
        <f t="shared" si="605"/>
        <v>0.89872713585132913</v>
      </c>
      <c r="AV1067" s="74">
        <f t="shared" si="606"/>
        <v>147.60715500000001</v>
      </c>
      <c r="AW1067" s="74">
        <f t="shared" si="607"/>
        <v>0</v>
      </c>
      <c r="AX1067" s="74">
        <f t="shared" si="608"/>
        <v>186.84450000000001</v>
      </c>
      <c r="AY1067" s="74">
        <f t="shared" si="609"/>
        <v>147.61000000000001</v>
      </c>
      <c r="AZ1067" s="129">
        <v>147.61000000000001</v>
      </c>
      <c r="BC1067" s="73" t="str">
        <f t="shared" si="610"/>
        <v/>
      </c>
      <c r="BD1067" s="73">
        <f t="shared" si="611"/>
        <v>238.86450000000002</v>
      </c>
      <c r="BE1067" s="73">
        <f t="shared" si="612"/>
        <v>199.62715500000002</v>
      </c>
      <c r="BF1067" s="77">
        <f t="shared" si="613"/>
        <v>39.24</v>
      </c>
      <c r="BG1067" s="77">
        <f t="shared" si="614"/>
        <v>11.772</v>
      </c>
      <c r="BH1067" s="77">
        <f t="shared" si="615"/>
        <v>186.84449999999998</v>
      </c>
      <c r="BI1067" s="78">
        <f t="shared" si="616"/>
        <v>0.21</v>
      </c>
      <c r="BJ1067" s="79">
        <f t="shared" si="617"/>
        <v>0.16427723667602342</v>
      </c>
      <c r="BK1067" s="80">
        <f t="shared" si="618"/>
        <v>199.63000000000002</v>
      </c>
      <c r="BL1067" s="80">
        <f t="shared" si="619"/>
        <v>39.234499999999997</v>
      </c>
      <c r="BM1067" s="79">
        <f t="shared" si="620"/>
        <v>0.16425421106945567</v>
      </c>
      <c r="BN1067" s="81">
        <f t="shared" si="621"/>
        <v>0.83395480225988705</v>
      </c>
      <c r="BO1067" s="82">
        <f t="shared" si="622"/>
        <v>147.61000000000001</v>
      </c>
      <c r="BP1067" s="81">
        <f t="shared" si="623"/>
        <v>0.83395480225988705</v>
      </c>
      <c r="BQ1067" s="81">
        <f t="shared" si="624"/>
        <v>0.99084631047635452</v>
      </c>
      <c r="BR1067" s="81">
        <f t="shared" si="625"/>
        <v>1.2125101522842641</v>
      </c>
      <c r="BS1067" s="82">
        <f t="shared" si="626"/>
        <v>177</v>
      </c>
      <c r="BT1067" s="82">
        <f t="shared" si="627"/>
        <v>214.61429695431474</v>
      </c>
      <c r="BU1067" s="82">
        <f t="shared" si="628"/>
        <v>186.84450000000001</v>
      </c>
      <c r="BW1067" s="82">
        <f>IFERROR(INDEX('Infos Clientes'!$T:$T,MATCH('Detalhe Por UC'!$C1067,'Infos Clientes'!B:B,0)),"")</f>
        <v>0</v>
      </c>
      <c r="BX1067" s="83">
        <f t="shared" si="629"/>
        <v>0</v>
      </c>
      <c r="BY1067" s="84">
        <f t="shared" si="630"/>
        <v>0.18281400893041108</v>
      </c>
      <c r="BZ1067" s="85">
        <f>IF(_xlfn.MINIFS('Detalhe Por UC'!R:R,'Detalhe Por UC'!C:C,C1067,'Detalhe Por UC'!AD:AD,"&gt;"&amp;0)=0,"",_xlfn.MINIFS('Detalhe Por UC'!R:R,'Detalhe Por UC'!C:C,C1067,'Detalhe Por UC'!AD:AD,"&gt;"&amp;0))</f>
        <v>45839</v>
      </c>
      <c r="CA1067" s="114">
        <f ca="1">IF(OR(S1067&gt;0,AD1067&gt;0),IFERROR(
SUMIFS(INDIRECT("'Infos Clientes'!$W"&amp;INDEX('Infos Clientes'!$C:$C,MATCH(C1067,'Infos Clientes'!$H:$H,0))&amp;":$CZ"&amp;INDEX('Infos Clientes'!$C:$C,MATCH(C1067,'Infos Clientes'!$H:$H,0))),'Infos Clientes'!$W$2:$CZ$2,"&gt;"&amp;$R1067-365,'Infos Clientes'!$W$2:$CZ$2,"&lt;="&amp;$R1067)/
COUNTIFS(INDIRECT("'Infos Clientes'!$W"&amp;INDEX('Infos Clientes'!$C:$C,MATCH(C1067,'Infos Clientes'!$H:$H,0))&amp;":$CZ"&amp;INDEX('Infos Clientes'!$C:$C,MATCH(C1067,'Infos Clientes'!$H:$H,0))),"&gt;="&amp;0,'Infos Clientes'!$W$2:$CZ$2,"&gt;"&amp;$R1067-365,'Infos Clientes'!$W$2:$CZ$2,"&lt;="&amp;$R1067),""),"")</f>
        <v>263.33333333333331</v>
      </c>
      <c r="CB1067" s="87">
        <f>VLOOKUP(C1067,'Infos Clientes'!B:L,11,0)</f>
        <v>0</v>
      </c>
      <c r="CC1067" s="88" t="str">
        <f t="shared" si="631"/>
        <v>A Unidade Consumidora 10/3556072-1 economizou R$39,24 na fatura referente à nov/2025  consumindo 177 kWh em créditos de energia renovável conforme fatura de energia. A economia foi de 21% em relação ao que seria pago para a Energisa considerando os créditos consumidos. Atenção: Mantenha as contas da Energisa em dia para evitar cortes.</v>
      </c>
      <c r="CF1067" s="115">
        <f t="shared" si="632"/>
        <v>-52.02000000000001</v>
      </c>
    </row>
    <row r="1068" spans="3:84" ht="16.2" customHeight="1" x14ac:dyDescent="0.3">
      <c r="C1068" s="31" t="s">
        <v>195</v>
      </c>
      <c r="D1068" s="31" t="s">
        <v>351</v>
      </c>
      <c r="E1068" s="31" t="s">
        <v>352</v>
      </c>
      <c r="F1068" s="56" t="str">
        <f>INDEX('Infos Clientes'!$I:$I,MATCH('Detalhe Por UC'!C1068,'Infos Clientes'!B:B,0))</f>
        <v>BT</v>
      </c>
      <c r="G1068" s="56" t="str">
        <f>INDEX('Infos Clientes'!$J:$J,MATCH('Detalhe Por UC'!C1068,'Infos Clientes'!B:B,0))</f>
        <v>trifasico</v>
      </c>
      <c r="H1068" s="156" t="s">
        <v>138</v>
      </c>
      <c r="I1068" s="58">
        <f>IFERROR(VLOOKUP(C1068,'Infos Clientes'!B:E,4,),"")</f>
        <v>306</v>
      </c>
      <c r="J1068" s="157">
        <v>0.21</v>
      </c>
      <c r="K1068" s="79">
        <f>INDEX('Resumo Operacional'!$A$1:$P$151,MATCH("Desconto percentual Ucs",'Resumo Operacional'!$B$1:$B$151,0),MATCH('Detalhe Por UC'!$R1068,'Resumo Operacional'!$A$1:$P$1,0))</f>
        <v>0.21</v>
      </c>
      <c r="M1068" s="56"/>
      <c r="N1068" s="56"/>
      <c r="O1068" s="56"/>
      <c r="P1068" s="56"/>
      <c r="Q1068" s="61"/>
      <c r="R1068" s="111">
        <v>45962</v>
      </c>
      <c r="S1068" s="152">
        <v>2.5399999999999999E-2</v>
      </c>
      <c r="T1068" s="113" t="str">
        <f>IF($H1068="GIROSSOL II",AP1068/INDEX('Resumo Operacional'!$A$1:$P$1103,17,MATCH('Detalhe Por UC'!$R1068,'Resumo Operacional'!$A$1:$P$1,0)),
IF($H1068="GIROSSOL II e III",AP1068/INDEX('Resumo Operacional'!$A$1:$P$1103,17,MATCH('Detalhe Por UC'!$R1068,'Resumo Operacional'!$A$1:$P$1,0)),
""))</f>
        <v/>
      </c>
      <c r="U1068" s="113">
        <f>IF($H1068="GIROSSOL III",AP1068/INDEX('Resumo Operacional'!$A$1:$P$1103,53,MATCH('Detalhe Por UC'!$R1068,'Resumo Operacional'!$A$1:$P$1,0)),
IF($H1068="GIROSSOL II e III",AP1068/INDEX('Resumo Operacional'!$A$1:$P$1103,53,MATCH('Detalhe Por UC'!$R1068,'Resumo Operacional'!$A$1:$P$1,0)),
""))</f>
        <v>2.533917163161295E-2</v>
      </c>
      <c r="X1068">
        <v>1.2126816986515974</v>
      </c>
      <c r="Z1068">
        <v>1.0558005935556813</v>
      </c>
      <c r="AB1068">
        <v>293</v>
      </c>
      <c r="AD1068">
        <v>232</v>
      </c>
      <c r="AF1068">
        <v>433</v>
      </c>
      <c r="AG1068">
        <v>0</v>
      </c>
      <c r="AH1068">
        <v>0</v>
      </c>
      <c r="AK1068">
        <v>110.37</v>
      </c>
      <c r="AL1068" s="43">
        <v>0</v>
      </c>
      <c r="AN1068" s="71">
        <f t="shared" si="599"/>
        <v>121</v>
      </c>
      <c r="AO1068" s="71">
        <f t="shared" si="600"/>
        <v>0</v>
      </c>
      <c r="AP1068" s="71">
        <f t="shared" si="601"/>
        <v>353</v>
      </c>
      <c r="AQ1068" s="72">
        <f>IF(OR($H1068="GIROSSOL II",$H1068="GIROSSOL II e III"),INDEX('Resumo Operacional'!$A$1:$P$1103,MATCH("Energia Injetada prevista total Fatura da Usina (TUSD)",'Resumo Operacional'!$B$1:$B$1103,0),MATCH('Detalhe Por UC'!$R1068,'Resumo Operacional'!$A$1:$P$1,0))*$S1068,INDEX('Resumo Operacional'!$A$1:$P$1103,53,MATCH('Detalhe Por UC'!$R1068,'Resumo Operacional'!$A$1:$P$1,0))*$S1068)</f>
        <v>353.84739999999999</v>
      </c>
      <c r="AR1068" s="71">
        <f t="shared" si="602"/>
        <v>-0.84739999999999327</v>
      </c>
      <c r="AS1068" s="73">
        <f t="shared" si="603"/>
        <v>110.36999999999998</v>
      </c>
      <c r="AT1068" s="74">
        <f t="shared" si="604"/>
        <v>110.36999999999998</v>
      </c>
      <c r="AU1068" s="74">
        <f t="shared" si="605"/>
        <v>0.89891948845976533</v>
      </c>
      <c r="AV1068" s="74">
        <f t="shared" si="606"/>
        <v>193.50713278688528</v>
      </c>
      <c r="AW1068" s="74">
        <f t="shared" si="607"/>
        <v>0</v>
      </c>
      <c r="AX1068" s="74">
        <f t="shared" si="608"/>
        <v>244.94573770491806</v>
      </c>
      <c r="AY1068" s="74">
        <f t="shared" si="609"/>
        <v>193.51</v>
      </c>
      <c r="AZ1068" s="129">
        <v>193.51</v>
      </c>
      <c r="BC1068" s="73" t="str">
        <f t="shared" si="610"/>
        <v/>
      </c>
      <c r="BD1068" s="73">
        <f t="shared" si="611"/>
        <v>355.31573770491804</v>
      </c>
      <c r="BE1068" s="73">
        <f t="shared" si="612"/>
        <v>303.87713278688523</v>
      </c>
      <c r="BF1068" s="77">
        <f t="shared" si="613"/>
        <v>51.44</v>
      </c>
      <c r="BG1068" s="77">
        <f t="shared" si="614"/>
        <v>15.431999999999999</v>
      </c>
      <c r="BH1068" s="77">
        <f t="shared" si="615"/>
        <v>244.94573770491806</v>
      </c>
      <c r="BI1068" s="78">
        <f t="shared" si="616"/>
        <v>0.21</v>
      </c>
      <c r="BJ1068" s="79">
        <f t="shared" si="617"/>
        <v>0.14477264737065992</v>
      </c>
      <c r="BK1068" s="80">
        <f t="shared" si="618"/>
        <v>303.88</v>
      </c>
      <c r="BL1068" s="80">
        <f t="shared" si="619"/>
        <v>51.43573770491804</v>
      </c>
      <c r="BM1068" s="79">
        <f t="shared" si="620"/>
        <v>0.14476065157472506</v>
      </c>
      <c r="BN1068" s="81">
        <f t="shared" si="621"/>
        <v>0.8340948275862069</v>
      </c>
      <c r="BO1068" s="82">
        <f t="shared" si="622"/>
        <v>193.51</v>
      </c>
      <c r="BP1068" s="81">
        <f t="shared" si="623"/>
        <v>0.8340948275862069</v>
      </c>
      <c r="BQ1068" s="81">
        <f t="shared" si="624"/>
        <v>0.99097593268212292</v>
      </c>
      <c r="BR1068" s="81">
        <f t="shared" si="625"/>
        <v>1.2126816986515974</v>
      </c>
      <c r="BS1068" s="82">
        <f t="shared" si="626"/>
        <v>232</v>
      </c>
      <c r="BT1068" s="82">
        <f t="shared" si="627"/>
        <v>281.34215408717057</v>
      </c>
      <c r="BU1068" s="82">
        <f t="shared" si="628"/>
        <v>244.94573770491806</v>
      </c>
      <c r="BW1068" s="82">
        <f>IFERROR(INDEX('Infos Clientes'!$T:$T,MATCH('Detalhe Por UC'!$C1068,'Infos Clientes'!B:B,0)),"")</f>
        <v>249.81818181818181</v>
      </c>
      <c r="BX1068" s="83">
        <f t="shared" si="629"/>
        <v>0</v>
      </c>
      <c r="BY1068" s="84">
        <f t="shared" si="630"/>
        <v>0.1828227194456658</v>
      </c>
      <c r="BZ1068" s="85">
        <f>IF(_xlfn.MINIFS('Detalhe Por UC'!R:R,'Detalhe Por UC'!C:C,C1068,'Detalhe Por UC'!AD:AD,"&gt;"&amp;0)=0,"",_xlfn.MINIFS('Detalhe Por UC'!R:R,'Detalhe Por UC'!C:C,C1068,'Detalhe Por UC'!AD:AD,"&gt;"&amp;0))</f>
        <v>45658</v>
      </c>
      <c r="CA1068" s="114">
        <f ca="1">IF(OR(S1068&gt;0,AD1068&gt;0),IFERROR(
SUMIFS(INDIRECT("'Infos Clientes'!$W"&amp;INDEX('Infos Clientes'!$C:$C,MATCH(C1068,'Infos Clientes'!$H:$H,0))&amp;":$CZ"&amp;INDEX('Infos Clientes'!$C:$C,MATCH(C1068,'Infos Clientes'!$H:$H,0))),'Infos Clientes'!$W$2:$CZ$2,"&gt;"&amp;$R1068-365,'Infos Clientes'!$W$2:$CZ$2,"&lt;="&amp;$R1068)/
COUNTIFS(INDIRECT("'Infos Clientes'!$W"&amp;INDEX('Infos Clientes'!$C:$C,MATCH(C1068,'Infos Clientes'!$H:$H,0))&amp;":$CZ"&amp;INDEX('Infos Clientes'!$C:$C,MATCH(C1068,'Infos Clientes'!$H:$H,0))),"&gt;="&amp;0,'Infos Clientes'!$W$2:$CZ$2,"&gt;"&amp;$R1068-365,'Infos Clientes'!$W$2:$CZ$2,"&lt;="&amp;$R1068),""),"")</f>
        <v>317.58333333333331</v>
      </c>
      <c r="CB1068" s="87">
        <f>VLOOKUP(C1068,'Infos Clientes'!B:L,11,0)</f>
        <v>0</v>
      </c>
      <c r="CC1068" s="88" t="str">
        <f t="shared" si="631"/>
        <v>A Unidade Consumidora 10/395471-6 economizou R$51,44 na fatura referente à nov/2025  consumindo 232 kWh em créditos de energia renovável conforme fatura de energia. A economia foi de 21% em relação ao que seria pago para a Energisa considerando os créditos consumidos. Atenção: Mantenha as contas da Energisa em dia para evitar cortes.</v>
      </c>
      <c r="CF1068" s="115">
        <f t="shared" si="632"/>
        <v>-110.36999999999998</v>
      </c>
    </row>
    <row r="1069" spans="3:84" ht="16.2" customHeight="1" x14ac:dyDescent="0.3">
      <c r="C1069" s="31" t="s">
        <v>169</v>
      </c>
      <c r="D1069" s="31" t="s">
        <v>351</v>
      </c>
      <c r="E1069" s="31" t="s">
        <v>352</v>
      </c>
      <c r="F1069" s="56" t="str">
        <f>INDEX('Infos Clientes'!$I:$I,MATCH('Detalhe Por UC'!C1069,'Infos Clientes'!B:B,0))</f>
        <v>BT</v>
      </c>
      <c r="G1069" s="56" t="str">
        <f>INDEX('Infos Clientes'!$J:$J,MATCH('Detalhe Por UC'!C1069,'Infos Clientes'!B:B,0))</f>
        <v>bifasico</v>
      </c>
      <c r="H1069" s="156" t="s">
        <v>138</v>
      </c>
      <c r="I1069" s="58">
        <f>IFERROR(VLOOKUP(C1069,'Infos Clientes'!B:E,4,),"")</f>
        <v>302</v>
      </c>
      <c r="J1069" s="157">
        <v>0.21</v>
      </c>
      <c r="K1069" s="79">
        <f>INDEX('Resumo Operacional'!$A$1:$P$151,MATCH("Desconto percentual Ucs",'Resumo Operacional'!$B$1:$B$151,0),MATCH('Detalhe Por UC'!$R1069,'Resumo Operacional'!$A$1:$P$1,0))</f>
        <v>0.21</v>
      </c>
      <c r="M1069" s="56"/>
      <c r="N1069" s="56"/>
      <c r="O1069" s="56"/>
      <c r="P1069" s="56"/>
      <c r="Q1069" s="61"/>
      <c r="R1069" s="111">
        <v>45962</v>
      </c>
      <c r="S1069" s="152">
        <v>2.53E-2</v>
      </c>
      <c r="T1069" s="113" t="str">
        <f>IF($H1069="GIROSSOL II",AP1069/INDEX('Resumo Operacional'!$A$1:$P$1103,17,MATCH('Detalhe Por UC'!$R1069,'Resumo Operacional'!$A$1:$P$1,0)),
IF($H1069="GIROSSOL II e III",AP1069/INDEX('Resumo Operacional'!$A$1:$P$1103,17,MATCH('Detalhe Por UC'!$R1069,'Resumo Operacional'!$A$1:$P$1,0)),
""))</f>
        <v/>
      </c>
      <c r="U1069" s="113">
        <f>IF($H1069="GIROSSOL III",AP1069/INDEX('Resumo Operacional'!$A$1:$P$1103,53,MATCH('Detalhe Por UC'!$R1069,'Resumo Operacional'!$A$1:$P$1,0)),
IF($H1069="GIROSSOL II e III",AP1069/INDEX('Resumo Operacional'!$A$1:$P$1103,53,MATCH('Detalhe Por UC'!$R1069,'Resumo Operacional'!$A$1:$P$1,0)),
""))</f>
        <v>2.4980259852128348E-2</v>
      </c>
      <c r="X1069">
        <v>1.1540116279069768</v>
      </c>
      <c r="Z1069">
        <v>0.99709302325581395</v>
      </c>
      <c r="AB1069">
        <v>344</v>
      </c>
      <c r="AD1069">
        <v>344</v>
      </c>
      <c r="AF1069">
        <v>21</v>
      </c>
      <c r="AG1069">
        <v>0</v>
      </c>
      <c r="AH1069">
        <v>64.760000000000005</v>
      </c>
      <c r="AK1069">
        <v>118.74</v>
      </c>
      <c r="AL1069" s="43">
        <v>0</v>
      </c>
      <c r="AN1069" s="71">
        <f t="shared" si="599"/>
        <v>4</v>
      </c>
      <c r="AO1069" s="71">
        <f t="shared" si="600"/>
        <v>0</v>
      </c>
      <c r="AP1069" s="71">
        <f t="shared" si="601"/>
        <v>348</v>
      </c>
      <c r="AQ1069" s="72">
        <f>IF(OR($H1069="GIROSSOL II",$H1069="GIROSSOL II e III"),INDEX('Resumo Operacional'!$A$1:$P$1103,MATCH("Energia Injetada prevista total Fatura da Usina (TUSD)",'Resumo Operacional'!$B$1:$B$1103,0),MATCH('Detalhe Por UC'!$R1069,'Resumo Operacional'!$A$1:$P$1,0))*$S1069,INDEX('Resumo Operacional'!$A$1:$P$1103,53,MATCH('Detalhe Por UC'!$R1069,'Resumo Operacional'!$A$1:$P$1,0))*$S1069)</f>
        <v>352.45429999999999</v>
      </c>
      <c r="AR1069" s="71">
        <f t="shared" si="602"/>
        <v>-4.4542999999999893</v>
      </c>
      <c r="AS1069" s="73">
        <f t="shared" si="603"/>
        <v>118.74000000000002</v>
      </c>
      <c r="AT1069" s="74">
        <f t="shared" si="604"/>
        <v>118.74000000000002</v>
      </c>
      <c r="AU1069" s="74">
        <f t="shared" si="605"/>
        <v>0.84017441860465114</v>
      </c>
      <c r="AV1069" s="74">
        <f t="shared" si="606"/>
        <v>270.97000000000003</v>
      </c>
      <c r="AW1069" s="74">
        <f t="shared" si="607"/>
        <v>0</v>
      </c>
      <c r="AX1069" s="74">
        <f t="shared" si="608"/>
        <v>343</v>
      </c>
      <c r="AY1069" s="74">
        <f t="shared" si="609"/>
        <v>270.97000000000003</v>
      </c>
      <c r="AZ1069" s="129">
        <v>270.97000000000003</v>
      </c>
      <c r="BA1069" s="117"/>
      <c r="BC1069" s="73" t="str">
        <f t="shared" si="610"/>
        <v/>
      </c>
      <c r="BD1069" s="73">
        <f t="shared" si="611"/>
        <v>461.74</v>
      </c>
      <c r="BE1069" s="73">
        <f t="shared" si="612"/>
        <v>389.71000000000004</v>
      </c>
      <c r="BF1069" s="77">
        <f t="shared" si="613"/>
        <v>72.03</v>
      </c>
      <c r="BG1069" s="77">
        <f t="shared" si="614"/>
        <v>21.608999999999998</v>
      </c>
      <c r="BH1069" s="77">
        <f t="shared" si="615"/>
        <v>343</v>
      </c>
      <c r="BI1069" s="78">
        <f t="shared" si="616"/>
        <v>0.21</v>
      </c>
      <c r="BJ1069" s="79">
        <f t="shared" si="617"/>
        <v>0.15599688136180534</v>
      </c>
      <c r="BK1069" s="80">
        <f t="shared" si="618"/>
        <v>389.71000000000004</v>
      </c>
      <c r="BL1069" s="80">
        <f t="shared" si="619"/>
        <v>72.029999999999973</v>
      </c>
      <c r="BM1069" s="79">
        <f t="shared" si="620"/>
        <v>0.15599688136180528</v>
      </c>
      <c r="BN1069" s="81">
        <f t="shared" si="621"/>
        <v>0.78770348837209314</v>
      </c>
      <c r="BO1069" s="82">
        <f t="shared" si="622"/>
        <v>270.97000000000003</v>
      </c>
      <c r="BP1069" s="81">
        <f t="shared" si="623"/>
        <v>0.78770348837209314</v>
      </c>
      <c r="BQ1069" s="81">
        <f t="shared" si="624"/>
        <v>0.94462209302325595</v>
      </c>
      <c r="BR1069" s="81">
        <f t="shared" si="625"/>
        <v>1.1540116279069768</v>
      </c>
      <c r="BS1069" s="82">
        <f t="shared" si="626"/>
        <v>344</v>
      </c>
      <c r="BT1069" s="82">
        <f t="shared" si="627"/>
        <v>396.98</v>
      </c>
      <c r="BU1069" s="82">
        <f t="shared" si="628"/>
        <v>343</v>
      </c>
      <c r="BW1069" s="82">
        <f>IFERROR(INDEX('Infos Clientes'!$T:$T,MATCH('Detalhe Por UC'!$C1069,'Infos Clientes'!B:B,0)),"")</f>
        <v>287.36363636363637</v>
      </c>
      <c r="BX1069" s="83">
        <f t="shared" si="629"/>
        <v>0</v>
      </c>
      <c r="BY1069" s="84">
        <f t="shared" si="630"/>
        <v>0.18144490906342878</v>
      </c>
      <c r="BZ1069" s="85">
        <f>IF(_xlfn.MINIFS('Detalhe Por UC'!R:R,'Detalhe Por UC'!C:C,C1069,'Detalhe Por UC'!AD:AD,"&gt;"&amp;0)=0,"",_xlfn.MINIFS('Detalhe Por UC'!R:R,'Detalhe Por UC'!C:C,C1069,'Detalhe Por UC'!AD:AD,"&gt;"&amp;0))</f>
        <v>45658</v>
      </c>
      <c r="CA1069" s="114">
        <f ca="1">IF(OR(S1069&gt;0,AD1069&gt;0),IFERROR(
SUMIFS(INDIRECT("'Infos Clientes'!$W"&amp;INDEX('Infos Clientes'!$C:$C,MATCH(C1069,'Infos Clientes'!$H:$H,0))&amp;":$CZ"&amp;INDEX('Infos Clientes'!$C:$C,MATCH(C1069,'Infos Clientes'!$H:$H,0))),'Infos Clientes'!$W$2:$CZ$2,"&gt;"&amp;$R1069-365,'Infos Clientes'!$W$2:$CZ$2,"&lt;="&amp;$R1069)/
COUNTIFS(INDIRECT("'Infos Clientes'!$W"&amp;INDEX('Infos Clientes'!$C:$C,MATCH(C1069,'Infos Clientes'!$H:$H,0))&amp;":$CZ"&amp;INDEX('Infos Clientes'!$C:$C,MATCH(C1069,'Infos Clientes'!$H:$H,0))),"&gt;="&amp;0,'Infos Clientes'!$W$2:$CZ$2,"&gt;"&amp;$R1069-365,'Infos Clientes'!$W$2:$CZ$2,"&lt;="&amp;$R1069),""),"")</f>
        <v>280.33333333333331</v>
      </c>
      <c r="CB1069" s="87">
        <f>VLOOKUP(C1069,'Infos Clientes'!B:L,11,0)</f>
        <v>0</v>
      </c>
      <c r="CC1069" s="88" t="str">
        <f t="shared" si="631"/>
        <v>A Unidade Consumidora 10/239312-2 economizou R$72,03 na fatura referente à nov/2025  consumindo 344 kWh em créditos de energia renovável conforme fatura de energia. A economia foi de 21% em relação ao que seria pago para a Energisa considerando os créditos consumidos. Atenção: Mantenha as contas da Energisa em dia para evitar cortes.</v>
      </c>
      <c r="CF1069" s="115">
        <f t="shared" si="632"/>
        <v>-118.74000000000002</v>
      </c>
    </row>
    <row r="1070" spans="3:84" ht="16.2" customHeight="1" x14ac:dyDescent="0.3">
      <c r="C1070" s="31" t="s">
        <v>183</v>
      </c>
      <c r="D1070" s="31" t="s">
        <v>351</v>
      </c>
      <c r="E1070" s="31" t="s">
        <v>352</v>
      </c>
      <c r="F1070" s="56" t="str">
        <f>INDEX('Infos Clientes'!$I:$I,MATCH('Detalhe Por UC'!C1070,'Infos Clientes'!B:B,0))</f>
        <v>BT</v>
      </c>
      <c r="G1070" s="56" t="str">
        <f>INDEX('Infos Clientes'!$J:$J,MATCH('Detalhe Por UC'!C1070,'Infos Clientes'!B:B,0))</f>
        <v>bifasico</v>
      </c>
      <c r="H1070" s="156" t="s">
        <v>138</v>
      </c>
      <c r="I1070" s="58">
        <f>IFERROR(VLOOKUP(C1070,'Infos Clientes'!B:E,4,),"")</f>
        <v>319</v>
      </c>
      <c r="J1070" s="157">
        <v>0.21</v>
      </c>
      <c r="K1070" s="79">
        <f>INDEX('Resumo Operacional'!$A$1:$P$151,MATCH("Desconto percentual Ucs",'Resumo Operacional'!$B$1:$B$151,0),MATCH('Detalhe Por UC'!$R1070,'Resumo Operacional'!$A$1:$P$1,0))</f>
        <v>0.21</v>
      </c>
      <c r="M1070" s="56"/>
      <c r="N1070" s="56"/>
      <c r="O1070" s="56"/>
      <c r="P1070" s="56"/>
      <c r="Q1070" s="61"/>
      <c r="R1070" s="111">
        <v>45962</v>
      </c>
      <c r="S1070" s="152">
        <v>2.53E-2</v>
      </c>
      <c r="T1070" s="113" t="str">
        <f>IF($H1070="GIROSSOL II",AP1070/INDEX('Resumo Operacional'!$A$1:$P$1103,17,MATCH('Detalhe Por UC'!$R1070,'Resumo Operacional'!$A$1:$P$1,0)),
IF($H1070="GIROSSOL II e III",AP1070/INDEX('Resumo Operacional'!$A$1:$P$1103,17,MATCH('Detalhe Por UC'!$R1070,'Resumo Operacional'!$A$1:$P$1,0)),
""))</f>
        <v/>
      </c>
      <c r="U1070" s="113">
        <f>IF($H1070="GIROSSOL III",AP1070/INDEX('Resumo Operacional'!$A$1:$P$1103,53,MATCH('Detalhe Por UC'!$R1070,'Resumo Operacional'!$A$1:$P$1,0)),
IF($H1070="GIROSSOL II e III",AP1070/INDEX('Resumo Operacional'!$A$1:$P$1103,53,MATCH('Detalhe Por UC'!$R1070,'Resumo Operacional'!$A$1:$P$1,0)),
""))</f>
        <v>2.5267389275716028E-2</v>
      </c>
      <c r="X1070" s="158">
        <v>1.1540061162079511</v>
      </c>
      <c r="Y1070" s="158"/>
      <c r="Z1070" s="158">
        <v>0.99712538226299696</v>
      </c>
      <c r="AA1070" s="158"/>
      <c r="AB1070" s="158">
        <v>327</v>
      </c>
      <c r="AC1070" s="158"/>
      <c r="AD1070" s="158">
        <v>327</v>
      </c>
      <c r="AE1070" s="158"/>
      <c r="AF1070" s="158">
        <v>35</v>
      </c>
      <c r="AG1070" s="158">
        <v>0</v>
      </c>
      <c r="AH1070" s="158">
        <v>60.58</v>
      </c>
      <c r="AI1070" s="158">
        <v>-235.26</v>
      </c>
      <c r="AJ1070" s="158">
        <v>123.38</v>
      </c>
      <c r="AK1070" s="158">
        <v>0</v>
      </c>
      <c r="AL1070" s="43">
        <f>AK1070-AT1070</f>
        <v>-1.4210854715202004E-14</v>
      </c>
      <c r="AN1070" s="71">
        <f t="shared" si="599"/>
        <v>25</v>
      </c>
      <c r="AO1070" s="71">
        <f t="shared" si="600"/>
        <v>0</v>
      </c>
      <c r="AP1070" s="71">
        <f t="shared" si="601"/>
        <v>352</v>
      </c>
      <c r="AQ1070" s="72">
        <f>IF(OR($H1070="GIROSSOL II",$H1070="GIROSSOL II e III"),INDEX('Resumo Operacional'!$A$1:$P$1103,MATCH("Energia Injetada prevista total Fatura da Usina (TUSD)",'Resumo Operacional'!$B$1:$B$1103,0),MATCH('Detalhe Por UC'!$R1070,'Resumo Operacional'!$A$1:$P$1,0))*$S1070,INDEX('Resumo Operacional'!$A$1:$P$1103,53,MATCH('Detalhe Por UC'!$R1070,'Resumo Operacional'!$A$1:$P$1,0))*$S1070)</f>
        <v>352.45429999999999</v>
      </c>
      <c r="AR1070" s="71">
        <f t="shared" si="602"/>
        <v>-0.45429999999998927</v>
      </c>
      <c r="AS1070" s="73">
        <f t="shared" si="603"/>
        <v>111.88000000000001</v>
      </c>
      <c r="AT1070" s="74">
        <f t="shared" si="604"/>
        <v>1.4210854715202004E-14</v>
      </c>
      <c r="AU1070" s="74">
        <f t="shared" si="605"/>
        <v>0.8402446483180428</v>
      </c>
      <c r="AV1070" s="74">
        <f t="shared" si="606"/>
        <v>257.5874</v>
      </c>
      <c r="AW1070" s="74">
        <f t="shared" si="607"/>
        <v>0</v>
      </c>
      <c r="AX1070" s="74">
        <f t="shared" si="608"/>
        <v>326.06</v>
      </c>
      <c r="AY1070" s="74">
        <f t="shared" si="609"/>
        <v>257.58999999999997</v>
      </c>
      <c r="AZ1070" s="129">
        <v>257.58999999999997</v>
      </c>
      <c r="BC1070" s="73" t="str">
        <f t="shared" si="610"/>
        <v/>
      </c>
      <c r="BD1070" s="73">
        <f t="shared" si="611"/>
        <v>437.94</v>
      </c>
      <c r="BE1070" s="73">
        <f t="shared" si="612"/>
        <v>369.4674</v>
      </c>
      <c r="BF1070" s="77">
        <f t="shared" si="613"/>
        <v>68.47</v>
      </c>
      <c r="BG1070" s="77">
        <f t="shared" si="614"/>
        <v>20.541</v>
      </c>
      <c r="BH1070" s="77">
        <f t="shared" si="615"/>
        <v>326.06</v>
      </c>
      <c r="BI1070" s="78">
        <f t="shared" si="616"/>
        <v>0.21</v>
      </c>
      <c r="BJ1070" s="79">
        <f t="shared" si="617"/>
        <v>0.15634561812120382</v>
      </c>
      <c r="BK1070" s="80">
        <f t="shared" si="618"/>
        <v>369.46999999999997</v>
      </c>
      <c r="BL1070" s="80">
        <f t="shared" si="619"/>
        <v>68.470000000000027</v>
      </c>
      <c r="BM1070" s="79">
        <f t="shared" si="620"/>
        <v>0.15634561812120387</v>
      </c>
      <c r="BN1070" s="81">
        <f t="shared" si="621"/>
        <v>0.7877370030581039</v>
      </c>
      <c r="BO1070" s="82">
        <f t="shared" si="622"/>
        <v>257.58999999999997</v>
      </c>
      <c r="BP1070" s="81">
        <f t="shared" si="623"/>
        <v>0.7877370030581039</v>
      </c>
      <c r="BQ1070" s="81">
        <f t="shared" si="624"/>
        <v>0.94461773700305807</v>
      </c>
      <c r="BR1070" s="81">
        <f t="shared" si="625"/>
        <v>1.1540061162079511</v>
      </c>
      <c r="BS1070" s="82">
        <f t="shared" si="626"/>
        <v>327</v>
      </c>
      <c r="BT1070" s="82">
        <f t="shared" si="627"/>
        <v>377.36</v>
      </c>
      <c r="BU1070" s="82">
        <f t="shared" si="628"/>
        <v>326.06</v>
      </c>
      <c r="BW1070" s="82">
        <f>IFERROR(INDEX('Infos Clientes'!$T:$T,MATCH('Detalhe Por UC'!$C1070,'Infos Clientes'!B:B,0)),"")</f>
        <v>250.27272727272728</v>
      </c>
      <c r="BX1070" s="83">
        <f t="shared" si="629"/>
        <v>0</v>
      </c>
      <c r="BY1070" s="84">
        <f t="shared" si="630"/>
        <v>0.18144477422090319</v>
      </c>
      <c r="BZ1070" s="85">
        <f>IF(_xlfn.MINIFS('Detalhe Por UC'!R:R,'Detalhe Por UC'!C:C,C1070,'Detalhe Por UC'!AD:AD,"&gt;"&amp;0)=0,"",_xlfn.MINIFS('Detalhe Por UC'!R:R,'Detalhe Por UC'!C:C,C1070,'Detalhe Por UC'!AD:AD,"&gt;"&amp;0))</f>
        <v>45658</v>
      </c>
      <c r="CA1070" s="114">
        <f ca="1">IF(OR(S1070&gt;0,AD1070&gt;0),IFERROR(
SUMIFS(INDIRECT("'Infos Clientes'!$W"&amp;INDEX('Infos Clientes'!$C:$C,MATCH(C1070,'Infos Clientes'!$H:$H,0))&amp;":$CZ"&amp;INDEX('Infos Clientes'!$C:$C,MATCH(C1070,'Infos Clientes'!$H:$H,0))),'Infos Clientes'!$W$2:$CZ$2,"&gt;"&amp;$R1070-365,'Infos Clientes'!$W$2:$CZ$2,"&lt;="&amp;$R1070)/
COUNTIFS(INDIRECT("'Infos Clientes'!$W"&amp;INDEX('Infos Clientes'!$C:$C,MATCH(C1070,'Infos Clientes'!$H:$H,0))&amp;":$CZ"&amp;INDEX('Infos Clientes'!$C:$C,MATCH(C1070,'Infos Clientes'!$H:$H,0))),"&gt;="&amp;0,'Infos Clientes'!$W$2:$CZ$2,"&gt;"&amp;$R1070-365,'Infos Clientes'!$W$2:$CZ$2,"&lt;="&amp;$R1070),""),"")</f>
        <v>310.16666666666669</v>
      </c>
      <c r="CB1070" s="87">
        <f>VLOOKUP(C1070,'Infos Clientes'!B:L,11,0)</f>
        <v>0</v>
      </c>
      <c r="CC1070" s="88" t="str">
        <f t="shared" si="631"/>
        <v>A Unidade Consumidora 10/3040565-8 economizou R$68,47 na fatura referente à nov/2025  consumindo 327 kWh em créditos de energia renovável conforme fatura de energia. A economia foi de 21% em relação ao que seria pago para a Energisa considerando os créditos consumidos. Atenção: Mantenha as contas da Energisa em dia para evitar cortes.</v>
      </c>
      <c r="CF1070" s="115">
        <f t="shared" si="632"/>
        <v>-1.4210854715202004E-14</v>
      </c>
    </row>
    <row r="1071" spans="3:84" ht="16.2" customHeight="1" x14ac:dyDescent="0.3">
      <c r="C1071" s="31" t="s">
        <v>203</v>
      </c>
      <c r="D1071" s="31" t="s">
        <v>351</v>
      </c>
      <c r="E1071" s="31" t="s">
        <v>352</v>
      </c>
      <c r="F1071" s="56" t="str">
        <f>INDEX('Infos Clientes'!$I:$I,MATCH('Detalhe Por UC'!C1071,'Infos Clientes'!B:B,0))</f>
        <v>BT</v>
      </c>
      <c r="G1071" s="56" t="str">
        <f>INDEX('Infos Clientes'!$J:$J,MATCH('Detalhe Por UC'!C1071,'Infos Clientes'!B:B,0))</f>
        <v>trifasico</v>
      </c>
      <c r="H1071" s="156" t="s">
        <v>138</v>
      </c>
      <c r="I1071" s="58">
        <f>IFERROR(VLOOKUP(C1071,'Infos Clientes'!B:E,4,),"")</f>
        <v>306</v>
      </c>
      <c r="J1071" s="157">
        <v>0.21</v>
      </c>
      <c r="K1071" s="79">
        <f>INDEX('Resumo Operacional'!$A$1:$P$151,MATCH("Desconto percentual Ucs",'Resumo Operacional'!$B$1:$B$151,0),MATCH('Detalhe Por UC'!$R1071,'Resumo Operacional'!$A$1:$P$1,0))</f>
        <v>0.21</v>
      </c>
      <c r="M1071" s="56"/>
      <c r="N1071" s="56"/>
      <c r="O1071" s="56"/>
      <c r="P1071" s="56"/>
      <c r="Q1071" s="61"/>
      <c r="R1071" s="111">
        <v>45962</v>
      </c>
      <c r="S1071" s="152">
        <v>2.5100000000000001E-2</v>
      </c>
      <c r="T1071" s="113" t="str">
        <f>IF($H1071="GIROSSOL II",AP1071/INDEX('Resumo Operacional'!$A$1:$P$1103,17,MATCH('Detalhe Por UC'!$R1071,'Resumo Operacional'!$A$1:$P$1,0)),
IF($H1071="GIROSSOL II e III",AP1071/INDEX('Resumo Operacional'!$A$1:$P$1103,17,MATCH('Detalhe Por UC'!$R1071,'Resumo Operacional'!$A$1:$P$1,0)),
""))</f>
        <v/>
      </c>
      <c r="U1071" s="113">
        <f>IF($H1071="GIROSSOL III",AP1071/INDEX('Resumo Operacional'!$A$1:$P$1103,53,MATCH('Detalhe Por UC'!$R1071,'Resumo Operacional'!$A$1:$P$1,0)),
IF($H1071="GIROSSOL II e III",AP1071/INDEX('Resumo Operacional'!$A$1:$P$1103,53,MATCH('Detalhe Por UC'!$R1071,'Resumo Operacional'!$A$1:$P$1,0)),
""))</f>
        <v>4.9816954992462852E-2</v>
      </c>
      <c r="X1071">
        <v>1.2128170940170941</v>
      </c>
      <c r="Z1071">
        <v>1.0559106094808128</v>
      </c>
      <c r="AB1071">
        <v>468</v>
      </c>
      <c r="AD1071">
        <v>443</v>
      </c>
      <c r="AF1071">
        <v>251</v>
      </c>
      <c r="AG1071">
        <v>0</v>
      </c>
      <c r="AH1071">
        <v>0</v>
      </c>
      <c r="AK1071">
        <v>99.83</v>
      </c>
      <c r="AL1071" s="43">
        <v>0</v>
      </c>
      <c r="AN1071" s="71">
        <f t="shared" si="599"/>
        <v>251</v>
      </c>
      <c r="AO1071" s="71">
        <f t="shared" si="600"/>
        <v>0</v>
      </c>
      <c r="AP1071" s="71">
        <f t="shared" si="601"/>
        <v>694</v>
      </c>
      <c r="AQ1071" s="72">
        <f>IF(OR($H1071="GIROSSOL II",$H1071="GIROSSOL II e III"),INDEX('Resumo Operacional'!$A$1:$P$1103,MATCH("Energia Injetada prevista total Fatura da Usina (TUSD)",'Resumo Operacional'!$B$1:$B$1103,0),MATCH('Detalhe Por UC'!$R1071,'Resumo Operacional'!$A$1:$P$1,0))*$S1071,INDEX('Resumo Operacional'!$A$1:$P$1103,53,MATCH('Detalhe Por UC'!$R1071,'Resumo Operacional'!$A$1:$P$1,0))*$S1071)</f>
        <v>349.66810000000004</v>
      </c>
      <c r="AR1071" s="71">
        <f t="shared" si="602"/>
        <v>344.33189999999996</v>
      </c>
      <c r="AS1071" s="73">
        <f t="shared" si="603"/>
        <v>99.829999999999984</v>
      </c>
      <c r="AT1071" s="74">
        <f t="shared" si="604"/>
        <v>99.829999999999984</v>
      </c>
      <c r="AU1071" s="74">
        <f t="shared" si="605"/>
        <v>0.89900412494453152</v>
      </c>
      <c r="AV1071" s="74">
        <f t="shared" si="606"/>
        <v>369.53703600000011</v>
      </c>
      <c r="AW1071" s="74">
        <f t="shared" si="607"/>
        <v>0</v>
      </c>
      <c r="AX1071" s="74">
        <f t="shared" si="608"/>
        <v>467.7684000000001</v>
      </c>
      <c r="AY1071" s="74">
        <f t="shared" si="609"/>
        <v>369.54</v>
      </c>
      <c r="AZ1071" s="129">
        <v>369.54</v>
      </c>
      <c r="BA1071" s="117"/>
      <c r="BC1071" s="73" t="str">
        <f t="shared" si="610"/>
        <v/>
      </c>
      <c r="BD1071" s="73">
        <f t="shared" si="611"/>
        <v>567.59840000000008</v>
      </c>
      <c r="BE1071" s="73">
        <f t="shared" si="612"/>
        <v>469.3670360000001</v>
      </c>
      <c r="BF1071" s="77">
        <f t="shared" si="613"/>
        <v>98.23</v>
      </c>
      <c r="BG1071" s="77">
        <f t="shared" si="614"/>
        <v>29.469000000000001</v>
      </c>
      <c r="BH1071" s="77">
        <f t="shared" si="615"/>
        <v>467.76840000000004</v>
      </c>
      <c r="BI1071" s="78">
        <f t="shared" si="616"/>
        <v>0.21</v>
      </c>
      <c r="BJ1071" s="79">
        <f t="shared" si="617"/>
        <v>0.1730625033474372</v>
      </c>
      <c r="BK1071" s="80">
        <f t="shared" si="618"/>
        <v>469.37</v>
      </c>
      <c r="BL1071" s="80">
        <f t="shared" si="619"/>
        <v>98.228400000000079</v>
      </c>
      <c r="BM1071" s="79">
        <f t="shared" si="620"/>
        <v>0.17305968445295136</v>
      </c>
      <c r="BN1071" s="81">
        <f t="shared" si="621"/>
        <v>0.83417607223476298</v>
      </c>
      <c r="BO1071" s="82">
        <f t="shared" si="622"/>
        <v>369.54</v>
      </c>
      <c r="BP1071" s="81">
        <f t="shared" si="623"/>
        <v>0.83417607223476298</v>
      </c>
      <c r="BQ1071" s="81">
        <f t="shared" si="624"/>
        <v>0.99108255677104429</v>
      </c>
      <c r="BR1071" s="81">
        <f t="shared" si="625"/>
        <v>1.2128170940170941</v>
      </c>
      <c r="BS1071" s="82">
        <f t="shared" si="626"/>
        <v>443</v>
      </c>
      <c r="BT1071" s="82">
        <f t="shared" si="627"/>
        <v>537.27797264957269</v>
      </c>
      <c r="BU1071" s="82">
        <f t="shared" si="628"/>
        <v>467.7684000000001</v>
      </c>
      <c r="BW1071" s="82">
        <f>IFERROR(INDEX('Infos Clientes'!$T:$T,MATCH('Detalhe Por UC'!$C1071,'Infos Clientes'!B:B,0)),"")</f>
        <v>378.09090909090907</v>
      </c>
      <c r="BX1071" s="83">
        <f t="shared" si="629"/>
        <v>0</v>
      </c>
      <c r="BY1071" s="84">
        <f t="shared" si="630"/>
        <v>0.18282603233404343</v>
      </c>
      <c r="BZ1071" s="85">
        <f>IF(_xlfn.MINIFS('Detalhe Por UC'!R:R,'Detalhe Por UC'!C:C,C1071,'Detalhe Por UC'!AD:AD,"&gt;"&amp;0)=0,"",_xlfn.MINIFS('Detalhe Por UC'!R:R,'Detalhe Por UC'!C:C,C1071,'Detalhe Por UC'!AD:AD,"&gt;"&amp;0))</f>
        <v>45658</v>
      </c>
      <c r="CA1071" s="114">
        <f ca="1">IF(OR(S1071&gt;0,AD1071&gt;0),IFERROR(
SUMIFS(INDIRECT("'Infos Clientes'!$W"&amp;INDEX('Infos Clientes'!$C:$C,MATCH(C1071,'Infos Clientes'!$H:$H,0))&amp;":$CZ"&amp;INDEX('Infos Clientes'!$C:$C,MATCH(C1071,'Infos Clientes'!$H:$H,0))),'Infos Clientes'!$W$2:$CZ$2,"&gt;"&amp;$R1071-365,'Infos Clientes'!$W$2:$CZ$2,"&lt;="&amp;$R1071)/
COUNTIFS(INDIRECT("'Infos Clientes'!$W"&amp;INDEX('Infos Clientes'!$C:$C,MATCH(C1071,'Infos Clientes'!$H:$H,0))&amp;":$CZ"&amp;INDEX('Infos Clientes'!$C:$C,MATCH(C1071,'Infos Clientes'!$H:$H,0))),"&gt;="&amp;0,'Infos Clientes'!$W$2:$CZ$2,"&gt;"&amp;$R1071-365,'Infos Clientes'!$W$2:$CZ$2,"&lt;="&amp;$R1071),""),"")</f>
        <v>376</v>
      </c>
      <c r="CB1071" s="87">
        <f>VLOOKUP(C1071,'Infos Clientes'!B:L,11,0)</f>
        <v>0</v>
      </c>
      <c r="CC1071" s="88" t="str">
        <f t="shared" si="631"/>
        <v>A Unidade Consumidora 10/435964-2 economizou R$98,23 na fatura referente à nov/2025  consumindo 443 kWh em créditos de energia renovável conforme fatura de energia. A economia foi de 21% em relação ao que seria pago para a Energisa considerando os créditos consumidos. Atenção: Mantenha as contas da Energisa em dia para evitar cortes.</v>
      </c>
      <c r="CF1071" s="115">
        <f t="shared" si="632"/>
        <v>-99.829999999999984</v>
      </c>
    </row>
    <row r="1072" spans="3:84" ht="16.2" customHeight="1" x14ac:dyDescent="0.3">
      <c r="C1072" s="31" t="s">
        <v>225</v>
      </c>
      <c r="D1072" s="31" t="s">
        <v>351</v>
      </c>
      <c r="E1072" s="31" t="s">
        <v>352</v>
      </c>
      <c r="F1072" s="56" t="str">
        <f>INDEX('Infos Clientes'!$I:$I,MATCH('Detalhe Por UC'!C1072,'Infos Clientes'!B:B,0))</f>
        <v>BT</v>
      </c>
      <c r="G1072" s="56" t="str">
        <f>INDEX('Infos Clientes'!$J:$J,MATCH('Detalhe Por UC'!C1072,'Infos Clientes'!B:B,0))</f>
        <v>trifasico</v>
      </c>
      <c r="H1072" s="156" t="s">
        <v>138</v>
      </c>
      <c r="I1072" s="58">
        <f>IFERROR(VLOOKUP(C1072,'Infos Clientes'!B:E,4,),"")</f>
        <v>302</v>
      </c>
      <c r="J1072" s="157">
        <v>0.21</v>
      </c>
      <c r="K1072" s="79">
        <f>INDEX('Resumo Operacional'!$A$1:$P$151,MATCH("Desconto percentual Ucs",'Resumo Operacional'!$B$1:$B$151,0),MATCH('Detalhe Por UC'!$R1072,'Resumo Operacional'!$A$1:$P$1,0))</f>
        <v>0.21</v>
      </c>
      <c r="M1072" s="56"/>
      <c r="N1072" s="56"/>
      <c r="O1072" s="56"/>
      <c r="P1072" s="56"/>
      <c r="Q1072" s="61"/>
      <c r="R1072" s="111">
        <v>45962</v>
      </c>
      <c r="S1072" s="152">
        <v>2.3199999999999998E-2</v>
      </c>
      <c r="T1072" s="113" t="str">
        <f>IF($H1072="GIROSSOL II",AP1072/INDEX('Resumo Operacional'!$A$1:$P$1103,17,MATCH('Detalhe Por UC'!$R1072,'Resumo Operacional'!$A$1:$P$1,0)),
IF($H1072="GIROSSOL II e III",AP1072/INDEX('Resumo Operacional'!$A$1:$P$1103,17,MATCH('Detalhe Por UC'!$R1072,'Resumo Operacional'!$A$1:$P$1,0)),
""))</f>
        <v/>
      </c>
      <c r="U1072" s="113">
        <f>IF($H1072="GIROSSOL III",AP1072/INDEX('Resumo Operacional'!$A$1:$P$1103,53,MATCH('Detalhe Por UC'!$R1072,'Resumo Operacional'!$A$1:$P$1,0)),
IF($H1072="GIROSSOL II e III",AP1072/INDEX('Resumo Operacional'!$A$1:$P$1103,53,MATCH('Detalhe Por UC'!$R1072,'Resumo Operacional'!$A$1:$P$1,0)),
""))</f>
        <v>1.9165889024477783E-2</v>
      </c>
      <c r="X1072">
        <v>1.2131365595883743</v>
      </c>
      <c r="Z1072">
        <v>1.0562127627400573</v>
      </c>
      <c r="AB1072">
        <v>423</v>
      </c>
      <c r="AD1072">
        <v>389</v>
      </c>
      <c r="AF1072">
        <v>219</v>
      </c>
      <c r="AG1072">
        <v>0</v>
      </c>
      <c r="AH1072">
        <v>70.92</v>
      </c>
      <c r="AI1072">
        <v>-107.98</v>
      </c>
      <c r="AK1072">
        <v>65.23</v>
      </c>
      <c r="AL1072" s="43">
        <v>0</v>
      </c>
      <c r="AN1072" s="71">
        <f t="shared" si="599"/>
        <v>-122</v>
      </c>
      <c r="AO1072" s="71">
        <f t="shared" si="600"/>
        <v>0</v>
      </c>
      <c r="AP1072" s="71">
        <f t="shared" si="601"/>
        <v>267</v>
      </c>
      <c r="AQ1072" s="72">
        <f>IF(OR($H1072="GIROSSOL II",$H1072="GIROSSOL II e III"),INDEX('Resumo Operacional'!$A$1:$P$1103,MATCH("Energia Injetada prevista total Fatura da Usina (TUSD)",'Resumo Operacional'!$B$1:$B$1103,0),MATCH('Detalhe Por UC'!$R1072,'Resumo Operacional'!$A$1:$P$1,0))*$S1072,INDEX('Resumo Operacional'!$A$1:$P$1103,53,MATCH('Detalhe Por UC'!$R1072,'Resumo Operacional'!$A$1:$P$1,0))*$S1072)</f>
        <v>323.19919999999996</v>
      </c>
      <c r="AR1072" s="71">
        <f t="shared" si="602"/>
        <v>-56.199199999999962</v>
      </c>
      <c r="AS1072" s="73">
        <f t="shared" si="603"/>
        <v>173.21000000000004</v>
      </c>
      <c r="AT1072" s="74">
        <f t="shared" si="604"/>
        <v>65.230000000000032</v>
      </c>
      <c r="AU1072" s="74">
        <f t="shared" si="605"/>
        <v>0.89928896589174023</v>
      </c>
      <c r="AV1072" s="74">
        <f t="shared" si="606"/>
        <v>324.58474411764701</v>
      </c>
      <c r="AW1072" s="74">
        <f t="shared" si="607"/>
        <v>0</v>
      </c>
      <c r="AX1072" s="74">
        <f t="shared" si="608"/>
        <v>410.8667647058823</v>
      </c>
      <c r="AY1072" s="74">
        <f t="shared" si="609"/>
        <v>324.58</v>
      </c>
      <c r="AZ1072" s="129">
        <v>324.58</v>
      </c>
      <c r="BA1072" s="117"/>
      <c r="BC1072" s="73" t="str">
        <f t="shared" si="610"/>
        <v/>
      </c>
      <c r="BD1072" s="73">
        <f t="shared" si="611"/>
        <v>584.07676470588228</v>
      </c>
      <c r="BE1072" s="73">
        <f t="shared" si="612"/>
        <v>497.79474411764704</v>
      </c>
      <c r="BF1072" s="77">
        <f t="shared" si="613"/>
        <v>86.28</v>
      </c>
      <c r="BG1072" s="77">
        <f t="shared" si="614"/>
        <v>25.884</v>
      </c>
      <c r="BH1072" s="77">
        <f t="shared" si="615"/>
        <v>410.86676470588225</v>
      </c>
      <c r="BI1072" s="78">
        <f t="shared" si="616"/>
        <v>0.21</v>
      </c>
      <c r="BJ1072" s="79">
        <f t="shared" si="617"/>
        <v>0.14772030872251382</v>
      </c>
      <c r="BK1072" s="80">
        <f t="shared" si="618"/>
        <v>497.79</v>
      </c>
      <c r="BL1072" s="80">
        <f t="shared" si="619"/>
        <v>86.286764705882263</v>
      </c>
      <c r="BM1072" s="79">
        <f t="shared" si="620"/>
        <v>0.14773189060060082</v>
      </c>
      <c r="BN1072" s="81">
        <f t="shared" si="621"/>
        <v>0.83439588688946009</v>
      </c>
      <c r="BO1072" s="82">
        <f t="shared" si="622"/>
        <v>324.58</v>
      </c>
      <c r="BP1072" s="81">
        <f t="shared" si="623"/>
        <v>0.83439588688946009</v>
      </c>
      <c r="BQ1072" s="81">
        <f t="shared" si="624"/>
        <v>0.99131968373777712</v>
      </c>
      <c r="BR1072" s="81">
        <f t="shared" si="625"/>
        <v>1.2131365595883743</v>
      </c>
      <c r="BS1072" s="82">
        <f t="shared" si="626"/>
        <v>389</v>
      </c>
      <c r="BT1072" s="82">
        <f t="shared" si="627"/>
        <v>471.91012167987759</v>
      </c>
      <c r="BU1072" s="82">
        <f t="shared" si="628"/>
        <v>410.8667647058823</v>
      </c>
      <c r="BW1072" s="82">
        <f>IFERROR(INDEX('Infos Clientes'!$T:$T,MATCH('Detalhe Por UC'!$C1072,'Infos Clientes'!B:B,0)),"")</f>
        <v>352.63636363636363</v>
      </c>
      <c r="BX1072" s="83">
        <f t="shared" si="629"/>
        <v>0</v>
      </c>
      <c r="BY1072" s="84">
        <f t="shared" si="630"/>
        <v>0.18284575969407862</v>
      </c>
      <c r="BZ1072" s="85">
        <f>IF(_xlfn.MINIFS('Detalhe Por UC'!R:R,'Detalhe Por UC'!C:C,C1072,'Detalhe Por UC'!AD:AD,"&gt;"&amp;0)=0,"",_xlfn.MINIFS('Detalhe Por UC'!R:R,'Detalhe Por UC'!C:C,C1072,'Detalhe Por UC'!AD:AD,"&gt;"&amp;0))</f>
        <v>45658</v>
      </c>
      <c r="CA1072" s="114">
        <f ca="1">IF(OR(S1072&gt;0,AD1072&gt;0),IFERROR(
SUMIFS(INDIRECT("'Infos Clientes'!$W"&amp;INDEX('Infos Clientes'!$C:$C,MATCH(C1072,'Infos Clientes'!$H:$H,0))&amp;":$CZ"&amp;INDEX('Infos Clientes'!$C:$C,MATCH(C1072,'Infos Clientes'!$H:$H,0))),'Infos Clientes'!$W$2:$CZ$2,"&gt;"&amp;$R1072-365,'Infos Clientes'!$W$2:$CZ$2,"&lt;="&amp;$R1072)/
COUNTIFS(INDIRECT("'Infos Clientes'!$W"&amp;INDEX('Infos Clientes'!$C:$C,MATCH(C1072,'Infos Clientes'!$H:$H,0))&amp;":$CZ"&amp;INDEX('Infos Clientes'!$C:$C,MATCH(C1072,'Infos Clientes'!$H:$H,0))),"&gt;="&amp;0,'Infos Clientes'!$W$2:$CZ$2,"&gt;"&amp;$R1072-365,'Infos Clientes'!$W$2:$CZ$2,"&lt;="&amp;$R1072),""),"")</f>
        <v>359.41666666666669</v>
      </c>
      <c r="CB1072" s="87">
        <f>VLOOKUP(C1072,'Infos Clientes'!B:L,11,0)</f>
        <v>0</v>
      </c>
      <c r="CC1072" s="88" t="str">
        <f t="shared" si="631"/>
        <v>A Unidade Consumidora 10/76927-3 economizou R$86,28 na fatura referente à nov/2025  consumindo 389 kWh em créditos de energia renovável conforme fatura de energia. A economia foi de 21% em relação ao que seria pago para a Energisa considerando os créditos consumidos. Atenção: Mantenha as contas da Energisa em dia para evitar cortes.</v>
      </c>
      <c r="CF1072" s="115">
        <f t="shared" si="632"/>
        <v>-65.230000000000032</v>
      </c>
    </row>
    <row r="1073" spans="3:84" ht="16.2" customHeight="1" x14ac:dyDescent="0.3">
      <c r="C1073" s="31" t="s">
        <v>228</v>
      </c>
      <c r="D1073" s="31" t="s">
        <v>351</v>
      </c>
      <c r="E1073" s="31" t="s">
        <v>352</v>
      </c>
      <c r="F1073" s="56" t="str">
        <f>INDEX('Infos Clientes'!$I:$I,MATCH('Detalhe Por UC'!C1073,'Infos Clientes'!B:B,0))</f>
        <v>BT</v>
      </c>
      <c r="G1073" s="56" t="str">
        <f>INDEX('Infos Clientes'!$J:$J,MATCH('Detalhe Por UC'!C1073,'Infos Clientes'!B:B,0))</f>
        <v>trifasico</v>
      </c>
      <c r="H1073" s="156" t="s">
        <v>138</v>
      </c>
      <c r="I1073" s="58">
        <f>IFERROR(VLOOKUP(C1073,'Infos Clientes'!B:E,4,),"")</f>
        <v>302</v>
      </c>
      <c r="J1073" s="157">
        <v>0.21</v>
      </c>
      <c r="K1073" s="79">
        <f>INDEX('Resumo Operacional'!$A$1:$P$151,MATCH("Desconto percentual Ucs",'Resumo Operacional'!$B$1:$B$151,0),MATCH('Detalhe Por UC'!$R1073,'Resumo Operacional'!$A$1:$P$1,0))</f>
        <v>0.21</v>
      </c>
      <c r="M1073" s="56"/>
      <c r="N1073" s="56"/>
      <c r="O1073" s="56"/>
      <c r="P1073" s="56"/>
      <c r="Q1073" s="61"/>
      <c r="R1073" s="111">
        <v>45962</v>
      </c>
      <c r="S1073" s="152">
        <v>2.24E-2</v>
      </c>
      <c r="T1073" s="113" t="str">
        <f>IF($H1073="GIROSSOL II",AP1073/INDEX('Resumo Operacional'!$A$1:$P$1103,17,MATCH('Detalhe Por UC'!$R1073,'Resumo Operacional'!$A$1:$P$1,0)),
IF($H1073="GIROSSOL II e III",AP1073/INDEX('Resumo Operacional'!$A$1:$P$1103,17,MATCH('Detalhe Por UC'!$R1073,'Resumo Operacional'!$A$1:$P$1,0)),
""))</f>
        <v/>
      </c>
      <c r="U1073" s="113">
        <f>IF($H1073="GIROSSOL III",AP1073/INDEX('Resumo Operacional'!$A$1:$P$1103,53,MATCH('Detalhe Por UC'!$R1073,'Resumo Operacional'!$A$1:$P$1,0)),
IF($H1073="GIROSSOL II e III",AP1073/INDEX('Resumo Operacional'!$A$1:$P$1103,53,MATCH('Detalhe Por UC'!$R1073,'Resumo Operacional'!$A$1:$P$1,0)),
""))</f>
        <v>0</v>
      </c>
      <c r="X1073">
        <v>1.2128304115379833</v>
      </c>
      <c r="Z1073">
        <v>1.0559062980030722</v>
      </c>
      <c r="AB1073">
        <v>383</v>
      </c>
      <c r="AD1073">
        <v>341</v>
      </c>
      <c r="AF1073">
        <v>168</v>
      </c>
      <c r="AG1073">
        <v>0</v>
      </c>
      <c r="AH1073">
        <v>53.22</v>
      </c>
      <c r="AK1073">
        <v>157.66999999999999</v>
      </c>
      <c r="AL1073" s="43">
        <v>0</v>
      </c>
      <c r="AN1073" s="71">
        <f t="shared" si="599"/>
        <v>-341</v>
      </c>
      <c r="AO1073" s="71">
        <f t="shared" si="600"/>
        <v>0</v>
      </c>
      <c r="AP1073" s="71">
        <f t="shared" si="601"/>
        <v>0</v>
      </c>
      <c r="AQ1073" s="72">
        <f>IF(OR($H1073="GIROSSOL II",$H1073="GIROSSOL II e III"),INDEX('Resumo Operacional'!$A$1:$P$1103,MATCH("Energia Injetada prevista total Fatura da Usina (TUSD)",'Resumo Operacional'!$B$1:$B$1103,0),MATCH('Detalhe Por UC'!$R1073,'Resumo Operacional'!$A$1:$P$1,0))*$S1073,INDEX('Resumo Operacional'!$A$1:$P$1103,53,MATCH('Detalhe Por UC'!$R1073,'Resumo Operacional'!$A$1:$P$1,0))*$S1073)</f>
        <v>312.05439999999999</v>
      </c>
      <c r="AR1073" s="71">
        <f t="shared" si="602"/>
        <v>-312.05439999999999</v>
      </c>
      <c r="AS1073" s="73">
        <f t="shared" si="603"/>
        <v>157.66999999999999</v>
      </c>
      <c r="AT1073" s="74">
        <f t="shared" si="604"/>
        <v>157.66999999999999</v>
      </c>
      <c r="AU1073" s="74">
        <f t="shared" si="605"/>
        <v>0.89898218446816114</v>
      </c>
      <c r="AV1073" s="74">
        <f t="shared" si="606"/>
        <v>284.45059761904764</v>
      </c>
      <c r="AW1073" s="74">
        <f t="shared" si="607"/>
        <v>0.15000000000000568</v>
      </c>
      <c r="AX1073" s="74">
        <f t="shared" si="608"/>
        <v>360.21404761904762</v>
      </c>
      <c r="AY1073" s="74">
        <f t="shared" si="609"/>
        <v>284.60000000000002</v>
      </c>
      <c r="AZ1073" s="129">
        <v>284.60000000000002</v>
      </c>
      <c r="BA1073" s="117"/>
      <c r="BC1073" s="73" t="str">
        <f t="shared" si="610"/>
        <v/>
      </c>
      <c r="BD1073" s="73">
        <f t="shared" si="611"/>
        <v>517.7340476190476</v>
      </c>
      <c r="BE1073" s="73">
        <f t="shared" si="612"/>
        <v>442.12059761904766</v>
      </c>
      <c r="BF1073" s="77">
        <f t="shared" si="613"/>
        <v>75.61</v>
      </c>
      <c r="BG1073" s="77">
        <f t="shared" si="614"/>
        <v>22.683</v>
      </c>
      <c r="BH1073" s="77">
        <f t="shared" si="615"/>
        <v>360.06404761904764</v>
      </c>
      <c r="BI1073" s="78">
        <f t="shared" si="616"/>
        <v>0.21</v>
      </c>
      <c r="BJ1073" s="79">
        <f t="shared" si="617"/>
        <v>0.14604023117219128</v>
      </c>
      <c r="BK1073" s="80">
        <f t="shared" si="618"/>
        <v>442.27</v>
      </c>
      <c r="BL1073" s="80">
        <f t="shared" si="619"/>
        <v>75.464047619047619</v>
      </c>
      <c r="BM1073" s="79">
        <f t="shared" si="620"/>
        <v>0.14575832508232991</v>
      </c>
      <c r="BN1073" s="81">
        <f t="shared" si="621"/>
        <v>0.83460410557184761</v>
      </c>
      <c r="BO1073" s="82">
        <f t="shared" si="622"/>
        <v>284.60000000000002</v>
      </c>
      <c r="BP1073" s="81">
        <f t="shared" si="623"/>
        <v>0.83460410557184761</v>
      </c>
      <c r="BQ1073" s="81">
        <f t="shared" si="624"/>
        <v>0.9915282191067587</v>
      </c>
      <c r="BR1073" s="81">
        <f t="shared" si="625"/>
        <v>1.2128304115379833</v>
      </c>
      <c r="BS1073" s="82">
        <f t="shared" si="626"/>
        <v>341</v>
      </c>
      <c r="BT1073" s="82">
        <f t="shared" si="627"/>
        <v>413.57517033445231</v>
      </c>
      <c r="BU1073" s="82">
        <f t="shared" si="628"/>
        <v>360.06404761904764</v>
      </c>
      <c r="BW1073" s="82">
        <f>IFERROR(INDEX('Infos Clientes'!$T:$T,MATCH('Detalhe Por UC'!$C1073,'Infos Clientes'!B:B,0)),"")</f>
        <v>286.18181818181819</v>
      </c>
      <c r="BX1073" s="83">
        <f t="shared" si="629"/>
        <v>0</v>
      </c>
      <c r="BY1073" s="84">
        <f t="shared" si="630"/>
        <v>0.18246754890536804</v>
      </c>
      <c r="BZ1073" s="85">
        <f>IF(_xlfn.MINIFS('Detalhe Por UC'!R:R,'Detalhe Por UC'!C:C,C1073,'Detalhe Por UC'!AD:AD,"&gt;"&amp;0)=0,"",_xlfn.MINIFS('Detalhe Por UC'!R:R,'Detalhe Por UC'!C:C,C1073,'Detalhe Por UC'!AD:AD,"&gt;"&amp;0))</f>
        <v>45658</v>
      </c>
      <c r="CA1073" s="114">
        <f ca="1">IF(OR(S1073&gt;0,AD1073&gt;0),IFERROR(
SUMIFS(INDIRECT("'Infos Clientes'!$W"&amp;INDEX('Infos Clientes'!$C:$C,MATCH(C1073,'Infos Clientes'!$H:$H,0))&amp;":$CZ"&amp;INDEX('Infos Clientes'!$C:$C,MATCH(C1073,'Infos Clientes'!$H:$H,0))),'Infos Clientes'!$W$2:$CZ$2,"&gt;"&amp;$R1073-365,'Infos Clientes'!$W$2:$CZ$2,"&lt;="&amp;$R1073)/
COUNTIFS(INDIRECT("'Infos Clientes'!$W"&amp;INDEX('Infos Clientes'!$C:$C,MATCH(C1073,'Infos Clientes'!$H:$H,0))&amp;":$CZ"&amp;INDEX('Infos Clientes'!$C:$C,MATCH(C1073,'Infos Clientes'!$H:$H,0))),"&gt;="&amp;0,'Infos Clientes'!$W$2:$CZ$2,"&gt;"&amp;$R1073-365,'Infos Clientes'!$W$2:$CZ$2,"&lt;="&amp;$R1073),""),"")</f>
        <v>310.83333333333331</v>
      </c>
      <c r="CB1073" s="87">
        <f>VLOOKUP(C1073,'Infos Clientes'!B:L,11,0)</f>
        <v>0</v>
      </c>
      <c r="CC1073" s="88" t="str">
        <f t="shared" si="631"/>
        <v>A Unidade Consumidora 10/78338-1 economizou R$75,61 na fatura referente à nov/2025  consumindo 341 kWh em créditos de energia renovável conforme fatura de energia. A economia foi de 21% em relação ao que seria pago para a Energisa considerando os créditos consumidos. Atenção: Mantenha as contas da Energisa em dia para evitar cortes.</v>
      </c>
      <c r="CF1073" s="115">
        <f t="shared" si="632"/>
        <v>-157.66999999999999</v>
      </c>
    </row>
    <row r="1074" spans="3:84" ht="16.2" customHeight="1" x14ac:dyDescent="0.3">
      <c r="C1074" s="31" t="s">
        <v>150</v>
      </c>
      <c r="D1074" s="31" t="s">
        <v>351</v>
      </c>
      <c r="E1074" s="31" t="s">
        <v>352</v>
      </c>
      <c r="F1074" s="56" t="str">
        <f>INDEX('Infos Clientes'!$I:$I,MATCH('Detalhe Por UC'!C1074,'Infos Clientes'!B:B,0))</f>
        <v>BT</v>
      </c>
      <c r="G1074" s="56" t="str">
        <f>INDEX('Infos Clientes'!$J:$J,MATCH('Detalhe Por UC'!C1074,'Infos Clientes'!B:B,0))</f>
        <v>trifasico</v>
      </c>
      <c r="H1074" s="156" t="s">
        <v>138</v>
      </c>
      <c r="I1074" s="58">
        <f>IFERROR(VLOOKUP(C1074,'Infos Clientes'!B:E,4,),"")</f>
        <v>306</v>
      </c>
      <c r="J1074" s="157">
        <v>0.21</v>
      </c>
      <c r="K1074" s="79">
        <f>INDEX('Resumo Operacional'!$A$1:$P$151,MATCH("Desconto percentual Ucs",'Resumo Operacional'!$B$1:$B$151,0),MATCH('Detalhe Por UC'!$R1074,'Resumo Operacional'!$A$1:$P$1,0))</f>
        <v>0.21</v>
      </c>
      <c r="M1074" s="56"/>
      <c r="N1074" s="56"/>
      <c r="O1074" s="56"/>
      <c r="P1074" s="56"/>
      <c r="Q1074" s="61"/>
      <c r="R1074" s="111">
        <v>45962</v>
      </c>
      <c r="S1074" s="152">
        <v>2.23E-2</v>
      </c>
      <c r="T1074" s="113" t="str">
        <f>IF($H1074="GIROSSOL II",AP1074/INDEX('Resumo Operacional'!$A$1:$P$1103,17,MATCH('Detalhe Por UC'!$R1074,'Resumo Operacional'!$A$1:$P$1,0)),
IF($H1074="GIROSSOL II e III",AP1074/INDEX('Resumo Operacional'!$A$1:$P$1103,17,MATCH('Detalhe Por UC'!$R1074,'Resumo Operacional'!$A$1:$P$1,0)),
""))</f>
        <v/>
      </c>
      <c r="U1074" s="113">
        <f>IF($H1074="GIROSSOL III",AP1074/INDEX('Resumo Operacional'!$A$1:$P$1103,53,MATCH('Detalhe Por UC'!$R1074,'Resumo Operacional'!$A$1:$P$1,0)),
IF($H1074="GIROSSOL II e III",AP1074/INDEX('Resumo Operacional'!$A$1:$P$1103,53,MATCH('Detalhe Por UC'!$R1074,'Resumo Operacional'!$A$1:$P$1,0)),
""))</f>
        <v>2.2037183260354604E-2</v>
      </c>
      <c r="X1074">
        <v>1.2126332989336086</v>
      </c>
      <c r="Z1074">
        <v>1.0557752173034163</v>
      </c>
      <c r="AB1074">
        <v>342</v>
      </c>
      <c r="AD1074">
        <v>291</v>
      </c>
      <c r="AF1074">
        <v>16</v>
      </c>
      <c r="AG1074">
        <v>0</v>
      </c>
      <c r="AH1074">
        <v>3.54</v>
      </c>
      <c r="AK1074">
        <v>111.03</v>
      </c>
      <c r="AL1074" s="43">
        <v>0</v>
      </c>
      <c r="AN1074" s="71">
        <f t="shared" si="599"/>
        <v>16</v>
      </c>
      <c r="AO1074" s="71">
        <f t="shared" si="600"/>
        <v>0</v>
      </c>
      <c r="AP1074" s="71">
        <f t="shared" si="601"/>
        <v>307</v>
      </c>
      <c r="AQ1074" s="72">
        <f>IF(OR($H1074="GIROSSOL II",$H1074="GIROSSOL II e III"),INDEX('Resumo Operacional'!$A$1:$P$1103,MATCH("Energia Injetada prevista total Fatura da Usina (TUSD)",'Resumo Operacional'!$B$1:$B$1103,0),MATCH('Detalhe Por UC'!$R1074,'Resumo Operacional'!$A$1:$P$1,0))*$S1074,INDEX('Resumo Operacional'!$A$1:$P$1103,53,MATCH('Detalhe Por UC'!$R1074,'Resumo Operacional'!$A$1:$P$1,0))*$S1074)</f>
        <v>310.66129999999998</v>
      </c>
      <c r="AR1074" s="71">
        <f t="shared" si="602"/>
        <v>-3.6612999999999829</v>
      </c>
      <c r="AS1074" s="73">
        <f t="shared" si="603"/>
        <v>111.03000000000002</v>
      </c>
      <c r="AT1074" s="74">
        <f t="shared" si="604"/>
        <v>111.03000000000002</v>
      </c>
      <c r="AU1074" s="74">
        <f t="shared" si="605"/>
        <v>0.89891713567322395</v>
      </c>
      <c r="AV1074" s="74">
        <f t="shared" si="606"/>
        <v>242.71216470588237</v>
      </c>
      <c r="AW1074" s="74">
        <f t="shared" si="607"/>
        <v>0</v>
      </c>
      <c r="AX1074" s="74">
        <f t="shared" si="608"/>
        <v>307.23058823529414</v>
      </c>
      <c r="AY1074" s="74">
        <f t="shared" si="609"/>
        <v>242.71</v>
      </c>
      <c r="AZ1074" s="129">
        <v>242.71</v>
      </c>
      <c r="BA1074" s="117"/>
      <c r="BC1074" s="73" t="str">
        <f t="shared" si="610"/>
        <v/>
      </c>
      <c r="BD1074" s="73">
        <f t="shared" si="611"/>
        <v>418.26058823529416</v>
      </c>
      <c r="BE1074" s="73">
        <f t="shared" si="612"/>
        <v>353.74216470588237</v>
      </c>
      <c r="BF1074" s="77">
        <f t="shared" si="613"/>
        <v>64.52</v>
      </c>
      <c r="BG1074" s="77">
        <f t="shared" si="614"/>
        <v>19.355999999999998</v>
      </c>
      <c r="BH1074" s="77">
        <f t="shared" si="615"/>
        <v>307.23058823529414</v>
      </c>
      <c r="BI1074" s="78">
        <f t="shared" si="616"/>
        <v>0.21</v>
      </c>
      <c r="BJ1074" s="79">
        <f t="shared" si="617"/>
        <v>0.15425790001448575</v>
      </c>
      <c r="BK1074" s="80">
        <f t="shared" si="618"/>
        <v>353.74</v>
      </c>
      <c r="BL1074" s="80">
        <f t="shared" si="619"/>
        <v>64.520588235294156</v>
      </c>
      <c r="BM1074" s="79">
        <f t="shared" si="620"/>
        <v>0.15425930639919111</v>
      </c>
      <c r="BN1074" s="81">
        <f t="shared" si="621"/>
        <v>0.83405498281786949</v>
      </c>
      <c r="BO1074" s="82">
        <f t="shared" si="622"/>
        <v>242.71000000000004</v>
      </c>
      <c r="BP1074" s="81">
        <f t="shared" si="623"/>
        <v>0.83405498281786949</v>
      </c>
      <c r="BQ1074" s="81">
        <f t="shared" si="624"/>
        <v>0.99091306444806182</v>
      </c>
      <c r="BR1074" s="81">
        <f t="shared" si="625"/>
        <v>1.2126332989336086</v>
      </c>
      <c r="BS1074" s="82">
        <f t="shared" si="626"/>
        <v>291</v>
      </c>
      <c r="BT1074" s="82">
        <f t="shared" si="627"/>
        <v>352.87628998968012</v>
      </c>
      <c r="BU1074" s="82">
        <f t="shared" si="628"/>
        <v>307.23058823529414</v>
      </c>
      <c r="BW1074" s="82">
        <f>IFERROR(INDEX('Infos Clientes'!$T:$T,MATCH('Detalhe Por UC'!$C1074,'Infos Clientes'!B:B,0)),"")</f>
        <v>209.54545454545453</v>
      </c>
      <c r="BX1074" s="83">
        <f t="shared" si="629"/>
        <v>0</v>
      </c>
      <c r="BY1074" s="84">
        <f t="shared" si="630"/>
        <v>0.18284194791659431</v>
      </c>
      <c r="BZ1074" s="85">
        <f>IF(_xlfn.MINIFS('Detalhe Por UC'!R:R,'Detalhe Por UC'!C:C,C1074,'Detalhe Por UC'!AD:AD,"&gt;"&amp;0)=0,"",_xlfn.MINIFS('Detalhe Por UC'!R:R,'Detalhe Por UC'!C:C,C1074,'Detalhe Por UC'!AD:AD,"&gt;"&amp;0))</f>
        <v>45658</v>
      </c>
      <c r="CA1074" s="114">
        <f ca="1">IF(OR(S1074&gt;0,AD1074&gt;0),IFERROR(
SUMIFS(INDIRECT("'Infos Clientes'!$W"&amp;INDEX('Infos Clientes'!$C:$C,MATCH(C1074,'Infos Clientes'!$H:$H,0))&amp;":$CZ"&amp;INDEX('Infos Clientes'!$C:$C,MATCH(C1074,'Infos Clientes'!$H:$H,0))),'Infos Clientes'!$W$2:$CZ$2,"&gt;"&amp;$R1074-365,'Infos Clientes'!$W$2:$CZ$2,"&lt;="&amp;$R1074)/
COUNTIFS(INDIRECT("'Infos Clientes'!$W"&amp;INDEX('Infos Clientes'!$C:$C,MATCH(C1074,'Infos Clientes'!$H:$H,0))&amp;":$CZ"&amp;INDEX('Infos Clientes'!$C:$C,MATCH(C1074,'Infos Clientes'!$H:$H,0))),"&gt;="&amp;0,'Infos Clientes'!$W$2:$CZ$2,"&gt;"&amp;$R1074-365,'Infos Clientes'!$W$2:$CZ$2,"&lt;="&amp;$R1074),""),"")</f>
        <v>237.16666666666666</v>
      </c>
      <c r="CB1074" s="87">
        <f>VLOOKUP(C1074,'Infos Clientes'!B:L,11,0)</f>
        <v>0</v>
      </c>
      <c r="CC1074" s="88" t="str">
        <f t="shared" si="631"/>
        <v>A Unidade Consumidora 10/1288241-1 economizou R$64,52 na fatura referente à nov/2025  consumindo 291 kWh em créditos de energia renovável conforme fatura de energia. A economia foi de 21% em relação ao que seria pago para a Energisa considerando os créditos consumidos. Atenção: Mantenha as contas da Energisa em dia para evitar cortes.</v>
      </c>
      <c r="CF1074" s="115">
        <f t="shared" si="632"/>
        <v>-111.03000000000002</v>
      </c>
    </row>
    <row r="1075" spans="3:84" ht="16.2" customHeight="1" x14ac:dyDescent="0.3">
      <c r="C1075" s="31" t="s">
        <v>222</v>
      </c>
      <c r="D1075" s="31" t="s">
        <v>351</v>
      </c>
      <c r="E1075" s="31" t="s">
        <v>352</v>
      </c>
      <c r="F1075" s="56" t="str">
        <f>INDEX('Infos Clientes'!$I:$I,MATCH('Detalhe Por UC'!C1075,'Infos Clientes'!B:B,0))</f>
        <v>BT</v>
      </c>
      <c r="G1075" s="56" t="str">
        <f>INDEX('Infos Clientes'!$J:$J,MATCH('Detalhe Por UC'!C1075,'Infos Clientes'!B:B,0))</f>
        <v>trifasico</v>
      </c>
      <c r="H1075" s="156" t="s">
        <v>138</v>
      </c>
      <c r="I1075" s="58">
        <f>IFERROR(VLOOKUP(C1075,'Infos Clientes'!B:E,4,),"")</f>
        <v>319</v>
      </c>
      <c r="J1075" s="157">
        <v>0.21</v>
      </c>
      <c r="K1075" s="79">
        <f>INDEX('Resumo Operacional'!$A$1:$P$151,MATCH("Desconto percentual Ucs",'Resumo Operacional'!$B$1:$B$151,0),MATCH('Detalhe Por UC'!$R1075,'Resumo Operacional'!$A$1:$P$1,0))</f>
        <v>0.21</v>
      </c>
      <c r="M1075" s="56"/>
      <c r="N1075" s="56"/>
      <c r="O1075" s="56"/>
      <c r="P1075" s="56"/>
      <c r="Q1075" s="61"/>
      <c r="R1075" s="111">
        <v>45962</v>
      </c>
      <c r="S1075" s="152">
        <v>2.2100000000000002E-2</v>
      </c>
      <c r="T1075" s="113" t="str">
        <f>IF($H1075="GIROSSOL II",AP1075/INDEX('Resumo Operacional'!$A$1:$P$1103,17,MATCH('Detalhe Por UC'!$R1075,'Resumo Operacional'!$A$1:$P$1,0)),
IF($H1075="GIROSSOL II e III",AP1075/INDEX('Resumo Operacional'!$A$1:$P$1103,17,MATCH('Detalhe Por UC'!$R1075,'Resumo Operacional'!$A$1:$P$1,0)),
""))</f>
        <v/>
      </c>
      <c r="U1075" s="113">
        <f>IF($H1075="GIROSSOL III",AP1075/INDEX('Resumo Operacional'!$A$1:$P$1103,53,MATCH('Detalhe Por UC'!$R1075,'Resumo Operacional'!$A$1:$P$1,0)),
IF($H1075="GIROSSOL II e III",AP1075/INDEX('Resumo Operacional'!$A$1:$P$1103,53,MATCH('Detalhe Por UC'!$R1075,'Resumo Operacional'!$A$1:$P$1,0)),
""))</f>
        <v>2.2037183260354604E-2</v>
      </c>
      <c r="X1075">
        <v>1.2126718679330619</v>
      </c>
      <c r="Z1075">
        <v>1.0558140768240019</v>
      </c>
      <c r="AB1075">
        <v>264</v>
      </c>
      <c r="AD1075">
        <v>197</v>
      </c>
      <c r="AF1075">
        <v>527</v>
      </c>
      <c r="AG1075">
        <v>0</v>
      </c>
      <c r="AH1075">
        <v>66.17</v>
      </c>
      <c r="AK1075">
        <v>178.32</v>
      </c>
      <c r="AL1075" s="43">
        <v>0</v>
      </c>
      <c r="AN1075" s="71">
        <f t="shared" si="599"/>
        <v>110</v>
      </c>
      <c r="AO1075" s="71">
        <f t="shared" si="600"/>
        <v>0</v>
      </c>
      <c r="AP1075" s="71">
        <f t="shared" si="601"/>
        <v>307</v>
      </c>
      <c r="AQ1075" s="72">
        <f>IF(OR($H1075="GIROSSOL II",$H1075="GIROSSOL II e III"),INDEX('Resumo Operacional'!$A$1:$P$1103,MATCH("Energia Injetada prevista total Fatura da Usina (TUSD)",'Resumo Operacional'!$B$1:$B$1103,0),MATCH('Detalhe Por UC'!$R1075,'Resumo Operacional'!$A$1:$P$1,0))*$S1075,INDEX('Resumo Operacional'!$A$1:$P$1103,53,MATCH('Detalhe Por UC'!$R1075,'Resumo Operacional'!$A$1:$P$1,0))*$S1075)</f>
        <v>307.87510000000003</v>
      </c>
      <c r="AR1075" s="71">
        <f t="shared" si="602"/>
        <v>-0.87510000000003174</v>
      </c>
      <c r="AS1075" s="73">
        <f t="shared" si="603"/>
        <v>178.32</v>
      </c>
      <c r="AT1075" s="74">
        <f t="shared" si="604"/>
        <v>178.32</v>
      </c>
      <c r="AU1075" s="74">
        <f t="shared" si="605"/>
        <v>0.89895628571494179</v>
      </c>
      <c r="AV1075" s="74">
        <f t="shared" si="606"/>
        <v>164.31634477611942</v>
      </c>
      <c r="AW1075" s="74">
        <f t="shared" si="607"/>
        <v>-5.9999999999973852E-2</v>
      </c>
      <c r="AX1075" s="74">
        <f t="shared" si="608"/>
        <v>207.93537313432839</v>
      </c>
      <c r="AY1075" s="74">
        <f t="shared" si="609"/>
        <v>164.26</v>
      </c>
      <c r="AZ1075" s="129">
        <v>164.26</v>
      </c>
      <c r="BA1075" s="117"/>
      <c r="BC1075" s="73" t="str">
        <f t="shared" si="610"/>
        <v/>
      </c>
      <c r="BD1075" s="73">
        <f t="shared" si="611"/>
        <v>386.31537313432835</v>
      </c>
      <c r="BE1075" s="73">
        <f t="shared" si="612"/>
        <v>342.63634477611942</v>
      </c>
      <c r="BF1075" s="77">
        <f t="shared" si="613"/>
        <v>43.68</v>
      </c>
      <c r="BG1075" s="77">
        <f t="shared" si="614"/>
        <v>13.103999999999999</v>
      </c>
      <c r="BH1075" s="77">
        <f t="shared" si="615"/>
        <v>207.99537313432836</v>
      </c>
      <c r="BI1075" s="78">
        <f t="shared" si="616"/>
        <v>0.21</v>
      </c>
      <c r="BJ1075" s="79">
        <f t="shared" si="617"/>
        <v>0.1130682417466512</v>
      </c>
      <c r="BK1075" s="80">
        <f t="shared" si="618"/>
        <v>342.58</v>
      </c>
      <c r="BL1075" s="80">
        <f t="shared" si="619"/>
        <v>43.73537313432837</v>
      </c>
      <c r="BM1075" s="79">
        <f t="shared" si="620"/>
        <v>0.11321157835238632</v>
      </c>
      <c r="BN1075" s="81">
        <f t="shared" si="621"/>
        <v>0.83380710659898472</v>
      </c>
      <c r="BO1075" s="82">
        <f t="shared" si="622"/>
        <v>164.26</v>
      </c>
      <c r="BP1075" s="81">
        <f t="shared" si="623"/>
        <v>0.83380710659898472</v>
      </c>
      <c r="BQ1075" s="81">
        <f t="shared" si="624"/>
        <v>0.99066489770804478</v>
      </c>
      <c r="BR1075" s="81">
        <f t="shared" si="625"/>
        <v>1.2126718679330619</v>
      </c>
      <c r="BS1075" s="82">
        <f t="shared" si="626"/>
        <v>197</v>
      </c>
      <c r="BT1075" s="82">
        <f t="shared" si="627"/>
        <v>238.89635798281319</v>
      </c>
      <c r="BU1075" s="82">
        <f t="shared" si="628"/>
        <v>207.99537313432836</v>
      </c>
      <c r="BW1075" s="82">
        <f>IFERROR(INDEX('Infos Clientes'!$T:$T,MATCH('Detalhe Por UC'!$C1075,'Infos Clientes'!B:B,0)),"")</f>
        <v>392</v>
      </c>
      <c r="BX1075" s="83">
        <f t="shared" si="629"/>
        <v>0</v>
      </c>
      <c r="BY1075" s="84">
        <f t="shared" si="630"/>
        <v>0.1830725822010012</v>
      </c>
      <c r="BZ1075" s="85">
        <f>IF(_xlfn.MINIFS('Detalhe Por UC'!R:R,'Detalhe Por UC'!C:C,C1075,'Detalhe Por UC'!AD:AD,"&gt;"&amp;0)=0,"",_xlfn.MINIFS('Detalhe Por UC'!R:R,'Detalhe Por UC'!C:C,C1075,'Detalhe Por UC'!AD:AD,"&gt;"&amp;0))</f>
        <v>45748</v>
      </c>
      <c r="CA1075" s="114">
        <f ca="1">IF(OR(S1075&gt;0,AD1075&gt;0),IFERROR(
SUMIFS(INDIRECT("'Infos Clientes'!$W"&amp;INDEX('Infos Clientes'!$C:$C,MATCH(C1075,'Infos Clientes'!$H:$H,0))&amp;":$CZ"&amp;INDEX('Infos Clientes'!$C:$C,MATCH(C1075,'Infos Clientes'!$H:$H,0))),'Infos Clientes'!$W$2:$CZ$2,"&gt;"&amp;$R1075-365,'Infos Clientes'!$W$2:$CZ$2,"&lt;="&amp;$R1075)/
COUNTIFS(INDIRECT("'Infos Clientes'!$W"&amp;INDEX('Infos Clientes'!$C:$C,MATCH(C1075,'Infos Clientes'!$H:$H,0))&amp;":$CZ"&amp;INDEX('Infos Clientes'!$C:$C,MATCH(C1075,'Infos Clientes'!$H:$H,0))),"&gt;="&amp;0,'Infos Clientes'!$W$2:$CZ$2,"&gt;"&amp;$R1075-365,'Infos Clientes'!$W$2:$CZ$2,"&lt;="&amp;$R1075),""),"")</f>
        <v>261.5</v>
      </c>
      <c r="CB1075" s="87">
        <f>VLOOKUP(C1075,'Infos Clientes'!B:L,11,0)</f>
        <v>0</v>
      </c>
      <c r="CC1075" s="88" t="str">
        <f t="shared" si="631"/>
        <v>A Unidade Consumidora 10/69319-2 economizou R$43,68 na fatura referente à nov/2025  consumindo 197 kWh em créditos de energia renovável conforme fatura de energia. A economia foi de 21% em relação ao que seria pago para a Energisa considerando os créditos consumidos. Atenção: Mantenha as contas da Energisa em dia para evitar cortes.</v>
      </c>
      <c r="CF1075" s="115">
        <f t="shared" si="632"/>
        <v>-178.32</v>
      </c>
    </row>
    <row r="1076" spans="3:84" ht="16.2" customHeight="1" x14ac:dyDescent="0.3">
      <c r="C1076" s="31" t="s">
        <v>193</v>
      </c>
      <c r="D1076" s="31" t="s">
        <v>351</v>
      </c>
      <c r="E1076" s="31" t="s">
        <v>352</v>
      </c>
      <c r="F1076" s="56" t="str">
        <f>INDEX('Infos Clientes'!$I:$I,MATCH('Detalhe Por UC'!C1076,'Infos Clientes'!B:B,0))</f>
        <v>BT</v>
      </c>
      <c r="G1076" s="56" t="str">
        <f>INDEX('Infos Clientes'!$J:$J,MATCH('Detalhe Por UC'!C1076,'Infos Clientes'!B:B,0))</f>
        <v>bifasico</v>
      </c>
      <c r="H1076" s="156" t="s">
        <v>138</v>
      </c>
      <c r="I1076" s="58">
        <f>IFERROR(VLOOKUP(C1076,'Infos Clientes'!B:E,4,),"")</f>
        <v>306</v>
      </c>
      <c r="J1076" s="157">
        <v>0.21</v>
      </c>
      <c r="K1076" s="79">
        <f>INDEX('Resumo Operacional'!$A$1:$P$151,MATCH("Desconto percentual Ucs",'Resumo Operacional'!$B$1:$B$151,0),MATCH('Detalhe Por UC'!$R1076,'Resumo Operacional'!$A$1:$P$1,0))</f>
        <v>0.21</v>
      </c>
      <c r="M1076" s="56"/>
      <c r="N1076" s="56"/>
      <c r="O1076" s="56"/>
      <c r="P1076" s="56"/>
      <c r="Q1076" s="61"/>
      <c r="R1076" s="111">
        <v>45962</v>
      </c>
      <c r="S1076" s="152">
        <v>2.1899999999999999E-2</v>
      </c>
      <c r="T1076" s="113" t="str">
        <f>IF($H1076="GIROSSOL II",AP1076/INDEX('Resumo Operacional'!$A$1:$P$1103,17,MATCH('Detalhe Por UC'!$R1076,'Resumo Operacional'!$A$1:$P$1,0)),
IF($H1076="GIROSSOL II e III",AP1076/INDEX('Resumo Operacional'!$A$1:$P$1103,17,MATCH('Detalhe Por UC'!$R1076,'Resumo Operacional'!$A$1:$P$1,0)),
""))</f>
        <v/>
      </c>
      <c r="U1076" s="113">
        <f>IF($H1076="GIROSSOL III",AP1076/INDEX('Resumo Operacional'!$A$1:$P$1103,53,MATCH('Detalhe Por UC'!$R1076,'Resumo Operacional'!$A$1:$P$1,0)),
IF($H1076="GIROSSOL II e III",AP1076/INDEX('Resumo Operacional'!$A$1:$P$1103,53,MATCH('Detalhe Por UC'!$R1076,'Resumo Operacional'!$A$1:$P$1,0)),
""))</f>
        <v>2.1893618548560763E-2</v>
      </c>
      <c r="X1076">
        <v>1.2130991735537189</v>
      </c>
      <c r="Z1076">
        <v>1.0561904761904761</v>
      </c>
      <c r="AB1076">
        <v>242</v>
      </c>
      <c r="AD1076">
        <v>231</v>
      </c>
      <c r="AF1076">
        <v>505</v>
      </c>
      <c r="AG1076">
        <v>0</v>
      </c>
      <c r="AH1076">
        <v>1.3</v>
      </c>
      <c r="AK1076">
        <v>50.89</v>
      </c>
      <c r="AL1076" s="43">
        <v>0</v>
      </c>
      <c r="AN1076" s="71">
        <f t="shared" si="599"/>
        <v>74</v>
      </c>
      <c r="AO1076" s="71">
        <f t="shared" si="600"/>
        <v>0</v>
      </c>
      <c r="AP1076" s="71">
        <f t="shared" si="601"/>
        <v>305</v>
      </c>
      <c r="AQ1076" s="72">
        <f>IF(OR($H1076="GIROSSOL II",$H1076="GIROSSOL II e III"),INDEX('Resumo Operacional'!$A$1:$P$1103,MATCH("Energia Injetada prevista total Fatura da Usina (TUSD)",'Resumo Operacional'!$B$1:$B$1103,0),MATCH('Detalhe Por UC'!$R1076,'Resumo Operacional'!$A$1:$P$1,0))*$S1076,INDEX('Resumo Operacional'!$A$1:$P$1103,53,MATCH('Detalhe Por UC'!$R1076,'Resumo Operacional'!$A$1:$P$1,0))*$S1076)</f>
        <v>305.08889999999997</v>
      </c>
      <c r="AR1076" s="71">
        <f t="shared" si="602"/>
        <v>-8.8899999999966894E-2</v>
      </c>
      <c r="AS1076" s="73">
        <f t="shared" si="603"/>
        <v>50.89</v>
      </c>
      <c r="AT1076" s="74">
        <f t="shared" si="604"/>
        <v>50.89</v>
      </c>
      <c r="AU1076" s="74">
        <f t="shared" si="605"/>
        <v>0.89928177882723337</v>
      </c>
      <c r="AV1076" s="74">
        <f t="shared" si="606"/>
        <v>192.74419999999998</v>
      </c>
      <c r="AW1076" s="74">
        <f t="shared" si="607"/>
        <v>-3.0100000000000193</v>
      </c>
      <c r="AX1076" s="74">
        <f t="shared" si="608"/>
        <v>240.96999999999997</v>
      </c>
      <c r="AY1076" s="74">
        <f t="shared" si="609"/>
        <v>189.73</v>
      </c>
      <c r="AZ1076" s="129">
        <v>189.73</v>
      </c>
      <c r="BA1076" s="117"/>
      <c r="BC1076" s="73" t="str">
        <f t="shared" si="610"/>
        <v/>
      </c>
      <c r="BD1076" s="73">
        <f t="shared" si="611"/>
        <v>294.87</v>
      </c>
      <c r="BE1076" s="73">
        <f t="shared" si="612"/>
        <v>243.63419999999996</v>
      </c>
      <c r="BF1076" s="77">
        <f t="shared" si="613"/>
        <v>51.24</v>
      </c>
      <c r="BG1076" s="77">
        <f t="shared" si="614"/>
        <v>15.372</v>
      </c>
      <c r="BH1076" s="77">
        <f t="shared" si="615"/>
        <v>243.98</v>
      </c>
      <c r="BI1076" s="78">
        <f t="shared" si="616"/>
        <v>0.21</v>
      </c>
      <c r="BJ1076" s="79">
        <f t="shared" si="617"/>
        <v>0.1737714925221284</v>
      </c>
      <c r="BK1076" s="80">
        <f t="shared" si="618"/>
        <v>240.62</v>
      </c>
      <c r="BL1076" s="80">
        <f t="shared" si="619"/>
        <v>54.25</v>
      </c>
      <c r="BM1076" s="79">
        <f t="shared" si="620"/>
        <v>0.1839793807440567</v>
      </c>
      <c r="BN1076" s="81">
        <f t="shared" si="621"/>
        <v>0.82134199134199126</v>
      </c>
      <c r="BO1076" s="82">
        <f t="shared" si="622"/>
        <v>189.73</v>
      </c>
      <c r="BP1076" s="81">
        <f t="shared" si="623"/>
        <v>0.82134199134199126</v>
      </c>
      <c r="BQ1076" s="81">
        <f t="shared" si="624"/>
        <v>0.97825068870523402</v>
      </c>
      <c r="BR1076" s="81">
        <f t="shared" si="625"/>
        <v>1.2130991735537189</v>
      </c>
      <c r="BS1076" s="82">
        <f t="shared" si="626"/>
        <v>231</v>
      </c>
      <c r="BT1076" s="82">
        <f t="shared" si="627"/>
        <v>280.22590909090906</v>
      </c>
      <c r="BU1076" s="82">
        <f t="shared" si="628"/>
        <v>243.98</v>
      </c>
      <c r="BW1076" s="82">
        <f>IFERROR(INDEX('Infos Clientes'!$T:$T,MATCH('Detalhe Por UC'!$C1076,'Infos Clientes'!B:B,0)),"")</f>
        <v>330.27272727272725</v>
      </c>
      <c r="BX1076" s="83">
        <f t="shared" si="629"/>
        <v>0</v>
      </c>
      <c r="BY1076" s="84">
        <f t="shared" si="630"/>
        <v>0.19359380499824008</v>
      </c>
      <c r="BZ1076" s="85">
        <f>IF(_xlfn.MINIFS('Detalhe Por UC'!R:R,'Detalhe Por UC'!C:C,C1076,'Detalhe Por UC'!AD:AD,"&gt;"&amp;0)=0,"",_xlfn.MINIFS('Detalhe Por UC'!R:R,'Detalhe Por UC'!C:C,C1076,'Detalhe Por UC'!AD:AD,"&gt;"&amp;0))</f>
        <v>45658</v>
      </c>
      <c r="CA1076" s="114">
        <f ca="1">IF(OR(S1076&gt;0,AD1076&gt;0),IFERROR(
SUMIFS(INDIRECT("'Infos Clientes'!$W"&amp;INDEX('Infos Clientes'!$C:$C,MATCH(C1076,'Infos Clientes'!$H:$H,0))&amp;":$CZ"&amp;INDEX('Infos Clientes'!$C:$C,MATCH(C1076,'Infos Clientes'!$H:$H,0))),'Infos Clientes'!$W$2:$CZ$2,"&gt;"&amp;$R1076-365,'Infos Clientes'!$W$2:$CZ$2,"&lt;="&amp;$R1076)/
COUNTIFS(INDIRECT("'Infos Clientes'!$W"&amp;INDEX('Infos Clientes'!$C:$C,MATCH(C1076,'Infos Clientes'!$H:$H,0))&amp;":$CZ"&amp;INDEX('Infos Clientes'!$C:$C,MATCH(C1076,'Infos Clientes'!$H:$H,0))),"&gt;="&amp;0,'Infos Clientes'!$W$2:$CZ$2,"&gt;"&amp;$R1076-365,'Infos Clientes'!$W$2:$CZ$2,"&lt;="&amp;$R1076),""),"")</f>
        <v>276.91666666666669</v>
      </c>
      <c r="CB1076" s="87">
        <f>VLOOKUP(C1076,'Infos Clientes'!B:L,11,0)</f>
        <v>0</v>
      </c>
      <c r="CC1076" s="88" t="str">
        <f t="shared" si="631"/>
        <v>A Unidade Consumidora 10/341308-5 economizou R$51,24 na fatura referente à nov/2025  consumindo 231 kWh em créditos de energia renovável conforme fatura de energia. A economia foi de 21% em relação ao que seria pago para a Energisa considerando os créditos consumidos. Atenção: Mantenha as contas da Energisa em dia para evitar cortes.</v>
      </c>
      <c r="CF1076" s="115">
        <f t="shared" si="632"/>
        <v>-50.89</v>
      </c>
    </row>
    <row r="1077" spans="3:84" ht="16.2" customHeight="1" x14ac:dyDescent="0.3">
      <c r="C1077" s="31" t="s">
        <v>154</v>
      </c>
      <c r="D1077" s="31" t="s">
        <v>351</v>
      </c>
      <c r="E1077" s="31" t="s">
        <v>352</v>
      </c>
      <c r="F1077" s="56" t="str">
        <f>INDEX('Infos Clientes'!$I:$I,MATCH('Detalhe Por UC'!C1077,'Infos Clientes'!B:B,0))</f>
        <v>BT</v>
      </c>
      <c r="G1077" s="56" t="str">
        <f>INDEX('Infos Clientes'!$J:$J,MATCH('Detalhe Por UC'!C1077,'Infos Clientes'!B:B,0))</f>
        <v>bifasico</v>
      </c>
      <c r="H1077" s="156" t="s">
        <v>138</v>
      </c>
      <c r="I1077" s="58">
        <f>IFERROR(VLOOKUP(C1077,'Infos Clientes'!B:E,4,),"")</f>
        <v>357</v>
      </c>
      <c r="J1077" s="157">
        <v>0.21</v>
      </c>
      <c r="K1077" s="79">
        <f>INDEX('Resumo Operacional'!$A$1:$P$151,MATCH("Desconto percentual Ucs",'Resumo Operacional'!$B$1:$B$151,0),MATCH('Detalhe Por UC'!$R1077,'Resumo Operacional'!$A$1:$P$1,0))</f>
        <v>0.21</v>
      </c>
      <c r="M1077" s="56"/>
      <c r="N1077" s="56"/>
      <c r="O1077" s="56"/>
      <c r="P1077" s="56"/>
      <c r="Q1077" s="61"/>
      <c r="R1077" s="111">
        <v>45962</v>
      </c>
      <c r="S1077" s="152">
        <v>2.1700000000000001E-2</v>
      </c>
      <c r="T1077" s="113" t="str">
        <f>IF($H1077="GIROSSOL II",AP1077/INDEX('Resumo Operacional'!$A$1:$P$1103,17,MATCH('Detalhe Por UC'!$R1077,'Resumo Operacional'!$A$1:$P$1,0)),
IF($H1077="GIROSSOL II e III",AP1077/INDEX('Resumo Operacional'!$A$1:$P$1103,17,MATCH('Detalhe Por UC'!$R1077,'Resumo Operacional'!$A$1:$P$1,0)),
""))</f>
        <v/>
      </c>
      <c r="U1077" s="113">
        <f>IF($H1077="GIROSSOL III",AP1077/INDEX('Resumo Operacional'!$A$1:$P$1103,53,MATCH('Detalhe Por UC'!$R1077,'Resumo Operacional'!$A$1:$P$1,0)),
IF($H1077="GIROSSOL II e III",AP1077/INDEX('Resumo Operacional'!$A$1:$P$1103,53,MATCH('Detalhe Por UC'!$R1077,'Resumo Operacional'!$A$1:$P$1,0)),
""))</f>
        <v>2.1678271480870002E-2</v>
      </c>
      <c r="X1077">
        <v>1.2120073529411766</v>
      </c>
      <c r="Z1077">
        <v>1.0551161048689142</v>
      </c>
      <c r="AB1077">
        <v>272</v>
      </c>
      <c r="AD1077">
        <v>267</v>
      </c>
      <c r="AF1077">
        <v>335</v>
      </c>
      <c r="AG1077">
        <v>0</v>
      </c>
      <c r="AH1077">
        <v>-0.02</v>
      </c>
      <c r="AK1077">
        <v>47.93</v>
      </c>
      <c r="AL1077" s="43">
        <v>0</v>
      </c>
      <c r="AN1077" s="71">
        <f t="shared" si="599"/>
        <v>35</v>
      </c>
      <c r="AO1077" s="71">
        <f t="shared" si="600"/>
        <v>0</v>
      </c>
      <c r="AP1077" s="71">
        <f t="shared" si="601"/>
        <v>302</v>
      </c>
      <c r="AQ1077" s="72">
        <f>IF(OR($H1077="GIROSSOL II",$H1077="GIROSSOL II e III"),INDEX('Resumo Operacional'!$A$1:$P$1103,MATCH("Energia Injetada prevista total Fatura da Usina (TUSD)",'Resumo Operacional'!$B$1:$B$1103,0),MATCH('Detalhe Por UC'!$R1077,'Resumo Operacional'!$A$1:$P$1,0))*$S1077,INDEX('Resumo Operacional'!$A$1:$P$1103,53,MATCH('Detalhe Por UC'!$R1077,'Resumo Operacional'!$A$1:$P$1,0))*$S1077)</f>
        <v>302.30270000000002</v>
      </c>
      <c r="AR1077" s="71">
        <f t="shared" si="602"/>
        <v>-0.30270000000001573</v>
      </c>
      <c r="AS1077" s="73">
        <f t="shared" si="603"/>
        <v>47.929999999999986</v>
      </c>
      <c r="AT1077" s="74">
        <f t="shared" si="604"/>
        <v>47.929999999999986</v>
      </c>
      <c r="AU1077" s="74">
        <f t="shared" si="605"/>
        <v>0.89822485679665176</v>
      </c>
      <c r="AV1077" s="74">
        <f t="shared" si="606"/>
        <v>222.55564000000007</v>
      </c>
      <c r="AW1077" s="74">
        <f t="shared" si="607"/>
        <v>-0.37999999999999545</v>
      </c>
      <c r="AX1077" s="74">
        <f t="shared" si="608"/>
        <v>281.33600000000007</v>
      </c>
      <c r="AY1077" s="74">
        <f t="shared" si="609"/>
        <v>222.18</v>
      </c>
      <c r="AZ1077" s="129">
        <v>222.18</v>
      </c>
      <c r="BA1077" s="117"/>
      <c r="BC1077" s="73" t="str">
        <f t="shared" si="610"/>
        <v/>
      </c>
      <c r="BD1077" s="73">
        <f t="shared" si="611"/>
        <v>329.64600000000007</v>
      </c>
      <c r="BE1077" s="73">
        <f t="shared" si="612"/>
        <v>270.48564000000005</v>
      </c>
      <c r="BF1077" s="77">
        <f t="shared" si="613"/>
        <v>59.16</v>
      </c>
      <c r="BG1077" s="77">
        <f t="shared" si="614"/>
        <v>17.747999999999998</v>
      </c>
      <c r="BH1077" s="77">
        <f t="shared" si="615"/>
        <v>281.71600000000012</v>
      </c>
      <c r="BI1077" s="78">
        <f t="shared" si="616"/>
        <v>0.21</v>
      </c>
      <c r="BJ1077" s="79">
        <f t="shared" si="617"/>
        <v>0.17946524453504664</v>
      </c>
      <c r="BK1077" s="80">
        <f t="shared" si="618"/>
        <v>270.11</v>
      </c>
      <c r="BL1077" s="80">
        <f t="shared" si="619"/>
        <v>59.536000000000058</v>
      </c>
      <c r="BM1077" s="79">
        <f t="shared" si="620"/>
        <v>0.18060586204595247</v>
      </c>
      <c r="BN1077" s="81">
        <f t="shared" si="621"/>
        <v>0.83213483146067413</v>
      </c>
      <c r="BO1077" s="82">
        <f t="shared" si="622"/>
        <v>222.17999999999998</v>
      </c>
      <c r="BP1077" s="81">
        <f t="shared" si="623"/>
        <v>0.83213483146067413</v>
      </c>
      <c r="BQ1077" s="81">
        <f t="shared" si="624"/>
        <v>0.98902607953293653</v>
      </c>
      <c r="BR1077" s="81">
        <f t="shared" si="625"/>
        <v>1.2120073529411766</v>
      </c>
      <c r="BS1077" s="82">
        <f t="shared" si="626"/>
        <v>267</v>
      </c>
      <c r="BT1077" s="82">
        <f t="shared" si="627"/>
        <v>323.60596323529415</v>
      </c>
      <c r="BU1077" s="82">
        <f t="shared" si="628"/>
        <v>281.71600000000007</v>
      </c>
      <c r="BW1077" s="82">
        <f>IFERROR(INDEX('Infos Clientes'!$T:$T,MATCH('Detalhe Por UC'!$C1077,'Infos Clientes'!B:B,0)),"")</f>
        <v>278.36363636363637</v>
      </c>
      <c r="BX1077" s="83">
        <f t="shared" si="629"/>
        <v>0</v>
      </c>
      <c r="BY1077" s="84">
        <f t="shared" si="630"/>
        <v>0.18397683220908825</v>
      </c>
      <c r="BZ1077" s="85">
        <f>IF(_xlfn.MINIFS('Detalhe Por UC'!R:R,'Detalhe Por UC'!C:C,C1077,'Detalhe Por UC'!AD:AD,"&gt;"&amp;0)=0,"",_xlfn.MINIFS('Detalhe Por UC'!R:R,'Detalhe Por UC'!C:C,C1077,'Detalhe Por UC'!AD:AD,"&gt;"&amp;0))</f>
        <v>45658</v>
      </c>
      <c r="CA1077" s="114">
        <f ca="1">IF(OR(S1077&gt;0,AD1077&gt;0),IFERROR(
SUMIFS(INDIRECT("'Infos Clientes'!$W"&amp;INDEX('Infos Clientes'!$C:$C,MATCH(C1077,'Infos Clientes'!$H:$H,0))&amp;":$CZ"&amp;INDEX('Infos Clientes'!$C:$C,MATCH(C1077,'Infos Clientes'!$H:$H,0))),'Infos Clientes'!$W$2:$CZ$2,"&gt;"&amp;$R1077-365,'Infos Clientes'!$W$2:$CZ$2,"&lt;="&amp;$R1077)/
COUNTIFS(INDIRECT("'Infos Clientes'!$W"&amp;INDEX('Infos Clientes'!$C:$C,MATCH(C1077,'Infos Clientes'!$H:$H,0))&amp;":$CZ"&amp;INDEX('Infos Clientes'!$C:$C,MATCH(C1077,'Infos Clientes'!$H:$H,0))),"&gt;="&amp;0,'Infos Clientes'!$W$2:$CZ$2,"&gt;"&amp;$R1077-365,'Infos Clientes'!$W$2:$CZ$2,"&lt;="&amp;$R1077),""),"")</f>
        <v>282.66666666666669</v>
      </c>
      <c r="CB1077" s="87">
        <f>VLOOKUP(C1077,'Infos Clientes'!B:L,11,0)</f>
        <v>0</v>
      </c>
      <c r="CC1077" s="88" t="str">
        <f t="shared" si="631"/>
        <v>A Unidade Consumidora 10/13786-9 economizou R$59,16 na fatura referente à nov/2025  consumindo 267 kWh em créditos de energia renovável conforme fatura de energia. A economia foi de 21% em relação ao que seria pago para a Energisa considerando os créditos consumidos. Atenção: Mantenha as contas da Energisa em dia para evitar cortes.</v>
      </c>
      <c r="CF1077" s="115">
        <f t="shared" si="632"/>
        <v>-47.929999999999986</v>
      </c>
    </row>
    <row r="1078" spans="3:84" ht="16.2" customHeight="1" x14ac:dyDescent="0.3">
      <c r="C1078" s="31" t="s">
        <v>152</v>
      </c>
      <c r="D1078" s="31" t="s">
        <v>351</v>
      </c>
      <c r="E1078" s="31" t="s">
        <v>352</v>
      </c>
      <c r="F1078" s="56" t="str">
        <f>INDEX('Infos Clientes'!$I:$I,MATCH('Detalhe Por UC'!C1078,'Infos Clientes'!B:B,0))</f>
        <v>BT</v>
      </c>
      <c r="G1078" s="56" t="str">
        <f>INDEX('Infos Clientes'!$J:$J,MATCH('Detalhe Por UC'!C1078,'Infos Clientes'!B:B,0))</f>
        <v>bifasico</v>
      </c>
      <c r="H1078" s="156" t="s">
        <v>138</v>
      </c>
      <c r="I1078" s="58">
        <f>IFERROR(VLOOKUP(C1078,'Infos Clientes'!B:E,4,),"")</f>
        <v>351</v>
      </c>
      <c r="J1078" s="157">
        <v>0.21</v>
      </c>
      <c r="K1078" s="79">
        <f>INDEX('Resumo Operacional'!$A$1:$P$151,MATCH("Desconto percentual Ucs",'Resumo Operacional'!$B$1:$B$151,0),MATCH('Detalhe Por UC'!$R1078,'Resumo Operacional'!$A$1:$P$1,0))</f>
        <v>0.21</v>
      </c>
      <c r="M1078" s="56"/>
      <c r="N1078" s="56"/>
      <c r="O1078" s="56"/>
      <c r="P1078" s="56"/>
      <c r="Q1078" s="61"/>
      <c r="R1078" s="111">
        <v>45962</v>
      </c>
      <c r="S1078" s="152">
        <v>2.0400000000000001E-2</v>
      </c>
      <c r="T1078" s="113" t="str">
        <f>IF($H1078="GIROSSOL II",AP1078/INDEX('Resumo Operacional'!$A$1:$P$1103,17,MATCH('Detalhe Por UC'!$R1078,'Resumo Operacional'!$A$1:$P$1,0)),
IF($H1078="GIROSSOL II e III",AP1078/INDEX('Resumo Operacional'!$A$1:$P$1103,17,MATCH('Detalhe Por UC'!$R1078,'Resumo Operacional'!$A$1:$P$1,0)),
""))</f>
        <v/>
      </c>
      <c r="U1078" s="113">
        <f>IF($H1078="GIROSSOL III",AP1078/INDEX('Resumo Operacional'!$A$1:$P$1103,53,MATCH('Detalhe Por UC'!$R1078,'Resumo Operacional'!$A$1:$P$1,0)),
IF($H1078="GIROSSOL II e III",AP1078/INDEX('Resumo Operacional'!$A$1:$P$1103,53,MATCH('Detalhe Por UC'!$R1078,'Resumo Operacional'!$A$1:$P$1,0)),
""))</f>
        <v>2.4477783360849902E-2</v>
      </c>
      <c r="X1078">
        <v>1.2130991735537189</v>
      </c>
      <c r="Z1078">
        <v>1.0561904761904761</v>
      </c>
      <c r="AB1078">
        <v>242</v>
      </c>
      <c r="AD1078">
        <v>231</v>
      </c>
      <c r="AF1078">
        <v>110</v>
      </c>
      <c r="AG1078">
        <v>0</v>
      </c>
      <c r="AH1078">
        <v>23.31</v>
      </c>
      <c r="AI1078">
        <v>-458.1</v>
      </c>
      <c r="AJ1078">
        <v>385.2</v>
      </c>
      <c r="AK1078">
        <v>0</v>
      </c>
      <c r="AL1078" s="43">
        <v>5.6843418860808015E-14</v>
      </c>
      <c r="AN1078" s="71">
        <f t="shared" si="599"/>
        <v>110</v>
      </c>
      <c r="AO1078" s="71">
        <f t="shared" si="600"/>
        <v>0</v>
      </c>
      <c r="AP1078" s="71">
        <f t="shared" si="601"/>
        <v>341</v>
      </c>
      <c r="AQ1078" s="72">
        <f>IF(OR($H1078="GIROSSOL II",$H1078="GIROSSOL II e III"),INDEX('Resumo Operacional'!$A$1:$P$1103,MATCH("Energia Injetada prevista total Fatura da Usina (TUSD)",'Resumo Operacional'!$B$1:$B$1103,0),MATCH('Detalhe Por UC'!$R1078,'Resumo Operacional'!$A$1:$P$1,0))*$S1078,INDEX('Resumo Operacional'!$A$1:$P$1103,53,MATCH('Detalhe Por UC'!$R1078,'Resumo Operacional'!$A$1:$P$1,0))*$S1078)</f>
        <v>284.19240000000002</v>
      </c>
      <c r="AR1078" s="71">
        <f t="shared" si="602"/>
        <v>56.807599999999979</v>
      </c>
      <c r="AS1078" s="73">
        <f t="shared" si="603"/>
        <v>72.900000000000006</v>
      </c>
      <c r="AT1078" s="74">
        <f t="shared" si="604"/>
        <v>-5.6843418860808015E-14</v>
      </c>
      <c r="AU1078" s="74">
        <f t="shared" si="605"/>
        <v>0.89928177882723337</v>
      </c>
      <c r="AV1078" s="74">
        <f t="shared" si="606"/>
        <v>192.74419999999998</v>
      </c>
      <c r="AW1078" s="74">
        <f t="shared" si="607"/>
        <v>0</v>
      </c>
      <c r="AX1078" s="74">
        <f t="shared" si="608"/>
        <v>243.98</v>
      </c>
      <c r="AY1078" s="74">
        <f t="shared" si="609"/>
        <v>192.74</v>
      </c>
      <c r="AZ1078" s="129">
        <v>192.74</v>
      </c>
      <c r="BA1078" s="117"/>
      <c r="BC1078" s="73" t="str">
        <f t="shared" si="610"/>
        <v/>
      </c>
      <c r="BD1078" s="73">
        <f t="shared" si="611"/>
        <v>316.88</v>
      </c>
      <c r="BE1078" s="73">
        <f t="shared" si="612"/>
        <v>265.64419999999996</v>
      </c>
      <c r="BF1078" s="77">
        <f t="shared" si="613"/>
        <v>51.24</v>
      </c>
      <c r="BG1078" s="77">
        <f t="shared" si="614"/>
        <v>15.372</v>
      </c>
      <c r="BH1078" s="77">
        <f t="shared" si="615"/>
        <v>243.98</v>
      </c>
      <c r="BI1078" s="78">
        <f t="shared" si="616"/>
        <v>0.21</v>
      </c>
      <c r="BJ1078" s="79">
        <f t="shared" si="617"/>
        <v>0.16170159050744762</v>
      </c>
      <c r="BK1078" s="80">
        <f t="shared" si="618"/>
        <v>265.64</v>
      </c>
      <c r="BL1078" s="80">
        <f t="shared" si="619"/>
        <v>51.240000000000009</v>
      </c>
      <c r="BM1078" s="79">
        <f t="shared" si="620"/>
        <v>0.16170159050744765</v>
      </c>
      <c r="BN1078" s="81">
        <f t="shared" si="621"/>
        <v>0.83437229437229443</v>
      </c>
      <c r="BO1078" s="82">
        <f t="shared" si="622"/>
        <v>192.74</v>
      </c>
      <c r="BP1078" s="81">
        <f t="shared" si="623"/>
        <v>0.83437229437229443</v>
      </c>
      <c r="BQ1078" s="81">
        <f t="shared" si="624"/>
        <v>0.99128099173553719</v>
      </c>
      <c r="BR1078" s="81">
        <f t="shared" si="625"/>
        <v>1.2130991735537189</v>
      </c>
      <c r="BS1078" s="82">
        <f t="shared" si="626"/>
        <v>231</v>
      </c>
      <c r="BT1078" s="82">
        <f t="shared" si="627"/>
        <v>280.22590909090906</v>
      </c>
      <c r="BU1078" s="82">
        <f t="shared" si="628"/>
        <v>243.98</v>
      </c>
      <c r="BW1078" s="82">
        <f>IFERROR(INDEX('Infos Clientes'!$T:$T,MATCH('Detalhe Por UC'!$C1078,'Infos Clientes'!B:B,0)),"")</f>
        <v>246.72727272727272</v>
      </c>
      <c r="BX1078" s="83">
        <f t="shared" si="629"/>
        <v>0</v>
      </c>
      <c r="BY1078" s="84">
        <f t="shared" si="630"/>
        <v>0.18285247130156343</v>
      </c>
      <c r="BZ1078" s="85">
        <f>IF(_xlfn.MINIFS('Detalhe Por UC'!R:R,'Detalhe Por UC'!C:C,C1078,'Detalhe Por UC'!AD:AD,"&gt;"&amp;0)=0,"",_xlfn.MINIFS('Detalhe Por UC'!R:R,'Detalhe Por UC'!C:C,C1078,'Detalhe Por UC'!AD:AD,"&gt;"&amp;0))</f>
        <v>45658</v>
      </c>
      <c r="CA1078" s="114">
        <f ca="1">IF(OR(S1078&gt;0,AD1078&gt;0),IFERROR(
SUMIFS(INDIRECT("'Infos Clientes'!$W"&amp;INDEX('Infos Clientes'!$C:$C,MATCH(C1078,'Infos Clientes'!$H:$H,0))&amp;":$CZ"&amp;INDEX('Infos Clientes'!$C:$C,MATCH(C1078,'Infos Clientes'!$H:$H,0))),'Infos Clientes'!$W$2:$CZ$2,"&gt;"&amp;$R1078-365,'Infos Clientes'!$W$2:$CZ$2,"&lt;="&amp;$R1078)/
COUNTIFS(INDIRECT("'Infos Clientes'!$W"&amp;INDEX('Infos Clientes'!$C:$C,MATCH(C1078,'Infos Clientes'!$H:$H,0))&amp;":$CZ"&amp;INDEX('Infos Clientes'!$C:$C,MATCH(C1078,'Infos Clientes'!$H:$H,0))),"&gt;="&amp;0,'Infos Clientes'!$W$2:$CZ$2,"&gt;"&amp;$R1078-365,'Infos Clientes'!$W$2:$CZ$2,"&lt;="&amp;$R1078),""),"")</f>
        <v>273.33333333333331</v>
      </c>
      <c r="CB1078" s="87">
        <f>VLOOKUP(C1078,'Infos Clientes'!B:L,11,0)</f>
        <v>0</v>
      </c>
      <c r="CC1078" s="88" t="str">
        <f t="shared" si="631"/>
        <v>A Unidade Consumidora 10/129490-9 economizou R$51,24 na fatura referente à nov/2025  consumindo 231 kWh em créditos de energia renovável conforme fatura de energia. A economia foi de 21% em relação ao que seria pago para a Energisa considerando os créditos consumidos. Atenção: Mantenha as contas da Energisa em dia para evitar cortes.</v>
      </c>
      <c r="CF1078" s="115">
        <f t="shared" si="632"/>
        <v>5.6843418860808015E-14</v>
      </c>
    </row>
    <row r="1079" spans="3:84" ht="16.2" customHeight="1" x14ac:dyDescent="0.3">
      <c r="C1079" s="31" t="s">
        <v>216</v>
      </c>
      <c r="D1079" s="31" t="s">
        <v>351</v>
      </c>
      <c r="E1079" s="31" t="s">
        <v>352</v>
      </c>
      <c r="F1079" s="56" t="str">
        <f>INDEX('Infos Clientes'!$I:$I,MATCH('Detalhe Por UC'!C1079,'Infos Clientes'!B:B,0))</f>
        <v>BT</v>
      </c>
      <c r="G1079" s="56" t="str">
        <f>INDEX('Infos Clientes'!$J:$J,MATCH('Detalhe Por UC'!C1079,'Infos Clientes'!B:B,0))</f>
        <v>trifasico</v>
      </c>
      <c r="H1079" s="156" t="s">
        <v>138</v>
      </c>
      <c r="I1079" s="58">
        <f>IFERROR(VLOOKUP(C1079,'Infos Clientes'!B:E,4,),"")</f>
        <v>319</v>
      </c>
      <c r="J1079" s="157">
        <v>0.21</v>
      </c>
      <c r="K1079" s="79">
        <f>INDEX('Resumo Operacional'!$A$1:$P$151,MATCH("Desconto percentual Ucs",'Resumo Operacional'!$B$1:$B$151,0),MATCH('Detalhe Por UC'!$R1079,'Resumo Operacional'!$A$1:$P$1,0))</f>
        <v>0.21</v>
      </c>
      <c r="M1079" s="56"/>
      <c r="N1079" s="56"/>
      <c r="O1079" s="56"/>
      <c r="P1079" s="56"/>
      <c r="Q1079" s="61"/>
      <c r="R1079" s="111">
        <v>45962</v>
      </c>
      <c r="S1079" s="152">
        <v>1.9599999999999999E-2</v>
      </c>
      <c r="T1079" s="113" t="str">
        <f>IF($H1079="GIROSSOL II",AP1079/INDEX('Resumo Operacional'!$A$1:$P$1103,17,MATCH('Detalhe Por UC'!$R1079,'Resumo Operacional'!$A$1:$P$1,0)),
IF($H1079="GIROSSOL II e III",AP1079/INDEX('Resumo Operacional'!$A$1:$P$1103,17,MATCH('Detalhe Por UC'!$R1079,'Resumo Operacional'!$A$1:$P$1,0)),
""))</f>
        <v/>
      </c>
      <c r="U1079" s="113">
        <f>IF($H1079="GIROSSOL III",AP1079/INDEX('Resumo Operacional'!$A$1:$P$1103,53,MATCH('Detalhe Por UC'!$R1079,'Resumo Operacional'!$A$1:$P$1,0)),
IF($H1079="GIROSSOL II e III",AP1079/INDEX('Resumo Operacional'!$A$1:$P$1103,53,MATCH('Detalhe Por UC'!$R1079,'Resumo Operacional'!$A$1:$P$1,0)),
""))</f>
        <v>1.9596583159859307E-2</v>
      </c>
      <c r="X1079">
        <v>1.2125806451612902</v>
      </c>
      <c r="Z1079">
        <v>1.0557142857142856</v>
      </c>
      <c r="AB1079">
        <v>217</v>
      </c>
      <c r="AD1079">
        <v>140</v>
      </c>
      <c r="AF1079">
        <v>516</v>
      </c>
      <c r="AG1079">
        <v>0</v>
      </c>
      <c r="AH1079">
        <v>52.080000000000005</v>
      </c>
      <c r="AK1079">
        <v>167.41</v>
      </c>
      <c r="AL1079" s="43">
        <v>0</v>
      </c>
      <c r="AN1079" s="71">
        <f t="shared" si="599"/>
        <v>133</v>
      </c>
      <c r="AO1079" s="71">
        <f t="shared" si="600"/>
        <v>0</v>
      </c>
      <c r="AP1079" s="71">
        <f t="shared" si="601"/>
        <v>273</v>
      </c>
      <c r="AQ1079" s="72">
        <f>IF(OR($H1079="GIROSSOL II",$H1079="GIROSSOL II e III"),INDEX('Resumo Operacional'!$A$1:$P$1103,MATCH("Energia Injetada prevista total Fatura da Usina (TUSD)",'Resumo Operacional'!$B$1:$B$1103,0),MATCH('Detalhe Por UC'!$R1079,'Resumo Operacional'!$A$1:$P$1,0))*$S1079,INDEX('Resumo Operacional'!$A$1:$P$1103,53,MATCH('Detalhe Por UC'!$R1079,'Resumo Operacional'!$A$1:$P$1,0))*$S1079)</f>
        <v>273.04759999999999</v>
      </c>
      <c r="AR1079" s="71">
        <f t="shared" si="602"/>
        <v>-4.759999999998854E-2</v>
      </c>
      <c r="AS1079" s="73">
        <f t="shared" si="603"/>
        <v>167.40999999999997</v>
      </c>
      <c r="AT1079" s="74">
        <f t="shared" si="604"/>
        <v>167.40999999999997</v>
      </c>
      <c r="AU1079" s="74">
        <f t="shared" si="605"/>
        <v>0.89884792626728105</v>
      </c>
      <c r="AV1079" s="74">
        <f t="shared" si="606"/>
        <v>116.762</v>
      </c>
      <c r="AW1079" s="74">
        <f t="shared" si="607"/>
        <v>0</v>
      </c>
      <c r="AX1079" s="74">
        <f t="shared" si="608"/>
        <v>147.79999999999998</v>
      </c>
      <c r="AY1079" s="74">
        <f t="shared" si="609"/>
        <v>116.76</v>
      </c>
      <c r="AZ1079" s="129">
        <v>116.76</v>
      </c>
      <c r="BA1079" s="117"/>
      <c r="BC1079" s="73" t="str">
        <f t="shared" si="610"/>
        <v/>
      </c>
      <c r="BD1079" s="73">
        <f t="shared" si="611"/>
        <v>315.20999999999992</v>
      </c>
      <c r="BE1079" s="73">
        <f t="shared" si="612"/>
        <v>284.17199999999997</v>
      </c>
      <c r="BF1079" s="77">
        <f t="shared" si="613"/>
        <v>31.04</v>
      </c>
      <c r="BG1079" s="77">
        <f t="shared" si="614"/>
        <v>9.3119999999999994</v>
      </c>
      <c r="BH1079" s="77">
        <f t="shared" si="615"/>
        <v>147.80000000000001</v>
      </c>
      <c r="BI1079" s="78">
        <f t="shared" si="616"/>
        <v>0.21</v>
      </c>
      <c r="BJ1079" s="79">
        <f t="shared" si="617"/>
        <v>9.8474033184226414E-2</v>
      </c>
      <c r="BK1079" s="80">
        <f t="shared" si="618"/>
        <v>284.16999999999996</v>
      </c>
      <c r="BL1079" s="80">
        <f t="shared" si="619"/>
        <v>31.039999999999964</v>
      </c>
      <c r="BM1079" s="79">
        <f t="shared" si="620"/>
        <v>9.8474033184226303E-2</v>
      </c>
      <c r="BN1079" s="81">
        <f t="shared" si="621"/>
        <v>0.83400000000000007</v>
      </c>
      <c r="BO1079" s="82">
        <f t="shared" si="622"/>
        <v>116.76</v>
      </c>
      <c r="BP1079" s="81">
        <f t="shared" si="623"/>
        <v>0.83400000000000007</v>
      </c>
      <c r="BQ1079" s="81">
        <f t="shared" si="624"/>
        <v>0.99086635944700463</v>
      </c>
      <c r="BR1079" s="81">
        <f t="shared" si="625"/>
        <v>1.2125806451612902</v>
      </c>
      <c r="BS1079" s="82">
        <f t="shared" si="626"/>
        <v>140</v>
      </c>
      <c r="BT1079" s="82">
        <f t="shared" si="627"/>
        <v>169.76129032258063</v>
      </c>
      <c r="BU1079" s="82">
        <f t="shared" si="628"/>
        <v>147.79999999999998</v>
      </c>
      <c r="BW1079" s="82">
        <f>IFERROR(INDEX('Infos Clientes'!$T:$T,MATCH('Detalhe Por UC'!$C1079,'Infos Clientes'!B:B,0)),"")</f>
        <v>264</v>
      </c>
      <c r="BX1079" s="83">
        <f t="shared" si="629"/>
        <v>0</v>
      </c>
      <c r="BY1079" s="84">
        <f t="shared" si="630"/>
        <v>0.18284498156804607</v>
      </c>
      <c r="BZ1079" s="85">
        <f>IF(_xlfn.MINIFS('Detalhe Por UC'!R:R,'Detalhe Por UC'!C:C,C1079,'Detalhe Por UC'!AD:AD,"&gt;"&amp;0)=0,"",_xlfn.MINIFS('Detalhe Por UC'!R:R,'Detalhe Por UC'!C:C,C1079,'Detalhe Por UC'!AD:AD,"&gt;"&amp;0))</f>
        <v>45658</v>
      </c>
      <c r="CA1079" s="114">
        <f ca="1">IF(OR(S1079&gt;0,AD1079&gt;0),IFERROR(
SUMIFS(INDIRECT("'Infos Clientes'!$W"&amp;INDEX('Infos Clientes'!$C:$C,MATCH(C1079,'Infos Clientes'!$H:$H,0))&amp;":$CZ"&amp;INDEX('Infos Clientes'!$C:$C,MATCH(C1079,'Infos Clientes'!$H:$H,0))),'Infos Clientes'!$W$2:$CZ$2,"&gt;"&amp;$R1079-365,'Infos Clientes'!$W$2:$CZ$2,"&lt;="&amp;$R1079)/
COUNTIFS(INDIRECT("'Infos Clientes'!$W"&amp;INDEX('Infos Clientes'!$C:$C,MATCH(C1079,'Infos Clientes'!$H:$H,0))&amp;":$CZ"&amp;INDEX('Infos Clientes'!$C:$C,MATCH(C1079,'Infos Clientes'!$H:$H,0))),"&gt;="&amp;0,'Infos Clientes'!$W$2:$CZ$2,"&gt;"&amp;$R1079-365,'Infos Clientes'!$W$2:$CZ$2,"&lt;="&amp;$R1079),""),"")</f>
        <v>273.75</v>
      </c>
      <c r="CB1079" s="87">
        <f>VLOOKUP(C1079,'Infos Clientes'!B:L,11,0)</f>
        <v>0</v>
      </c>
      <c r="CC1079" s="88" t="str">
        <f t="shared" si="631"/>
        <v>A Unidade Consumidora 10/52987-5 economizou R$31,04 na fatura referente à nov/2025  consumindo 140 kWh em créditos de energia renovável conforme fatura de energia. A economia foi de 21% em relação ao que seria pago para a Energisa considerando os créditos consumidos. Atenção: Mantenha as contas da Energisa em dia para evitar cortes.</v>
      </c>
      <c r="CF1079" s="115">
        <f t="shared" si="632"/>
        <v>-167.40999999999997</v>
      </c>
    </row>
    <row r="1080" spans="3:84" ht="16.2" customHeight="1" x14ac:dyDescent="0.3">
      <c r="C1080" s="31" t="s">
        <v>146</v>
      </c>
      <c r="D1080" s="31" t="s">
        <v>351</v>
      </c>
      <c r="E1080" s="31" t="s">
        <v>352</v>
      </c>
      <c r="F1080" s="56" t="str">
        <f>INDEX('Infos Clientes'!$I:$I,MATCH('Detalhe Por UC'!C1080,'Infos Clientes'!B:B,0))</f>
        <v>BT</v>
      </c>
      <c r="G1080" s="56" t="str">
        <f>INDEX('Infos Clientes'!$J:$J,MATCH('Detalhe Por UC'!C1080,'Infos Clientes'!B:B,0))</f>
        <v>trifasico</v>
      </c>
      <c r="H1080" s="156" t="s">
        <v>138</v>
      </c>
      <c r="I1080" s="58">
        <f>IFERROR(VLOOKUP(C1080,'Infos Clientes'!B:E,4,),"")</f>
        <v>306</v>
      </c>
      <c r="J1080" s="157">
        <v>0.21</v>
      </c>
      <c r="K1080" s="79">
        <f>INDEX('Resumo Operacional'!$A$1:$P$151,MATCH("Desconto percentual Ucs",'Resumo Operacional'!$B$1:$B$151,0),MATCH('Detalhe Por UC'!$R1080,'Resumo Operacional'!$A$1:$P$1,0))</f>
        <v>0.21</v>
      </c>
      <c r="M1080" s="56"/>
      <c r="N1080" s="56"/>
      <c r="O1080" s="56"/>
      <c r="P1080" s="56"/>
      <c r="Q1080" s="61"/>
      <c r="R1080" s="111">
        <v>45962</v>
      </c>
      <c r="S1080" s="152">
        <v>1.7100000000000001E-2</v>
      </c>
      <c r="T1080" s="113" t="str">
        <f>IF($H1080="GIROSSOL II",AP1080/INDEX('Resumo Operacional'!$A$1:$P$1103,17,MATCH('Detalhe Por UC'!$R1080,'Resumo Operacional'!$A$1:$P$1,0)),
IF($H1080="GIROSSOL II e III",AP1080/INDEX('Resumo Operacional'!$A$1:$P$1103,17,MATCH('Detalhe Por UC'!$R1080,'Resumo Operacional'!$A$1:$P$1,0)),
""))</f>
        <v/>
      </c>
      <c r="U1080" s="113">
        <f>IF($H1080="GIROSSOL III",AP1080/INDEX('Resumo Operacional'!$A$1:$P$1103,53,MATCH('Detalhe Por UC'!$R1080,'Resumo Operacional'!$A$1:$P$1,0)),
IF($H1080="GIROSSOL II e III",AP1080/INDEX('Resumo Operacional'!$A$1:$P$1103,53,MATCH('Detalhe Por UC'!$R1080,'Resumo Operacional'!$A$1:$P$1,0)),
""))</f>
        <v>1.7084200703467087E-2</v>
      </c>
      <c r="X1080" s="158">
        <v>1.2128888888888891</v>
      </c>
      <c r="Y1080" s="158"/>
      <c r="Z1080" s="158">
        <v>1.055996581196581</v>
      </c>
      <c r="AA1080" s="158"/>
      <c r="AB1080" s="158">
        <v>370</v>
      </c>
      <c r="AC1080" s="158"/>
      <c r="AD1080" s="158">
        <v>325</v>
      </c>
      <c r="AE1080" s="158"/>
      <c r="AF1080" s="158">
        <v>609</v>
      </c>
      <c r="AG1080" s="158">
        <v>0</v>
      </c>
      <c r="AH1080" s="158">
        <v>0</v>
      </c>
      <c r="AI1080" s="158"/>
      <c r="AJ1080" s="158"/>
      <c r="AK1080" s="158">
        <v>105.57</v>
      </c>
      <c r="AL1080" s="43">
        <f>AK1080-AT1080</f>
        <v>-1.1368683772161603E-13</v>
      </c>
      <c r="AN1080" s="71">
        <f t="shared" si="599"/>
        <v>-87</v>
      </c>
      <c r="AO1080" s="71">
        <f t="shared" si="600"/>
        <v>0</v>
      </c>
      <c r="AP1080" s="71">
        <f t="shared" si="601"/>
        <v>238</v>
      </c>
      <c r="AQ1080" s="72">
        <f>IF(OR($H1080="GIROSSOL II",$H1080="GIROSSOL II e III"),INDEX('Resumo Operacional'!$A$1:$P$1103,MATCH("Energia Injetada prevista total Fatura da Usina (TUSD)",'Resumo Operacional'!$B$1:$B$1103,0),MATCH('Detalhe Por UC'!$R1080,'Resumo Operacional'!$A$1:$P$1,0))*$S1080,INDEX('Resumo Operacional'!$A$1:$P$1103,53,MATCH('Detalhe Por UC'!$R1080,'Resumo Operacional'!$A$1:$P$1,0))*$S1080)</f>
        <v>238.2201</v>
      </c>
      <c r="AR1080" s="71">
        <f t="shared" si="602"/>
        <v>-0.22010000000000218</v>
      </c>
      <c r="AS1080" s="73">
        <f t="shared" si="603"/>
        <v>105.57000000000011</v>
      </c>
      <c r="AT1080" s="74">
        <f t="shared" si="604"/>
        <v>105.57000000000011</v>
      </c>
      <c r="AU1080" s="74">
        <f t="shared" si="605"/>
        <v>0.89910427350427291</v>
      </c>
      <c r="AV1080" s="74">
        <f t="shared" si="606"/>
        <v>271.12712222222223</v>
      </c>
      <c r="AW1080" s="74">
        <f t="shared" si="607"/>
        <v>0</v>
      </c>
      <c r="AX1080" s="74">
        <f t="shared" si="608"/>
        <v>343.19888888888886</v>
      </c>
      <c r="AY1080" s="74">
        <f t="shared" si="609"/>
        <v>271.13</v>
      </c>
      <c r="AZ1080" s="129">
        <v>271.13</v>
      </c>
      <c r="BC1080" s="73" t="str">
        <f t="shared" si="610"/>
        <v/>
      </c>
      <c r="BD1080" s="73">
        <f t="shared" si="611"/>
        <v>448.76888888888897</v>
      </c>
      <c r="BE1080" s="73">
        <f t="shared" si="612"/>
        <v>376.69712222222233</v>
      </c>
      <c r="BF1080" s="77">
        <f t="shared" si="613"/>
        <v>72.069999999999993</v>
      </c>
      <c r="BG1080" s="77">
        <f t="shared" si="614"/>
        <v>21.620999999999999</v>
      </c>
      <c r="BH1080" s="77">
        <f t="shared" si="615"/>
        <v>343.19888888888886</v>
      </c>
      <c r="BI1080" s="78">
        <f t="shared" si="616"/>
        <v>0.21</v>
      </c>
      <c r="BJ1080" s="79">
        <f t="shared" si="617"/>
        <v>0.16059491151099795</v>
      </c>
      <c r="BK1080" s="80">
        <f t="shared" si="618"/>
        <v>376.7000000000001</v>
      </c>
      <c r="BL1080" s="80">
        <f t="shared" si="619"/>
        <v>72.068888888888864</v>
      </c>
      <c r="BM1080" s="79">
        <f t="shared" si="620"/>
        <v>0.16059243560159639</v>
      </c>
      <c r="BN1080" s="81">
        <f t="shared" si="621"/>
        <v>0.83424615384615386</v>
      </c>
      <c r="BO1080" s="82">
        <f t="shared" si="622"/>
        <v>271.13</v>
      </c>
      <c r="BP1080" s="81">
        <f t="shared" si="623"/>
        <v>0.83424615384615386</v>
      </c>
      <c r="BQ1080" s="81">
        <f t="shared" si="624"/>
        <v>0.99113846153846197</v>
      </c>
      <c r="BR1080" s="81">
        <f t="shared" si="625"/>
        <v>1.2128888888888891</v>
      </c>
      <c r="BS1080" s="82">
        <f t="shared" si="626"/>
        <v>325</v>
      </c>
      <c r="BT1080" s="82">
        <f t="shared" si="627"/>
        <v>394.18888888888898</v>
      </c>
      <c r="BU1080" s="82">
        <f t="shared" si="628"/>
        <v>343.19888888888886</v>
      </c>
      <c r="BW1080" s="82">
        <f>IFERROR(INDEX('Infos Clientes'!$T:$T,MATCH('Detalhe Por UC'!$C1080,'Infos Clientes'!B:B,0)),"")</f>
        <v>398.18181818181819</v>
      </c>
      <c r="BX1080" s="83">
        <f t="shared" si="629"/>
        <v>0</v>
      </c>
      <c r="BY1080" s="84">
        <f t="shared" si="630"/>
        <v>0.18282831130027885</v>
      </c>
      <c r="BZ1080" s="85">
        <f>IF(_xlfn.MINIFS('Detalhe Por UC'!R:R,'Detalhe Por UC'!C:C,C1080,'Detalhe Por UC'!AD:AD,"&gt;"&amp;0)=0,"",_xlfn.MINIFS('Detalhe Por UC'!R:R,'Detalhe Por UC'!C:C,C1080,'Detalhe Por UC'!AD:AD,"&gt;"&amp;0))</f>
        <v>45658</v>
      </c>
      <c r="CA1080" s="114">
        <f ca="1">IF(OR(S1080&gt;0,AD1080&gt;0),IFERROR(
SUMIFS(INDIRECT("'Infos Clientes'!$W"&amp;INDEX('Infos Clientes'!$C:$C,MATCH(C1080,'Infos Clientes'!$H:$H,0))&amp;":$CZ"&amp;INDEX('Infos Clientes'!$C:$C,MATCH(C1080,'Infos Clientes'!$H:$H,0))),'Infos Clientes'!$W$2:$CZ$2,"&gt;"&amp;$R1080-365,'Infos Clientes'!$W$2:$CZ$2,"&lt;="&amp;$R1080)/
COUNTIFS(INDIRECT("'Infos Clientes'!$W"&amp;INDEX('Infos Clientes'!$C:$C,MATCH(C1080,'Infos Clientes'!$H:$H,0))&amp;":$CZ"&amp;INDEX('Infos Clientes'!$C:$C,MATCH(C1080,'Infos Clientes'!$H:$H,0))),"&gt;="&amp;0,'Infos Clientes'!$W$2:$CZ$2,"&gt;"&amp;$R1080-365,'Infos Clientes'!$W$2:$CZ$2,"&lt;="&amp;$R1080),""),"")</f>
        <v>368.83333333333331</v>
      </c>
      <c r="CB1080" s="87">
        <f>VLOOKUP(C1080,'Infos Clientes'!B:L,11,0)</f>
        <v>0</v>
      </c>
      <c r="CC1080" s="88" t="str">
        <f t="shared" si="631"/>
        <v>A Unidade Consumidora 10/1266128-6 economizou R$72,07 na fatura referente à nov/2025  consumindo 325 kWh em créditos de energia renovável conforme fatura de energia. A economia foi de 21% em relação ao que seria pago para a Energisa considerando os créditos consumidos. Atenção: Mantenha as contas da Energisa em dia para evitar cortes.</v>
      </c>
      <c r="CF1080" s="115">
        <f t="shared" si="632"/>
        <v>-105.57000000000011</v>
      </c>
    </row>
    <row r="1081" spans="3:84" ht="16.2" customHeight="1" x14ac:dyDescent="0.3">
      <c r="C1081" s="31" t="s">
        <v>205</v>
      </c>
      <c r="D1081" s="31" t="s">
        <v>351</v>
      </c>
      <c r="E1081" s="31" t="s">
        <v>352</v>
      </c>
      <c r="F1081" s="56" t="str">
        <f>INDEX('Infos Clientes'!$I:$I,MATCH('Detalhe Por UC'!C1081,'Infos Clientes'!B:B,0))</f>
        <v>BT</v>
      </c>
      <c r="G1081" s="56" t="str">
        <f>INDEX('Infos Clientes'!$J:$J,MATCH('Detalhe Por UC'!C1081,'Infos Clientes'!B:B,0))</f>
        <v>bifasico</v>
      </c>
      <c r="H1081" s="156" t="s">
        <v>138</v>
      </c>
      <c r="I1081" s="58">
        <f>IFERROR(VLOOKUP(C1081,'Infos Clientes'!B:E,4,),"")</f>
        <v>358</v>
      </c>
      <c r="J1081" s="157">
        <v>0.21</v>
      </c>
      <c r="K1081" s="79">
        <f>INDEX('Resumo Operacional'!$A$1:$P$151,MATCH("Desconto percentual Ucs",'Resumo Operacional'!$B$1:$B$151,0),MATCH('Detalhe Por UC'!$R1081,'Resumo Operacional'!$A$1:$P$1,0))</f>
        <v>0.21</v>
      </c>
      <c r="M1081" s="56"/>
      <c r="N1081" s="56"/>
      <c r="O1081" s="56"/>
      <c r="P1081" s="56"/>
      <c r="Q1081" s="61"/>
      <c r="R1081" s="111">
        <v>45962</v>
      </c>
      <c r="S1081" s="152">
        <v>1.6899999999999998E-2</v>
      </c>
      <c r="T1081" s="113" t="str">
        <f>IF($H1081="GIROSSOL II",AP1081/INDEX('Resumo Operacional'!$A$1:$P$1103,17,MATCH('Detalhe Por UC'!$R1081,'Resumo Operacional'!$A$1:$P$1,0)),
IF($H1081="GIROSSOL II e III",AP1081/INDEX('Resumo Operacional'!$A$1:$P$1103,17,MATCH('Detalhe Por UC'!$R1081,'Resumo Operacional'!$A$1:$P$1,0)),
""))</f>
        <v/>
      </c>
      <c r="U1081" s="113">
        <f>IF($H1081="GIROSSOL III",AP1081/INDEX('Resumo Operacional'!$A$1:$P$1103,53,MATCH('Detalhe Por UC'!$R1081,'Resumo Operacional'!$A$1:$P$1,0)),
IF($H1081="GIROSSOL II e III",AP1081/INDEX('Resumo Operacional'!$A$1:$P$1103,53,MATCH('Detalhe Por UC'!$R1081,'Resumo Operacional'!$A$1:$P$1,0)),
""))</f>
        <v>1.6653506568085563E-2</v>
      </c>
      <c r="X1081">
        <v>1.2119910313901345</v>
      </c>
      <c r="Z1081">
        <v>1.0551153846153847</v>
      </c>
      <c r="AB1081">
        <v>223</v>
      </c>
      <c r="AD1081">
        <v>208</v>
      </c>
      <c r="AF1081">
        <v>24</v>
      </c>
      <c r="AG1081">
        <v>0</v>
      </c>
      <c r="AH1081">
        <v>56.65</v>
      </c>
      <c r="AK1081">
        <v>107.46</v>
      </c>
      <c r="AL1081" s="43">
        <v>0</v>
      </c>
      <c r="AN1081" s="71">
        <f t="shared" si="599"/>
        <v>24</v>
      </c>
      <c r="AO1081" s="71">
        <f t="shared" si="600"/>
        <v>0</v>
      </c>
      <c r="AP1081" s="71">
        <f t="shared" si="601"/>
        <v>232</v>
      </c>
      <c r="AQ1081" s="72">
        <f>IF(OR($H1081="GIROSSOL II",$H1081="GIROSSOL II e III"),INDEX('Resumo Operacional'!$A$1:$P$1103,MATCH("Energia Injetada prevista total Fatura da Usina (TUSD)",'Resumo Operacional'!$B$1:$B$1103,0),MATCH('Detalhe Por UC'!$R1081,'Resumo Operacional'!$A$1:$P$1,0))*$S1081,INDEX('Resumo Operacional'!$A$1:$P$1103,53,MATCH('Detalhe Por UC'!$R1081,'Resumo Operacional'!$A$1:$P$1,0))*$S1081)</f>
        <v>235.43389999999997</v>
      </c>
      <c r="AR1081" s="71">
        <f t="shared" si="602"/>
        <v>-3.4338999999999658</v>
      </c>
      <c r="AS1081" s="73">
        <f t="shared" si="603"/>
        <v>107.46000000000001</v>
      </c>
      <c r="AT1081" s="74">
        <f t="shared" si="604"/>
        <v>107.46000000000001</v>
      </c>
      <c r="AU1081" s="74">
        <f t="shared" si="605"/>
        <v>0.89823973784063482</v>
      </c>
      <c r="AV1081" s="74">
        <f t="shared" si="606"/>
        <v>173.37656000000001</v>
      </c>
      <c r="AW1081" s="74">
        <f t="shared" si="607"/>
        <v>0</v>
      </c>
      <c r="AX1081" s="74">
        <f t="shared" si="608"/>
        <v>219.464</v>
      </c>
      <c r="AY1081" s="74">
        <f t="shared" si="609"/>
        <v>173.38</v>
      </c>
      <c r="AZ1081" s="129">
        <v>173.38</v>
      </c>
      <c r="BA1081" s="117"/>
      <c r="BC1081" s="73" t="str">
        <f t="shared" si="610"/>
        <v/>
      </c>
      <c r="BD1081" s="73">
        <f t="shared" si="611"/>
        <v>326.92399999999998</v>
      </c>
      <c r="BE1081" s="73">
        <f t="shared" si="612"/>
        <v>280.83656000000002</v>
      </c>
      <c r="BF1081" s="77">
        <f t="shared" si="613"/>
        <v>46.09</v>
      </c>
      <c r="BG1081" s="77">
        <f t="shared" si="614"/>
        <v>13.827</v>
      </c>
      <c r="BH1081" s="77">
        <f t="shared" si="615"/>
        <v>219.46400000000003</v>
      </c>
      <c r="BI1081" s="78">
        <f t="shared" si="616"/>
        <v>0.21</v>
      </c>
      <c r="BJ1081" s="79">
        <f t="shared" si="617"/>
        <v>0.14098077840721393</v>
      </c>
      <c r="BK1081" s="80">
        <f t="shared" si="618"/>
        <v>280.84000000000003</v>
      </c>
      <c r="BL1081" s="80">
        <f t="shared" si="619"/>
        <v>46.083999999999946</v>
      </c>
      <c r="BM1081" s="79">
        <f t="shared" si="620"/>
        <v>0.1409624255178572</v>
      </c>
      <c r="BN1081" s="81">
        <f t="shared" si="621"/>
        <v>0.83355769230769228</v>
      </c>
      <c r="BO1081" s="82">
        <f t="shared" si="622"/>
        <v>173.38</v>
      </c>
      <c r="BP1081" s="81">
        <f t="shared" si="623"/>
        <v>0.83355769230769228</v>
      </c>
      <c r="BQ1081" s="81">
        <f t="shared" si="624"/>
        <v>0.99043333908244213</v>
      </c>
      <c r="BR1081" s="81">
        <f t="shared" si="625"/>
        <v>1.2119910313901345</v>
      </c>
      <c r="BS1081" s="82">
        <f t="shared" si="626"/>
        <v>208</v>
      </c>
      <c r="BT1081" s="82">
        <f t="shared" si="627"/>
        <v>252.09413452914799</v>
      </c>
      <c r="BU1081" s="82">
        <f t="shared" si="628"/>
        <v>219.464</v>
      </c>
      <c r="BW1081" s="82">
        <f>IFERROR(INDEX('Infos Clientes'!$T:$T,MATCH('Detalhe Por UC'!$C1081,'Infos Clientes'!B:B,0)),"")</f>
        <v>178</v>
      </c>
      <c r="BX1081" s="83">
        <f t="shared" si="629"/>
        <v>0</v>
      </c>
      <c r="BY1081" s="84">
        <f t="shared" si="630"/>
        <v>0.18280472921781379</v>
      </c>
      <c r="BZ1081" s="85">
        <f>IF(_xlfn.MINIFS('Detalhe Por UC'!R:R,'Detalhe Por UC'!C:C,C1081,'Detalhe Por UC'!AD:AD,"&gt;"&amp;0)=0,"",_xlfn.MINIFS('Detalhe Por UC'!R:R,'Detalhe Por UC'!C:C,C1081,'Detalhe Por UC'!AD:AD,"&gt;"&amp;0))</f>
        <v>45658</v>
      </c>
      <c r="CA1081" s="114">
        <f ca="1">IF(OR(S1081&gt;0,AD1081&gt;0),IFERROR(
SUMIFS(INDIRECT("'Infos Clientes'!$W"&amp;INDEX('Infos Clientes'!$C:$C,MATCH(C1081,'Infos Clientes'!$H:$H,0))&amp;":$CZ"&amp;INDEX('Infos Clientes'!$C:$C,MATCH(C1081,'Infos Clientes'!$H:$H,0))),'Infos Clientes'!$W$2:$CZ$2,"&gt;"&amp;$R1081-365,'Infos Clientes'!$W$2:$CZ$2,"&lt;="&amp;$R1081)/
COUNTIFS(INDIRECT("'Infos Clientes'!$W"&amp;INDEX('Infos Clientes'!$C:$C,MATCH(C1081,'Infos Clientes'!$H:$H,0))&amp;":$CZ"&amp;INDEX('Infos Clientes'!$C:$C,MATCH(C1081,'Infos Clientes'!$H:$H,0))),"&gt;="&amp;0,'Infos Clientes'!$W$2:$CZ$2,"&gt;"&amp;$R1081-365,'Infos Clientes'!$W$2:$CZ$2,"&lt;="&amp;$R1081),""),"")</f>
        <v>184.08333333333334</v>
      </c>
      <c r="CB1081" s="87">
        <f>VLOOKUP(C1081,'Infos Clientes'!B:L,11,0)</f>
        <v>0</v>
      </c>
      <c r="CC1081" s="88" t="str">
        <f t="shared" si="631"/>
        <v>A Unidade Consumidora 10/466560-0 economizou R$46,09 na fatura referente à nov/2025  consumindo 208 kWh em créditos de energia renovável conforme fatura de energia. A economia foi de 21% em relação ao que seria pago para a Energisa considerando os créditos consumidos. Atenção: Mantenha as contas da Energisa em dia para evitar cortes.</v>
      </c>
      <c r="CF1081" s="115">
        <f t="shared" si="632"/>
        <v>-107.46000000000001</v>
      </c>
    </row>
    <row r="1082" spans="3:84" ht="16.2" customHeight="1" x14ac:dyDescent="0.3">
      <c r="C1082" s="31" t="s">
        <v>178</v>
      </c>
      <c r="D1082" s="31" t="s">
        <v>351</v>
      </c>
      <c r="E1082" s="31" t="s">
        <v>352</v>
      </c>
      <c r="F1082" s="56" t="str">
        <f>INDEX('Infos Clientes'!$I:$I,MATCH('Detalhe Por UC'!C1082,'Infos Clientes'!B:B,0))</f>
        <v>BT</v>
      </c>
      <c r="G1082" s="56" t="str">
        <f>INDEX('Infos Clientes'!$J:$J,MATCH('Detalhe Por UC'!C1082,'Infos Clientes'!B:B,0))</f>
        <v>trifasico</v>
      </c>
      <c r="H1082" s="156" t="s">
        <v>138</v>
      </c>
      <c r="I1082" s="58">
        <f>IFERROR(VLOOKUP(C1082,'Infos Clientes'!B:E,4,),"")</f>
        <v>349</v>
      </c>
      <c r="J1082" s="157">
        <v>0.21</v>
      </c>
      <c r="K1082" s="79">
        <f>INDEX('Resumo Operacional'!$A$1:$P$151,MATCH("Desconto percentual Ucs",'Resumo Operacional'!$B$1:$B$151,0),MATCH('Detalhe Por UC'!$R1082,'Resumo Operacional'!$A$1:$P$1,0))</f>
        <v>0.21</v>
      </c>
      <c r="M1082" s="56"/>
      <c r="N1082" s="56"/>
      <c r="O1082" s="56"/>
      <c r="P1082" s="56"/>
      <c r="Q1082" s="61"/>
      <c r="R1082" s="111">
        <v>45962</v>
      </c>
      <c r="S1082" s="152">
        <v>1.6500000000000001E-2</v>
      </c>
      <c r="T1082" s="113" t="str">
        <f>IF($H1082="GIROSSOL II",AP1082/INDEX('Resumo Operacional'!$A$1:$P$1103,17,MATCH('Detalhe Por UC'!$R1082,'Resumo Operacional'!$A$1:$P$1,0)),
IF($H1082="GIROSSOL II e III",AP1082/INDEX('Resumo Operacional'!$A$1:$P$1103,17,MATCH('Detalhe Por UC'!$R1082,'Resumo Operacional'!$A$1:$P$1,0)),
""))</f>
        <v/>
      </c>
      <c r="U1082" s="113">
        <f>IF($H1082="GIROSSOL III",AP1082/INDEX('Resumo Operacional'!$A$1:$P$1103,53,MATCH('Detalhe Por UC'!$R1082,'Resumo Operacional'!$A$1:$P$1,0)),
IF($H1082="GIROSSOL II e III",AP1082/INDEX('Resumo Operacional'!$A$1:$P$1103,53,MATCH('Detalhe Por UC'!$R1082,'Resumo Operacional'!$A$1:$P$1,0)),
""))</f>
        <v>1.6438159500394803E-2</v>
      </c>
      <c r="X1082">
        <v>1.2126360073766713</v>
      </c>
      <c r="Z1082">
        <v>1.0557708744247207</v>
      </c>
      <c r="AB1082">
        <v>241</v>
      </c>
      <c r="AD1082">
        <v>169</v>
      </c>
      <c r="AF1082">
        <v>176</v>
      </c>
      <c r="AG1082">
        <v>0</v>
      </c>
      <c r="AH1082">
        <v>33.11</v>
      </c>
      <c r="AI1082">
        <v>-324.18</v>
      </c>
      <c r="AJ1082">
        <v>177.25</v>
      </c>
      <c r="AK1082">
        <v>0</v>
      </c>
      <c r="AL1082" s="43">
        <v>0</v>
      </c>
      <c r="AN1082" s="71">
        <f t="shared" si="599"/>
        <v>60</v>
      </c>
      <c r="AO1082" s="71">
        <f t="shared" si="600"/>
        <v>0</v>
      </c>
      <c r="AP1082" s="71">
        <f t="shared" si="601"/>
        <v>229</v>
      </c>
      <c r="AQ1082" s="72">
        <f>IF(OR($H1082="GIROSSOL II",$H1082="GIROSSOL II e III"),INDEX('Resumo Operacional'!$A$1:$P$1103,MATCH("Energia Injetada prevista total Fatura da Usina (TUSD)",'Resumo Operacional'!$B$1:$B$1103,0),MATCH('Detalhe Por UC'!$R1082,'Resumo Operacional'!$A$1:$P$1,0))*$S1082,INDEX('Resumo Operacional'!$A$1:$P$1103,53,MATCH('Detalhe Por UC'!$R1082,'Resumo Operacional'!$A$1:$P$1,0))*$S1082)</f>
        <v>229.86150000000001</v>
      </c>
      <c r="AR1082" s="71">
        <f t="shared" si="602"/>
        <v>-0.86150000000000659</v>
      </c>
      <c r="AS1082" s="73">
        <f t="shared" si="603"/>
        <v>146.93</v>
      </c>
      <c r="AT1082" s="74">
        <f t="shared" si="604"/>
        <v>0</v>
      </c>
      <c r="AU1082" s="74">
        <f t="shared" si="605"/>
        <v>0.89890574147277014</v>
      </c>
      <c r="AV1082" s="74">
        <f t="shared" si="606"/>
        <v>140.95596944444446</v>
      </c>
      <c r="AW1082" s="74">
        <f t="shared" si="607"/>
        <v>0</v>
      </c>
      <c r="AX1082" s="74">
        <f t="shared" si="608"/>
        <v>178.42527777777781</v>
      </c>
      <c r="AY1082" s="74">
        <f t="shared" si="609"/>
        <v>140.96</v>
      </c>
      <c r="AZ1082" s="129">
        <v>140.96</v>
      </c>
      <c r="BA1082" s="117"/>
      <c r="BC1082" s="73" t="str">
        <f t="shared" si="610"/>
        <v/>
      </c>
      <c r="BD1082" s="73">
        <f t="shared" si="611"/>
        <v>325.35527777777781</v>
      </c>
      <c r="BE1082" s="73">
        <f t="shared" si="612"/>
        <v>287.88596944444447</v>
      </c>
      <c r="BF1082" s="77">
        <f t="shared" si="613"/>
        <v>37.47</v>
      </c>
      <c r="BG1082" s="77">
        <f t="shared" si="614"/>
        <v>11.241</v>
      </c>
      <c r="BH1082" s="77">
        <f t="shared" si="615"/>
        <v>178.42527777777781</v>
      </c>
      <c r="BI1082" s="78">
        <f t="shared" si="616"/>
        <v>0.21</v>
      </c>
      <c r="BJ1082" s="79">
        <f t="shared" si="617"/>
        <v>0.11516641210164272</v>
      </c>
      <c r="BK1082" s="80">
        <f t="shared" si="618"/>
        <v>287.89</v>
      </c>
      <c r="BL1082" s="80">
        <f t="shared" si="619"/>
        <v>37.465277777777828</v>
      </c>
      <c r="BM1082" s="79">
        <f t="shared" si="620"/>
        <v>0.11515189805332475</v>
      </c>
      <c r="BN1082" s="81">
        <f t="shared" si="621"/>
        <v>0.83408284023668644</v>
      </c>
      <c r="BO1082" s="82">
        <f t="shared" si="622"/>
        <v>140.96</v>
      </c>
      <c r="BP1082" s="81">
        <f t="shared" si="623"/>
        <v>0.83408284023668644</v>
      </c>
      <c r="BQ1082" s="81">
        <f t="shared" si="624"/>
        <v>0.99094797318863703</v>
      </c>
      <c r="BR1082" s="81">
        <f t="shared" si="625"/>
        <v>1.2126360073766713</v>
      </c>
      <c r="BS1082" s="82">
        <f t="shared" si="626"/>
        <v>169</v>
      </c>
      <c r="BT1082" s="82">
        <f t="shared" si="627"/>
        <v>204.93548524665746</v>
      </c>
      <c r="BU1082" s="82">
        <f t="shared" si="628"/>
        <v>178.42527777777781</v>
      </c>
      <c r="BW1082" s="82">
        <f>IFERROR(INDEX('Infos Clientes'!$T:$T,MATCH('Detalhe Por UC'!$C1082,'Infos Clientes'!B:B,0)),"")</f>
        <v>290.18181818181819</v>
      </c>
      <c r="BX1082" s="83">
        <f t="shared" si="629"/>
        <v>0</v>
      </c>
      <c r="BY1082" s="84">
        <f t="shared" si="630"/>
        <v>0.18281498556819048</v>
      </c>
      <c r="BZ1082" s="85">
        <f>IF(_xlfn.MINIFS('Detalhe Por UC'!R:R,'Detalhe Por UC'!C:C,C1082,'Detalhe Por UC'!AD:AD,"&gt;"&amp;0)=0,"",_xlfn.MINIFS('Detalhe Por UC'!R:R,'Detalhe Por UC'!C:C,C1082,'Detalhe Por UC'!AD:AD,"&gt;"&amp;0))</f>
        <v>45658</v>
      </c>
      <c r="CA1082" s="114">
        <f ca="1">IF(OR(S1082&gt;0,AD1082&gt;0),IFERROR(
SUMIFS(INDIRECT("'Infos Clientes'!$W"&amp;INDEX('Infos Clientes'!$C:$C,MATCH(C1082,'Infos Clientes'!$H:$H,0))&amp;":$CZ"&amp;INDEX('Infos Clientes'!$C:$C,MATCH(C1082,'Infos Clientes'!$H:$H,0))),'Infos Clientes'!$W$2:$CZ$2,"&gt;"&amp;$R1082-365,'Infos Clientes'!$W$2:$CZ$2,"&lt;="&amp;$R1082)/
COUNTIFS(INDIRECT("'Infos Clientes'!$W"&amp;INDEX('Infos Clientes'!$C:$C,MATCH(C1082,'Infos Clientes'!$H:$H,0))&amp;":$CZ"&amp;INDEX('Infos Clientes'!$C:$C,MATCH(C1082,'Infos Clientes'!$H:$H,0))),"&gt;="&amp;0,'Infos Clientes'!$W$2:$CZ$2,"&gt;"&amp;$R1082-365,'Infos Clientes'!$W$2:$CZ$2,"&lt;="&amp;$R1082),""),"")</f>
        <v>267.33333333333331</v>
      </c>
      <c r="CB1082" s="87">
        <f>VLOOKUP(C1082,'Infos Clientes'!B:L,11,0)</f>
        <v>0</v>
      </c>
      <c r="CC1082" s="88" t="str">
        <f t="shared" si="631"/>
        <v>A Unidade Consumidora 10/280638-8 economizou R$37,47 na fatura referente à nov/2025  consumindo 169 kWh em créditos de energia renovável conforme fatura de energia. A economia foi de 21% em relação ao que seria pago para a Energisa considerando os créditos consumidos. Atenção: Mantenha as contas da Energisa em dia para evitar cortes.</v>
      </c>
      <c r="CF1082" s="115">
        <f t="shared" si="632"/>
        <v>0</v>
      </c>
    </row>
    <row r="1083" spans="3:84" ht="16.2" customHeight="1" x14ac:dyDescent="0.3">
      <c r="C1083" s="31" t="s">
        <v>242</v>
      </c>
      <c r="D1083" s="31" t="s">
        <v>351</v>
      </c>
      <c r="E1083" s="31" t="s">
        <v>352</v>
      </c>
      <c r="F1083" s="56" t="str">
        <f>INDEX('Infos Clientes'!$I:$I,MATCH('Detalhe Por UC'!C1083,'Infos Clientes'!B:B,0))</f>
        <v>BT</v>
      </c>
      <c r="G1083" s="56" t="str">
        <f>INDEX('Infos Clientes'!$J:$J,MATCH('Detalhe Por UC'!C1083,'Infos Clientes'!B:B,0))</f>
        <v>trifasico</v>
      </c>
      <c r="H1083" s="156" t="s">
        <v>138</v>
      </c>
      <c r="I1083" s="58">
        <f>IFERROR(VLOOKUP(C1083,'Infos Clientes'!B:E,4,),"")</f>
        <v>371</v>
      </c>
      <c r="J1083" s="157">
        <v>0.21</v>
      </c>
      <c r="K1083" s="79">
        <f>INDEX('Resumo Operacional'!$A$1:$P$151,MATCH("Desconto percentual Ucs",'Resumo Operacional'!$B$1:$B$151,0),MATCH('Detalhe Por UC'!$R1083,'Resumo Operacional'!$A$1:$P$1,0))</f>
        <v>0.21</v>
      </c>
      <c r="M1083" s="56"/>
      <c r="N1083" s="56"/>
      <c r="O1083" s="56"/>
      <c r="P1083" s="56"/>
      <c r="Q1083" s="61"/>
      <c r="R1083" s="111">
        <v>45962</v>
      </c>
      <c r="S1083" s="152">
        <v>1.6199999999999999E-2</v>
      </c>
      <c r="T1083" s="113" t="str">
        <f>IF($H1083="GIROSSOL II",AP1083/INDEX('Resumo Operacional'!$A$1:$P$1103,17,MATCH('Detalhe Por UC'!$R1083,'Resumo Operacional'!$A$1:$P$1,0)),
IF($H1083="GIROSSOL II e III",AP1083/INDEX('Resumo Operacional'!$A$1:$P$1103,17,MATCH('Detalhe Por UC'!$R1083,'Resumo Operacional'!$A$1:$P$1,0)),
""))</f>
        <v/>
      </c>
      <c r="U1083" s="113">
        <f>IF($H1083="GIROSSOL III",AP1083/INDEX('Resumo Operacional'!$A$1:$P$1103,53,MATCH('Detalhe Por UC'!$R1083,'Resumo Operacional'!$A$1:$P$1,0)),
IF($H1083="GIROSSOL II e III",AP1083/INDEX('Resumo Operacional'!$A$1:$P$1103,53,MATCH('Detalhe Por UC'!$R1083,'Resumo Operacional'!$A$1:$P$1,0)),
""))</f>
        <v>3.2158495441820402E-2</v>
      </c>
      <c r="X1083">
        <v>1.2125965932696303</v>
      </c>
      <c r="Z1083">
        <v>1.055709297250109</v>
      </c>
      <c r="AB1083">
        <v>166</v>
      </c>
      <c r="AD1083">
        <v>79</v>
      </c>
      <c r="AF1083">
        <v>719</v>
      </c>
      <c r="AG1083">
        <v>0</v>
      </c>
      <c r="AH1083">
        <v>36.69</v>
      </c>
      <c r="AK1083">
        <v>154.58000000000001</v>
      </c>
      <c r="AL1083" s="43">
        <v>0</v>
      </c>
      <c r="AN1083" s="71">
        <f t="shared" si="599"/>
        <v>369</v>
      </c>
      <c r="AO1083" s="71">
        <f t="shared" si="600"/>
        <v>0</v>
      </c>
      <c r="AP1083" s="71">
        <f t="shared" si="601"/>
        <v>448</v>
      </c>
      <c r="AQ1083" s="72">
        <f>IF(OR($H1083="GIROSSOL II",$H1083="GIROSSOL II e III"),INDEX('Resumo Operacional'!$A$1:$P$1103,MATCH("Energia Injetada prevista total Fatura da Usina (TUSD)",'Resumo Operacional'!$B$1:$B$1103,0),MATCH('Detalhe Por UC'!$R1083,'Resumo Operacional'!$A$1:$P$1,0))*$S1083,INDEX('Resumo Operacional'!$A$1:$P$1103,53,MATCH('Detalhe Por UC'!$R1083,'Resumo Operacional'!$A$1:$P$1,0))*$S1083)</f>
        <v>225.68219999999999</v>
      </c>
      <c r="AR1083" s="71">
        <f t="shared" si="602"/>
        <v>222.31780000000001</v>
      </c>
      <c r="AS1083" s="73">
        <f t="shared" si="603"/>
        <v>154.58000000000001</v>
      </c>
      <c r="AT1083" s="74">
        <f t="shared" si="604"/>
        <v>154.58000000000001</v>
      </c>
      <c r="AU1083" s="74">
        <f t="shared" si="605"/>
        <v>0.89882200123058764</v>
      </c>
      <c r="AV1083" s="74">
        <f t="shared" si="606"/>
        <v>65.886817241379305</v>
      </c>
      <c r="AW1083" s="74">
        <f t="shared" si="607"/>
        <v>0</v>
      </c>
      <c r="AX1083" s="74">
        <f t="shared" si="608"/>
        <v>83.401034482758604</v>
      </c>
      <c r="AY1083" s="74">
        <f t="shared" si="609"/>
        <v>65.89</v>
      </c>
      <c r="AZ1083" s="129">
        <v>65.89</v>
      </c>
      <c r="BA1083" s="117"/>
      <c r="BC1083" s="73" t="str">
        <f t="shared" si="610"/>
        <v/>
      </c>
      <c r="BD1083" s="73">
        <f t="shared" si="611"/>
        <v>237.98103448275862</v>
      </c>
      <c r="BE1083" s="73">
        <f t="shared" si="612"/>
        <v>220.46681724137932</v>
      </c>
      <c r="BF1083" s="77">
        <f t="shared" si="613"/>
        <v>17.510000000000002</v>
      </c>
      <c r="BG1083" s="77">
        <f t="shared" si="614"/>
        <v>5.2530000000000001</v>
      </c>
      <c r="BH1083" s="77">
        <f t="shared" si="615"/>
        <v>83.401034482758604</v>
      </c>
      <c r="BI1083" s="78">
        <f t="shared" si="616"/>
        <v>0.21</v>
      </c>
      <c r="BJ1083" s="79">
        <f t="shared" si="617"/>
        <v>7.3577291728549807E-2</v>
      </c>
      <c r="BK1083" s="80">
        <f t="shared" si="618"/>
        <v>220.47000000000003</v>
      </c>
      <c r="BL1083" s="80">
        <f t="shared" si="619"/>
        <v>17.511034482758589</v>
      </c>
      <c r="BM1083" s="79">
        <f t="shared" si="620"/>
        <v>7.3581638641154995E-2</v>
      </c>
      <c r="BN1083" s="81">
        <f t="shared" si="621"/>
        <v>0.83405063291139236</v>
      </c>
      <c r="BO1083" s="82">
        <f t="shared" si="622"/>
        <v>65.89</v>
      </c>
      <c r="BP1083" s="81">
        <f t="shared" si="623"/>
        <v>0.83405063291139236</v>
      </c>
      <c r="BQ1083" s="81">
        <f t="shared" si="624"/>
        <v>0.9909379289309137</v>
      </c>
      <c r="BR1083" s="81">
        <f t="shared" si="625"/>
        <v>1.2125965932696303</v>
      </c>
      <c r="BS1083" s="82">
        <f t="shared" si="626"/>
        <v>79</v>
      </c>
      <c r="BT1083" s="82">
        <f t="shared" si="627"/>
        <v>95.795130868300788</v>
      </c>
      <c r="BU1083" s="82">
        <f t="shared" si="628"/>
        <v>83.401034482758604</v>
      </c>
      <c r="BW1083" s="82">
        <f>IFERROR(INDEX('Infos Clientes'!$T:$T,MATCH('Detalhe Por UC'!$C1083,'Infos Clientes'!B:B,0)),"")</f>
        <v>175.90909090909091</v>
      </c>
      <c r="BX1083" s="83">
        <f t="shared" si="629"/>
        <v>0</v>
      </c>
      <c r="BY1083" s="84">
        <f t="shared" si="630"/>
        <v>0.18279670713987325</v>
      </c>
      <c r="BZ1083" s="85">
        <f>IF(_xlfn.MINIFS('Detalhe Por UC'!R:R,'Detalhe Por UC'!C:C,C1083,'Detalhe Por UC'!AD:AD,"&gt;"&amp;0)=0,"",_xlfn.MINIFS('Detalhe Por UC'!R:R,'Detalhe Por UC'!C:C,C1083,'Detalhe Por UC'!AD:AD,"&gt;"&amp;0))</f>
        <v>45658</v>
      </c>
      <c r="CA1083" s="114">
        <f ca="1">IF(OR(S1083&gt;0,AD1083&gt;0),IFERROR(
SUMIFS(INDIRECT("'Infos Clientes'!$W"&amp;INDEX('Infos Clientes'!$C:$C,MATCH(C1083,'Infos Clientes'!$H:$H,0))&amp;":$CZ"&amp;INDEX('Infos Clientes'!$C:$C,MATCH(C1083,'Infos Clientes'!$H:$H,0))),'Infos Clientes'!$W$2:$CZ$2,"&gt;"&amp;$R1083-365,'Infos Clientes'!$W$2:$CZ$2,"&lt;="&amp;$R1083)/
COUNTIFS(INDIRECT("'Infos Clientes'!$W"&amp;INDEX('Infos Clientes'!$C:$C,MATCH(C1083,'Infos Clientes'!$H:$H,0))&amp;":$CZ"&amp;INDEX('Infos Clientes'!$C:$C,MATCH(C1083,'Infos Clientes'!$H:$H,0))),"&gt;="&amp;0,'Infos Clientes'!$W$2:$CZ$2,"&gt;"&amp;$R1083-365,'Infos Clientes'!$W$2:$CZ$2,"&lt;="&amp;$R1083),""),"")</f>
        <v>149.30000000000001</v>
      </c>
      <c r="CB1083" s="87">
        <f>VLOOKUP(C1083,'Infos Clientes'!B:L,11,0)</f>
        <v>0</v>
      </c>
      <c r="CC1083" s="88" t="str">
        <f t="shared" si="631"/>
        <v>A Unidade Consumidora 10/908866-7 economizou R$17,51 na fatura referente à nov/2025  consumindo 79 kWh em créditos de energia renovável conforme fatura de energia. A economia foi de 21% em relação ao que seria pago para a Energisa considerando os créditos consumidos. Atenção: Mantenha as contas da Energisa em dia para evitar cortes.</v>
      </c>
      <c r="CF1083" s="115">
        <f t="shared" si="632"/>
        <v>-154.58000000000001</v>
      </c>
    </row>
    <row r="1084" spans="3:84" ht="16.2" customHeight="1" x14ac:dyDescent="0.3">
      <c r="C1084" s="31" t="s">
        <v>185</v>
      </c>
      <c r="D1084" s="31" t="s">
        <v>351</v>
      </c>
      <c r="E1084" s="31" t="s">
        <v>352</v>
      </c>
      <c r="F1084" s="56" t="str">
        <f>INDEX('Infos Clientes'!$I:$I,MATCH('Detalhe Por UC'!C1084,'Infos Clientes'!B:B,0))</f>
        <v>BT</v>
      </c>
      <c r="G1084" s="56" t="str">
        <f>INDEX('Infos Clientes'!$J:$J,MATCH('Detalhe Por UC'!C1084,'Infos Clientes'!B:B,0))</f>
        <v>trifasico</v>
      </c>
      <c r="H1084" s="156" t="s">
        <v>138</v>
      </c>
      <c r="I1084" s="58">
        <f>IFERROR(VLOOKUP(C1084,'Infos Clientes'!B:E,4,),"")</f>
        <v>357</v>
      </c>
      <c r="J1084" s="157">
        <v>0.21</v>
      </c>
      <c r="K1084" s="79">
        <f>INDEX('Resumo Operacional'!$A$1:$P$151,MATCH("Desconto percentual Ucs",'Resumo Operacional'!$B$1:$B$151,0),MATCH('Detalhe Por UC'!$R1084,'Resumo Operacional'!$A$1:$P$1,0))</f>
        <v>0.21</v>
      </c>
      <c r="M1084" s="56"/>
      <c r="N1084" s="56"/>
      <c r="O1084" s="56"/>
      <c r="P1084" s="56"/>
      <c r="Q1084" s="61"/>
      <c r="R1084" s="111">
        <v>45962</v>
      </c>
      <c r="S1084" s="152">
        <v>1.4800000000000001E-2</v>
      </c>
      <c r="T1084" s="113" t="str">
        <f>IF($H1084="GIROSSOL II",AP1084/INDEX('Resumo Operacional'!$A$1:$P$1103,17,MATCH('Detalhe Por UC'!$R1084,'Resumo Operacional'!$A$1:$P$1,0)),
IF($H1084="GIROSSOL II e III",AP1084/INDEX('Resumo Operacional'!$A$1:$P$1103,17,MATCH('Detalhe Por UC'!$R1084,'Resumo Operacional'!$A$1:$P$1,0)),
""))</f>
        <v/>
      </c>
      <c r="U1084" s="113">
        <f>IF($H1084="GIROSSOL III",AP1084/INDEX('Resumo Operacional'!$A$1:$P$1103,53,MATCH('Detalhe Por UC'!$R1084,'Resumo Operacional'!$A$1:$P$1,0)),
IF($H1084="GIROSSOL II e III",AP1084/INDEX('Resumo Operacional'!$A$1:$P$1103,53,MATCH('Detalhe Por UC'!$R1084,'Resumo Operacional'!$A$1:$P$1,0)),
""))</f>
        <v>1.457181824707487E-2</v>
      </c>
      <c r="X1084">
        <v>1.2126000000000001</v>
      </c>
      <c r="Z1084">
        <v>0</v>
      </c>
      <c r="AB1084">
        <v>100</v>
      </c>
      <c r="AD1084">
        <v>0</v>
      </c>
      <c r="AF1084">
        <v>781</v>
      </c>
      <c r="AG1084">
        <v>0</v>
      </c>
      <c r="AH1084">
        <v>24.67</v>
      </c>
      <c r="AK1084">
        <v>145.93</v>
      </c>
      <c r="AL1084" s="43">
        <v>0</v>
      </c>
      <c r="AN1084" s="71">
        <f t="shared" si="599"/>
        <v>203</v>
      </c>
      <c r="AO1084" s="71">
        <f t="shared" si="600"/>
        <v>0</v>
      </c>
      <c r="AP1084" s="71">
        <f t="shared" si="601"/>
        <v>203</v>
      </c>
      <c r="AQ1084" s="72">
        <f>IF(OR($H1084="GIROSSOL II",$H1084="GIROSSOL II e III"),INDEX('Resumo Operacional'!$A$1:$P$1103,MATCH("Energia Injetada prevista total Fatura da Usina (TUSD)",'Resumo Operacional'!$B$1:$B$1103,0),MATCH('Detalhe Por UC'!$R1084,'Resumo Operacional'!$A$1:$P$1,0))*$S1084,INDEX('Resumo Operacional'!$A$1:$P$1103,53,MATCH('Detalhe Por UC'!$R1084,'Resumo Operacional'!$A$1:$P$1,0))*$S1084)</f>
        <v>206.1788</v>
      </c>
      <c r="AR1084" s="71">
        <f t="shared" si="602"/>
        <v>-3.1787999999999954</v>
      </c>
      <c r="AS1084" s="73">
        <f t="shared" si="603"/>
        <v>145.93</v>
      </c>
      <c r="AT1084" s="74">
        <f t="shared" si="604"/>
        <v>145.93</v>
      </c>
      <c r="AU1084" s="74" t="str">
        <f t="shared" si="605"/>
        <v/>
      </c>
      <c r="AV1084" s="74">
        <f t="shared" si="606"/>
        <v>0</v>
      </c>
      <c r="AW1084" s="74">
        <f t="shared" si="607"/>
        <v>-1.0009999999999999E-7</v>
      </c>
      <c r="AX1084" s="74">
        <f t="shared" si="608"/>
        <v>-1.0009999999999999E-7</v>
      </c>
      <c r="AY1084" s="74">
        <f t="shared" si="609"/>
        <v>-1.0009999999999999E-7</v>
      </c>
      <c r="AZ1084" s="129">
        <v>0</v>
      </c>
      <c r="BA1084" s="117"/>
      <c r="BC1084" s="73" t="str">
        <f t="shared" si="610"/>
        <v/>
      </c>
      <c r="BD1084" s="73">
        <f t="shared" si="611"/>
        <v>145.93</v>
      </c>
      <c r="BE1084" s="73">
        <f t="shared" si="612"/>
        <v>145.93</v>
      </c>
      <c r="BF1084" s="77">
        <f t="shared" si="613"/>
        <v>0</v>
      </c>
      <c r="BG1084" s="77">
        <f t="shared" si="614"/>
        <v>0</v>
      </c>
      <c r="BH1084" s="77">
        <f t="shared" si="615"/>
        <v>0</v>
      </c>
      <c r="BI1084" s="78" t="str">
        <f t="shared" si="616"/>
        <v/>
      </c>
      <c r="BJ1084" s="79">
        <f t="shared" si="617"/>
        <v>0</v>
      </c>
      <c r="BK1084" s="80">
        <f t="shared" si="618"/>
        <v>145.9299998999</v>
      </c>
      <c r="BL1084" s="80">
        <f t="shared" si="619"/>
        <v>1.0010001005866798E-7</v>
      </c>
      <c r="BM1084" s="79">
        <f t="shared" si="620"/>
        <v>6.8594538517554976E-10</v>
      </c>
      <c r="BN1084" s="81" t="str">
        <f t="shared" si="621"/>
        <v/>
      </c>
      <c r="BO1084" s="82" t="str">
        <f t="shared" si="622"/>
        <v/>
      </c>
      <c r="BP1084" s="81" t="str">
        <f t="shared" si="623"/>
        <v/>
      </c>
      <c r="BQ1084" s="81" t="str">
        <f t="shared" si="624"/>
        <v/>
      </c>
      <c r="BR1084" s="81" t="str">
        <f t="shared" si="625"/>
        <v/>
      </c>
      <c r="BS1084" s="82">
        <f t="shared" si="626"/>
        <v>0</v>
      </c>
      <c r="BT1084" s="82" t="str">
        <f t="shared" si="627"/>
        <v/>
      </c>
      <c r="BU1084" s="82">
        <f t="shared" si="628"/>
        <v>0</v>
      </c>
      <c r="BW1084" s="82">
        <f>IFERROR(INDEX('Infos Clientes'!$T:$T,MATCH('Detalhe Por UC'!$C1084,'Infos Clientes'!B:B,0)),"")</f>
        <v>178.4</v>
      </c>
      <c r="BX1084" s="83">
        <f t="shared" si="629"/>
        <v>0</v>
      </c>
      <c r="BY1084" s="84" t="str">
        <f t="shared" si="630"/>
        <v/>
      </c>
      <c r="BZ1084" s="85">
        <f>IF(_xlfn.MINIFS('Detalhe Por UC'!R:R,'Detalhe Por UC'!C:C,C1084,'Detalhe Por UC'!AD:AD,"&gt;"&amp;0)=0,"",_xlfn.MINIFS('Detalhe Por UC'!R:R,'Detalhe Por UC'!C:C,C1084,'Detalhe Por UC'!AD:AD,"&gt;"&amp;0))</f>
        <v>45689</v>
      </c>
      <c r="CA1084" s="114">
        <f ca="1">IF(OR(S1084&gt;0,AD1084&gt;0),IFERROR(
SUMIFS(INDIRECT("'Infos Clientes'!$W"&amp;INDEX('Infos Clientes'!$C:$C,MATCH(C1084,'Infos Clientes'!$H:$H,0))&amp;":$CZ"&amp;INDEX('Infos Clientes'!$C:$C,MATCH(C1084,'Infos Clientes'!$H:$H,0))),'Infos Clientes'!$W$2:$CZ$2,"&gt;"&amp;$R1084-365,'Infos Clientes'!$W$2:$CZ$2,"&lt;="&amp;$R1084)/
COUNTIFS(INDIRECT("'Infos Clientes'!$W"&amp;INDEX('Infos Clientes'!$C:$C,MATCH(C1084,'Infos Clientes'!$H:$H,0))&amp;":$CZ"&amp;INDEX('Infos Clientes'!$C:$C,MATCH(C1084,'Infos Clientes'!$H:$H,0))),"&gt;="&amp;0,'Infos Clientes'!$W$2:$CZ$2,"&gt;"&amp;$R1084-365,'Infos Clientes'!$W$2:$CZ$2,"&lt;="&amp;$R1084),""),"")</f>
        <v>122.71428571428571</v>
      </c>
      <c r="CB1084" s="87">
        <f>VLOOKUP(C1084,'Infos Clientes'!B:L,11,0)</f>
        <v>0</v>
      </c>
      <c r="CC1084" s="88" t="str">
        <f t="shared" si="631"/>
        <v>A Unidade Consumidora 10/3054052-0 economizou R$0 na fatura referente à nov/2025  consumindo 0 kWh em créditos de energia renovável conforme fatura de energia. A economia foi de 21% em relação ao que seria pago para a Energisa considerando os créditos consumidos. Atenção: Mantenha as contas da Energisa em dia para evitar cortes.</v>
      </c>
      <c r="CF1084" s="115">
        <f t="shared" si="632"/>
        <v>-145.93</v>
      </c>
    </row>
    <row r="1085" spans="3:84" ht="16.2" customHeight="1" x14ac:dyDescent="0.3">
      <c r="C1085" s="31" t="s">
        <v>180</v>
      </c>
      <c r="D1085" s="31" t="s">
        <v>351</v>
      </c>
      <c r="E1085" s="31" t="s">
        <v>352</v>
      </c>
      <c r="F1085" s="56" t="str">
        <f>INDEX('Infos Clientes'!$I:$I,MATCH('Detalhe Por UC'!C1085,'Infos Clientes'!B:B,0))</f>
        <v>BT</v>
      </c>
      <c r="G1085" s="56" t="str">
        <f>INDEX('Infos Clientes'!$J:$J,MATCH('Detalhe Por UC'!C1085,'Infos Clientes'!B:B,0))</f>
        <v>trifasico</v>
      </c>
      <c r="H1085" s="156" t="s">
        <v>138</v>
      </c>
      <c r="I1085" s="58">
        <f>IFERROR(VLOOKUP(C1085,'Infos Clientes'!B:E,4,),"")</f>
        <v>994</v>
      </c>
      <c r="J1085" s="157">
        <v>0.21</v>
      </c>
      <c r="K1085" s="79">
        <f>INDEX('Resumo Operacional'!$A$1:$P$151,MATCH("Desconto percentual Ucs",'Resumo Operacional'!$B$1:$B$151,0),MATCH('Detalhe Por UC'!$R1085,'Resumo Operacional'!$A$1:$P$1,0))</f>
        <v>0.21</v>
      </c>
      <c r="M1085" s="56"/>
      <c r="N1085" s="56"/>
      <c r="O1085" s="56"/>
      <c r="P1085" s="56"/>
      <c r="Q1085" s="61"/>
      <c r="R1085" s="111">
        <v>45962</v>
      </c>
      <c r="S1085" s="152">
        <v>1.4E-2</v>
      </c>
      <c r="T1085" s="113" t="str">
        <f>IF($H1085="GIROSSOL II",AP1085/INDEX('Resumo Operacional'!$A$1:$P$1103,17,MATCH('Detalhe Por UC'!$R1085,'Resumo Operacional'!$A$1:$P$1,0)),
IF($H1085="GIROSSOL II e III",AP1085/INDEX('Resumo Operacional'!$A$1:$P$1103,17,MATCH('Detalhe Por UC'!$R1085,'Resumo Operacional'!$A$1:$P$1,0)),
""))</f>
        <v/>
      </c>
      <c r="U1085" s="113">
        <f>IF($H1085="GIROSSOL III",AP1085/INDEX('Resumo Operacional'!$A$1:$P$1103,53,MATCH('Detalhe Por UC'!$R1085,'Resumo Operacional'!$A$1:$P$1,0)),
IF($H1085="GIROSSOL II e III",AP1085/INDEX('Resumo Operacional'!$A$1:$P$1103,53,MATCH('Detalhe Por UC'!$R1085,'Resumo Operacional'!$A$1:$P$1,0)),
""))</f>
        <v>2.7779771732108247E-2</v>
      </c>
      <c r="X1085">
        <v>1.2126746987951809</v>
      </c>
      <c r="Z1085">
        <v>1.0558315615402787</v>
      </c>
      <c r="AB1085">
        <v>185</v>
      </c>
      <c r="AD1085">
        <v>102</v>
      </c>
      <c r="AF1085">
        <v>437</v>
      </c>
      <c r="AG1085">
        <v>0</v>
      </c>
      <c r="AH1085">
        <v>33.86</v>
      </c>
      <c r="AK1085">
        <v>150.51</v>
      </c>
      <c r="AL1085" s="43">
        <v>0</v>
      </c>
      <c r="AN1085" s="71">
        <f t="shared" si="599"/>
        <v>285</v>
      </c>
      <c r="AO1085" s="71">
        <f t="shared" si="600"/>
        <v>0</v>
      </c>
      <c r="AP1085" s="71">
        <f t="shared" si="601"/>
        <v>387</v>
      </c>
      <c r="AQ1085" s="72">
        <f>IF(OR($H1085="GIROSSOL II",$H1085="GIROSSOL II e III"),INDEX('Resumo Operacional'!$A$1:$P$1103,MATCH("Energia Injetada prevista total Fatura da Usina (TUSD)",'Resumo Operacional'!$B$1:$B$1103,0),MATCH('Detalhe Por UC'!$R1085,'Resumo Operacional'!$A$1:$P$1,0))*$S1085,INDEX('Resumo Operacional'!$A$1:$P$1103,53,MATCH('Detalhe Por UC'!$R1085,'Resumo Operacional'!$A$1:$P$1,0))*$S1085)</f>
        <v>195.03399999999999</v>
      </c>
      <c r="AR1085" s="71">
        <f t="shared" si="602"/>
        <v>191.96600000000001</v>
      </c>
      <c r="AS1085" s="73">
        <f t="shared" si="603"/>
        <v>150.51000000000005</v>
      </c>
      <c r="AT1085" s="74">
        <f t="shared" si="604"/>
        <v>150.51000000000005</v>
      </c>
      <c r="AU1085" s="74">
        <f t="shared" si="605"/>
        <v>0.89898842428537651</v>
      </c>
      <c r="AV1085" s="74">
        <f t="shared" si="606"/>
        <v>85.078907228915654</v>
      </c>
      <c r="AW1085" s="74">
        <f t="shared" si="607"/>
        <v>0</v>
      </c>
      <c r="AX1085" s="74">
        <f t="shared" si="608"/>
        <v>107.69481927710842</v>
      </c>
      <c r="AY1085" s="74">
        <f t="shared" si="609"/>
        <v>85.08</v>
      </c>
      <c r="AZ1085" s="129">
        <v>85.08</v>
      </c>
      <c r="BA1085" s="117"/>
      <c r="BC1085" s="73" t="str">
        <f t="shared" si="610"/>
        <v/>
      </c>
      <c r="BD1085" s="73">
        <f t="shared" si="611"/>
        <v>258.20481927710847</v>
      </c>
      <c r="BE1085" s="73">
        <f t="shared" si="612"/>
        <v>235.5889072289157</v>
      </c>
      <c r="BF1085" s="77">
        <f t="shared" si="613"/>
        <v>22.62</v>
      </c>
      <c r="BG1085" s="77">
        <f t="shared" si="614"/>
        <v>6.7860000000000005</v>
      </c>
      <c r="BH1085" s="77">
        <f t="shared" si="615"/>
        <v>107.69481927710842</v>
      </c>
      <c r="BI1085" s="78">
        <f t="shared" si="616"/>
        <v>0.21</v>
      </c>
      <c r="BJ1085" s="79">
        <f t="shared" si="617"/>
        <v>8.7604871447902563E-2</v>
      </c>
      <c r="BK1085" s="80">
        <f t="shared" si="618"/>
        <v>235.59000000000003</v>
      </c>
      <c r="BL1085" s="80">
        <f t="shared" si="619"/>
        <v>22.614819277108438</v>
      </c>
      <c r="BM1085" s="79">
        <f t="shared" si="620"/>
        <v>8.7584807055200414E-2</v>
      </c>
      <c r="BN1085" s="81">
        <f t="shared" si="621"/>
        <v>0.83411764705882352</v>
      </c>
      <c r="BO1085" s="82">
        <f t="shared" si="622"/>
        <v>85.08</v>
      </c>
      <c r="BP1085" s="81">
        <f t="shared" si="623"/>
        <v>0.83411764705882352</v>
      </c>
      <c r="BQ1085" s="81">
        <f t="shared" si="624"/>
        <v>0.9909607843137257</v>
      </c>
      <c r="BR1085" s="81">
        <f t="shared" si="625"/>
        <v>1.2126746987951809</v>
      </c>
      <c r="BS1085" s="82">
        <f t="shared" si="626"/>
        <v>102</v>
      </c>
      <c r="BT1085" s="82">
        <f t="shared" si="627"/>
        <v>123.69281927710844</v>
      </c>
      <c r="BU1085" s="82">
        <f t="shared" si="628"/>
        <v>107.69481927710842</v>
      </c>
      <c r="BW1085" s="82">
        <f>IFERROR(INDEX('Infos Clientes'!$T:$T,MATCH('Detalhe Por UC'!$C1085,'Infos Clientes'!B:B,0)),"")</f>
        <v>143.63636363636363</v>
      </c>
      <c r="BX1085" s="83">
        <f t="shared" si="629"/>
        <v>0</v>
      </c>
      <c r="BY1085" s="84">
        <f t="shared" si="630"/>
        <v>0.18283049419744046</v>
      </c>
      <c r="BZ1085" s="85">
        <f>IF(_xlfn.MINIFS('Detalhe Por UC'!R:R,'Detalhe Por UC'!C:C,C1085,'Detalhe Por UC'!AD:AD,"&gt;"&amp;0)=0,"",_xlfn.MINIFS('Detalhe Por UC'!R:R,'Detalhe Por UC'!C:C,C1085,'Detalhe Por UC'!AD:AD,"&gt;"&amp;0))</f>
        <v>45658</v>
      </c>
      <c r="CA1085" s="114">
        <f ca="1">IF(OR(S1085&gt;0,AD1085&gt;0),IFERROR(
SUMIFS(INDIRECT("'Infos Clientes'!$W"&amp;INDEX('Infos Clientes'!$C:$C,MATCH(C1085,'Infos Clientes'!$H:$H,0))&amp;":$CZ"&amp;INDEX('Infos Clientes'!$C:$C,MATCH(C1085,'Infos Clientes'!$H:$H,0))),'Infos Clientes'!$W$2:$CZ$2,"&gt;"&amp;$R1085-365,'Infos Clientes'!$W$2:$CZ$2,"&lt;="&amp;$R1085)/
COUNTIFS(INDIRECT("'Infos Clientes'!$W"&amp;INDEX('Infos Clientes'!$C:$C,MATCH(C1085,'Infos Clientes'!$H:$H,0))&amp;":$CZ"&amp;INDEX('Infos Clientes'!$C:$C,MATCH(C1085,'Infos Clientes'!$H:$H,0))),"&gt;="&amp;0,'Infos Clientes'!$W$2:$CZ$2,"&gt;"&amp;$R1085-365,'Infos Clientes'!$W$2:$CZ$2,"&lt;="&amp;$R1085),""),"")</f>
        <v>152.41666666666666</v>
      </c>
      <c r="CB1085" s="87">
        <f>VLOOKUP(C1085,'Infos Clientes'!B:L,11,0)</f>
        <v>0</v>
      </c>
      <c r="CC1085" s="88" t="str">
        <f t="shared" si="631"/>
        <v>A Unidade Consumidora 10/283183-2 economizou R$22,62 na fatura referente à nov/2025  consumindo 102 kWh em créditos de energia renovável conforme fatura de energia. A economia foi de 21% em relação ao que seria pago para a Energisa considerando os créditos consumidos. Atenção: Mantenha as contas da Energisa em dia para evitar cortes.</v>
      </c>
      <c r="CF1085" s="115">
        <f t="shared" si="632"/>
        <v>-150.51000000000005</v>
      </c>
    </row>
    <row r="1086" spans="3:84" ht="16.2" customHeight="1" x14ac:dyDescent="0.3">
      <c r="C1086" s="31" t="s">
        <v>172</v>
      </c>
      <c r="D1086" s="31" t="s">
        <v>351</v>
      </c>
      <c r="E1086" s="31" t="s">
        <v>352</v>
      </c>
      <c r="F1086" s="56" t="str">
        <f>INDEX('Infos Clientes'!$I:$I,MATCH('Detalhe Por UC'!C1086,'Infos Clientes'!B:B,0))</f>
        <v>BT</v>
      </c>
      <c r="G1086" s="56" t="str">
        <f>INDEX('Infos Clientes'!$J:$J,MATCH('Detalhe Por UC'!C1086,'Infos Clientes'!B:B,0))</f>
        <v>trifasico</v>
      </c>
      <c r="H1086" s="156" t="s">
        <v>138</v>
      </c>
      <c r="I1086" s="58">
        <f>IFERROR(VLOOKUP(C1086,'Infos Clientes'!B:E,4,),"")</f>
        <v>357</v>
      </c>
      <c r="J1086" s="157">
        <v>0.21</v>
      </c>
      <c r="K1086" s="79">
        <f>INDEX('Resumo Operacional'!$A$1:$P$151,MATCH("Desconto percentual Ucs",'Resumo Operacional'!$B$1:$B$151,0),MATCH('Detalhe Por UC'!$R1086,'Resumo Operacional'!$A$1:$P$1,0))</f>
        <v>0.21</v>
      </c>
      <c r="M1086" s="56"/>
      <c r="N1086" s="56"/>
      <c r="O1086" s="56"/>
      <c r="P1086" s="56"/>
      <c r="Q1086" s="61"/>
      <c r="R1086" s="111">
        <v>45962</v>
      </c>
      <c r="S1086" s="152">
        <v>1.3100000000000001E-2</v>
      </c>
      <c r="T1086" s="113" t="str">
        <f>IF($H1086="GIROSSOL II",AP1086/INDEX('Resumo Operacional'!$A$1:$P$1103,17,MATCH('Detalhe Por UC'!$R1086,'Resumo Operacional'!$A$1:$P$1,0)),
IF($H1086="GIROSSOL II e III",AP1086/INDEX('Resumo Operacional'!$A$1:$P$1103,17,MATCH('Detalhe Por UC'!$R1086,'Resumo Operacional'!$A$1:$P$1,0)),
""))</f>
        <v/>
      </c>
      <c r="U1086" s="113">
        <f>IF($H1086="GIROSSOL III",AP1086/INDEX('Resumo Operacional'!$A$1:$P$1103,53,MATCH('Detalhe Por UC'!$R1086,'Resumo Operacional'!$A$1:$P$1,0)),
IF($H1086="GIROSSOL II e III",AP1086/INDEX('Resumo Operacional'!$A$1:$P$1103,53,MATCH('Detalhe Por UC'!$R1086,'Resumo Operacional'!$A$1:$P$1,0)),
""))</f>
        <v>0</v>
      </c>
      <c r="X1086">
        <v>1.2126845238095239</v>
      </c>
      <c r="Z1086">
        <v>1.0557807606263983</v>
      </c>
      <c r="AB1086">
        <v>224</v>
      </c>
      <c r="AD1086">
        <v>149</v>
      </c>
      <c r="AF1086">
        <v>479</v>
      </c>
      <c r="AG1086">
        <v>0</v>
      </c>
      <c r="AH1086">
        <v>2.83</v>
      </c>
      <c r="AK1086">
        <v>117.16</v>
      </c>
      <c r="AL1086" s="43">
        <v>0</v>
      </c>
      <c r="AN1086" s="71">
        <f t="shared" si="599"/>
        <v>-149</v>
      </c>
      <c r="AO1086" s="71">
        <f t="shared" si="600"/>
        <v>0</v>
      </c>
      <c r="AP1086" s="71">
        <f t="shared" si="601"/>
        <v>0</v>
      </c>
      <c r="AQ1086" s="72">
        <f>IF(OR($H1086="GIROSSOL II",$H1086="GIROSSOL II e III"),INDEX('Resumo Operacional'!$A$1:$P$1103,MATCH("Energia Injetada prevista total Fatura da Usina (TUSD)",'Resumo Operacional'!$B$1:$B$1103,0),MATCH('Detalhe Por UC'!$R1086,'Resumo Operacional'!$A$1:$P$1,0))*$S1086,INDEX('Resumo Operacional'!$A$1:$P$1103,53,MATCH('Detalhe Por UC'!$R1086,'Resumo Operacional'!$A$1:$P$1,0))*$S1086)</f>
        <v>182.49610000000001</v>
      </c>
      <c r="AR1086" s="71">
        <f t="shared" si="602"/>
        <v>-182.49610000000001</v>
      </c>
      <c r="AS1086" s="73">
        <f t="shared" si="603"/>
        <v>117.16000000000001</v>
      </c>
      <c r="AT1086" s="74">
        <f t="shared" si="604"/>
        <v>117.16000000000001</v>
      </c>
      <c r="AU1086" s="74">
        <f t="shared" si="605"/>
        <v>0.89887699744327265</v>
      </c>
      <c r="AV1086" s="74">
        <f t="shared" si="606"/>
        <v>124.27595333333333</v>
      </c>
      <c r="AW1086" s="74">
        <f t="shared" si="607"/>
        <v>0</v>
      </c>
      <c r="AX1086" s="74">
        <f t="shared" si="608"/>
        <v>157.31133333333335</v>
      </c>
      <c r="AY1086" s="74">
        <f t="shared" si="609"/>
        <v>124.28</v>
      </c>
      <c r="AZ1086" s="129">
        <v>124.28</v>
      </c>
      <c r="BA1086" s="117"/>
      <c r="BC1086" s="73" t="str">
        <f t="shared" si="610"/>
        <v/>
      </c>
      <c r="BD1086" s="73">
        <f t="shared" si="611"/>
        <v>274.47133333333335</v>
      </c>
      <c r="BE1086" s="73">
        <f t="shared" si="612"/>
        <v>241.43595333333334</v>
      </c>
      <c r="BF1086" s="77">
        <f t="shared" si="613"/>
        <v>33.04</v>
      </c>
      <c r="BG1086" s="77">
        <f t="shared" si="614"/>
        <v>9.911999999999999</v>
      </c>
      <c r="BH1086" s="77">
        <f t="shared" si="615"/>
        <v>157.31133333333332</v>
      </c>
      <c r="BI1086" s="78">
        <f t="shared" si="616"/>
        <v>0.21</v>
      </c>
      <c r="BJ1086" s="79">
        <f t="shared" si="617"/>
        <v>0.12037686995848988</v>
      </c>
      <c r="BK1086" s="80">
        <f t="shared" si="618"/>
        <v>241.44</v>
      </c>
      <c r="BL1086" s="80">
        <f t="shared" si="619"/>
        <v>33.03133333333335</v>
      </c>
      <c r="BM1086" s="79">
        <f t="shared" si="620"/>
        <v>0.12034529410478817</v>
      </c>
      <c r="BN1086" s="81">
        <f t="shared" si="621"/>
        <v>0.83409395973154365</v>
      </c>
      <c r="BO1086" s="82">
        <f t="shared" si="622"/>
        <v>124.28</v>
      </c>
      <c r="BP1086" s="81">
        <f t="shared" si="623"/>
        <v>0.83409395973154365</v>
      </c>
      <c r="BQ1086" s="81">
        <f t="shared" si="624"/>
        <v>0.99099772291466925</v>
      </c>
      <c r="BR1086" s="81">
        <f t="shared" si="625"/>
        <v>1.2126845238095239</v>
      </c>
      <c r="BS1086" s="82">
        <f t="shared" si="626"/>
        <v>149</v>
      </c>
      <c r="BT1086" s="82">
        <f t="shared" si="627"/>
        <v>180.68999404761905</v>
      </c>
      <c r="BU1086" s="82">
        <f t="shared" si="628"/>
        <v>157.31133333333335</v>
      </c>
      <c r="BW1086" s="82">
        <f>IFERROR(INDEX('Infos Clientes'!$T:$T,MATCH('Detalhe Por UC'!$C1086,'Infos Clientes'!B:B,0)),"")</f>
        <v>324.72727272727275</v>
      </c>
      <c r="BX1086" s="83">
        <f t="shared" si="629"/>
        <v>0</v>
      </c>
      <c r="BY1086" s="84">
        <f t="shared" si="630"/>
        <v>0.18280665460992962</v>
      </c>
      <c r="BZ1086" s="85">
        <f>IF(_xlfn.MINIFS('Detalhe Por UC'!R:R,'Detalhe Por UC'!C:C,C1086,'Detalhe Por UC'!AD:AD,"&gt;"&amp;0)=0,"",_xlfn.MINIFS('Detalhe Por UC'!R:R,'Detalhe Por UC'!C:C,C1086,'Detalhe Por UC'!AD:AD,"&gt;"&amp;0))</f>
        <v>45658</v>
      </c>
      <c r="CA1086" s="114">
        <f ca="1">IF(OR(S1086&gt;0,AD1086&gt;0),IFERROR(
SUMIFS(INDIRECT("'Infos Clientes'!$W"&amp;INDEX('Infos Clientes'!$C:$C,MATCH(C1086,'Infos Clientes'!$H:$H,0))&amp;":$CZ"&amp;INDEX('Infos Clientes'!$C:$C,MATCH(C1086,'Infos Clientes'!$H:$H,0))),'Infos Clientes'!$W$2:$CZ$2,"&gt;"&amp;$R1086-365,'Infos Clientes'!$W$2:$CZ$2,"&lt;="&amp;$R1086)/
COUNTIFS(INDIRECT("'Infos Clientes'!$W"&amp;INDEX('Infos Clientes'!$C:$C,MATCH(C1086,'Infos Clientes'!$H:$H,0))&amp;":$CZ"&amp;INDEX('Infos Clientes'!$C:$C,MATCH(C1086,'Infos Clientes'!$H:$H,0))),"&gt;="&amp;0,'Infos Clientes'!$W$2:$CZ$2,"&gt;"&amp;$R1086-365,'Infos Clientes'!$W$2:$CZ$2,"&lt;="&amp;$R1086),""),"")</f>
        <v>233.66666666666666</v>
      </c>
      <c r="CB1086" s="87">
        <f>VLOOKUP(C1086,'Infos Clientes'!B:L,11,0)</f>
        <v>0</v>
      </c>
      <c r="CC1086" s="88" t="str">
        <f t="shared" si="631"/>
        <v>A Unidade Consumidora 10/24514-2 economizou R$33,04 na fatura referente à nov/2025  consumindo 149 kWh em créditos de energia renovável conforme fatura de energia. A economia foi de 21% em relação ao que seria pago para a Energisa considerando os créditos consumidos. Atenção: Mantenha as contas da Energisa em dia para evitar cortes.</v>
      </c>
      <c r="CF1086" s="115">
        <f t="shared" si="632"/>
        <v>-117.16000000000001</v>
      </c>
    </row>
    <row r="1087" spans="3:84" ht="16.2" customHeight="1" x14ac:dyDescent="0.3">
      <c r="C1087" s="31" t="s">
        <v>238</v>
      </c>
      <c r="D1087" s="31" t="s">
        <v>351</v>
      </c>
      <c r="E1087" s="31" t="s">
        <v>352</v>
      </c>
      <c r="F1087" s="56" t="str">
        <f>INDEX('Infos Clientes'!$I:$I,MATCH('Detalhe Por UC'!C1087,'Infos Clientes'!B:B,0))</f>
        <v>BT</v>
      </c>
      <c r="G1087" s="56" t="str">
        <f>INDEX('Infos Clientes'!$J:$J,MATCH('Detalhe Por UC'!C1087,'Infos Clientes'!B:B,0))</f>
        <v>bifasico</v>
      </c>
      <c r="H1087" s="156" t="s">
        <v>138</v>
      </c>
      <c r="I1087" s="58">
        <f>IFERROR(VLOOKUP(C1087,'Infos Clientes'!B:E,4,),"")</f>
        <v>360</v>
      </c>
      <c r="J1087" s="157">
        <v>0.21</v>
      </c>
      <c r="K1087" s="79">
        <f>INDEX('Resumo Operacional'!$A$1:$P$151,MATCH("Desconto percentual Ucs",'Resumo Operacional'!$B$1:$B$151,0),MATCH('Detalhe Por UC'!$R1087,'Resumo Operacional'!$A$1:$P$1,0))</f>
        <v>0.21</v>
      </c>
      <c r="M1087" s="56"/>
      <c r="N1087" s="56"/>
      <c r="O1087" s="56"/>
      <c r="P1087" s="56"/>
      <c r="Q1087" s="61"/>
      <c r="R1087" s="111">
        <v>45962</v>
      </c>
      <c r="S1087" s="152">
        <v>1.24E-2</v>
      </c>
      <c r="T1087" s="113" t="str">
        <f>IF($H1087="GIROSSOL II",AP1087/INDEX('Resumo Operacional'!$A$1:$P$1103,17,MATCH('Detalhe Por UC'!$R1087,'Resumo Operacional'!$A$1:$P$1,0)),
IF($H1087="GIROSSOL II e III",AP1087/INDEX('Resumo Operacional'!$A$1:$P$1103,17,MATCH('Detalhe Por UC'!$R1087,'Resumo Operacional'!$A$1:$P$1,0)),
""))</f>
        <v/>
      </c>
      <c r="U1087" s="113">
        <f>IF($H1087="GIROSSOL III",AP1087/INDEX('Resumo Operacional'!$A$1:$P$1103,53,MATCH('Detalhe Por UC'!$R1087,'Resumo Operacional'!$A$1:$P$1,0)),
IF($H1087="GIROSSOL II e III",AP1087/INDEX('Resumo Operacional'!$A$1:$P$1103,53,MATCH('Detalhe Por UC'!$R1087,'Resumo Operacional'!$A$1:$P$1,0)),
""))</f>
        <v>1.2346565214270333E-2</v>
      </c>
      <c r="X1087">
        <v>1.2127023156203989</v>
      </c>
      <c r="Z1087">
        <v>1.0558285821455364</v>
      </c>
      <c r="AB1087">
        <v>482</v>
      </c>
      <c r="AD1087">
        <v>172</v>
      </c>
      <c r="AF1087">
        <v>0</v>
      </c>
      <c r="AG1087">
        <v>0</v>
      </c>
      <c r="AH1087">
        <v>22.18</v>
      </c>
      <c r="AK1087">
        <v>425.1</v>
      </c>
      <c r="AL1087" s="43">
        <v>0</v>
      </c>
      <c r="AN1087" s="71">
        <f t="shared" si="599"/>
        <v>0</v>
      </c>
      <c r="AO1087" s="71">
        <f t="shared" si="600"/>
        <v>0</v>
      </c>
      <c r="AP1087" s="71">
        <f t="shared" si="601"/>
        <v>172</v>
      </c>
      <c r="AQ1087" s="72">
        <f>IF(OR($H1087="GIROSSOL II",$H1087="GIROSSOL II e III"),INDEX('Resumo Operacional'!$A$1:$P$1103,MATCH("Energia Injetada prevista total Fatura da Usina (TUSD)",'Resumo Operacional'!$B$1:$B$1103,0),MATCH('Detalhe Por UC'!$R1087,'Resumo Operacional'!$A$1:$P$1,0))*$S1087,INDEX('Resumo Operacional'!$A$1:$P$1103,53,MATCH('Detalhe Por UC'!$R1087,'Resumo Operacional'!$A$1:$P$1,0))*$S1087)</f>
        <v>172.74439999999998</v>
      </c>
      <c r="AR1087" s="71">
        <f t="shared" si="602"/>
        <v>-0.74439999999998463</v>
      </c>
      <c r="AS1087" s="73">
        <f t="shared" si="603"/>
        <v>425.1</v>
      </c>
      <c r="AT1087" s="74">
        <f t="shared" si="604"/>
        <v>425.1</v>
      </c>
      <c r="AU1087" s="74">
        <f t="shared" si="605"/>
        <v>0.89895484867067399</v>
      </c>
      <c r="AV1087" s="74">
        <f t="shared" si="606"/>
        <v>143.46598774193549</v>
      </c>
      <c r="AW1087" s="74">
        <f t="shared" si="607"/>
        <v>0</v>
      </c>
      <c r="AX1087" s="74">
        <f t="shared" si="608"/>
        <v>181.60251612903227</v>
      </c>
      <c r="AY1087" s="74">
        <f t="shared" si="609"/>
        <v>143.47</v>
      </c>
      <c r="AZ1087" s="129">
        <v>143.47</v>
      </c>
      <c r="BA1087" s="117"/>
      <c r="BC1087" s="73" t="str">
        <f t="shared" si="610"/>
        <v/>
      </c>
      <c r="BD1087" s="73">
        <f t="shared" si="611"/>
        <v>606.70251612903223</v>
      </c>
      <c r="BE1087" s="73">
        <f t="shared" si="612"/>
        <v>568.56598774193549</v>
      </c>
      <c r="BF1087" s="77">
        <f t="shared" si="613"/>
        <v>38.14</v>
      </c>
      <c r="BG1087" s="77">
        <f t="shared" si="614"/>
        <v>11.442</v>
      </c>
      <c r="BH1087" s="77">
        <f t="shared" si="615"/>
        <v>181.60251612903227</v>
      </c>
      <c r="BI1087" s="78">
        <f t="shared" si="616"/>
        <v>0.21</v>
      </c>
      <c r="BJ1087" s="79">
        <f t="shared" si="617"/>
        <v>6.2864417051285912E-2</v>
      </c>
      <c r="BK1087" s="80">
        <f t="shared" si="618"/>
        <v>568.57000000000005</v>
      </c>
      <c r="BL1087" s="80">
        <f t="shared" si="619"/>
        <v>38.132516129032183</v>
      </c>
      <c r="BM1087" s="79">
        <f t="shared" si="620"/>
        <v>6.2852081729165329E-2</v>
      </c>
      <c r="BN1087" s="81">
        <f t="shared" si="621"/>
        <v>0.83412790697674422</v>
      </c>
      <c r="BO1087" s="82">
        <f t="shared" si="622"/>
        <v>143.47</v>
      </c>
      <c r="BP1087" s="81">
        <f t="shared" si="623"/>
        <v>0.83412790697674422</v>
      </c>
      <c r="BQ1087" s="81">
        <f t="shared" si="624"/>
        <v>0.99100164045160666</v>
      </c>
      <c r="BR1087" s="81">
        <f t="shared" si="625"/>
        <v>1.2127023156203989</v>
      </c>
      <c r="BS1087" s="82">
        <f t="shared" si="626"/>
        <v>172</v>
      </c>
      <c r="BT1087" s="82">
        <f t="shared" si="627"/>
        <v>208.5847982867086</v>
      </c>
      <c r="BU1087" s="82">
        <f t="shared" si="628"/>
        <v>181.60251612903227</v>
      </c>
      <c r="BW1087" s="82">
        <f>IFERROR(INDEX('Infos Clientes'!$T:$T,MATCH('Detalhe Por UC'!$C1087,'Infos Clientes'!B:B,0)),"")</f>
        <v>162.36363636363637</v>
      </c>
      <c r="BX1087" s="83">
        <f t="shared" si="629"/>
        <v>0</v>
      </c>
      <c r="BY1087" s="84">
        <f t="shared" si="630"/>
        <v>0.1828154134061942</v>
      </c>
      <c r="BZ1087" s="85">
        <f>IF(_xlfn.MINIFS('Detalhe Por UC'!R:R,'Detalhe Por UC'!C:C,C1087,'Detalhe Por UC'!AD:AD,"&gt;"&amp;0)=0,"",_xlfn.MINIFS('Detalhe Por UC'!R:R,'Detalhe Por UC'!C:C,C1087,'Detalhe Por UC'!AD:AD,"&gt;"&amp;0))</f>
        <v>45658</v>
      </c>
      <c r="CA1087" s="114">
        <f ca="1">IF(OR(S1087&gt;0,AD1087&gt;0),IFERROR(
SUMIFS(INDIRECT("'Infos Clientes'!$W"&amp;INDEX('Infos Clientes'!$C:$C,MATCH(C1087,'Infos Clientes'!$H:$H,0))&amp;":$CZ"&amp;INDEX('Infos Clientes'!$C:$C,MATCH(C1087,'Infos Clientes'!$H:$H,0))),'Infos Clientes'!$W$2:$CZ$2,"&gt;"&amp;$R1087-365,'Infos Clientes'!$W$2:$CZ$2,"&lt;="&amp;$R1087)/
COUNTIFS(INDIRECT("'Infos Clientes'!$W"&amp;INDEX('Infos Clientes'!$C:$C,MATCH(C1087,'Infos Clientes'!$H:$H,0))&amp;":$CZ"&amp;INDEX('Infos Clientes'!$C:$C,MATCH(C1087,'Infos Clientes'!$H:$H,0))),"&gt;="&amp;0,'Infos Clientes'!$W$2:$CZ$2,"&gt;"&amp;$R1087-365,'Infos Clientes'!$W$2:$CZ$2,"&lt;="&amp;$R1087),""),"")</f>
        <v>231.5</v>
      </c>
      <c r="CB1087" s="87">
        <f>VLOOKUP(C1087,'Infos Clientes'!B:L,11,0)</f>
        <v>0</v>
      </c>
      <c r="CC1087" s="88" t="str">
        <f t="shared" si="631"/>
        <v>A Unidade Consumidora 10/952579-1 economizou R$38,14 na fatura referente à nov/2025  consumindo 172 kWh em créditos de energia renovável conforme fatura de energia. A economia foi de 21% em relação ao que seria pago para a Energisa considerando os créditos consumidos. Atenção: Mantenha as contas da Energisa em dia para evitar cortes.</v>
      </c>
      <c r="CF1087" s="115">
        <f t="shared" si="632"/>
        <v>-425.1</v>
      </c>
    </row>
    <row r="1088" spans="3:84" ht="16.2" customHeight="1" x14ac:dyDescent="0.3">
      <c r="C1088" s="31" t="s">
        <v>175</v>
      </c>
      <c r="D1088" s="31" t="s">
        <v>351</v>
      </c>
      <c r="E1088" s="31" t="s">
        <v>352</v>
      </c>
      <c r="F1088" s="56" t="str">
        <f>INDEX('Infos Clientes'!$I:$I,MATCH('Detalhe Por UC'!C1088,'Infos Clientes'!B:B,0))</f>
        <v>BT</v>
      </c>
      <c r="G1088" s="56" t="str">
        <f>INDEX('Infos Clientes'!$J:$J,MATCH('Detalhe Por UC'!C1088,'Infos Clientes'!B:B,0))</f>
        <v>trifasico</v>
      </c>
      <c r="H1088" s="156" t="s">
        <v>138</v>
      </c>
      <c r="I1088" s="58">
        <f>IFERROR(VLOOKUP(C1088,'Infos Clientes'!B:E,4,),"")</f>
        <v>371</v>
      </c>
      <c r="J1088" s="157">
        <v>0.21</v>
      </c>
      <c r="K1088" s="79">
        <f>INDEX('Resumo Operacional'!$A$1:$P$151,MATCH("Desconto percentual Ucs",'Resumo Operacional'!$B$1:$B$151,0),MATCH('Detalhe Por UC'!$R1088,'Resumo Operacional'!$A$1:$P$1,0))</f>
        <v>0.21</v>
      </c>
      <c r="M1088" s="56"/>
      <c r="N1088" s="56"/>
      <c r="O1088" s="56"/>
      <c r="P1088" s="56"/>
      <c r="Q1088" s="61"/>
      <c r="R1088" s="111">
        <v>45962</v>
      </c>
      <c r="S1088" s="152">
        <v>1.2200000000000001E-2</v>
      </c>
      <c r="T1088" s="113" t="str">
        <f>IF($H1088="GIROSSOL II",AP1088/INDEX('Resumo Operacional'!$A$1:$P$1103,17,MATCH('Detalhe Por UC'!$R1088,'Resumo Operacional'!$A$1:$P$1,0)),
IF($H1088="GIROSSOL II e III",AP1088/INDEX('Resumo Operacional'!$A$1:$P$1103,17,MATCH('Detalhe Por UC'!$R1088,'Resumo Operacional'!$A$1:$P$1,0)),
""))</f>
        <v/>
      </c>
      <c r="U1088" s="113">
        <f>IF($H1088="GIROSSOL III",AP1088/INDEX('Resumo Operacional'!$A$1:$P$1103,53,MATCH('Detalhe Por UC'!$R1088,'Resumo Operacional'!$A$1:$P$1,0)),
IF($H1088="GIROSSOL II e III",AP1088/INDEX('Resumo Operacional'!$A$1:$P$1103,53,MATCH('Detalhe Por UC'!$R1088,'Resumo Operacional'!$A$1:$P$1,0)),
""))</f>
        <v>2.41188715813653E-2</v>
      </c>
      <c r="X1088">
        <v>1.2127380492204614</v>
      </c>
      <c r="Z1088">
        <v>1.0558488679380045</v>
      </c>
      <c r="AB1088">
        <v>398</v>
      </c>
      <c r="AD1088">
        <v>359</v>
      </c>
      <c r="AF1088">
        <v>374</v>
      </c>
      <c r="AG1088">
        <v>0</v>
      </c>
      <c r="AH1088">
        <v>49.34</v>
      </c>
      <c r="AK1088">
        <v>152.96</v>
      </c>
      <c r="AL1088" s="43">
        <v>0</v>
      </c>
      <c r="AN1088" s="71">
        <f t="shared" si="599"/>
        <v>-23</v>
      </c>
      <c r="AO1088" s="71">
        <f t="shared" si="600"/>
        <v>0</v>
      </c>
      <c r="AP1088" s="71">
        <f t="shared" si="601"/>
        <v>336</v>
      </c>
      <c r="AQ1088" s="72">
        <f>IF(OR($H1088="GIROSSOL II",$H1088="GIROSSOL II e III"),INDEX('Resumo Operacional'!$A$1:$P$1103,MATCH("Energia Injetada prevista total Fatura da Usina (TUSD)",'Resumo Operacional'!$B$1:$B$1103,0),MATCH('Detalhe Por UC'!$R1088,'Resumo Operacional'!$A$1:$P$1,0))*$S1088,INDEX('Resumo Operacional'!$A$1:$P$1103,53,MATCH('Detalhe Por UC'!$R1088,'Resumo Operacional'!$A$1:$P$1,0))*$S1088)</f>
        <v>169.95820000000001</v>
      </c>
      <c r="AR1088" s="71">
        <f t="shared" si="602"/>
        <v>166.04179999999999</v>
      </c>
      <c r="AS1088" s="73">
        <f t="shared" si="603"/>
        <v>152.96</v>
      </c>
      <c r="AT1088" s="74">
        <f t="shared" si="604"/>
        <v>152.96</v>
      </c>
      <c r="AU1088" s="74">
        <f t="shared" si="605"/>
        <v>0.8989596866555476</v>
      </c>
      <c r="AV1088" s="74">
        <f t="shared" si="606"/>
        <v>299.44929743589745</v>
      </c>
      <c r="AW1088" s="74">
        <f t="shared" si="607"/>
        <v>0</v>
      </c>
      <c r="AX1088" s="74">
        <f t="shared" si="608"/>
        <v>379.04974358974363</v>
      </c>
      <c r="AY1088" s="74">
        <f t="shared" si="609"/>
        <v>299.45</v>
      </c>
      <c r="AZ1088" s="129">
        <v>299.45</v>
      </c>
      <c r="BA1088" s="117"/>
      <c r="BC1088" s="73" t="str">
        <f t="shared" si="610"/>
        <v/>
      </c>
      <c r="BD1088" s="73">
        <f t="shared" si="611"/>
        <v>532.00974358974361</v>
      </c>
      <c r="BE1088" s="73">
        <f t="shared" si="612"/>
        <v>452.40929743589743</v>
      </c>
      <c r="BF1088" s="77">
        <f t="shared" si="613"/>
        <v>79.599999999999994</v>
      </c>
      <c r="BG1088" s="77">
        <f t="shared" si="614"/>
        <v>23.88</v>
      </c>
      <c r="BH1088" s="77">
        <f t="shared" si="615"/>
        <v>379.04974358974363</v>
      </c>
      <c r="BI1088" s="78">
        <f t="shared" si="616"/>
        <v>0.21</v>
      </c>
      <c r="BJ1088" s="79">
        <f t="shared" si="617"/>
        <v>0.14962131983316287</v>
      </c>
      <c r="BK1088" s="80">
        <f t="shared" si="618"/>
        <v>452.40999999999997</v>
      </c>
      <c r="BL1088" s="80">
        <f t="shared" si="619"/>
        <v>79.599743589743639</v>
      </c>
      <c r="BM1088" s="79">
        <f t="shared" si="620"/>
        <v>0.14962083786782399</v>
      </c>
      <c r="BN1088" s="81">
        <f t="shared" si="621"/>
        <v>0.83412256267409468</v>
      </c>
      <c r="BO1088" s="82">
        <f t="shared" si="622"/>
        <v>299.45</v>
      </c>
      <c r="BP1088" s="81">
        <f t="shared" si="623"/>
        <v>0.83412256267409468</v>
      </c>
      <c r="BQ1088" s="81">
        <f t="shared" si="624"/>
        <v>0.99101174395655156</v>
      </c>
      <c r="BR1088" s="81">
        <f t="shared" si="625"/>
        <v>1.2127380492204614</v>
      </c>
      <c r="BS1088" s="82">
        <f t="shared" si="626"/>
        <v>359</v>
      </c>
      <c r="BT1088" s="82">
        <f t="shared" si="627"/>
        <v>435.37295967014563</v>
      </c>
      <c r="BU1088" s="82">
        <f t="shared" si="628"/>
        <v>379.04974358974363</v>
      </c>
      <c r="BW1088" s="82">
        <f>IFERROR(INDEX('Infos Clientes'!$T:$T,MATCH('Detalhe Por UC'!$C1088,'Infos Clientes'!B:B,0)),"")</f>
        <v>384.90909090909093</v>
      </c>
      <c r="BX1088" s="83">
        <f t="shared" si="629"/>
        <v>0</v>
      </c>
      <c r="BY1088" s="84">
        <f t="shared" si="630"/>
        <v>0.18283116078235837</v>
      </c>
      <c r="BZ1088" s="85">
        <f>IF(_xlfn.MINIFS('Detalhe Por UC'!R:R,'Detalhe Por UC'!C:C,C1088,'Detalhe Por UC'!AD:AD,"&gt;"&amp;0)=0,"",_xlfn.MINIFS('Detalhe Por UC'!R:R,'Detalhe Por UC'!C:C,C1088,'Detalhe Por UC'!AD:AD,"&gt;"&amp;0))</f>
        <v>45658</v>
      </c>
      <c r="CA1088" s="114">
        <f ca="1">IF(OR(S1088&gt;0,AD1088&gt;0),IFERROR(
SUMIFS(INDIRECT("'Infos Clientes'!$W"&amp;INDEX('Infos Clientes'!$C:$C,MATCH(C1088,'Infos Clientes'!$H:$H,0))&amp;":$CZ"&amp;INDEX('Infos Clientes'!$C:$C,MATCH(C1088,'Infos Clientes'!$H:$H,0))),'Infos Clientes'!$W$2:$CZ$2,"&gt;"&amp;$R1088-365,'Infos Clientes'!$W$2:$CZ$2,"&lt;="&amp;$R1088)/
COUNTIFS(INDIRECT("'Infos Clientes'!$W"&amp;INDEX('Infos Clientes'!$C:$C,MATCH(C1088,'Infos Clientes'!$H:$H,0))&amp;":$CZ"&amp;INDEX('Infos Clientes'!$C:$C,MATCH(C1088,'Infos Clientes'!$H:$H,0))),"&gt;="&amp;0,'Infos Clientes'!$W$2:$CZ$2,"&gt;"&amp;$R1088-365,'Infos Clientes'!$W$2:$CZ$2,"&lt;="&amp;$R1088),""),"")</f>
        <v>291.45454545454544</v>
      </c>
      <c r="CB1088" s="87">
        <f>VLOOKUP(C1088,'Infos Clientes'!B:L,11,0)</f>
        <v>0</v>
      </c>
      <c r="CC1088" s="88" t="str">
        <f t="shared" si="631"/>
        <v>A Unidade Consumidora 10/252817-2 economizou R$79,6 na fatura referente à nov/2025  consumindo 359 kWh em créditos de energia renovável conforme fatura de energia. A economia foi de 21% em relação ao que seria pago para a Energisa considerando os créditos consumidos. Atenção: Mantenha as contas da Energisa em dia para evitar cortes.</v>
      </c>
      <c r="CF1088" s="115">
        <f t="shared" si="632"/>
        <v>-152.96</v>
      </c>
    </row>
    <row r="1089" spans="1:84" ht="16.2" customHeight="1" x14ac:dyDescent="0.3">
      <c r="C1089" s="31" t="s">
        <v>223</v>
      </c>
      <c r="D1089" s="31" t="s">
        <v>351</v>
      </c>
      <c r="E1089" s="31" t="s">
        <v>352</v>
      </c>
      <c r="F1089" s="56" t="str">
        <f>INDEX('Infos Clientes'!$I:$I,MATCH('Detalhe Por UC'!C1089,'Infos Clientes'!B:B,0))</f>
        <v>BT</v>
      </c>
      <c r="G1089" s="56" t="str">
        <f>INDEX('Infos Clientes'!$J:$J,MATCH('Detalhe Por UC'!C1089,'Infos Clientes'!B:B,0))</f>
        <v>trifasico</v>
      </c>
      <c r="H1089" s="156" t="s">
        <v>138</v>
      </c>
      <c r="I1089" s="58">
        <f>IFERROR(VLOOKUP(C1089,'Infos Clientes'!B:E,4,),"")</f>
        <v>319</v>
      </c>
      <c r="J1089" s="157">
        <v>0.21</v>
      </c>
      <c r="K1089" s="79">
        <f>INDEX('Resumo Operacional'!$A$1:$P$151,MATCH("Desconto percentual Ucs",'Resumo Operacional'!$B$1:$B$151,0),MATCH('Detalhe Por UC'!$R1089,'Resumo Operacional'!$A$1:$P$1,0))</f>
        <v>0.21</v>
      </c>
      <c r="M1089" s="56"/>
      <c r="N1089" s="56"/>
      <c r="O1089" s="56"/>
      <c r="P1089" s="56"/>
      <c r="Q1089" s="61"/>
      <c r="R1089" s="111">
        <v>45962</v>
      </c>
      <c r="S1089" s="152">
        <v>1.21E-2</v>
      </c>
      <c r="T1089" s="113" t="str">
        <f>IF($H1089="GIROSSOL II",AP1089/INDEX('Resumo Operacional'!$A$1:$P$1103,17,MATCH('Detalhe Por UC'!$R1089,'Resumo Operacional'!$A$1:$P$1,0)),
IF($H1089="GIROSSOL II e III",AP1089/INDEX('Resumo Operacional'!$A$1:$P$1103,17,MATCH('Detalhe Por UC'!$R1089,'Resumo Operacional'!$A$1:$P$1,0)),
""))</f>
        <v/>
      </c>
      <c r="U1089" s="113">
        <f>IF($H1089="GIROSSOL III",AP1089/INDEX('Resumo Operacional'!$A$1:$P$1103,53,MATCH('Detalhe Por UC'!$R1089,'Resumo Operacional'!$A$1:$P$1,0)),
IF($H1089="GIROSSOL II e III",AP1089/INDEX('Resumo Operacional'!$A$1:$P$1103,53,MATCH('Detalhe Por UC'!$R1089,'Resumo Operacional'!$A$1:$P$1,0)),
""))</f>
        <v>2.3975306869571458E-2</v>
      </c>
      <c r="X1089">
        <v>1.2126666666666666</v>
      </c>
      <c r="Z1089">
        <v>1.0557999999999998</v>
      </c>
      <c r="AB1089">
        <v>225</v>
      </c>
      <c r="AD1089">
        <v>150</v>
      </c>
      <c r="AF1089">
        <v>483</v>
      </c>
      <c r="AG1089">
        <v>0</v>
      </c>
      <c r="AH1089">
        <v>49.34</v>
      </c>
      <c r="AK1089">
        <v>163.82</v>
      </c>
      <c r="AL1089" s="43">
        <v>0</v>
      </c>
      <c r="AN1089" s="71">
        <f t="shared" si="599"/>
        <v>184</v>
      </c>
      <c r="AO1089" s="71">
        <f t="shared" si="600"/>
        <v>0</v>
      </c>
      <c r="AP1089" s="71">
        <f t="shared" si="601"/>
        <v>334</v>
      </c>
      <c r="AQ1089" s="72">
        <f>IF(OR($H1089="GIROSSOL II",$H1089="GIROSSOL II e III"),INDEX('Resumo Operacional'!$A$1:$P$1103,MATCH("Energia Injetada prevista total Fatura da Usina (TUSD)",'Resumo Operacional'!$B$1:$B$1103,0),MATCH('Detalhe Por UC'!$R1089,'Resumo Operacional'!$A$1:$P$1,0))*$S1089,INDEX('Resumo Operacional'!$A$1:$P$1103,53,MATCH('Detalhe Por UC'!$R1089,'Resumo Operacional'!$A$1:$P$1,0))*$S1089)</f>
        <v>168.5651</v>
      </c>
      <c r="AR1089" s="71">
        <f t="shared" si="602"/>
        <v>165.4349</v>
      </c>
      <c r="AS1089" s="73">
        <f t="shared" si="603"/>
        <v>163.82</v>
      </c>
      <c r="AT1089" s="74">
        <f t="shared" si="604"/>
        <v>163.82</v>
      </c>
      <c r="AU1089" s="74">
        <f t="shared" si="605"/>
        <v>0.89893333333333314</v>
      </c>
      <c r="AV1089" s="74">
        <f t="shared" si="606"/>
        <v>125.11229999999998</v>
      </c>
      <c r="AW1089" s="74">
        <f t="shared" si="607"/>
        <v>0</v>
      </c>
      <c r="AX1089" s="74">
        <f t="shared" si="608"/>
        <v>158.36999999999998</v>
      </c>
      <c r="AY1089" s="74">
        <f t="shared" si="609"/>
        <v>125.11</v>
      </c>
      <c r="AZ1089" s="129">
        <v>125.11</v>
      </c>
      <c r="BA1089" s="117"/>
      <c r="BC1089" s="73" t="str">
        <f t="shared" si="610"/>
        <v/>
      </c>
      <c r="BD1089" s="73">
        <f t="shared" si="611"/>
        <v>322.18999999999994</v>
      </c>
      <c r="BE1089" s="73">
        <f t="shared" si="612"/>
        <v>288.93229999999994</v>
      </c>
      <c r="BF1089" s="77">
        <f t="shared" si="613"/>
        <v>33.26</v>
      </c>
      <c r="BG1089" s="77">
        <f t="shared" si="614"/>
        <v>9.9779999999999998</v>
      </c>
      <c r="BH1089" s="77">
        <f t="shared" si="615"/>
        <v>158.36999999999998</v>
      </c>
      <c r="BI1089" s="78">
        <f t="shared" si="616"/>
        <v>0.21</v>
      </c>
      <c r="BJ1089" s="79">
        <f t="shared" si="617"/>
        <v>0.10323101275644807</v>
      </c>
      <c r="BK1089" s="80">
        <f t="shared" si="618"/>
        <v>288.93</v>
      </c>
      <c r="BL1089" s="80">
        <f t="shared" si="619"/>
        <v>33.259999999999934</v>
      </c>
      <c r="BM1089" s="79">
        <f t="shared" si="620"/>
        <v>0.10323101275644787</v>
      </c>
      <c r="BN1089" s="81">
        <f t="shared" si="621"/>
        <v>0.83406666666666662</v>
      </c>
      <c r="BO1089" s="82">
        <f t="shared" si="622"/>
        <v>125.11</v>
      </c>
      <c r="BP1089" s="81">
        <f t="shared" si="623"/>
        <v>0.83406666666666662</v>
      </c>
      <c r="BQ1089" s="81">
        <f t="shared" si="624"/>
        <v>0.99093333333333333</v>
      </c>
      <c r="BR1089" s="81">
        <f t="shared" si="625"/>
        <v>1.2126666666666666</v>
      </c>
      <c r="BS1089" s="82">
        <f t="shared" si="626"/>
        <v>150</v>
      </c>
      <c r="BT1089" s="82">
        <f t="shared" si="627"/>
        <v>181.89999999999998</v>
      </c>
      <c r="BU1089" s="82">
        <f t="shared" si="628"/>
        <v>158.36999999999998</v>
      </c>
      <c r="BW1089" s="82">
        <f>IFERROR(INDEX('Infos Clientes'!$T:$T,MATCH('Detalhe Por UC'!$C1089,'Infos Clientes'!B:B,0)),"")</f>
        <v>315</v>
      </c>
      <c r="BX1089" s="83">
        <f t="shared" si="629"/>
        <v>0</v>
      </c>
      <c r="BY1089" s="84">
        <f t="shared" si="630"/>
        <v>0.18284771852666293</v>
      </c>
      <c r="BZ1089" s="85">
        <f>IF(_xlfn.MINIFS('Detalhe Por UC'!R:R,'Detalhe Por UC'!C:C,C1089,'Detalhe Por UC'!AD:AD,"&gt;"&amp;0)=0,"",_xlfn.MINIFS('Detalhe Por UC'!R:R,'Detalhe Por UC'!C:C,C1089,'Detalhe Por UC'!AD:AD,"&gt;"&amp;0))</f>
        <v>45658</v>
      </c>
      <c r="CA1089" s="114">
        <f ca="1">IF(OR(S1089&gt;0,AD1089&gt;0),IFERROR(
SUMIFS(INDIRECT("'Infos Clientes'!$W"&amp;INDEX('Infos Clientes'!$C:$C,MATCH(C1089,'Infos Clientes'!$H:$H,0))&amp;":$CZ"&amp;INDEX('Infos Clientes'!$C:$C,MATCH(C1089,'Infos Clientes'!$H:$H,0))),'Infos Clientes'!$W$2:$CZ$2,"&gt;"&amp;$R1089-365,'Infos Clientes'!$W$2:$CZ$2,"&lt;="&amp;$R1089)/
COUNTIFS(INDIRECT("'Infos Clientes'!$W"&amp;INDEX('Infos Clientes'!$C:$C,MATCH(C1089,'Infos Clientes'!$H:$H,0))&amp;":$CZ"&amp;INDEX('Infos Clientes'!$C:$C,MATCH(C1089,'Infos Clientes'!$H:$H,0))),"&gt;="&amp;0,'Infos Clientes'!$W$2:$CZ$2,"&gt;"&amp;$R1089-365,'Infos Clientes'!$W$2:$CZ$2,"&lt;="&amp;$R1089),""),"")</f>
        <v>282.08333333333331</v>
      </c>
      <c r="CB1089" s="87">
        <f>VLOOKUP(C1089,'Infos Clientes'!B:L,11,0)</f>
        <v>0</v>
      </c>
      <c r="CC1089" s="88" t="str">
        <f t="shared" si="631"/>
        <v>A Unidade Consumidora 10/72605-9 economizou R$33,26 na fatura referente à nov/2025  consumindo 150 kWh em créditos de energia renovável conforme fatura de energia. A economia foi de 21% em relação ao que seria pago para a Energisa considerando os créditos consumidos. Atenção: Mantenha as contas da Energisa em dia para evitar cortes.</v>
      </c>
      <c r="CF1089" s="115">
        <f t="shared" si="632"/>
        <v>-163.82</v>
      </c>
    </row>
    <row r="1090" spans="1:84" ht="16.2" customHeight="1" x14ac:dyDescent="0.3">
      <c r="C1090" s="31" t="s">
        <v>144</v>
      </c>
      <c r="D1090" s="31" t="s">
        <v>351</v>
      </c>
      <c r="E1090" s="31" t="s">
        <v>352</v>
      </c>
      <c r="F1090" s="56" t="str">
        <f>INDEX('Infos Clientes'!$I:$I,MATCH('Detalhe Por UC'!C1090,'Infos Clientes'!B:B,0))</f>
        <v>BT</v>
      </c>
      <c r="G1090" s="56" t="str">
        <f>INDEX('Infos Clientes'!$J:$J,MATCH('Detalhe Por UC'!C1090,'Infos Clientes'!B:B,0))</f>
        <v>bifasico</v>
      </c>
      <c r="H1090" s="156" t="s">
        <v>138</v>
      </c>
      <c r="I1090" s="58">
        <f>IFERROR(VLOOKUP(C1090,'Infos Clientes'!B:E,4,),"")</f>
        <v>371</v>
      </c>
      <c r="J1090" s="157">
        <v>0.21</v>
      </c>
      <c r="K1090" s="79">
        <f>INDEX('Resumo Operacional'!$A$1:$P$151,MATCH("Desconto percentual Ucs",'Resumo Operacional'!$B$1:$B$151,0),MATCH('Detalhe Por UC'!$R1090,'Resumo Operacional'!$A$1:$P$1,0))</f>
        <v>0.21</v>
      </c>
      <c r="M1090" s="56"/>
      <c r="N1090" s="56"/>
      <c r="O1090" s="56"/>
      <c r="P1090" s="56"/>
      <c r="Q1090" s="61"/>
      <c r="R1090" s="111">
        <v>45962</v>
      </c>
      <c r="S1090" s="152">
        <v>1.12E-2</v>
      </c>
      <c r="T1090" s="113" t="str">
        <f>IF($H1090="GIROSSOL II",AP1090/INDEX('Resumo Operacional'!$A$1:$P$1103,17,MATCH('Detalhe Por UC'!$R1090,'Resumo Operacional'!$A$1:$P$1,0)),
IF($H1090="GIROSSOL II e III",AP1090/INDEX('Resumo Operacional'!$A$1:$P$1103,17,MATCH('Detalhe Por UC'!$R1090,'Resumo Operacional'!$A$1:$P$1,0)),
""))</f>
        <v/>
      </c>
      <c r="U1090" s="113">
        <f>IF($H1090="GIROSSOL III",AP1090/INDEX('Resumo Operacional'!$A$1:$P$1103,53,MATCH('Detalhe Por UC'!$R1090,'Resumo Operacional'!$A$1:$P$1,0)),
IF($H1090="GIROSSOL II e III",AP1090/INDEX('Resumo Operacional'!$A$1:$P$1103,53,MATCH('Detalhe Por UC'!$R1090,'Resumo Operacional'!$A$1:$P$1,0)),
""))</f>
        <v>1.1198047519919603E-2</v>
      </c>
      <c r="X1090" s="158">
        <v>1.2124406604747162</v>
      </c>
      <c r="Y1090" s="158"/>
      <c r="Z1090" s="158">
        <v>1.05550213371266</v>
      </c>
      <c r="AA1090" s="158"/>
      <c r="AB1090" s="158">
        <v>204</v>
      </c>
      <c r="AC1090" s="158"/>
      <c r="AD1090" s="158">
        <v>185</v>
      </c>
      <c r="AE1090" s="158"/>
      <c r="AF1090" s="158">
        <v>206</v>
      </c>
      <c r="AG1090" s="158">
        <v>0</v>
      </c>
      <c r="AH1090" s="158">
        <v>-31.459999999999994</v>
      </c>
      <c r="AI1090" s="158"/>
      <c r="AJ1090" s="158"/>
      <c r="AK1090" s="158">
        <v>20.61</v>
      </c>
      <c r="AL1090" s="43">
        <f>AK1090-AT1090</f>
        <v>-2.8421709430404007E-14</v>
      </c>
      <c r="AN1090" s="71">
        <f t="shared" si="599"/>
        <v>-29</v>
      </c>
      <c r="AO1090" s="71">
        <f t="shared" si="600"/>
        <v>0</v>
      </c>
      <c r="AP1090" s="71">
        <f t="shared" si="601"/>
        <v>156</v>
      </c>
      <c r="AQ1090" s="72">
        <f>IF(OR($H1090="GIROSSOL II",$H1090="GIROSSOL II e III"),INDEX('Resumo Operacional'!$A$1:$P$1103,MATCH("Energia Injetada prevista total Fatura da Usina (TUSD)",'Resumo Operacional'!$B$1:$B$1103,0),MATCH('Detalhe Por UC'!$R1090,'Resumo Operacional'!$A$1:$P$1,0))*$S1090,INDEX('Resumo Operacional'!$A$1:$P$1103,53,MATCH('Detalhe Por UC'!$R1090,'Resumo Operacional'!$A$1:$P$1,0))*$S1090)</f>
        <v>156.02719999999999</v>
      </c>
      <c r="AR1090" s="71">
        <f t="shared" si="602"/>
        <v>-2.7199999999993452E-2</v>
      </c>
      <c r="AS1090" s="73">
        <f t="shared" si="603"/>
        <v>20.610000000000028</v>
      </c>
      <c r="AT1090" s="74">
        <f t="shared" si="604"/>
        <v>20.610000000000028</v>
      </c>
      <c r="AU1090" s="74">
        <f t="shared" si="605"/>
        <v>0.89856360695060378</v>
      </c>
      <c r="AV1090" s="74">
        <f t="shared" si="606"/>
        <v>154.26163684210528</v>
      </c>
      <c r="AW1090" s="74">
        <f t="shared" si="607"/>
        <v>0</v>
      </c>
      <c r="AX1090" s="74">
        <f t="shared" si="608"/>
        <v>195.26789473684209</v>
      </c>
      <c r="AY1090" s="74">
        <f t="shared" si="609"/>
        <v>154.26</v>
      </c>
      <c r="AZ1090" s="129">
        <v>154.26</v>
      </c>
      <c r="BC1090" s="73" t="str">
        <f t="shared" si="610"/>
        <v/>
      </c>
      <c r="BD1090" s="73">
        <f t="shared" si="611"/>
        <v>215.87789473684211</v>
      </c>
      <c r="BE1090" s="73">
        <f t="shared" si="612"/>
        <v>174.87163684210532</v>
      </c>
      <c r="BF1090" s="77">
        <f t="shared" si="613"/>
        <v>41.01</v>
      </c>
      <c r="BG1090" s="77">
        <f t="shared" si="614"/>
        <v>12.302999999999999</v>
      </c>
      <c r="BH1090" s="77">
        <f t="shared" si="615"/>
        <v>195.26789473684212</v>
      </c>
      <c r="BI1090" s="78">
        <f t="shared" si="616"/>
        <v>0.21</v>
      </c>
      <c r="BJ1090" s="79">
        <f t="shared" si="617"/>
        <v>0.18996850071190341</v>
      </c>
      <c r="BK1090" s="80">
        <f t="shared" si="618"/>
        <v>174.87</v>
      </c>
      <c r="BL1090" s="80">
        <f t="shared" si="619"/>
        <v>41.007894736842104</v>
      </c>
      <c r="BM1090" s="79">
        <f t="shared" si="620"/>
        <v>0.18995874861032552</v>
      </c>
      <c r="BN1090" s="81">
        <f t="shared" si="621"/>
        <v>0.83383783783783783</v>
      </c>
      <c r="BO1090" s="82">
        <f t="shared" si="622"/>
        <v>154.26</v>
      </c>
      <c r="BP1090" s="81">
        <f t="shared" si="623"/>
        <v>0.83383783783783783</v>
      </c>
      <c r="BQ1090" s="81">
        <f t="shared" si="624"/>
        <v>0.99077636459989404</v>
      </c>
      <c r="BR1090" s="81">
        <f t="shared" si="625"/>
        <v>1.2124406604747162</v>
      </c>
      <c r="BS1090" s="82">
        <f t="shared" si="626"/>
        <v>185</v>
      </c>
      <c r="BT1090" s="82">
        <f t="shared" si="627"/>
        <v>224.30152218782251</v>
      </c>
      <c r="BU1090" s="82">
        <f t="shared" si="628"/>
        <v>195.26789473684209</v>
      </c>
      <c r="BW1090" s="82">
        <f>IFERROR(INDEX('Infos Clientes'!$T:$T,MATCH('Detalhe Por UC'!$C1090,'Infos Clientes'!B:B,0)),"")</f>
        <v>238.54545454545453</v>
      </c>
      <c r="BX1090" s="83">
        <f t="shared" si="629"/>
        <v>0</v>
      </c>
      <c r="BY1090" s="84">
        <f t="shared" si="630"/>
        <v>0.18282486153840488</v>
      </c>
      <c r="BZ1090" s="85">
        <f>IF(_xlfn.MINIFS('Detalhe Por UC'!R:R,'Detalhe Por UC'!C:C,C1090,'Detalhe Por UC'!AD:AD,"&gt;"&amp;0)=0,"",_xlfn.MINIFS('Detalhe Por UC'!R:R,'Detalhe Por UC'!C:C,C1090,'Detalhe Por UC'!AD:AD,"&gt;"&amp;0))</f>
        <v>45658</v>
      </c>
      <c r="CA1090" s="114">
        <f ca="1">IF(OR(S1090&gt;0,AD1090&gt;0),IFERROR(
SUMIFS(INDIRECT("'Infos Clientes'!$W"&amp;INDEX('Infos Clientes'!$C:$C,MATCH(C1090,'Infos Clientes'!$H:$H,0))&amp;":$CZ"&amp;INDEX('Infos Clientes'!$C:$C,MATCH(C1090,'Infos Clientes'!$H:$H,0))),'Infos Clientes'!$W$2:$CZ$2,"&gt;"&amp;$R1090-365,'Infos Clientes'!$W$2:$CZ$2,"&lt;="&amp;$R1090)/
COUNTIFS(INDIRECT("'Infos Clientes'!$W"&amp;INDEX('Infos Clientes'!$C:$C,MATCH(C1090,'Infos Clientes'!$H:$H,0))&amp;":$CZ"&amp;INDEX('Infos Clientes'!$C:$C,MATCH(C1090,'Infos Clientes'!$H:$H,0))),"&gt;="&amp;0,'Infos Clientes'!$W$2:$CZ$2,"&gt;"&amp;$R1090-365,'Infos Clientes'!$W$2:$CZ$2,"&lt;="&amp;$R1090),""),"")</f>
        <v>238.33333333333334</v>
      </c>
      <c r="CB1090" s="87">
        <f>VLOOKUP(C1090,'Infos Clientes'!B:L,11,0)</f>
        <v>0</v>
      </c>
      <c r="CC1090" s="88" t="str">
        <f t="shared" si="631"/>
        <v>A Unidade Consumidora 10/1130988-7 economizou R$41,01 na fatura referente à nov/2025  consumindo 185 kWh em créditos de energia renovável conforme fatura de energia. A economia foi de 21% em relação ao que seria pago para a Energisa considerando os créditos consumidos. Atenção: Mantenha as contas da Energisa em dia para evitar cortes.</v>
      </c>
      <c r="CF1090" s="115">
        <f t="shared" si="632"/>
        <v>-20.610000000000028</v>
      </c>
    </row>
    <row r="1091" spans="1:84" ht="16.2" customHeight="1" x14ac:dyDescent="0.3">
      <c r="C1091" s="31" t="s">
        <v>212</v>
      </c>
      <c r="D1091" s="31" t="s">
        <v>351</v>
      </c>
      <c r="E1091" s="31" t="s">
        <v>352</v>
      </c>
      <c r="F1091" s="56" t="str">
        <f>INDEX('Infos Clientes'!$I:$I,MATCH('Detalhe Por UC'!C1091,'Infos Clientes'!B:B,0))</f>
        <v>BT</v>
      </c>
      <c r="G1091" s="56" t="str">
        <f>INDEX('Infos Clientes'!$J:$J,MATCH('Detalhe Por UC'!C1091,'Infos Clientes'!B:B,0))</f>
        <v>trifasico</v>
      </c>
      <c r="H1091" s="156" t="s">
        <v>138</v>
      </c>
      <c r="I1091" s="58">
        <f>IFERROR(VLOOKUP(C1091,'Infos Clientes'!B:E,4,),"")</f>
        <v>351</v>
      </c>
      <c r="J1091" s="157">
        <v>0.21</v>
      </c>
      <c r="K1091" s="79">
        <f>INDEX('Resumo Operacional'!$A$1:$P$151,MATCH("Desconto percentual Ucs",'Resumo Operacional'!$B$1:$B$151,0),MATCH('Detalhe Por UC'!$R1091,'Resumo Operacional'!$A$1:$P$1,0))</f>
        <v>0.21</v>
      </c>
      <c r="M1091" s="56"/>
      <c r="N1091" s="56"/>
      <c r="O1091" s="56"/>
      <c r="P1091" s="56"/>
      <c r="Q1091" s="61"/>
      <c r="R1091" s="111">
        <v>45962</v>
      </c>
      <c r="S1091" s="152">
        <v>1.0999999999999999E-2</v>
      </c>
      <c r="T1091" s="113" t="str">
        <f>IF($H1091="GIROSSOL II",AP1091/INDEX('Resumo Operacional'!$A$1:$P$1103,17,MATCH('Detalhe Por UC'!$R1091,'Resumo Operacional'!$A$1:$P$1,0)),
IF($H1091="GIROSSOL II e III",AP1091/INDEX('Resumo Operacional'!$A$1:$P$1103,17,MATCH('Detalhe Por UC'!$R1091,'Resumo Operacional'!$A$1:$P$1,0)),
""))</f>
        <v/>
      </c>
      <c r="U1091" s="113">
        <f>IF($H1091="GIROSSOL III",AP1091/INDEX('Resumo Operacional'!$A$1:$P$1103,53,MATCH('Detalhe Por UC'!$R1091,'Resumo Operacional'!$A$1:$P$1,0)),
IF($H1091="GIROSSOL II e III",AP1091/INDEX('Resumo Operacional'!$A$1:$P$1103,53,MATCH('Detalhe Por UC'!$R1091,'Resumo Operacional'!$A$1:$P$1,0)),
""))</f>
        <v>1.0839135740435001E-2</v>
      </c>
      <c r="X1091">
        <v>1.2125892857142857</v>
      </c>
      <c r="Z1091">
        <v>1.0557142857142856</v>
      </c>
      <c r="AB1091">
        <v>112</v>
      </c>
      <c r="AD1091">
        <v>14</v>
      </c>
      <c r="AF1091">
        <v>648</v>
      </c>
      <c r="AG1091">
        <v>0</v>
      </c>
      <c r="AH1091">
        <v>5.0199999999999996</v>
      </c>
      <c r="AK1091">
        <v>126.05</v>
      </c>
      <c r="AL1091" s="43">
        <v>0</v>
      </c>
      <c r="AN1091" s="71">
        <f t="shared" si="599"/>
        <v>137</v>
      </c>
      <c r="AO1091" s="71">
        <f t="shared" si="600"/>
        <v>0</v>
      </c>
      <c r="AP1091" s="71">
        <f t="shared" si="601"/>
        <v>151</v>
      </c>
      <c r="AQ1091" s="72">
        <f>IF(OR($H1091="GIROSSOL II",$H1091="GIROSSOL II e III"),INDEX('Resumo Operacional'!$A$1:$P$1103,MATCH("Energia Injetada prevista total Fatura da Usina (TUSD)",'Resumo Operacional'!$B$1:$B$1103,0),MATCH('Detalhe Por UC'!$R1091,'Resumo Operacional'!$A$1:$P$1,0))*$S1091,INDEX('Resumo Operacional'!$A$1:$P$1103,53,MATCH('Detalhe Por UC'!$R1091,'Resumo Operacional'!$A$1:$P$1,0))*$S1091)</f>
        <v>153.24099999999999</v>
      </c>
      <c r="AR1091" s="71">
        <f t="shared" si="602"/>
        <v>-2.2409999999999854</v>
      </c>
      <c r="AS1091" s="73">
        <f t="shared" si="603"/>
        <v>126.05</v>
      </c>
      <c r="AT1091" s="74">
        <f t="shared" si="604"/>
        <v>126.05</v>
      </c>
      <c r="AU1091" s="74">
        <f t="shared" si="605"/>
        <v>0.89883928571428551</v>
      </c>
      <c r="AV1091" s="74">
        <f t="shared" si="606"/>
        <v>11.6762</v>
      </c>
      <c r="AW1091" s="74">
        <f t="shared" si="607"/>
        <v>-1.0009999999999999E-7</v>
      </c>
      <c r="AX1091" s="74">
        <f t="shared" si="608"/>
        <v>14.779999899899998</v>
      </c>
      <c r="AY1091" s="74">
        <f t="shared" si="609"/>
        <v>11.68</v>
      </c>
      <c r="AZ1091" s="129">
        <v>11.68</v>
      </c>
      <c r="BA1091" s="117"/>
      <c r="BC1091" s="73" t="str">
        <f t="shared" si="610"/>
        <v/>
      </c>
      <c r="BD1091" s="73">
        <f t="shared" si="611"/>
        <v>140.83000000000001</v>
      </c>
      <c r="BE1091" s="73">
        <f t="shared" si="612"/>
        <v>137.72620000000001</v>
      </c>
      <c r="BF1091" s="77">
        <f t="shared" si="613"/>
        <v>3.1</v>
      </c>
      <c r="BG1091" s="77">
        <f t="shared" si="614"/>
        <v>0.92999999999999994</v>
      </c>
      <c r="BH1091" s="77">
        <f t="shared" si="615"/>
        <v>14.78</v>
      </c>
      <c r="BI1091" s="78">
        <f t="shared" si="616"/>
        <v>0.21</v>
      </c>
      <c r="BJ1091" s="79">
        <f t="shared" si="617"/>
        <v>2.2012355322019454E-2</v>
      </c>
      <c r="BK1091" s="80">
        <f t="shared" si="618"/>
        <v>137.72999999999999</v>
      </c>
      <c r="BL1091" s="80">
        <f t="shared" si="619"/>
        <v>3.1000000000000227</v>
      </c>
      <c r="BM1091" s="79">
        <f t="shared" si="620"/>
        <v>2.2012355322019617E-2</v>
      </c>
      <c r="BN1091" s="81">
        <f t="shared" si="621"/>
        <v>0.8342857142857143</v>
      </c>
      <c r="BO1091" s="82">
        <f t="shared" si="622"/>
        <v>11.68</v>
      </c>
      <c r="BP1091" s="81">
        <f t="shared" si="623"/>
        <v>0.8342857142857143</v>
      </c>
      <c r="BQ1091" s="81">
        <f t="shared" si="624"/>
        <v>0.99116071428571439</v>
      </c>
      <c r="BR1091" s="81">
        <f t="shared" si="625"/>
        <v>1.2125892857142857</v>
      </c>
      <c r="BS1091" s="82">
        <f t="shared" si="626"/>
        <v>14</v>
      </c>
      <c r="BT1091" s="82">
        <f t="shared" si="627"/>
        <v>16.97625</v>
      </c>
      <c r="BU1091" s="82">
        <f t="shared" si="628"/>
        <v>14.779999999999998</v>
      </c>
      <c r="BW1091" s="82">
        <f>IFERROR(INDEX('Infos Clientes'!$T:$T,MATCH('Detalhe Por UC'!$C1091,'Infos Clientes'!B:B,0)),"")</f>
        <v>93.7</v>
      </c>
      <c r="BX1091" s="83">
        <f t="shared" si="629"/>
        <v>0</v>
      </c>
      <c r="BY1091" s="84">
        <f t="shared" si="630"/>
        <v>0.18260805537147476</v>
      </c>
      <c r="BZ1091" s="85">
        <f>IF(_xlfn.MINIFS('Detalhe Por UC'!R:R,'Detalhe Por UC'!C:C,C1091,'Detalhe Por UC'!AD:AD,"&gt;"&amp;0)=0,"",_xlfn.MINIFS('Detalhe Por UC'!R:R,'Detalhe Por UC'!C:C,C1091,'Detalhe Por UC'!AD:AD,"&gt;"&amp;0))</f>
        <v>45689</v>
      </c>
      <c r="CA1091" s="114">
        <f ca="1">IF(OR(S1091&gt;0,AD1091&gt;0),IFERROR(
SUMIFS(INDIRECT("'Infos Clientes'!$W"&amp;INDEX('Infos Clientes'!$C:$C,MATCH(C1091,'Infos Clientes'!$H:$H,0))&amp;":$CZ"&amp;INDEX('Infos Clientes'!$C:$C,MATCH(C1091,'Infos Clientes'!$H:$H,0))),'Infos Clientes'!$W$2:$CZ$2,"&gt;"&amp;$R1091-365,'Infos Clientes'!$W$2:$CZ$2,"&lt;="&amp;$R1091)/
COUNTIFS(INDIRECT("'Infos Clientes'!$W"&amp;INDEX('Infos Clientes'!$C:$C,MATCH(C1091,'Infos Clientes'!$H:$H,0))&amp;":$CZ"&amp;INDEX('Infos Clientes'!$C:$C,MATCH(C1091,'Infos Clientes'!$H:$H,0))),"&gt;="&amp;0,'Infos Clientes'!$W$2:$CZ$2,"&gt;"&amp;$R1091-365,'Infos Clientes'!$W$2:$CZ$2,"&lt;="&amp;$R1091),""),"")</f>
        <v>486.41666666666669</v>
      </c>
      <c r="CB1091" s="87">
        <f>VLOOKUP(C1091,'Infos Clientes'!B:L,11,0)</f>
        <v>0</v>
      </c>
      <c r="CC1091" s="88" t="str">
        <f t="shared" si="631"/>
        <v>A Unidade Consumidora 10/505854-0 economizou R$3,1 na fatura referente à nov/2025  consumindo 14 kWh em créditos de energia renovável conforme fatura de energia. A economia foi de 21% em relação ao que seria pago para a Energisa considerando os créditos consumidos. Atenção: Mantenha as contas da Energisa em dia para evitar cortes.</v>
      </c>
      <c r="CF1091" s="115">
        <f t="shared" si="632"/>
        <v>-126.05</v>
      </c>
    </row>
    <row r="1092" spans="1:84" ht="16.2" customHeight="1" x14ac:dyDescent="0.3">
      <c r="C1092" s="31" t="s">
        <v>217</v>
      </c>
      <c r="D1092" s="31" t="s">
        <v>351</v>
      </c>
      <c r="E1092" s="31" t="s">
        <v>352</v>
      </c>
      <c r="F1092" s="56" t="str">
        <f>INDEX('Infos Clientes'!$I:$I,MATCH('Detalhe Por UC'!C1092,'Infos Clientes'!B:B,0))</f>
        <v>BT</v>
      </c>
      <c r="G1092" s="56" t="str">
        <f>INDEX('Infos Clientes'!$J:$J,MATCH('Detalhe Por UC'!C1092,'Infos Clientes'!B:B,0))</f>
        <v>bifasico</v>
      </c>
      <c r="H1092" s="156" t="s">
        <v>138</v>
      </c>
      <c r="I1092" s="58">
        <f>IFERROR(VLOOKUP(C1092,'Infos Clientes'!B:E,4,),"")</f>
        <v>362</v>
      </c>
      <c r="J1092" s="157">
        <v>0.21</v>
      </c>
      <c r="K1092" s="79">
        <f>INDEX('Resumo Operacional'!$A$1:$P$151,MATCH("Desconto percentual Ucs",'Resumo Operacional'!$B$1:$B$151,0),MATCH('Detalhe Por UC'!$R1092,'Resumo Operacional'!$A$1:$P$1,0))</f>
        <v>0.21</v>
      </c>
      <c r="M1092" s="56"/>
      <c r="N1092" s="56"/>
      <c r="O1092" s="56"/>
      <c r="P1092" s="56"/>
      <c r="Q1092" s="61"/>
      <c r="R1092" s="111">
        <v>45962</v>
      </c>
      <c r="S1092" s="152">
        <v>8.8000000000000005E-3</v>
      </c>
      <c r="T1092" s="113" t="str">
        <f>IF($H1092="GIROSSOL II",AP1092/INDEX('Resumo Operacional'!$A$1:$P$1103,17,MATCH('Detalhe Por UC'!$R1092,'Resumo Operacional'!$A$1:$P$1,0)),
IF($H1092="GIROSSOL II e III",AP1092/INDEX('Resumo Operacional'!$A$1:$P$1103,17,MATCH('Detalhe Por UC'!$R1092,'Resumo Operacional'!$A$1:$P$1,0)),
""))</f>
        <v/>
      </c>
      <c r="U1092" s="113">
        <f>IF($H1092="GIROSSOL III",AP1092/INDEX('Resumo Operacional'!$A$1:$P$1103,53,MATCH('Detalhe Por UC'!$R1092,'Resumo Operacional'!$A$1:$P$1,0)),
IF($H1092="GIROSSOL II e III",AP1092/INDEX('Resumo Operacional'!$A$1:$P$1103,53,MATCH('Detalhe Por UC'!$R1092,'Resumo Operacional'!$A$1:$P$1,0)),
""))</f>
        <v>8.6856650635273851E-3</v>
      </c>
      <c r="X1092">
        <v>1.2126665114112718</v>
      </c>
      <c r="Z1092">
        <v>1.0558842105263158</v>
      </c>
      <c r="AB1092">
        <v>113</v>
      </c>
      <c r="AD1092">
        <v>75</v>
      </c>
      <c r="AF1092">
        <v>348</v>
      </c>
      <c r="AG1092">
        <v>0</v>
      </c>
      <c r="AH1092">
        <v>28.58</v>
      </c>
      <c r="AK1092">
        <v>86.42</v>
      </c>
      <c r="AL1092" s="43">
        <v>0</v>
      </c>
      <c r="AN1092" s="71">
        <f t="shared" si="599"/>
        <v>46</v>
      </c>
      <c r="AO1092" s="71">
        <f t="shared" si="600"/>
        <v>0</v>
      </c>
      <c r="AP1092" s="71">
        <f t="shared" si="601"/>
        <v>121</v>
      </c>
      <c r="AQ1092" s="72">
        <f>IF(OR($H1092="GIROSSOL II",$H1092="GIROSSOL II e III"),INDEX('Resumo Operacional'!$A$1:$P$1103,MATCH("Energia Injetada prevista total Fatura da Usina (TUSD)",'Resumo Operacional'!$B$1:$B$1103,0),MATCH('Detalhe Por UC'!$R1092,'Resumo Operacional'!$A$1:$P$1,0))*$S1092,INDEX('Resumo Operacional'!$A$1:$P$1103,53,MATCH('Detalhe Por UC'!$R1092,'Resumo Operacional'!$A$1:$P$1,0))*$S1092)</f>
        <v>122.59280000000001</v>
      </c>
      <c r="AR1092" s="71">
        <f t="shared" si="602"/>
        <v>-1.5928000000000111</v>
      </c>
      <c r="AS1092" s="73">
        <f t="shared" si="603"/>
        <v>86.420000000000044</v>
      </c>
      <c r="AT1092" s="74">
        <f t="shared" si="604"/>
        <v>86.420000000000044</v>
      </c>
      <c r="AU1092" s="74">
        <f t="shared" si="605"/>
        <v>0.89910190964135972</v>
      </c>
      <c r="AV1092" s="74">
        <f t="shared" si="606"/>
        <v>62.561139473684214</v>
      </c>
      <c r="AW1092" s="74">
        <f t="shared" si="607"/>
        <v>0</v>
      </c>
      <c r="AX1092" s="74">
        <f t="shared" si="608"/>
        <v>79.191315789473677</v>
      </c>
      <c r="AY1092" s="74">
        <f t="shared" si="609"/>
        <v>62.56</v>
      </c>
      <c r="AZ1092" s="129">
        <v>62.56</v>
      </c>
      <c r="BA1092" s="117"/>
      <c r="BC1092" s="73" t="str">
        <f t="shared" si="610"/>
        <v/>
      </c>
      <c r="BD1092" s="73">
        <f t="shared" si="611"/>
        <v>165.61131578947374</v>
      </c>
      <c r="BE1092" s="73">
        <f t="shared" si="612"/>
        <v>148.98113947368427</v>
      </c>
      <c r="BF1092" s="77">
        <f t="shared" si="613"/>
        <v>16.63</v>
      </c>
      <c r="BG1092" s="77">
        <f t="shared" si="614"/>
        <v>4.9889999999999999</v>
      </c>
      <c r="BH1092" s="77">
        <f t="shared" si="615"/>
        <v>79.191315789473691</v>
      </c>
      <c r="BI1092" s="78">
        <f t="shared" si="616"/>
        <v>0.21</v>
      </c>
      <c r="BJ1092" s="79">
        <f t="shared" si="617"/>
        <v>0.10041584369234872</v>
      </c>
      <c r="BK1092" s="80">
        <f t="shared" si="618"/>
        <v>148.98000000000005</v>
      </c>
      <c r="BL1092" s="80">
        <f t="shared" si="619"/>
        <v>16.631315789473689</v>
      </c>
      <c r="BM1092" s="79">
        <f t="shared" si="620"/>
        <v>0.1004237887380566</v>
      </c>
      <c r="BN1092" s="81">
        <f t="shared" si="621"/>
        <v>0.83413333333333339</v>
      </c>
      <c r="BO1092" s="82">
        <f t="shared" si="622"/>
        <v>62.56</v>
      </c>
      <c r="BP1092" s="81">
        <f t="shared" si="623"/>
        <v>0.83413333333333339</v>
      </c>
      <c r="BQ1092" s="81">
        <f t="shared" si="624"/>
        <v>0.99091563421828943</v>
      </c>
      <c r="BR1092" s="81">
        <f t="shared" si="625"/>
        <v>1.2126665114112718</v>
      </c>
      <c r="BS1092" s="82">
        <f t="shared" si="626"/>
        <v>75</v>
      </c>
      <c r="BT1092" s="82">
        <f t="shared" si="627"/>
        <v>90.949988355845392</v>
      </c>
      <c r="BU1092" s="82">
        <f t="shared" si="628"/>
        <v>79.191315789473677</v>
      </c>
      <c r="BW1092" s="82">
        <f>IFERROR(INDEX('Infos Clientes'!$T:$T,MATCH('Detalhe Por UC'!$C1092,'Infos Clientes'!B:B,0)),"")</f>
        <v>122.45454545454545</v>
      </c>
      <c r="BX1092" s="83">
        <f t="shared" si="629"/>
        <v>0</v>
      </c>
      <c r="BY1092" s="84">
        <f t="shared" si="630"/>
        <v>0.18286220911214418</v>
      </c>
      <c r="BZ1092" s="85">
        <f>IF(_xlfn.MINIFS('Detalhe Por UC'!R:R,'Detalhe Por UC'!C:C,C1092,'Detalhe Por UC'!AD:AD,"&gt;"&amp;0)=0,"",_xlfn.MINIFS('Detalhe Por UC'!R:R,'Detalhe Por UC'!C:C,C1092,'Detalhe Por UC'!AD:AD,"&gt;"&amp;0))</f>
        <v>45658</v>
      </c>
      <c r="CA1092" s="114">
        <f ca="1">IF(OR(S1092&gt;0,AD1092&gt;0),IFERROR(
SUMIFS(INDIRECT("'Infos Clientes'!$W"&amp;INDEX('Infos Clientes'!$C:$C,MATCH(C1092,'Infos Clientes'!$H:$H,0))&amp;":$CZ"&amp;INDEX('Infos Clientes'!$C:$C,MATCH(C1092,'Infos Clientes'!$H:$H,0))),'Infos Clientes'!$W$2:$CZ$2,"&gt;"&amp;$R1092-365,'Infos Clientes'!$W$2:$CZ$2,"&lt;="&amp;$R1092)/
COUNTIFS(INDIRECT("'Infos Clientes'!$W"&amp;INDEX('Infos Clientes'!$C:$C,MATCH(C1092,'Infos Clientes'!$H:$H,0))&amp;":$CZ"&amp;INDEX('Infos Clientes'!$C:$C,MATCH(C1092,'Infos Clientes'!$H:$H,0))),"&gt;="&amp;0,'Infos Clientes'!$W$2:$CZ$2,"&gt;"&amp;$R1092-365,'Infos Clientes'!$W$2:$CZ$2,"&lt;="&amp;$R1092),""),"")</f>
        <v>141.80000000000001</v>
      </c>
      <c r="CB1092" s="87">
        <f>VLOOKUP(C1092,'Infos Clientes'!B:L,11,0)</f>
        <v>0</v>
      </c>
      <c r="CC1092" s="88" t="str">
        <f t="shared" si="631"/>
        <v>A Unidade Consumidora 10/530195-7 economizou R$16,63 na fatura referente à nov/2025  consumindo 75 kWh em créditos de energia renovável conforme fatura de energia. A economia foi de 21% em relação ao que seria pago para a Energisa considerando os créditos consumidos. Atenção: Mantenha as contas da Energisa em dia para evitar cortes.</v>
      </c>
      <c r="CF1092" s="115">
        <f t="shared" si="632"/>
        <v>-86.420000000000044</v>
      </c>
    </row>
    <row r="1093" spans="1:84" ht="16.2" customHeight="1" x14ac:dyDescent="0.3">
      <c r="C1093" s="31" t="s">
        <v>166</v>
      </c>
      <c r="D1093" s="31" t="s">
        <v>351</v>
      </c>
      <c r="E1093" s="31" t="s">
        <v>352</v>
      </c>
      <c r="F1093" s="56" t="str">
        <f>INDEX('Infos Clientes'!$I:$I,MATCH('Detalhe Por UC'!C1093,'Infos Clientes'!B:B,0))</f>
        <v>BT</v>
      </c>
      <c r="G1093" s="56" t="str">
        <f>INDEX('Infos Clientes'!$J:$J,MATCH('Detalhe Por UC'!C1093,'Infos Clientes'!B:B,0))</f>
        <v>bifasico</v>
      </c>
      <c r="H1093" s="156" t="s">
        <v>138</v>
      </c>
      <c r="I1093" s="58">
        <f>IFERROR(VLOOKUP(C1093,'Infos Clientes'!B:E,4,),"")</f>
        <v>362</v>
      </c>
      <c r="J1093" s="157">
        <v>0.21</v>
      </c>
      <c r="K1093" s="79">
        <f>INDEX('Resumo Operacional'!$A$1:$P$151,MATCH("Desconto percentual Ucs",'Resumo Operacional'!$B$1:$B$151,0),MATCH('Detalhe Por UC'!$R1093,'Resumo Operacional'!$A$1:$P$1,0))</f>
        <v>0.21</v>
      </c>
      <c r="M1093" s="56"/>
      <c r="N1093" s="56"/>
      <c r="O1093" s="56"/>
      <c r="P1093" s="56"/>
      <c r="Q1093" s="61"/>
      <c r="R1093" s="111">
        <v>45962</v>
      </c>
      <c r="S1093" s="152">
        <v>1.8E-3</v>
      </c>
      <c r="T1093" s="113" t="str">
        <f>IF($H1093="GIROSSOL II",AP1093/INDEX('Resumo Operacional'!$A$1:$P$1103,17,MATCH('Detalhe Por UC'!$R1093,'Resumo Operacional'!$A$1:$P$1,0)),
IF($H1093="GIROSSOL II e III",AP1093/INDEX('Resumo Operacional'!$A$1:$P$1103,17,MATCH('Detalhe Por UC'!$R1093,'Resumo Operacional'!$A$1:$P$1,0)),
""))</f>
        <v/>
      </c>
      <c r="U1093" s="113">
        <f>IF($H1093="GIROSSOL III",AP1093/INDEX('Resumo Operacional'!$A$1:$P$1103,53,MATCH('Detalhe Por UC'!$R1093,'Resumo Operacional'!$A$1:$P$1,0)),
IF($H1093="GIROSSOL II e III",AP1093/INDEX('Resumo Operacional'!$A$1:$P$1103,53,MATCH('Detalhe Por UC'!$R1093,'Resumo Operacional'!$A$1:$P$1,0)),
""))</f>
        <v>3.5173354389491061E-3</v>
      </c>
      <c r="X1093">
        <v>1.2127906976744185</v>
      </c>
      <c r="Z1093">
        <v>1.056046511627907</v>
      </c>
      <c r="AB1093">
        <v>86</v>
      </c>
      <c r="AD1093">
        <v>43</v>
      </c>
      <c r="AF1093">
        <v>234</v>
      </c>
      <c r="AG1093">
        <v>0</v>
      </c>
      <c r="AH1093">
        <v>19.88</v>
      </c>
      <c r="AK1093">
        <v>78.77</v>
      </c>
      <c r="AL1093" s="43">
        <v>0</v>
      </c>
      <c r="AN1093" s="71">
        <f t="shared" si="599"/>
        <v>6</v>
      </c>
      <c r="AO1093" s="71">
        <f t="shared" si="600"/>
        <v>0</v>
      </c>
      <c r="AP1093" s="71">
        <f t="shared" si="601"/>
        <v>49</v>
      </c>
      <c r="AQ1093" s="72">
        <f>IF(OR($H1093="GIROSSOL II",$H1093="GIROSSOL II e III"),INDEX('Resumo Operacional'!$A$1:$P$1103,MATCH("Energia Injetada prevista total Fatura da Usina (TUSD)",'Resumo Operacional'!$B$1:$B$1103,0),MATCH('Detalhe Por UC'!$R1093,'Resumo Operacional'!$A$1:$P$1,0))*$S1093,INDEX('Resumo Operacional'!$A$1:$P$1103,53,MATCH('Detalhe Por UC'!$R1093,'Resumo Operacional'!$A$1:$P$1,0))*$S1093)</f>
        <v>25.075800000000001</v>
      </c>
      <c r="AR1093" s="71">
        <f t="shared" si="602"/>
        <v>23.924199999999999</v>
      </c>
      <c r="AS1093" s="73">
        <f t="shared" si="603"/>
        <v>78.77</v>
      </c>
      <c r="AT1093" s="74">
        <f t="shared" si="604"/>
        <v>78.77</v>
      </c>
      <c r="AU1093" s="74">
        <f t="shared" si="605"/>
        <v>0.89930232558139545</v>
      </c>
      <c r="AV1093" s="74">
        <f t="shared" si="606"/>
        <v>35.873900000000006</v>
      </c>
      <c r="AW1093" s="74">
        <f t="shared" si="607"/>
        <v>-120.78</v>
      </c>
      <c r="AX1093" s="74">
        <f t="shared" si="608"/>
        <v>-75.37</v>
      </c>
      <c r="AY1093" s="74">
        <f t="shared" si="609"/>
        <v>-84.91</v>
      </c>
      <c r="AZ1093" s="129">
        <v>0</v>
      </c>
      <c r="BC1093" s="73" t="str">
        <f t="shared" si="610"/>
        <v/>
      </c>
      <c r="BD1093" s="73">
        <f t="shared" si="611"/>
        <v>124.17999999999999</v>
      </c>
      <c r="BE1093" s="73">
        <f t="shared" si="612"/>
        <v>114.6439</v>
      </c>
      <c r="BF1093" s="77">
        <f t="shared" si="613"/>
        <v>9.5399999999999991</v>
      </c>
      <c r="BG1093" s="77">
        <f t="shared" si="614"/>
        <v>2.8619999999999997</v>
      </c>
      <c r="BH1093" s="77">
        <f t="shared" si="615"/>
        <v>45.410000000000004</v>
      </c>
      <c r="BI1093" s="78">
        <f t="shared" si="616"/>
        <v>-0.13</v>
      </c>
      <c r="BJ1093" s="79">
        <f t="shared" si="617"/>
        <v>7.682396521178933E-2</v>
      </c>
      <c r="BK1093" s="80">
        <f t="shared" si="618"/>
        <v>-6.1400000000000006</v>
      </c>
      <c r="BL1093" s="80">
        <f t="shared" si="619"/>
        <v>130.32</v>
      </c>
      <c r="BM1093" s="79">
        <f t="shared" si="620"/>
        <v>1.0494443549685939</v>
      </c>
      <c r="BN1093" s="81">
        <f t="shared" si="621"/>
        <v>-1.9746511627906975</v>
      </c>
      <c r="BO1093" s="82">
        <f t="shared" si="622"/>
        <v>-84.91</v>
      </c>
      <c r="BP1093" s="81">
        <f t="shared" si="623"/>
        <v>-1.9746511627906975</v>
      </c>
      <c r="BQ1093" s="81">
        <f t="shared" si="624"/>
        <v>-1.817906976744186</v>
      </c>
      <c r="BR1093" s="81">
        <f t="shared" si="625"/>
        <v>1.2127906976744185</v>
      </c>
      <c r="BS1093" s="82">
        <f t="shared" si="626"/>
        <v>43</v>
      </c>
      <c r="BT1093" s="82">
        <f t="shared" si="627"/>
        <v>52.15</v>
      </c>
      <c r="BU1093" s="82">
        <f t="shared" si="628"/>
        <v>45.41</v>
      </c>
      <c r="BW1093" s="82">
        <f>IFERROR(INDEX('Infos Clientes'!$T:$T,MATCH('Detalhe Por UC'!$C1093,'Infos Clientes'!B:B,0)),"")</f>
        <v>140.81818181818181</v>
      </c>
      <c r="BX1093" s="83">
        <f t="shared" si="629"/>
        <v>0</v>
      </c>
      <c r="BY1093" s="84">
        <f t="shared" si="630"/>
        <v>2.4989453499520615</v>
      </c>
      <c r="BZ1093" s="85">
        <f>IF(_xlfn.MINIFS('Detalhe Por UC'!R:R,'Detalhe Por UC'!C:C,C1093,'Detalhe Por UC'!AD:AD,"&gt;"&amp;0)=0,"",_xlfn.MINIFS('Detalhe Por UC'!R:R,'Detalhe Por UC'!C:C,C1093,'Detalhe Por UC'!AD:AD,"&gt;"&amp;0))</f>
        <v>45658</v>
      </c>
      <c r="CA1093" s="114">
        <f ca="1">IF(OR(S1093&gt;0,AD1093&gt;0),IFERROR(
SUMIFS(INDIRECT("'Infos Clientes'!$W"&amp;INDEX('Infos Clientes'!$C:$C,MATCH(C1093,'Infos Clientes'!$H:$H,0))&amp;":$CZ"&amp;INDEX('Infos Clientes'!$C:$C,MATCH(C1093,'Infos Clientes'!$H:$H,0))),'Infos Clientes'!$W$2:$CZ$2,"&gt;"&amp;$R1093-365,'Infos Clientes'!$W$2:$CZ$2,"&lt;="&amp;$R1093)/
COUNTIFS(INDIRECT("'Infos Clientes'!$W"&amp;INDEX('Infos Clientes'!$C:$C,MATCH(C1093,'Infos Clientes'!$H:$H,0))&amp;":$CZ"&amp;INDEX('Infos Clientes'!$C:$C,MATCH(C1093,'Infos Clientes'!$H:$H,0))),"&gt;="&amp;0,'Infos Clientes'!$W$2:$CZ$2,"&gt;"&amp;$R1093-365,'Infos Clientes'!$W$2:$CZ$2,"&lt;="&amp;$R1093),""),"")</f>
        <v>88.5</v>
      </c>
      <c r="CB1093" s="87">
        <f>VLOOKUP(C1093,'Infos Clientes'!B:L,11,0)</f>
        <v>0</v>
      </c>
      <c r="CC1093" s="88" t="str">
        <f t="shared" si="631"/>
        <v>A Unidade Consumidora 10/175073-6 economizou R$9,54 na fatura referente à nov/2025  consumindo 43 kWh em créditos de energia renovável conforme fatura de energia. A economia foi de 21% em relação ao que seria pago para a Energisa considerando os créditos consumidos. Atenção: Mantenha as contas da Energisa em dia para evitar cortes.</v>
      </c>
      <c r="CF1093" s="115">
        <f t="shared" si="632"/>
        <v>-78.77</v>
      </c>
    </row>
    <row r="1094" spans="1:84" ht="16.2" customHeight="1" x14ac:dyDescent="0.3">
      <c r="C1094" s="31" t="s">
        <v>168</v>
      </c>
      <c r="D1094" s="31" t="s">
        <v>351</v>
      </c>
      <c r="E1094" s="31" t="s">
        <v>352</v>
      </c>
      <c r="F1094" s="56" t="str">
        <f>INDEX('Infos Clientes'!$I:$I,MATCH('Detalhe Por UC'!C1094,'Infos Clientes'!B:B,0))</f>
        <v>BT</v>
      </c>
      <c r="G1094" s="56" t="str">
        <f>INDEX('Infos Clientes'!$J:$J,MATCH('Detalhe Por UC'!C1094,'Infos Clientes'!B:B,0))</f>
        <v>trifasico</v>
      </c>
      <c r="H1094" s="156" t="s">
        <v>138</v>
      </c>
      <c r="I1094" s="58">
        <f>IFERROR(VLOOKUP(C1094,'Infos Clientes'!B:E,4,),"")</f>
        <v>306</v>
      </c>
      <c r="J1094" s="157">
        <v>0.21</v>
      </c>
      <c r="K1094" s="79">
        <f>INDEX('Resumo Operacional'!$A$1:$P$151,MATCH("Desconto percentual Ucs",'Resumo Operacional'!$B$1:$B$151,0),MATCH('Detalhe Por UC'!$R1094,'Resumo Operacional'!$A$1:$P$1,0))</f>
        <v>0.21</v>
      </c>
      <c r="M1094" s="56"/>
      <c r="N1094" s="56"/>
      <c r="O1094" s="56"/>
      <c r="P1094" s="56"/>
      <c r="Q1094" s="61"/>
      <c r="R1094" s="111">
        <v>45962</v>
      </c>
      <c r="S1094" s="152">
        <v>1E-4</v>
      </c>
      <c r="T1094" s="113" t="str">
        <f>IF($H1094="GIROSSOL II",AP1094/INDEX('Resumo Operacional'!$A$1:$P$1103,17,MATCH('Detalhe Por UC'!$R1094,'Resumo Operacional'!$A$1:$P$1,0)),
IF($H1094="GIROSSOL II e III",AP1094/INDEX('Resumo Operacional'!$A$1:$P$1103,17,MATCH('Detalhe Por UC'!$R1094,'Resumo Operacional'!$A$1:$P$1,0)),
""))</f>
        <v/>
      </c>
      <c r="U1094" s="113">
        <f>IF($H1094="GIROSSOL III",AP1094/INDEX('Resumo Operacional'!$A$1:$P$1103,53,MATCH('Detalhe Por UC'!$R1094,'Resumo Operacional'!$A$1:$P$1,0)),
IF($H1094="GIROSSOL II e III",AP1094/INDEX('Resumo Operacional'!$A$1:$P$1103,53,MATCH('Detalhe Por UC'!$R1094,'Resumo Operacional'!$A$1:$P$1,0)),
""))</f>
        <v>3.2517407221305E-2</v>
      </c>
      <c r="X1094">
        <v>1.2128456696331669</v>
      </c>
      <c r="Z1094">
        <v>1.0666711484593838</v>
      </c>
      <c r="AB1094">
        <v>542</v>
      </c>
      <c r="AD1094" s="153">
        <v>489</v>
      </c>
      <c r="AF1094">
        <v>1233</v>
      </c>
      <c r="AG1094">
        <v>0</v>
      </c>
      <c r="AH1094">
        <v>162.5</v>
      </c>
      <c r="AN1094" s="71">
        <f t="shared" si="599"/>
        <v>-36</v>
      </c>
      <c r="AO1094" s="71">
        <f t="shared" si="600"/>
        <v>0</v>
      </c>
      <c r="AP1094" s="71">
        <f t="shared" si="601"/>
        <v>453</v>
      </c>
      <c r="AQ1094" s="72">
        <f>IF(OR($H1094="GIROSSOL II",$H1094="GIROSSOL II e III"),INDEX('Resumo Operacional'!$A$1:$P$1103,MATCH("Energia Injetada prevista total Fatura da Usina (TUSD)",'Resumo Operacional'!$B$1:$B$1103,0),MATCH('Detalhe Por UC'!$R1094,'Resumo Operacional'!$A$1:$P$1,0))*$S1094,INDEX('Resumo Operacional'!$A$1:$P$1103,53,MATCH('Detalhe Por UC'!$R1094,'Resumo Operacional'!$A$1:$P$1,0))*$S1094)</f>
        <v>1.3931</v>
      </c>
      <c r="AR1094" s="71">
        <f t="shared" si="602"/>
        <v>451.6069</v>
      </c>
      <c r="AS1094" s="73">
        <f t="shared" si="603"/>
        <v>298.26016134453778</v>
      </c>
      <c r="AT1094" s="74">
        <f t="shared" si="604"/>
        <v>298.26016134453778</v>
      </c>
      <c r="AU1094" s="74">
        <f t="shared" si="605"/>
        <v>0.92049662728560078</v>
      </c>
      <c r="AV1094" s="74">
        <f t="shared" si="606"/>
        <v>412.0657313613446</v>
      </c>
      <c r="AW1094" s="74">
        <f t="shared" si="607"/>
        <v>490.0399999</v>
      </c>
      <c r="AX1094" s="74">
        <f t="shared" si="608"/>
        <v>1011.6421914966387</v>
      </c>
      <c r="AY1094" s="74">
        <f t="shared" si="609"/>
        <v>902.11</v>
      </c>
      <c r="AZ1094" s="76">
        <v>902.11</v>
      </c>
      <c r="BC1094" s="73" t="str">
        <f t="shared" si="610"/>
        <v/>
      </c>
      <c r="BD1094" s="73">
        <f t="shared" si="611"/>
        <v>819.86235294117648</v>
      </c>
      <c r="BE1094" s="73">
        <f t="shared" si="612"/>
        <v>710.32589270588232</v>
      </c>
      <c r="BF1094" s="77">
        <f t="shared" si="613"/>
        <v>109.54</v>
      </c>
      <c r="BG1094" s="77">
        <f t="shared" si="614"/>
        <v>32.862000000000002</v>
      </c>
      <c r="BH1094" s="77">
        <f t="shared" si="615"/>
        <v>521.6021915966387</v>
      </c>
      <c r="BI1094" s="78">
        <f t="shared" si="616"/>
        <v>0.11</v>
      </c>
      <c r="BJ1094" s="79">
        <f t="shared" si="617"/>
        <v>0.13360779356075553</v>
      </c>
      <c r="BK1094" s="80">
        <f t="shared" si="618"/>
        <v>1200.3701613445378</v>
      </c>
      <c r="BL1094" s="80">
        <f t="shared" si="619"/>
        <v>-380.50780840336131</v>
      </c>
      <c r="BM1094" s="79">
        <f t="shared" si="620"/>
        <v>-0.46411181954913105</v>
      </c>
      <c r="BN1094" s="81">
        <f t="shared" si="621"/>
        <v>1.8448057259713702</v>
      </c>
      <c r="BO1094" s="82">
        <f t="shared" si="622"/>
        <v>902.11</v>
      </c>
      <c r="BP1094" s="81">
        <f t="shared" si="623"/>
        <v>1.8448057259713702</v>
      </c>
      <c r="BQ1094" s="81">
        <f t="shared" si="624"/>
        <v>1.9909802471451532</v>
      </c>
      <c r="BR1094" s="81">
        <f t="shared" si="625"/>
        <v>1.2128456696331669</v>
      </c>
      <c r="BS1094" s="82">
        <f t="shared" si="626"/>
        <v>489</v>
      </c>
      <c r="BT1094" s="82">
        <f t="shared" si="627"/>
        <v>593.08153245061862</v>
      </c>
      <c r="BU1094" s="82">
        <f t="shared" si="628"/>
        <v>521.6021915966387</v>
      </c>
      <c r="BW1094" s="82">
        <f>IFERROR(INDEX('Infos Clientes'!$T:$T,MATCH('Detalhe Por UC'!$C1094,'Infos Clientes'!B:B,0)),"")</f>
        <v>718.4545454545455</v>
      </c>
      <c r="BX1094" s="83">
        <f t="shared" si="629"/>
        <v>0</v>
      </c>
      <c r="BY1094" s="84">
        <f t="shared" si="630"/>
        <v>-0.64157757000306415</v>
      </c>
      <c r="BZ1094" s="85">
        <f>IF(_xlfn.MINIFS('Detalhe Por UC'!R:R,'Detalhe Por UC'!C:C,C1094,'Detalhe Por UC'!AD:AD,"&gt;"&amp;0)=0,"",_xlfn.MINIFS('Detalhe Por UC'!R:R,'Detalhe Por UC'!C:C,C1094,'Detalhe Por UC'!AD:AD,"&gt;"&amp;0))</f>
        <v>45658</v>
      </c>
      <c r="CA1094" s="114">
        <f ca="1">IF(OR(S1094&gt;0,AD1094&gt;0),IFERROR(
SUMIFS(INDIRECT("'Infos Clientes'!$W"&amp;INDEX('Infos Clientes'!$C:$C,MATCH(C1094,'Infos Clientes'!$H:$H,0))&amp;":$CZ"&amp;INDEX('Infos Clientes'!$C:$C,MATCH(C1094,'Infos Clientes'!$H:$H,0))),'Infos Clientes'!$W$2:$CZ$2,"&gt;"&amp;$R1094-365,'Infos Clientes'!$W$2:$CZ$2,"&lt;="&amp;$R1094)/
COUNTIFS(INDIRECT("'Infos Clientes'!$W"&amp;INDEX('Infos Clientes'!$C:$C,MATCH(C1094,'Infos Clientes'!$H:$H,0))&amp;":$CZ"&amp;INDEX('Infos Clientes'!$C:$C,MATCH(C1094,'Infos Clientes'!$H:$H,0))),"&gt;="&amp;0,'Infos Clientes'!$W$2:$CZ$2,"&gt;"&amp;$R1094-365,'Infos Clientes'!$W$2:$CZ$2,"&lt;="&amp;$R1094),""),"")</f>
        <v>579.4545454545455</v>
      </c>
      <c r="CB1094" s="87">
        <f>VLOOKUP(C1094,'Infos Clientes'!B:L,11,0)</f>
        <v>0</v>
      </c>
      <c r="CC1094" s="88" t="str">
        <f t="shared" si="631"/>
        <v>A Unidade Consumidora 10/2247256-7 economizou R$109,54 na fatura referente à nov/2025  consumindo 489 kWh em créditos de energia renovável conforme fatura de energia. A economia foi de 21% em relação ao que seria pago para a Energisa considerando os créditos consumidos. Atenção: Mantenha as contas da Energisa em dia para evitar cortes.</v>
      </c>
      <c r="CF1094" s="115">
        <f t="shared" si="632"/>
        <v>-298.26016134453778</v>
      </c>
    </row>
    <row r="1095" spans="1:84" ht="16.2" customHeight="1" x14ac:dyDescent="0.3">
      <c r="C1095" s="31" t="s">
        <v>237</v>
      </c>
      <c r="D1095" s="31" t="s">
        <v>351</v>
      </c>
      <c r="E1095" s="31" t="s">
        <v>352</v>
      </c>
      <c r="F1095" s="56" t="str">
        <f>INDEX('Infos Clientes'!$I:$I,MATCH('Detalhe Por UC'!C1095,'Infos Clientes'!B:B,0))</f>
        <v>BT</v>
      </c>
      <c r="G1095" s="56" t="str">
        <f>INDEX('Infos Clientes'!$J:$J,MATCH('Detalhe Por UC'!C1095,'Infos Clientes'!B:B,0))</f>
        <v>trifasico</v>
      </c>
      <c r="H1095" s="156" t="s">
        <v>138</v>
      </c>
      <c r="I1095" s="58">
        <f>IFERROR(VLOOKUP(C1095,'Infos Clientes'!B:E,4,),"")</f>
        <v>319</v>
      </c>
      <c r="J1095" s="157">
        <v>0.21</v>
      </c>
      <c r="K1095" s="79">
        <f>INDEX('Resumo Operacional'!$A$1:$P$151,MATCH("Desconto percentual Ucs",'Resumo Operacional'!$B$1:$B$151,0),MATCH('Detalhe Por UC'!$R1095,'Resumo Operacional'!$A$1:$P$1,0))</f>
        <v>0.21</v>
      </c>
      <c r="M1095" s="56"/>
      <c r="N1095" s="56"/>
      <c r="O1095" s="56"/>
      <c r="P1095" s="56"/>
      <c r="Q1095" s="61"/>
      <c r="R1095" s="111">
        <v>45962</v>
      </c>
      <c r="S1095" s="152">
        <v>1E-4</v>
      </c>
      <c r="T1095" s="113" t="str">
        <f>IF($H1095="GIROSSOL II",AP1095/INDEX('Resumo Operacional'!$A$1:$P$1103,17,MATCH('Detalhe Por UC'!$R1095,'Resumo Operacional'!$A$1:$P$1,0)),
IF($H1095="GIROSSOL II e III",AP1095/INDEX('Resumo Operacional'!$A$1:$P$1103,17,MATCH('Detalhe Por UC'!$R1095,'Resumo Operacional'!$A$1:$P$1,0)),
""))</f>
        <v/>
      </c>
      <c r="U1095" s="113">
        <f>IF($H1095="GIROSSOL III",AP1095/INDEX('Resumo Operacional'!$A$1:$P$1103,53,MATCH('Detalhe Por UC'!$R1095,'Resumo Operacional'!$A$1:$P$1,0)),
IF($H1095="GIROSSOL II e III",AP1095/INDEX('Resumo Operacional'!$A$1:$P$1103,53,MATCH('Detalhe Por UC'!$R1095,'Resumo Operacional'!$A$1:$P$1,0)),
""))</f>
        <v>2.7707989376211328E-2</v>
      </c>
      <c r="X1095" s="158">
        <v>1.2125809751108079</v>
      </c>
      <c r="Y1095" s="158"/>
      <c r="Z1095" s="158">
        <v>1.0556808035714285</v>
      </c>
      <c r="AA1095" s="158"/>
      <c r="AB1095" s="158">
        <v>419</v>
      </c>
      <c r="AC1095" s="158"/>
      <c r="AD1095" s="158">
        <v>384</v>
      </c>
      <c r="AE1095" s="158"/>
      <c r="AF1095" s="158">
        <v>398</v>
      </c>
      <c r="AG1095" s="158">
        <v>0</v>
      </c>
      <c r="AH1095" s="158">
        <v>0</v>
      </c>
      <c r="AI1095" s="158"/>
      <c r="AJ1095" s="158"/>
      <c r="AK1095" s="158">
        <v>102.69</v>
      </c>
      <c r="AL1095" s="43">
        <f>AK1095-AT1095</f>
        <v>0</v>
      </c>
      <c r="AN1095" s="71">
        <f t="shared" si="599"/>
        <v>2</v>
      </c>
      <c r="AO1095" s="71">
        <f t="shared" si="600"/>
        <v>0</v>
      </c>
      <c r="AP1095" s="71">
        <f t="shared" si="601"/>
        <v>386</v>
      </c>
      <c r="AQ1095" s="72">
        <f>IF(OR($H1095="GIROSSOL II",$H1095="GIROSSOL II e III"),INDEX('Resumo Operacional'!$A$1:$P$1103,MATCH("Energia Injetada prevista total Fatura da Usina (TUSD)",'Resumo Operacional'!$B$1:$B$1103,0),MATCH('Detalhe Por UC'!$R1095,'Resumo Operacional'!$A$1:$P$1,0))*$S1095,INDEX('Resumo Operacional'!$A$1:$P$1103,53,MATCH('Detalhe Por UC'!$R1095,'Resumo Operacional'!$A$1:$P$1,0))*$S1095)</f>
        <v>1.3931</v>
      </c>
      <c r="AR1095" s="71">
        <f t="shared" si="602"/>
        <v>384.6069</v>
      </c>
      <c r="AS1095" s="73">
        <f t="shared" si="603"/>
        <v>102.69</v>
      </c>
      <c r="AT1095" s="74">
        <f t="shared" si="604"/>
        <v>102.69</v>
      </c>
      <c r="AU1095" s="74">
        <f t="shared" si="605"/>
        <v>0.89878063203204905</v>
      </c>
      <c r="AV1095" s="74">
        <f t="shared" si="606"/>
        <v>320.25132857142859</v>
      </c>
      <c r="AW1095" s="74">
        <f t="shared" si="607"/>
        <v>374.09999999000001</v>
      </c>
      <c r="AX1095" s="74">
        <f t="shared" si="608"/>
        <v>779.48142856142852</v>
      </c>
      <c r="AY1095" s="74">
        <f t="shared" si="609"/>
        <v>694.35</v>
      </c>
      <c r="AZ1095" s="76">
        <v>694.35</v>
      </c>
      <c r="BC1095" s="73" t="str">
        <f t="shared" si="610"/>
        <v/>
      </c>
      <c r="BD1095" s="73">
        <f t="shared" si="611"/>
        <v>508.0714285714285</v>
      </c>
      <c r="BE1095" s="73">
        <f t="shared" si="612"/>
        <v>422.94132857142858</v>
      </c>
      <c r="BF1095" s="77">
        <f t="shared" si="613"/>
        <v>85.13</v>
      </c>
      <c r="BG1095" s="77">
        <f t="shared" si="614"/>
        <v>25.538999999999998</v>
      </c>
      <c r="BH1095" s="77">
        <f t="shared" si="615"/>
        <v>405.3814285714285</v>
      </c>
      <c r="BI1095" s="78">
        <f t="shared" si="616"/>
        <v>0.11</v>
      </c>
      <c r="BJ1095" s="79">
        <f t="shared" si="617"/>
        <v>0.1675551806551385</v>
      </c>
      <c r="BK1095" s="80">
        <f t="shared" si="618"/>
        <v>797.04</v>
      </c>
      <c r="BL1095" s="80">
        <f t="shared" si="619"/>
        <v>-288.96857142857147</v>
      </c>
      <c r="BM1095" s="79">
        <f t="shared" si="620"/>
        <v>-0.56875579924082686</v>
      </c>
      <c r="BN1095" s="81">
        <f t="shared" si="621"/>
        <v>1.8082031250000001</v>
      </c>
      <c r="BO1095" s="82">
        <f t="shared" si="622"/>
        <v>694.35</v>
      </c>
      <c r="BP1095" s="81">
        <f t="shared" si="623"/>
        <v>1.8082031250000001</v>
      </c>
      <c r="BQ1095" s="81">
        <f t="shared" si="624"/>
        <v>1.9651032965393795</v>
      </c>
      <c r="BR1095" s="81">
        <f t="shared" si="625"/>
        <v>1.2125809751108079</v>
      </c>
      <c r="BS1095" s="82">
        <f t="shared" si="626"/>
        <v>384</v>
      </c>
      <c r="BT1095" s="82">
        <f t="shared" si="627"/>
        <v>465.63109444255019</v>
      </c>
      <c r="BU1095" s="82">
        <f t="shared" si="628"/>
        <v>405.3814285714285</v>
      </c>
      <c r="BW1095" s="82">
        <f>IFERROR(INDEX('Infos Clientes'!$T:$T,MATCH('Detalhe Por UC'!$C1095,'Infos Clientes'!B:B,0)),"")</f>
        <v>790</v>
      </c>
      <c r="BX1095" s="83">
        <f t="shared" si="629"/>
        <v>0</v>
      </c>
      <c r="BY1095" s="84">
        <f t="shared" si="630"/>
        <v>-0.62059552052579814</v>
      </c>
      <c r="BZ1095" s="85">
        <f>IF(_xlfn.MINIFS('Detalhe Por UC'!R:R,'Detalhe Por UC'!C:C,C1095,'Detalhe Por UC'!AD:AD,"&gt;"&amp;0)=0,"",_xlfn.MINIFS('Detalhe Por UC'!R:R,'Detalhe Por UC'!C:C,C1095,'Detalhe Por UC'!AD:AD,"&gt;"&amp;0))</f>
        <v>45717</v>
      </c>
      <c r="CA1095" s="114">
        <f ca="1">IF(OR(S1095&gt;0,AD1095&gt;0),IFERROR(
SUMIFS(INDIRECT("'Infos Clientes'!$W"&amp;INDEX('Infos Clientes'!$C:$C,MATCH(C1095,'Infos Clientes'!$H:$H,0))&amp;":$CZ"&amp;INDEX('Infos Clientes'!$C:$C,MATCH(C1095,'Infos Clientes'!$H:$H,0))),'Infos Clientes'!$W$2:$CZ$2,"&gt;"&amp;$R1095-365,'Infos Clientes'!$W$2:$CZ$2,"&lt;="&amp;$R1095)/
COUNTIFS(INDIRECT("'Infos Clientes'!$W"&amp;INDEX('Infos Clientes'!$C:$C,MATCH(C1095,'Infos Clientes'!$H:$H,0))&amp;":$CZ"&amp;INDEX('Infos Clientes'!$C:$C,MATCH(C1095,'Infos Clientes'!$H:$H,0))),"&gt;="&amp;0,'Infos Clientes'!$W$2:$CZ$2,"&gt;"&amp;$R1095-365,'Infos Clientes'!$W$2:$CZ$2,"&lt;="&amp;$R1095),""),"")</f>
        <v>237.16666666666666</v>
      </c>
      <c r="CB1095" s="87">
        <f>VLOOKUP(C1095,'Infos Clientes'!B:L,11,0)</f>
        <v>0</v>
      </c>
      <c r="CC1095" s="88" t="str">
        <f t="shared" si="631"/>
        <v>A Unidade Consumidora 10/925970-6 economizou R$85,13 na fatura referente à nov/2025  consumindo 384 kWh em créditos de energia renovável conforme fatura de energia. A economia foi de 21% em relação ao que seria pago para a Energisa considerando os créditos consumidos. Atenção: Mantenha as contas da Energisa em dia para evitar cortes.</v>
      </c>
      <c r="CF1095" s="115">
        <f t="shared" si="632"/>
        <v>-102.69</v>
      </c>
    </row>
    <row r="1096" spans="1:84" ht="16.2" customHeight="1" x14ac:dyDescent="0.3">
      <c r="C1096" s="31" t="s">
        <v>234</v>
      </c>
      <c r="D1096" s="31" t="s">
        <v>351</v>
      </c>
      <c r="E1096" s="31" t="s">
        <v>352</v>
      </c>
      <c r="F1096" s="56" t="str">
        <f>INDEX('Infos Clientes'!$I:$I,MATCH('Detalhe Por UC'!C1096,'Infos Clientes'!B:B,0))</f>
        <v>BT</v>
      </c>
      <c r="G1096" s="56" t="str">
        <f>INDEX('Infos Clientes'!$J:$J,MATCH('Detalhe Por UC'!C1096,'Infos Clientes'!B:B,0))</f>
        <v>trifasico</v>
      </c>
      <c r="H1096" s="156" t="s">
        <v>138</v>
      </c>
      <c r="I1096" s="58">
        <f>IFERROR(VLOOKUP(C1096,'Infos Clientes'!B:E,4,),"")</f>
        <v>302</v>
      </c>
      <c r="J1096" s="157">
        <v>0.21</v>
      </c>
      <c r="K1096" s="79">
        <f>INDEX('Resumo Operacional'!$A$1:$P$151,MATCH("Desconto percentual Ucs",'Resumo Operacional'!$B$1:$B$151,0),MATCH('Detalhe Por UC'!$R1096,'Resumo Operacional'!$A$1:$P$1,0))</f>
        <v>0.21</v>
      </c>
      <c r="M1096" s="56"/>
      <c r="N1096" s="56"/>
      <c r="O1096" s="56"/>
      <c r="P1096" s="56"/>
      <c r="Q1096" s="61"/>
      <c r="R1096" s="111">
        <v>45962</v>
      </c>
      <c r="S1096" s="152">
        <v>1E-4</v>
      </c>
      <c r="T1096" s="113" t="str">
        <f>IF($H1096="GIROSSOL II",AP1096/INDEX('Resumo Operacional'!$A$1:$P$1103,17,MATCH('Detalhe Por UC'!$R1096,'Resumo Operacional'!$A$1:$P$1,0)),
IF($H1096="GIROSSOL II e III",AP1096/INDEX('Resumo Operacional'!$A$1:$P$1103,17,MATCH('Detalhe Por UC'!$R1096,'Resumo Operacional'!$A$1:$P$1,0)),
""))</f>
        <v/>
      </c>
      <c r="U1096" s="113">
        <f>IF($H1096="GIROSSOL III",AP1096/INDEX('Resumo Operacional'!$A$1:$P$1103,53,MATCH('Detalhe Por UC'!$R1096,'Resumo Operacional'!$A$1:$P$1,0)),
IF($H1096="GIROSSOL II e III",AP1096/INDEX('Resumo Operacional'!$A$1:$P$1103,53,MATCH('Detalhe Por UC'!$R1096,'Resumo Operacional'!$A$1:$P$1,0)),
""))</f>
        <v>7.1782355896920534E-5</v>
      </c>
      <c r="X1096">
        <v>1.212674763765893</v>
      </c>
      <c r="Z1096">
        <v>1.0586585365853658</v>
      </c>
      <c r="AB1096">
        <v>493</v>
      </c>
      <c r="AD1096">
        <v>1</v>
      </c>
      <c r="AF1096">
        <v>0</v>
      </c>
      <c r="AG1096">
        <v>0</v>
      </c>
      <c r="AH1096">
        <v>86.34</v>
      </c>
      <c r="AK1096">
        <v>683.13</v>
      </c>
      <c r="AL1096" s="43">
        <v>0</v>
      </c>
      <c r="AN1096" s="71">
        <f t="shared" si="599"/>
        <v>0</v>
      </c>
      <c r="AO1096" s="71">
        <f t="shared" si="600"/>
        <v>0</v>
      </c>
      <c r="AP1096" s="71">
        <f t="shared" si="601"/>
        <v>1</v>
      </c>
      <c r="AQ1096" s="72">
        <f>IF(OR($H1096="GIROSSOL II",$H1096="GIROSSOL II e III"),INDEX('Resumo Operacional'!$A$1:$P$1103,MATCH("Energia Injetada prevista total Fatura da Usina (TUSD)",'Resumo Operacional'!$B$1:$B$1103,0),MATCH('Detalhe Por UC'!$R1096,'Resumo Operacional'!$A$1:$P$1,0))*$S1096,INDEX('Resumo Operacional'!$A$1:$P$1103,53,MATCH('Detalhe Por UC'!$R1096,'Resumo Operacional'!$A$1:$P$1,0))*$S1096)</f>
        <v>1.3931</v>
      </c>
      <c r="AR1096" s="71">
        <f t="shared" si="602"/>
        <v>-0.3931</v>
      </c>
      <c r="AS1096" s="73">
        <f t="shared" si="603"/>
        <v>683.13</v>
      </c>
      <c r="AT1096" s="74">
        <f t="shared" si="604"/>
        <v>683.13</v>
      </c>
      <c r="AU1096" s="74">
        <f t="shared" si="605"/>
        <v>0.90464230940483858</v>
      </c>
      <c r="AV1096" s="74">
        <f t="shared" si="606"/>
        <v>0.836340243902439</v>
      </c>
      <c r="AW1096" s="74">
        <f t="shared" si="607"/>
        <v>-9.9999999999999995E-8</v>
      </c>
      <c r="AX1096" s="74">
        <f t="shared" si="608"/>
        <v>1.0586584365853657</v>
      </c>
      <c r="AY1096" s="74">
        <f t="shared" si="609"/>
        <v>0.84</v>
      </c>
      <c r="AZ1096" s="129">
        <v>0.84</v>
      </c>
      <c r="BA1096" s="117"/>
      <c r="BC1096" s="73" t="str">
        <f t="shared" si="610"/>
        <v/>
      </c>
      <c r="BD1096" s="73">
        <f t="shared" si="611"/>
        <v>684.18865853658531</v>
      </c>
      <c r="BE1096" s="73">
        <f t="shared" si="612"/>
        <v>683.96634024390244</v>
      </c>
      <c r="BF1096" s="77">
        <f t="shared" si="613"/>
        <v>0.22</v>
      </c>
      <c r="BG1096" s="77">
        <f t="shared" si="614"/>
        <v>6.6000000000000003E-2</v>
      </c>
      <c r="BH1096" s="77">
        <f t="shared" si="615"/>
        <v>1.0586585365853658</v>
      </c>
      <c r="BI1096" s="78">
        <f t="shared" si="616"/>
        <v>0.21</v>
      </c>
      <c r="BJ1096" s="79">
        <f t="shared" si="617"/>
        <v>3.2154873842919166E-4</v>
      </c>
      <c r="BK1096" s="80">
        <f t="shared" si="618"/>
        <v>683.97</v>
      </c>
      <c r="BL1096" s="80">
        <f t="shared" si="619"/>
        <v>0.21865853658528067</v>
      </c>
      <c r="BM1096" s="79">
        <f t="shared" si="620"/>
        <v>3.1958807538986475E-4</v>
      </c>
      <c r="BN1096" s="81">
        <f t="shared" si="621"/>
        <v>0.84</v>
      </c>
      <c r="BO1096" s="82">
        <f t="shared" si="622"/>
        <v>0.84</v>
      </c>
      <c r="BP1096" s="81">
        <f t="shared" si="623"/>
        <v>0.84</v>
      </c>
      <c r="BQ1096" s="81">
        <f t="shared" si="624"/>
        <v>0.99401622718052718</v>
      </c>
      <c r="BR1096" s="81">
        <f t="shared" si="625"/>
        <v>1.212674763765893</v>
      </c>
      <c r="BS1096" s="82">
        <f t="shared" si="626"/>
        <v>1</v>
      </c>
      <c r="BT1096" s="82">
        <f t="shared" si="627"/>
        <v>1.212674763765893</v>
      </c>
      <c r="BU1096" s="82">
        <f t="shared" si="628"/>
        <v>1.0586585365853658</v>
      </c>
      <c r="BW1096" s="82">
        <f>IFERROR(INDEX('Infos Clientes'!$T:$T,MATCH('Detalhe Por UC'!$C1096,'Infos Clientes'!B:B,0)),"")</f>
        <v>426.36363636363637</v>
      </c>
      <c r="BX1096" s="83">
        <f t="shared" si="629"/>
        <v>0</v>
      </c>
      <c r="BY1096" s="84">
        <f t="shared" si="630"/>
        <v>0.18031094825980717</v>
      </c>
      <c r="BZ1096" s="85">
        <f>IF(_xlfn.MINIFS('Detalhe Por UC'!R:R,'Detalhe Por UC'!C:C,C1096,'Detalhe Por UC'!AD:AD,"&gt;"&amp;0)=0,"",_xlfn.MINIFS('Detalhe Por UC'!R:R,'Detalhe Por UC'!C:C,C1096,'Detalhe Por UC'!AD:AD,"&gt;"&amp;0))</f>
        <v>45658</v>
      </c>
      <c r="CA1096" s="114">
        <f ca="1">IF(OR(S1096&gt;0,AD1096&gt;0),IFERROR(
SUMIFS(INDIRECT("'Infos Clientes'!$W"&amp;INDEX('Infos Clientes'!$C:$C,MATCH(C1096,'Infos Clientes'!$H:$H,0))&amp;":$CZ"&amp;INDEX('Infos Clientes'!$C:$C,MATCH(C1096,'Infos Clientes'!$H:$H,0))),'Infos Clientes'!$W$2:$CZ$2,"&gt;"&amp;$R1096-365,'Infos Clientes'!$W$2:$CZ$2,"&lt;="&amp;$R1096)/
COUNTIFS(INDIRECT("'Infos Clientes'!$W"&amp;INDEX('Infos Clientes'!$C:$C,MATCH(C1096,'Infos Clientes'!$H:$H,0))&amp;":$CZ"&amp;INDEX('Infos Clientes'!$C:$C,MATCH(C1096,'Infos Clientes'!$H:$H,0))),"&gt;="&amp;0,'Infos Clientes'!$W$2:$CZ$2,"&gt;"&amp;$R1096-365,'Infos Clientes'!$W$2:$CZ$2,"&lt;="&amp;$R1096),""),"")</f>
        <v>507.83333333333331</v>
      </c>
      <c r="CB1096" s="87">
        <f>VLOOKUP(C1096,'Infos Clientes'!B:L,11,0)</f>
        <v>0</v>
      </c>
      <c r="CC1096" s="88" t="str">
        <f t="shared" si="631"/>
        <v>A Unidade Consumidora 10/8777-5 economizou R$0,22 na fatura referente à nov/2025  consumindo 1 kWh em créditos de energia renovável conforme fatura de energia. A economia foi de 21% em relação ao que seria pago para a Energisa considerando os créditos consumidos. Atenção: Mantenha as contas da Energisa em dia para evitar cortes.</v>
      </c>
      <c r="CF1096" s="115">
        <f t="shared" si="632"/>
        <v>-683.13</v>
      </c>
    </row>
    <row r="1097" spans="1:84" ht="16.2" customHeight="1" x14ac:dyDescent="0.3">
      <c r="C1097" s="31" t="s">
        <v>201</v>
      </c>
      <c r="D1097" s="31" t="s">
        <v>351</v>
      </c>
      <c r="E1097" s="31" t="s">
        <v>352</v>
      </c>
      <c r="F1097" s="56" t="str">
        <f>INDEX('Infos Clientes'!$I:$I,MATCH('Detalhe Por UC'!C1097,'Infos Clientes'!B:B,0))</f>
        <v>BT</v>
      </c>
      <c r="G1097" s="56" t="str">
        <f>INDEX('Infos Clientes'!$J:$J,MATCH('Detalhe Por UC'!C1097,'Infos Clientes'!B:B,0))</f>
        <v>bifasico</v>
      </c>
      <c r="H1097" s="156" t="s">
        <v>138</v>
      </c>
      <c r="I1097" s="58">
        <f>IFERROR(VLOOKUP(C1097,'Infos Clientes'!B:E,4,),"")</f>
        <v>319</v>
      </c>
      <c r="J1097" s="157">
        <v>0.21</v>
      </c>
      <c r="K1097" s="79">
        <f>INDEX('Resumo Operacional'!$A$1:$P$151,MATCH("Desconto percentual Ucs",'Resumo Operacional'!$B$1:$B$151,0),MATCH('Detalhe Por UC'!$R1097,'Resumo Operacional'!$A$1:$P$1,0))</f>
        <v>0.21</v>
      </c>
      <c r="M1097" s="56"/>
      <c r="N1097" s="56"/>
      <c r="O1097" s="56"/>
      <c r="P1097" s="56"/>
      <c r="Q1097" s="61"/>
      <c r="R1097" s="111">
        <v>45962</v>
      </c>
      <c r="S1097" s="152">
        <v>1E-4</v>
      </c>
      <c r="T1097" s="113" t="str">
        <f>IF($H1097="GIROSSOL II",AP1097/INDEX('Resumo Operacional'!$A$1:$P$1103,17,MATCH('Detalhe Por UC'!$R1097,'Resumo Operacional'!$A$1:$P$1,0)),
IF($H1097="GIROSSOL II e III",AP1097/INDEX('Resumo Operacional'!$A$1:$P$1103,17,MATCH('Detalhe Por UC'!$R1097,'Resumo Operacional'!$A$1:$P$1,0)),
""))</f>
        <v/>
      </c>
      <c r="U1097" s="113">
        <f>IF($H1097="GIROSSOL III",AP1097/INDEX('Resumo Operacional'!$A$1:$P$1103,53,MATCH('Detalhe Por UC'!$R1097,'Resumo Operacional'!$A$1:$P$1,0)),
IF($H1097="GIROSSOL II e III",AP1097/INDEX('Resumo Operacional'!$A$1:$P$1103,53,MATCH('Detalhe Por UC'!$R1097,'Resumo Operacional'!$A$1:$P$1,0)),
""))</f>
        <v>1.8663412533199339E-3</v>
      </c>
      <c r="X1097" s="158">
        <v>1.2127196761979371</v>
      </c>
      <c r="Y1097" s="158"/>
      <c r="Z1097" s="158">
        <v>1.0557910878585604</v>
      </c>
      <c r="AA1097" s="158"/>
      <c r="AB1097" s="158">
        <v>333</v>
      </c>
      <c r="AC1097" s="158"/>
      <c r="AD1097" s="158">
        <v>241</v>
      </c>
      <c r="AE1097" s="158"/>
      <c r="AF1097" s="158">
        <v>0</v>
      </c>
      <c r="AG1097" s="158">
        <v>0</v>
      </c>
      <c r="AH1097" s="158">
        <v>83.97999999999999</v>
      </c>
      <c r="AI1097" s="158"/>
      <c r="AJ1097" s="158"/>
      <c r="AK1097" s="158">
        <v>233.37</v>
      </c>
      <c r="AL1097" s="43">
        <f>AK1097-AT1097</f>
        <v>0</v>
      </c>
      <c r="AN1097" s="71">
        <f t="shared" ref="AN1097" si="635">IF(X1097="","",AF1097-SUMIFS(AF:AF,$C:$C,$C1097,$R:$R,EDATE($R1097,-1)))</f>
        <v>-215</v>
      </c>
      <c r="AO1097" s="71">
        <f t="shared" ref="AO1097" si="636">IF(X1097="","",AG1097-SUMIFS(AG:AG,$H:$H,$H1097,$C:$C,$C1097,$R:$R,EDATE($R1097,-1)))</f>
        <v>0</v>
      </c>
      <c r="AP1097" s="71">
        <f t="shared" ref="AP1097" si="637">IFERROR(IF(D1097="CRÉD. CONSUMIDO",SUM(AD1097,AE1097,AN1097,AO1097),IF(D1097="GERADO",AQ1097)),"")</f>
        <v>26</v>
      </c>
      <c r="AQ1097" s="72">
        <f>IF(OR($H1097="GIROSSOL II",$H1097="GIROSSOL II e III"),INDEX('Resumo Operacional'!$A$1:$P$1103,MATCH("Energia Injetada prevista total Fatura da Usina (TUSD)",'Resumo Operacional'!$B$1:$B$1103,0),MATCH('Detalhe Por UC'!$R1097,'Resumo Operacional'!$A$1:$P$1,0))*$S1097,INDEX('Resumo Operacional'!$A$1:$P$1103,53,MATCH('Detalhe Por UC'!$R1097,'Resumo Operacional'!$A$1:$P$1,0))*$S1097)</f>
        <v>1.3931</v>
      </c>
      <c r="AR1097" s="71">
        <f t="shared" ref="AR1097" si="638">IF(X1097="","",AP1097-AQ1097)</f>
        <v>24.6069</v>
      </c>
      <c r="AS1097" s="73">
        <f t="shared" ref="AS1097" si="639">IFERROR((X1097*AB1097-Z1097*AD1097+Y1097*AC1097-AA1097*AE1097)+AH1097+
IF(F1097&lt;&gt;"BT",0,
IF(AND(G1097="trifasico",AD1097=0,AB1097&lt;100),X1097*(100-(AB1097-AD1097)),
IF(AND(G1097="bifasico",AD1097=0,AB1097&lt;50),X1097*(50-(AB1097-AD1097)),
IF(AND(G1097="monofasico",AD1097=0,AB1097&lt;30),X1097*(30-(AB1097-AD1097)),0)))),"")</f>
        <v>233.37</v>
      </c>
      <c r="AT1097" s="74">
        <f t="shared" ref="AT1097" si="640">IFERROR(AS1097+AI1097+AJ1097,"")</f>
        <v>233.37</v>
      </c>
      <c r="AU1097" s="74">
        <f t="shared" ref="AU1097" si="641">IFERROR((Z1097*AD1097+AA1097*AE1097)/(AD1097+AE1097)-((X1097-Z1097)*AD1097+(Y1097-AA1097)*AE1097)/(AD1097+AE1097),"")</f>
        <v>0.89886249951918362</v>
      </c>
      <c r="AV1097" s="74">
        <f t="shared" ref="AV1097" si="642">IFERROR(IF(AND(E1097="FINAL-Ñ.COMP",D1097="CRÉD. CONSUMIDO"),(X1097*(1-J1097)-(X1097-Z1097))*AD1097+(Y1097*(1-J1097)-(Y1097-AA1097))*AE1097,
IF(AND(E1097="T.COMP",D1097="CRÉD. CONSUMIDO"),Z1097*(1-J1097)*AD1097+AA1097*(1-J1097)*AE1097,
IF(AND(E1097="T.S.IMP",D1097="CRÉD. CONSUMIDO"),V1097*(1-J1097)*AD1097+W1097*(1-J1097)*AE1097,
IF(AND(E1097="T.S.IMP",D1097="GERADO"),V1097*(1-J1097)*AQ1097+W1097*(1-J1097)*AQ1097,
IF(AND(E1097="T.COMP",D1097="GERADO"),AU1097*(1-J1097)*AQ1097,
IF(AND(E1097="FINAL-Ñ.COMP",D1097="GERADO"),(AU1097*(1-J1097)-(X1097-Z1097))*AQ1097,"ERRO")))))),"")</f>
        <v>201.01206521739132</v>
      </c>
      <c r="AW1097" s="74">
        <f t="shared" ref="AW1097" si="643">IF(45658=R1097,0,IF(
SUMIFS($BA:$BA,$C:$C,$C1097,$R:$R,EDATE($R1097,-1))
&gt;=0,
SUMIFS(AY:AY,$C:$C,$C1097,$R:$R,EDATE($R1097,-1))-SUMIFS(BA:BA,$C:$C,$C1097,$R:$R,EDATE($R1097,-1)),0))</f>
        <v>-147.17000000000002</v>
      </c>
      <c r="AX1097" s="74">
        <f t="shared" ref="AX1097" si="644">IFERROR(IF(AND(E1097="FINAL-Ñ.COMP",D1097="CRÉD. CONSUMIDO"),(X1097-(X1097-Z1097))*AD1097+(Y1097-(Y1097-AA1097))*AE1097,
IF(AND(E1097="T.COMP",D1097="CRÉD. CONSUMIDO"),Z1097*AD1097+AA1097*AE1097,
IF(AND(E1097="T.S.IMP",D1097="CRÉD. CONSUMIDO"),V1097*AD1097+W1097*AE1097,
IF(AND(E1097="T.S.IMP",D1097="GERADO"),V1097*AQ1097+W1097*AQ1097,
IF(AND(E1097="T.COMP",D1097="GERADO"),AU1097*AQ1097,
IF(AND(E1097="FINAL-Ñ.COMP",D1097="GERADO"),(AU1097-(X1097-Z1097))*AQ1097,"ERRO"))))))+AW1097,"")</f>
        <v>107.27565217391302</v>
      </c>
      <c r="AY1097" s="74">
        <f t="shared" ref="AY1097" si="645">IF(AV1097=0,IF(AW1097=0,"",AW1097),IFERROR(ROUND(IF(SUMIFS($BA:$BA,$C:$C,$C1097,$R:$R,EDATE($R1097,-1))&gt;0,AV1097+AW1097,AV1097),2),""))</f>
        <v>53.84</v>
      </c>
      <c r="AZ1097" s="129">
        <v>53.84</v>
      </c>
      <c r="BC1097" s="73" t="str">
        <f t="shared" ref="BC1097" si="646">IF(BB1097&gt;BA1097,BB1097-BA1097,"")</f>
        <v/>
      </c>
      <c r="BD1097" s="73">
        <f t="shared" ref="BD1097" si="647">IF(AB1097&gt;0,X1097*AB1097+Y1097*AC1097+AH1097,AH1097+
IF(AND(G1097="trifasico",AB1097-AD1097=0),X1097*(100-(AB1097-AD1097)),
IF(AND(G1097="bifasico",AB1097-AD1097=0),X1097*(50-(AB1097-AD1097)),
IF(AND(G1097="monofasico",AB1097-AD1097=0),X1097*(30-(AB1097-AD1097)),0))))</f>
        <v>487.81565217391301</v>
      </c>
      <c r="BE1097" s="73">
        <f t="shared" ref="BE1097" si="648">IFERROR(AS1097+AV1097,"")</f>
        <v>434.3820652173913</v>
      </c>
      <c r="BF1097" s="77">
        <f t="shared" ref="BF1097" si="649">ROUND(BD1097-BE1097,2)</f>
        <v>53.43</v>
      </c>
      <c r="BG1097" s="77">
        <f t="shared" ref="BG1097" si="650">BF1097*0.3</f>
        <v>16.029</v>
      </c>
      <c r="BH1097" s="77">
        <f t="shared" ref="BH1097" si="651">(X1097*AD1097)-((X1097-Z1097)*AD1097)</f>
        <v>254.445652173913</v>
      </c>
      <c r="BI1097" s="78">
        <f t="shared" ref="BI1097" si="652">IFERROR(ROUND(IFERROR(IF(BF1097=0,"",BF1097/(AY1097+Z1097*J1097*AD1097+AA1097*J1097*AE1097)),0),2),"")</f>
        <v>0.5</v>
      </c>
      <c r="BJ1097" s="79">
        <f t="shared" ref="BJ1097" si="653">IFERROR(BF1097/BD1097,"")</f>
        <v>0.10952908083595372</v>
      </c>
      <c r="BK1097" s="80">
        <f t="shared" ref="BK1097" si="654">IFERROR(AS1097+AY1097,"")</f>
        <v>287.21000000000004</v>
      </c>
      <c r="BL1097" s="80">
        <f t="shared" ref="BL1097" si="655">IFERROR(BD1097-BK1097,"")</f>
        <v>200.60565217391297</v>
      </c>
      <c r="BM1097" s="79">
        <f t="shared" ref="BM1097" si="656">IFERROR(IF(BL1097=0,"",BL1097/BD1097),"")</f>
        <v>0.41123250408208362</v>
      </c>
      <c r="BN1097" s="81">
        <f t="shared" ref="BN1097" si="657">IFERROR(IF(AD1097="","",AY1097/(AD1097+AE1097)),"")</f>
        <v>0.22340248962655604</v>
      </c>
      <c r="BO1097" s="82">
        <f t="shared" ref="BO1097" si="658">IF(OR(BN1097="",BN1097=0),"",BN1097*(AD1097+AE1097))</f>
        <v>53.84</v>
      </c>
      <c r="BP1097" s="81">
        <f t="shared" ref="BP1097" si="659">IFERROR(IF(AD1097="","",AY1097/AD1097),"")</f>
        <v>0.22340248962655604</v>
      </c>
      <c r="BQ1097" s="81">
        <f t="shared" ref="BQ1097" si="660">IFERROR(BP1097+(X1097-Z1097),"")</f>
        <v>0.3803310779659328</v>
      </c>
      <c r="BR1097" s="81">
        <f t="shared" ref="BR1097" si="661">IFERROR(IF(AD1097="","",(X1097*AD1097+Y1097*AE1097)/(AD1097+AE1097)),"")</f>
        <v>1.2127196761979371</v>
      </c>
      <c r="BS1097" s="82">
        <f t="shared" ref="BS1097" si="662">IFERROR(IF(D1097="gerado",AQ1097,AD1097),"")</f>
        <v>241</v>
      </c>
      <c r="BT1097" s="82">
        <f t="shared" ref="BT1097" si="663">IF(OR(BR1097="",BR1097=0),"",BR1097*(AD1097+AE1097))</f>
        <v>292.26544196370281</v>
      </c>
      <c r="BU1097" s="82">
        <f t="shared" ref="BU1097" si="664">IFERROR(BS1097*Z1097,"")</f>
        <v>254.44565217391303</v>
      </c>
      <c r="BW1097" s="82">
        <f>IFERROR(INDEX('Infos Clientes'!$T:$T,MATCH('Detalhe Por UC'!$C1097,'Infos Clientes'!B:B,0)),"")</f>
        <v>293</v>
      </c>
      <c r="BX1097" s="83">
        <f t="shared" ref="BX1097" si="665">IFERROR(BW1097*Q1097,"")</f>
        <v>0</v>
      </c>
      <c r="BY1097" s="84">
        <f t="shared" ref="BY1097" si="666">IFERROR((X1097-BQ1097)/X1097,"")</f>
        <v>0.68638170433720569</v>
      </c>
      <c r="BZ1097" s="85">
        <f>IF(_xlfn.MINIFS('Detalhe Por UC'!R:R,'Detalhe Por UC'!C:C,C1097,'Detalhe Por UC'!AD:AD,"&gt;"&amp;0)=0,"",_xlfn.MINIFS('Detalhe Por UC'!R:R,'Detalhe Por UC'!C:C,C1097,'Detalhe Por UC'!AD:AD,"&gt;"&amp;0))</f>
        <v>45658</v>
      </c>
      <c r="CA1097" s="114">
        <f ca="1">IF(OR(S1097&gt;0,AD1097&gt;0),IFERROR(
SUMIFS(INDIRECT("'Infos Clientes'!$W"&amp;INDEX('Infos Clientes'!$C:$C,MATCH(C1097,'Infos Clientes'!$H:$H,0))&amp;":$CZ"&amp;INDEX('Infos Clientes'!$C:$C,MATCH(C1097,'Infos Clientes'!$H:$H,0))),'Infos Clientes'!$W$2:$CZ$2,"&gt;"&amp;$R1097-365,'Infos Clientes'!$W$2:$CZ$2,"&lt;="&amp;$R1097)/
COUNTIFS(INDIRECT("'Infos Clientes'!$W"&amp;INDEX('Infos Clientes'!$C:$C,MATCH(C1097,'Infos Clientes'!$H:$H,0))&amp;":$CZ"&amp;INDEX('Infos Clientes'!$C:$C,MATCH(C1097,'Infos Clientes'!$H:$H,0))),"&gt;="&amp;0,'Infos Clientes'!$W$2:$CZ$2,"&gt;"&amp;$R1097-365,'Infos Clientes'!$W$2:$CZ$2,"&lt;="&amp;$R1097),""),"")</f>
        <v>271.41666666666669</v>
      </c>
      <c r="CB1097" s="87">
        <f>VLOOKUP(C1097,'Infos Clientes'!B:L,11,0)</f>
        <v>0</v>
      </c>
      <c r="CC1097" s="88" t="str">
        <f t="shared" ref="CC1097" si="667">"A Unidade Consumidora "&amp;C1097&amp;" economizou R$"&amp;BF1097&amp;" na fatura referente à "&amp;TEXT(R1097,"mmm/aaaa")&amp;"  consumindo "&amp;AD1097&amp;" kWh em créditos de energia renovável conforme fatura de energia. A economia foi de "&amp;$J1097*100&amp;"% em relação ao que seria pago para a Energisa considerando os créditos consumidos. Atenção: Mantenha as contas da Energisa em dia para evitar cortes."</f>
        <v>A Unidade Consumidora 10/41548-9 economizou R$53,43 na fatura referente à nov/2025  consumindo 241 kWh em créditos de energia renovável conforme fatura de energia. A economia foi de 21% em relação ao que seria pago para a Energisa considerando os créditos consumidos. Atenção: Mantenha as contas da Energisa em dia para evitar cortes.</v>
      </c>
      <c r="CF1097" s="115">
        <f t="shared" ref="CF1097" si="668">CE1097-AT1097</f>
        <v>-233.37</v>
      </c>
    </row>
    <row r="1098" spans="1:84" ht="16.2" customHeight="1" x14ac:dyDescent="0.3">
      <c r="A1098" s="153"/>
      <c r="B1098" s="153"/>
      <c r="K1098" s="153"/>
      <c r="L1098" s="153"/>
      <c r="M1098" s="153"/>
      <c r="N1098" s="153"/>
      <c r="O1098" s="153"/>
      <c r="P1098" s="153"/>
      <c r="Q1098" s="153"/>
      <c r="AZ1098" s="117"/>
      <c r="BA1098" s="117"/>
      <c r="BB1098" s="117"/>
    </row>
    <row r="1100" spans="1:84" ht="16.2" customHeight="1" x14ac:dyDescent="0.3">
      <c r="Z1100" s="363" t="s">
        <v>363</v>
      </c>
      <c r="AA1100" s="363"/>
    </row>
    <row r="1101" spans="1:84" ht="16.2" customHeight="1" x14ac:dyDescent="0.3">
      <c r="C1101" s="159"/>
    </row>
    <row r="1102" spans="1:84" ht="16.2" customHeight="1" x14ac:dyDescent="0.3">
      <c r="C1102" s="159"/>
      <c r="Z1102" s="160" t="s">
        <v>364</v>
      </c>
      <c r="AA1102" s="161">
        <v>863.84</v>
      </c>
    </row>
    <row r="1103" spans="1:84" ht="16.2" customHeight="1" x14ac:dyDescent="0.3">
      <c r="C1103" s="31"/>
      <c r="Z1103" s="160" t="s">
        <v>365</v>
      </c>
      <c r="AA1103" s="162">
        <v>759</v>
      </c>
    </row>
    <row r="1104" spans="1:84" ht="16.2" customHeight="1" x14ac:dyDescent="0.3">
      <c r="C1104" s="31"/>
      <c r="Z1104" s="160" t="s">
        <v>366</v>
      </c>
      <c r="AA1104" s="163">
        <v>659</v>
      </c>
    </row>
    <row r="1105" spans="3:27" ht="16.2" customHeight="1" x14ac:dyDescent="0.3">
      <c r="C1105" s="31"/>
      <c r="Z1105" s="164" t="s">
        <v>367</v>
      </c>
      <c r="AA1105" s="165">
        <f>AA1103-AA1104</f>
        <v>100</v>
      </c>
    </row>
    <row r="1106" spans="3:27" ht="16.2" customHeight="1" x14ac:dyDescent="0.3">
      <c r="C1106" s="31"/>
      <c r="Z1106" s="18"/>
      <c r="AA1106" s="46"/>
    </row>
    <row r="1107" spans="3:27" ht="16.2" customHeight="1" x14ac:dyDescent="0.3">
      <c r="C1107" s="31"/>
    </row>
    <row r="1109" spans="3:27" ht="16.2" customHeight="1" x14ac:dyDescent="0.3">
      <c r="Z1109" s="164" t="s">
        <v>368</v>
      </c>
      <c r="AA1109" s="166">
        <f>AA1102/AA1103</f>
        <v>1.138129117259552</v>
      </c>
    </row>
    <row r="1110" spans="3:27" ht="16.2" customHeight="1" x14ac:dyDescent="0.3">
      <c r="Z1110" s="18"/>
      <c r="AA1110" s="46"/>
    </row>
    <row r="1111" spans="3:27" ht="16.2" customHeight="1" x14ac:dyDescent="0.3">
      <c r="Z1111" s="160" t="s">
        <v>369</v>
      </c>
      <c r="AA1111" s="167">
        <v>2.02</v>
      </c>
    </row>
    <row r="1112" spans="3:27" ht="16.2" customHeight="1" x14ac:dyDescent="0.3">
      <c r="Z1112" s="160" t="s">
        <v>370</v>
      </c>
      <c r="AA1112" s="167">
        <v>6.64</v>
      </c>
    </row>
    <row r="1113" spans="3:27" ht="16.2" customHeight="1" x14ac:dyDescent="0.3">
      <c r="Z1113" s="18"/>
      <c r="AA1113" s="46"/>
    </row>
    <row r="1114" spans="3:27" ht="16.2" customHeight="1" x14ac:dyDescent="0.3">
      <c r="Z1114" s="168" t="s">
        <v>371</v>
      </c>
      <c r="AA1114" s="169">
        <f>AA1109+(SUM(AA1111:AA1112))/AA1105</f>
        <v>1.224729117259552</v>
      </c>
    </row>
    <row r="1115" spans="3:27" ht="16.2" customHeight="1" x14ac:dyDescent="0.3">
      <c r="Z1115" s="18"/>
      <c r="AA1115" s="46"/>
    </row>
    <row r="1116" spans="3:27" ht="16.2" customHeight="1" x14ac:dyDescent="0.3">
      <c r="Z1116" s="18"/>
      <c r="AA1116" s="46"/>
    </row>
    <row r="1117" spans="3:27" ht="16.2" customHeight="1" x14ac:dyDescent="0.3">
      <c r="Z1117" s="160" t="s">
        <v>372</v>
      </c>
      <c r="AA1117" s="167">
        <v>750.02</v>
      </c>
    </row>
    <row r="1118" spans="3:27" ht="16.2" customHeight="1" x14ac:dyDescent="0.3">
      <c r="Z1118" s="164" t="s">
        <v>365</v>
      </c>
      <c r="AA1118" s="170">
        <f>AA1104</f>
        <v>659</v>
      </c>
    </row>
    <row r="1119" spans="3:27" ht="16.2" customHeight="1" x14ac:dyDescent="0.3">
      <c r="Z1119" s="164" t="s">
        <v>373</v>
      </c>
      <c r="AA1119" s="170">
        <f>AA1117/AA1118</f>
        <v>1.1381183611532626</v>
      </c>
    </row>
    <row r="1122" spans="26:27" ht="16.2" customHeight="1" x14ac:dyDescent="0.3">
      <c r="Z1122" s="168" t="s">
        <v>374</v>
      </c>
      <c r="AA1122" s="169">
        <f>AA1119+(SUM(AA1111:AA1112)/AA1105)</f>
        <v>1.2247183611532626</v>
      </c>
    </row>
  </sheetData>
  <autoFilter ref="A8:CG1097" xr:uid="{5B00026F-C86C-424A-9D52-F0E308C25238}">
    <filterColumn colId="17">
      <filters>
        <dateGroupItem year="2025" month="11" dateTimeGrouping="month"/>
      </filters>
    </filterColumn>
  </autoFilter>
  <mergeCells count="1">
    <mergeCell ref="Z1100:AA110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693E1F-16E3-4189-93D9-47F1B3C80A99}">
          <x14:formula1>
            <xm:f>'Infos Clientes'!$B$3:$B$46</xm:f>
          </x14:formula1>
          <xm:sqref>C262:C342 C359:C385 C456:C482 C712:C723 C553:C579 C770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4A30-F025-45D2-B5C9-DDDEE3BF4709}">
  <sheetPr codeName="Planilha2">
    <tabColor rgb="FF323941"/>
    <pageSetUpPr fitToPage="1"/>
  </sheetPr>
  <dimension ref="A1:P160"/>
  <sheetViews>
    <sheetView showGridLines="0" zoomScaleNormal="100" workbookViewId="0">
      <pane xSplit="3" ySplit="1" topLeftCell="D116" activePane="bottomRight" state="frozen"/>
      <selection activeCell="R8" sqref="R8"/>
      <selection pane="topRight" activeCell="R8" sqref="R8"/>
      <selection pane="bottomLeft" activeCell="R8" sqref="R8"/>
      <selection pane="bottomRight" activeCell="R8" sqref="R8"/>
    </sheetView>
  </sheetViews>
  <sheetFormatPr defaultRowHeight="14.4" outlineLevelRow="1" outlineLevelCol="1" x14ac:dyDescent="0.3"/>
  <cols>
    <col min="1" max="1" width="4.5546875" hidden="1" customWidth="1" outlineLevel="1"/>
    <col min="2" max="2" width="86" customWidth="1" collapsed="1"/>
    <col min="3" max="6" width="21.6640625" customWidth="1"/>
    <col min="7" max="8" width="14.6640625" bestFit="1" customWidth="1"/>
    <col min="9" max="10" width="17.33203125" customWidth="1"/>
    <col min="11" max="11" width="17.33203125" customWidth="1" outlineLevel="1"/>
    <col min="12" max="14" width="17.33203125" customWidth="1"/>
    <col min="15" max="15" width="10.6640625" style="178" bestFit="1" customWidth="1"/>
    <col min="16" max="16" width="94" bestFit="1" customWidth="1"/>
    <col min="17" max="17" width="19" bestFit="1" customWidth="1"/>
  </cols>
  <sheetData>
    <row r="1" spans="1:16" ht="18" x14ac:dyDescent="0.35">
      <c r="A1" s="171"/>
      <c r="B1" s="172" t="s">
        <v>375</v>
      </c>
      <c r="C1" s="171"/>
      <c r="D1" s="173">
        <v>45962</v>
      </c>
      <c r="E1" s="173">
        <v>45931</v>
      </c>
      <c r="F1" s="173">
        <v>45901</v>
      </c>
      <c r="G1" s="173">
        <v>45870</v>
      </c>
      <c r="H1" s="173">
        <v>45839</v>
      </c>
      <c r="I1" s="173">
        <v>45809</v>
      </c>
      <c r="J1" s="173">
        <v>45778</v>
      </c>
      <c r="K1" s="173">
        <v>45748</v>
      </c>
      <c r="L1" s="174">
        <v>45717</v>
      </c>
      <c r="M1" s="174">
        <v>45689</v>
      </c>
      <c r="N1" s="174">
        <v>45658</v>
      </c>
      <c r="O1" s="175"/>
      <c r="P1" s="171" t="s">
        <v>376</v>
      </c>
    </row>
    <row r="2" spans="1:16" x14ac:dyDescent="0.3">
      <c r="B2" s="176" t="s">
        <v>377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6" x14ac:dyDescent="0.3">
      <c r="B3" s="179" t="s">
        <v>378</v>
      </c>
      <c r="C3" s="180"/>
      <c r="D3" s="181">
        <f>COUNTIFS('Detalhe Por UC'!$S:$S,"&gt;"&amp;0,'Detalhe Por UC'!$R:$R,D$1)</f>
        <v>90</v>
      </c>
      <c r="E3" s="181">
        <f>COUNTIFS('Detalhe Por UC'!$S:$S,"&gt;"&amp;0,'Detalhe Por UC'!$R:$R,E$1)</f>
        <v>89</v>
      </c>
      <c r="F3" s="181">
        <f>COUNTIFS('Detalhe Por UC'!$S:$S,"&gt;"&amp;0,'Detalhe Por UC'!$R:$R,F$1)</f>
        <v>86</v>
      </c>
      <c r="G3" s="181">
        <f>COUNTIFS('Detalhe Por UC'!$S:$S,"&gt;"&amp;0,'Detalhe Por UC'!$R:$R,G$1)</f>
        <v>71</v>
      </c>
      <c r="H3" s="181">
        <f>COUNTIFS('Detalhe Por UC'!$S:$S,"&gt;"&amp;0,'Detalhe Por UC'!$R:$R,H$1)</f>
        <v>75</v>
      </c>
      <c r="I3" s="181">
        <f>COUNTIFS('Detalhe Por UC'!$S:$S,"&gt;"&amp;0,'Detalhe Por UC'!$R:$R,I$1)</f>
        <v>89</v>
      </c>
      <c r="J3" s="181">
        <f>COUNTIFS('Detalhe Por UC'!$S:$S,"&gt;"&amp;0,'Detalhe Por UC'!$R:$R,J$1)</f>
        <v>89</v>
      </c>
      <c r="K3" s="181">
        <f>COUNTIFS('Detalhe Por UC'!$S:$S,"&gt;"&amp;0,'Detalhe Por UC'!$R:$R,K$1)</f>
        <v>89</v>
      </c>
      <c r="L3" s="181">
        <f>COUNTIFS('Detalhe Por UC'!$S:$S,"&gt;"&amp;0,'Detalhe Por UC'!$R:$R,L$1)</f>
        <v>89</v>
      </c>
      <c r="M3" s="181">
        <f>COUNTIFS('Detalhe Por UC'!$S:$S,"&gt;"&amp;0,'Detalhe Por UC'!$R:$R,M$1)</f>
        <v>89</v>
      </c>
      <c r="N3" s="181">
        <f>COUNTIFS('Detalhe Por UC'!$S:$S,"&gt;"&amp;0,'Detalhe Por UC'!$R:$R,N$1)</f>
        <v>89</v>
      </c>
    </row>
    <row r="4" spans="1:16" x14ac:dyDescent="0.3">
      <c r="B4" s="179" t="s">
        <v>379</v>
      </c>
      <c r="C4" s="180"/>
      <c r="D4" s="181">
        <f>COUNTIFS('Detalhe Por UC'!$S:$S,"&gt;"&amp;0,'Detalhe Por UC'!$X:$X,"&lt;&gt;"&amp;"",'Detalhe Por UC'!$R:$R,D$1)</f>
        <v>90</v>
      </c>
      <c r="E4" s="181">
        <f>COUNTIFS('Detalhe Por UC'!$S:$S,"&gt;"&amp;0,'Detalhe Por UC'!$X:$X,"&lt;&gt;"&amp;"",'Detalhe Por UC'!$R:$R,E$1)</f>
        <v>89</v>
      </c>
      <c r="F4" s="181">
        <f>COUNTIFS('Detalhe Por UC'!$S:$S,"&gt;"&amp;0,'Detalhe Por UC'!$X:$X,"&lt;&gt;"&amp;"",'Detalhe Por UC'!$R:$R,F$1)</f>
        <v>84</v>
      </c>
      <c r="G4" s="181">
        <f>COUNTIFS('Detalhe Por UC'!$S:$S,"&gt;"&amp;0,'Detalhe Por UC'!$X:$X,"&lt;&gt;"&amp;"",'Detalhe Por UC'!$R:$R,G$1)</f>
        <v>69</v>
      </c>
      <c r="H4" s="181">
        <f>COUNTIFS('Detalhe Por UC'!$S:$S,"&gt;"&amp;0,'Detalhe Por UC'!$X:$X,"&lt;&gt;"&amp;"",'Detalhe Por UC'!$R:$R,H$1)</f>
        <v>72</v>
      </c>
      <c r="I4" s="181">
        <f>COUNTIFS('Detalhe Por UC'!$S:$S,"&gt;"&amp;0,'Detalhe Por UC'!$X:$X,"&lt;&gt;"&amp;"",'Detalhe Por UC'!$R:$R,I$1)</f>
        <v>86</v>
      </c>
      <c r="J4" s="181">
        <f>COUNTIFS('Detalhe Por UC'!$S:$S,"&gt;"&amp;0,'Detalhe Por UC'!$X:$X,"&lt;&gt;"&amp;"",'Detalhe Por UC'!$R:$R,J$1)</f>
        <v>86</v>
      </c>
      <c r="K4" s="181">
        <f>COUNTIFS('Detalhe Por UC'!$S:$S,"&gt;"&amp;0,'Detalhe Por UC'!$X:$X,"&lt;&gt;"&amp;"",'Detalhe Por UC'!$R:$R,K$1)</f>
        <v>87</v>
      </c>
      <c r="L4" s="181">
        <f>COUNTIFS('Detalhe Por UC'!$S:$S,"&gt;"&amp;0,'Detalhe Por UC'!$X:$X,"&lt;&gt;"&amp;"",'Detalhe Por UC'!$R:$R,L$1)</f>
        <v>88</v>
      </c>
      <c r="M4" s="181">
        <f>COUNTIFS('Detalhe Por UC'!$S:$S,"&gt;"&amp;0,'Detalhe Por UC'!$X:$X,"&lt;&gt;"&amp;"",'Detalhe Por UC'!$R:$R,M$1)</f>
        <v>87</v>
      </c>
      <c r="N4" s="181">
        <f>COUNTIFS('Detalhe Por UC'!$S:$S,"&gt;"&amp;0,'Detalhe Por UC'!$X:$X,"&lt;&gt;"&amp;"",'Detalhe Por UC'!$R:$R,N$1)</f>
        <v>88</v>
      </c>
    </row>
    <row r="5" spans="1:16" x14ac:dyDescent="0.3">
      <c r="B5" s="179" t="s">
        <v>380</v>
      </c>
      <c r="C5" s="182"/>
      <c r="D5" s="183">
        <f>COUNTIFS('Detalhe Por UC'!$X:$X,"&lt;&gt;"&amp;"",'Detalhe Por UC'!$R:$R,D1,'Detalhe Por UC'!$AD:$AD,"&gt;"&amp;0,'Detalhe Por UC'!$S:$S,"&gt;"&amp;0)</f>
        <v>89</v>
      </c>
      <c r="E5" s="183">
        <f>COUNTIFS('Detalhe Por UC'!$X:$X,"&lt;&gt;"&amp;"",'Detalhe Por UC'!$R:$R,E1,'Detalhe Por UC'!$AD:$AD,"&gt;"&amp;0,'Detalhe Por UC'!$S:$S,"&gt;"&amp;0)</f>
        <v>86</v>
      </c>
      <c r="F5" s="183">
        <f>COUNTIFS('Detalhe Por UC'!$X:$X,"&lt;&gt;"&amp;"",'Detalhe Por UC'!$R:$R,F1,'Detalhe Por UC'!$AD:$AD,"&gt;"&amp;0,'Detalhe Por UC'!$S:$S,"&gt;"&amp;0)</f>
        <v>81</v>
      </c>
      <c r="G5" s="183">
        <f>COUNTIFS('Detalhe Por UC'!$X:$X,"&lt;&gt;"&amp;"",'Detalhe Por UC'!$R:$R,G1,'Detalhe Por UC'!$AD:$AD,"&gt;"&amp;0,'Detalhe Por UC'!$S:$S,"&gt;"&amp;0)</f>
        <v>67</v>
      </c>
      <c r="H5" s="183">
        <f>COUNTIFS('Detalhe Por UC'!$X:$X,"&lt;&gt;"&amp;"",'Detalhe Por UC'!$R:$R,H1,'Detalhe Por UC'!$AD:$AD,"&gt;"&amp;0,'Detalhe Por UC'!$S:$S,"&gt;"&amp;0)</f>
        <v>63</v>
      </c>
      <c r="I5" s="183">
        <f>COUNTIFS('Detalhe Por UC'!$X:$X,"&lt;&gt;"&amp;"",'Detalhe Por UC'!$R:$R,I1,'Detalhe Por UC'!$AD:$AD,"&gt;"&amp;0,'Detalhe Por UC'!$S:$S,"&gt;"&amp;0)</f>
        <v>65</v>
      </c>
      <c r="J5" s="183">
        <f>COUNTIFS('Detalhe Por UC'!$X:$X,"&lt;&gt;"&amp;"",'Detalhe Por UC'!$R:$R,J1,'Detalhe Por UC'!$AD:$AD,"&gt;"&amp;0,'Detalhe Por UC'!$S:$S,"&gt;"&amp;0)</f>
        <v>84</v>
      </c>
      <c r="K5" s="183">
        <f>COUNTIFS('Detalhe Por UC'!$X:$X,"&lt;&gt;"&amp;"",'Detalhe Por UC'!$R:$R,K1,'Detalhe Por UC'!$AD:$AD,"&gt;"&amp;0,'Detalhe Por UC'!$S:$S,"&gt;"&amp;0)</f>
        <v>85</v>
      </c>
      <c r="L5" s="183">
        <f>COUNTIFS('Detalhe Por UC'!$X:$X,"&lt;&gt;"&amp;"",'Detalhe Por UC'!$R:$R,L1,'Detalhe Por UC'!$AD:$AD,"&gt;"&amp;0,'Detalhe Por UC'!$S:$S,"&gt;"&amp;0)</f>
        <v>53</v>
      </c>
      <c r="M5" s="183">
        <f>COUNTIFS('Detalhe Por UC'!$X:$X,"&lt;&gt;"&amp;"",'Detalhe Por UC'!$R:$R,M1,'Detalhe Por UC'!$AD:$AD,"&gt;"&amp;0,'Detalhe Por UC'!$S:$S,"&gt;"&amp;0)</f>
        <v>50</v>
      </c>
      <c r="N5" s="183">
        <f>COUNTIFS('Detalhe Por UC'!$X:$X,"&lt;&gt;"&amp;"",'Detalhe Por UC'!$R:$R,N1,'Detalhe Por UC'!$AD:$AD,"&gt;"&amp;0,'Detalhe Por UC'!$S:$S,"&gt;"&amp;0)</f>
        <v>82</v>
      </c>
      <c r="P5" s="184"/>
    </row>
    <row r="6" spans="1:16" x14ac:dyDescent="0.3">
      <c r="B6" s="179" t="s">
        <v>381</v>
      </c>
      <c r="C6" s="182"/>
      <c r="D6" s="185">
        <f>COUNTIFS('Detalhe Por UC'!$X:$X,"&lt;&gt;"&amp;"",'Detalhe Por UC'!$R:$R,D1,'Detalhe Por UC'!$AD:$AD,"&gt;"&amp;0,'Detalhe Por UC'!$BB:$BB,"&lt;&gt;"&amp;"")</f>
        <v>0</v>
      </c>
      <c r="E6" s="185">
        <f>COUNTIFS('Detalhe Por UC'!$X:$X,"&lt;&gt;"&amp;"",'Detalhe Por UC'!$R:$R,E1,'Detalhe Por UC'!$AD:$AD,"&gt;"&amp;0,'Detalhe Por UC'!$BB:$BB,"&lt;&gt;"&amp;"")</f>
        <v>64</v>
      </c>
      <c r="F6" s="185">
        <f>COUNTIFS('Detalhe Por UC'!$X:$X,"&lt;&gt;"&amp;"",'Detalhe Por UC'!$R:$R,F1,'Detalhe Por UC'!$AD:$AD,"&gt;"&amp;0,'Detalhe Por UC'!$BB:$BB,"&lt;&gt;"&amp;"")</f>
        <v>72</v>
      </c>
      <c r="G6" s="185">
        <f>COUNTIFS('Detalhe Por UC'!$X:$X,"&lt;&gt;"&amp;"",'Detalhe Por UC'!$R:$R,G1,'Detalhe Por UC'!$AD:$AD,"&gt;"&amp;0,'Detalhe Por UC'!$BB:$BB,"&lt;&gt;"&amp;"")</f>
        <v>74</v>
      </c>
      <c r="H6" s="185">
        <f>COUNTIFS('Detalhe Por UC'!$X:$X,"&lt;&gt;"&amp;"",'Detalhe Por UC'!$R:$R,H1,'Detalhe Por UC'!$AD:$AD,"&gt;"&amp;0,'Detalhe Por UC'!$BB:$BB,"&lt;&gt;"&amp;"")</f>
        <v>69</v>
      </c>
      <c r="I6" s="185">
        <f>COUNTIFS('Detalhe Por UC'!$X:$X,"&lt;&gt;"&amp;"",'Detalhe Por UC'!$R:$R,I1,'Detalhe Por UC'!$AD:$AD,"&gt;"&amp;0,'Detalhe Por UC'!$BB:$BB,"&lt;&gt;"&amp;"")</f>
        <v>59</v>
      </c>
      <c r="J6" s="185">
        <f>COUNTIFS('Detalhe Por UC'!$X:$X,"&lt;&gt;"&amp;"",'Detalhe Por UC'!$R:$R,J1,'Detalhe Por UC'!$AD:$AD,"&gt;"&amp;0,'Detalhe Por UC'!$BB:$BB,"&lt;&gt;"&amp;"")</f>
        <v>73</v>
      </c>
      <c r="K6" s="185">
        <f>COUNTIFS('Detalhe Por UC'!$X:$X,"&lt;&gt;"&amp;"",'Detalhe Por UC'!$R:$R,K1,'Detalhe Por UC'!$AD:$AD,"&gt;"&amp;0,'Detalhe Por UC'!$BB:$BB,"&lt;&gt;"&amp;"")</f>
        <v>78</v>
      </c>
      <c r="L6" s="185">
        <f>COUNTIFS('Detalhe Por UC'!$X:$X,"&lt;&gt;"&amp;"",'Detalhe Por UC'!$R:$R,L1,'Detalhe Por UC'!$AD:$AD,"&gt;"&amp;0,'Detalhe Por UC'!$BB:$BB,"&lt;&gt;"&amp;"")</f>
        <v>51</v>
      </c>
      <c r="M6" s="185">
        <f>COUNTIFS('Detalhe Por UC'!$X:$X,"&lt;&gt;"&amp;"",'Detalhe Por UC'!$R:$R,M1,'Detalhe Por UC'!$AD:$AD,"&gt;"&amp;0,'Detalhe Por UC'!$BB:$BB,"&lt;&gt;"&amp;"")</f>
        <v>49</v>
      </c>
      <c r="N6" s="185">
        <f>COUNTIFS('Detalhe Por UC'!$X:$X,"&lt;&gt;"&amp;"",'Detalhe Por UC'!$R:$R,N1,'Detalhe Por UC'!$AD:$AD,"&gt;"&amp;0,'Detalhe Por UC'!$BB:$BB,"&lt;&gt;"&amp;"")</f>
        <v>80</v>
      </c>
      <c r="P6" s="184"/>
    </row>
    <row r="7" spans="1:16" ht="19.95" customHeight="1" x14ac:dyDescent="0.3">
      <c r="B7" s="28"/>
    </row>
    <row r="8" spans="1:16" outlineLevel="1" x14ac:dyDescent="0.3">
      <c r="B8" s="186" t="s">
        <v>382</v>
      </c>
      <c r="C8" s="187"/>
      <c r="D8" s="188" t="s">
        <v>24</v>
      </c>
      <c r="E8" s="188" t="s">
        <v>24</v>
      </c>
      <c r="F8" s="188" t="s">
        <v>24</v>
      </c>
      <c r="G8" s="188" t="s">
        <v>24</v>
      </c>
      <c r="H8" s="188" t="s">
        <v>24</v>
      </c>
      <c r="I8" s="188" t="s">
        <v>24</v>
      </c>
      <c r="J8" s="188" t="s">
        <v>24</v>
      </c>
      <c r="K8" s="188" t="s">
        <v>24</v>
      </c>
      <c r="L8" s="188" t="s">
        <v>24</v>
      </c>
      <c r="M8" s="188" t="s">
        <v>24</v>
      </c>
      <c r="N8" s="188" t="s">
        <v>24</v>
      </c>
    </row>
    <row r="9" spans="1:16" outlineLevel="1" x14ac:dyDescent="0.3">
      <c r="B9" s="179" t="s">
        <v>383</v>
      </c>
      <c r="C9" s="189"/>
      <c r="D9" s="190">
        <f>SUMIFS('Detalhe Por UC'!$AB:$AB,'Detalhe Por UC'!$R:$R,D$1,'Detalhe Por UC'!$H:$H,D$8)+SUMIFS('Detalhe Por UC'!$AB:$AB,'Detalhe Por UC'!$R:$R,D$1,'Detalhe Por UC'!$H:$H,"GIROSSOL II e III")</f>
        <v>20700.61</v>
      </c>
      <c r="E9" s="190">
        <f>SUMIFS('Detalhe Por UC'!$AB:$AB,'Detalhe Por UC'!$R:$R,E$1,'Detalhe Por UC'!$H:$H,E$8)+SUMIFS('Detalhe Por UC'!$AB:$AB,'Detalhe Por UC'!$R:$R,E$1,'Detalhe Por UC'!$H:$H,"GIROSSOL II e III")</f>
        <v>21218.82</v>
      </c>
      <c r="F9" s="190">
        <f>SUMIFS('Detalhe Por UC'!$AB:$AB,'Detalhe Por UC'!$R:$R,F$1,'Detalhe Por UC'!$H:$H,F$8)+SUMIFS('Detalhe Por UC'!$AB:$AB,'Detalhe Por UC'!$R:$R,F$1,'Detalhe Por UC'!$H:$H,"GIROSSOL II e III")</f>
        <v>16257.19</v>
      </c>
      <c r="G9" s="190">
        <f>SUMIFS('Detalhe Por UC'!$AB:$AB,'Detalhe Por UC'!$R:$R,G$1,'Detalhe Por UC'!$H:$H,G$8)+SUMIFS('Detalhe Por UC'!$AB:$AB,'Detalhe Por UC'!$R:$R,G$1,'Detalhe Por UC'!$H:$H,"GIROSSOL II e III")</f>
        <v>13151.470000000001</v>
      </c>
      <c r="H9" s="190">
        <f>SUMIFS('Detalhe Por UC'!$AB:$AB,'Detalhe Por UC'!$R:$R,H$1,'Detalhe Por UC'!$H:$H,H$8)+SUMIFS('Detalhe Por UC'!$AB:$AB,'Detalhe Por UC'!$R:$R,H$1,'Detalhe Por UC'!$H:$H,"GIROSSOL II e III")</f>
        <v>11768.96</v>
      </c>
      <c r="I9" s="190">
        <f>SUMIFS('Detalhe Por UC'!$AB:$AB,'Detalhe Por UC'!$R:$R,I$1,'Detalhe Por UC'!$H:$H,I$8)+SUMIFS('Detalhe Por UC'!$AB:$AB,'Detalhe Por UC'!$R:$R,I$1,'Detalhe Por UC'!$H:$H,"GIROSSOL II e III")</f>
        <v>14264.619999999999</v>
      </c>
      <c r="J9" s="190">
        <f>SUMIFS('Detalhe Por UC'!$AB:$AB,'Detalhe Por UC'!$R:$R,J$1,'Detalhe Por UC'!$H:$H,J$8)+SUMIFS('Detalhe Por UC'!$AB:$AB,'Detalhe Por UC'!$R:$R,J$1,'Detalhe Por UC'!$H:$H,"GIROSSOL II e III")</f>
        <v>18322.68</v>
      </c>
      <c r="K9" s="190">
        <f>SUMIFS('Detalhe Por UC'!$AB:$AB,'Detalhe Por UC'!$R:$R,K$1,'Detalhe Por UC'!$H:$H,K$8)+SUMIFS('Detalhe Por UC'!$AB:$AB,'Detalhe Por UC'!$R:$R,K$1,'Detalhe Por UC'!$H:$H,"GIROSSOL II e III")</f>
        <v>20441.68</v>
      </c>
      <c r="L9" s="190">
        <f>SUMIFS('Detalhe Por UC'!$AB:$AB,'Detalhe Por UC'!$R:$R,L$1,'Detalhe Por UC'!$H:$H,L$8)+SUMIFS('Detalhe Por UC'!$AB:$AB,'Detalhe Por UC'!$R:$R,L$1,'Detalhe Por UC'!$H:$H,"GIROSSOL II e III")</f>
        <v>27363.119999999999</v>
      </c>
      <c r="M9" s="190">
        <f>SUMIFS('Detalhe Por UC'!$AB:$AB,'Detalhe Por UC'!$R:$R,M$1,'Detalhe Por UC'!$H:$H,M$8)+SUMIFS('Detalhe Por UC'!$AB:$AB,'Detalhe Por UC'!$R:$R,M$1,'Detalhe Por UC'!$H:$H,"GIROSSOL II e III")</f>
        <v>22619.599999999999</v>
      </c>
      <c r="N9" s="190">
        <f>SUMIFS('Detalhe Por UC'!$AB:$AB,'Detalhe Por UC'!$R:$R,N$1,'Detalhe Por UC'!$H:$H,N$8)+SUMIFS('Detalhe Por UC'!$AB:$AB,'Detalhe Por UC'!$R:$R,N$1,'Detalhe Por UC'!$H:$H,"GIROSSOL II e III")</f>
        <v>30394.2</v>
      </c>
      <c r="O9" s="178" t="s">
        <v>384</v>
      </c>
      <c r="P9" s="184"/>
    </row>
    <row r="10" spans="1:16" outlineLevel="1" x14ac:dyDescent="0.3">
      <c r="B10" s="179" t="s">
        <v>385</v>
      </c>
      <c r="C10" s="189"/>
      <c r="D10" s="191">
        <f>SUMIFS('Detalhe Por UC'!$AB:$AB,'Detalhe Por UC'!$R:$R,D$1,'Detalhe Por UC'!$H:$H,D$8,'Detalhe Por UC'!$AD:$AD,"&gt;0")+SUMIFS('Detalhe Por UC'!$AB:$AB,'Detalhe Por UC'!$R:$R,D$1,'Detalhe Por UC'!$H:$H,"GIROSSOL II e III",'Detalhe Por UC'!$AD:$AD,"&gt;0")</f>
        <v>20700.61</v>
      </c>
      <c r="E10" s="191">
        <f>SUMIFS('Detalhe Por UC'!$AB:$AB,'Detalhe Por UC'!$R:$R,E$1,'Detalhe Por UC'!$H:$H,E$8,'Detalhe Por UC'!$AD:$AD,"&gt;0")+SUMIFS('Detalhe Por UC'!$AB:$AB,'Detalhe Por UC'!$R:$R,E$1,'Detalhe Por UC'!$H:$H,"GIROSSOL II e III",'Detalhe Por UC'!$AD:$AD,"&gt;0")</f>
        <v>21218.82</v>
      </c>
      <c r="F10" s="191">
        <f>SUMIFS('Detalhe Por UC'!$AB:$AB,'Detalhe Por UC'!$R:$R,F$1,'Detalhe Por UC'!$H:$H,F$8,'Detalhe Por UC'!$AD:$AD,"&gt;0")+SUMIFS('Detalhe Por UC'!$AB:$AB,'Detalhe Por UC'!$R:$R,F$1,'Detalhe Por UC'!$H:$H,"GIROSSOL II e III",'Detalhe Por UC'!$AD:$AD,"&gt;0")</f>
        <v>16257.19</v>
      </c>
      <c r="G10" s="191">
        <f>SUMIFS('Detalhe Por UC'!$AB:$AB,'Detalhe Por UC'!$R:$R,G$1,'Detalhe Por UC'!$H:$H,G$8,'Detalhe Por UC'!$AD:$AD,"&gt;0")+SUMIFS('Detalhe Por UC'!$AB:$AB,'Detalhe Por UC'!$R:$R,G$1,'Detalhe Por UC'!$H:$H,"GIROSSOL II e III",'Detalhe Por UC'!$AD:$AD,"&gt;0")</f>
        <v>12951.470000000001</v>
      </c>
      <c r="H10" s="191">
        <f>SUMIFS('Detalhe Por UC'!$AB:$AB,'Detalhe Por UC'!$R:$R,H$1,'Detalhe Por UC'!$H:$H,H$8,'Detalhe Por UC'!$AD:$AD,"&gt;0")+SUMIFS('Detalhe Por UC'!$AB:$AB,'Detalhe Por UC'!$R:$R,H$1,'Detalhe Por UC'!$H:$H,"GIROSSOL II e III",'Detalhe Por UC'!$AD:$AD,"&gt;0")</f>
        <v>11152.96</v>
      </c>
      <c r="I10" s="191">
        <f>SUMIFS('Detalhe Por UC'!$AB:$AB,'Detalhe Por UC'!$R:$R,I$1,'Detalhe Por UC'!$H:$H,I$8,'Detalhe Por UC'!$AD:$AD,"&gt;0")+SUMIFS('Detalhe Por UC'!$AB:$AB,'Detalhe Por UC'!$R:$R,I$1,'Detalhe Por UC'!$H:$H,"GIROSSOL II e III",'Detalhe Por UC'!$AD:$AD,"&gt;0")</f>
        <v>11928.619999999999</v>
      </c>
      <c r="J10" s="191">
        <f>SUMIFS('Detalhe Por UC'!$AB:$AB,'Detalhe Por UC'!$R:$R,J$1,'Detalhe Por UC'!$H:$H,J$8,'Detalhe Por UC'!$AD:$AD,"&gt;0")+SUMIFS('Detalhe Por UC'!$AB:$AB,'Detalhe Por UC'!$R:$R,J$1,'Detalhe Por UC'!$H:$H,"GIROSSOL II e III",'Detalhe Por UC'!$AD:$AD,"&gt;0")</f>
        <v>17482.68</v>
      </c>
      <c r="K10" s="191">
        <f>SUMIFS('Detalhe Por UC'!$AB:$AB,'Detalhe Por UC'!$R:$R,K$1,'Detalhe Por UC'!$H:$H,K$8,'Detalhe Por UC'!$AD:$AD,"&gt;0")+SUMIFS('Detalhe Por UC'!$AB:$AB,'Detalhe Por UC'!$R:$R,K$1,'Detalhe Por UC'!$H:$H,"GIROSSOL II e III",'Detalhe Por UC'!$AD:$AD,"&gt;0")</f>
        <v>19566.68</v>
      </c>
      <c r="L10" s="191">
        <f>SUMIFS('Detalhe Por UC'!$AB:$AB,'Detalhe Por UC'!$R:$R,L$1,'Detalhe Por UC'!$H:$H,L$8,'Detalhe Por UC'!$AD:$AD,"&gt;0")+SUMIFS('Detalhe Por UC'!$AB:$AB,'Detalhe Por UC'!$R:$R,L$1,'Detalhe Por UC'!$H:$H,"GIROSSOL II e III",'Detalhe Por UC'!$AD:$AD,"&gt;0")</f>
        <v>27363.119999999999</v>
      </c>
      <c r="M10" s="191">
        <f>SUMIFS('Detalhe Por UC'!$AB:$AB,'Detalhe Por UC'!$R:$R,M$1,'Detalhe Por UC'!$H:$H,M$8,'Detalhe Por UC'!$AD:$AD,"&gt;0")+SUMIFS('Detalhe Por UC'!$AB:$AB,'Detalhe Por UC'!$R:$R,M$1,'Detalhe Por UC'!$H:$H,"GIROSSOL II e III",'Detalhe Por UC'!$AD:$AD,"&gt;0")</f>
        <v>22619.599999999999</v>
      </c>
      <c r="N10" s="191">
        <f>SUMIFS('Detalhe Por UC'!$AB:$AB,'Detalhe Por UC'!$R:$R,N$1,'Detalhe Por UC'!$H:$H,N$8,'Detalhe Por UC'!$AD:$AD,"&gt;0")+SUMIFS('Detalhe Por UC'!$AB:$AB,'Detalhe Por UC'!$R:$R,N$1,'Detalhe Por UC'!$H:$H,"GIROSSOL II e III",'Detalhe Por UC'!$AD:$AD,"&gt;0")</f>
        <v>30394.2</v>
      </c>
      <c r="O10" s="178" t="s">
        <v>384</v>
      </c>
      <c r="P10" s="192"/>
    </row>
    <row r="11" spans="1:16" outlineLevel="1" x14ac:dyDescent="0.3">
      <c r="B11" s="179" t="s">
        <v>386</v>
      </c>
      <c r="C11" s="189"/>
      <c r="D11" s="191">
        <f>SUMIFS('Detalhe Por UC'!$AB:$AB,'Detalhe Por UC'!$R:$R,D$1,'Detalhe Por UC'!$H:$H,D$8,'Detalhe Por UC'!$S:$S,"&gt;0",'Detalhe Por UC'!$AD:$AD,"&gt;0")+SUMIFS('Detalhe Por UC'!$AB:$AB,'Detalhe Por UC'!$R:$R,D$1,'Detalhe Por UC'!$H:$H,"GIROSSOL II e III",'Detalhe Por UC'!$S:$S,"&gt;0",'Detalhe Por UC'!$AD:$AD,"&gt;0")</f>
        <v>20700.61</v>
      </c>
      <c r="E11" s="191">
        <f>SUMIFS('Detalhe Por UC'!$AB:$AB,'Detalhe Por UC'!$R:$R,E$1,'Detalhe Por UC'!$H:$H,E$8,'Detalhe Por UC'!$S:$S,"&gt;0",'Detalhe Por UC'!$AD:$AD,"&gt;0")+SUMIFS('Detalhe Por UC'!$AB:$AB,'Detalhe Por UC'!$R:$R,E$1,'Detalhe Por UC'!$H:$H,"GIROSSOL II e III",'Detalhe Por UC'!$S:$S,"&gt;0",'Detalhe Por UC'!$AD:$AD,"&gt;0")</f>
        <v>20901.82</v>
      </c>
      <c r="F11" s="191">
        <f>SUMIFS('Detalhe Por UC'!$AB:$AB,'Detalhe Por UC'!$R:$R,F$1,'Detalhe Por UC'!$H:$H,F$8,'Detalhe Por UC'!$S:$S,"&gt;0",'Detalhe Por UC'!$AD:$AD,"&gt;0")+SUMIFS('Detalhe Por UC'!$AB:$AB,'Detalhe Por UC'!$R:$R,F$1,'Detalhe Por UC'!$H:$H,"GIROSSOL II e III",'Detalhe Por UC'!$S:$S,"&gt;0",'Detalhe Por UC'!$AD:$AD,"&gt;0")</f>
        <v>15995.19</v>
      </c>
      <c r="G11" s="191">
        <f>SUMIFS('Detalhe Por UC'!$AB:$AB,'Detalhe Por UC'!$R:$R,G$1,'Detalhe Por UC'!$H:$H,G$8,'Detalhe Por UC'!$S:$S,"&gt;0",'Detalhe Por UC'!$AD:$AD,"&gt;0")+SUMIFS('Detalhe Por UC'!$AB:$AB,'Detalhe Por UC'!$R:$R,G$1,'Detalhe Por UC'!$H:$H,"GIROSSOL II e III",'Detalhe Por UC'!$S:$S,"&gt;0",'Detalhe Por UC'!$AD:$AD,"&gt;0")</f>
        <v>11019.470000000001</v>
      </c>
      <c r="H11" s="191">
        <f>SUMIFS('Detalhe Por UC'!$AB:$AB,'Detalhe Por UC'!$R:$R,H$1,'Detalhe Por UC'!$H:$H,H$8,'Detalhe Por UC'!$S:$S,"&gt;0",'Detalhe Por UC'!$AD:$AD,"&gt;0")+SUMIFS('Detalhe Por UC'!$AB:$AB,'Detalhe Por UC'!$R:$R,H$1,'Detalhe Por UC'!$H:$H,"GIROSSOL II e III",'Detalhe Por UC'!$S:$S,"&gt;0",'Detalhe Por UC'!$AD:$AD,"&gt;0")</f>
        <v>9134.9599999999991</v>
      </c>
      <c r="I11" s="191">
        <f>SUMIFS('Detalhe Por UC'!$AB:$AB,'Detalhe Por UC'!$R:$R,I$1,'Detalhe Por UC'!$H:$H,I$8,'Detalhe Por UC'!$S:$S,"&gt;0",'Detalhe Por UC'!$AD:$AD,"&gt;0")+SUMIFS('Detalhe Por UC'!$AB:$AB,'Detalhe Por UC'!$R:$R,I$1,'Detalhe Por UC'!$H:$H,"GIROSSOL II e III",'Detalhe Por UC'!$S:$S,"&gt;0",'Detalhe Por UC'!$AD:$AD,"&gt;0")</f>
        <v>11928.619999999999</v>
      </c>
      <c r="J11" s="191">
        <f>SUMIFS('Detalhe Por UC'!$AB:$AB,'Detalhe Por UC'!$R:$R,J$1,'Detalhe Por UC'!$H:$H,J$8,'Detalhe Por UC'!$S:$S,"&gt;0",'Detalhe Por UC'!$AD:$AD,"&gt;0")+SUMIFS('Detalhe Por UC'!$AB:$AB,'Detalhe Por UC'!$R:$R,J$1,'Detalhe Por UC'!$H:$H,"GIROSSOL II e III",'Detalhe Por UC'!$S:$S,"&gt;0",'Detalhe Por UC'!$AD:$AD,"&gt;0")</f>
        <v>17482.68</v>
      </c>
      <c r="K11" s="191">
        <f>SUMIFS('Detalhe Por UC'!$AB:$AB,'Detalhe Por UC'!$R:$R,K$1,'Detalhe Por UC'!$H:$H,K$8,'Detalhe Por UC'!$S:$S,"&gt;0",'Detalhe Por UC'!$AD:$AD,"&gt;0")+SUMIFS('Detalhe Por UC'!$AB:$AB,'Detalhe Por UC'!$R:$R,K$1,'Detalhe Por UC'!$H:$H,"GIROSSOL II e III",'Detalhe Por UC'!$S:$S,"&gt;0",'Detalhe Por UC'!$AD:$AD,"&gt;0")</f>
        <v>19277.68</v>
      </c>
      <c r="L11" s="191">
        <f>SUMIFS('Detalhe Por UC'!$AB:$AB,'Detalhe Por UC'!$R:$R,L$1,'Detalhe Por UC'!$H:$H,L$8,'Detalhe Por UC'!$S:$S,"&gt;0",'Detalhe Por UC'!$AD:$AD,"&gt;0")+SUMIFS('Detalhe Por UC'!$AB:$AB,'Detalhe Por UC'!$R:$R,L$1,'Detalhe Por UC'!$H:$H,"GIROSSOL II e III",'Detalhe Por UC'!$S:$S,"&gt;0",'Detalhe Por UC'!$AD:$AD,"&gt;0")</f>
        <v>25159.119999999999</v>
      </c>
      <c r="M11" s="191">
        <f>SUMIFS('Detalhe Por UC'!$AB:$AB,'Detalhe Por UC'!$R:$R,M$1,'Detalhe Por UC'!$H:$H,M$8,'Detalhe Por UC'!$S:$S,"&gt;0",'Detalhe Por UC'!$AD:$AD,"&gt;0")+SUMIFS('Detalhe Por UC'!$AB:$AB,'Detalhe Por UC'!$R:$R,M$1,'Detalhe Por UC'!$H:$H,"GIROSSOL II e III",'Detalhe Por UC'!$S:$S,"&gt;0",'Detalhe Por UC'!$AD:$AD,"&gt;0")</f>
        <v>20463.599999999999</v>
      </c>
      <c r="N11" s="191">
        <f>SUMIFS('Detalhe Por UC'!$AB:$AB,'Detalhe Por UC'!$R:$R,N$1,'Detalhe Por UC'!$H:$H,N$8,'Detalhe Por UC'!$S:$S,"&gt;0",'Detalhe Por UC'!$AD:$AD,"&gt;0")+SUMIFS('Detalhe Por UC'!$AB:$AB,'Detalhe Por UC'!$R:$R,N$1,'Detalhe Por UC'!$H:$H,"GIROSSOL II e III",'Detalhe Por UC'!$S:$S,"&gt;0",'Detalhe Por UC'!$AD:$AD,"&gt;0")</f>
        <v>28997.200000000001</v>
      </c>
      <c r="O11" s="178" t="s">
        <v>384</v>
      </c>
      <c r="P11" s="184"/>
    </row>
    <row r="12" spans="1:16" outlineLevel="1" x14ac:dyDescent="0.3">
      <c r="B12" s="179" t="s">
        <v>387</v>
      </c>
      <c r="C12" s="189"/>
      <c r="D12" s="191">
        <f>SUMIFS('Detalhe Por UC'!$BW:$BW,'Detalhe Por UC'!$R:$R,D$1,'Detalhe Por UC'!$H:$H,D$8,'Detalhe Por UC'!$S:$S,"&gt;0")+
SUMIFS('Detalhe Por UC'!$BW:$BW,'Detalhe Por UC'!$R:$R,D$1,'Detalhe Por UC'!$H:$H,"GIROSSOL II e III",'Detalhe Por UC'!$S:$S,"&gt;0")</f>
        <v>18684.04863636363</v>
      </c>
      <c r="E12" s="191">
        <f>SUMIFS('Detalhe Por UC'!$BW:$BW,'Detalhe Por UC'!$R:$R,E$1,'Detalhe Por UC'!$H:$H,E$8,'Detalhe Por UC'!$S:$S,"&gt;0")+
SUMIFS('Detalhe Por UC'!$BW:$BW,'Detalhe Por UC'!$R:$R,E$1,'Detalhe Por UC'!$H:$H,"GIROSSOL II e III",'Detalhe Por UC'!$S:$S,"&gt;0")</f>
        <v>18628.798636363641</v>
      </c>
      <c r="F12" s="191">
        <f>SUMIFS('Detalhe Por UC'!$BW:$BW,'Detalhe Por UC'!$R:$R,F$1,'Detalhe Por UC'!$H:$H,F$8,'Detalhe Por UC'!$S:$S,"&gt;0")+
SUMIFS('Detalhe Por UC'!$BW:$BW,'Detalhe Por UC'!$R:$R,F$1,'Detalhe Por UC'!$H:$H,"GIROSSOL II e III",'Detalhe Por UC'!$S:$S,"&gt;0")</f>
        <v>18628.798636363641</v>
      </c>
      <c r="G12" s="191">
        <f>SUMIFS('Detalhe Por UC'!$BW:$BW,'Detalhe Por UC'!$R:$R,G$1,'Detalhe Por UC'!$H:$H,G$8,'Detalhe Por UC'!$S:$S,"&gt;0")+
SUMIFS('Detalhe Por UC'!$BW:$BW,'Detalhe Por UC'!$R:$R,G$1,'Detalhe Por UC'!$H:$H,"GIROSSOL II e III",'Detalhe Por UC'!$S:$S,"&gt;0")</f>
        <v>16001.851666666666</v>
      </c>
      <c r="H12" s="191">
        <f>SUMIFS('Detalhe Por UC'!$BW:$BW,'Detalhe Por UC'!$R:$R,H$1,'Detalhe Por UC'!$H:$H,H$8,'Detalhe Por UC'!$S:$S,"&gt;0")+
SUMIFS('Detalhe Por UC'!$BW:$BW,'Detalhe Por UC'!$R:$R,H$1,'Detalhe Por UC'!$H:$H,"GIROSSOL II e III",'Detalhe Por UC'!$S:$S,"&gt;0")</f>
        <v>15727.601666666666</v>
      </c>
      <c r="I12" s="191">
        <f>SUMIFS('Detalhe Por UC'!$BW:$BW,'Detalhe Por UC'!$R:$R,I$1,'Detalhe Por UC'!$H:$H,I$8,'Detalhe Por UC'!$S:$S,"&gt;0")+
SUMIFS('Detalhe Por UC'!$BW:$BW,'Detalhe Por UC'!$R:$R,I$1,'Detalhe Por UC'!$H:$H,"GIROSSOL II e III",'Detalhe Por UC'!$S:$S,"&gt;0")</f>
        <v>17609.548636363634</v>
      </c>
      <c r="J12" s="191">
        <f>SUMIFS('Detalhe Por UC'!$BW:$BW,'Detalhe Por UC'!$R:$R,J$1,'Detalhe Por UC'!$H:$H,J$8,'Detalhe Por UC'!$S:$S,"&gt;0")+
SUMIFS('Detalhe Por UC'!$BW:$BW,'Detalhe Por UC'!$R:$R,J$1,'Detalhe Por UC'!$H:$H,"GIROSSOL II e III",'Detalhe Por UC'!$S:$S,"&gt;0")</f>
        <v>17609.548636363634</v>
      </c>
      <c r="K12" s="191">
        <f>SUMIFS('Detalhe Por UC'!$BW:$BW,'Detalhe Por UC'!$R:$R,K$1,'Detalhe Por UC'!$H:$H,K$8,'Detalhe Por UC'!$S:$S,"&gt;0")+
SUMIFS('Detalhe Por UC'!$BW:$BW,'Detalhe Por UC'!$R:$R,K$1,'Detalhe Por UC'!$H:$H,"GIROSSOL II e III",'Detalhe Por UC'!$S:$S,"&gt;0")</f>
        <v>17609.548636363634</v>
      </c>
      <c r="L12" s="191">
        <f>SUMIFS('Detalhe Por UC'!$BW:$BW,'Detalhe Por UC'!$R:$R,L$1,'Detalhe Por UC'!$H:$H,L$8,'Detalhe Por UC'!$S:$S,"&gt;0")+
SUMIFS('Detalhe Por UC'!$BW:$BW,'Detalhe Por UC'!$R:$R,L$1,'Detalhe Por UC'!$H:$H,"GIROSSOL II e III",'Detalhe Por UC'!$S:$S,"&gt;0")</f>
        <v>18901.571363636362</v>
      </c>
      <c r="M12" s="191">
        <f>SUMIFS('Detalhe Por UC'!$BW:$BW,'Detalhe Por UC'!$R:$R,M$1,'Detalhe Por UC'!$H:$H,M$8,'Detalhe Por UC'!$S:$S,"&gt;0")+
SUMIFS('Detalhe Por UC'!$BW:$BW,'Detalhe Por UC'!$R:$R,M$1,'Detalhe Por UC'!$H:$H,"GIROSSOL II e III",'Detalhe Por UC'!$S:$S,"&gt;0")</f>
        <v>17267.798636363641</v>
      </c>
      <c r="N12" s="191">
        <f>SUMIFS('Detalhe Por UC'!$BW:$BW,'Detalhe Por UC'!$R:$R,N$1,'Detalhe Por UC'!$H:$H,N$8,'Detalhe Por UC'!$S:$S,"&gt;0")+
SUMIFS('Detalhe Por UC'!$BW:$BW,'Detalhe Por UC'!$R:$R,N$1,'Detalhe Por UC'!$H:$H,"GIROSSOL II e III",'Detalhe Por UC'!$S:$S,"&gt;0")</f>
        <v>25977.798636363634</v>
      </c>
      <c r="O12" s="178" t="s">
        <v>384</v>
      </c>
      <c r="P12" s="192"/>
    </row>
    <row r="13" spans="1:16" outlineLevel="1" x14ac:dyDescent="0.3">
      <c r="B13" s="179" t="s">
        <v>388</v>
      </c>
      <c r="C13" s="189"/>
      <c r="D13" s="191">
        <f>SUMIFS('Detalhe Por UC'!$BW:$BW,'Detalhe Por UC'!$R:$R,D$1,'Detalhe Por UC'!$H:$H,D$8,'Detalhe Por UC'!$AD:$AD,"&gt;0")+
SUMIFS('Detalhe Por UC'!$BW:$BW,'Detalhe Por UC'!$R:$R,D$1,'Detalhe Por UC'!$H:$H,"GIROSSOL II e III",'Detalhe Por UC'!$AD:$AD,"&gt;0")</f>
        <v>18684.04863636363</v>
      </c>
      <c r="E13" s="191">
        <f>SUMIFS('Detalhe Por UC'!$BW:$BW,'Detalhe Por UC'!$R:$R,E$1,'Detalhe Por UC'!$H:$H,E$8,'Detalhe Por UC'!$AD:$AD,"&gt;0")+
SUMIFS('Detalhe Por UC'!$BW:$BW,'Detalhe Por UC'!$R:$R,E$1,'Detalhe Por UC'!$H:$H,"GIROSSOL II e III",'Detalhe Por UC'!$AD:$AD,"&gt;0")</f>
        <v>18684.048636363641</v>
      </c>
      <c r="F13" s="191">
        <f>SUMIFS('Detalhe Por UC'!$BW:$BW,'Detalhe Por UC'!$R:$R,F$1,'Detalhe Por UC'!$H:$H,F$8,'Detalhe Por UC'!$AD:$AD,"&gt;0")+
SUMIFS('Detalhe Por UC'!$BW:$BW,'Detalhe Por UC'!$R:$R,F$1,'Detalhe Por UC'!$H:$H,"GIROSSOL II e III",'Detalhe Por UC'!$AD:$AD,"&gt;0")</f>
        <v>18383.018333333337</v>
      </c>
      <c r="G13" s="191">
        <f>SUMIFS('Detalhe Por UC'!$BW:$BW,'Detalhe Por UC'!$R:$R,G$1,'Detalhe Por UC'!$H:$H,G$8,'Detalhe Por UC'!$AD:$AD,"&gt;0")+
SUMIFS('Detalhe Por UC'!$BW:$BW,'Detalhe Por UC'!$R:$R,G$1,'Detalhe Por UC'!$H:$H,"GIROSSOL II e III",'Detalhe Por UC'!$AD:$AD,"&gt;0")</f>
        <v>18197.351666666669</v>
      </c>
      <c r="H13" s="191">
        <f>SUMIFS('Detalhe Por UC'!$BW:$BW,'Detalhe Por UC'!$R:$R,H$1,'Detalhe Por UC'!$H:$H,H$8,'Detalhe Por UC'!$AD:$AD,"&gt;0")+
SUMIFS('Detalhe Por UC'!$BW:$BW,'Detalhe Por UC'!$R:$R,H$1,'Detalhe Por UC'!$H:$H,"GIROSSOL II e III",'Detalhe Por UC'!$AD:$AD,"&gt;0")</f>
        <v>17284.518333333333</v>
      </c>
      <c r="I13" s="191">
        <f>SUMIFS('Detalhe Por UC'!$BW:$BW,'Detalhe Por UC'!$R:$R,I$1,'Detalhe Por UC'!$H:$H,I$8,'Detalhe Por UC'!$AD:$AD,"&gt;0")+
SUMIFS('Detalhe Por UC'!$BW:$BW,'Detalhe Por UC'!$R:$R,I$1,'Detalhe Por UC'!$H:$H,"GIROSSOL II e III",'Detalhe Por UC'!$AD:$AD,"&gt;0")</f>
        <v>15607.268333333332</v>
      </c>
      <c r="J13" s="191">
        <f>SUMIFS('Detalhe Por UC'!$BW:$BW,'Detalhe Por UC'!$R:$R,J$1,'Detalhe Por UC'!$H:$H,J$8,'Detalhe Por UC'!$AD:$AD,"&gt;0")+
SUMIFS('Detalhe Por UC'!$BW:$BW,'Detalhe Por UC'!$R:$R,J$1,'Detalhe Por UC'!$H:$H,"GIROSSOL II e III",'Detalhe Por UC'!$AD:$AD,"&gt;0")</f>
        <v>17609.548636363634</v>
      </c>
      <c r="K13" s="191">
        <f>SUMIFS('Detalhe Por UC'!$BW:$BW,'Detalhe Por UC'!$R:$R,K$1,'Detalhe Por UC'!$H:$H,K$8,'Detalhe Por UC'!$AD:$AD,"&gt;0")+
SUMIFS('Detalhe Por UC'!$BW:$BW,'Detalhe Por UC'!$R:$R,K$1,'Detalhe Por UC'!$H:$H,"GIROSSOL II e III",'Detalhe Por UC'!$AD:$AD,"&gt;0")</f>
        <v>17609.548636363634</v>
      </c>
      <c r="L13" s="191">
        <f>SUMIFS('Detalhe Por UC'!$BW:$BW,'Detalhe Por UC'!$R:$R,L$1,'Detalhe Por UC'!$H:$H,L$8,'Detalhe Por UC'!$AD:$AD,"&gt;0")+
SUMIFS('Detalhe Por UC'!$BW:$BW,'Detalhe Por UC'!$R:$R,L$1,'Detalhe Por UC'!$H:$H,"GIROSSOL II e III",'Detalhe Por UC'!$AD:$AD,"&gt;0")</f>
        <v>20369.525909090906</v>
      </c>
      <c r="M13" s="191">
        <f>SUMIFS('Detalhe Por UC'!$BW:$BW,'Detalhe Por UC'!$R:$R,M$1,'Detalhe Por UC'!$H:$H,M$8,'Detalhe Por UC'!$AD:$AD,"&gt;0")+
SUMIFS('Detalhe Por UC'!$BW:$BW,'Detalhe Por UC'!$R:$R,M$1,'Detalhe Por UC'!$H:$H,"GIROSSOL II e III",'Detalhe Por UC'!$AD:$AD,"&gt;0")</f>
        <v>18735.753181818185</v>
      </c>
      <c r="N13" s="191">
        <f>SUMIFS('Detalhe Por UC'!$BW:$BW,'Detalhe Por UC'!$R:$R,N$1,'Detalhe Por UC'!$H:$H,N$8,'Detalhe Por UC'!$AD:$AD,"&gt;0")+
SUMIFS('Detalhe Por UC'!$BW:$BW,'Detalhe Por UC'!$R:$R,N$1,'Detalhe Por UC'!$H:$H,"GIROSSOL II e III",'Detalhe Por UC'!$AD:$AD,"&gt;0")</f>
        <v>27445.753181818178</v>
      </c>
      <c r="O13" s="178" t="s">
        <v>384</v>
      </c>
      <c r="P13" s="192"/>
    </row>
    <row r="14" spans="1:16" outlineLevel="1" x14ac:dyDescent="0.3">
      <c r="B14" s="179" t="s">
        <v>389</v>
      </c>
      <c r="C14" s="189"/>
      <c r="D14" s="191">
        <f ca="1">SUMIFS('Detalhe Por UC'!$CA:$CA,'Detalhe Por UC'!$R:$R,D$1,'Detalhe Por UC'!$H:$H,D$8)+
SUMIFS('Detalhe Por UC'!$CA:$CA,'Detalhe Por UC'!$R:$R,D$1,'Detalhe Por UC'!$H:$H,"GIROSSOL II e III")</f>
        <v>19456.320227272729</v>
      </c>
      <c r="E14" s="191">
        <f ca="1">SUMIFS('Detalhe Por UC'!$CA:$CA,'Detalhe Por UC'!$R:$R,E$1,'Detalhe Por UC'!$H:$H,E$8)+
SUMIFS('Detalhe Por UC'!$CA:$CA,'Detalhe Por UC'!$R:$R,E$1,'Detalhe Por UC'!$H:$H,"GIROSSOL II e III")</f>
        <v>19395.927398989905</v>
      </c>
      <c r="F14" s="191">
        <f ca="1">SUMIFS('Detalhe Por UC'!$CA:$CA,'Detalhe Por UC'!$R:$R,F$1,'Detalhe Por UC'!$H:$H,F$8)+
SUMIFS('Detalhe Por UC'!$CA:$CA,'Detalhe Por UC'!$R:$R,F$1,'Detalhe Por UC'!$H:$H,"GIROSSOL II e III")</f>
        <v>19314.865126262619</v>
      </c>
      <c r="G14" s="191">
        <f ca="1">SUMIFS('Detalhe Por UC'!$CA:$CA,'Detalhe Por UC'!$R:$R,G$1,'Detalhe Por UC'!$H:$H,G$8)+
SUMIFS('Detalhe Por UC'!$CA:$CA,'Detalhe Por UC'!$R:$R,G$1,'Detalhe Por UC'!$H:$H,"GIROSSOL II e III")</f>
        <v>18861.531287878781</v>
      </c>
      <c r="H14" s="191">
        <f ca="1">SUMIFS('Detalhe Por UC'!$CA:$CA,'Detalhe Por UC'!$R:$R,H$1,'Detalhe Por UC'!$H:$H,H$8)+
SUMIFS('Detalhe Por UC'!$CA:$CA,'Detalhe Por UC'!$R:$R,H$1,'Detalhe Por UC'!$H:$H,"GIROSSOL II e III")</f>
        <v>19186.049004329005</v>
      </c>
      <c r="I14" s="191">
        <f ca="1">SUMIFS('Detalhe Por UC'!$CA:$CA,'Detalhe Por UC'!$R:$R,I$1,'Detalhe Por UC'!$H:$H,I$8)+
SUMIFS('Detalhe Por UC'!$CA:$CA,'Detalhe Por UC'!$R:$R,I$1,'Detalhe Por UC'!$H:$H,"GIROSSOL II e III")</f>
        <v>18193.320151515152</v>
      </c>
      <c r="J14" s="191">
        <f ca="1">SUMIFS('Detalhe Por UC'!$CA:$CA,'Detalhe Por UC'!$R:$R,J$1,'Detalhe Por UC'!$H:$H,J$8)+
SUMIFS('Detalhe Por UC'!$CA:$CA,'Detalhe Por UC'!$R:$R,J$1,'Detalhe Por UC'!$H:$H,"GIROSSOL II e III")</f>
        <v>18041.811136363634</v>
      </c>
      <c r="K14" s="191">
        <f ca="1">SUMIFS('Detalhe Por UC'!$CA:$CA,'Detalhe Por UC'!$R:$R,K$1,'Detalhe Por UC'!$H:$H,K$8)+
SUMIFS('Detalhe Por UC'!$CA:$CA,'Detalhe Por UC'!$R:$R,K$1,'Detalhe Por UC'!$H:$H,"GIROSSOL II e III")</f>
        <v>18442.262045454543</v>
      </c>
      <c r="L14" s="191">
        <f ca="1">SUMIFS('Detalhe Por UC'!$CA:$CA,'Detalhe Por UC'!$R:$R,L$1,'Detalhe Por UC'!$H:$H,L$8)+
SUMIFS('Detalhe Por UC'!$CA:$CA,'Detalhe Por UC'!$R:$R,L$1,'Detalhe Por UC'!$H:$H,"GIROSSOL II e III")</f>
        <v>21076.506136363634</v>
      </c>
      <c r="M14" s="191">
        <f ca="1">SUMIFS('Detalhe Por UC'!$CA:$CA,'Detalhe Por UC'!$R:$R,M$1,'Detalhe Por UC'!$H:$H,M$8)+
SUMIFS('Detalhe Por UC'!$CA:$CA,'Detalhe Por UC'!$R:$R,M$1,'Detalhe Por UC'!$H:$H,"GIROSSOL II e III")</f>
        <v>19284.712575757574</v>
      </c>
      <c r="N14" s="191">
        <f ca="1">SUMIFS('Detalhe Por UC'!$CA:$CA,'Detalhe Por UC'!$R:$R,N$1,'Detalhe Por UC'!$H:$H,N$8)+
SUMIFS('Detalhe Por UC'!$CA:$CA,'Detalhe Por UC'!$R:$R,N$1,'Detalhe Por UC'!$H:$H,"GIROSSOL II e III")</f>
        <v>27016.685000000005</v>
      </c>
      <c r="O14" s="178" t="s">
        <v>384</v>
      </c>
      <c r="P14" s="192"/>
    </row>
    <row r="15" spans="1:16" outlineLevel="1" x14ac:dyDescent="0.3">
      <c r="B15" s="193" t="s">
        <v>390</v>
      </c>
      <c r="C15" s="194"/>
      <c r="D15" s="194"/>
      <c r="E15" s="194"/>
      <c r="F15" s="194"/>
      <c r="G15" s="194"/>
      <c r="H15" s="195"/>
      <c r="I15" s="195"/>
      <c r="J15" s="195"/>
      <c r="K15" s="196"/>
      <c r="L15" s="197"/>
      <c r="M15" s="197"/>
      <c r="N15" s="198"/>
      <c r="P15" s="192"/>
    </row>
    <row r="16" spans="1:16" outlineLevel="1" x14ac:dyDescent="0.3">
      <c r="B16" s="193" t="s">
        <v>391</v>
      </c>
      <c r="C16" s="194"/>
      <c r="D16" s="199">
        <v>12571</v>
      </c>
      <c r="E16" s="199">
        <v>12517</v>
      </c>
      <c r="F16" s="199">
        <v>11564</v>
      </c>
      <c r="G16" s="199">
        <v>12541</v>
      </c>
      <c r="H16" s="199">
        <v>10529</v>
      </c>
      <c r="I16" s="199">
        <v>9984</v>
      </c>
      <c r="J16" s="199">
        <v>10813</v>
      </c>
      <c r="K16" s="199">
        <v>11907</v>
      </c>
      <c r="L16" s="199">
        <v>13132</v>
      </c>
      <c r="M16" s="199">
        <v>11990</v>
      </c>
      <c r="N16" s="199">
        <v>12730</v>
      </c>
      <c r="O16" s="178" t="s">
        <v>392</v>
      </c>
      <c r="P16" s="192"/>
    </row>
    <row r="17" spans="2:16" outlineLevel="1" x14ac:dyDescent="0.3">
      <c r="B17" s="179" t="s">
        <v>393</v>
      </c>
      <c r="C17" s="189"/>
      <c r="D17" s="200">
        <f t="shared" ref="D17:G17" si="0">(D18-D21)*D20+(D19-D22)</f>
        <v>12297</v>
      </c>
      <c r="E17" s="200">
        <f t="shared" si="0"/>
        <v>13262</v>
      </c>
      <c r="F17" s="200">
        <f t="shared" si="0"/>
        <v>12230</v>
      </c>
      <c r="G17" s="200">
        <f t="shared" si="0"/>
        <v>6877</v>
      </c>
      <c r="H17" s="200">
        <f>(H18-H21)*H20+(H19-H22)</f>
        <v>8250</v>
      </c>
      <c r="I17" s="200">
        <f>(I18-I21)*I20+(I19-I22)</f>
        <v>17434</v>
      </c>
      <c r="J17" s="200">
        <f t="shared" ref="J17:N17" si="1">(J18-J21)*J20+(J19-J22)</f>
        <v>7778</v>
      </c>
      <c r="K17" s="200">
        <f t="shared" si="1"/>
        <v>10921</v>
      </c>
      <c r="L17" s="200">
        <f t="shared" si="1"/>
        <v>12039</v>
      </c>
      <c r="M17" s="200">
        <f t="shared" si="1"/>
        <v>12668</v>
      </c>
      <c r="N17" s="200">
        <f t="shared" si="1"/>
        <v>13874</v>
      </c>
      <c r="O17" s="178" t="s">
        <v>392</v>
      </c>
      <c r="P17" s="16"/>
    </row>
    <row r="18" spans="2:16" outlineLevel="1" x14ac:dyDescent="0.3">
      <c r="B18" s="201" t="s">
        <v>394</v>
      </c>
      <c r="C18" s="194"/>
      <c r="D18" s="202">
        <v>12297</v>
      </c>
      <c r="E18" s="202">
        <v>13262</v>
      </c>
      <c r="F18" s="202">
        <v>12230</v>
      </c>
      <c r="G18" s="202">
        <v>6877</v>
      </c>
      <c r="H18" s="202">
        <v>8250</v>
      </c>
      <c r="I18" s="202">
        <v>17434</v>
      </c>
      <c r="J18" s="202">
        <v>7778</v>
      </c>
      <c r="K18" s="202">
        <v>10921</v>
      </c>
      <c r="L18" s="202">
        <v>12039</v>
      </c>
      <c r="M18" s="202">
        <v>12668</v>
      </c>
      <c r="N18" s="202">
        <v>13874</v>
      </c>
      <c r="O18" s="203">
        <v>8250</v>
      </c>
      <c r="P18" s="16"/>
    </row>
    <row r="19" spans="2:16" outlineLevel="1" x14ac:dyDescent="0.3">
      <c r="B19" s="201" t="s">
        <v>395</v>
      </c>
      <c r="C19" s="194"/>
      <c r="D19" s="150">
        <v>0</v>
      </c>
      <c r="E19" s="150">
        <v>0</v>
      </c>
      <c r="F19" s="202">
        <v>0</v>
      </c>
      <c r="G19" s="202">
        <v>0</v>
      </c>
      <c r="H19" s="202">
        <v>0</v>
      </c>
      <c r="I19" s="202">
        <v>0</v>
      </c>
      <c r="J19" s="202">
        <v>0</v>
      </c>
      <c r="K19" s="202">
        <v>0</v>
      </c>
      <c r="L19" s="202">
        <v>0</v>
      </c>
      <c r="M19" s="202">
        <v>0</v>
      </c>
      <c r="N19" s="202">
        <v>0</v>
      </c>
      <c r="O19" s="203">
        <v>0</v>
      </c>
      <c r="P19" s="16"/>
    </row>
    <row r="20" spans="2:16" outlineLevel="1" x14ac:dyDescent="0.3">
      <c r="B20" s="201" t="s">
        <v>396</v>
      </c>
      <c r="C20" s="194"/>
      <c r="D20" s="150">
        <v>1</v>
      </c>
      <c r="E20" s="150">
        <v>1</v>
      </c>
      <c r="F20" s="202">
        <v>1</v>
      </c>
      <c r="G20" s="202">
        <v>1</v>
      </c>
      <c r="H20" s="202">
        <v>1</v>
      </c>
      <c r="I20" s="202">
        <v>1</v>
      </c>
      <c r="J20" s="202">
        <v>1</v>
      </c>
      <c r="K20" s="202">
        <v>1</v>
      </c>
      <c r="L20" s="202">
        <v>1</v>
      </c>
      <c r="M20" s="202">
        <v>1</v>
      </c>
      <c r="N20" s="202">
        <v>1</v>
      </c>
      <c r="O20" s="203">
        <v>1</v>
      </c>
      <c r="P20" s="16"/>
    </row>
    <row r="21" spans="2:16" outlineLevel="1" x14ac:dyDescent="0.3">
      <c r="B21" s="201" t="s">
        <v>397</v>
      </c>
      <c r="C21" s="194"/>
      <c r="D21" s="150">
        <v>0</v>
      </c>
      <c r="E21" s="150">
        <v>0</v>
      </c>
      <c r="F21" s="202">
        <v>0</v>
      </c>
      <c r="G21" s="202">
        <v>0</v>
      </c>
      <c r="H21" s="202">
        <v>0</v>
      </c>
      <c r="I21" s="202">
        <v>0</v>
      </c>
      <c r="J21" s="202">
        <v>0</v>
      </c>
      <c r="K21" s="202">
        <v>0</v>
      </c>
      <c r="L21" s="202">
        <v>0</v>
      </c>
      <c r="M21" s="202">
        <v>0</v>
      </c>
      <c r="N21" s="202">
        <v>0</v>
      </c>
      <c r="O21" s="203">
        <v>38</v>
      </c>
      <c r="P21" s="16"/>
    </row>
    <row r="22" spans="2:16" outlineLevel="1" x14ac:dyDescent="0.3">
      <c r="B22" s="201" t="s">
        <v>398</v>
      </c>
      <c r="C22" s="194"/>
      <c r="D22" s="150">
        <v>0</v>
      </c>
      <c r="E22" s="150">
        <v>0</v>
      </c>
      <c r="F22" s="202">
        <v>0</v>
      </c>
      <c r="G22" s="202">
        <v>0</v>
      </c>
      <c r="H22" s="202">
        <v>0</v>
      </c>
      <c r="I22" s="202">
        <v>0</v>
      </c>
      <c r="J22" s="202">
        <v>0</v>
      </c>
      <c r="K22" s="202">
        <v>0</v>
      </c>
      <c r="L22" s="202">
        <v>0</v>
      </c>
      <c r="M22" s="202">
        <v>0</v>
      </c>
      <c r="N22" s="202">
        <v>0</v>
      </c>
      <c r="O22" s="203">
        <v>0</v>
      </c>
      <c r="P22" s="16"/>
    </row>
    <row r="23" spans="2:16" outlineLevel="1" x14ac:dyDescent="0.3">
      <c r="B23" s="179" t="s">
        <v>399</v>
      </c>
      <c r="C23" s="182"/>
      <c r="D23" s="204">
        <f t="shared" ref="D23:N23" si="2">D18+D19-D15</f>
        <v>12297</v>
      </c>
      <c r="E23" s="204">
        <f t="shared" si="2"/>
        <v>13262</v>
      </c>
      <c r="F23" s="204">
        <f t="shared" si="2"/>
        <v>12230</v>
      </c>
      <c r="G23" s="204">
        <f t="shared" si="2"/>
        <v>6877</v>
      </c>
      <c r="H23" s="204">
        <f t="shared" si="2"/>
        <v>8250</v>
      </c>
      <c r="I23" s="204">
        <f t="shared" si="2"/>
        <v>17434</v>
      </c>
      <c r="J23" s="204">
        <f t="shared" si="2"/>
        <v>7778</v>
      </c>
      <c r="K23" s="204">
        <f t="shared" si="2"/>
        <v>10921</v>
      </c>
      <c r="L23" s="204">
        <f t="shared" si="2"/>
        <v>12039</v>
      </c>
      <c r="M23" s="204">
        <f t="shared" si="2"/>
        <v>12668</v>
      </c>
      <c r="N23" s="204">
        <f t="shared" si="2"/>
        <v>13874</v>
      </c>
      <c r="O23" s="178" t="s">
        <v>392</v>
      </c>
      <c r="P23" s="16"/>
    </row>
    <row r="24" spans="2:16" outlineLevel="1" x14ac:dyDescent="0.3">
      <c r="B24" s="179" t="s">
        <v>400</v>
      </c>
      <c r="C24" s="182"/>
      <c r="D24" s="205">
        <f t="shared" ref="D24:E24" si="3">SUM(D25:D27)</f>
        <v>13199</v>
      </c>
      <c r="E24" s="205">
        <f t="shared" si="3"/>
        <v>13847</v>
      </c>
      <c r="F24" s="205">
        <f t="shared" ref="F24:N24" si="4">SUM(F25:F27)</f>
        <v>17494</v>
      </c>
      <c r="G24" s="205">
        <f t="shared" si="4"/>
        <v>17858</v>
      </c>
      <c r="H24" s="205">
        <f t="shared" si="4"/>
        <v>12074</v>
      </c>
      <c r="I24" s="205">
        <f t="shared" si="4"/>
        <v>-5307</v>
      </c>
      <c r="J24" s="205">
        <f t="shared" si="4"/>
        <v>11540</v>
      </c>
      <c r="K24" s="205">
        <f t="shared" si="4"/>
        <v>11632</v>
      </c>
      <c r="L24" s="205">
        <f t="shared" si="4"/>
        <v>6094</v>
      </c>
      <c r="M24" s="205">
        <f t="shared" si="4"/>
        <v>3765</v>
      </c>
      <c r="N24" s="205">
        <f t="shared" si="4"/>
        <v>14664</v>
      </c>
      <c r="O24" s="178" t="s">
        <v>392</v>
      </c>
      <c r="P24" s="184"/>
    </row>
    <row r="25" spans="2:16" outlineLevel="1" x14ac:dyDescent="0.3">
      <c r="B25" s="206" t="s">
        <v>401</v>
      </c>
      <c r="C25" s="182"/>
      <c r="D25" s="207">
        <f>SUMIFS('Detalhe Por UC'!$AD:$AD,'Detalhe Por UC'!$R:$R,'Resumo Operacional'!D$1,'Detalhe Por UC'!$D:$D,"CRÉD. CONSUMIDO",'Detalhe Por UC'!$H:$H,D$8)</f>
        <v>16533</v>
      </c>
      <c r="E25" s="207">
        <f>SUMIFS('Detalhe Por UC'!$AD:$AD,'Detalhe Por UC'!$R:$R,'Resumo Operacional'!E$1,'Detalhe Por UC'!$D:$D,"CRÉD. CONSUMIDO",'Detalhe Por UC'!$H:$H,E$8)</f>
        <v>16446</v>
      </c>
      <c r="F25" s="207">
        <f>SUMIFS('Detalhe Por UC'!$AD:$AD,'Detalhe Por UC'!$R:$R,'Resumo Operacional'!F$1,'Detalhe Por UC'!$D:$D,"CRÉD. CONSUMIDO",'Detalhe Por UC'!$H:$H,F$8)</f>
        <v>12611</v>
      </c>
      <c r="G25" s="207">
        <f>SUMIFS('Detalhe Por UC'!$AD:$AD,'Detalhe Por UC'!$R:$R,'Resumo Operacional'!G$1,'Detalhe Por UC'!$D:$D,"CRÉD. CONSUMIDO",'Detalhe Por UC'!$H:$H,G$8)</f>
        <v>9458</v>
      </c>
      <c r="H25" s="207">
        <f>SUMIFS('Detalhe Por UC'!$AD:$AD,'Detalhe Por UC'!$R:$R,'Resumo Operacional'!H$1,'Detalhe Por UC'!$D:$D,"CRÉD. CONSUMIDO",'Detalhe Por UC'!$H:$H,H$8)</f>
        <v>8007</v>
      </c>
      <c r="I25" s="207">
        <f>SUMIFS('Detalhe Por UC'!$AD:$AD,'Detalhe Por UC'!$R:$R,'Resumo Operacional'!I$1,'Detalhe Por UC'!$D:$D,"CRÉD. CONSUMIDO",'Detalhe Por UC'!$H:$H,I$8)</f>
        <v>7950</v>
      </c>
      <c r="J25" s="207">
        <f>SUMIFS('Detalhe Por UC'!$AD:$AD,'Detalhe Por UC'!$R:$R,'Resumo Operacional'!J$1,'Detalhe Por UC'!$D:$D,"CRÉD. CONSUMIDO",'Detalhe Por UC'!$H:$H,J$8)</f>
        <v>11669</v>
      </c>
      <c r="K25" s="207">
        <f>SUMIFS('Detalhe Por UC'!$AD:$AD,'Detalhe Por UC'!$R:$R,'Resumo Operacional'!K$1,'Detalhe Por UC'!$D:$D,"CRÉD. CONSUMIDO",'Detalhe Por UC'!$H:$H,K$8)</f>
        <v>13593</v>
      </c>
      <c r="L25" s="207">
        <f>SUMIFS('Detalhe Por UC'!$AD:$AD,'Detalhe Por UC'!$R:$R,'Resumo Operacional'!L$1,'Detalhe Por UC'!$D:$D,"CRÉD. CONSUMIDO",'Detalhe Por UC'!$H:$H,L$8)</f>
        <v>6195</v>
      </c>
      <c r="M25" s="207">
        <f>SUMIFS('Detalhe Por UC'!$AD:$AD,'Detalhe Por UC'!$R:$R,'Resumo Operacional'!M$1,'Detalhe Por UC'!$D:$D,"CRÉD. CONSUMIDO",'Detalhe Por UC'!$H:$H,M$8)</f>
        <v>3007</v>
      </c>
      <c r="N25" s="207">
        <f>SUMIFS('Detalhe Por UC'!$AD:$AD,'Detalhe Por UC'!$R:$R,'Resumo Operacional'!N$1,'Detalhe Por UC'!$D:$D,"CRÉD. CONSUMIDO",'Detalhe Por UC'!$H:$H,N$8)</f>
        <v>12887</v>
      </c>
      <c r="O25" s="178" t="s">
        <v>392</v>
      </c>
      <c r="P25" s="16"/>
    </row>
    <row r="26" spans="2:16" outlineLevel="1" x14ac:dyDescent="0.3">
      <c r="B26" s="206" t="s">
        <v>402</v>
      </c>
      <c r="C26" s="182"/>
      <c r="D26" s="207">
        <f>SUMIFS('Detalhe Por UC'!$AN:$AN,'Detalhe Por UC'!$R:$R,'Resumo Operacional'!D$1,'Detalhe Por UC'!$D:$D,"CRÉD. CONSUMIDO",'Detalhe Por UC'!$H:$H,D$8)</f>
        <v>-3334</v>
      </c>
      <c r="E26" s="207">
        <f>SUMIFS('Detalhe Por UC'!$AN:$AN,'Detalhe Por UC'!$R:$R,'Resumo Operacional'!E$1,'Detalhe Por UC'!$D:$D,"CRÉD. CONSUMIDO",'Detalhe Por UC'!$H:$H,E$8)</f>
        <v>-2599</v>
      </c>
      <c r="F26" s="207">
        <f>SUMIFS('Detalhe Por UC'!$AN:$AN,'Detalhe Por UC'!$R:$R,'Resumo Operacional'!F$1,'Detalhe Por UC'!$D:$D,"CRÉD. CONSUMIDO",'Detalhe Por UC'!$H:$H,F$8)</f>
        <v>4883</v>
      </c>
      <c r="G26" s="207">
        <f>SUMIFS('Detalhe Por UC'!$AN:$AN,'Detalhe Por UC'!$R:$R,'Resumo Operacional'!G$1,'Detalhe Por UC'!$D:$D,"CRÉD. CONSUMIDO",'Detalhe Por UC'!$H:$H,G$8)</f>
        <v>8400</v>
      </c>
      <c r="H26" s="207">
        <f>SUMIFS('Detalhe Por UC'!$AN:$AN,'Detalhe Por UC'!$R:$R,'Resumo Operacional'!H$1,'Detalhe Por UC'!$D:$D,"CRÉD. CONSUMIDO",'Detalhe Por UC'!$H:$H,H$8)</f>
        <v>4067</v>
      </c>
      <c r="I26" s="207">
        <f>SUMIFS('Detalhe Por UC'!$AN:$AN,'Detalhe Por UC'!$R:$R,'Resumo Operacional'!I$1,'Detalhe Por UC'!$D:$D,"CRÉD. CONSUMIDO",'Detalhe Por UC'!$H:$H,I$8)</f>
        <v>-13257</v>
      </c>
      <c r="J26" s="207">
        <f>SUMIFS('Detalhe Por UC'!$AN:$AN,'Detalhe Por UC'!$R:$R,'Resumo Operacional'!J$1,'Detalhe Por UC'!$D:$D,"CRÉD. CONSUMIDO",'Detalhe Por UC'!$H:$H,J$8)</f>
        <v>-129</v>
      </c>
      <c r="K26" s="207">
        <f>SUMIFS('Detalhe Por UC'!$AN:$AN,'Detalhe Por UC'!$R:$R,'Resumo Operacional'!K$1,'Detalhe Por UC'!$D:$D,"CRÉD. CONSUMIDO",'Detalhe Por UC'!$H:$H,K$8)</f>
        <v>-1961</v>
      </c>
      <c r="L26" s="207">
        <f>SUMIFS('Detalhe Por UC'!$AN:$AN,'Detalhe Por UC'!$R:$R,'Resumo Operacional'!L$1,'Detalhe Por UC'!$D:$D,"CRÉD. CONSUMIDO",'Detalhe Por UC'!$H:$H,L$8)</f>
        <v>-101</v>
      </c>
      <c r="M26" s="207">
        <f>SUMIFS('Detalhe Por UC'!$AN:$AN,'Detalhe Por UC'!$R:$R,'Resumo Operacional'!M$1,'Detalhe Por UC'!$D:$D,"CRÉD. CONSUMIDO",'Detalhe Por UC'!$H:$H,M$8)</f>
        <v>758</v>
      </c>
      <c r="N26" s="207">
        <f>SUMIFS('Detalhe Por UC'!$AN:$AN,'Detalhe Por UC'!$R:$R,'Resumo Operacional'!N$1,'Detalhe Por UC'!$D:$D,"CRÉD. CONSUMIDO",'Detalhe Por UC'!$H:$H,N$8)</f>
        <v>1777</v>
      </c>
      <c r="O26" s="178" t="s">
        <v>392</v>
      </c>
      <c r="P26" s="16"/>
    </row>
    <row r="27" spans="2:16" outlineLevel="1" x14ac:dyDescent="0.3">
      <c r="B27" s="206" t="s">
        <v>403</v>
      </c>
      <c r="C27" s="182"/>
      <c r="D27" s="208">
        <f>SUMIFS('Detalhe Por UC'!$AQ:$AQ,'Detalhe Por UC'!$R:$R,'Resumo Operacional'!D$1,'Detalhe Por UC'!$D:$D,"GERADO",'Detalhe Por UC'!$H:$H,D$8)</f>
        <v>0</v>
      </c>
      <c r="E27" s="208">
        <f>SUMIFS('Detalhe Por UC'!$AQ:$AQ,'Detalhe Por UC'!$R:$R,'Resumo Operacional'!E$1,'Detalhe Por UC'!$D:$D,"GERADO",'Detalhe Por UC'!$H:$H,E$8)</f>
        <v>0</v>
      </c>
      <c r="F27" s="208">
        <f>SUMIFS('Detalhe Por UC'!$AQ:$AQ,'Detalhe Por UC'!$R:$R,'Resumo Operacional'!F$1,'Detalhe Por UC'!$D:$D,"GERADO",'Detalhe Por UC'!$H:$H,F$8)</f>
        <v>0</v>
      </c>
      <c r="G27" s="208">
        <f>SUMIFS('Detalhe Por UC'!$AQ:$AQ,'Detalhe Por UC'!$R:$R,'Resumo Operacional'!G$1,'Detalhe Por UC'!$D:$D,"GERADO",'Detalhe Por UC'!$H:$H,G$8)</f>
        <v>0</v>
      </c>
      <c r="H27" s="208">
        <f>SUMIFS('Detalhe Por UC'!$AQ:$AQ,'Detalhe Por UC'!$R:$R,'Resumo Operacional'!H$1,'Detalhe Por UC'!$D:$D,"GERADO",'Detalhe Por UC'!$H:$H,H$8)</f>
        <v>0</v>
      </c>
      <c r="I27" s="208">
        <f>SUMIFS('Detalhe Por UC'!$AQ:$AQ,'Detalhe Por UC'!$R:$R,'Resumo Operacional'!I$1,'Detalhe Por UC'!$D:$D,"GERADO",'Detalhe Por UC'!$H:$H,I$8)</f>
        <v>0</v>
      </c>
      <c r="J27" s="208">
        <f>SUMIFS('Detalhe Por UC'!$AQ:$AQ,'Detalhe Por UC'!$R:$R,'Resumo Operacional'!J$1,'Detalhe Por UC'!$D:$D,"GERADO",'Detalhe Por UC'!$H:$H,J$8)</f>
        <v>0</v>
      </c>
      <c r="K27" s="208">
        <f>SUMIFS('Detalhe Por UC'!$AQ:$AQ,'Detalhe Por UC'!$R:$R,'Resumo Operacional'!K$1,'Detalhe Por UC'!$D:$D,"GERADO",'Detalhe Por UC'!$H:$H,K$8)</f>
        <v>0</v>
      </c>
      <c r="L27" s="208">
        <f>SUMIFS('Detalhe Por UC'!$AQ:$AQ,'Detalhe Por UC'!$R:$R,'Resumo Operacional'!L$1,'Detalhe Por UC'!$D:$D,"GERADO",'Detalhe Por UC'!$H:$H,L$8)</f>
        <v>0</v>
      </c>
      <c r="M27" s="208">
        <f>SUMIFS('Detalhe Por UC'!$AQ:$AQ,'Detalhe Por UC'!$R:$R,'Resumo Operacional'!M$1,'Detalhe Por UC'!$D:$D,"GERADO",'Detalhe Por UC'!$H:$H,M$8)</f>
        <v>0</v>
      </c>
      <c r="N27" s="208">
        <f>SUMIFS('Detalhe Por UC'!$AQ:$AQ,'Detalhe Por UC'!$R:$R,'Resumo Operacional'!N$1,'Detalhe Por UC'!$D:$D,"GERADO",'Detalhe Por UC'!$H:$H,N$8)</f>
        <v>0</v>
      </c>
      <c r="O27" s="178" t="s">
        <v>392</v>
      </c>
      <c r="P27" s="16"/>
    </row>
    <row r="28" spans="2:16" outlineLevel="1" x14ac:dyDescent="0.3">
      <c r="B28" s="206" t="s">
        <v>404</v>
      </c>
      <c r="C28" s="182"/>
      <c r="D28" s="207">
        <f t="shared" ref="D28:N28" si="5">D24-D17</f>
        <v>902</v>
      </c>
      <c r="E28" s="207">
        <f t="shared" si="5"/>
        <v>585</v>
      </c>
      <c r="F28" s="207">
        <f t="shared" si="5"/>
        <v>5264</v>
      </c>
      <c r="G28" s="207">
        <f t="shared" si="5"/>
        <v>10981</v>
      </c>
      <c r="H28" s="207">
        <f t="shared" si="5"/>
        <v>3824</v>
      </c>
      <c r="I28" s="207">
        <f t="shared" si="5"/>
        <v>-22741</v>
      </c>
      <c r="J28" s="207">
        <f t="shared" si="5"/>
        <v>3762</v>
      </c>
      <c r="K28" s="207">
        <f t="shared" si="5"/>
        <v>711</v>
      </c>
      <c r="L28" s="207">
        <f t="shared" si="5"/>
        <v>-5945</v>
      </c>
      <c r="M28" s="207">
        <f t="shared" si="5"/>
        <v>-8903</v>
      </c>
      <c r="N28" s="207">
        <f t="shared" si="5"/>
        <v>790</v>
      </c>
      <c r="O28" s="178" t="s">
        <v>392</v>
      </c>
      <c r="P28" s="16"/>
    </row>
    <row r="29" spans="2:16" outlineLevel="1" x14ac:dyDescent="0.3">
      <c r="B29" s="209" t="s">
        <v>405</v>
      </c>
      <c r="C29" s="182"/>
      <c r="D29" s="205">
        <f t="shared" ref="D29:N29" si="6">D27+D25</f>
        <v>16533</v>
      </c>
      <c r="E29" s="205">
        <f t="shared" si="6"/>
        <v>16446</v>
      </c>
      <c r="F29" s="205">
        <f t="shared" si="6"/>
        <v>12611</v>
      </c>
      <c r="G29" s="205">
        <f t="shared" si="6"/>
        <v>9458</v>
      </c>
      <c r="H29" s="205">
        <f t="shared" si="6"/>
        <v>8007</v>
      </c>
      <c r="I29" s="205">
        <f t="shared" si="6"/>
        <v>7950</v>
      </c>
      <c r="J29" s="205">
        <f t="shared" si="6"/>
        <v>11669</v>
      </c>
      <c r="K29" s="205">
        <f t="shared" si="6"/>
        <v>13593</v>
      </c>
      <c r="L29" s="205">
        <f t="shared" si="6"/>
        <v>6195</v>
      </c>
      <c r="M29" s="205">
        <f t="shared" si="6"/>
        <v>3007</v>
      </c>
      <c r="N29" s="205">
        <f t="shared" si="6"/>
        <v>12887</v>
      </c>
      <c r="O29" s="178" t="s">
        <v>392</v>
      </c>
      <c r="P29" s="16"/>
    </row>
    <row r="30" spans="2:16" outlineLevel="1" x14ac:dyDescent="0.3">
      <c r="B30" s="209" t="s">
        <v>406</v>
      </c>
      <c r="C30" s="182"/>
      <c r="D30" s="210">
        <f>SUMIFS('Detalhe Por UC'!$AF:$AF,'Detalhe Por UC'!$R:$R,'Resumo Operacional'!D$1,'Detalhe Por UC'!$D:$D,"CRÉD. CONSUMIDO",'Detalhe Por UC'!$H:$H,D$8)</f>
        <v>22747</v>
      </c>
      <c r="E30" s="210">
        <f>SUMIFS('Detalhe Por UC'!$AF:$AF,'Detalhe Por UC'!$R:$R,'Resumo Operacional'!E$1,'Detalhe Por UC'!$D:$D,"CRÉD. CONSUMIDO",'Detalhe Por UC'!$H:$H,E$8)</f>
        <v>26081</v>
      </c>
      <c r="F30" s="210">
        <f>SUMIFS('Detalhe Por UC'!$AF:$AF,'Detalhe Por UC'!$R:$R,'Resumo Operacional'!F$1,'Detalhe Por UC'!$D:$D,"CRÉD. CONSUMIDO",'Detalhe Por UC'!$H:$H,F$8)</f>
        <v>28680</v>
      </c>
      <c r="G30" s="210">
        <f>SUMIFS('Detalhe Por UC'!$AF:$AF,'Detalhe Por UC'!$R:$R,'Resumo Operacional'!G$1,'Detalhe Por UC'!$D:$D,"CRÉD. CONSUMIDO",'Detalhe Por UC'!$H:$H,G$8)</f>
        <v>23797</v>
      </c>
      <c r="H30" s="210">
        <f>SUMIFS('Detalhe Por UC'!$AF:$AF,'Detalhe Por UC'!$R:$R,'Resumo Operacional'!H$1,'Detalhe Por UC'!$D:$D,"CRÉD. CONSUMIDO",'Detalhe Por UC'!$H:$H,H$8)</f>
        <v>15397</v>
      </c>
      <c r="I30" s="210">
        <f>SUMIFS('Detalhe Por UC'!$AF:$AF,'Detalhe Por UC'!$R:$R,'Resumo Operacional'!I$1,'Detalhe Por UC'!$D:$D,"CRÉD. CONSUMIDO",'Detalhe Por UC'!$H:$H,I$8)</f>
        <v>11330</v>
      </c>
      <c r="J30" s="210">
        <f>SUMIFS('Detalhe Por UC'!$AF:$AF,'Detalhe Por UC'!$R:$R,'Resumo Operacional'!J$1,'Detalhe Por UC'!$D:$D,"CRÉD. CONSUMIDO",'Detalhe Por UC'!$H:$H,J$8)</f>
        <v>24587</v>
      </c>
      <c r="K30" s="210">
        <f>SUMIFS('Detalhe Por UC'!$AF:$AF,'Detalhe Por UC'!$R:$R,'Resumo Operacional'!K$1,'Detalhe Por UC'!$D:$D,"CRÉD. CONSUMIDO",'Detalhe Por UC'!$H:$H,K$8)</f>
        <v>24716</v>
      </c>
      <c r="L30" s="210">
        <f>SUMIFS('Detalhe Por UC'!$AF:$AF,'Detalhe Por UC'!$R:$R,'Resumo Operacional'!L$1,'Detalhe Por UC'!$D:$D,"CRÉD. CONSUMIDO",'Detalhe Por UC'!$H:$H,L$8)</f>
        <v>14607</v>
      </c>
      <c r="M30" s="210">
        <f>SUMIFS('Detalhe Por UC'!$AF:$AF,'Detalhe Por UC'!$R:$R,'Resumo Operacional'!M$1,'Detalhe Por UC'!$D:$D,"CRÉD. CONSUMIDO",'Detalhe Por UC'!$H:$H,M$8)</f>
        <v>10318</v>
      </c>
      <c r="N30" s="210">
        <f>SUMIFS('Detalhe Por UC'!$AF:$AF,'Detalhe Por UC'!$R:$R,'Resumo Operacional'!N$1,'Detalhe Por UC'!$D:$D,"CRÉD. CONSUMIDO",'Detalhe Por UC'!$H:$H,N$8)</f>
        <v>10124</v>
      </c>
      <c r="O30" s="178" t="s">
        <v>392</v>
      </c>
      <c r="P30" s="184"/>
    </row>
    <row r="31" spans="2:16" outlineLevel="1" x14ac:dyDescent="0.3">
      <c r="O31" s="211"/>
    </row>
    <row r="32" spans="2:16" outlineLevel="1" x14ac:dyDescent="0.3">
      <c r="B32" s="186" t="s">
        <v>407</v>
      </c>
      <c r="C32" s="187"/>
      <c r="D32" s="212" t="s">
        <v>24</v>
      </c>
      <c r="E32" s="212" t="s">
        <v>24</v>
      </c>
      <c r="F32" s="212" t="s">
        <v>24</v>
      </c>
      <c r="G32" s="212" t="s">
        <v>24</v>
      </c>
      <c r="H32" s="212" t="s">
        <v>24</v>
      </c>
      <c r="I32" s="212" t="s">
        <v>24</v>
      </c>
      <c r="J32" s="212" t="s">
        <v>24</v>
      </c>
      <c r="K32" s="212" t="s">
        <v>24</v>
      </c>
      <c r="L32" s="212" t="s">
        <v>24</v>
      </c>
      <c r="M32" s="212" t="s">
        <v>24</v>
      </c>
      <c r="N32" s="212" t="s">
        <v>24</v>
      </c>
      <c r="O32" s="211"/>
    </row>
    <row r="33" spans="2:16" outlineLevel="1" x14ac:dyDescent="0.3">
      <c r="B33" s="213" t="s">
        <v>408</v>
      </c>
      <c r="C33" s="180"/>
      <c r="D33" s="214">
        <f>SUMIFS('Detalhe Por UC'!$AV:$AV,'Detalhe Por UC'!$R:$R,'Resumo Operacional'!D$1,'Detalhe Por UC'!$H:$H,D$8)</f>
        <v>15723.922392798269</v>
      </c>
      <c r="E33" s="214">
        <f>SUMIFS('Detalhe Por UC'!$AV:$AV,'Detalhe Por UC'!$R:$R,'Resumo Operacional'!E$1,'Detalhe Por UC'!$H:$H,E$8)</f>
        <v>14318.023389846832</v>
      </c>
      <c r="F33" s="214">
        <f>SUMIFS('Detalhe Por UC'!$AV:$AV,'Detalhe Por UC'!$R:$R,'Resumo Operacional'!F$1,'Detalhe Por UC'!$H:$H,F$8)</f>
        <v>11103.333145759396</v>
      </c>
      <c r="G33" s="214">
        <f>SUMIFS('Detalhe Por UC'!$AV:$AV,'Detalhe Por UC'!$R:$R,'Resumo Operacional'!G$1,'Detalhe Por UC'!$H:$H,G$8)</f>
        <v>8515.6915977136887</v>
      </c>
      <c r="H33" s="214">
        <f>SUMIFS('Detalhe Por UC'!$AV:$AV,'Detalhe Por UC'!$R:$R,'Resumo Operacional'!H$1,'Detalhe Por UC'!$H:$H,H$8)</f>
        <v>7088.8135264906286</v>
      </c>
      <c r="I33" s="214">
        <f>SUMIFS('Detalhe Por UC'!$AV:$AV,'Detalhe Por UC'!$R:$R,'Resumo Operacional'!I$1,'Detalhe Por UC'!$H:$H,I$8)</f>
        <v>6932.9834672317957</v>
      </c>
      <c r="J33" s="214">
        <f>SUMIFS('Detalhe Por UC'!$AV:$AV,'Detalhe Por UC'!$R:$R,'Resumo Operacional'!J$1,'Detalhe Por UC'!$H:$H,J$8)</f>
        <v>9631.7376905696419</v>
      </c>
      <c r="K33" s="214">
        <f>SUMIFS('Detalhe Por UC'!$AV:$AV,'Detalhe Por UC'!$R:$R,'Resumo Operacional'!K$1,'Detalhe Por UC'!$H:$H,K$8)</f>
        <v>10955.129961037497</v>
      </c>
      <c r="L33" s="214">
        <f>SUMIFS('Detalhe Por UC'!$AV:$AV,'Detalhe Por UC'!$R:$R,'Resumo Operacional'!L$1,'Detalhe Por UC'!$H:$H,L$8)</f>
        <v>5162.574699558987</v>
      </c>
      <c r="M33" s="214">
        <f>SUMIFS('Detalhe Por UC'!$AV:$AV,'Detalhe Por UC'!$R:$R,'Resumo Operacional'!M$1,'Detalhe Por UC'!$H:$H,M$8)</f>
        <v>2468.4299999999998</v>
      </c>
      <c r="N33" s="214">
        <f>SUMIFS('Detalhe Por UC'!$AV:$AV,'Detalhe Por UC'!$R:$R,'Resumo Operacional'!N$1,'Detalhe Por UC'!$H:$H,N$8)</f>
        <v>10717.860000000002</v>
      </c>
      <c r="O33" s="211"/>
    </row>
    <row r="34" spans="2:16" outlineLevel="1" x14ac:dyDescent="0.3">
      <c r="B34" s="213" t="s">
        <v>409</v>
      </c>
      <c r="C34" s="180"/>
      <c r="D34" s="214">
        <f>SUMIFS('Detalhe Por UC'!$AY:$AY,'Detalhe Por UC'!$R:$R,'Resumo Operacional'!D$1,'Detalhe Por UC'!$H:$H,D$8)</f>
        <v>16590.510000000006</v>
      </c>
      <c r="E34" s="214">
        <f>SUMIFS('Detalhe Por UC'!$AY:$AY,'Detalhe Por UC'!$R:$R,'Resumo Operacional'!E$1,'Detalhe Por UC'!$H:$H,E$8)</f>
        <v>14866.860000000008</v>
      </c>
      <c r="F34" s="214">
        <f>SUMIFS('Detalhe Por UC'!$AY:$AY,'Detalhe Por UC'!$R:$R,'Resumo Operacional'!F$1,'Detalhe Por UC'!$H:$H,F$8)</f>
        <v>11258.93</v>
      </c>
      <c r="G34" s="214">
        <f>SUMIFS('Detalhe Por UC'!$AY:$AY,'Detalhe Por UC'!$R:$R,'Resumo Operacional'!G$1,'Detalhe Por UC'!$H:$H,G$8)</f>
        <v>8493.1500000000015</v>
      </c>
      <c r="H34" s="214">
        <f>SUMIFS('Detalhe Por UC'!$AY:$AY,'Detalhe Por UC'!$R:$R,'Resumo Operacional'!H$1,'Detalhe Por UC'!$H:$H,H$8)</f>
        <v>7105.9899999999989</v>
      </c>
      <c r="I34" s="214">
        <f>SUMIFS('Detalhe Por UC'!$AY:$AY,'Detalhe Por UC'!$R:$R,'Resumo Operacional'!I$1,'Detalhe Por UC'!$H:$H,I$8)</f>
        <v>6834.3200000000006</v>
      </c>
      <c r="J34" s="214">
        <f>SUMIFS('Detalhe Por UC'!$AY:$AY,'Detalhe Por UC'!$R:$R,'Resumo Operacional'!J$1,'Detalhe Por UC'!$H:$H,J$8)</f>
        <v>9631.7599999999966</v>
      </c>
      <c r="K34" s="214">
        <f>SUMIFS('Detalhe Por UC'!$AY:$AY,'Detalhe Por UC'!$R:$R,'Resumo Operacional'!K$1,'Detalhe Por UC'!$H:$H,K$8)</f>
        <v>10961.259999999997</v>
      </c>
      <c r="L34" s="214">
        <f>SUMIFS('Detalhe Por UC'!$AY:$AY,'Detalhe Por UC'!$R:$R,'Resumo Operacional'!L$1,'Detalhe Por UC'!$H:$H,L$8)</f>
        <v>5162.59</v>
      </c>
      <c r="M34" s="214">
        <f>SUMIFS('Detalhe Por UC'!$AY:$AY,'Detalhe Por UC'!$R:$R,'Resumo Operacional'!M$1,'Detalhe Por UC'!$H:$H,M$8)</f>
        <v>2468.4499999999998</v>
      </c>
      <c r="N34" s="214">
        <f>SUMIFS('Detalhe Por UC'!$AY:$AY,'Detalhe Por UC'!$R:$R,'Resumo Operacional'!N$1,'Detalhe Por UC'!$H:$H,N$8)</f>
        <v>10717.930000000002</v>
      </c>
      <c r="O34" s="211"/>
    </row>
    <row r="35" spans="2:16" outlineLevel="1" x14ac:dyDescent="0.3">
      <c r="B35" s="213" t="s">
        <v>410</v>
      </c>
      <c r="C35" s="180"/>
      <c r="D35" s="214">
        <f>SUMIFS('Detalhe Por UC'!$BA:$BA,'Detalhe Por UC'!$R:$R,'Resumo Operacional'!D$1,'Detalhe Por UC'!$H:$H,D$8)</f>
        <v>0</v>
      </c>
      <c r="E35" s="214">
        <f>SUMIFS('Detalhe Por UC'!$BA:$BA,'Detalhe Por UC'!$R:$R,'Resumo Operacional'!E$1,'Detalhe Por UC'!$H:$H,E$8)</f>
        <v>14000.280000100005</v>
      </c>
      <c r="F35" s="214">
        <f>SUMIFS('Detalhe Por UC'!$BA:$BA,'Detalhe Por UC'!$R:$R,'Resumo Operacional'!F$1,'Detalhe Por UC'!$H:$H,F$8)</f>
        <v>10710.0900001104</v>
      </c>
      <c r="G35" s="214">
        <f>SUMIFS('Detalhe Por UC'!$BA:$BA,'Detalhe Por UC'!$R:$R,'Resumo Operacional'!G$1,'Detalhe Por UC'!$H:$H,G$8)</f>
        <v>8271.7900000999998</v>
      </c>
      <c r="H35" s="214">
        <f>SUMIFS('Detalhe Por UC'!$BA:$BA,'Detalhe Por UC'!$R:$R,'Resumo Operacional'!H$1,'Detalhe Por UC'!$H:$H,H$8)</f>
        <v>7001.9500009999992</v>
      </c>
      <c r="I35" s="214">
        <f>SUMIFS('Detalhe Por UC'!$BA:$BA,'Detalhe Por UC'!$R:$R,'Resumo Operacional'!I$1,'Detalhe Por UC'!$H:$H,I$8)</f>
        <v>6817.1100099999976</v>
      </c>
      <c r="J35" s="214">
        <f>SUMIFS('Detalhe Por UC'!$BA:$BA,'Detalhe Por UC'!$R:$R,'Resumo Operacional'!J$1,'Detalhe Por UC'!$H:$H,J$8)</f>
        <v>9730.4</v>
      </c>
      <c r="K35" s="214">
        <f>SUMIFS('Detalhe Por UC'!$BA:$BA,'Detalhe Por UC'!$R:$R,'Resumo Operacional'!K$1,'Detalhe Por UC'!$H:$H,K$8)</f>
        <v>10961.259999999997</v>
      </c>
      <c r="L35" s="214">
        <f>SUMIFS('Detalhe Por UC'!$BA:$BA,'Detalhe Por UC'!$R:$R,'Resumo Operacional'!L$1,'Detalhe Por UC'!$H:$H,L$8)</f>
        <v>5162.59</v>
      </c>
      <c r="M35" s="214">
        <f>SUMIFS('Detalhe Por UC'!$BA:$BA,'Detalhe Por UC'!$R:$R,'Resumo Operacional'!M$1,'Detalhe Por UC'!$H:$H,M$8)</f>
        <v>2419.89</v>
      </c>
      <c r="N35" s="214">
        <f>SUMIFS('Detalhe Por UC'!$BA:$BA,'Detalhe Por UC'!$R:$R,'Resumo Operacional'!N$1,'Detalhe Por UC'!$H:$H,N$8)</f>
        <v>10717.930000000002</v>
      </c>
      <c r="O35" s="211"/>
    </row>
    <row r="36" spans="2:16" outlineLevel="1" x14ac:dyDescent="0.3">
      <c r="B36" s="215" t="s">
        <v>411</v>
      </c>
      <c r="C36" s="182"/>
      <c r="D36" s="214">
        <f>SUMIFS('Detalhe Por UC'!$BB:$BB,'Detalhe Por UC'!$R:$R,'Resumo Operacional'!D$1,'Detalhe Por UC'!$H:$H,D$8)</f>
        <v>0</v>
      </c>
      <c r="E36" s="214">
        <f>SUMIFS('Detalhe Por UC'!$BB:$BB,'Detalhe Por UC'!$R:$R,'Resumo Operacional'!E$1,'Detalhe Por UC'!$H:$H,E$8)</f>
        <v>12220.030000000002</v>
      </c>
      <c r="F36" s="214">
        <f>SUMIFS('Detalhe Por UC'!$BB:$BB,'Detalhe Por UC'!$R:$R,'Resumo Operacional'!F$1,'Detalhe Por UC'!$H:$H,F$8)</f>
        <v>10361.73</v>
      </c>
      <c r="G36" s="214">
        <f>SUMIFS('Detalhe Por UC'!$BB:$BB,'Detalhe Por UC'!$R:$R,'Resumo Operacional'!G$1,'Detalhe Por UC'!$H:$H,G$8)</f>
        <v>8268.17</v>
      </c>
      <c r="H36" s="214">
        <f>SUMIFS('Detalhe Por UC'!$BB:$BB,'Detalhe Por UC'!$R:$R,'Resumo Operacional'!H$1,'Detalhe Por UC'!$H:$H,H$8)</f>
        <v>6800.2899999999981</v>
      </c>
      <c r="I36" s="214">
        <f>SUMIFS('Detalhe Por UC'!$BB:$BB,'Detalhe Por UC'!$R:$R,'Resumo Operacional'!I$1,'Detalhe Por UC'!$H:$H,I$8)</f>
        <v>6334.489999999998</v>
      </c>
      <c r="J36" s="214">
        <f>SUMIFS('Detalhe Por UC'!$BB:$BB,'Detalhe Por UC'!$R:$R,'Resumo Operacional'!J$1,'Detalhe Por UC'!$H:$H,J$8)</f>
        <v>6883.1899999999987</v>
      </c>
      <c r="K36" s="214">
        <f>SUMIFS('Detalhe Por UC'!$BB:$BB,'Detalhe Por UC'!$R:$R,'Resumo Operacional'!K$1,'Detalhe Por UC'!$H:$H,K$8)</f>
        <v>8649.6499999999978</v>
      </c>
      <c r="L36" s="214">
        <f>SUMIFS('Detalhe Por UC'!$BB:$BB,'Detalhe Por UC'!$R:$R,'Resumo Operacional'!L$1,'Detalhe Por UC'!$H:$H,L$8)</f>
        <v>4726.4699999999993</v>
      </c>
      <c r="M36" s="214">
        <f>SUMIFS('Detalhe Por UC'!$BB:$BB,'Detalhe Por UC'!$R:$R,'Resumo Operacional'!M$1,'Detalhe Por UC'!$H:$H,M$8)</f>
        <v>1681.1799999999998</v>
      </c>
      <c r="N36" s="214">
        <f>SUMIFS('Detalhe Por UC'!$BB:$BB,'Detalhe Por UC'!$R:$R,'Resumo Operacional'!N$1,'Detalhe Por UC'!$H:$H,N$8)</f>
        <v>9779.23</v>
      </c>
      <c r="O36" s="211"/>
    </row>
    <row r="37" spans="2:16" outlineLevel="1" x14ac:dyDescent="0.3">
      <c r="B37" s="216"/>
      <c r="C37" s="171"/>
      <c r="D37" s="171"/>
      <c r="E37" s="171"/>
      <c r="F37" s="171"/>
      <c r="G37" s="171"/>
      <c r="H37" s="171"/>
      <c r="I37" s="171"/>
      <c r="J37" s="171"/>
      <c r="K37" s="217"/>
      <c r="L37" s="217"/>
      <c r="M37" s="217"/>
      <c r="N37" s="217"/>
      <c r="O37" s="211"/>
    </row>
    <row r="38" spans="2:16" outlineLevel="1" x14ac:dyDescent="0.3">
      <c r="B38" s="186" t="s">
        <v>412</v>
      </c>
      <c r="C38" s="187"/>
      <c r="D38" s="188" t="s">
        <v>24</v>
      </c>
      <c r="E38" s="188" t="s">
        <v>24</v>
      </c>
      <c r="F38" s="188" t="s">
        <v>24</v>
      </c>
      <c r="G38" s="188" t="s">
        <v>24</v>
      </c>
      <c r="H38" s="188" t="s">
        <v>24</v>
      </c>
      <c r="I38" s="188" t="s">
        <v>24</v>
      </c>
      <c r="J38" s="188" t="s">
        <v>24</v>
      </c>
      <c r="K38" s="188" t="s">
        <v>24</v>
      </c>
      <c r="L38" s="188" t="s">
        <v>24</v>
      </c>
      <c r="M38" s="188" t="s">
        <v>24</v>
      </c>
      <c r="N38" s="188" t="s">
        <v>24</v>
      </c>
      <c r="O38" s="211"/>
    </row>
    <row r="39" spans="2:16" outlineLevel="1" x14ac:dyDescent="0.3">
      <c r="B39" s="218" t="s">
        <v>413</v>
      </c>
      <c r="C39" s="219"/>
      <c r="D39" s="220">
        <f t="shared" ref="D39:N39" si="7">IF(1-D$9/(D$17)&lt;0,0,1-D$9/(D$17))</f>
        <v>0</v>
      </c>
      <c r="E39" s="220">
        <f t="shared" si="7"/>
        <v>0</v>
      </c>
      <c r="F39" s="220">
        <f t="shared" si="7"/>
        <v>0</v>
      </c>
      <c r="G39" s="220">
        <f t="shared" si="7"/>
        <v>0</v>
      </c>
      <c r="H39" s="220">
        <f>IF(1-H$9/(H$17)&lt;0,0,1-H$9/(H$17))</f>
        <v>0</v>
      </c>
      <c r="I39" s="220">
        <f t="shared" si="7"/>
        <v>0.18179304806699559</v>
      </c>
      <c r="J39" s="220">
        <f t="shared" si="7"/>
        <v>0</v>
      </c>
      <c r="K39" s="220">
        <f t="shared" si="7"/>
        <v>0</v>
      </c>
      <c r="L39" s="220">
        <f t="shared" si="7"/>
        <v>0</v>
      </c>
      <c r="M39" s="220">
        <f t="shared" si="7"/>
        <v>0</v>
      </c>
      <c r="N39" s="220">
        <f t="shared" si="7"/>
        <v>0</v>
      </c>
      <c r="O39" s="211"/>
    </row>
    <row r="40" spans="2:16" hidden="1" outlineLevel="1" x14ac:dyDescent="0.3">
      <c r="B40" s="218" t="s">
        <v>414</v>
      </c>
      <c r="C40" s="219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11"/>
    </row>
    <row r="41" spans="2:16" outlineLevel="1" x14ac:dyDescent="0.3">
      <c r="B41" s="218" t="s">
        <v>415</v>
      </c>
      <c r="C41" s="180"/>
      <c r="D41" s="222">
        <f t="shared" ref="D41:N41" si="8">IFERROR(1-D36/D35,1)</f>
        <v>1</v>
      </c>
      <c r="E41" s="222">
        <f t="shared" si="8"/>
        <v>0.12715817112852645</v>
      </c>
      <c r="F41" s="222">
        <f t="shared" si="8"/>
        <v>3.2526337323664833E-2</v>
      </c>
      <c r="G41" s="222">
        <f t="shared" si="8"/>
        <v>4.3763201192925649E-4</v>
      </c>
      <c r="H41" s="222">
        <f t="shared" si="8"/>
        <v>2.880054855735914E-2</v>
      </c>
      <c r="I41" s="222">
        <f t="shared" si="8"/>
        <v>7.0795397065918864E-2</v>
      </c>
      <c r="J41" s="222">
        <f t="shared" si="8"/>
        <v>0.29260975910548392</v>
      </c>
      <c r="K41" s="222">
        <f t="shared" si="8"/>
        <v>0.2108890766207534</v>
      </c>
      <c r="L41" s="222">
        <f t="shared" si="8"/>
        <v>8.4476977641067874E-2</v>
      </c>
      <c r="M41" s="222">
        <f t="shared" si="8"/>
        <v>0.30526594184033162</v>
      </c>
      <c r="N41" s="222">
        <f t="shared" si="8"/>
        <v>8.7582210370846125E-2</v>
      </c>
      <c r="O41" s="211"/>
    </row>
    <row r="42" spans="2:16" outlineLevel="1" x14ac:dyDescent="0.3">
      <c r="O42" s="211"/>
    </row>
    <row r="43" spans="2:16" outlineLevel="1" collapsed="1" x14ac:dyDescent="0.3">
      <c r="B43" s="186" t="s">
        <v>416</v>
      </c>
      <c r="C43" s="223"/>
      <c r="D43" s="188" t="s">
        <v>138</v>
      </c>
      <c r="E43" s="188" t="s">
        <v>138</v>
      </c>
      <c r="F43" s="188" t="s">
        <v>138</v>
      </c>
      <c r="G43" s="188" t="s">
        <v>138</v>
      </c>
      <c r="H43" s="188" t="s">
        <v>138</v>
      </c>
      <c r="I43" s="188" t="s">
        <v>138</v>
      </c>
      <c r="J43" s="188" t="s">
        <v>138</v>
      </c>
      <c r="K43" s="188" t="s">
        <v>138</v>
      </c>
      <c r="L43" s="188" t="s">
        <v>138</v>
      </c>
      <c r="M43" s="188" t="s">
        <v>138</v>
      </c>
      <c r="N43" s="188" t="s">
        <v>138</v>
      </c>
      <c r="P43" s="192"/>
    </row>
    <row r="44" spans="2:16" outlineLevel="1" x14ac:dyDescent="0.3">
      <c r="K44" s="197"/>
      <c r="L44" s="224"/>
      <c r="M44" s="224"/>
      <c r="N44" s="224"/>
      <c r="P44" s="192"/>
    </row>
    <row r="45" spans="2:16" outlineLevel="1" x14ac:dyDescent="0.3">
      <c r="B45" s="179" t="s">
        <v>383</v>
      </c>
      <c r="C45" s="225"/>
      <c r="D45" s="190">
        <f>SUMIFS('Detalhe Por UC'!$AB:$AB,'Detalhe Por UC'!$R:$R,D$1,'Detalhe Por UC'!$H:$H,D$43)+SUMIFS('Detalhe Por UC'!$AB:$AB,'Detalhe Por UC'!$R:$R,D$1,'Detalhe Por UC'!$H:$H,"GIROSSOL II e III")</f>
        <v>16813</v>
      </c>
      <c r="E45" s="190">
        <f>SUMIFS('Detalhe Por UC'!$AB:$AB,'Detalhe Por UC'!$R:$R,E$1,'Detalhe Por UC'!$H:$H,E$43)+SUMIFS('Detalhe Por UC'!$AB:$AB,'Detalhe Por UC'!$R:$R,E$1,'Detalhe Por UC'!$H:$H,"GIROSSOL II e III")</f>
        <v>18672</v>
      </c>
      <c r="F45" s="190">
        <f>SUMIFS('Detalhe Por UC'!$AB:$AB,'Detalhe Por UC'!$R:$R,F$1,'Detalhe Por UC'!$H:$H,F$43)+SUMIFS('Detalhe Por UC'!$AB:$AB,'Detalhe Por UC'!$R:$R,F$1,'Detalhe Por UC'!$H:$H,"GIROSSOL II e III")</f>
        <v>12644</v>
      </c>
      <c r="G45" s="190">
        <f>SUMIFS('Detalhe Por UC'!$AB:$AB,'Detalhe Por UC'!$R:$R,G$1,'Detalhe Por UC'!$H:$H,G$43)+SUMIFS('Detalhe Por UC'!$AB:$AB,'Detalhe Por UC'!$R:$R,G$1,'Detalhe Por UC'!$H:$H,"GIROSSOL II e III")</f>
        <v>10948</v>
      </c>
      <c r="H45" s="190">
        <f>SUMIFS('Detalhe Por UC'!$AB:$AB,'Detalhe Por UC'!$R:$R,H$1,'Detalhe Por UC'!$H:$H,H$43)+SUMIFS('Detalhe Por UC'!$AB:$AB,'Detalhe Por UC'!$R:$R,H$1,'Detalhe Por UC'!$H:$H,"GIROSSOL II e III")</f>
        <v>9485</v>
      </c>
      <c r="I45" s="190">
        <f>SUMIFS('Detalhe Por UC'!$AB:$AB,'Detalhe Por UC'!$R:$R,I$1,'Detalhe Por UC'!$H:$H,I$43)+SUMIFS('Detalhe Por UC'!$AB:$AB,'Detalhe Por UC'!$R:$R,I$1,'Detalhe Por UC'!$H:$H,"GIROSSOL II e III")</f>
        <v>12849</v>
      </c>
      <c r="J45" s="190">
        <f>SUMIFS('Detalhe Por UC'!$AB:$AB,'Detalhe Por UC'!$R:$R,J$1,'Detalhe Por UC'!$H:$H,J$43)+SUMIFS('Detalhe Por UC'!$AB:$AB,'Detalhe Por UC'!$R:$R,J$1,'Detalhe Por UC'!$H:$H,"GIROSSOL II e III")</f>
        <v>15723</v>
      </c>
      <c r="K45" s="190">
        <f>SUMIFS('Detalhe Por UC'!$AB:$AB,'Detalhe Por UC'!$R:$R,K$1,'Detalhe Por UC'!$H:$H,K$43)+SUMIFS('Detalhe Por UC'!$AB:$AB,'Detalhe Por UC'!$R:$R,K$1,'Detalhe Por UC'!$H:$H,"GIROSSOL II e III")</f>
        <v>17750</v>
      </c>
      <c r="L45" s="190">
        <f>SUMIFS('Detalhe Por UC'!$AB:$AB,'Detalhe Por UC'!$R:$R,L$1,'Detalhe Por UC'!$H:$H,L$43)+SUMIFS('Detalhe Por UC'!$AB:$AB,'Detalhe Por UC'!$R:$R,L$1,'Detalhe Por UC'!$H:$H,"GIROSSOL II e III")</f>
        <v>37477.119999999995</v>
      </c>
      <c r="M45" s="190">
        <f>SUMIFS('Detalhe Por UC'!$AB:$AB,'Detalhe Por UC'!$R:$R,M$1,'Detalhe Por UC'!$H:$H,M$43)+SUMIFS('Detalhe Por UC'!$AB:$AB,'Detalhe Por UC'!$R:$R,M$1,'Detalhe Por UC'!$H:$H,"GIROSSOL II e III")</f>
        <v>39652.6</v>
      </c>
      <c r="N45" s="190">
        <f>SUMIFS('Detalhe Por UC'!$AB:$AB,'Detalhe Por UC'!$R:$R,N$1,'Detalhe Por UC'!$H:$H,N$43)+SUMIFS('Detalhe Por UC'!$AB:$AB,'Detalhe Por UC'!$R:$R,N$1,'Detalhe Por UC'!$H:$H,"GIROSSOL II e III")</f>
        <v>22317</v>
      </c>
      <c r="O45" s="178" t="s">
        <v>417</v>
      </c>
      <c r="P45" s="192"/>
    </row>
    <row r="46" spans="2:16" outlineLevel="1" x14ac:dyDescent="0.3">
      <c r="B46" s="179" t="s">
        <v>385</v>
      </c>
      <c r="C46" s="225"/>
      <c r="D46" s="191">
        <f>SUMIFS('Detalhe Por UC'!$AB:$AB,'Detalhe Por UC'!$R:$R,D$1,'Detalhe Por UC'!$H:$H,D$43,'Detalhe Por UC'!$AD:$AD,"&gt;0")+SUMIFS('Detalhe Por UC'!$AB:$AB,'Detalhe Por UC'!$R:$R,D$1,'Detalhe Por UC'!$H:$H,"GIROSSOL II e III",'Detalhe Por UC'!$AD:$AD,"&gt;0")</f>
        <v>16713</v>
      </c>
      <c r="E46" s="191">
        <f>SUMIFS('Detalhe Por UC'!$AB:$AB,'Detalhe Por UC'!$R:$R,E$1,'Detalhe Por UC'!$H:$H,E$43,'Detalhe Por UC'!$AD:$AD,"&gt;0")+SUMIFS('Detalhe Por UC'!$AB:$AB,'Detalhe Por UC'!$R:$R,E$1,'Detalhe Por UC'!$H:$H,"GIROSSOL II e III",'Detalhe Por UC'!$AD:$AD,"&gt;0")</f>
        <v>17596</v>
      </c>
      <c r="F46" s="191">
        <f>SUMIFS('Detalhe Por UC'!$AB:$AB,'Detalhe Por UC'!$R:$R,F$1,'Detalhe Por UC'!$H:$H,F$43,'Detalhe Por UC'!$AD:$AD,"&gt;0")+SUMIFS('Detalhe Por UC'!$AB:$AB,'Detalhe Por UC'!$R:$R,F$1,'Detalhe Por UC'!$H:$H,"GIROSSOL II e III",'Detalhe Por UC'!$AD:$AD,"&gt;0")</f>
        <v>12644</v>
      </c>
      <c r="G46" s="191">
        <f>SUMIFS('Detalhe Por UC'!$AB:$AB,'Detalhe Por UC'!$R:$R,G$1,'Detalhe Por UC'!$H:$H,G$43,'Detalhe Por UC'!$AD:$AD,"&gt;0")+SUMIFS('Detalhe Por UC'!$AB:$AB,'Detalhe Por UC'!$R:$R,G$1,'Detalhe Por UC'!$H:$H,"GIROSSOL II e III",'Detalhe Por UC'!$AD:$AD,"&gt;0")</f>
        <v>9990</v>
      </c>
      <c r="H46" s="191">
        <f>SUMIFS('Detalhe Por UC'!$AB:$AB,'Detalhe Por UC'!$R:$R,H$1,'Detalhe Por UC'!$H:$H,H$43,'Detalhe Por UC'!$AD:$AD,"&gt;0")+SUMIFS('Detalhe Por UC'!$AB:$AB,'Detalhe Por UC'!$R:$R,H$1,'Detalhe Por UC'!$H:$H,"GIROSSOL II e III",'Detalhe Por UC'!$AD:$AD,"&gt;0")</f>
        <v>9391</v>
      </c>
      <c r="I46" s="191">
        <f>SUMIFS('Detalhe Por UC'!$AB:$AB,'Detalhe Por UC'!$R:$R,I$1,'Detalhe Por UC'!$H:$H,I$43,'Detalhe Por UC'!$AD:$AD,"&gt;0")+SUMIFS('Detalhe Por UC'!$AB:$AB,'Detalhe Por UC'!$R:$R,I$1,'Detalhe Por UC'!$H:$H,"GIROSSOL II e III",'Detalhe Por UC'!$AD:$AD,"&gt;0")</f>
        <v>8513</v>
      </c>
      <c r="J46" s="191">
        <f>SUMIFS('Detalhe Por UC'!$AB:$AB,'Detalhe Por UC'!$R:$R,J$1,'Detalhe Por UC'!$H:$H,J$43,'Detalhe Por UC'!$AD:$AD,"&gt;0")+SUMIFS('Detalhe Por UC'!$AB:$AB,'Detalhe Por UC'!$R:$R,J$1,'Detalhe Por UC'!$H:$H,"GIROSSOL II e III",'Detalhe Por UC'!$AD:$AD,"&gt;0")</f>
        <v>14042</v>
      </c>
      <c r="K46" s="191">
        <f>SUMIFS('Detalhe Por UC'!$AB:$AB,'Detalhe Por UC'!$R:$R,K$1,'Detalhe Por UC'!$H:$H,K$43,'Detalhe Por UC'!$AD:$AD,"&gt;0")+SUMIFS('Detalhe Por UC'!$AB:$AB,'Detalhe Por UC'!$R:$R,K$1,'Detalhe Por UC'!$H:$H,"GIROSSOL II e III",'Detalhe Por UC'!$AD:$AD,"&gt;0")</f>
        <v>16542</v>
      </c>
      <c r="L46" s="191">
        <f>SUMIFS('Detalhe Por UC'!$AB:$AB,'Detalhe Por UC'!$R:$R,L$1,'Detalhe Por UC'!$H:$H,L$43,'Detalhe Por UC'!$AD:$AD,"&gt;0")+SUMIFS('Detalhe Por UC'!$AB:$AB,'Detalhe Por UC'!$R:$R,L$1,'Detalhe Por UC'!$H:$H,"GIROSSOL II e III",'Detalhe Por UC'!$AD:$AD,"&gt;0")</f>
        <v>22142.12</v>
      </c>
      <c r="M46" s="191">
        <f>SUMIFS('Detalhe Por UC'!$AB:$AB,'Detalhe Por UC'!$R:$R,M$1,'Detalhe Por UC'!$H:$H,M$43,'Detalhe Por UC'!$AD:$AD,"&gt;0")+SUMIFS('Detalhe Por UC'!$AB:$AB,'Detalhe Por UC'!$R:$R,M$1,'Detalhe Por UC'!$H:$H,"GIROSSOL II e III",'Detalhe Por UC'!$AD:$AD,"&gt;0")</f>
        <v>22418.6</v>
      </c>
      <c r="N46" s="191">
        <f>SUMIFS('Detalhe Por UC'!$AB:$AB,'Detalhe Por UC'!$R:$R,N$1,'Detalhe Por UC'!$H:$H,N$43,'Detalhe Por UC'!$AD:$AD,"&gt;0")+SUMIFS('Detalhe Por UC'!$AB:$AB,'Detalhe Por UC'!$R:$R,N$1,'Detalhe Por UC'!$H:$H,"GIROSSOL II e III",'Detalhe Por UC'!$AD:$AD,"&gt;0")</f>
        <v>20535</v>
      </c>
      <c r="O46" s="178" t="s">
        <v>417</v>
      </c>
      <c r="P46" s="192"/>
    </row>
    <row r="47" spans="2:16" outlineLevel="1" x14ac:dyDescent="0.3">
      <c r="B47" s="179" t="s">
        <v>386</v>
      </c>
      <c r="C47" s="225"/>
      <c r="D47" s="191">
        <f>SUMIFS('Detalhe Por UC'!$AB:$AB,'Detalhe Por UC'!$R:$R,D$1,'Detalhe Por UC'!$H:$H,D$43,'Detalhe Por UC'!$S:$S,"&gt;0",'Detalhe Por UC'!$AD:$AD,"&gt;0")+SUMIFS('Detalhe Por UC'!$AB:$AB,'Detalhe Por UC'!$R:$R,D$1,'Detalhe Por UC'!$H:$H,"GIROSSOL II e III",'Detalhe Por UC'!$S:$S,"&gt;0",'Detalhe Por UC'!$AD:$AD,"&gt;0")</f>
        <v>16713</v>
      </c>
      <c r="E47" s="191">
        <f>SUMIFS('Detalhe Por UC'!$AB:$AB,'Detalhe Por UC'!$R:$R,E$1,'Detalhe Por UC'!$H:$H,E$43,'Detalhe Por UC'!$S:$S,"&gt;0",'Detalhe Por UC'!$AD:$AD,"&gt;0")+SUMIFS('Detalhe Por UC'!$AB:$AB,'Detalhe Por UC'!$R:$R,E$1,'Detalhe Por UC'!$H:$H,"GIROSSOL II e III",'Detalhe Por UC'!$S:$S,"&gt;0",'Detalhe Por UC'!$AD:$AD,"&gt;0")</f>
        <v>16252</v>
      </c>
      <c r="F47" s="191">
        <f>SUMIFS('Detalhe Por UC'!$AB:$AB,'Detalhe Por UC'!$R:$R,F$1,'Detalhe Por UC'!$H:$H,F$43,'Detalhe Por UC'!$S:$S,"&gt;0",'Detalhe Por UC'!$AD:$AD,"&gt;0")+SUMIFS('Detalhe Por UC'!$AB:$AB,'Detalhe Por UC'!$R:$R,F$1,'Detalhe Por UC'!$H:$H,"GIROSSOL II e III",'Detalhe Por UC'!$S:$S,"&gt;0",'Detalhe Por UC'!$AD:$AD,"&gt;0")</f>
        <v>12378</v>
      </c>
      <c r="G47" s="191">
        <f>SUMIFS('Detalhe Por UC'!$AB:$AB,'Detalhe Por UC'!$R:$R,G$1,'Detalhe Por UC'!$H:$H,G$43,'Detalhe Por UC'!$S:$S,"&gt;0",'Detalhe Por UC'!$AD:$AD,"&gt;0")+SUMIFS('Detalhe Por UC'!$AB:$AB,'Detalhe Por UC'!$R:$R,G$1,'Detalhe Por UC'!$H:$H,"GIROSSOL II e III",'Detalhe Por UC'!$S:$S,"&gt;0",'Detalhe Por UC'!$AD:$AD,"&gt;0")</f>
        <v>9780</v>
      </c>
      <c r="H47" s="191">
        <f>SUMIFS('Detalhe Por UC'!$AB:$AB,'Detalhe Por UC'!$R:$R,H$1,'Detalhe Por UC'!$H:$H,H$43,'Detalhe Por UC'!$S:$S,"&gt;0",'Detalhe Por UC'!$AD:$AD,"&gt;0")+SUMIFS('Detalhe Por UC'!$AB:$AB,'Detalhe Por UC'!$R:$R,H$1,'Detalhe Por UC'!$H:$H,"GIROSSOL II e III",'Detalhe Por UC'!$S:$S,"&gt;0",'Detalhe Por UC'!$AD:$AD,"&gt;0")</f>
        <v>8924</v>
      </c>
      <c r="I47" s="191">
        <f>SUMIFS('Detalhe Por UC'!$AB:$AB,'Detalhe Por UC'!$R:$R,I$1,'Detalhe Por UC'!$H:$H,I$43,'Detalhe Por UC'!$S:$S,"&gt;0",'Detalhe Por UC'!$AD:$AD,"&gt;0")+SUMIFS('Detalhe Por UC'!$AB:$AB,'Detalhe Por UC'!$R:$R,I$1,'Detalhe Por UC'!$H:$H,"GIROSSOL II e III",'Detalhe Por UC'!$S:$S,"&gt;0",'Detalhe Por UC'!$AD:$AD,"&gt;0")</f>
        <v>8513</v>
      </c>
      <c r="J47" s="191">
        <f>SUMIFS('Detalhe Por UC'!$AB:$AB,'Detalhe Por UC'!$R:$R,J$1,'Detalhe Por UC'!$H:$H,J$43,'Detalhe Por UC'!$S:$S,"&gt;0",'Detalhe Por UC'!$AD:$AD,"&gt;0")+SUMIFS('Detalhe Por UC'!$AB:$AB,'Detalhe Por UC'!$R:$R,J$1,'Detalhe Por UC'!$H:$H,"GIROSSOL II e III",'Detalhe Por UC'!$S:$S,"&gt;0",'Detalhe Por UC'!$AD:$AD,"&gt;0")</f>
        <v>14042</v>
      </c>
      <c r="K47" s="191">
        <f>SUMIFS('Detalhe Por UC'!$AB:$AB,'Detalhe Por UC'!$R:$R,K$1,'Detalhe Por UC'!$H:$H,K$43,'Detalhe Por UC'!$S:$S,"&gt;0",'Detalhe Por UC'!$AD:$AD,"&gt;0")+SUMIFS('Detalhe Por UC'!$AB:$AB,'Detalhe Por UC'!$R:$R,K$1,'Detalhe Por UC'!$H:$H,"GIROSSOL II e III",'Detalhe Por UC'!$S:$S,"&gt;0",'Detalhe Por UC'!$AD:$AD,"&gt;0")</f>
        <v>15922</v>
      </c>
      <c r="L47" s="191">
        <f>SUMIFS('Detalhe Por UC'!$AB:$AB,'Detalhe Por UC'!$R:$R,L$1,'Detalhe Por UC'!$H:$H,L$43,'Detalhe Por UC'!$S:$S,"&gt;0",'Detalhe Por UC'!$AD:$AD,"&gt;0")+SUMIFS('Detalhe Por UC'!$AB:$AB,'Detalhe Por UC'!$R:$R,L$1,'Detalhe Por UC'!$H:$H,"GIROSSOL II e III",'Detalhe Por UC'!$S:$S,"&gt;0",'Detalhe Por UC'!$AD:$AD,"&gt;0")</f>
        <v>20829.12</v>
      </c>
      <c r="M47" s="191">
        <f>SUMIFS('Detalhe Por UC'!$AB:$AB,'Detalhe Por UC'!$R:$R,M$1,'Detalhe Por UC'!$H:$H,M$43,'Detalhe Por UC'!$S:$S,"&gt;0",'Detalhe Por UC'!$AD:$AD,"&gt;0")+SUMIFS('Detalhe Por UC'!$AB:$AB,'Detalhe Por UC'!$R:$R,M$1,'Detalhe Por UC'!$H:$H,"GIROSSOL II e III",'Detalhe Por UC'!$S:$S,"&gt;0",'Detalhe Por UC'!$AD:$AD,"&gt;0")</f>
        <v>21569.599999999999</v>
      </c>
      <c r="N47" s="191">
        <f>SUMIFS('Detalhe Por UC'!$AB:$AB,'Detalhe Por UC'!$R:$R,N$1,'Detalhe Por UC'!$H:$H,N$43,'Detalhe Por UC'!$S:$S,"&gt;0",'Detalhe Por UC'!$AD:$AD,"&gt;0")+SUMIFS('Detalhe Por UC'!$AB:$AB,'Detalhe Por UC'!$R:$R,N$1,'Detalhe Por UC'!$H:$H,"GIROSSOL II e III",'Detalhe Por UC'!$S:$S,"&gt;0",'Detalhe Por UC'!$AD:$AD,"&gt;0")</f>
        <v>19416</v>
      </c>
      <c r="O47" s="178" t="s">
        <v>417</v>
      </c>
      <c r="P47" s="192"/>
    </row>
    <row r="48" spans="2:16" outlineLevel="1" x14ac:dyDescent="0.3">
      <c r="B48" s="179" t="s">
        <v>387</v>
      </c>
      <c r="C48" s="225"/>
      <c r="D48" s="191">
        <f>SUMIFS('Detalhe Por UC'!$BW:$BW,'Detalhe Por UC'!$R:$R,D$1,'Detalhe Por UC'!$H:$H,D$43,'Detalhe Por UC'!$S:$S,"&gt;0")+
SUMIFS('Detalhe Por UC'!$BW:$BW,'Detalhe Por UC'!$R:$R,D$1,'Detalhe Por UC'!$H:$H,"GIROSSOL II e III",'Detalhe Por UC'!$S:$S,"&gt;0")</f>
        <v>16402.00909090909</v>
      </c>
      <c r="E48" s="191">
        <f>SUMIFS('Detalhe Por UC'!$BW:$BW,'Detalhe Por UC'!$R:$R,E$1,'Detalhe Por UC'!$H:$H,E$43,'Detalhe Por UC'!$S:$S,"&gt;0")+
SUMIFS('Detalhe Por UC'!$BW:$BW,'Detalhe Por UC'!$R:$R,E$1,'Detalhe Por UC'!$H:$H,"GIROSSOL II e III",'Detalhe Por UC'!$S:$S,"&gt;0")</f>
        <v>15776.372727272725</v>
      </c>
      <c r="F48" s="191">
        <f>SUMIFS('Detalhe Por UC'!$BW:$BW,'Detalhe Por UC'!$R:$R,F$1,'Detalhe Por UC'!$H:$H,F$43,'Detalhe Por UC'!$S:$S,"&gt;0")+
SUMIFS('Detalhe Por UC'!$BW:$BW,'Detalhe Por UC'!$R:$R,F$1,'Detalhe Por UC'!$H:$H,"GIROSSOL II e III",'Detalhe Por UC'!$S:$S,"&gt;0")</f>
        <v>15066.309090909088</v>
      </c>
      <c r="G48" s="191">
        <f>SUMIFS('Detalhe Por UC'!$BW:$BW,'Detalhe Por UC'!$R:$R,G$1,'Detalhe Por UC'!$H:$H,G$43,'Detalhe Por UC'!$S:$S,"&gt;0")+
SUMIFS('Detalhe Por UC'!$BW:$BW,'Detalhe Por UC'!$R:$R,G$1,'Detalhe Por UC'!$H:$H,"GIROSSOL II e III",'Detalhe Por UC'!$S:$S,"&gt;0")</f>
        <v>14747.090909090906</v>
      </c>
      <c r="H48" s="191">
        <f>SUMIFS('Detalhe Por UC'!$BW:$BW,'Detalhe Por UC'!$R:$R,H$1,'Detalhe Por UC'!$H:$H,H$43,'Detalhe Por UC'!$S:$S,"&gt;0")+
SUMIFS('Detalhe Por UC'!$BW:$BW,'Detalhe Por UC'!$R:$R,H$1,'Detalhe Por UC'!$H:$H,"GIROSSOL II e III",'Detalhe Por UC'!$S:$S,"&gt;0")</f>
        <v>15104.699999999999</v>
      </c>
      <c r="I48" s="191">
        <f>SUMIFS('Detalhe Por UC'!$BW:$BW,'Detalhe Por UC'!$R:$R,I$1,'Detalhe Por UC'!$H:$H,I$43,'Detalhe Por UC'!$S:$S,"&gt;0")+
SUMIFS('Detalhe Por UC'!$BW:$BW,'Detalhe Por UC'!$R:$R,I$1,'Detalhe Por UC'!$H:$H,"GIROSSOL II e III",'Detalhe Por UC'!$S:$S,"&gt;0")</f>
        <v>16605.918181818182</v>
      </c>
      <c r="J48" s="191">
        <f>SUMIFS('Detalhe Por UC'!$BW:$BW,'Detalhe Por UC'!$R:$R,J$1,'Detalhe Por UC'!$H:$H,J$43,'Detalhe Por UC'!$S:$S,"&gt;0")+
SUMIFS('Detalhe Por UC'!$BW:$BW,'Detalhe Por UC'!$R:$R,J$1,'Detalhe Por UC'!$H:$H,"GIROSSOL II e III",'Detalhe Por UC'!$S:$S,"&gt;0")</f>
        <v>16605.918181818182</v>
      </c>
      <c r="K48" s="191">
        <f>SUMIFS('Detalhe Por UC'!$BW:$BW,'Detalhe Por UC'!$R:$R,K$1,'Detalhe Por UC'!$H:$H,K$43,'Detalhe Por UC'!$S:$S,"&gt;0")+
SUMIFS('Detalhe Por UC'!$BW:$BW,'Detalhe Por UC'!$R:$R,K$1,'Detalhe Por UC'!$H:$H,"GIROSSOL II e III",'Detalhe Por UC'!$S:$S,"&gt;0")</f>
        <v>16605.918181818182</v>
      </c>
      <c r="L48" s="191">
        <f>SUMIFS('Detalhe Por UC'!$BW:$BW,'Detalhe Por UC'!$R:$R,L$1,'Detalhe Por UC'!$H:$H,L$43,'Detalhe Por UC'!$S:$S,"&gt;0")+
SUMIFS('Detalhe Por UC'!$BW:$BW,'Detalhe Por UC'!$R:$R,L$1,'Detalhe Por UC'!$H:$H,"GIROSSOL II e III",'Detalhe Por UC'!$S:$S,"&gt;0")</f>
        <v>27768.330454545452</v>
      </c>
      <c r="M48" s="191">
        <f>SUMIFS('Detalhe Por UC'!$BW:$BW,'Detalhe Por UC'!$R:$R,M$1,'Detalhe Por UC'!$H:$H,M$43,'Detalhe Por UC'!$S:$S,"&gt;0")+
SUMIFS('Detalhe Por UC'!$BW:$BW,'Detalhe Por UC'!$R:$R,M$1,'Detalhe Por UC'!$H:$H,"GIROSSOL II e III",'Detalhe Por UC'!$S:$S,"&gt;0")</f>
        <v>32329.103181818187</v>
      </c>
      <c r="N48" s="191">
        <f>SUMIFS('Detalhe Por UC'!$BW:$BW,'Detalhe Por UC'!$R:$R,N$1,'Detalhe Por UC'!$H:$H,N$43,'Detalhe Por UC'!$S:$S,"&gt;0")+
SUMIFS('Detalhe Por UC'!$BW:$BW,'Detalhe Por UC'!$R:$R,N$1,'Detalhe Por UC'!$H:$H,"GIROSSOL II e III",'Detalhe Por UC'!$S:$S,"&gt;0")</f>
        <v>17447.501515151511</v>
      </c>
      <c r="O48" s="178" t="s">
        <v>417</v>
      </c>
      <c r="P48" s="192"/>
    </row>
    <row r="49" spans="2:16" outlineLevel="1" x14ac:dyDescent="0.3">
      <c r="B49" s="179" t="s">
        <v>388</v>
      </c>
      <c r="C49" s="225"/>
      <c r="D49" s="191">
        <f>SUMIFS('Detalhe Por UC'!$BW:$BW,'Detalhe Por UC'!$R:$R,D$1,'Detalhe Por UC'!$H:$H,D$43,'Detalhe Por UC'!$AD:$AD,"&gt;0")+SUMIFS('Detalhe Por UC'!$BW:$BW,'Detalhe Por UC'!$R:$R,D$1,'Detalhe Por UC'!$H:$H,"GIROSSOL II e III",'Detalhe Por UC'!$AD:$AD,"&gt;0")</f>
        <v>16223.609090909091</v>
      </c>
      <c r="E49" s="191">
        <f>SUMIFS('Detalhe Por UC'!$BW:$BW,'Detalhe Por UC'!$R:$R,E$1,'Detalhe Por UC'!$H:$H,E$43,'Detalhe Por UC'!$AD:$AD,"&gt;0")+SUMIFS('Detalhe Por UC'!$BW:$BW,'Detalhe Por UC'!$R:$R,E$1,'Detalhe Por UC'!$H:$H,"GIROSSOL II e III",'Detalhe Por UC'!$AD:$AD,"&gt;0")</f>
        <v>16751.454545454544</v>
      </c>
      <c r="F49" s="191">
        <f>SUMIFS('Detalhe Por UC'!$BW:$BW,'Detalhe Por UC'!$R:$R,F$1,'Detalhe Por UC'!$H:$H,F$43,'Detalhe Por UC'!$AD:$AD,"&gt;0")+SUMIFS('Detalhe Por UC'!$BW:$BW,'Detalhe Por UC'!$R:$R,F$1,'Detalhe Por UC'!$H:$H,"GIROSSOL II e III",'Detalhe Por UC'!$AD:$AD,"&gt;0")</f>
        <v>14785.818181818178</v>
      </c>
      <c r="G49" s="191">
        <f>SUMIFS('Detalhe Por UC'!$BW:$BW,'Detalhe Por UC'!$R:$R,G$1,'Detalhe Por UC'!$H:$H,G$43,'Detalhe Por UC'!$AD:$AD,"&gt;0")+SUMIFS('Detalhe Por UC'!$BW:$BW,'Detalhe Por UC'!$R:$R,G$1,'Detalhe Por UC'!$H:$H,"GIROSSOL II e III",'Detalhe Por UC'!$AD:$AD,"&gt;0")</f>
        <v>14487.454545454542</v>
      </c>
      <c r="H49" s="191">
        <f>SUMIFS('Detalhe Por UC'!$BW:$BW,'Detalhe Por UC'!$R:$R,H$1,'Detalhe Por UC'!$H:$H,H$43,'Detalhe Por UC'!$AD:$AD,"&gt;0")+SUMIFS('Detalhe Por UC'!$BW:$BW,'Detalhe Por UC'!$R:$R,H$1,'Detalhe Por UC'!$H:$H,"GIROSSOL II e III",'Detalhe Por UC'!$AD:$AD,"&gt;0")</f>
        <v>14864.363636363636</v>
      </c>
      <c r="I49" s="191">
        <f>SUMIFS('Detalhe Por UC'!$BW:$BW,'Detalhe Por UC'!$R:$R,I$1,'Detalhe Por UC'!$H:$H,I$43,'Detalhe Por UC'!$AD:$AD,"&gt;0")+SUMIFS('Detalhe Por UC'!$BW:$BW,'Detalhe Por UC'!$R:$R,I$1,'Detalhe Por UC'!$H:$H,"GIROSSOL II e III",'Detalhe Por UC'!$AD:$AD,"&gt;0")</f>
        <v>11312.18181818182</v>
      </c>
      <c r="J49" s="191">
        <f>SUMIFS('Detalhe Por UC'!$BW:$BW,'Detalhe Por UC'!$R:$R,J$1,'Detalhe Por UC'!$H:$H,J$43,'Detalhe Por UC'!$AD:$AD,"&gt;0")+SUMIFS('Detalhe Por UC'!$BW:$BW,'Detalhe Por UC'!$R:$R,J$1,'Detalhe Por UC'!$H:$H,"GIROSSOL II e III",'Detalhe Por UC'!$AD:$AD,"&gt;0")</f>
        <v>15300.581818181814</v>
      </c>
      <c r="K49" s="191">
        <f>SUMIFS('Detalhe Por UC'!$BW:$BW,'Detalhe Por UC'!$R:$R,K$1,'Detalhe Por UC'!$H:$H,K$43,'Detalhe Por UC'!$AD:$AD,"&gt;0")+SUMIFS('Detalhe Por UC'!$BW:$BW,'Detalhe Por UC'!$R:$R,K$1,'Detalhe Por UC'!$H:$H,"GIROSSOL II e III",'Detalhe Por UC'!$AD:$AD,"&gt;0")</f>
        <v>16798.181818181816</v>
      </c>
      <c r="L49" s="191">
        <f>SUMIFS('Detalhe Por UC'!$BW:$BW,'Detalhe Por UC'!$R:$R,L$1,'Detalhe Por UC'!$H:$H,L$43,'Detalhe Por UC'!$AD:$AD,"&gt;0")+SUMIFS('Detalhe Por UC'!$BW:$BW,'Detalhe Por UC'!$R:$R,L$1,'Detalhe Por UC'!$H:$H,"GIROSSOL II e III",'Detalhe Por UC'!$AD:$AD,"&gt;0")</f>
        <v>16564.875909090908</v>
      </c>
      <c r="M49" s="191">
        <f>SUMIFS('Detalhe Por UC'!$BW:$BW,'Detalhe Por UC'!$R:$R,M$1,'Detalhe Por UC'!$H:$H,M$43,'Detalhe Por UC'!$AD:$AD,"&gt;0")+SUMIFS('Detalhe Por UC'!$BW:$BW,'Detalhe Por UC'!$R:$R,M$1,'Detalhe Por UC'!$H:$H,"GIROSSOL II e III",'Detalhe Por UC'!$AD:$AD,"&gt;0")</f>
        <v>18970.557727272731</v>
      </c>
      <c r="N49" s="191">
        <f>SUMIFS('Detalhe Por UC'!$BW:$BW,'Detalhe Por UC'!$R:$R,N$1,'Detalhe Por UC'!$H:$H,N$43,'Detalhe Por UC'!$AD:$AD,"&gt;0")+SUMIFS('Detalhe Por UC'!$BW:$BW,'Detalhe Por UC'!$R:$R,N$1,'Detalhe Por UC'!$H:$H,"GIROSSOL II e III",'Detalhe Por UC'!$AD:$AD,"&gt;0")</f>
        <v>16687.333333333332</v>
      </c>
      <c r="O49" s="178" t="s">
        <v>417</v>
      </c>
      <c r="P49" s="192"/>
    </row>
    <row r="50" spans="2:16" outlineLevel="1" x14ac:dyDescent="0.3">
      <c r="B50" s="179" t="s">
        <v>389</v>
      </c>
      <c r="C50" s="225"/>
      <c r="D50" s="191">
        <f ca="1">SUMIFS('Detalhe Por UC'!$CA:$CA,'Detalhe Por UC'!$R:$R,D$1,'Detalhe Por UC'!$H:$H,D$43)+
SUMIFS('Detalhe Por UC'!$CA:$CA,'Detalhe Por UC'!$R:$R,D$1,'Detalhe Por UC'!$H:$H,"GIROSSOL II e III")</f>
        <v>15674.890043290043</v>
      </c>
      <c r="E50" s="191">
        <f ca="1">SUMIFS('Detalhe Por UC'!$CA:$CA,'Detalhe Por UC'!$R:$R,E$1,'Detalhe Por UC'!$H:$H,E$43)+
SUMIFS('Detalhe Por UC'!$CA:$CA,'Detalhe Por UC'!$R:$R,E$1,'Detalhe Por UC'!$H:$H,"GIROSSOL II e III")</f>
        <v>16872.203030303026</v>
      </c>
      <c r="F50" s="191">
        <f ca="1">SUMIFS('Detalhe Por UC'!$CA:$CA,'Detalhe Por UC'!$R:$R,F$1,'Detalhe Por UC'!$H:$H,F$43)+
SUMIFS('Detalhe Por UC'!$CA:$CA,'Detalhe Por UC'!$R:$R,F$1,'Detalhe Por UC'!$H:$H,"GIROSSOL II e III")</f>
        <v>14946.523160173161</v>
      </c>
      <c r="G50" s="191">
        <f ca="1">SUMIFS('Detalhe Por UC'!$CA:$CA,'Detalhe Por UC'!$R:$R,G$1,'Detalhe Por UC'!$H:$H,G$43)+
SUMIFS('Detalhe Por UC'!$CA:$CA,'Detalhe Por UC'!$R:$R,G$1,'Detalhe Por UC'!$H:$H,"GIROSSOL II e III")</f>
        <v>14538.616666666667</v>
      </c>
      <c r="H50" s="191">
        <f ca="1">SUMIFS('Detalhe Por UC'!$CA:$CA,'Detalhe Por UC'!$R:$R,H$1,'Detalhe Por UC'!$H:$H,H$43)+
SUMIFS('Detalhe Por UC'!$CA:$CA,'Detalhe Por UC'!$R:$R,H$1,'Detalhe Por UC'!$H:$H,"GIROSSOL II e III")</f>
        <v>16151.817316017314</v>
      </c>
      <c r="I50" s="191">
        <f ca="1">SUMIFS('Detalhe Por UC'!$CA:$CA,'Detalhe Por UC'!$R:$R,I$1,'Detalhe Por UC'!$H:$H,I$43)+
SUMIFS('Detalhe Por UC'!$CA:$CA,'Detalhe Por UC'!$R:$R,I$1,'Detalhe Por UC'!$H:$H,"GIROSSOL II e III")</f>
        <v>15955.553030303028</v>
      </c>
      <c r="J50" s="191">
        <f ca="1">SUMIFS('Detalhe Por UC'!$CA:$CA,'Detalhe Por UC'!$R:$R,J$1,'Detalhe Por UC'!$H:$H,J$43)+
SUMIFS('Detalhe Por UC'!$CA:$CA,'Detalhe Por UC'!$R:$R,J$1,'Detalhe Por UC'!$H:$H,"GIROSSOL II e III")</f>
        <v>15878.105555555552</v>
      </c>
      <c r="K50" s="191">
        <f ca="1">SUMIFS('Detalhe Por UC'!$CA:$CA,'Detalhe Por UC'!$R:$R,K$1,'Detalhe Por UC'!$H:$H,K$43)+
SUMIFS('Detalhe Por UC'!$CA:$CA,'Detalhe Por UC'!$R:$R,K$1,'Detalhe Por UC'!$H:$H,"GIROSSOL II e III")</f>
        <v>15184.116666666667</v>
      </c>
      <c r="L50" s="191">
        <f ca="1">SUMIFS('Detalhe Por UC'!$CA:$CA,'Detalhe Por UC'!$R:$R,L$1,'Detalhe Por UC'!$H:$H,L$43)+
SUMIFS('Detalhe Por UC'!$CA:$CA,'Detalhe Por UC'!$R:$R,L$1,'Detalhe Por UC'!$H:$H,"GIROSSOL II e III")</f>
        <v>27339.771287878786</v>
      </c>
      <c r="M50" s="191">
        <f ca="1">SUMIFS('Detalhe Por UC'!$CA:$CA,'Detalhe Por UC'!$R:$R,M$1,'Detalhe Por UC'!$H:$H,M$43)+
SUMIFS('Detalhe Por UC'!$CA:$CA,'Detalhe Por UC'!$R:$R,M$1,'Detalhe Por UC'!$H:$H,"GIROSSOL II e III")</f>
        <v>31810.697424242426</v>
      </c>
      <c r="N50" s="191">
        <f ca="1">SUMIFS('Detalhe Por UC'!$CA:$CA,'Detalhe Por UC'!$R:$R,N$1,'Detalhe Por UC'!$H:$H,N$43)+
SUMIFS('Detalhe Por UC'!$CA:$CA,'Detalhe Por UC'!$R:$R,N$1,'Detalhe Por UC'!$H:$H,"GIROSSOL II e III")</f>
        <v>16814.962121212124</v>
      </c>
      <c r="P50" s="192"/>
    </row>
    <row r="51" spans="2:16" outlineLevel="1" x14ac:dyDescent="0.3">
      <c r="B51" s="193" t="s">
        <v>390</v>
      </c>
      <c r="C51" s="226"/>
      <c r="D51" s="226"/>
      <c r="E51" s="226"/>
      <c r="F51" s="226"/>
      <c r="G51" s="226"/>
      <c r="P51" s="192"/>
    </row>
    <row r="52" spans="2:16" outlineLevel="1" x14ac:dyDescent="0.3">
      <c r="B52" s="193" t="s">
        <v>391</v>
      </c>
      <c r="C52" s="227"/>
      <c r="D52" s="199">
        <v>19033</v>
      </c>
      <c r="E52" s="199">
        <v>17796</v>
      </c>
      <c r="F52" s="199">
        <v>15125</v>
      </c>
      <c r="G52" s="199">
        <v>14808</v>
      </c>
      <c r="H52" s="199">
        <v>11656</v>
      </c>
      <c r="I52" s="199">
        <v>10867</v>
      </c>
      <c r="J52" s="199">
        <v>12280</v>
      </c>
      <c r="K52" s="199">
        <v>14648</v>
      </c>
      <c r="L52" s="199">
        <v>17697</v>
      </c>
      <c r="M52" s="199">
        <v>17408</v>
      </c>
      <c r="N52" s="199">
        <v>19503</v>
      </c>
      <c r="O52" s="178" t="s">
        <v>418</v>
      </c>
      <c r="P52" s="192"/>
    </row>
    <row r="53" spans="2:16" outlineLevel="1" x14ac:dyDescent="0.3">
      <c r="B53" s="179" t="s">
        <v>393</v>
      </c>
      <c r="C53" s="189"/>
      <c r="D53" s="200">
        <f t="shared" ref="D53:N53" si="9">(D54-D57)*D56+(D55-D58)</f>
        <v>13931</v>
      </c>
      <c r="E53" s="200">
        <f t="shared" si="9"/>
        <v>13768</v>
      </c>
      <c r="F53" s="200">
        <f t="shared" si="9"/>
        <v>12090</v>
      </c>
      <c r="G53" s="200">
        <f t="shared" si="9"/>
        <v>6161</v>
      </c>
      <c r="H53" s="200">
        <f t="shared" si="9"/>
        <v>9185</v>
      </c>
      <c r="I53" s="200">
        <f t="shared" si="9"/>
        <v>17239</v>
      </c>
      <c r="J53" s="200">
        <f t="shared" si="9"/>
        <v>7933</v>
      </c>
      <c r="K53" s="200">
        <f t="shared" si="9"/>
        <v>10341</v>
      </c>
      <c r="L53" s="200">
        <f t="shared" si="9"/>
        <v>12043</v>
      </c>
      <c r="M53" s="200">
        <f t="shared" si="9"/>
        <v>14466</v>
      </c>
      <c r="N53" s="200">
        <f t="shared" si="9"/>
        <v>16497</v>
      </c>
      <c r="O53" s="178" t="s">
        <v>418</v>
      </c>
      <c r="P53" s="16"/>
    </row>
    <row r="54" spans="2:16" outlineLevel="1" x14ac:dyDescent="0.3">
      <c r="B54" s="201" t="s">
        <v>394</v>
      </c>
      <c r="C54" s="194"/>
      <c r="D54" s="202">
        <v>13931</v>
      </c>
      <c r="E54" s="202">
        <v>13768</v>
      </c>
      <c r="F54" s="202">
        <v>12090</v>
      </c>
      <c r="G54" s="202">
        <v>6161</v>
      </c>
      <c r="H54" s="202">
        <v>9185</v>
      </c>
      <c r="I54" s="202">
        <v>17239</v>
      </c>
      <c r="J54" s="202">
        <v>7933</v>
      </c>
      <c r="K54" s="202">
        <v>10341</v>
      </c>
      <c r="L54" s="202">
        <v>12043</v>
      </c>
      <c r="M54" s="228">
        <v>14466</v>
      </c>
      <c r="N54" s="228">
        <v>16497</v>
      </c>
      <c r="O54" s="203">
        <v>9185</v>
      </c>
      <c r="P54" s="16"/>
    </row>
    <row r="55" spans="2:16" outlineLevel="1" x14ac:dyDescent="0.3">
      <c r="B55" s="201" t="s">
        <v>395</v>
      </c>
      <c r="C55" s="194"/>
      <c r="D55" s="150">
        <v>0</v>
      </c>
      <c r="E55" s="150">
        <v>0</v>
      </c>
      <c r="F55" s="202">
        <v>0</v>
      </c>
      <c r="G55" s="202">
        <v>0</v>
      </c>
      <c r="H55" s="202">
        <v>0</v>
      </c>
      <c r="I55" s="202">
        <v>0</v>
      </c>
      <c r="J55" s="202">
        <v>0</v>
      </c>
      <c r="K55" s="202">
        <v>0</v>
      </c>
      <c r="L55" s="202">
        <v>0</v>
      </c>
      <c r="M55" s="202">
        <v>0</v>
      </c>
      <c r="N55" s="202">
        <v>0</v>
      </c>
      <c r="O55" s="203">
        <v>0</v>
      </c>
      <c r="P55" s="16"/>
    </row>
    <row r="56" spans="2:16" outlineLevel="1" x14ac:dyDescent="0.3">
      <c r="B56" s="201" t="s">
        <v>396</v>
      </c>
      <c r="C56" s="194"/>
      <c r="D56" s="150">
        <v>1</v>
      </c>
      <c r="E56" s="150">
        <v>1</v>
      </c>
      <c r="F56" s="202">
        <v>1</v>
      </c>
      <c r="G56" s="202">
        <v>1</v>
      </c>
      <c r="H56" s="202">
        <v>1</v>
      </c>
      <c r="I56" s="202">
        <v>1</v>
      </c>
      <c r="J56" s="202">
        <v>1</v>
      </c>
      <c r="K56" s="202">
        <v>1</v>
      </c>
      <c r="L56" s="202">
        <v>1</v>
      </c>
      <c r="M56" s="202">
        <v>1</v>
      </c>
      <c r="N56" s="202">
        <v>1</v>
      </c>
      <c r="O56" s="203">
        <v>1</v>
      </c>
      <c r="P56" s="16"/>
    </row>
    <row r="57" spans="2:16" outlineLevel="1" x14ac:dyDescent="0.3">
      <c r="B57" s="201" t="s">
        <v>397</v>
      </c>
      <c r="C57" s="194"/>
      <c r="D57" s="150">
        <v>0</v>
      </c>
      <c r="E57" s="150">
        <v>0</v>
      </c>
      <c r="F57" s="202">
        <v>0</v>
      </c>
      <c r="G57" s="202">
        <v>0</v>
      </c>
      <c r="H57" s="202">
        <v>0</v>
      </c>
      <c r="I57" s="202">
        <v>0</v>
      </c>
      <c r="J57" s="202">
        <v>0</v>
      </c>
      <c r="K57" s="202">
        <v>0</v>
      </c>
      <c r="L57" s="202">
        <v>0</v>
      </c>
      <c r="M57" s="202">
        <v>0</v>
      </c>
      <c r="N57" s="202">
        <v>0</v>
      </c>
      <c r="O57" s="203">
        <v>39</v>
      </c>
      <c r="P57" s="16"/>
    </row>
    <row r="58" spans="2:16" outlineLevel="1" x14ac:dyDescent="0.3">
      <c r="B58" s="201" t="s">
        <v>398</v>
      </c>
      <c r="C58" s="194"/>
      <c r="D58" s="150">
        <v>0</v>
      </c>
      <c r="E58" s="150">
        <v>0</v>
      </c>
      <c r="F58" s="202">
        <v>0</v>
      </c>
      <c r="G58" s="202">
        <v>0</v>
      </c>
      <c r="H58" s="202">
        <v>0</v>
      </c>
      <c r="I58" s="202">
        <v>0</v>
      </c>
      <c r="J58" s="202">
        <v>0</v>
      </c>
      <c r="K58" s="202">
        <v>0</v>
      </c>
      <c r="L58" s="202">
        <v>0</v>
      </c>
      <c r="M58" s="202">
        <v>0</v>
      </c>
      <c r="N58" s="202">
        <v>0</v>
      </c>
      <c r="O58" s="203">
        <v>0</v>
      </c>
      <c r="P58" s="16"/>
    </row>
    <row r="59" spans="2:16" outlineLevel="1" x14ac:dyDescent="0.3">
      <c r="B59" s="179" t="s">
        <v>399</v>
      </c>
      <c r="C59" s="182"/>
      <c r="D59" s="204">
        <f t="shared" ref="D59:N59" si="10">D54+D55-D51</f>
        <v>13931</v>
      </c>
      <c r="E59" s="204">
        <f t="shared" si="10"/>
        <v>13768</v>
      </c>
      <c r="F59" s="204">
        <f t="shared" si="10"/>
        <v>12090</v>
      </c>
      <c r="G59" s="204">
        <f t="shared" si="10"/>
        <v>6161</v>
      </c>
      <c r="H59" s="204">
        <f t="shared" si="10"/>
        <v>9185</v>
      </c>
      <c r="I59" s="204">
        <f t="shared" si="10"/>
        <v>17239</v>
      </c>
      <c r="J59" s="204">
        <f t="shared" si="10"/>
        <v>7933</v>
      </c>
      <c r="K59" s="204">
        <f t="shared" si="10"/>
        <v>10341</v>
      </c>
      <c r="L59" s="204">
        <f t="shared" si="10"/>
        <v>12043</v>
      </c>
      <c r="M59" s="204">
        <f t="shared" si="10"/>
        <v>14466</v>
      </c>
      <c r="N59" s="204">
        <f t="shared" si="10"/>
        <v>16497</v>
      </c>
      <c r="O59" s="178" t="s">
        <v>418</v>
      </c>
      <c r="P59" s="16"/>
    </row>
    <row r="60" spans="2:16" outlineLevel="1" x14ac:dyDescent="0.3">
      <c r="B60" s="179" t="s">
        <v>400</v>
      </c>
      <c r="C60" s="182"/>
      <c r="D60" s="229">
        <f t="shared" ref="D60:E60" si="11">SUM(D61:D63)</f>
        <v>15811</v>
      </c>
      <c r="E60" s="229">
        <f t="shared" si="11"/>
        <v>40269</v>
      </c>
      <c r="F60" s="229">
        <f t="shared" ref="F60:N60" si="12">SUM(F61:F63)</f>
        <v>10695</v>
      </c>
      <c r="G60" s="229">
        <f t="shared" si="12"/>
        <v>13803</v>
      </c>
      <c r="H60" s="229">
        <f t="shared" si="12"/>
        <v>17275</v>
      </c>
      <c r="I60" s="229">
        <f t="shared" si="12"/>
        <v>597</v>
      </c>
      <c r="J60" s="229">
        <f t="shared" si="12"/>
        <v>12556</v>
      </c>
      <c r="K60" s="229">
        <f t="shared" si="12"/>
        <v>11549</v>
      </c>
      <c r="L60" s="229">
        <f t="shared" si="12"/>
        <v>4807</v>
      </c>
      <c r="M60" s="229">
        <f t="shared" si="12"/>
        <v>2061</v>
      </c>
      <c r="N60" s="229">
        <f t="shared" si="12"/>
        <v>5802</v>
      </c>
      <c r="O60" s="178" t="s">
        <v>418</v>
      </c>
      <c r="P60" s="184"/>
    </row>
    <row r="61" spans="2:16" outlineLevel="1" x14ac:dyDescent="0.3">
      <c r="B61" s="206" t="s">
        <v>401</v>
      </c>
      <c r="C61" s="182"/>
      <c r="D61" s="207">
        <f>SUMIFS('Detalhe Por UC'!$AD:$AD,'Detalhe Por UC'!$R:$R,'Resumo Operacional'!D$1,'Detalhe Por UC'!$D:$D,"CRÉD. CONSUMIDO",'Detalhe Por UC'!$H:$H,D$43)</f>
        <v>13735</v>
      </c>
      <c r="E61" s="207">
        <f>SUMIFS('Detalhe Por UC'!$AD:$AD,'Detalhe Por UC'!$R:$R,'Resumo Operacional'!E$1,'Detalhe Por UC'!$D:$D,"CRÉD. CONSUMIDO",'Detalhe Por UC'!$H:$H,E$43)</f>
        <v>15157</v>
      </c>
      <c r="F61" s="207">
        <f>SUMIFS('Detalhe Por UC'!$AD:$AD,'Detalhe Por UC'!$R:$R,'Resumo Operacional'!F$1,'Detalhe Por UC'!$D:$D,"CRÉD. CONSUMIDO",'Detalhe Por UC'!$H:$H,F$43)</f>
        <v>9825</v>
      </c>
      <c r="G61" s="207">
        <f>SUMIFS('Detalhe Por UC'!$AD:$AD,'Detalhe Por UC'!$R:$R,'Resumo Operacional'!G$1,'Detalhe Por UC'!$D:$D,"CRÉD. CONSUMIDO",'Detalhe Por UC'!$H:$H,G$43)</f>
        <v>7870</v>
      </c>
      <c r="H61" s="207">
        <f>SUMIFS('Detalhe Por UC'!$AD:$AD,'Detalhe Por UC'!$R:$R,'Resumo Operacional'!H$1,'Detalhe Por UC'!$D:$D,"CRÉD. CONSUMIDO",'Detalhe Por UC'!$H:$H,H$43)</f>
        <v>7030</v>
      </c>
      <c r="I61" s="207">
        <f>SUMIFS('Detalhe Por UC'!$AD:$AD,'Detalhe Por UC'!$R:$R,'Resumo Operacional'!I$1,'Detalhe Por UC'!$D:$D,"CRÉD. CONSUMIDO",'Detalhe Por UC'!$H:$H,I$43)</f>
        <v>4389</v>
      </c>
      <c r="J61" s="207">
        <f>SUMIFS('Detalhe Por UC'!$AD:$AD,'Detalhe Por UC'!$R:$R,'Resumo Operacional'!J$1,'Detalhe Por UC'!$D:$D,"CRÉD. CONSUMIDO",'Detalhe Por UC'!$H:$H,J$43)</f>
        <v>9726</v>
      </c>
      <c r="K61" s="207">
        <f>SUMIFS('Detalhe Por UC'!$AD:$AD,'Detalhe Por UC'!$R:$R,'Resumo Operacional'!K$1,'Detalhe Por UC'!$D:$D,"CRÉD. CONSUMIDO",'Detalhe Por UC'!$H:$H,K$43)</f>
        <v>11014</v>
      </c>
      <c r="L61" s="207">
        <f>SUMIFS('Detalhe Por UC'!$AD:$AD,'Detalhe Por UC'!$R:$R,'Resumo Operacional'!L$1,'Detalhe Por UC'!$D:$D,"CRÉD. CONSUMIDO",'Detalhe Por UC'!$H:$H,L$43)</f>
        <v>3932</v>
      </c>
      <c r="M61" s="207">
        <f>SUMIFS('Detalhe Por UC'!$AD:$AD,'Detalhe Por UC'!$R:$R,'Resumo Operacional'!M$1,'Detalhe Por UC'!$D:$D,"CRÉD. CONSUMIDO",'Detalhe Por UC'!$H:$H,M$43)</f>
        <v>2546</v>
      </c>
      <c r="N61" s="207">
        <f>SUMIFS('Detalhe Por UC'!$AD:$AD,'Detalhe Por UC'!$R:$R,'Resumo Operacional'!N$1,'Detalhe Por UC'!$D:$D,"CRÉD. CONSUMIDO",'Detalhe Por UC'!$H:$H,N$43)</f>
        <v>5365</v>
      </c>
      <c r="O61" s="178" t="s">
        <v>418</v>
      </c>
      <c r="P61" s="16"/>
    </row>
    <row r="62" spans="2:16" outlineLevel="1" x14ac:dyDescent="0.3">
      <c r="B62" s="206" t="s">
        <v>402</v>
      </c>
      <c r="C62" s="182"/>
      <c r="D62" s="207">
        <f>SUMIFS('Detalhe Por UC'!$AN:$AN,'Detalhe Por UC'!$R:$R,'Resumo Operacional'!D$1,'Detalhe Por UC'!$D:$D,"CRÉD. CONSUMIDO",'Detalhe Por UC'!$H:$H,D$43)</f>
        <v>2076</v>
      </c>
      <c r="E62" s="207">
        <f>SUMIFS('Detalhe Por UC'!$AN:$AN,'Detalhe Por UC'!$R:$R,'Resumo Operacional'!E$1,'Detalhe Por UC'!$D:$D,"CRÉD. CONSUMIDO",'Detalhe Por UC'!$H:$H,E$43)</f>
        <v>25112</v>
      </c>
      <c r="F62" s="207">
        <f>SUMIFS('Detalhe Por UC'!$AN:$AN,'Detalhe Por UC'!$R:$R,'Resumo Operacional'!F$1,'Detalhe Por UC'!$D:$D,"CRÉD. CONSUMIDO",'Detalhe Por UC'!$H:$H,F$43)</f>
        <v>870</v>
      </c>
      <c r="G62" s="207">
        <f>SUMIFS('Detalhe Por UC'!$AN:$AN,'Detalhe Por UC'!$R:$R,'Resumo Operacional'!G$1,'Detalhe Por UC'!$D:$D,"CRÉD. CONSUMIDO",'Detalhe Por UC'!$H:$H,G$43)</f>
        <v>5933</v>
      </c>
      <c r="H62" s="207">
        <f>SUMIFS('Detalhe Por UC'!$AN:$AN,'Detalhe Por UC'!$R:$R,'Resumo Operacional'!H$1,'Detalhe Por UC'!$D:$D,"CRÉD. CONSUMIDO",'Detalhe Por UC'!$H:$H,H$43)</f>
        <v>10245</v>
      </c>
      <c r="I62" s="207">
        <f>SUMIFS('Detalhe Por UC'!$AN:$AN,'Detalhe Por UC'!$R:$R,'Resumo Operacional'!I$1,'Detalhe Por UC'!$D:$D,"CRÉD. CONSUMIDO",'Detalhe Por UC'!$H:$H,I$43)</f>
        <v>-3792</v>
      </c>
      <c r="J62" s="207">
        <f>SUMIFS('Detalhe Por UC'!$AN:$AN,'Detalhe Por UC'!$R:$R,'Resumo Operacional'!J$1,'Detalhe Por UC'!$D:$D,"CRÉD. CONSUMIDO",'Detalhe Por UC'!$H:$H,J$43)</f>
        <v>2830</v>
      </c>
      <c r="K62" s="207">
        <f>SUMIFS('Detalhe Por UC'!$AN:$AN,'Detalhe Por UC'!$R:$R,'Resumo Operacional'!K$1,'Detalhe Por UC'!$D:$D,"CRÉD. CONSUMIDO",'Detalhe Por UC'!$H:$H,K$43)</f>
        <v>535</v>
      </c>
      <c r="L62" s="207">
        <f>SUMIFS('Detalhe Por UC'!$AN:$AN,'Detalhe Por UC'!$R:$R,'Resumo Operacional'!L$1,'Detalhe Por UC'!$D:$D,"CRÉD. CONSUMIDO",'Detalhe Por UC'!$H:$H,L$43)</f>
        <v>875</v>
      </c>
      <c r="M62" s="207">
        <f>SUMIFS('Detalhe Por UC'!$AN:$AN,'Detalhe Por UC'!$R:$R,'Resumo Operacional'!M$1,'Detalhe Por UC'!$D:$D,"CRÉD. CONSUMIDO",'Detalhe Por UC'!$H:$H,M$43)</f>
        <v>-485</v>
      </c>
      <c r="N62" s="207">
        <f>SUMIFS('Detalhe Por UC'!$AN:$AN,'Detalhe Por UC'!$R:$R,'Resumo Operacional'!N$1,'Detalhe Por UC'!$D:$D,"CRÉD. CONSUMIDO",'Detalhe Por UC'!$H:$H,N$43)</f>
        <v>437</v>
      </c>
      <c r="O62" s="178" t="s">
        <v>418</v>
      </c>
      <c r="P62" s="16"/>
    </row>
    <row r="63" spans="2:16" outlineLevel="1" x14ac:dyDescent="0.3">
      <c r="B63" s="206" t="s">
        <v>403</v>
      </c>
      <c r="C63" s="182"/>
      <c r="D63" s="208">
        <f>SUMIFS('Detalhe Por UC'!$AQ:$AQ,'Detalhe Por UC'!$R:$R,'Resumo Operacional'!D$1,'Detalhe Por UC'!$D:$D,"GERADO",'Detalhe Por UC'!$H:$H,D$43)</f>
        <v>0</v>
      </c>
      <c r="E63" s="208">
        <f>SUMIFS('Detalhe Por UC'!$AQ:$AQ,'Detalhe Por UC'!$R:$R,'Resumo Operacional'!E$1,'Detalhe Por UC'!$D:$D,"GERADO",'Detalhe Por UC'!$H:$H,E$43)</f>
        <v>0</v>
      </c>
      <c r="F63" s="208">
        <f>SUMIFS('Detalhe Por UC'!$AQ:$AQ,'Detalhe Por UC'!$R:$R,'Resumo Operacional'!F$1,'Detalhe Por UC'!$D:$D,"GERADO",'Detalhe Por UC'!$H:$H,F$43)</f>
        <v>0</v>
      </c>
      <c r="G63" s="208">
        <f>SUMIFS('Detalhe Por UC'!$AQ:$AQ,'Detalhe Por UC'!$R:$R,'Resumo Operacional'!G$1,'Detalhe Por UC'!$D:$D,"GERADO",'Detalhe Por UC'!$H:$H,G$43)</f>
        <v>0</v>
      </c>
      <c r="H63" s="208">
        <f>SUMIFS('Detalhe Por UC'!$AQ:$AQ,'Detalhe Por UC'!$R:$R,'Resumo Operacional'!H$1,'Detalhe Por UC'!$D:$D,"GERADO",'Detalhe Por UC'!$H:$H,H$43)</f>
        <v>0</v>
      </c>
      <c r="I63" s="208">
        <f>SUMIFS('Detalhe Por UC'!$AQ:$AQ,'Detalhe Por UC'!$R:$R,'Resumo Operacional'!I$1,'Detalhe Por UC'!$D:$D,"GERADO",'Detalhe Por UC'!$H:$H,I$43)</f>
        <v>0</v>
      </c>
      <c r="J63" s="208">
        <f>SUMIFS('Detalhe Por UC'!$AQ:$AQ,'Detalhe Por UC'!$R:$R,'Resumo Operacional'!J$1,'Detalhe Por UC'!$D:$D,"GERADO",'Detalhe Por UC'!$H:$H,J$43)</f>
        <v>0</v>
      </c>
      <c r="K63" s="208">
        <f>SUMIFS('Detalhe Por UC'!$AQ:$AQ,'Detalhe Por UC'!$R:$R,'Resumo Operacional'!K$1,'Detalhe Por UC'!$D:$D,"GERADO",'Detalhe Por UC'!$H:$H,K$43)</f>
        <v>0</v>
      </c>
      <c r="L63" s="208">
        <f>SUMIFS('Detalhe Por UC'!$AQ:$AQ,'Detalhe Por UC'!$R:$R,'Resumo Operacional'!L$1,'Detalhe Por UC'!$D:$D,"GERADO",'Detalhe Por UC'!$H:$H,L$43)</f>
        <v>0</v>
      </c>
      <c r="M63" s="208">
        <f>SUMIFS('Detalhe Por UC'!$AQ:$AQ,'Detalhe Por UC'!$R:$R,'Resumo Operacional'!M$1,'Detalhe Por UC'!$D:$D,"GERADO",'Detalhe Por UC'!$H:$H,M$43)</f>
        <v>0</v>
      </c>
      <c r="N63" s="208">
        <f>SUMIFS('Detalhe Por UC'!$AQ:$AQ,'Detalhe Por UC'!$R:$R,'Resumo Operacional'!N$1,'Detalhe Por UC'!$D:$D,"GERADO",'Detalhe Por UC'!$H:$H,N$43)</f>
        <v>0</v>
      </c>
      <c r="O63" s="178" t="s">
        <v>418</v>
      </c>
      <c r="P63" s="16"/>
    </row>
    <row r="64" spans="2:16" outlineLevel="1" x14ac:dyDescent="0.3">
      <c r="B64" s="206" t="s">
        <v>404</v>
      </c>
      <c r="C64" s="182"/>
      <c r="D64" s="207">
        <f t="shared" ref="D64:N64" si="13">D60-D53</f>
        <v>1880</v>
      </c>
      <c r="E64" s="207">
        <f t="shared" si="13"/>
        <v>26501</v>
      </c>
      <c r="F64" s="207">
        <f t="shared" si="13"/>
        <v>-1395</v>
      </c>
      <c r="G64" s="207">
        <f t="shared" si="13"/>
        <v>7642</v>
      </c>
      <c r="H64" s="207">
        <f t="shared" si="13"/>
        <v>8090</v>
      </c>
      <c r="I64" s="207">
        <f t="shared" si="13"/>
        <v>-16642</v>
      </c>
      <c r="J64" s="207">
        <f t="shared" si="13"/>
        <v>4623</v>
      </c>
      <c r="K64" s="207">
        <f t="shared" si="13"/>
        <v>1208</v>
      </c>
      <c r="L64" s="207">
        <f t="shared" si="13"/>
        <v>-7236</v>
      </c>
      <c r="M64" s="207">
        <f t="shared" si="13"/>
        <v>-12405</v>
      </c>
      <c r="N64" s="207">
        <f t="shared" si="13"/>
        <v>-10695</v>
      </c>
      <c r="O64" s="178" t="s">
        <v>418</v>
      </c>
      <c r="P64" s="16"/>
    </row>
    <row r="65" spans="2:16" outlineLevel="1" x14ac:dyDescent="0.3">
      <c r="B65" s="209" t="s">
        <v>405</v>
      </c>
      <c r="C65" s="182"/>
      <c r="D65" s="205">
        <f t="shared" ref="D65:N65" si="14">D63+D61</f>
        <v>13735</v>
      </c>
      <c r="E65" s="205">
        <f t="shared" si="14"/>
        <v>15157</v>
      </c>
      <c r="F65" s="205">
        <f t="shared" si="14"/>
        <v>9825</v>
      </c>
      <c r="G65" s="205">
        <f t="shared" si="14"/>
        <v>7870</v>
      </c>
      <c r="H65" s="205">
        <f t="shared" si="14"/>
        <v>7030</v>
      </c>
      <c r="I65" s="205">
        <f t="shared" si="14"/>
        <v>4389</v>
      </c>
      <c r="J65" s="205">
        <f t="shared" si="14"/>
        <v>9726</v>
      </c>
      <c r="K65" s="205">
        <f t="shared" si="14"/>
        <v>11014</v>
      </c>
      <c r="L65" s="205">
        <f t="shared" si="14"/>
        <v>3932</v>
      </c>
      <c r="M65" s="205">
        <f t="shared" si="14"/>
        <v>2546</v>
      </c>
      <c r="N65" s="205">
        <f t="shared" si="14"/>
        <v>5365</v>
      </c>
      <c r="O65" s="178" t="s">
        <v>418</v>
      </c>
      <c r="P65" s="16"/>
    </row>
    <row r="66" spans="2:16" outlineLevel="1" x14ac:dyDescent="0.3">
      <c r="B66" s="209" t="s">
        <v>406</v>
      </c>
      <c r="C66" s="182"/>
      <c r="D66" s="210">
        <f>SUMIFS('Detalhe Por UC'!$AF:$AF,'Detalhe Por UC'!$R:$R,'Resumo Operacional'!D$1,'Detalhe Por UC'!$D:$D,"CRÉD. CONSUMIDO",'Detalhe Por UC'!$H:$H,D$43)</f>
        <v>16378</v>
      </c>
      <c r="E66" s="210">
        <f>SUMIFS('Detalhe Por UC'!$AF:$AF,'Detalhe Por UC'!$R:$R,'Resumo Operacional'!E$1,'Detalhe Por UC'!$D:$D,"CRÉD. CONSUMIDO",'Detalhe Por UC'!$H:$H,E$43)</f>
        <v>41919</v>
      </c>
      <c r="F66" s="210">
        <f>SUMIFS('Detalhe Por UC'!$AF:$AF,'Detalhe Por UC'!$R:$R,'Resumo Operacional'!F$1,'Detalhe Por UC'!$D:$D,"CRÉD. CONSUMIDO",'Detalhe Por UC'!$H:$H,F$43)</f>
        <v>16807</v>
      </c>
      <c r="G66" s="210">
        <f>SUMIFS('Detalhe Por UC'!$AF:$AF,'Detalhe Por UC'!$R:$R,'Resumo Operacional'!G$1,'Detalhe Por UC'!$D:$D,"CRÉD. CONSUMIDO",'Detalhe Por UC'!$H:$H,G$43)</f>
        <v>17999</v>
      </c>
      <c r="H66" s="210">
        <f>SUMIFS('Detalhe Por UC'!$AF:$AF,'Detalhe Por UC'!$R:$R,'Resumo Operacional'!H$1,'Detalhe Por UC'!$D:$D,"CRÉD. CONSUMIDO",'Detalhe Por UC'!$H:$H,H$43)</f>
        <v>12066</v>
      </c>
      <c r="I66" s="210">
        <f>SUMIFS('Detalhe Por UC'!$AF:$AF,'Detalhe Por UC'!$R:$R,'Resumo Operacional'!I$1,'Detalhe Por UC'!$D:$D,"CRÉD. CONSUMIDO",'Detalhe Por UC'!$H:$H,I$43)</f>
        <v>1821</v>
      </c>
      <c r="J66" s="210">
        <f>SUMIFS('Detalhe Por UC'!$AF:$AF,'Detalhe Por UC'!$R:$R,'Resumo Operacional'!J$1,'Detalhe Por UC'!$D:$D,"CRÉD. CONSUMIDO",'Detalhe Por UC'!$H:$H,J$43)</f>
        <v>5613</v>
      </c>
      <c r="K66" s="210">
        <f>SUMIFS('Detalhe Por UC'!$AF:$AF,'Detalhe Por UC'!$R:$R,'Resumo Operacional'!K$1,'Detalhe Por UC'!$D:$D,"CRÉD. CONSUMIDO",'Detalhe Por UC'!$H:$H,K$43)</f>
        <v>2783</v>
      </c>
      <c r="L66" s="210">
        <f>SUMIFS('Detalhe Por UC'!$AF:$AF,'Detalhe Por UC'!$R:$R,'Resumo Operacional'!L$1,'Detalhe Por UC'!$D:$D,"CRÉD. CONSUMIDO",'Detalhe Por UC'!$H:$H,L$43)</f>
        <v>881</v>
      </c>
      <c r="M66" s="210">
        <f>SUMIFS('Detalhe Por UC'!$AF:$AF,'Detalhe Por UC'!$R:$R,'Resumo Operacional'!M$1,'Detalhe Por UC'!$D:$D,"CRÉD. CONSUMIDO",'Detalhe Por UC'!$H:$H,M$43)</f>
        <v>6</v>
      </c>
      <c r="N66" s="210">
        <f>SUMIFS('Detalhe Por UC'!$AF:$AF,'Detalhe Por UC'!$R:$R,'Resumo Operacional'!N$1,'Detalhe Por UC'!$D:$D,"CRÉD. CONSUMIDO",'Detalhe Por UC'!$H:$H,N$43)</f>
        <v>1169</v>
      </c>
      <c r="O66" s="178" t="s">
        <v>418</v>
      </c>
      <c r="P66" s="184"/>
    </row>
    <row r="67" spans="2:16" outlineLevel="1" x14ac:dyDescent="0.3">
      <c r="K67" s="5"/>
      <c r="O67" s="211"/>
    </row>
    <row r="68" spans="2:16" outlineLevel="1" x14ac:dyDescent="0.3">
      <c r="B68" s="186" t="s">
        <v>419</v>
      </c>
      <c r="C68" s="188"/>
      <c r="D68" s="188" t="s">
        <v>138</v>
      </c>
      <c r="E68" s="188" t="s">
        <v>138</v>
      </c>
      <c r="F68" s="188" t="s">
        <v>138</v>
      </c>
      <c r="G68" s="188" t="s">
        <v>138</v>
      </c>
      <c r="H68" s="188" t="s">
        <v>138</v>
      </c>
      <c r="I68" s="188" t="s">
        <v>138</v>
      </c>
      <c r="J68" s="188" t="s">
        <v>138</v>
      </c>
      <c r="K68" s="188" t="s">
        <v>138</v>
      </c>
      <c r="L68" s="188" t="s">
        <v>138</v>
      </c>
      <c r="M68" s="188" t="s">
        <v>138</v>
      </c>
      <c r="N68" s="188" t="s">
        <v>138</v>
      </c>
      <c r="O68" s="211"/>
    </row>
    <row r="69" spans="2:16" outlineLevel="1" x14ac:dyDescent="0.3">
      <c r="B69" s="213" t="s">
        <v>408</v>
      </c>
      <c r="C69" s="180"/>
      <c r="D69" s="214">
        <f>SUMIFS('Detalhe Por UC'!$AV:$AV,'Detalhe Por UC'!$R:$R,'Resumo Operacional'!D$1,'Detalhe Por UC'!$H:$H,D$43)</f>
        <v>11286.076936218626</v>
      </c>
      <c r="E69" s="214">
        <f>SUMIFS('Detalhe Por UC'!$AV:$AV,'Detalhe Por UC'!$R:$R,'Resumo Operacional'!E$1,'Detalhe Por UC'!$H:$H,E$43)</f>
        <v>11396.389313575917</v>
      </c>
      <c r="F69" s="214">
        <f>SUMIFS('Detalhe Por UC'!$AV:$AV,'Detalhe Por UC'!$R:$R,'Resumo Operacional'!F$1,'Detalhe Por UC'!$H:$H,F$43)</f>
        <v>7441.3158469209902</v>
      </c>
      <c r="G69" s="214">
        <f>SUMIFS('Detalhe Por UC'!$AV:$AV,'Detalhe Por UC'!$R:$R,'Resumo Operacional'!G$1,'Detalhe Por UC'!$H:$H,G$43)</f>
        <v>6143.1771665313281</v>
      </c>
      <c r="H69" s="214">
        <f>SUMIFS('Detalhe Por UC'!$AV:$AV,'Detalhe Por UC'!$R:$R,'Resumo Operacional'!H$1,'Detalhe Por UC'!$H:$H,H$43)</f>
        <v>5417.7964236581902</v>
      </c>
      <c r="I69" s="214">
        <f>SUMIFS('Detalhe Por UC'!$AV:$AV,'Detalhe Por UC'!$R:$R,'Resumo Operacional'!I$1,'Detalhe Por UC'!$H:$H,I$43)</f>
        <v>3361.5132275816932</v>
      </c>
      <c r="J69" s="214">
        <f>SUMIFS('Detalhe Por UC'!$AV:$AV,'Detalhe Por UC'!$R:$R,'Resumo Operacional'!J$1,'Detalhe Por UC'!$H:$H,J$43)</f>
        <v>7107.3421246825537</v>
      </c>
      <c r="K69" s="214">
        <f>SUMIFS('Detalhe Por UC'!$AV:$AV,'Detalhe Por UC'!$R:$R,'Resumo Operacional'!K$1,'Detalhe Por UC'!$H:$H,K$43)</f>
        <v>8045.5531396124979</v>
      </c>
      <c r="L69" s="214">
        <f>SUMIFS('Detalhe Por UC'!$AV:$AV,'Detalhe Por UC'!$R:$R,'Resumo Operacional'!L$1,'Detalhe Por UC'!$H:$H,L$43)</f>
        <v>2878.64796875</v>
      </c>
      <c r="M69" s="214">
        <f>SUMIFS('Detalhe Por UC'!$AV:$AV,'Detalhe Por UC'!$R:$R,'Resumo Operacional'!M$1,'Detalhe Por UC'!$H:$H,M$43)</f>
        <v>1859.9624999999999</v>
      </c>
      <c r="N69" s="214">
        <f>SUMIFS('Detalhe Por UC'!$AV:$AV,'Detalhe Por UC'!$R:$R,'Resumo Operacional'!N$1,'Detalhe Por UC'!$H:$H,N$43)</f>
        <v>4001.2650000000008</v>
      </c>
      <c r="O69" s="211"/>
    </row>
    <row r="70" spans="2:16" outlineLevel="1" x14ac:dyDescent="0.3">
      <c r="B70" s="213" t="s">
        <v>409</v>
      </c>
      <c r="C70" s="180"/>
      <c r="D70" s="214">
        <f>SUMIFS('Detalhe Por UC'!$AY:$AY,'Detalhe Por UC'!$R:$R,'Resumo Operacional'!D$1,'Detalhe Por UC'!$H:$H,D$43)</f>
        <v>12126.499999899899</v>
      </c>
      <c r="E70" s="214">
        <f>SUMIFS('Detalhe Por UC'!$AY:$AY,'Detalhe Por UC'!$R:$R,'Resumo Operacional'!E$1,'Detalhe Por UC'!$H:$H,E$43)</f>
        <v>11275.649999999605</v>
      </c>
      <c r="F70" s="214">
        <f>SUMIFS('Detalhe Por UC'!$AY:$AY,'Detalhe Por UC'!$R:$R,'Resumo Operacional'!F$1,'Detalhe Por UC'!$H:$H,F$43)</f>
        <v>7292.1</v>
      </c>
      <c r="G70" s="214">
        <f>SUMIFS('Detalhe Por UC'!$AY:$AY,'Detalhe Por UC'!$R:$R,'Resumo Operacional'!G$1,'Detalhe Por UC'!$H:$H,G$43)</f>
        <v>6137.4199989999979</v>
      </c>
      <c r="H70" s="214">
        <f>SUMIFS('Detalhe Por UC'!$AY:$AY,'Detalhe Por UC'!$R:$R,'Resumo Operacional'!H$1,'Detalhe Por UC'!$H:$H,H$43)</f>
        <v>5324.77</v>
      </c>
      <c r="I70" s="214">
        <f>SUMIFS('Detalhe Por UC'!$AY:$AY,'Detalhe Por UC'!$R:$R,'Resumo Operacional'!I$1,'Detalhe Por UC'!$H:$H,I$43)</f>
        <v>4171.4899890000015</v>
      </c>
      <c r="J70" s="214">
        <f>SUMIFS('Detalhe Por UC'!$AY:$AY,'Detalhe Por UC'!$R:$R,'Resumo Operacional'!J$1,'Detalhe Por UC'!$H:$H,J$43)</f>
        <v>7968.2199999999975</v>
      </c>
      <c r="K70" s="214">
        <f>SUMIFS('Detalhe Por UC'!$AY:$AY,'Detalhe Por UC'!$R:$R,'Resumo Operacional'!K$1,'Detalhe Por UC'!$H:$H,K$43)</f>
        <v>8945.42</v>
      </c>
      <c r="L70" s="214">
        <f>SUMIFS('Detalhe Por UC'!$AY:$AY,'Detalhe Por UC'!$R:$R,'Resumo Operacional'!L$1,'Detalhe Por UC'!$H:$H,L$43)</f>
        <v>2841.66</v>
      </c>
      <c r="M70" s="214">
        <f>SUMIFS('Detalhe Por UC'!$AY:$AY,'Detalhe Por UC'!$R:$R,'Resumo Operacional'!M$1,'Detalhe Por UC'!$H:$H,M$43)</f>
        <v>1859.9899900000003</v>
      </c>
      <c r="N70" s="214">
        <f>SUMIFS('Detalhe Por UC'!$AY:$AY,'Detalhe Por UC'!$R:$R,'Resumo Operacional'!N$1,'Detalhe Por UC'!$H:$H,N$43)</f>
        <v>4001.2700000000004</v>
      </c>
      <c r="O70" s="211"/>
    </row>
    <row r="71" spans="2:16" outlineLevel="1" x14ac:dyDescent="0.3">
      <c r="B71" s="213" t="s">
        <v>410</v>
      </c>
      <c r="C71" s="180"/>
      <c r="D71" s="214">
        <f>SUMIFS('Detalhe Por UC'!$BA:$BA,'Detalhe Por UC'!$R:$R,'Resumo Operacional'!D$1,'Detalhe Por UC'!$H:$H,D$43)</f>
        <v>0</v>
      </c>
      <c r="E71" s="214">
        <f>SUMIFS('Detalhe Por UC'!$BA:$BA,'Detalhe Por UC'!$R:$R,'Resumo Operacional'!E$1,'Detalhe Por UC'!$H:$H,E$43)</f>
        <v>9846.4800011100124</v>
      </c>
      <c r="F71" s="214">
        <f>SUMIFS('Detalhe Por UC'!$BA:$BA,'Detalhe Por UC'!$R:$R,'Resumo Operacional'!F$1,'Detalhe Por UC'!$H:$H,F$43)</f>
        <v>7412.8800000004012</v>
      </c>
      <c r="G71" s="214">
        <f>SUMIFS('Detalhe Por UC'!$BA:$BA,'Detalhe Por UC'!$R:$R,'Resumo Operacional'!G$1,'Detalhe Por UC'!$H:$H,G$43)</f>
        <v>6143.1500001999984</v>
      </c>
      <c r="H71" s="214">
        <f>SUMIFS('Detalhe Por UC'!$BA:$BA,'Detalhe Por UC'!$R:$R,'Resumo Operacional'!H$1,'Detalhe Por UC'!$H:$H,H$43)</f>
        <v>5328.0000010000003</v>
      </c>
      <c r="I71" s="214">
        <f>SUMIFS('Detalhe Por UC'!$BA:$BA,'Detalhe Por UC'!$R:$R,'Resumo Operacional'!I$1,'Detalhe Por UC'!$H:$H,I$43)</f>
        <v>3305.3300101000004</v>
      </c>
      <c r="J71" s="214">
        <f>SUMIFS('Detalhe Por UC'!$BA:$BA,'Detalhe Por UC'!$R:$R,'Resumo Operacional'!J$1,'Detalhe Por UC'!$H:$H,J$43)</f>
        <v>7158.240010999998</v>
      </c>
      <c r="K71" s="214">
        <f>SUMIFS('Detalhe Por UC'!$BA:$BA,'Detalhe Por UC'!$R:$R,'Resumo Operacional'!K$1,'Detalhe Por UC'!$H:$H,K$43)</f>
        <v>8084.5299999999979</v>
      </c>
      <c r="L71" s="214">
        <f>SUMIFS('Detalhe Por UC'!$BA:$BA,'Detalhe Por UC'!$R:$R,'Resumo Operacional'!L$1,'Detalhe Por UC'!$H:$H,L$43)</f>
        <v>1568.9899999999998</v>
      </c>
      <c r="M71" s="214">
        <f>SUMIFS('Detalhe Por UC'!$BA:$BA,'Detalhe Por UC'!$R:$R,'Resumo Operacional'!M$1,'Detalhe Por UC'!$H:$H,M$43)</f>
        <v>1557.3000010000001</v>
      </c>
      <c r="N71" s="214">
        <f>SUMIFS('Detalhe Por UC'!$BA:$BA,'Detalhe Por UC'!$R:$R,'Resumo Operacional'!N$1,'Detalhe Por UC'!$H:$H,N$43)</f>
        <v>4001.2700100000006</v>
      </c>
      <c r="O71" s="211"/>
    </row>
    <row r="72" spans="2:16" outlineLevel="1" x14ac:dyDescent="0.3">
      <c r="B72" s="215" t="s">
        <v>411</v>
      </c>
      <c r="C72" s="182"/>
      <c r="D72" s="214">
        <f>SUMIFS('Detalhe Por UC'!$BB:$BB,'Detalhe Por UC'!$R:$R,'Resumo Operacional'!D$1,'Detalhe Por UC'!$H:$H,D$43)</f>
        <v>0</v>
      </c>
      <c r="E72" s="214">
        <f>SUMIFS('Detalhe Por UC'!$BB:$BB,'Detalhe Por UC'!$R:$R,'Resumo Operacional'!E$1,'Detalhe Por UC'!$H:$H,E$43)</f>
        <v>8151.579999999999</v>
      </c>
      <c r="F72" s="214">
        <f>SUMIFS('Detalhe Por UC'!$BB:$BB,'Detalhe Por UC'!$R:$R,'Resumo Operacional'!F$1,'Detalhe Por UC'!$H:$H,F$43)</f>
        <v>6770.6005263157895</v>
      </c>
      <c r="G72" s="214">
        <f>SUMIFS('Detalhe Por UC'!$BB:$BB,'Detalhe Por UC'!$R:$R,'Resumo Operacional'!G$1,'Detalhe Por UC'!$H:$H,G$43)</f>
        <v>5761.9299999999985</v>
      </c>
      <c r="H72" s="214">
        <f>SUMIFS('Detalhe Por UC'!$BB:$BB,'Detalhe Por UC'!$R:$R,'Resumo Operacional'!H$1,'Detalhe Por UC'!$H:$H,H$43)</f>
        <v>5406.57</v>
      </c>
      <c r="I72" s="214">
        <f>SUMIFS('Detalhe Por UC'!$BB:$BB,'Detalhe Por UC'!$R:$R,'Resumo Operacional'!I$1,'Detalhe Por UC'!$H:$H,I$43)</f>
        <v>3198.0833333333339</v>
      </c>
      <c r="J72" s="214">
        <f>SUMIFS('Detalhe Por UC'!$BB:$BB,'Detalhe Por UC'!$R:$R,'Resumo Operacional'!J$1,'Detalhe Por UC'!$H:$H,J$43)</f>
        <v>7098.7189999999991</v>
      </c>
      <c r="K72" s="214">
        <f>SUMIFS('Detalhe Por UC'!$BB:$BB,'Detalhe Por UC'!$R:$R,'Resumo Operacional'!K$1,'Detalhe Por UC'!$H:$H,K$43)</f>
        <v>7848.6941499180293</v>
      </c>
      <c r="L72" s="214">
        <f>SUMIFS('Detalhe Por UC'!$BB:$BB,'Detalhe Por UC'!$R:$R,'Resumo Operacional'!L$1,'Detalhe Por UC'!$H:$H,L$43)</f>
        <v>1445.1799999999998</v>
      </c>
      <c r="M72" s="214">
        <f>SUMIFS('Detalhe Por UC'!$BB:$BB,'Detalhe Por UC'!$R:$R,'Resumo Operacional'!M$1,'Detalhe Por UC'!$H:$H,M$43)</f>
        <v>937.06</v>
      </c>
      <c r="N72" s="214">
        <f>SUMIFS('Detalhe Por UC'!$BB:$BB,'Detalhe Por UC'!$R:$R,'Resumo Operacional'!N$1,'Detalhe Por UC'!$H:$H,N$43)</f>
        <v>3197.0800000000004</v>
      </c>
      <c r="O72" s="211"/>
    </row>
    <row r="73" spans="2:16" outlineLevel="1" x14ac:dyDescent="0.3">
      <c r="B73" s="216"/>
      <c r="C73" s="171"/>
      <c r="D73" s="171"/>
      <c r="E73" s="171"/>
      <c r="F73" s="171"/>
      <c r="G73" s="171"/>
      <c r="H73" s="171"/>
      <c r="I73" s="171"/>
      <c r="J73" s="171"/>
      <c r="K73" s="217"/>
      <c r="L73" s="217"/>
      <c r="M73" s="217"/>
      <c r="N73" s="217"/>
      <c r="O73" s="211"/>
    </row>
    <row r="74" spans="2:16" outlineLevel="1" x14ac:dyDescent="0.3">
      <c r="B74" s="186" t="s">
        <v>420</v>
      </c>
      <c r="C74" s="188"/>
      <c r="D74" s="188" t="s">
        <v>138</v>
      </c>
      <c r="E74" s="188" t="s">
        <v>138</v>
      </c>
      <c r="F74" s="188" t="s">
        <v>138</v>
      </c>
      <c r="G74" s="188" t="s">
        <v>138</v>
      </c>
      <c r="H74" s="188" t="s">
        <v>138</v>
      </c>
      <c r="I74" s="188" t="s">
        <v>138</v>
      </c>
      <c r="J74" s="188" t="s">
        <v>138</v>
      </c>
      <c r="K74" s="188" t="s">
        <v>138</v>
      </c>
      <c r="L74" s="188" t="s">
        <v>138</v>
      </c>
      <c r="M74" s="188" t="s">
        <v>138</v>
      </c>
      <c r="N74" s="188" t="s">
        <v>138</v>
      </c>
      <c r="O74" s="211"/>
    </row>
    <row r="75" spans="2:16" outlineLevel="1" x14ac:dyDescent="0.3">
      <c r="B75" s="218" t="s">
        <v>413</v>
      </c>
      <c r="C75" s="219"/>
      <c r="D75" s="220">
        <f t="shared" ref="D75:N75" si="15">IF(1-D$65/(D$53)&lt;0,0,1-D$65/(D$53))</f>
        <v>1.4069341755796438E-2</v>
      </c>
      <c r="E75" s="220">
        <f t="shared" si="15"/>
        <v>0</v>
      </c>
      <c r="F75" s="220">
        <f t="shared" si="15"/>
        <v>0.18734491315136481</v>
      </c>
      <c r="G75" s="220">
        <f t="shared" si="15"/>
        <v>0</v>
      </c>
      <c r="H75" s="220">
        <f t="shared" si="15"/>
        <v>0.23462166575939036</v>
      </c>
      <c r="I75" s="220">
        <f t="shared" si="15"/>
        <v>0.7454028655954521</v>
      </c>
      <c r="J75" s="220">
        <f t="shared" si="15"/>
        <v>0</v>
      </c>
      <c r="K75" s="220">
        <f t="shared" si="15"/>
        <v>0</v>
      </c>
      <c r="L75" s="220">
        <f t="shared" si="15"/>
        <v>0.67350327991364278</v>
      </c>
      <c r="M75" s="220">
        <f t="shared" si="15"/>
        <v>0.82400110604175314</v>
      </c>
      <c r="N75" s="220">
        <f t="shared" si="15"/>
        <v>0.67478935564041942</v>
      </c>
      <c r="O75" s="211"/>
    </row>
    <row r="76" spans="2:16" hidden="1" outlineLevel="1" x14ac:dyDescent="0.3">
      <c r="B76" s="218" t="s">
        <v>414</v>
      </c>
      <c r="C76" s="219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11"/>
    </row>
    <row r="77" spans="2:16" outlineLevel="1" x14ac:dyDescent="0.3">
      <c r="B77" s="218" t="s">
        <v>415</v>
      </c>
      <c r="C77" s="180"/>
      <c r="D77" s="222">
        <f t="shared" ref="D77:N77" si="16">IFERROR(1-D72/D71,1)</f>
        <v>1</v>
      </c>
      <c r="E77" s="222">
        <f t="shared" si="16"/>
        <v>0.17213257945163596</v>
      </c>
      <c r="F77" s="222">
        <f t="shared" si="16"/>
        <v>8.6643716569616225E-2</v>
      </c>
      <c r="G77" s="222">
        <f t="shared" si="16"/>
        <v>6.2056111308952056E-2</v>
      </c>
      <c r="H77" s="222">
        <f t="shared" si="16"/>
        <v>-1.4746621431166007E-2</v>
      </c>
      <c r="I77" s="222">
        <f t="shared" si="16"/>
        <v>3.2446586706609049E-2</v>
      </c>
      <c r="J77" s="222">
        <f t="shared" si="16"/>
        <v>8.3150342693921742E-3</v>
      </c>
      <c r="K77" s="222">
        <f t="shared" si="16"/>
        <v>2.9171250534288151E-2</v>
      </c>
      <c r="L77" s="222">
        <f t="shared" si="16"/>
        <v>7.8910636779074395E-2</v>
      </c>
      <c r="M77" s="222">
        <f t="shared" si="16"/>
        <v>0.39827907314051303</v>
      </c>
      <c r="N77" s="222">
        <f t="shared" si="16"/>
        <v>0.20098368967606861</v>
      </c>
      <c r="O77" s="211"/>
    </row>
    <row r="78" spans="2:16" outlineLevel="1" x14ac:dyDescent="0.3">
      <c r="O78" s="211"/>
    </row>
    <row r="79" spans="2:16" x14ac:dyDescent="0.3">
      <c r="B79" s="186" t="s">
        <v>421</v>
      </c>
      <c r="C79" s="230"/>
      <c r="D79" s="188" t="s">
        <v>353</v>
      </c>
      <c r="E79" s="188" t="s">
        <v>353</v>
      </c>
      <c r="F79" s="188" t="s">
        <v>353</v>
      </c>
      <c r="G79" s="188" t="s">
        <v>353</v>
      </c>
      <c r="H79" s="188" t="s">
        <v>353</v>
      </c>
      <c r="I79" s="188" t="s">
        <v>353</v>
      </c>
      <c r="J79" s="188" t="s">
        <v>353</v>
      </c>
      <c r="K79" s="188" t="s">
        <v>353</v>
      </c>
      <c r="L79" s="188" t="s">
        <v>353</v>
      </c>
      <c r="M79" s="188" t="s">
        <v>353</v>
      </c>
      <c r="N79" s="188" t="s">
        <v>353</v>
      </c>
      <c r="P79" s="184"/>
    </row>
    <row r="80" spans="2:16" x14ac:dyDescent="0.3">
      <c r="B80" s="176"/>
      <c r="C80" s="177"/>
      <c r="D80" s="146"/>
      <c r="E80" s="146"/>
      <c r="F80" s="146"/>
      <c r="G80" s="146"/>
      <c r="H80" s="197"/>
      <c r="I80" s="197"/>
      <c r="J80" s="197"/>
      <c r="K80" s="197"/>
      <c r="L80" s="224"/>
      <c r="M80" s="224"/>
      <c r="N80" s="224"/>
      <c r="P80" s="184"/>
    </row>
    <row r="81" spans="2:16" x14ac:dyDescent="0.3">
      <c r="B81" s="179" t="s">
        <v>422</v>
      </c>
      <c r="C81" s="225"/>
      <c r="D81" s="231">
        <f>SUMIFS('Detalhe Por UC'!$AB:$AB,'Detalhe Por UC'!$R:$R,D$1)</f>
        <v>37513.61</v>
      </c>
      <c r="E81" s="231">
        <f>SUMIFS('Detalhe Por UC'!$AB:$AB,'Detalhe Por UC'!$R:$R,E$1)</f>
        <v>39890.82</v>
      </c>
      <c r="F81" s="231">
        <f>SUMIFS('Detalhe Por UC'!$AB:$AB,'Detalhe Por UC'!$R:$R,F$1)</f>
        <v>28901.190000000002</v>
      </c>
      <c r="G81" s="231">
        <f>SUMIFS('Detalhe Por UC'!$AB:$AB,'Detalhe Por UC'!$R:$R,G$1)</f>
        <v>24099.47</v>
      </c>
      <c r="H81" s="231">
        <f>SUMIFS('Detalhe Por UC'!$AB:$AB,'Detalhe Por UC'!$R:$R,H$1)</f>
        <v>21253.96</v>
      </c>
      <c r="I81" s="231">
        <v>0</v>
      </c>
      <c r="J81" s="231">
        <f>SUMIFS('Detalhe Por UC'!$AB:$AB,'Detalhe Por UC'!$R:$R,J$1)</f>
        <v>34045.68</v>
      </c>
      <c r="K81" s="231">
        <f>SUMIFS('Detalhe Por UC'!$AB:$AB,'Detalhe Por UC'!$R:$R,K$1)</f>
        <v>38191.68</v>
      </c>
      <c r="L81" s="231">
        <f>SUMIFS('Detalhe Por UC'!$AB:$AB,'Detalhe Por UC'!$R:$R,L$1)</f>
        <v>48079.119999999995</v>
      </c>
      <c r="M81" s="231">
        <f>SUMIFS('Detalhe Por UC'!$AB:$AB,'Detalhe Por UC'!$R:$R,M$1)</f>
        <v>44011.6</v>
      </c>
      <c r="N81" s="231">
        <f>SUMIFS('Detalhe Por UC'!$AB:$AB,'Detalhe Por UC'!$R:$R,N$1)</f>
        <v>41694.199999999997</v>
      </c>
      <c r="P81" s="184"/>
    </row>
    <row r="82" spans="2:16" x14ac:dyDescent="0.3">
      <c r="B82" s="179" t="s">
        <v>423</v>
      </c>
      <c r="C82" s="225"/>
      <c r="D82" s="231">
        <f>SUMIFS('Detalhe Por UC'!$AB:$AB,'Detalhe Por UC'!$R:$R,D$1,'Detalhe Por UC'!$AD:$AD,"&gt;0")</f>
        <v>37413.61</v>
      </c>
      <c r="E82" s="231">
        <f>SUMIFS('Detalhe Por UC'!$AB:$AB,'Detalhe Por UC'!$R:$R,E$1,'Detalhe Por UC'!$AD:$AD,"&gt;0")</f>
        <v>38814.82</v>
      </c>
      <c r="F82" s="231">
        <f>SUMIFS('Detalhe Por UC'!$AB:$AB,'Detalhe Por UC'!$R:$R,F$1,'Detalhe Por UC'!$AD:$AD,"&gt;0")</f>
        <v>28901.190000000002</v>
      </c>
      <c r="G82" s="231">
        <f>SUMIFS('Detalhe Por UC'!$AB:$AB,'Detalhe Por UC'!$R:$R,G$1,'Detalhe Por UC'!$AD:$AD,"&gt;0")</f>
        <v>22941.47</v>
      </c>
      <c r="H82" s="231">
        <f>SUMIFS('Detalhe Por UC'!$AB:$AB,'Detalhe Por UC'!$R:$R,H$1,'Detalhe Por UC'!$AD:$AD,"&gt;0")</f>
        <v>20543.96</v>
      </c>
      <c r="I82" s="231">
        <f>SUMIFS('Detalhe Por UC'!$AB:$AB,'Detalhe Por UC'!$R:$R,I$1,'Detalhe Por UC'!$AD:$AD,"&gt;0")</f>
        <v>20441.62</v>
      </c>
      <c r="J82" s="231">
        <f>SUMIFS('Detalhe Por UC'!$AB:$AB,'Detalhe Por UC'!$R:$R,J$1,'Detalhe Por UC'!$AD:$AD,"&gt;0")</f>
        <v>31524.68</v>
      </c>
      <c r="K82" s="231">
        <f>SUMIFS('Detalhe Por UC'!$AB:$AB,'Detalhe Por UC'!$R:$R,K$1,'Detalhe Por UC'!$AD:$AD,"&gt;0")</f>
        <v>36108.68</v>
      </c>
      <c r="L82" s="231">
        <f>SUMIFS('Detalhe Por UC'!$AB:$AB,'Detalhe Por UC'!$R:$R,L$1,'Detalhe Por UC'!$AD:$AD,"&gt;0")</f>
        <v>32744.12</v>
      </c>
      <c r="M82" s="231">
        <f>SUMIFS('Detalhe Por UC'!$AB:$AB,'Detalhe Por UC'!$R:$R,M$1,'Detalhe Por UC'!$AD:$AD,"&gt;0")</f>
        <v>26777.599999999999</v>
      </c>
      <c r="N82" s="231">
        <f>SUMIFS('Detalhe Por UC'!$AB:$AB,'Detalhe Por UC'!$R:$R,N$1,'Detalhe Por UC'!$AD:$AD,"&gt;0")</f>
        <v>39912.199999999997</v>
      </c>
      <c r="P82" s="184"/>
    </row>
    <row r="83" spans="2:16" x14ac:dyDescent="0.3">
      <c r="B83" s="179" t="s">
        <v>424</v>
      </c>
      <c r="C83" s="225"/>
      <c r="D83" s="231">
        <f>SUMIFS('Detalhe Por UC'!$AB:$AB,'Detalhe Por UC'!$R:$R,D$1,'Detalhe Por UC'!$S:$S,"&gt;0",'Detalhe Por UC'!$AD:$AD,"&gt;0")</f>
        <v>37413.61</v>
      </c>
      <c r="E83" s="231">
        <f>SUMIFS('Detalhe Por UC'!$AB:$AB,'Detalhe Por UC'!$R:$R,E$1,'Detalhe Por UC'!$S:$S,"&gt;0",'Detalhe Por UC'!$AD:$AD,"&gt;0")</f>
        <v>37153.82</v>
      </c>
      <c r="F83" s="231">
        <f>SUMIFS('Detalhe Por UC'!$AB:$AB,'Detalhe Por UC'!$R:$R,F$1,'Detalhe Por UC'!$S:$S,"&gt;0",'Detalhe Por UC'!$AD:$AD,"&gt;0")</f>
        <v>28373.190000000002</v>
      </c>
      <c r="G83" s="231">
        <f>SUMIFS('Detalhe Por UC'!$AB:$AB,'Detalhe Por UC'!$R:$R,G$1,'Detalhe Por UC'!$S:$S,"&gt;0",'Detalhe Por UC'!$AD:$AD,"&gt;0")</f>
        <v>20799.47</v>
      </c>
      <c r="H83" s="231">
        <f>SUMIFS('Detalhe Por UC'!$AB:$AB,'Detalhe Por UC'!$R:$R,H$1,'Detalhe Por UC'!$S:$S,"&gt;0",'Detalhe Por UC'!$AD:$AD,"&gt;0")</f>
        <v>18058.96</v>
      </c>
      <c r="I83" s="231">
        <f>SUMIFS('Detalhe Por UC'!$AB:$AB,'Detalhe Por UC'!$R:$R,I$1,'Detalhe Por UC'!$S:$S,"&gt;0",'Detalhe Por UC'!$AD:$AD,"&gt;0")</f>
        <v>20441.62</v>
      </c>
      <c r="J83" s="231">
        <f>SUMIFS('Detalhe Por UC'!$AB:$AB,'Detalhe Por UC'!$R:$R,J$1,'Detalhe Por UC'!$S:$S,"&gt;0",'Detalhe Por UC'!$AD:$AD,"&gt;0")</f>
        <v>31524.68</v>
      </c>
      <c r="K83" s="231">
        <f>SUMIFS('Detalhe Por UC'!$AB:$AB,'Detalhe Por UC'!$R:$R,K$1,'Detalhe Por UC'!$S:$S,"&gt;0",'Detalhe Por UC'!$AD:$AD,"&gt;0")</f>
        <v>35199.68</v>
      </c>
      <c r="L83" s="231">
        <f>SUMIFS('Detalhe Por UC'!$AB:$AB,'Detalhe Por UC'!$R:$R,L$1,'Detalhe Por UC'!$S:$S,"&gt;0",'Detalhe Por UC'!$AD:$AD,"&gt;0")</f>
        <v>29227.119999999999</v>
      </c>
      <c r="M83" s="231">
        <f>SUMIFS('Detalhe Por UC'!$AB:$AB,'Detalhe Por UC'!$R:$R,M$1,'Detalhe Por UC'!$S:$S,"&gt;0",'Detalhe Por UC'!$AD:$AD,"&gt;0")</f>
        <v>23772.6</v>
      </c>
      <c r="N83" s="231">
        <f>SUMIFS('Detalhe Por UC'!$AB:$AB,'Detalhe Por UC'!$R:$R,N$1,'Detalhe Por UC'!$S:$S,"&gt;0",'Detalhe Por UC'!$AD:$AD,"&gt;0")</f>
        <v>37396.199999999997</v>
      </c>
      <c r="P83" s="184"/>
    </row>
    <row r="84" spans="2:16" x14ac:dyDescent="0.3">
      <c r="B84" s="179" t="s">
        <v>425</v>
      </c>
      <c r="C84" s="225"/>
      <c r="D84" s="231">
        <f>SUMIFS('Detalhe Por UC'!$BW:$BW,'Detalhe Por UC'!$R:$R,D$1,'Detalhe Por UC'!$S:$S,"&gt;0")</f>
        <v>35086.057727272724</v>
      </c>
      <c r="E84" s="231">
        <f>SUMIFS('Detalhe Por UC'!$BW:$BW,'Detalhe Por UC'!$R:$R,E$1,'Detalhe Por UC'!$S:$S,"&gt;0")</f>
        <v>34405.171363636371</v>
      </c>
      <c r="F84" s="231">
        <f>SUMIFS('Detalhe Por UC'!$BW:$BW,'Detalhe Por UC'!$R:$R,F$1,'Detalhe Por UC'!$S:$S,"&gt;0")</f>
        <v>33695.107727272734</v>
      </c>
      <c r="G84" s="231">
        <f>SUMIFS('Detalhe Por UC'!$BW:$BW,'Detalhe Por UC'!$R:$R,G$1,'Detalhe Por UC'!$S:$S,"&gt;0")</f>
        <v>30748.94257575757</v>
      </c>
      <c r="H84" s="231">
        <f>SUMIFS('Detalhe Por UC'!$BW:$BW,'Detalhe Por UC'!$R:$R,H$1,'Detalhe Por UC'!$S:$S,"&gt;0")</f>
        <v>30832.301666666663</v>
      </c>
      <c r="I84" s="231">
        <f>SUMIFS('Detalhe Por UC'!$BW:$BW,'Detalhe Por UC'!$R:$R,I$1,'Detalhe Por UC'!$S:$S,"&gt;0")</f>
        <v>34215.46681818182</v>
      </c>
      <c r="J84" s="231">
        <f>SUMIFS('Detalhe Por UC'!$BW:$BW,'Detalhe Por UC'!$R:$R,J$1,'Detalhe Por UC'!$S:$S,"&gt;0")</f>
        <v>34215.46681818182</v>
      </c>
      <c r="K84" s="231">
        <f>SUMIFS('Detalhe Por UC'!$BW:$BW,'Detalhe Por UC'!$R:$R,K$1,'Detalhe Por UC'!$S:$S,"&gt;0")</f>
        <v>34215.46681818182</v>
      </c>
      <c r="L84" s="231">
        <f>SUMIFS('Detalhe Por UC'!$BW:$BW,'Detalhe Por UC'!$R:$R,L$1,'Detalhe Por UC'!$S:$S,"&gt;0")</f>
        <v>34215.46681818182</v>
      </c>
      <c r="M84" s="231">
        <f>SUMIFS('Detalhe Por UC'!$BW:$BW,'Detalhe Por UC'!$R:$R,M$1,'Detalhe Por UC'!$S:$S,"&gt;0")</f>
        <v>34215.46681818182</v>
      </c>
      <c r="N84" s="231">
        <f>SUMIFS('Detalhe Por UC'!$BW:$BW,'Detalhe Por UC'!$R:$R,N$1,'Detalhe Por UC'!$S:$S,"&gt;0")</f>
        <v>34215.46681818182</v>
      </c>
      <c r="P84" s="184"/>
    </row>
    <row r="85" spans="2:16" x14ac:dyDescent="0.3">
      <c r="B85" s="179" t="s">
        <v>426</v>
      </c>
      <c r="C85" s="225"/>
      <c r="D85" s="231">
        <f>SUMIFS('Detalhe Por UC'!$BW:$BW,'Detalhe Por UC'!$R:$R,D$1,'Detalhe Por UC'!$AD:$AD,"&gt;0")</f>
        <v>34907.657727272723</v>
      </c>
      <c r="E85" s="231">
        <f>SUMIFS('Detalhe Por UC'!$BW:$BW,'Detalhe Por UC'!$R:$R,E$1,'Detalhe Por UC'!$AD:$AD,"&gt;0")</f>
        <v>35435.503181818181</v>
      </c>
      <c r="F85" s="231">
        <f>SUMIFS('Detalhe Por UC'!$BW:$BW,'Detalhe Por UC'!$R:$R,F$1,'Detalhe Por UC'!$AD:$AD,"&gt;0")</f>
        <v>33168.83651515151</v>
      </c>
      <c r="G85" s="231">
        <f>SUMIFS('Detalhe Por UC'!$BW:$BW,'Detalhe Por UC'!$R:$R,G$1,'Detalhe Por UC'!$AD:$AD,"&gt;0")</f>
        <v>32684.80621212121</v>
      </c>
      <c r="H85" s="231">
        <f>SUMIFS('Detalhe Por UC'!$BW:$BW,'Detalhe Por UC'!$R:$R,H$1,'Detalhe Por UC'!$AD:$AD,"&gt;0")</f>
        <v>32148.881969696966</v>
      </c>
      <c r="I85" s="231">
        <f>SUMIFS('Detalhe Por UC'!$BW:$BW,'Detalhe Por UC'!$R:$R,I$1,'Detalhe Por UC'!$AD:$AD,"&gt;0")</f>
        <v>26919.450151515142</v>
      </c>
      <c r="J85" s="231">
        <f>SUMIFS('Detalhe Por UC'!$BW:$BW,'Detalhe Por UC'!$R:$R,J$1,'Detalhe Por UC'!$AD:$AD,"&gt;0")</f>
        <v>32910.130454545448</v>
      </c>
      <c r="K85" s="231">
        <f>SUMIFS('Detalhe Por UC'!$BW:$BW,'Detalhe Por UC'!$R:$R,K$1,'Detalhe Por UC'!$AD:$AD,"&gt;0")</f>
        <v>34407.730454545454</v>
      </c>
      <c r="L85" s="231">
        <f>SUMIFS('Detalhe Por UC'!$BW:$BW,'Detalhe Por UC'!$R:$R,L$1,'Detalhe Por UC'!$AD:$AD,"&gt;0")</f>
        <v>24479.966818181823</v>
      </c>
      <c r="M85" s="231">
        <f>SUMIFS('Detalhe Por UC'!$BW:$BW,'Detalhe Por UC'!$R:$R,M$1,'Detalhe Por UC'!$AD:$AD,"&gt;0")</f>
        <v>22324.875909090912</v>
      </c>
      <c r="N85" s="231">
        <f>SUMIFS('Detalhe Por UC'!$BW:$BW,'Detalhe Por UC'!$R:$R,N$1,'Detalhe Por UC'!$AD:$AD,"&gt;0")</f>
        <v>34923.253181818189</v>
      </c>
      <c r="P85" s="184"/>
    </row>
    <row r="86" spans="2:16" x14ac:dyDescent="0.3">
      <c r="B86" s="179" t="s">
        <v>427</v>
      </c>
      <c r="C86" s="225"/>
      <c r="D86" s="231">
        <f ca="1">SUMIFS('Detalhe Por UC'!$CA:$CA,'Detalhe Por UC'!$R:$R,'Resumo Operacional'!D$1)</f>
        <v>35131.210270562762</v>
      </c>
      <c r="E86" s="231">
        <f ca="1">SUMIFS('Detalhe Por UC'!$CA:$CA,'Detalhe Por UC'!$R:$R,'Resumo Operacional'!E$1)</f>
        <v>36268.130429292905</v>
      </c>
      <c r="F86" s="231">
        <f ca="1">SUMIFS('Detalhe Por UC'!$CA:$CA,'Detalhe Por UC'!$R:$R,'Resumo Operacional'!F$1)</f>
        <v>34261.38828643578</v>
      </c>
      <c r="G86" s="231">
        <f ca="1">SUMIFS('Detalhe Por UC'!$CA:$CA,'Detalhe Por UC'!$R:$R,'Resumo Operacional'!G$1)</f>
        <v>33400.147954545435</v>
      </c>
      <c r="H86" s="231">
        <f ca="1">SUMIFS('Detalhe Por UC'!$CA:$CA,'Detalhe Por UC'!$R:$R,'Resumo Operacional'!H$1)</f>
        <v>35337.866320346307</v>
      </c>
      <c r="I86" s="231">
        <f ca="1">SUMIFS('Detalhe Por UC'!$CA:$CA,'Detalhe Por UC'!$R:$R,'Resumo Operacional'!I$1)</f>
        <v>34148.873181818184</v>
      </c>
      <c r="J86" s="231">
        <f ca="1">SUMIFS('Detalhe Por UC'!$CA:$CA,'Detalhe Por UC'!$R:$R,'Resumo Operacional'!J$1)</f>
        <v>33919.916691919185</v>
      </c>
      <c r="K86" s="231">
        <f ca="1">SUMIFS('Detalhe Por UC'!$CA:$CA,'Detalhe Por UC'!$R:$R,'Resumo Operacional'!K$1)</f>
        <v>33626.378712121215</v>
      </c>
      <c r="L86" s="231">
        <f ca="1">SUMIFS('Detalhe Por UC'!$CA:$CA,'Detalhe Por UC'!$R:$R,'Resumo Operacional'!L$1)</f>
        <v>35623.384924242411</v>
      </c>
      <c r="M86" s="231">
        <f ca="1">SUMIFS('Detalhe Por UC'!$CA:$CA,'Detalhe Por UC'!$R:$R,'Resumo Operacional'!M$1)</f>
        <v>35263.788333333338</v>
      </c>
      <c r="N86" s="231">
        <f ca="1">SUMIFS('Detalhe Por UC'!$CA:$CA,'Detalhe Por UC'!$R:$R,'Resumo Operacional'!N$1)</f>
        <v>34903.813787878804</v>
      </c>
      <c r="P86" s="184"/>
    </row>
    <row r="87" spans="2:16" x14ac:dyDescent="0.3">
      <c r="B87" s="193" t="s">
        <v>428</v>
      </c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32"/>
      <c r="P87" s="184"/>
    </row>
    <row r="88" spans="2:16" x14ac:dyDescent="0.3">
      <c r="B88" s="179" t="s">
        <v>429</v>
      </c>
      <c r="C88" s="233"/>
      <c r="D88" s="234">
        <f t="shared" ref="D88:N89" si="17">D52+D16</f>
        <v>31604</v>
      </c>
      <c r="E88" s="234">
        <f t="shared" si="17"/>
        <v>30313</v>
      </c>
      <c r="F88" s="234">
        <f t="shared" si="17"/>
        <v>26689</v>
      </c>
      <c r="G88" s="234">
        <f t="shared" si="17"/>
        <v>27349</v>
      </c>
      <c r="H88" s="234">
        <f t="shared" si="17"/>
        <v>22185</v>
      </c>
      <c r="I88" s="234">
        <f t="shared" si="17"/>
        <v>20851</v>
      </c>
      <c r="J88" s="234">
        <f t="shared" si="17"/>
        <v>23093</v>
      </c>
      <c r="K88" s="234">
        <f t="shared" si="17"/>
        <v>26555</v>
      </c>
      <c r="L88" s="234">
        <f t="shared" si="17"/>
        <v>30829</v>
      </c>
      <c r="M88" s="234">
        <f t="shared" si="17"/>
        <v>29398</v>
      </c>
      <c r="N88" s="234">
        <f t="shared" si="17"/>
        <v>32233</v>
      </c>
      <c r="P88" s="199"/>
    </row>
    <row r="89" spans="2:16" x14ac:dyDescent="0.3">
      <c r="B89" s="179" t="s">
        <v>430</v>
      </c>
      <c r="C89" s="189"/>
      <c r="D89" s="235">
        <f t="shared" si="17"/>
        <v>26228</v>
      </c>
      <c r="E89" s="235">
        <f t="shared" si="17"/>
        <v>27030</v>
      </c>
      <c r="F89" s="235">
        <f t="shared" si="17"/>
        <v>24320</v>
      </c>
      <c r="G89" s="235">
        <f t="shared" si="17"/>
        <v>13038</v>
      </c>
      <c r="H89" s="235">
        <f t="shared" si="17"/>
        <v>17435</v>
      </c>
      <c r="I89" s="235">
        <f t="shared" si="17"/>
        <v>34673</v>
      </c>
      <c r="J89" s="235">
        <f t="shared" si="17"/>
        <v>15711</v>
      </c>
      <c r="K89" s="235">
        <f t="shared" si="17"/>
        <v>21262</v>
      </c>
      <c r="L89" s="235">
        <f t="shared" si="17"/>
        <v>24082</v>
      </c>
      <c r="M89" s="235">
        <f t="shared" si="17"/>
        <v>27134</v>
      </c>
      <c r="N89" s="235">
        <f t="shared" si="17"/>
        <v>30371</v>
      </c>
      <c r="P89" s="184"/>
    </row>
    <row r="90" spans="2:16" x14ac:dyDescent="0.3">
      <c r="B90" s="179" t="s">
        <v>431</v>
      </c>
      <c r="C90" s="182"/>
      <c r="D90" s="204">
        <f t="shared" ref="D90:N90" si="18">D89-D87</f>
        <v>26228</v>
      </c>
      <c r="E90" s="204">
        <f t="shared" si="18"/>
        <v>27030</v>
      </c>
      <c r="F90" s="204">
        <f t="shared" si="18"/>
        <v>24320</v>
      </c>
      <c r="G90" s="204">
        <f t="shared" si="18"/>
        <v>13038</v>
      </c>
      <c r="H90" s="204">
        <f t="shared" si="18"/>
        <v>17435</v>
      </c>
      <c r="I90" s="204">
        <f t="shared" si="18"/>
        <v>34673</v>
      </c>
      <c r="J90" s="204">
        <f t="shared" si="18"/>
        <v>15711</v>
      </c>
      <c r="K90" s="204">
        <f t="shared" si="18"/>
        <v>21262</v>
      </c>
      <c r="L90" s="204">
        <f t="shared" si="18"/>
        <v>24082</v>
      </c>
      <c r="M90" s="204">
        <f t="shared" si="18"/>
        <v>27134</v>
      </c>
      <c r="N90" s="204">
        <f t="shared" si="18"/>
        <v>30371</v>
      </c>
      <c r="P90" s="16"/>
    </row>
    <row r="91" spans="2:16" x14ac:dyDescent="0.3">
      <c r="B91" s="179" t="s">
        <v>432</v>
      </c>
      <c r="C91" s="182"/>
      <c r="D91" s="236">
        <f t="shared" ref="D91:N91" si="19">SUM(D92:D94)</f>
        <v>29010</v>
      </c>
      <c r="E91" s="236">
        <f t="shared" si="19"/>
        <v>54116</v>
      </c>
      <c r="F91" s="236">
        <f t="shared" si="19"/>
        <v>28189</v>
      </c>
      <c r="G91" s="236">
        <f t="shared" si="19"/>
        <v>31661</v>
      </c>
      <c r="H91" s="236">
        <f t="shared" si="19"/>
        <v>29349</v>
      </c>
      <c r="I91" s="236">
        <f t="shared" si="19"/>
        <v>-4710</v>
      </c>
      <c r="J91" s="236">
        <f t="shared" si="19"/>
        <v>24096</v>
      </c>
      <c r="K91" s="236">
        <f t="shared" si="19"/>
        <v>23181</v>
      </c>
      <c r="L91" s="236">
        <f t="shared" si="19"/>
        <v>28840</v>
      </c>
      <c r="M91" s="236">
        <f t="shared" si="19"/>
        <v>30985</v>
      </c>
      <c r="N91" s="236">
        <f t="shared" si="19"/>
        <v>30577</v>
      </c>
      <c r="P91" s="16"/>
    </row>
    <row r="92" spans="2:16" x14ac:dyDescent="0.3">
      <c r="B92" s="237" t="s">
        <v>433</v>
      </c>
      <c r="C92" s="182"/>
      <c r="D92" s="238">
        <f>SUMIFS('Detalhe Por UC'!$AD:$AD,'Detalhe Por UC'!$R:$R,'Resumo Operacional'!D$1,'Detalhe Por UC'!$D:$D,"CRÉD. CONSUMIDO")</f>
        <v>30268</v>
      </c>
      <c r="E92" s="238">
        <f>SUMIFS('Detalhe Por UC'!$AD:$AD,'Detalhe Por UC'!$R:$R,'Resumo Operacional'!E$1,'Detalhe Por UC'!$D:$D,"CRÉD. CONSUMIDO")</f>
        <v>31603</v>
      </c>
      <c r="F92" s="238">
        <f>SUMIFS('Detalhe Por UC'!$AD:$AD,'Detalhe Por UC'!$R:$R,'Resumo Operacional'!F$1,'Detalhe Por UC'!$D:$D,"CRÉD. CONSUMIDO")</f>
        <v>22436</v>
      </c>
      <c r="G92" s="238">
        <f>SUMIFS('Detalhe Por UC'!$AD:$AD,'Detalhe Por UC'!$R:$R,'Resumo Operacional'!G$1,'Detalhe Por UC'!$D:$D,"CRÉD. CONSUMIDO")</f>
        <v>17328</v>
      </c>
      <c r="H92" s="238">
        <f>SUMIFS('Detalhe Por UC'!$AD:$AD,'Detalhe Por UC'!$R:$R,'Resumo Operacional'!H$1,'Detalhe Por UC'!$D:$D,"CRÉD. CONSUMIDO")</f>
        <v>15037</v>
      </c>
      <c r="I92" s="238">
        <f>SUMIFS('Detalhe Por UC'!$AD:$AD,'Detalhe Por UC'!$R:$R,'Resumo Operacional'!I$1,'Detalhe Por UC'!$D:$D,"CRÉD. CONSUMIDO")</f>
        <v>12339</v>
      </c>
      <c r="J92" s="238">
        <f>SUMIFS('Detalhe Por UC'!$AD:$AD,'Detalhe Por UC'!$R:$R,'Resumo Operacional'!J$1,'Detalhe Por UC'!$D:$D,"CRÉD. CONSUMIDO")</f>
        <v>21395</v>
      </c>
      <c r="K92" s="238">
        <f>SUMIFS('Detalhe Por UC'!$AD:$AD,'Detalhe Por UC'!$R:$R,'Resumo Operacional'!K$1,'Detalhe Por UC'!$D:$D,"CRÉD. CONSUMIDO")</f>
        <v>24607</v>
      </c>
      <c r="L92" s="238">
        <f>SUMIFS('Detalhe Por UC'!$AD:$AD,'Detalhe Por UC'!$R:$R,'Resumo Operacional'!L$1,'Detalhe Por UC'!$D:$D,"CRÉD. CONSUMIDO")</f>
        <v>24654</v>
      </c>
      <c r="M92" s="238">
        <f>SUMIFS('Detalhe Por UC'!$AD:$AD,'Detalhe Por UC'!$R:$R,'Resumo Operacional'!M$1,'Detalhe Por UC'!$D:$D,"CRÉD. CONSUMIDO")</f>
        <v>21684</v>
      </c>
      <c r="N92" s="238">
        <f>SUMIFS('Detalhe Por UC'!$AD:$AD,'Detalhe Por UC'!$R:$R,'Resumo Operacional'!N$1,'Detalhe Por UC'!$D:$D,"CRÉD. CONSUMIDO")</f>
        <v>26286</v>
      </c>
      <c r="O92" s="239"/>
      <c r="P92" s="240"/>
    </row>
    <row r="93" spans="2:16" x14ac:dyDescent="0.3">
      <c r="B93" s="237" t="s">
        <v>434</v>
      </c>
      <c r="C93" s="182"/>
      <c r="D93" s="238">
        <f>SUMIFS('Detalhe Por UC'!$AN:$AN,'Detalhe Por UC'!$R:$R,'Resumo Operacional'!D$1,'Detalhe Por UC'!$D:$D,"CRÉD. CONSUMIDO")</f>
        <v>-1258</v>
      </c>
      <c r="E93" s="238">
        <f>SUMIFS('Detalhe Por UC'!$AN:$AN,'Detalhe Por UC'!$R:$R,'Resumo Operacional'!E$1,'Detalhe Por UC'!$D:$D,"CRÉD. CONSUMIDO")</f>
        <v>22513</v>
      </c>
      <c r="F93" s="238">
        <f>SUMIFS('Detalhe Por UC'!$AN:$AN,'Detalhe Por UC'!$R:$R,'Resumo Operacional'!F$1,'Detalhe Por UC'!$D:$D,"CRÉD. CONSUMIDO")</f>
        <v>5753</v>
      </c>
      <c r="G93" s="238">
        <f>SUMIFS('Detalhe Por UC'!$AN:$AN,'Detalhe Por UC'!$R:$R,'Resumo Operacional'!G$1,'Detalhe Por UC'!$D:$D,"CRÉD. CONSUMIDO")</f>
        <v>14333</v>
      </c>
      <c r="H93" s="238">
        <f>SUMIFS('Detalhe Por UC'!$AN:$AN,'Detalhe Por UC'!$R:$R,'Resumo Operacional'!H$1,'Detalhe Por UC'!$D:$D,"CRÉD. CONSUMIDO")</f>
        <v>14312</v>
      </c>
      <c r="I93" s="238">
        <f>SUMIFS('Detalhe Por UC'!$AN:$AN,'Detalhe Por UC'!$R:$R,'Resumo Operacional'!I$1,'Detalhe Por UC'!$D:$D,"CRÉD. CONSUMIDO")</f>
        <v>-17049</v>
      </c>
      <c r="J93" s="238">
        <f>SUMIFS('Detalhe Por UC'!$AN:$AN,'Detalhe Por UC'!$R:$R,'Resumo Operacional'!J$1,'Detalhe Por UC'!$D:$D,"CRÉD. CONSUMIDO")</f>
        <v>2701</v>
      </c>
      <c r="K93" s="238">
        <f>SUMIFS('Detalhe Por UC'!$AN:$AN,'Detalhe Por UC'!$R:$R,'Resumo Operacional'!K$1,'Detalhe Por UC'!$D:$D,"CRÉD. CONSUMIDO")</f>
        <v>-1426</v>
      </c>
      <c r="L93" s="238">
        <f>SUMIFS('Detalhe Por UC'!$AN:$AN,'Detalhe Por UC'!$R:$R,'Resumo Operacional'!L$1,'Detalhe Por UC'!$D:$D,"CRÉD. CONSUMIDO")</f>
        <v>4186</v>
      </c>
      <c r="M93" s="238">
        <f>SUMIFS('Detalhe Por UC'!$AN:$AN,'Detalhe Por UC'!$R:$R,'Resumo Operacional'!M$1,'Detalhe Por UC'!$D:$D,"CRÉD. CONSUMIDO")</f>
        <v>9301</v>
      </c>
      <c r="N93" s="238">
        <f>SUMIFS('Detalhe Por UC'!$AN:$AN,'Detalhe Por UC'!$R:$R,'Resumo Operacional'!N$1,'Detalhe Por UC'!$D:$D,"CRÉD. CONSUMIDO")</f>
        <v>4291</v>
      </c>
      <c r="O93" s="239"/>
      <c r="P93" s="192"/>
    </row>
    <row r="94" spans="2:16" x14ac:dyDescent="0.3">
      <c r="B94" s="237" t="s">
        <v>435</v>
      </c>
      <c r="C94" s="182"/>
      <c r="D94" s="234">
        <f>SUMIFS('Detalhe Por UC'!$AQ:$AQ,'Detalhe Por UC'!$R:$R,'Resumo Operacional'!D$1,'Detalhe Por UC'!$D:$D,"GERADO")</f>
        <v>0</v>
      </c>
      <c r="E94" s="234">
        <f>SUMIFS('Detalhe Por UC'!$AQ:$AQ,'Detalhe Por UC'!$R:$R,'Resumo Operacional'!E$1,'Detalhe Por UC'!$D:$D,"GERADO")</f>
        <v>0</v>
      </c>
      <c r="F94" s="234">
        <f>SUMIFS('Detalhe Por UC'!$AQ:$AQ,'Detalhe Por UC'!$R:$R,'Resumo Operacional'!F$1,'Detalhe Por UC'!$D:$D,"GERADO")</f>
        <v>0</v>
      </c>
      <c r="G94" s="234">
        <f>SUMIFS('Detalhe Por UC'!$AQ:$AQ,'Detalhe Por UC'!$R:$R,'Resumo Operacional'!G$1,'Detalhe Por UC'!$D:$D,"GERADO")</f>
        <v>0</v>
      </c>
      <c r="H94" s="234">
        <f>SUMIFS('Detalhe Por UC'!$AQ:$AQ,'Detalhe Por UC'!$R:$R,'Resumo Operacional'!H$1,'Detalhe Por UC'!$D:$D,"GERADO")</f>
        <v>0</v>
      </c>
      <c r="I94" s="234">
        <f>SUMIFS('Detalhe Por UC'!$AQ:$AQ,'Detalhe Por UC'!$R:$R,'Resumo Operacional'!I$1,'Detalhe Por UC'!$D:$D,"GERADO")</f>
        <v>0</v>
      </c>
      <c r="J94" s="234">
        <f>SUMIFS('Detalhe Por UC'!$AQ:$AQ,'Detalhe Por UC'!$R:$R,'Resumo Operacional'!J$1,'Detalhe Por UC'!$D:$D,"GERADO")</f>
        <v>0</v>
      </c>
      <c r="K94" s="234">
        <f>SUMIFS('Detalhe Por UC'!$AQ:$AQ,'Detalhe Por UC'!$R:$R,'Resumo Operacional'!K$1,'Detalhe Por UC'!$D:$D,"GERADO")</f>
        <v>0</v>
      </c>
      <c r="L94" s="234">
        <f>SUMIFS('Detalhe Por UC'!$AQ:$AQ,'Detalhe Por UC'!$R:$R,'Resumo Operacional'!L$1,'Detalhe Por UC'!$D:$D,"GERADO")</f>
        <v>0</v>
      </c>
      <c r="M94" s="234">
        <f>SUMIFS('Detalhe Por UC'!$AQ:$AQ,'Detalhe Por UC'!$R:$R,'Resumo Operacional'!M$1,'Detalhe Por UC'!$D:$D,"GERADO")</f>
        <v>0</v>
      </c>
      <c r="N94" s="234">
        <f>SUMIFS('Detalhe Por UC'!$AQ:$AQ,'Detalhe Por UC'!$R:$R,'Resumo Operacional'!N$1,'Detalhe Por UC'!$D:$D,"GERADO")</f>
        <v>0</v>
      </c>
      <c r="P94" s="192"/>
    </row>
    <row r="95" spans="2:16" x14ac:dyDescent="0.3">
      <c r="B95" s="237" t="s">
        <v>436</v>
      </c>
      <c r="C95" s="182"/>
      <c r="D95" s="238">
        <f t="shared" ref="D95:N95" si="20">D91-D89</f>
        <v>2782</v>
      </c>
      <c r="E95" s="238">
        <f t="shared" si="20"/>
        <v>27086</v>
      </c>
      <c r="F95" s="238">
        <f t="shared" si="20"/>
        <v>3869</v>
      </c>
      <c r="G95" s="238">
        <f t="shared" si="20"/>
        <v>18623</v>
      </c>
      <c r="H95" s="238">
        <f t="shared" si="20"/>
        <v>11914</v>
      </c>
      <c r="I95" s="238">
        <f t="shared" si="20"/>
        <v>-39383</v>
      </c>
      <c r="J95" s="238">
        <f t="shared" si="20"/>
        <v>8385</v>
      </c>
      <c r="K95" s="238">
        <f t="shared" si="20"/>
        <v>1919</v>
      </c>
      <c r="L95" s="238">
        <f t="shared" si="20"/>
        <v>4758</v>
      </c>
      <c r="M95" s="238">
        <f t="shared" si="20"/>
        <v>3851</v>
      </c>
      <c r="N95" s="238">
        <f t="shared" si="20"/>
        <v>206</v>
      </c>
    </row>
    <row r="96" spans="2:16" x14ac:dyDescent="0.3">
      <c r="B96" s="241" t="s">
        <v>437</v>
      </c>
      <c r="C96" s="182"/>
      <c r="D96" s="236">
        <f t="shared" ref="D96:N96" si="21">D94+D92</f>
        <v>30268</v>
      </c>
      <c r="E96" s="236">
        <f t="shared" si="21"/>
        <v>31603</v>
      </c>
      <c r="F96" s="236">
        <f t="shared" si="21"/>
        <v>22436</v>
      </c>
      <c r="G96" s="236">
        <f t="shared" si="21"/>
        <v>17328</v>
      </c>
      <c r="H96" s="236">
        <f t="shared" si="21"/>
        <v>15037</v>
      </c>
      <c r="I96" s="236">
        <f t="shared" si="21"/>
        <v>12339</v>
      </c>
      <c r="J96" s="236">
        <f t="shared" si="21"/>
        <v>21395</v>
      </c>
      <c r="K96" s="236">
        <f t="shared" si="21"/>
        <v>24607</v>
      </c>
      <c r="L96" s="236">
        <f t="shared" si="21"/>
        <v>24654</v>
      </c>
      <c r="M96" s="236">
        <f t="shared" si="21"/>
        <v>21684</v>
      </c>
      <c r="N96" s="236">
        <f t="shared" si="21"/>
        <v>26286</v>
      </c>
      <c r="O96" s="239"/>
      <c r="P96" s="192"/>
    </row>
    <row r="97" spans="2:16" x14ac:dyDescent="0.3">
      <c r="B97" s="241" t="s">
        <v>438</v>
      </c>
      <c r="C97" s="182"/>
      <c r="D97" s="236">
        <f>SUMIFS('Detalhe Por UC'!$AF:$AF,'Detalhe Por UC'!$R:$R,'Resumo Operacional'!D$1,'Detalhe Por UC'!$D:$D,"CRÉD. CONSUMIDO")</f>
        <v>39125</v>
      </c>
      <c r="E97" s="236">
        <f>SUMIFS('Detalhe Por UC'!$AF:$AF,'Detalhe Por UC'!$R:$R,'Resumo Operacional'!E$1,'Detalhe Por UC'!$D:$D,"CRÉD. CONSUMIDO")</f>
        <v>68000</v>
      </c>
      <c r="F97" s="236">
        <f>SUMIFS('Detalhe Por UC'!$AF:$AF,'Detalhe Por UC'!$R:$R,'Resumo Operacional'!F$1,'Detalhe Por UC'!$D:$D,"CRÉD. CONSUMIDO")</f>
        <v>45487</v>
      </c>
      <c r="G97" s="236">
        <f>SUMIFS('Detalhe Por UC'!$AF:$AF,'Detalhe Por UC'!$R:$R,'Resumo Operacional'!G$1,'Detalhe Por UC'!$D:$D,"CRÉD. CONSUMIDO")</f>
        <v>41796</v>
      </c>
      <c r="H97" s="236">
        <f>SUMIFS('Detalhe Por UC'!$AF:$AF,'Detalhe Por UC'!$R:$R,'Resumo Operacional'!H$1,'Detalhe Por UC'!$D:$D,"CRÉD. CONSUMIDO")</f>
        <v>27463</v>
      </c>
      <c r="I97" s="236">
        <f>SUMIFS('Detalhe Por UC'!$AF:$AF,'Detalhe Por UC'!$R:$R,'Resumo Operacional'!I$1,'Detalhe Por UC'!$D:$D,"CRÉD. CONSUMIDO")</f>
        <v>13151</v>
      </c>
      <c r="J97" s="236">
        <f>SUMIFS('Detalhe Por UC'!$AF:$AF,'Detalhe Por UC'!$R:$R,'Resumo Operacional'!J$1,'Detalhe Por UC'!$D:$D,"CRÉD. CONSUMIDO")</f>
        <v>30200</v>
      </c>
      <c r="K97" s="236">
        <f>SUMIFS('Detalhe Por UC'!$AF:$AF,'Detalhe Por UC'!$R:$R,'Resumo Operacional'!K$1,'Detalhe Por UC'!$D:$D,"CRÉD. CONSUMIDO")</f>
        <v>27499</v>
      </c>
      <c r="L97" s="236">
        <f>SUMIFS('Detalhe Por UC'!$AF:$AF,'Detalhe Por UC'!$R:$R,'Resumo Operacional'!L$1,'Detalhe Por UC'!$D:$D,"CRÉD. CONSUMIDO")</f>
        <v>28925</v>
      </c>
      <c r="M97" s="236">
        <f>SUMIFS('Detalhe Por UC'!$AF:$AF,'Detalhe Por UC'!$R:$R,'Resumo Operacional'!M$1,'Detalhe Por UC'!$D:$D,"CRÉD. CONSUMIDO")</f>
        <v>24739</v>
      </c>
      <c r="N97" s="236">
        <f>SUMIFS('Detalhe Por UC'!$AF:$AF,'Detalhe Por UC'!$R:$R,'Resumo Operacional'!N$1,'Detalhe Por UC'!$D:$D,"CRÉD. CONSUMIDO")</f>
        <v>15730</v>
      </c>
      <c r="O97" s="242"/>
      <c r="P97" s="243"/>
    </row>
    <row r="98" spans="2:16" x14ac:dyDescent="0.3">
      <c r="F98" s="5"/>
      <c r="G98" s="5"/>
      <c r="H98" s="5"/>
      <c r="I98" s="5"/>
      <c r="J98" s="5"/>
      <c r="K98" s="5"/>
      <c r="L98" s="5"/>
      <c r="M98" s="5"/>
      <c r="O98" s="242"/>
      <c r="P98" s="243"/>
    </row>
    <row r="99" spans="2:16" x14ac:dyDescent="0.3">
      <c r="B99" s="186" t="s">
        <v>419</v>
      </c>
      <c r="C99" s="186"/>
      <c r="D99" s="244"/>
      <c r="E99" s="244"/>
      <c r="F99" s="244"/>
      <c r="G99" s="244"/>
      <c r="H99" s="230"/>
      <c r="I99" s="230"/>
      <c r="J99" s="230"/>
      <c r="K99" s="230"/>
      <c r="L99" s="230"/>
      <c r="M99" s="230"/>
      <c r="N99" s="230"/>
      <c r="O99" s="242"/>
      <c r="P99" s="243"/>
    </row>
    <row r="100" spans="2:16" x14ac:dyDescent="0.3">
      <c r="B100" s="179" t="s">
        <v>439</v>
      </c>
      <c r="C100" s="180"/>
      <c r="D100" s="245">
        <f>SUMIFS('Detalhe Por UC'!$AV:$AV,'Detalhe Por UC'!$R:$R,'Resumo Operacional'!D$1)</f>
        <v>27009.999329016897</v>
      </c>
      <c r="E100" s="245">
        <f>SUMIFS('Detalhe Por UC'!$AV:$AV,'Detalhe Por UC'!$R:$R,'Resumo Operacional'!E$1)</f>
        <v>25714.412703422746</v>
      </c>
      <c r="F100" s="245">
        <f>SUMIFS('Detalhe Por UC'!$AV:$AV,'Detalhe Por UC'!$R:$R,'Resumo Operacional'!F$1)</f>
        <v>18544.648992680381</v>
      </c>
      <c r="G100" s="245">
        <f>SUMIFS('Detalhe Por UC'!$AV:$AV,'Detalhe Por UC'!$R:$R,'Resumo Operacional'!G$1)</f>
        <v>14658.868764245022</v>
      </c>
      <c r="H100" s="245">
        <f>SUMIFS('Detalhe Por UC'!$AV:$AV,'Detalhe Por UC'!$R:$R,'Resumo Operacional'!H$1)</f>
        <v>12506.609950148815</v>
      </c>
      <c r="I100" s="245">
        <f>SUMIFS('Detalhe Por UC'!$AV:$AV,'Detalhe Por UC'!$R:$R,'Resumo Operacional'!I$1)</f>
        <v>10294.49669481349</v>
      </c>
      <c r="J100" s="245">
        <f>SUMIFS('Detalhe Por UC'!$AV:$AV,'Detalhe Por UC'!$R:$R,'Resumo Operacional'!J$1)</f>
        <v>16739.079815252197</v>
      </c>
      <c r="K100" s="245">
        <f>SUMIFS('Detalhe Por UC'!$AV:$AV,'Detalhe Por UC'!$R:$R,'Resumo Operacional'!K$1)</f>
        <v>19000.683100649992</v>
      </c>
      <c r="L100" s="245">
        <f>SUMIFS('Detalhe Por UC'!$AV:$AV,'Detalhe Por UC'!$R:$R,'Resumo Operacional'!L$1)</f>
        <v>19391.002668308978</v>
      </c>
      <c r="M100" s="245">
        <f>SUMIFS('Detalhe Por UC'!$AV:$AV,'Detalhe Por UC'!$R:$R,'Resumo Operacional'!M$1)</f>
        <v>17011.988286290325</v>
      </c>
      <c r="N100" s="245">
        <f>SUMIFS('Detalhe Por UC'!$AV:$AV,'Detalhe Por UC'!$R:$R,'Resumo Operacional'!N$1)</f>
        <v>20936.782499999994</v>
      </c>
      <c r="O100" s="242"/>
      <c r="P100" s="243"/>
    </row>
    <row r="101" spans="2:16" x14ac:dyDescent="0.3">
      <c r="B101" s="179" t="s">
        <v>440</v>
      </c>
      <c r="C101" s="180"/>
      <c r="D101" s="246">
        <f>SUMIFS('Detalhe Por UC'!$AY:$AY,'Detalhe Por UC'!$R:$R,'Resumo Operacional'!D$1)</f>
        <v>28717.00999989991</v>
      </c>
      <c r="E101" s="246">
        <f>SUMIFS('Detalhe Por UC'!$AY:$AY,'Detalhe Por UC'!$R:$R,'Resumo Operacional'!E$1)</f>
        <v>26142.509999999613</v>
      </c>
      <c r="F101" s="246">
        <f>SUMIFS('Detalhe Por UC'!$AY:$AY,'Detalhe Por UC'!$R:$R,'Resumo Operacional'!F$1)</f>
        <v>18551.030000000002</v>
      </c>
      <c r="G101" s="246">
        <f>SUMIFS('Detalhe Por UC'!$AY:$AY,'Detalhe Por UC'!$R:$R,'Resumo Operacional'!G$1)</f>
        <v>14630.569998999999</v>
      </c>
      <c r="H101" s="246">
        <f>SUMIFS('Detalhe Por UC'!$AY:$AY,'Detalhe Por UC'!$R:$R,'Resumo Operacional'!H$1)</f>
        <v>12430.760000000004</v>
      </c>
      <c r="I101" s="246">
        <f>SUMIFS('Detalhe Por UC'!$AY:$AY,'Detalhe Por UC'!$R:$R,'Resumo Operacional'!I$1)</f>
        <v>11005.809989000003</v>
      </c>
      <c r="J101" s="246">
        <f>SUMIFS('Detalhe Por UC'!$AY:$AY,'Detalhe Por UC'!$R:$R,'Resumo Operacional'!J$1)</f>
        <v>17599.98</v>
      </c>
      <c r="K101" s="246">
        <f>SUMIFS('Detalhe Por UC'!$AY:$AY,'Detalhe Por UC'!$R:$R,'Resumo Operacional'!K$1)</f>
        <v>19906.679999999997</v>
      </c>
      <c r="L101" s="246">
        <f>SUMIFS('Detalhe Por UC'!$AY:$AY,'Detalhe Por UC'!$R:$R,'Resumo Operacional'!L$1)</f>
        <v>19354.060000000001</v>
      </c>
      <c r="M101" s="246">
        <f>SUMIFS('Detalhe Por UC'!$AY:$AY,'Detalhe Por UC'!$R:$R,'Resumo Operacional'!M$1)</f>
        <v>17146.649990000002</v>
      </c>
      <c r="N101" s="246">
        <f>SUMIFS('Detalhe Por UC'!$AY:$AY,'Detalhe Por UC'!$R:$R,'Resumo Operacional'!N$1)</f>
        <v>20936.890000000003</v>
      </c>
      <c r="O101" s="242"/>
      <c r="P101" s="243"/>
    </row>
    <row r="102" spans="2:16" x14ac:dyDescent="0.3">
      <c r="B102" s="179" t="s">
        <v>441</v>
      </c>
      <c r="C102" s="180"/>
      <c r="D102" s="246">
        <f>SUMIFS('Detalhe Por UC'!$BA:$BA,'Detalhe Por UC'!$R:$R,'Resumo Operacional'!D$1)</f>
        <v>0</v>
      </c>
      <c r="E102" s="246">
        <f>SUMIFS('Detalhe Por UC'!$BA:$BA,'Detalhe Por UC'!$R:$R,'Resumo Operacional'!E$1)</f>
        <v>23846.760001210023</v>
      </c>
      <c r="F102" s="246">
        <f>SUMIFS('Detalhe Por UC'!$BA:$BA,'Detalhe Por UC'!$R:$R,'Resumo Operacional'!F$1)</f>
        <v>18122.970000110792</v>
      </c>
      <c r="G102" s="246">
        <f>SUMIFS('Detalhe Por UC'!$BA:$BA,'Detalhe Por UC'!$R:$R,'Resumo Operacional'!G$1)</f>
        <v>14414.940000299999</v>
      </c>
      <c r="H102" s="246">
        <f>SUMIFS('Detalhe Por UC'!$BA:$BA,'Detalhe Por UC'!$R:$R,'Resumo Operacional'!H$1)</f>
        <v>12329.950002000001</v>
      </c>
      <c r="I102" s="246">
        <f>SUMIFS('Detalhe Por UC'!$BA:$BA,'Detalhe Por UC'!$R:$R,'Resumo Operacional'!I$1)</f>
        <v>10122.440020099997</v>
      </c>
      <c r="J102" s="246">
        <f>SUMIFS('Detalhe Por UC'!$BA:$BA,'Detalhe Por UC'!$R:$R,'Resumo Operacional'!J$1)</f>
        <v>16888.640011000003</v>
      </c>
      <c r="K102" s="246">
        <f>SUMIFS('Detalhe Por UC'!$BA:$BA,'Detalhe Por UC'!$R:$R,'Resumo Operacional'!K$1)</f>
        <v>19045.789999999997</v>
      </c>
      <c r="L102" s="246">
        <f>SUMIFS('Detalhe Por UC'!$BA:$BA,'Detalhe Por UC'!$R:$R,'Resumo Operacional'!L$1)</f>
        <v>18081.39</v>
      </c>
      <c r="M102" s="246">
        <f>SUMIFS('Detalhe Por UC'!$BA:$BA,'Detalhe Por UC'!$R:$R,'Resumo Operacional'!M$1)</f>
        <v>16660.840001000004</v>
      </c>
      <c r="N102" s="246">
        <f>SUMIFS('Detalhe Por UC'!$BA:$BA,'Detalhe Por UC'!$R:$R,'Resumo Operacional'!N$1)</f>
        <v>20802.330010000005</v>
      </c>
      <c r="O102" s="242"/>
      <c r="P102" s="243"/>
    </row>
    <row r="103" spans="2:16" x14ac:dyDescent="0.3">
      <c r="B103" s="247" t="s">
        <v>442</v>
      </c>
      <c r="C103" s="182"/>
      <c r="D103" s="246">
        <f>SUMIFS('Detalhe Por UC'!$BB:$BB,'Detalhe Por UC'!$R:$R,'Resumo Operacional'!D$1)</f>
        <v>0</v>
      </c>
      <c r="E103" s="246">
        <f>SUMIFS('Detalhe Por UC'!$BB:$BB,'Detalhe Por UC'!$R:$R,'Resumo Operacional'!E$1)</f>
        <v>20371.610000000008</v>
      </c>
      <c r="F103" s="246">
        <f>SUMIFS('Detalhe Por UC'!$BB:$BB,'Detalhe Por UC'!$R:$R,'Resumo Operacional'!F$1)</f>
        <v>17132.330526315785</v>
      </c>
      <c r="G103" s="246">
        <f>SUMIFS('Detalhe Por UC'!$BB:$BB,'Detalhe Por UC'!$R:$R,'Resumo Operacional'!G$1)</f>
        <v>14030.099999999997</v>
      </c>
      <c r="H103" s="246">
        <f>SUMIFS('Detalhe Por UC'!$BB:$BB,'Detalhe Por UC'!$R:$R,'Resumo Operacional'!H$1)</f>
        <v>12206.86</v>
      </c>
      <c r="I103" s="246">
        <f>SUMIFS('Detalhe Por UC'!$BB:$BB,'Detalhe Por UC'!$R:$R,'Resumo Operacional'!I$1)</f>
        <v>9532.5733333333337</v>
      </c>
      <c r="J103" s="246">
        <f>SUMIFS('Detalhe Por UC'!$BB:$BB,'Detalhe Por UC'!$R:$R,'Resumo Operacional'!J$1)</f>
        <v>13981.908999999998</v>
      </c>
      <c r="K103" s="246">
        <f>SUMIFS('Detalhe Por UC'!$BB:$BB,'Detalhe Por UC'!$R:$R,'Resumo Operacional'!K$1)</f>
        <v>16498.34414991803</v>
      </c>
      <c r="L103" s="246">
        <f>SUMIFS('Detalhe Por UC'!$BB:$BB,'Detalhe Por UC'!$R:$R,'Resumo Operacional'!L$1)</f>
        <v>17030.229999999996</v>
      </c>
      <c r="M103" s="246">
        <f>SUMIFS('Detalhe Por UC'!$BB:$BB,'Detalhe Por UC'!$R:$R,'Resumo Operacional'!M$1)</f>
        <v>15301.890000000003</v>
      </c>
      <c r="N103" s="246">
        <f>SUMIFS('Detalhe Por UC'!$BB:$BB,'Detalhe Por UC'!$R:$R,'Resumo Operacional'!N$1)</f>
        <v>19059.440000000002</v>
      </c>
      <c r="O103" s="242"/>
      <c r="P103" s="243"/>
    </row>
    <row r="104" spans="2:16" x14ac:dyDescent="0.3">
      <c r="B104" s="216"/>
      <c r="C104" s="171"/>
      <c r="D104" s="171"/>
      <c r="E104" s="171"/>
      <c r="F104" s="171"/>
      <c r="G104" s="171"/>
      <c r="H104" s="248"/>
      <c r="I104" s="171"/>
      <c r="J104" s="171"/>
      <c r="K104" s="217"/>
      <c r="L104" s="217"/>
      <c r="M104" s="217"/>
      <c r="N104" s="217"/>
      <c r="O104" s="242"/>
      <c r="P104" s="243"/>
    </row>
    <row r="105" spans="2:16" x14ac:dyDescent="0.3">
      <c r="B105" s="186" t="s">
        <v>420</v>
      </c>
      <c r="C105" s="186"/>
      <c r="D105" s="244"/>
      <c r="E105" s="244"/>
      <c r="F105" s="244"/>
      <c r="G105" s="244"/>
      <c r="H105" s="230"/>
      <c r="I105" s="230"/>
      <c r="J105" s="230"/>
      <c r="K105" s="230"/>
      <c r="L105" s="230"/>
      <c r="M105" s="230"/>
      <c r="N105" s="230"/>
      <c r="O105" s="239"/>
      <c r="P105" s="249"/>
    </row>
    <row r="106" spans="2:16" x14ac:dyDescent="0.3">
      <c r="B106" s="250" t="s">
        <v>443</v>
      </c>
      <c r="C106" s="219"/>
      <c r="D106" s="220">
        <f>IF(1-D96/(D17+D53)&lt;0,0,1-D96/(D17+D53))</f>
        <v>0</v>
      </c>
      <c r="E106" s="220">
        <f>IF(1-E96/(E17+E53)&lt;0,0,1-E96/(E17+E53))</f>
        <v>0</v>
      </c>
      <c r="F106" s="220">
        <f t="shared" ref="F106:G106" si="22">IF(1-F96/(F17+F53)&lt;0,0,1-F96/(F17+F53))</f>
        <v>7.746710526315792E-2</v>
      </c>
      <c r="G106" s="220">
        <f t="shared" si="22"/>
        <v>0</v>
      </c>
      <c r="H106" s="220">
        <f>IF(1-H96/(H17+H53)&lt;0,0,1-H96/(H17+H53))</f>
        <v>0.13753943217665621</v>
      </c>
      <c r="I106" s="220">
        <f t="shared" ref="I106:N106" si="23">IF(1-I96/(I17+I53)&lt;0,0,1-I96/(I17+I53))</f>
        <v>0.64413232197963832</v>
      </c>
      <c r="J106" s="220">
        <f t="shared" si="23"/>
        <v>0</v>
      </c>
      <c r="K106" s="220">
        <f t="shared" si="23"/>
        <v>0</v>
      </c>
      <c r="L106" s="220">
        <f t="shared" si="23"/>
        <v>0</v>
      </c>
      <c r="M106" s="220">
        <f t="shared" si="23"/>
        <v>0.2008550158472765</v>
      </c>
      <c r="N106" s="220">
        <f t="shared" si="23"/>
        <v>0.13450330907773866</v>
      </c>
      <c r="O106" s="239"/>
      <c r="P106" s="251" t="s">
        <v>444</v>
      </c>
    </row>
    <row r="107" spans="2:16" hidden="1" x14ac:dyDescent="0.3">
      <c r="B107" s="250" t="s">
        <v>445</v>
      </c>
      <c r="C107" s="219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39"/>
      <c r="P107" s="252"/>
    </row>
    <row r="108" spans="2:16" x14ac:dyDescent="0.3">
      <c r="B108" s="250" t="s">
        <v>446</v>
      </c>
      <c r="C108" s="180"/>
      <c r="D108" s="222">
        <f t="shared" ref="D108:N108" si="24">IFERROR(1-D103/D102,1)</f>
        <v>1</v>
      </c>
      <c r="E108" s="222">
        <f t="shared" si="24"/>
        <v>0.14572839249582248</v>
      </c>
      <c r="F108" s="222">
        <f t="shared" si="24"/>
        <v>5.4662093122095912E-2</v>
      </c>
      <c r="G108" s="222">
        <f t="shared" si="24"/>
        <v>2.6697301569898579E-2</v>
      </c>
      <c r="H108" s="222">
        <f t="shared" si="24"/>
        <v>9.9830090130158533E-3</v>
      </c>
      <c r="I108" s="222">
        <f t="shared" si="24"/>
        <v>5.8273171843485683E-2</v>
      </c>
      <c r="J108" s="222">
        <f t="shared" si="24"/>
        <v>0.17211160928924873</v>
      </c>
      <c r="K108" s="222">
        <f t="shared" si="24"/>
        <v>0.13375375083322705</v>
      </c>
      <c r="L108" s="222">
        <f t="shared" si="24"/>
        <v>5.8134911088141061E-2</v>
      </c>
      <c r="M108" s="222">
        <f t="shared" si="24"/>
        <v>8.1565515359275698E-2</v>
      </c>
      <c r="N108" s="222">
        <f t="shared" si="24"/>
        <v>8.3783403549610447E-2</v>
      </c>
      <c r="O108" s="239"/>
      <c r="P108" s="184" t="s">
        <v>447</v>
      </c>
    </row>
    <row r="109" spans="2:16" x14ac:dyDescent="0.3">
      <c r="B109" s="253"/>
      <c r="C109" s="253"/>
      <c r="D109" s="253"/>
      <c r="E109" s="253"/>
      <c r="F109" s="253"/>
      <c r="G109" s="253"/>
      <c r="H109" s="254"/>
      <c r="I109" s="254"/>
      <c r="J109" s="254"/>
      <c r="K109" s="254"/>
      <c r="L109" s="254"/>
      <c r="M109" s="254"/>
      <c r="N109" s="254"/>
      <c r="O109" s="239"/>
      <c r="P109" s="184"/>
    </row>
    <row r="110" spans="2:16" x14ac:dyDescent="0.3">
      <c r="B110" s="186" t="s">
        <v>448</v>
      </c>
      <c r="C110" s="186"/>
      <c r="D110" s="244"/>
      <c r="E110" s="244"/>
      <c r="F110" s="244"/>
      <c r="G110" s="244"/>
      <c r="H110" s="230"/>
      <c r="I110" s="230"/>
      <c r="J110" s="230"/>
      <c r="K110" s="230"/>
      <c r="L110" s="230"/>
      <c r="M110" s="230"/>
      <c r="N110" s="230"/>
      <c r="O110" s="239"/>
      <c r="P110" s="184"/>
    </row>
    <row r="111" spans="2:16" x14ac:dyDescent="0.3">
      <c r="B111" s="255" t="s">
        <v>449</v>
      </c>
      <c r="D111">
        <f>121.26+121.26</f>
        <v>242.52</v>
      </c>
      <c r="E111">
        <f>122.28+100.26</f>
        <v>222.54000000000002</v>
      </c>
      <c r="F111">
        <f>100.26+121.95</f>
        <v>222.21</v>
      </c>
      <c r="G111">
        <f>120.44+94.76</f>
        <v>215.2</v>
      </c>
      <c r="H111">
        <f>83.82+96.51</f>
        <v>180.32999999999998</v>
      </c>
      <c r="I111" s="256">
        <f>148.26+118.77</f>
        <v>267.02999999999997</v>
      </c>
      <c r="J111" s="256">
        <f>113.36+116.19</f>
        <v>229.55</v>
      </c>
      <c r="K111" s="256">
        <f>114.71+115.57</f>
        <v>230.27999999999997</v>
      </c>
      <c r="L111" s="256">
        <f>114.1+111.62</f>
        <v>225.72</v>
      </c>
      <c r="M111" s="256">
        <f>114.31+111.62</f>
        <v>225.93</v>
      </c>
      <c r="N111" s="256">
        <f>116.78+119.2</f>
        <v>235.98000000000002</v>
      </c>
      <c r="O111" s="239"/>
      <c r="P111" s="184"/>
    </row>
    <row r="112" spans="2:16" x14ac:dyDescent="0.3">
      <c r="B112" s="255" t="s">
        <v>450</v>
      </c>
      <c r="C112" s="171"/>
      <c r="D112" s="257">
        <v>0.74465000000000003</v>
      </c>
      <c r="E112" s="257">
        <v>0.74465000000000003</v>
      </c>
      <c r="F112" s="257">
        <v>0.74465000000000003</v>
      </c>
      <c r="G112" s="257">
        <v>0.74465000000000003</v>
      </c>
      <c r="H112" s="257">
        <v>0.74465000000000003</v>
      </c>
      <c r="I112" s="257">
        <v>0.74465000000000003</v>
      </c>
      <c r="J112" s="257">
        <v>0.74465000000000003</v>
      </c>
      <c r="K112" s="258">
        <v>0.74465000000000003</v>
      </c>
      <c r="L112" s="257">
        <v>0.73792507683362396</v>
      </c>
      <c r="M112" s="257">
        <v>0.73792507683362396</v>
      </c>
      <c r="N112" s="257">
        <v>0.73792507683362396</v>
      </c>
      <c r="O112" s="239"/>
      <c r="P112" s="184"/>
    </row>
    <row r="113" spans="2:16" x14ac:dyDescent="0.3">
      <c r="B113" s="255" t="s">
        <v>451</v>
      </c>
      <c r="C113" s="171"/>
      <c r="D113" s="259">
        <v>0.87809999999999999</v>
      </c>
      <c r="E113" s="259">
        <v>0.87809999999999999</v>
      </c>
      <c r="F113" s="259">
        <v>0.87809999999999999</v>
      </c>
      <c r="G113" s="259">
        <v>0.87809999999999999</v>
      </c>
      <c r="H113" s="259">
        <v>0.87809999999999999</v>
      </c>
      <c r="I113" s="259">
        <v>0.87809999999999999</v>
      </c>
      <c r="J113" s="259">
        <v>0.87809999999999999</v>
      </c>
      <c r="K113" s="259">
        <v>0.87809999999999999</v>
      </c>
      <c r="L113" s="259">
        <v>0.87017</v>
      </c>
      <c r="M113" s="259">
        <v>0.87017</v>
      </c>
      <c r="N113" s="259">
        <v>0.87017</v>
      </c>
      <c r="O113" s="239"/>
      <c r="P113" s="184"/>
    </row>
    <row r="114" spans="2:16" x14ac:dyDescent="0.3">
      <c r="B114" s="255" t="s">
        <v>307</v>
      </c>
      <c r="C114" s="171"/>
      <c r="D114" s="260">
        <v>0.17</v>
      </c>
      <c r="E114" s="260">
        <v>0.17</v>
      </c>
      <c r="F114" s="260">
        <v>0.17</v>
      </c>
      <c r="G114" s="260">
        <v>0.17</v>
      </c>
      <c r="H114" s="260">
        <v>0.17</v>
      </c>
      <c r="I114" s="260">
        <v>0.17</v>
      </c>
      <c r="J114" s="260">
        <v>0.17</v>
      </c>
      <c r="K114" s="260">
        <v>0.17</v>
      </c>
      <c r="L114" s="260">
        <v>0.17</v>
      </c>
      <c r="M114" s="260">
        <v>0.17</v>
      </c>
      <c r="N114" s="260">
        <v>0.17</v>
      </c>
      <c r="O114" s="239"/>
      <c r="P114" s="184"/>
    </row>
    <row r="115" spans="2:16" x14ac:dyDescent="0.3">
      <c r="B115" s="255" t="s">
        <v>452</v>
      </c>
      <c r="C115" s="171"/>
      <c r="D115" s="260">
        <f>1.485%+6.8401%</f>
        <v>8.3250999999999992E-2</v>
      </c>
      <c r="E115" s="260">
        <f>1.2566%+5.7882%</f>
        <v>7.0447999999999997E-2</v>
      </c>
      <c r="F115" s="260">
        <v>4.5899999999999996E-2</v>
      </c>
      <c r="G115" s="260">
        <v>3.7879000000000003E-2</v>
      </c>
      <c r="H115" s="260">
        <f>0.788%+3.69297%</f>
        <v>4.4809699999999994E-2</v>
      </c>
      <c r="I115" s="260">
        <f>1.0845%+4.9955%</f>
        <v>6.08E-2</v>
      </c>
      <c r="J115" s="260">
        <f>1.0127%+4.6644%</f>
        <v>5.6770999999999995E-2</v>
      </c>
      <c r="K115" s="260">
        <f>1.0845%+4.9955%</f>
        <v>6.08E-2</v>
      </c>
      <c r="L115" s="260">
        <f>1.0845%+4.9955%</f>
        <v>6.08E-2</v>
      </c>
      <c r="M115" s="260">
        <f>1.0845%+4.9955%</f>
        <v>6.08E-2</v>
      </c>
      <c r="N115" s="260">
        <f>1.0845%+4.9955%</f>
        <v>6.08E-2</v>
      </c>
      <c r="O115" s="239"/>
      <c r="P115" s="184"/>
    </row>
    <row r="116" spans="2:16" x14ac:dyDescent="0.3">
      <c r="B116" s="255" t="s">
        <v>453</v>
      </c>
      <c r="C116" s="1"/>
      <c r="D116" s="261">
        <v>0.15690000000000001</v>
      </c>
      <c r="E116" s="261">
        <v>0.15690000000000001</v>
      </c>
      <c r="F116" s="261">
        <v>0.15690000000000001</v>
      </c>
      <c r="G116" s="261">
        <v>0.15690000000000001</v>
      </c>
      <c r="H116" s="261">
        <v>0.15690000000000001</v>
      </c>
      <c r="I116" s="261">
        <v>0.15690000000000001</v>
      </c>
      <c r="J116" s="261">
        <v>0.15690000000000001</v>
      </c>
      <c r="K116" s="261">
        <f>ROUND((592.08-(592.08*73.5%))/1000,4)</f>
        <v>0.15690000000000001</v>
      </c>
      <c r="L116" s="261">
        <v>0.14219999999999999</v>
      </c>
      <c r="M116" s="261">
        <v>0.14219999999999999</v>
      </c>
      <c r="N116" s="262">
        <f>ROUND((539.69-(539.69*73.65%))/1000,4)</f>
        <v>0.14219999999999999</v>
      </c>
      <c r="O116" s="239"/>
      <c r="P116" s="184"/>
    </row>
    <row r="117" spans="2:16" x14ac:dyDescent="0.3">
      <c r="B117" s="255" t="s">
        <v>454</v>
      </c>
      <c r="C117" s="1"/>
      <c r="D117" s="263">
        <v>4.4600000000000001E-2</v>
      </c>
      <c r="E117" s="263">
        <f>4.46/100</f>
        <v>4.4600000000000001E-2</v>
      </c>
      <c r="F117" s="263">
        <v>7.8700000000000006E-2</v>
      </c>
      <c r="G117" s="263">
        <v>7.8700000000000006E-2</v>
      </c>
      <c r="H117" s="263">
        <v>4.4600000000000001E-2</v>
      </c>
      <c r="I117" s="263">
        <v>4.4600000000000001E-2</v>
      </c>
      <c r="J117" s="263">
        <v>1.8849999999999999E-2</v>
      </c>
      <c r="K117" s="263">
        <v>0</v>
      </c>
      <c r="L117" s="263">
        <v>0</v>
      </c>
      <c r="M117" s="263">
        <v>0</v>
      </c>
      <c r="N117" s="264">
        <v>0</v>
      </c>
      <c r="O117" s="239"/>
      <c r="P117" s="184"/>
    </row>
    <row r="118" spans="2:16" x14ac:dyDescent="0.3">
      <c r="B118" s="215" t="s">
        <v>455</v>
      </c>
      <c r="C118" s="265"/>
      <c r="D118" s="266">
        <f t="shared" ref="D118:E118" si="25">((D113+D117)/(1-D114)/(1-D115))</f>
        <v>1.2126402613888336</v>
      </c>
      <c r="E118" s="266">
        <f t="shared" si="25"/>
        <v>1.1959382014001927</v>
      </c>
      <c r="F118" s="266">
        <f>((F113+F117)/(1-F114)/(1-F115))</f>
        <v>1.2082287855962159</v>
      </c>
      <c r="G118" s="266">
        <f>((G113+G117)/(1-G114)/(1-G115))</f>
        <v>1.1981560368574737</v>
      </c>
      <c r="H118" s="266">
        <f t="shared" ref="H118:N118" si="26">((H113+H117)/(1-H114)/(1-H115))</f>
        <v>1.1638379776134158</v>
      </c>
      <c r="I118" s="266">
        <f t="shared" si="26"/>
        <v>1.1836528396379384</v>
      </c>
      <c r="J118" s="266">
        <f t="shared" si="26"/>
        <v>1.1457054973950225</v>
      </c>
      <c r="K118" s="266">
        <f t="shared" si="26"/>
        <v>1.1264393177479939</v>
      </c>
      <c r="L118" s="266">
        <f t="shared" si="26"/>
        <v>1.1162665996182344</v>
      </c>
      <c r="M118" s="266">
        <f t="shared" si="26"/>
        <v>1.1162665996182344</v>
      </c>
      <c r="N118" s="266">
        <f t="shared" si="26"/>
        <v>1.1162665996182344</v>
      </c>
      <c r="O118" s="239"/>
      <c r="P118" s="184"/>
    </row>
    <row r="119" spans="2:16" x14ac:dyDescent="0.3">
      <c r="B119" s="215" t="s">
        <v>456</v>
      </c>
      <c r="C119" s="265"/>
      <c r="D119" s="266">
        <f t="shared" ref="D119:E119" si="27">D118*0.75</f>
        <v>0.90948019604162522</v>
      </c>
      <c r="E119" s="266">
        <f t="shared" si="27"/>
        <v>0.89695365105014457</v>
      </c>
      <c r="F119" s="266">
        <f>F118*0.75</f>
        <v>0.90617158919716201</v>
      </c>
      <c r="G119" s="266">
        <f>G118*0.75</f>
        <v>0.89861702764310536</v>
      </c>
      <c r="H119" s="266">
        <f t="shared" ref="H119:M119" si="28">H118*0.75</f>
        <v>0.87287848321006178</v>
      </c>
      <c r="I119" s="266">
        <f t="shared" si="28"/>
        <v>0.88773962972845388</v>
      </c>
      <c r="J119" s="266">
        <f t="shared" si="28"/>
        <v>0.85927912304626686</v>
      </c>
      <c r="K119" s="266">
        <f t="shared" si="28"/>
        <v>0.84482948831099547</v>
      </c>
      <c r="L119" s="266">
        <f t="shared" si="28"/>
        <v>0.83719994971367573</v>
      </c>
      <c r="M119" s="266">
        <f t="shared" si="28"/>
        <v>0.83719994971367573</v>
      </c>
      <c r="N119" s="266">
        <f>N118*0.75</f>
        <v>0.83719994971367573</v>
      </c>
      <c r="O119" s="239"/>
      <c r="P119" s="184"/>
    </row>
    <row r="120" spans="2:16" x14ac:dyDescent="0.3">
      <c r="B120" s="215" t="s">
        <v>457</v>
      </c>
      <c r="C120" s="265"/>
      <c r="D120" s="266">
        <f t="shared" ref="D120:H120" si="29">D118-D112</f>
        <v>0.46799026138883359</v>
      </c>
      <c r="E120" s="266">
        <f t="shared" si="29"/>
        <v>0.45128820140019266</v>
      </c>
      <c r="F120" s="266">
        <f t="shared" si="29"/>
        <v>0.4635787855962159</v>
      </c>
      <c r="G120" s="266">
        <f t="shared" si="29"/>
        <v>0.4535060368574737</v>
      </c>
      <c r="H120" s="266">
        <f t="shared" si="29"/>
        <v>0.41918797761341575</v>
      </c>
      <c r="I120" s="266">
        <f>I118-I112</f>
        <v>0.4390028396379384</v>
      </c>
      <c r="J120" s="266">
        <f t="shared" ref="J120:M120" si="30">J118-J112</f>
        <v>0.40105549739502244</v>
      </c>
      <c r="K120" s="266">
        <f t="shared" si="30"/>
        <v>0.38178931774799385</v>
      </c>
      <c r="L120" s="266">
        <f t="shared" si="30"/>
        <v>0.37834152278461042</v>
      </c>
      <c r="M120" s="266">
        <f t="shared" si="30"/>
        <v>0.37834152278461042</v>
      </c>
      <c r="N120" s="266">
        <f>N118-N112</f>
        <v>0.37834152278461042</v>
      </c>
      <c r="O120" s="239"/>
      <c r="P120" s="184"/>
    </row>
    <row r="121" spans="2:16" x14ac:dyDescent="0.3">
      <c r="B121" s="215" t="s">
        <v>458</v>
      </c>
      <c r="C121" s="180"/>
      <c r="D121" s="266">
        <f t="shared" ref="D121:M121" si="31">D120*0.3</f>
        <v>0.14039707841665008</v>
      </c>
      <c r="E121" s="266">
        <f t="shared" si="31"/>
        <v>0.13538646042005778</v>
      </c>
      <c r="F121" s="266">
        <f t="shared" si="31"/>
        <v>0.13907363567886477</v>
      </c>
      <c r="G121" s="266">
        <f t="shared" si="31"/>
        <v>0.13605181105724209</v>
      </c>
      <c r="H121" s="266">
        <f t="shared" si="31"/>
        <v>0.12575639328402471</v>
      </c>
      <c r="I121" s="266">
        <f t="shared" si="31"/>
        <v>0.1317008518913815</v>
      </c>
      <c r="J121" s="266">
        <f t="shared" si="31"/>
        <v>0.12031664921850672</v>
      </c>
      <c r="K121" s="266">
        <f t="shared" si="31"/>
        <v>0.11453679532439814</v>
      </c>
      <c r="L121" s="266">
        <f t="shared" si="31"/>
        <v>0.11350245683538313</v>
      </c>
      <c r="M121" s="266">
        <f t="shared" si="31"/>
        <v>0.11350245683538313</v>
      </c>
      <c r="N121" s="266">
        <f>N120*0.3</f>
        <v>0.11350245683538313</v>
      </c>
      <c r="O121" s="239"/>
      <c r="P121" s="184"/>
    </row>
    <row r="122" spans="2:16" x14ac:dyDescent="0.3">
      <c r="B122" s="215" t="s">
        <v>459</v>
      </c>
      <c r="C122" s="180"/>
      <c r="D122" s="267">
        <f t="shared" ref="D122:M122" si="32">D121*D96</f>
        <v>4249.5387695151649</v>
      </c>
      <c r="E122" s="267">
        <f t="shared" si="32"/>
        <v>4278.6183086550864</v>
      </c>
      <c r="F122" s="267">
        <f t="shared" si="32"/>
        <v>3120.2560900910098</v>
      </c>
      <c r="G122" s="267">
        <f t="shared" si="32"/>
        <v>2357.505781999891</v>
      </c>
      <c r="H122" s="267">
        <f t="shared" si="32"/>
        <v>1890.9988858118797</v>
      </c>
      <c r="I122" s="267">
        <f t="shared" si="32"/>
        <v>1625.0568114877565</v>
      </c>
      <c r="J122" s="267">
        <f t="shared" si="32"/>
        <v>2574.1747100299513</v>
      </c>
      <c r="K122" s="267">
        <f t="shared" si="32"/>
        <v>2818.406922547465</v>
      </c>
      <c r="L122" s="267">
        <f t="shared" si="32"/>
        <v>2798.2895708195356</v>
      </c>
      <c r="M122" s="267">
        <f t="shared" si="32"/>
        <v>2461.1872740184476</v>
      </c>
      <c r="N122" s="267">
        <f>N121*N96</f>
        <v>2983.525580374881</v>
      </c>
      <c r="O122" s="239"/>
      <c r="P122" s="184"/>
    </row>
    <row r="123" spans="2:16" x14ac:dyDescent="0.3">
      <c r="B123" s="215" t="s">
        <v>460</v>
      </c>
      <c r="C123" s="180"/>
      <c r="D123" s="268">
        <f t="shared" ref="D123:E123" si="33">D120-D121</f>
        <v>0.32759318297218354</v>
      </c>
      <c r="E123" s="268">
        <f t="shared" si="33"/>
        <v>0.3159017409801349</v>
      </c>
      <c r="F123" s="268">
        <f>F120-F121</f>
        <v>0.32450514991735113</v>
      </c>
      <c r="G123" s="268">
        <f t="shared" ref="G123:M123" si="34">G120-G121</f>
        <v>0.31745422580023164</v>
      </c>
      <c r="H123" s="268">
        <f t="shared" si="34"/>
        <v>0.29343158432939104</v>
      </c>
      <c r="I123" s="268">
        <f t="shared" si="34"/>
        <v>0.30730198774655693</v>
      </c>
      <c r="J123" s="268">
        <f t="shared" si="34"/>
        <v>0.28073884817651573</v>
      </c>
      <c r="K123" s="268">
        <f t="shared" si="34"/>
        <v>0.26725252242359571</v>
      </c>
      <c r="L123" s="268">
        <f t="shared" si="34"/>
        <v>0.26483906594922729</v>
      </c>
      <c r="M123" s="268">
        <f t="shared" si="34"/>
        <v>0.26483906594922729</v>
      </c>
      <c r="N123" s="268">
        <f>N120-N121</f>
        <v>0.26483906594922729</v>
      </c>
      <c r="O123" s="239"/>
      <c r="P123" s="184"/>
    </row>
    <row r="124" spans="2:16" x14ac:dyDescent="0.3">
      <c r="B124" s="215" t="s">
        <v>461</v>
      </c>
      <c r="C124" s="180"/>
      <c r="D124" s="269">
        <f t="shared" ref="D124:N124" si="35">IF(D$1&lt;=$E$1,(D$123/D$118),IF((D$123/D$118)&gt;=21%,21%,(D$123/D$118)))</f>
        <v>0.21</v>
      </c>
      <c r="E124" s="269">
        <f t="shared" si="35"/>
        <v>0.26414553913427991</v>
      </c>
      <c r="F124" s="269">
        <f t="shared" si="35"/>
        <v>0.26857922422136293</v>
      </c>
      <c r="G124" s="269">
        <f t="shared" si="35"/>
        <v>0.26495232343264008</v>
      </c>
      <c r="H124" s="269">
        <f t="shared" si="35"/>
        <v>0.25212408425707711</v>
      </c>
      <c r="I124" s="269">
        <f t="shared" si="35"/>
        <v>0.25962172138289802</v>
      </c>
      <c r="J124" s="269">
        <f t="shared" si="35"/>
        <v>0.24503578695819164</v>
      </c>
      <c r="K124" s="269">
        <f t="shared" si="35"/>
        <v>0.23725425614394724</v>
      </c>
      <c r="L124" s="269">
        <f t="shared" si="35"/>
        <v>0.23725431365571883</v>
      </c>
      <c r="M124" s="269">
        <f t="shared" si="35"/>
        <v>0.23725431365571883</v>
      </c>
      <c r="N124" s="269">
        <f t="shared" si="35"/>
        <v>0.23725431365571883</v>
      </c>
      <c r="O124" s="239"/>
      <c r="P124" s="184"/>
    </row>
    <row r="125" spans="2:16" x14ac:dyDescent="0.3">
      <c r="B125" s="270" t="s">
        <v>462</v>
      </c>
      <c r="C125" s="180"/>
      <c r="D125" s="267">
        <f>IF(D1&lt;$I$1,500*2+IF(COUNTIFS('Detalhe Por UC'!$AZ:$AZ,"&lt;&gt;"&amp;"",'Detalhe Por UC'!$R:$R,D$1)&gt;2000,(COUNTIFS('Detalhe Por UC'!$AZ:$AZ,"&lt;&gt;"&amp;"",'Detalhe Por UC'!$R:$R,D$1)-2000)*4.49+2000*4.99,IF(COUNTIFS('Detalhe Por UC'!$AZ:$AZ,"&lt;&gt;"&amp;"",'Detalhe Por UC'!$R:$R,D$1)&gt;=100,COUNTIFS('Detalhe Por UC'!$AZ:$AZ,"&lt;&gt;"&amp;"",'Detalhe Por UC'!$R:$R,D$1)*4.99,100*4.99)),500*2+IF(COUNTIFS('Detalhe Por UC'!$AZ:$AZ,"&lt;&gt;"&amp;"",'Detalhe Por UC'!$R:$R,D$1)&gt;2000,(COUNTIFS('Detalhe Por UC'!$AZ:$AZ,"&lt;&gt;"&amp;"",'Detalhe Por UC'!$R:$R,D$1)-2000)*4.49+2000*4.99,IF(COUNTIFS('Detalhe Por UC'!$AZ:$AZ,"&lt;&gt;"&amp;"",'Detalhe Por UC'!$R:$R,D$1)&gt;=100,COUNTIFS('Detalhe Por UC'!$AZ:$AZ,"&lt;&gt;"&amp;"",'Detalhe Por UC'!$R:$R,D$1)*4.99,100*4.99))+3500)</f>
        <v>4999</v>
      </c>
      <c r="E125" s="267">
        <f>IF(E1&lt;$I$1,500*2+IF(COUNTIFS('Detalhe Por UC'!$AZ:$AZ,"&lt;&gt;"&amp;"",'Detalhe Por UC'!$R:$R,E$1)&gt;2000,(COUNTIFS('Detalhe Por UC'!$AZ:$AZ,"&lt;&gt;"&amp;"",'Detalhe Por UC'!$R:$R,E$1)-2000)*4.49+2000*4.99,IF(COUNTIFS('Detalhe Por UC'!$AZ:$AZ,"&lt;&gt;"&amp;"",'Detalhe Por UC'!$R:$R,E$1)&gt;=100,COUNTIFS('Detalhe Por UC'!$AZ:$AZ,"&lt;&gt;"&amp;"",'Detalhe Por UC'!$R:$R,E$1)*4.99,100*4.99)),500*2+IF(COUNTIFS('Detalhe Por UC'!$AZ:$AZ,"&lt;&gt;"&amp;"",'Detalhe Por UC'!$R:$R,E$1)&gt;2000,(COUNTIFS('Detalhe Por UC'!$AZ:$AZ,"&lt;&gt;"&amp;"",'Detalhe Por UC'!$R:$R,E$1)-2000)*4.49+2000*4.99,IF(COUNTIFS('Detalhe Por UC'!$AZ:$AZ,"&lt;&gt;"&amp;"",'Detalhe Por UC'!$R:$R,E$1)&gt;=100,COUNTIFS('Detalhe Por UC'!$AZ:$AZ,"&lt;&gt;"&amp;"",'Detalhe Por UC'!$R:$R,E$1)*4.99,100*4.99))+3500)</f>
        <v>4999</v>
      </c>
      <c r="F125" s="267">
        <f>IF(F1&lt;$I$1,500*2+IF(COUNTIFS('Detalhe Por UC'!$AZ:$AZ,"&lt;&gt;"&amp;"",'Detalhe Por UC'!$R:$R,F$1)&gt;2000,(COUNTIFS('Detalhe Por UC'!$AZ:$AZ,"&lt;&gt;"&amp;"",'Detalhe Por UC'!$R:$R,F$1)-2000)*4.49+2000*4.99,IF(COUNTIFS('Detalhe Por UC'!$AZ:$AZ,"&lt;&gt;"&amp;"",'Detalhe Por UC'!$R:$R,F$1)&gt;=100,COUNTIFS('Detalhe Por UC'!$AZ:$AZ,"&lt;&gt;"&amp;"",'Detalhe Por UC'!$R:$R,F$1)*4.99,100*4.99)),500*2+IF(COUNTIFS('Detalhe Por UC'!$AZ:$AZ,"&lt;&gt;"&amp;"",'Detalhe Por UC'!$R:$R,F$1)&gt;2000,(COUNTIFS('Detalhe Por UC'!$AZ:$AZ,"&lt;&gt;"&amp;"",'Detalhe Por UC'!$R:$R,F$1)-2000)*4.49+2000*4.99,IF(COUNTIFS('Detalhe Por UC'!$AZ:$AZ,"&lt;&gt;"&amp;"",'Detalhe Por UC'!$R:$R,F$1)&gt;=100,COUNTIFS('Detalhe Por UC'!$AZ:$AZ,"&lt;&gt;"&amp;"",'Detalhe Por UC'!$R:$R,F$1)*4.99,100*4.99))+3500)</f>
        <v>4999</v>
      </c>
      <c r="G125" s="267">
        <f>IF(G1&lt;$I$1,500*2+IF(COUNTIFS('Detalhe Por UC'!$AZ:$AZ,"&lt;&gt;"&amp;"",'Detalhe Por UC'!$R:$R,G$1)&gt;2000,(COUNTIFS('Detalhe Por UC'!$AZ:$AZ,"&lt;&gt;"&amp;"",'Detalhe Por UC'!$R:$R,G$1)-2000)*4.49+2000*4.99,IF(COUNTIFS('Detalhe Por UC'!$AZ:$AZ,"&lt;&gt;"&amp;"",'Detalhe Por UC'!$R:$R,G$1)&gt;=100,COUNTIFS('Detalhe Por UC'!$AZ:$AZ,"&lt;&gt;"&amp;"",'Detalhe Por UC'!$R:$R,G$1)*4.99,100*4.99)),500*2+IF(COUNTIFS('Detalhe Por UC'!$AZ:$AZ,"&lt;&gt;"&amp;"",'Detalhe Por UC'!$R:$R,G$1)&gt;2000,(COUNTIFS('Detalhe Por UC'!$AZ:$AZ,"&lt;&gt;"&amp;"",'Detalhe Por UC'!$R:$R,G$1)-2000)*4.49+2000*4.99,IF(COUNTIFS('Detalhe Por UC'!$AZ:$AZ,"&lt;&gt;"&amp;"",'Detalhe Por UC'!$R:$R,G$1)&gt;=100,COUNTIFS('Detalhe Por UC'!$AZ:$AZ,"&lt;&gt;"&amp;"",'Detalhe Por UC'!$R:$R,G$1)*4.99,100*4.99))+3500)</f>
        <v>4999</v>
      </c>
      <c r="H125" s="267">
        <f>IF(H1&lt;$I$1,500*2+IF(COUNTIFS('Detalhe Por UC'!$AZ:$AZ,"&lt;&gt;"&amp;"",'Detalhe Por UC'!$R:$R,H$1)&gt;2000,(COUNTIFS('Detalhe Por UC'!$AZ:$AZ,"&lt;&gt;"&amp;"",'Detalhe Por UC'!$R:$R,H$1)-2000)*4.49+2000*4.99,IF(COUNTIFS('Detalhe Por UC'!$AZ:$AZ,"&lt;&gt;"&amp;"",'Detalhe Por UC'!$R:$R,H$1)&gt;=100,COUNTIFS('Detalhe Por UC'!$AZ:$AZ,"&lt;&gt;"&amp;"",'Detalhe Por UC'!$R:$R,H$1)*4.99,100*4.99)),500*2+IF(COUNTIFS('Detalhe Por UC'!$AZ:$AZ,"&lt;&gt;"&amp;"",'Detalhe Por UC'!$R:$R,H$1)&gt;2000,(COUNTIFS('Detalhe Por UC'!$AZ:$AZ,"&lt;&gt;"&amp;"",'Detalhe Por UC'!$R:$R,H$1)-2000)*4.49+2000*4.99,IF(COUNTIFS('Detalhe Por UC'!$AZ:$AZ,"&lt;&gt;"&amp;"",'Detalhe Por UC'!$R:$R,H$1)&gt;=100,COUNTIFS('Detalhe Por UC'!$AZ:$AZ,"&lt;&gt;"&amp;"",'Detalhe Por UC'!$R:$R,H$1)*4.99,100*4.99))+3500)</f>
        <v>4999</v>
      </c>
      <c r="I125" s="267">
        <f>IF(I1&lt;$I$1,500*2+IF(COUNTIFS('Detalhe Por UC'!$AZ:$AZ,"&lt;&gt;"&amp;"",'Detalhe Por UC'!$R:$R,I$1)&gt;2000,(COUNTIFS('Detalhe Por UC'!$AZ:$AZ,"&lt;&gt;"&amp;"",'Detalhe Por UC'!$R:$R,I$1)-2000)*4.49+2000*4.99,IF(COUNTIFS('Detalhe Por UC'!$AZ:$AZ,"&lt;&gt;"&amp;"",'Detalhe Por UC'!$R:$R,I$1)&gt;=100,COUNTIFS('Detalhe Por UC'!$AZ:$AZ,"&lt;&gt;"&amp;"",'Detalhe Por UC'!$R:$R,I$1)*4.99,100*4.99)),500*2+IF(COUNTIFS('Detalhe Por UC'!$AZ:$AZ,"&lt;&gt;"&amp;"",'Detalhe Por UC'!$R:$R,I$1)&gt;2000,(COUNTIFS('Detalhe Por UC'!$AZ:$AZ,"&lt;&gt;"&amp;"",'Detalhe Por UC'!$R:$R,I$1)-2000)*4.49+2000*4.99,IF(COUNTIFS('Detalhe Por UC'!$AZ:$AZ,"&lt;&gt;"&amp;"",'Detalhe Por UC'!$R:$R,I$1)&gt;=100,COUNTIFS('Detalhe Por UC'!$AZ:$AZ,"&lt;&gt;"&amp;"",'Detalhe Por UC'!$R:$R,I$1)*4.99,100*4.99))+3500)</f>
        <v>4999</v>
      </c>
      <c r="J125" s="267">
        <f>IF(J1&lt;$I$1,500*2+IF(COUNTIFS('Detalhe Por UC'!$AZ:$AZ,"&lt;&gt;"&amp;"",'Detalhe Por UC'!$R:$R,J$1)&gt;2000,(COUNTIFS('Detalhe Por UC'!$AZ:$AZ,"&lt;&gt;"&amp;"",'Detalhe Por UC'!$R:$R,J$1)-2000)*4.49+2000*4.99,IF(COUNTIFS('Detalhe Por UC'!$AZ:$AZ,"&lt;&gt;"&amp;"",'Detalhe Por UC'!$R:$R,J$1)&gt;=100,COUNTIFS('Detalhe Por UC'!$AZ:$AZ,"&lt;&gt;"&amp;"",'Detalhe Por UC'!$R:$R,J$1)*4.99,100*4.99)),500*2+IF(COUNTIFS('Detalhe Por UC'!$AZ:$AZ,"&lt;&gt;"&amp;"",'Detalhe Por UC'!$R:$R,J$1)&gt;2000,(COUNTIFS('Detalhe Por UC'!$AZ:$AZ,"&lt;&gt;"&amp;"",'Detalhe Por UC'!$R:$R,J$1)-2000)*4.49+2000*4.99,IF(COUNTIFS('Detalhe Por UC'!$AZ:$AZ,"&lt;&gt;"&amp;"",'Detalhe Por UC'!$R:$R,J$1)&gt;=100,COUNTIFS('Detalhe Por UC'!$AZ:$AZ,"&lt;&gt;"&amp;"",'Detalhe Por UC'!$R:$R,J$1)*4.99,100*4.99))+3500)</f>
        <v>1499</v>
      </c>
      <c r="K125" s="267">
        <f>IF(K1&lt;$I$1,500*2+IF(COUNTIFS('Detalhe Por UC'!$AZ:$AZ,"&lt;&gt;"&amp;"",'Detalhe Por UC'!$R:$R,K$1)&gt;2000,(COUNTIFS('Detalhe Por UC'!$AZ:$AZ,"&lt;&gt;"&amp;"",'Detalhe Por UC'!$R:$R,K$1)-2000)*4.49+2000*4.99,IF(COUNTIFS('Detalhe Por UC'!$AZ:$AZ,"&lt;&gt;"&amp;"",'Detalhe Por UC'!$R:$R,K$1)&gt;=100,COUNTIFS('Detalhe Por UC'!$AZ:$AZ,"&lt;&gt;"&amp;"",'Detalhe Por UC'!$R:$R,K$1)*4.99,100*4.99)),500*2+IF(COUNTIFS('Detalhe Por UC'!$AZ:$AZ,"&lt;&gt;"&amp;"",'Detalhe Por UC'!$R:$R,K$1)&gt;2000,(COUNTIFS('Detalhe Por UC'!$AZ:$AZ,"&lt;&gt;"&amp;"",'Detalhe Por UC'!$R:$R,K$1)-2000)*4.49+2000*4.99,IF(COUNTIFS('Detalhe Por UC'!$AZ:$AZ,"&lt;&gt;"&amp;"",'Detalhe Por UC'!$R:$R,K$1)&gt;=100,COUNTIFS('Detalhe Por UC'!$AZ:$AZ,"&lt;&gt;"&amp;"",'Detalhe Por UC'!$R:$R,K$1)*4.99,100*4.99))+3500)</f>
        <v>1499</v>
      </c>
      <c r="L125" s="267">
        <f>IF(L1&lt;$I$1,500*2+IF(COUNTIFS('Detalhe Por UC'!$AZ:$AZ,"&lt;&gt;"&amp;"",'Detalhe Por UC'!$R:$R,L$1)&gt;2000,(COUNTIFS('Detalhe Por UC'!$AZ:$AZ,"&lt;&gt;"&amp;"",'Detalhe Por UC'!$R:$R,L$1)-2000)*4.49+2000*4.99,IF(COUNTIFS('Detalhe Por UC'!$AZ:$AZ,"&lt;&gt;"&amp;"",'Detalhe Por UC'!$R:$R,L$1)&gt;=100,COUNTIFS('Detalhe Por UC'!$AZ:$AZ,"&lt;&gt;"&amp;"",'Detalhe Por UC'!$R:$R,L$1)*4.99,100*4.99)),500*2+IF(COUNTIFS('Detalhe Por UC'!$AZ:$AZ,"&lt;&gt;"&amp;"",'Detalhe Por UC'!$R:$R,L$1)&gt;2000,(COUNTIFS('Detalhe Por UC'!$AZ:$AZ,"&lt;&gt;"&amp;"",'Detalhe Por UC'!$R:$R,L$1)-2000)*4.49+2000*4.99,IF(COUNTIFS('Detalhe Por UC'!$AZ:$AZ,"&lt;&gt;"&amp;"",'Detalhe Por UC'!$R:$R,L$1)&gt;=100,COUNTIFS('Detalhe Por UC'!$AZ:$AZ,"&lt;&gt;"&amp;"",'Detalhe Por UC'!$R:$R,L$1)*4.99,100*4.99))+3500)</f>
        <v>1499</v>
      </c>
      <c r="M125" s="267">
        <f>IF(M1&lt;$I$1,500*2+IF(COUNTIFS('Detalhe Por UC'!$AZ:$AZ,"&lt;&gt;"&amp;"",'Detalhe Por UC'!$R:$R,M$1)&gt;2000,(COUNTIFS('Detalhe Por UC'!$AZ:$AZ,"&lt;&gt;"&amp;"",'Detalhe Por UC'!$R:$R,M$1)-2000)*4.49+2000*4.99,IF(COUNTIFS('Detalhe Por UC'!$AZ:$AZ,"&lt;&gt;"&amp;"",'Detalhe Por UC'!$R:$R,M$1)&gt;=100,COUNTIFS('Detalhe Por UC'!$AZ:$AZ,"&lt;&gt;"&amp;"",'Detalhe Por UC'!$R:$R,M$1)*4.99,100*4.99)),500*2+IF(COUNTIFS('Detalhe Por UC'!$AZ:$AZ,"&lt;&gt;"&amp;"",'Detalhe Por UC'!$R:$R,M$1)&gt;2000,(COUNTIFS('Detalhe Por UC'!$AZ:$AZ,"&lt;&gt;"&amp;"",'Detalhe Por UC'!$R:$R,M$1)-2000)*4.49+2000*4.99,IF(COUNTIFS('Detalhe Por UC'!$AZ:$AZ,"&lt;&gt;"&amp;"",'Detalhe Por UC'!$R:$R,M$1)&gt;=100,COUNTIFS('Detalhe Por UC'!$AZ:$AZ,"&lt;&gt;"&amp;"",'Detalhe Por UC'!$R:$R,M$1)*4.99,100*4.99))+3500)</f>
        <v>1499</v>
      </c>
      <c r="N125" s="267">
        <f>IF(N1&lt;$I$1,500*2+IF(COUNTIFS('Detalhe Por UC'!$AZ:$AZ,"&lt;&gt;"&amp;"",'Detalhe Por UC'!$R:$R,N$1)&gt;2000,(COUNTIFS('Detalhe Por UC'!$AZ:$AZ,"&lt;&gt;"&amp;"",'Detalhe Por UC'!$R:$R,N$1)-2000)*4.49+2000*4.99,IF(COUNTIFS('Detalhe Por UC'!$AZ:$AZ,"&lt;&gt;"&amp;"",'Detalhe Por UC'!$R:$R,N$1)&gt;=100,COUNTIFS('Detalhe Por UC'!$AZ:$AZ,"&lt;&gt;"&amp;"",'Detalhe Por UC'!$R:$R,N$1)*4.99,100*4.99)),500*2+IF(COUNTIFS('Detalhe Por UC'!$AZ:$AZ,"&lt;&gt;"&amp;"",'Detalhe Por UC'!$R:$R,N$1)&gt;2000,(COUNTIFS('Detalhe Por UC'!$AZ:$AZ,"&lt;&gt;"&amp;"",'Detalhe Por UC'!$R:$R,N$1)-2000)*4.49+2000*4.99,IF(COUNTIFS('Detalhe Por UC'!$AZ:$AZ,"&lt;&gt;"&amp;"",'Detalhe Por UC'!$R:$R,N$1)&gt;=100,COUNTIFS('Detalhe Por UC'!$AZ:$AZ,"&lt;&gt;"&amp;"",'Detalhe Por UC'!$R:$R,N$1)*4.99,100*4.99))+3500)</f>
        <v>1499</v>
      </c>
      <c r="O125" s="239">
        <v>8994</v>
      </c>
      <c r="P125" s="271"/>
    </row>
    <row r="126" spans="2:16" x14ac:dyDescent="0.3">
      <c r="B126" s="270" t="s">
        <v>463</v>
      </c>
      <c r="C126" s="180"/>
      <c r="D126" s="267">
        <f t="shared" ref="D126:N126" si="36">(D$112*(D$17))</f>
        <v>9156.9610499999999</v>
      </c>
      <c r="E126" s="267">
        <f t="shared" si="36"/>
        <v>9875.5483000000004</v>
      </c>
      <c r="F126" s="267">
        <f t="shared" si="36"/>
        <v>9107.0694999999996</v>
      </c>
      <c r="G126" s="267">
        <f t="shared" si="36"/>
        <v>5120.9580500000002</v>
      </c>
      <c r="H126" s="267">
        <f t="shared" si="36"/>
        <v>6143.3625000000002</v>
      </c>
      <c r="I126" s="267">
        <f t="shared" si="36"/>
        <v>12982.2281</v>
      </c>
      <c r="J126" s="267">
        <f t="shared" si="36"/>
        <v>5791.8877000000002</v>
      </c>
      <c r="K126" s="267">
        <f t="shared" si="36"/>
        <v>8132.3226500000001</v>
      </c>
      <c r="L126" s="267">
        <f t="shared" si="36"/>
        <v>8883.8799999999992</v>
      </c>
      <c r="M126" s="267">
        <f t="shared" si="36"/>
        <v>9348.0348733283481</v>
      </c>
      <c r="N126" s="267">
        <f t="shared" si="36"/>
        <v>10237.972515989699</v>
      </c>
      <c r="O126" s="239"/>
      <c r="P126" s="184"/>
    </row>
    <row r="127" spans="2:16" x14ac:dyDescent="0.3">
      <c r="B127" s="270" t="s">
        <v>464</v>
      </c>
      <c r="C127" s="180"/>
      <c r="D127" s="267">
        <f t="shared" ref="D127:N127" si="37">((D112-D116)*D53)</f>
        <v>8187.9452499999998</v>
      </c>
      <c r="E127" s="267">
        <f t="shared" si="37"/>
        <v>8092.1419999999998</v>
      </c>
      <c r="F127" s="267">
        <f t="shared" si="37"/>
        <v>7105.8975</v>
      </c>
      <c r="G127" s="267">
        <f t="shared" si="37"/>
        <v>3621.1277500000001</v>
      </c>
      <c r="H127" s="267">
        <f t="shared" si="37"/>
        <v>5398.4837500000003</v>
      </c>
      <c r="I127" s="267">
        <f t="shared" si="37"/>
        <v>10132.222250000001</v>
      </c>
      <c r="J127" s="267">
        <f t="shared" si="37"/>
        <v>4662.62075</v>
      </c>
      <c r="K127" s="267">
        <f t="shared" si="37"/>
        <v>6077.9227499999997</v>
      </c>
      <c r="L127" s="267">
        <f t="shared" si="37"/>
        <v>7174.317100307333</v>
      </c>
      <c r="M127" s="267">
        <f t="shared" si="37"/>
        <v>8617.7589614752051</v>
      </c>
      <c r="N127" s="267">
        <f t="shared" si="37"/>
        <v>9827.6765925242944</v>
      </c>
      <c r="O127" s="239"/>
      <c r="P127" s="184"/>
    </row>
    <row r="128" spans="2:16" ht="14.7" customHeight="1" x14ac:dyDescent="0.3">
      <c r="B128" s="28"/>
      <c r="H128" s="272"/>
      <c r="I128" s="272"/>
      <c r="J128" s="272"/>
      <c r="K128" s="273"/>
      <c r="L128" s="274"/>
      <c r="M128" s="272"/>
      <c r="N128" s="272"/>
    </row>
    <row r="129" spans="1:16" x14ac:dyDescent="0.3">
      <c r="B129" s="186" t="s">
        <v>465</v>
      </c>
      <c r="C129" s="230"/>
      <c r="D129" s="230"/>
      <c r="E129" s="230"/>
      <c r="F129" s="230"/>
      <c r="G129" s="230"/>
      <c r="H129" s="230"/>
      <c r="I129" s="230"/>
      <c r="J129" s="230"/>
      <c r="K129" s="230"/>
      <c r="L129" s="230"/>
      <c r="M129" s="230"/>
      <c r="N129" s="230"/>
    </row>
    <row r="130" spans="1:16" x14ac:dyDescent="0.3">
      <c r="B130" s="275" t="s">
        <v>466</v>
      </c>
      <c r="C130" s="276"/>
      <c r="D130" s="277">
        <f>SUMIFS('Detalhe Por UC'!$BE:$BE,
'Detalhe Por UC'!$R:$R,'Resumo Operacional'!D1)</f>
        <v>42249.909490361453</v>
      </c>
      <c r="E130" s="277">
        <f>SUMIFS('Detalhe Por UC'!$BE:$BE,
'Detalhe Por UC'!$R:$R,'Resumo Operacional'!E1)</f>
        <v>43286.022703422743</v>
      </c>
      <c r="F130" s="277">
        <f>SUMIFS('Detalhe Por UC'!$BE:$BE,
'Detalhe Por UC'!$R:$R,'Resumo Operacional'!F1)</f>
        <v>32061.748992680365</v>
      </c>
      <c r="G130" s="277">
        <f>SUMIFS('Detalhe Por UC'!$BE:$BE,
'Detalhe Por UC'!$R:$R,'Resumo Operacional'!G1)</f>
        <v>27118.004168754302</v>
      </c>
      <c r="H130" s="277">
        <f>SUMIFS('Detalhe Por UC'!$BE:$BE,
'Detalhe Por UC'!$R:$R,'Resumo Operacional'!H1)</f>
        <v>25205.869950148823</v>
      </c>
      <c r="I130" s="277">
        <f>SUMIFS('Detalhe Por UC'!$BE:$BE,
'Detalhe Por UC'!$R:$R,'Resumo Operacional'!I1)</f>
        <v>32891.327632313485</v>
      </c>
      <c r="J130" s="277">
        <f>SUMIFS('Detalhe Por UC'!$BE:$BE,
'Detalhe Por UC'!$R:$R,'Resumo Operacional'!J1)</f>
        <v>37658.012122944507</v>
      </c>
      <c r="K130" s="277">
        <f>SUMIFS('Detalhe Por UC'!$BE:$BE,
'Detalhe Por UC'!$R:$R,'Resumo Operacional'!K1)</f>
        <v>41891.028966450009</v>
      </c>
      <c r="L130" s="277">
        <f>SUMIFS('Detalhe Por UC'!$BE:$BE,
'Detalhe Por UC'!$R:$R,'Resumo Operacional'!L1)</f>
        <v>53053.782443897035</v>
      </c>
      <c r="M130" s="277">
        <f>SUMIFS('Detalhe Por UC'!$BE:$BE,
'Detalhe Por UC'!$R:$R,'Resumo Operacional'!M1)</f>
        <v>49017.497237903211</v>
      </c>
      <c r="N130" s="277">
        <f>SUMIFS('Detalhe Por UC'!$BE:$BE,
'Detalhe Por UC'!$R:$R,'Resumo Operacional'!N1)</f>
        <v>44810.522500000006</v>
      </c>
    </row>
    <row r="131" spans="1:16" x14ac:dyDescent="0.3">
      <c r="B131" s="250" t="s">
        <v>467</v>
      </c>
      <c r="C131" s="180"/>
      <c r="D131" s="278">
        <f>SUMIFS('Detalhe Por UC'!$BD:$BD,
'Detalhe Por UC'!$R:$R,'Resumo Operacional'!D1)</f>
        <v>49429.782729720369</v>
      </c>
      <c r="E131" s="278">
        <f>SUMIFS('Detalhe Por UC'!$BD:$BD,
'Detalhe Por UC'!$R:$R,'Resumo Operacional'!E1)</f>
        <v>53270.167972542251</v>
      </c>
      <c r="F131" s="278">
        <f>SUMIFS('Detalhe Por UC'!$BD:$BD,
'Detalhe Por UC'!$R:$R,'Resumo Operacional'!F1)</f>
        <v>38871.382523542758</v>
      </c>
      <c r="G131" s="278">
        <f>SUMIFS('Detalhe Por UC'!$BD:$BD,
'Detalhe Por UC'!$R:$R,'Resumo Operacional'!G1)</f>
        <v>31397.288893982717</v>
      </c>
      <c r="H131" s="278">
        <f>SUMIFS('Detalhe Por UC'!$BD:$BD,
'Detalhe Por UC'!$R:$R,'Resumo Operacional'!H1)</f>
        <v>28928.964061963168</v>
      </c>
      <c r="I131" s="278">
        <f>SUMIFS('Detalhe Por UC'!$BD:$BD,
'Detalhe Por UC'!$R:$R,'Resumo Operacional'!I1)</f>
        <v>36093.460420831856</v>
      </c>
      <c r="J131" s="278">
        <f>SUMIFS('Detalhe Por UC'!$BD:$BD,
'Detalhe Por UC'!$R:$R,'Resumo Operacional'!J1)</f>
        <v>43237.705394695229</v>
      </c>
      <c r="K131" s="278">
        <f>SUMIFS('Detalhe Por UC'!$BD:$BD,
'Detalhe Por UC'!$R:$R,'Resumo Operacional'!K1)</f>
        <v>48224.589999999989</v>
      </c>
      <c r="L131" s="278">
        <f>SUMIFS('Detalhe Por UC'!$BD:$BD,
'Detalhe Por UC'!$R:$R,'Resumo Operacional'!L1)</f>
        <v>59517.450000000019</v>
      </c>
      <c r="M131" s="278">
        <f>SUMIFS('Detalhe Por UC'!$BD:$BD,
'Detalhe Por UC'!$R:$R,'Resumo Operacional'!M1)</f>
        <v>54688.160000000011</v>
      </c>
      <c r="N131" s="278">
        <f>SUMIFS('Detalhe Por UC'!$BD:$BD,
'Detalhe Por UC'!$R:$R,'Resumo Operacional'!N1)</f>
        <v>51789.44999999999</v>
      </c>
    </row>
    <row r="132" spans="1:16" x14ac:dyDescent="0.3">
      <c r="B132" s="250" t="s">
        <v>468</v>
      </c>
      <c r="C132" s="180"/>
      <c r="D132" s="279">
        <f t="shared" ref="D132:N132" si="38">D131-D130</f>
        <v>7179.8732393589162</v>
      </c>
      <c r="E132" s="279">
        <f t="shared" si="38"/>
        <v>9984.1452691195082</v>
      </c>
      <c r="F132" s="279">
        <f t="shared" si="38"/>
        <v>6809.6335308623929</v>
      </c>
      <c r="G132" s="279">
        <f t="shared" si="38"/>
        <v>4279.2847252284155</v>
      </c>
      <c r="H132" s="279">
        <f t="shared" si="38"/>
        <v>3723.0941118143455</v>
      </c>
      <c r="I132" s="279">
        <f t="shared" si="38"/>
        <v>3202.1327885183709</v>
      </c>
      <c r="J132" s="279">
        <f t="shared" si="38"/>
        <v>5579.6932717507225</v>
      </c>
      <c r="K132" s="279">
        <f t="shared" si="38"/>
        <v>6333.5610335499805</v>
      </c>
      <c r="L132" s="279">
        <f t="shared" si="38"/>
        <v>6463.6675561029842</v>
      </c>
      <c r="M132" s="279">
        <f t="shared" si="38"/>
        <v>5670.6627620967993</v>
      </c>
      <c r="N132" s="279">
        <f t="shared" si="38"/>
        <v>6978.9274999999834</v>
      </c>
    </row>
    <row r="133" spans="1:16" x14ac:dyDescent="0.3">
      <c r="B133" s="250" t="s">
        <v>469</v>
      </c>
      <c r="C133" s="180"/>
      <c r="D133" s="279">
        <f t="shared" ref="D133:M133" si="39">D$121*(D$96)</f>
        <v>4249.5387695151649</v>
      </c>
      <c r="E133" s="279">
        <f t="shared" si="39"/>
        <v>4278.6183086550864</v>
      </c>
      <c r="F133" s="279">
        <f t="shared" si="39"/>
        <v>3120.2560900910098</v>
      </c>
      <c r="G133" s="279">
        <f t="shared" si="39"/>
        <v>2357.505781999891</v>
      </c>
      <c r="H133" s="279">
        <f t="shared" si="39"/>
        <v>1890.9988858118797</v>
      </c>
      <c r="I133" s="279">
        <f t="shared" si="39"/>
        <v>1625.0568114877565</v>
      </c>
      <c r="J133" s="279">
        <f t="shared" si="39"/>
        <v>2574.1747100299513</v>
      </c>
      <c r="K133" s="279">
        <f t="shared" si="39"/>
        <v>2818.406922547465</v>
      </c>
      <c r="L133" s="279">
        <f t="shared" si="39"/>
        <v>2798.2895708195356</v>
      </c>
      <c r="M133" s="279">
        <f t="shared" si="39"/>
        <v>2461.1872740184476</v>
      </c>
      <c r="N133" s="279">
        <f>N$121*(N$96)</f>
        <v>2983.525580374881</v>
      </c>
    </row>
    <row r="134" spans="1:16" x14ac:dyDescent="0.3">
      <c r="B134" s="250" t="s">
        <v>470</v>
      </c>
      <c r="C134" s="180"/>
      <c r="D134" s="280">
        <f t="shared" ref="D134:N134" si="40">D132/D131</f>
        <v>0.14525399147752907</v>
      </c>
      <c r="E134" s="280">
        <f t="shared" si="40"/>
        <v>0.18742470033632649</v>
      </c>
      <c r="F134" s="280">
        <f t="shared" si="40"/>
        <v>0.1751837235719127</v>
      </c>
      <c r="G134" s="280">
        <f t="shared" si="40"/>
        <v>0.1362947208492431</v>
      </c>
      <c r="H134" s="280">
        <f t="shared" si="40"/>
        <v>0.12869780279168733</v>
      </c>
      <c r="I134" s="280">
        <f t="shared" si="40"/>
        <v>8.8717810683239848E-2</v>
      </c>
      <c r="J134" s="280">
        <f t="shared" si="40"/>
        <v>0.12904693301405598</v>
      </c>
      <c r="K134" s="280">
        <f t="shared" si="40"/>
        <v>0.13133467870955423</v>
      </c>
      <c r="L134" s="280">
        <f t="shared" si="40"/>
        <v>0.10860121789665018</v>
      </c>
      <c r="M134" s="280">
        <f t="shared" si="40"/>
        <v>0.10369086767769839</v>
      </c>
      <c r="N134" s="280">
        <f t="shared" si="40"/>
        <v>0.1347557755488808</v>
      </c>
      <c r="P134" t="s">
        <v>276</v>
      </c>
    </row>
    <row r="135" spans="1:16" x14ac:dyDescent="0.3">
      <c r="A135" s="281"/>
      <c r="B135" s="282" t="s">
        <v>471</v>
      </c>
      <c r="C135" s="276"/>
      <c r="D135" s="283">
        <f t="shared" ref="D135:N135" si="41">D100/D96</f>
        <v>0.89236154780682231</v>
      </c>
      <c r="E135" s="283">
        <f t="shared" si="41"/>
        <v>0.81366999029910914</v>
      </c>
      <c r="F135" s="283">
        <f t="shared" si="41"/>
        <v>0.82655771940989398</v>
      </c>
      <c r="G135" s="283">
        <f t="shared" si="41"/>
        <v>0.84596426386455581</v>
      </c>
      <c r="H135" s="283">
        <f t="shared" si="41"/>
        <v>0.83172241472027764</v>
      </c>
      <c r="I135" s="283">
        <f t="shared" si="41"/>
        <v>0.83430559160495099</v>
      </c>
      <c r="J135" s="283">
        <f t="shared" si="41"/>
        <v>0.78238279108446818</v>
      </c>
      <c r="K135" s="283">
        <f t="shared" si="41"/>
        <v>0.77216576992928809</v>
      </c>
      <c r="L135" s="283">
        <f t="shared" si="41"/>
        <v>0.78652562133158832</v>
      </c>
      <c r="M135" s="283">
        <f t="shared" si="41"/>
        <v>0.78454105729064405</v>
      </c>
      <c r="N135" s="283">
        <f t="shared" si="41"/>
        <v>0.79649937228943135</v>
      </c>
    </row>
    <row r="136" spans="1:16" x14ac:dyDescent="0.3">
      <c r="A136" s="284"/>
      <c r="B136" s="285" t="s">
        <v>472</v>
      </c>
      <c r="C136" s="180"/>
      <c r="D136" s="286">
        <f>SUMIFS('Detalhe Por UC'!$BU:$BU,'Detalhe Por UC'!$R:$R,'Resumo Operacional'!D$1)/D$96</f>
        <v>1.1295715795023065</v>
      </c>
      <c r="E136" s="286">
        <f>SUMIFS('Detalhe Por UC'!$BU:$BU,'Detalhe Por UC'!$R:$R,'Resumo Operacional'!E$1)/E$96</f>
        <v>1.1295939617296544</v>
      </c>
      <c r="F136" s="286">
        <f>SUMIFS('Detalhe Por UC'!$BU:$BU,'Detalhe Por UC'!$R:$R,'Resumo Operacional'!F$1)/F$96</f>
        <v>1.1300714264370995</v>
      </c>
      <c r="G136" s="286">
        <f>SUMIFS('Detalhe Por UC'!$BU:$BU,'Detalhe Por UC'!$R:$R,'Resumo Operacional'!G$1)/G$96</f>
        <v>1.0929220619502209</v>
      </c>
      <c r="H136" s="286">
        <f>SUMIFS('Detalhe Por UC'!$BU:$BU,'Detalhe Por UC'!$R:$R,'Resumo Operacional'!H$1)/H$96</f>
        <v>1.0793179531797015</v>
      </c>
      <c r="I136" s="286">
        <f>SUMIFS('Detalhe Por UC'!$BU:$BU,'Detalhe Por UC'!$R:$R,'Resumo Operacional'!I$1)/I$96</f>
        <v>1.093818744090433</v>
      </c>
      <c r="J136" s="286">
        <f>SUMIFS('Detalhe Por UC'!$BU:$BU,'Detalhe Por UC'!$R:$R,'Resumo Operacional'!J$1)/J$96</f>
        <v>1.0431770547792907</v>
      </c>
      <c r="K136" s="286">
        <f>SUMIFS('Detalhe Por UC'!$BU:$BU,'Detalhe Por UC'!$R:$R,'Resumo Operacional'!K$1)/K$96</f>
        <v>1.0295543599057182</v>
      </c>
      <c r="L136" s="286">
        <f>SUMIFS('Detalhe Por UC'!$BU:$BU,'Detalhe Por UC'!$R:$R,'Resumo Operacional'!L$1)/L$96</f>
        <v>1.0487008284421182</v>
      </c>
      <c r="M136" s="286">
        <f>SUMIFS('Detalhe Por UC'!$BU:$BU,'Detalhe Por UC'!$R:$R,'Resumo Operacional'!M$1)/M$96</f>
        <v>1.0460547430541918</v>
      </c>
      <c r="N136" s="286">
        <f>SUMIFS('Detalhe Por UC'!$BU:$BU,'Detalhe Por UC'!$R:$R,'Resumo Operacional'!N$1)/N$96</f>
        <v>1.0619991630525756</v>
      </c>
    </row>
    <row r="137" spans="1:16" x14ac:dyDescent="0.3">
      <c r="A137" s="287"/>
      <c r="B137" s="288" t="s">
        <v>473</v>
      </c>
      <c r="C137" s="289"/>
      <c r="D137" s="290">
        <f>SUMIFS('Detalhe Por UC'!$BT:$BT,'Detalhe Por UC'!$R:$R,'Resumo Operacional'!D$1)/D$96</f>
        <v>1.2048392146563438</v>
      </c>
      <c r="E137" s="290">
        <f>SUMIFS('Detalhe Por UC'!$BT:$BT,'Detalhe Por UC'!$R:$R,'Resumo Operacional'!E$1)/E$96</f>
        <v>1.208934406578847</v>
      </c>
      <c r="F137" s="290">
        <f>SUMIFS('Detalhe Por UC'!$BT:$BT,'Detalhe Por UC'!$R:$R,'Resumo Operacional'!F$1)/F$96</f>
        <v>1.201247204730082</v>
      </c>
      <c r="G137" s="290">
        <f>SUMIFS('Detalhe Por UC'!$BT:$BT,'Detalhe Por UC'!$R:$R,'Resumo Operacional'!G$1)/G$96</f>
        <v>1.1700578197590359</v>
      </c>
      <c r="H137" s="290">
        <f>SUMIFS('Detalhe Por UC'!$BT:$BT,'Detalhe Por UC'!$R:$R,'Resumo Operacional'!H$1)/H$96</f>
        <v>1.1602242556258073</v>
      </c>
      <c r="I137" s="290">
        <f>SUMIFS('Detalhe Por UC'!$BT:$BT,'Detalhe Por UC'!$R:$R,'Resumo Operacional'!I$1)/I$96</f>
        <v>1.1687351252953575</v>
      </c>
      <c r="J137" s="290">
        <f>SUMIFS('Detalhe Por UC'!$BT:$BT,'Detalhe Por UC'!$R:$R,'Resumo Operacional'!J$1)/J$96</f>
        <v>1.1305217467679871</v>
      </c>
      <c r="K137" s="290">
        <f>SUMIFS('Detalhe Por UC'!$BT:$BT,'Detalhe Por UC'!$R:$R,'Resumo Operacional'!K$1)/K$96</f>
        <v>1.1181547162283771</v>
      </c>
      <c r="L137" s="290">
        <f>SUMIFS('Detalhe Por UC'!$BT:$BT,'Detalhe Por UC'!$R:$R,'Resumo Operacional'!L$1)/L$96</f>
        <v>1.1162578055896837</v>
      </c>
      <c r="M137" s="290">
        <f>SUMIFS('Detalhe Por UC'!$BT:$BT,'Detalhe Por UC'!$R:$R,'Resumo Operacional'!M$1)/M$96</f>
        <v>1.1162582852259988</v>
      </c>
      <c r="N137" s="290">
        <f>SUMIFS('Detalhe Por UC'!$BT:$BT,'Detalhe Por UC'!$R:$R,'Resumo Operacional'!N$1)/N$96</f>
        <v>1.1162565601450105</v>
      </c>
    </row>
    <row r="138" spans="1:16" x14ac:dyDescent="0.3">
      <c r="B138" s="282" t="s">
        <v>474</v>
      </c>
      <c r="C138" s="291"/>
      <c r="D138" s="280">
        <f t="shared" ref="D138:N138" si="42">1-D135/D136</f>
        <v>0.20999999999999985</v>
      </c>
      <c r="E138" s="280">
        <f t="shared" si="42"/>
        <v>0.27967923177173937</v>
      </c>
      <c r="F138" s="280">
        <f t="shared" si="42"/>
        <v>0.26857922422136316</v>
      </c>
      <c r="G138" s="280">
        <f t="shared" si="42"/>
        <v>0.22596103298069692</v>
      </c>
      <c r="H138" s="280">
        <f t="shared" si="42"/>
        <v>0.22940000000000027</v>
      </c>
      <c r="I138" s="280">
        <f t="shared" si="42"/>
        <v>0.23725425614394702</v>
      </c>
      <c r="J138" s="280">
        <f t="shared" si="42"/>
        <v>0.24999999999999989</v>
      </c>
      <c r="K138" s="280">
        <f t="shared" si="42"/>
        <v>0.25000000000000056</v>
      </c>
      <c r="L138" s="280">
        <f t="shared" si="42"/>
        <v>0.25000000000000033</v>
      </c>
      <c r="M138" s="280">
        <f t="shared" si="42"/>
        <v>0.24999999999999978</v>
      </c>
      <c r="N138" s="280">
        <f t="shared" si="42"/>
        <v>0.25000000000000033</v>
      </c>
    </row>
    <row r="139" spans="1:16" x14ac:dyDescent="0.3">
      <c r="B139" s="285" t="s">
        <v>475</v>
      </c>
      <c r="C139" s="219"/>
      <c r="D139" s="280">
        <f t="shared" ref="D139:N139" si="43">1-(D135+(D137-D136))/D137</f>
        <v>0.19688106828689467</v>
      </c>
      <c r="E139" s="280">
        <f t="shared" si="43"/>
        <v>0.26132432802915739</v>
      </c>
      <c r="F139" s="280">
        <f t="shared" si="43"/>
        <v>0.25266548453313942</v>
      </c>
      <c r="G139" s="280">
        <f t="shared" si="43"/>
        <v>0.21106461058182924</v>
      </c>
      <c r="H139" s="280">
        <f t="shared" si="43"/>
        <v>0.21340317379063456</v>
      </c>
      <c r="I139" s="280">
        <f t="shared" si="43"/>
        <v>0.22204616501099772</v>
      </c>
      <c r="J139" s="280">
        <f t="shared" si="43"/>
        <v>0.23068487133520343</v>
      </c>
      <c r="K139" s="280">
        <f t="shared" si="43"/>
        <v>0.23019049711172512</v>
      </c>
      <c r="L139" s="280">
        <f t="shared" si="43"/>
        <v>0.23486976377471425</v>
      </c>
      <c r="M139" s="280">
        <f t="shared" si="43"/>
        <v>0.23427703894766738</v>
      </c>
      <c r="N139" s="280">
        <f t="shared" si="43"/>
        <v>0.23784835873990628</v>
      </c>
    </row>
    <row r="140" spans="1:16" x14ac:dyDescent="0.3">
      <c r="B140" s="288" t="s">
        <v>476</v>
      </c>
      <c r="C140" s="289"/>
      <c r="D140" s="292">
        <f>SUMIFS('Detalhe Por UC'!$BX:$BX,'Detalhe Por UC'!$R:$R,'Resumo Operacional'!D1)/D11</f>
        <v>0</v>
      </c>
      <c r="E140" s="292">
        <f>SUMIFS('Detalhe Por UC'!$BX:$BX,'Detalhe Por UC'!$R:$R,'Resumo Operacional'!E1)/E11</f>
        <v>0</v>
      </c>
      <c r="F140" s="292">
        <f>SUMIFS('Detalhe Por UC'!$BX:$BX,'Detalhe Por UC'!$R:$R,'Resumo Operacional'!F1)/F11</f>
        <v>0</v>
      </c>
      <c r="G140" s="292">
        <f>SUMIFS('Detalhe Por UC'!$BX:$BX,'Detalhe Por UC'!$R:$R,'Resumo Operacional'!G1)/G11</f>
        <v>0</v>
      </c>
      <c r="H140" s="292">
        <f>SUMIFS('Detalhe Por UC'!$BX:$BX,'Detalhe Por UC'!$R:$R,'Resumo Operacional'!H1)/H11</f>
        <v>0</v>
      </c>
      <c r="I140" s="292">
        <f>SUMIFS('Detalhe Por UC'!$BX:$BX,'Detalhe Por UC'!$R:$R,'Resumo Operacional'!I1)/I11</f>
        <v>0</v>
      </c>
      <c r="J140" s="292">
        <f>SUMIFS('Detalhe Por UC'!$BX:$BX,'Detalhe Por UC'!$R:$R,'Resumo Operacional'!J1)/J11</f>
        <v>0</v>
      </c>
      <c r="K140" s="292">
        <f>SUMIFS('Detalhe Por UC'!$BX:$BX,'Detalhe Por UC'!$R:$R,'Resumo Operacional'!K1)/K11</f>
        <v>0</v>
      </c>
      <c r="L140" s="292">
        <f>SUMIFS('Detalhe Por UC'!$BX:$BX,'Detalhe Por UC'!$R:$R,'Resumo Operacional'!L1)/L11</f>
        <v>0</v>
      </c>
      <c r="M140" s="292">
        <f>SUMIFS('Detalhe Por UC'!$BX:$BX,'Detalhe Por UC'!$R:$R,'Resumo Operacional'!M1)/M11</f>
        <v>0</v>
      </c>
      <c r="N140" s="292">
        <f>SUMIFS('Detalhe Por UC'!$BX:$BX,'Detalhe Por UC'!$R:$R,'Resumo Operacional'!N1)/N11</f>
        <v>0</v>
      </c>
    </row>
    <row r="141" spans="1:16" x14ac:dyDescent="0.3">
      <c r="B141" s="293"/>
      <c r="C141" s="294"/>
      <c r="D141" s="294"/>
      <c r="E141" s="294"/>
      <c r="F141" s="294"/>
      <c r="G141" s="294"/>
      <c r="H141" s="295"/>
      <c r="I141" s="295"/>
      <c r="J141" s="295"/>
      <c r="K141" s="295"/>
      <c r="L141" s="295"/>
      <c r="M141" s="295"/>
      <c r="N141" s="295"/>
    </row>
    <row r="142" spans="1:16" x14ac:dyDescent="0.3">
      <c r="B142" s="296" t="s">
        <v>477</v>
      </c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</row>
    <row r="143" spans="1:16" x14ac:dyDescent="0.3">
      <c r="B143" s="293" t="s">
        <v>478</v>
      </c>
      <c r="C143" s="294"/>
      <c r="D143" s="298"/>
      <c r="E143" s="298"/>
      <c r="F143" s="298">
        <v>9107.07</v>
      </c>
      <c r="G143" s="298">
        <v>5120.96</v>
      </c>
      <c r="H143" s="298">
        <v>6143.36</v>
      </c>
      <c r="I143" s="298">
        <v>12982.23</v>
      </c>
      <c r="J143" s="298">
        <v>5791.8877000000002</v>
      </c>
      <c r="K143" s="299">
        <v>8166.06</v>
      </c>
      <c r="L143" s="299">
        <v>8883.8799999999992</v>
      </c>
      <c r="M143" s="299">
        <v>9348.0300000000007</v>
      </c>
      <c r="N143" s="299">
        <v>10237.969999999999</v>
      </c>
    </row>
    <row r="144" spans="1:16" x14ac:dyDescent="0.3">
      <c r="B144" s="293" t="s">
        <v>479</v>
      </c>
      <c r="C144" s="294"/>
      <c r="D144" s="298"/>
      <c r="E144" s="298"/>
      <c r="F144" s="298">
        <v>7105.88</v>
      </c>
      <c r="G144" s="298">
        <v>3621.12</v>
      </c>
      <c r="H144" s="298">
        <v>5398.47</v>
      </c>
      <c r="I144" s="298">
        <v>10132.200000000001</v>
      </c>
      <c r="J144" s="298">
        <v>4662.62075</v>
      </c>
      <c r="K144" s="299">
        <v>6219.07</v>
      </c>
      <c r="L144" s="299">
        <v>7174.32</v>
      </c>
      <c r="M144" s="300">
        <v>0</v>
      </c>
      <c r="N144" s="300">
        <v>0</v>
      </c>
    </row>
    <row r="145" spans="2:16" x14ac:dyDescent="0.3">
      <c r="B145" s="293" t="s">
        <v>480</v>
      </c>
      <c r="C145" s="294"/>
      <c r="D145" s="298"/>
      <c r="E145" s="298"/>
      <c r="F145" s="298"/>
      <c r="G145" s="298"/>
      <c r="H145" s="298"/>
      <c r="I145" s="298">
        <v>3500</v>
      </c>
      <c r="J145" s="298">
        <v>1499</v>
      </c>
      <c r="K145" s="299">
        <v>1499</v>
      </c>
      <c r="L145" s="299">
        <v>1499</v>
      </c>
      <c r="M145" s="299">
        <v>1499</v>
      </c>
      <c r="N145" s="299">
        <v>1499</v>
      </c>
    </row>
    <row r="146" spans="2:16" x14ac:dyDescent="0.3">
      <c r="B146" s="301" t="s">
        <v>481</v>
      </c>
      <c r="C146" s="302"/>
      <c r="D146" s="303"/>
      <c r="E146" s="303"/>
      <c r="F146" s="303"/>
      <c r="G146" s="303"/>
      <c r="H146" s="303"/>
      <c r="I146" s="303"/>
      <c r="J146" s="303">
        <v>4225.9209423933098</v>
      </c>
      <c r="K146" s="304"/>
      <c r="L146" s="304">
        <v>2733.7</v>
      </c>
      <c r="M146" s="304">
        <v>3079.93</v>
      </c>
      <c r="N146" s="304">
        <v>3441.49</v>
      </c>
    </row>
    <row r="147" spans="2:16" x14ac:dyDescent="0.3">
      <c r="B147" s="305" t="s">
        <v>482</v>
      </c>
      <c r="C147" s="43">
        <f>SUM(C127:N127)+SUM(C126:N126)-SUM(C143:N144)-$M$127-$N$127</f>
        <v>35137.775889625394</v>
      </c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</row>
    <row r="148" spans="2:16" x14ac:dyDescent="0.3">
      <c r="B148" s="305" t="s">
        <v>483</v>
      </c>
      <c r="C148" s="43">
        <f>SUM(C122:N122)-SUM(C146:N146)</f>
        <v>17676.517762957759</v>
      </c>
      <c r="D148" s="43"/>
      <c r="E148" s="43"/>
      <c r="F148" s="43"/>
      <c r="G148" s="43"/>
      <c r="H148" s="43"/>
      <c r="I148" s="306"/>
      <c r="J148" s="306"/>
      <c r="K148" s="306"/>
      <c r="L148" s="306"/>
      <c r="M148" s="306"/>
      <c r="N148" s="306"/>
      <c r="P148" s="307"/>
    </row>
    <row r="149" spans="2:16" x14ac:dyDescent="0.3">
      <c r="B149" s="305" t="s">
        <v>484</v>
      </c>
      <c r="C149" s="43">
        <f>SUM(C125:N125)-SUM(C145:N145)</f>
        <v>26494</v>
      </c>
      <c r="D149" s="43"/>
      <c r="E149" s="43"/>
      <c r="F149" s="43"/>
      <c r="G149" s="43"/>
      <c r="H149" s="43"/>
      <c r="I149" s="306"/>
      <c r="J149" s="306"/>
      <c r="K149" s="306"/>
      <c r="L149" s="306"/>
      <c r="M149" s="306"/>
      <c r="N149" s="306"/>
      <c r="O149" s="239"/>
    </row>
    <row r="150" spans="2:16" x14ac:dyDescent="0.3">
      <c r="B150" s="308"/>
      <c r="C150" s="43"/>
      <c r="D150" s="43"/>
      <c r="E150" s="43"/>
      <c r="F150" s="43"/>
      <c r="G150" s="43"/>
      <c r="H150" s="43"/>
      <c r="I150" s="43"/>
      <c r="J150" s="43"/>
      <c r="O150" s="211"/>
    </row>
    <row r="151" spans="2:16" x14ac:dyDescent="0.3">
      <c r="B151" s="305"/>
      <c r="C151" s="309"/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</row>
    <row r="152" spans="2:16" x14ac:dyDescent="0.3">
      <c r="B152" s="305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239"/>
    </row>
    <row r="154" spans="2:16" x14ac:dyDescent="0.3"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7" spans="2:16" x14ac:dyDescent="0.3">
      <c r="B157" s="1"/>
    </row>
    <row r="158" spans="2:16" x14ac:dyDescent="0.3">
      <c r="B158" s="1"/>
    </row>
    <row r="159" spans="2:16" x14ac:dyDescent="0.3">
      <c r="B159" s="1"/>
    </row>
    <row r="160" spans="2:16" x14ac:dyDescent="0.3">
      <c r="B160" s="1"/>
    </row>
  </sheetData>
  <conditionalFormatting sqref="C3:C30">
    <cfRule type="cellIs" dxfId="24" priority="61" operator="lessThan">
      <formula>0</formula>
    </cfRule>
  </conditionalFormatting>
  <conditionalFormatting sqref="C32">
    <cfRule type="cellIs" dxfId="23" priority="44" operator="lessThan">
      <formula>0</formula>
    </cfRule>
  </conditionalFormatting>
  <conditionalFormatting sqref="C38:C41">
    <cfRule type="cellIs" dxfId="22" priority="45" operator="lessThan">
      <formula>0</formula>
    </cfRule>
  </conditionalFormatting>
  <conditionalFormatting sqref="C130:C140">
    <cfRule type="cellIs" dxfId="21" priority="62" operator="lessThan">
      <formula>0</formula>
    </cfRule>
  </conditionalFormatting>
  <conditionalFormatting sqref="C106:G108">
    <cfRule type="cellIs" dxfId="20" priority="64" operator="lessThan">
      <formula>0</formula>
    </cfRule>
  </conditionalFormatting>
  <conditionalFormatting sqref="C2:N2 D7:N7 E9:G15 I9:N15 D9:D17 E16:E17 D18:E30 F23:N30 C33:N37 D39:N41 K44:N44 E45:N50 C45:D53 E51:G53 H52:I66 J54:K58 C54:G66 C80:N98 C100:N104 H106:N109 C141:G141 C149:H149 J150 C150:I151 J151:N151 C161:N186">
    <cfRule type="cellIs" dxfId="19" priority="65" operator="lessThan">
      <formula>0</formula>
    </cfRule>
  </conditionalFormatting>
  <conditionalFormatting sqref="C69:N73">
    <cfRule type="cellIs" dxfId="18" priority="16" operator="lessThan">
      <formula>0</formula>
    </cfRule>
  </conditionalFormatting>
  <conditionalFormatting sqref="C75:N77">
    <cfRule type="cellIs" dxfId="17" priority="42" operator="lessThan">
      <formula>0</formula>
    </cfRule>
  </conditionalFormatting>
  <conditionalFormatting sqref="C111:N115">
    <cfRule type="cellIs" dxfId="16" priority="37" operator="lessThan">
      <formula>0</formula>
    </cfRule>
  </conditionalFormatting>
  <conditionalFormatting sqref="C121:N128">
    <cfRule type="cellIs" dxfId="15" priority="53" operator="lessThan">
      <formula>0</formula>
    </cfRule>
  </conditionalFormatting>
  <conditionalFormatting sqref="C143:N148">
    <cfRule type="cellIs" dxfId="14" priority="1" operator="lessThan">
      <formula>0</formula>
    </cfRule>
  </conditionalFormatting>
  <conditionalFormatting sqref="D138:G140 H138:N141">
    <cfRule type="cellIs" dxfId="13" priority="23" operator="lessThan">
      <formula>0</formula>
    </cfRule>
  </conditionalFormatting>
  <conditionalFormatting sqref="D130:N131">
    <cfRule type="cellIs" dxfId="12" priority="18" operator="lessThan">
      <formula>0</formula>
    </cfRule>
  </conditionalFormatting>
  <conditionalFormatting sqref="F16:G22">
    <cfRule type="cellIs" dxfId="11" priority="8" operator="lessThan">
      <formula>0</formula>
    </cfRule>
  </conditionalFormatting>
  <conditionalFormatting sqref="F55:I58">
    <cfRule type="cellIs" dxfId="10" priority="4" operator="lessThan">
      <formula>0</formula>
    </cfRule>
  </conditionalFormatting>
  <conditionalFormatting sqref="G118:N118 D118:F120 G119:H120">
    <cfRule type="cellIs" dxfId="9" priority="22" operator="lessThan">
      <formula>0</formula>
    </cfRule>
  </conditionalFormatting>
  <conditionalFormatting sqref="H9:H22">
    <cfRule type="cellIs" dxfId="8" priority="21" operator="lessThan">
      <formula>0</formula>
    </cfRule>
  </conditionalFormatting>
  <conditionalFormatting sqref="I16:I22">
    <cfRule type="cellIs" dxfId="7" priority="27" operator="lessThan">
      <formula>0</formula>
    </cfRule>
  </conditionalFormatting>
  <conditionalFormatting sqref="I118:N120">
    <cfRule type="cellIs" dxfId="6" priority="28" operator="lessThan">
      <formula>0</formula>
    </cfRule>
  </conditionalFormatting>
  <conditionalFormatting sqref="J16:N17">
    <cfRule type="cellIs" dxfId="5" priority="60" operator="lessThan">
      <formula>0</formula>
    </cfRule>
  </conditionalFormatting>
  <conditionalFormatting sqref="J52:N53">
    <cfRule type="cellIs" dxfId="4" priority="57" operator="lessThan">
      <formula>0</formula>
    </cfRule>
  </conditionalFormatting>
  <conditionalFormatting sqref="J18:O22">
    <cfRule type="cellIs" dxfId="3" priority="14" operator="lessThan">
      <formula>0</formula>
    </cfRule>
  </conditionalFormatting>
  <conditionalFormatting sqref="L54:N54 J55:N66">
    <cfRule type="cellIs" dxfId="2" priority="58" operator="lessThan">
      <formula>0</formula>
    </cfRule>
  </conditionalFormatting>
  <conditionalFormatting sqref="O54:O58">
    <cfRule type="cellIs" dxfId="1" priority="11" operator="lessThan">
      <formula>0</formula>
    </cfRule>
  </conditionalFormatting>
  <conditionalFormatting sqref="P88">
    <cfRule type="cellIs" dxfId="0" priority="5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8" scale="4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8FD3-86C4-4920-8D55-92C18299DF8C}">
  <sheetPr codeName="Planilha13">
    <tabColor rgb="FF323941"/>
  </sheetPr>
  <dimension ref="C1:R137"/>
  <sheetViews>
    <sheetView showGridLines="0" view="pageBreakPreview" topLeftCell="D84" zoomScale="108" zoomScaleNormal="100" zoomScaleSheetLayoutView="115" workbookViewId="0">
      <selection activeCell="R8" sqref="R8"/>
    </sheetView>
  </sheetViews>
  <sheetFormatPr defaultRowHeight="14.4" outlineLevelRow="1" x14ac:dyDescent="0.3"/>
  <cols>
    <col min="1" max="1" width="2.44140625" customWidth="1"/>
    <col min="2" max="2" width="1.5546875" customWidth="1"/>
    <col min="3" max="3" width="3.5546875" customWidth="1"/>
    <col min="4" max="4" width="8" customWidth="1"/>
    <col min="5" max="5" width="8.33203125" customWidth="1"/>
    <col min="6" max="12" width="11.44140625" customWidth="1"/>
    <col min="13" max="13" width="12.44140625" customWidth="1"/>
    <col min="14" max="14" width="3.5546875" customWidth="1"/>
    <col min="15" max="15" width="1.33203125" customWidth="1"/>
    <col min="17" max="17" width="11" customWidth="1"/>
    <col min="18" max="18" width="11.33203125" bestFit="1" customWidth="1"/>
  </cols>
  <sheetData>
    <row r="1" spans="3:18" outlineLevel="1" x14ac:dyDescent="0.3">
      <c r="C1" s="311">
        <f ca="1">YEAR(TODAY())</f>
        <v>2025</v>
      </c>
      <c r="D1" s="311" t="str">
        <f ca="1">TEXT(MONTH(TODAY()),"00")</f>
        <v>12</v>
      </c>
      <c r="E1" s="311" t="str">
        <f ca="1">TEXT(DAY(TODAY()),"00")</f>
        <v>04</v>
      </c>
    </row>
    <row r="2" spans="3:18" x14ac:dyDescent="0.3">
      <c r="D2" s="312"/>
    </row>
    <row r="3" spans="3:18" ht="18" x14ac:dyDescent="0.35">
      <c r="D3" s="313" t="s">
        <v>485</v>
      </c>
    </row>
    <row r="4" spans="3:18" x14ac:dyDescent="0.3">
      <c r="D4" s="314" t="str">
        <f ca="1">"Este relatório foi emitido em "&amp;TEXT(DATE(YEAR(TODAY()),MONTH(TODAY()),DAY(TODAY())),"dd/mm/aaaa")</f>
        <v>Este relatório foi emitido em 04/12/2025</v>
      </c>
    </row>
    <row r="5" spans="3:18" x14ac:dyDescent="0.3">
      <c r="C5" s="315"/>
      <c r="D5" s="316"/>
      <c r="E5" s="316"/>
      <c r="F5" s="316"/>
      <c r="G5" s="315"/>
      <c r="H5" s="315"/>
      <c r="I5" s="315"/>
      <c r="J5" s="315"/>
      <c r="K5" s="315"/>
      <c r="L5" s="315"/>
      <c r="M5" s="315"/>
      <c r="N5" s="315"/>
    </row>
    <row r="7" spans="3:18" s="28" customFormat="1" ht="15" customHeight="1" x14ac:dyDescent="0.3">
      <c r="C7" s="317" t="s">
        <v>486</v>
      </c>
    </row>
    <row r="8" spans="3:18" s="28" customFormat="1" ht="8.1" customHeight="1" x14ac:dyDescent="0.3"/>
    <row r="9" spans="3:18" s="28" customFormat="1" ht="72.599999999999994" hidden="1" outlineLevel="1" x14ac:dyDescent="0.3">
      <c r="G9" s="318" t="s">
        <v>422</v>
      </c>
      <c r="H9" s="318" t="s">
        <v>425</v>
      </c>
      <c r="I9" s="318" t="s">
        <v>428</v>
      </c>
      <c r="J9" s="318" t="s">
        <v>430</v>
      </c>
      <c r="K9" s="318" t="s">
        <v>432</v>
      </c>
      <c r="L9" s="318" t="s">
        <v>437</v>
      </c>
      <c r="M9" s="318" t="s">
        <v>438</v>
      </c>
    </row>
    <row r="10" spans="3:18" s="28" customFormat="1" ht="54" customHeight="1" collapsed="1" x14ac:dyDescent="0.3">
      <c r="D10" s="319" t="s">
        <v>487</v>
      </c>
      <c r="E10" s="320" t="s">
        <v>378</v>
      </c>
      <c r="F10" s="320" t="s">
        <v>379</v>
      </c>
      <c r="G10" s="320" t="s">
        <v>383</v>
      </c>
      <c r="H10" s="320" t="s">
        <v>488</v>
      </c>
      <c r="I10" s="320" t="s">
        <v>489</v>
      </c>
      <c r="J10" s="320" t="s">
        <v>490</v>
      </c>
      <c r="K10" s="320" t="s">
        <v>491</v>
      </c>
      <c r="L10" s="320" t="s">
        <v>492</v>
      </c>
      <c r="M10" s="320" t="s">
        <v>493</v>
      </c>
      <c r="Q10" s="321" t="s">
        <v>494</v>
      </c>
      <c r="R10" s="321" t="s">
        <v>495</v>
      </c>
    </row>
    <row r="11" spans="3:18" s="28" customFormat="1" ht="15" customHeight="1" x14ac:dyDescent="0.3">
      <c r="D11" s="322">
        <f t="shared" ref="D11:D20" si="0">EDATE(D12,-1)</f>
        <v>45627</v>
      </c>
      <c r="E11" s="323" t="e">
        <f>INDEX('Resumo Operacional'!$B$1:$N$147,MATCH('Resumo Gerencial'!E$10,'Resumo Operacional'!$B$1:$B$147,0),MATCH('Resumo Gerencial'!$D11,'Resumo Operacional'!$B$1:$N$1,0))</f>
        <v>#N/A</v>
      </c>
      <c r="F11" s="323" t="e">
        <f>INDEX('Resumo Operacional'!$B$1:$N$147,MATCH('Resumo Gerencial'!F$10,'Resumo Operacional'!$B$1:$B$147,0),MATCH('Resumo Gerencial'!$D11,'Resumo Operacional'!$B$1:$N$1,0))</f>
        <v>#N/A</v>
      </c>
      <c r="G11" s="323" t="e">
        <f>INDEX('Resumo Operacional'!$B$1:$N$147,MATCH('Resumo Gerencial'!G$9,'Resumo Operacional'!$B$1:$B$147,0),MATCH('Resumo Gerencial'!$D11,'Resumo Operacional'!$B$1:$N$1,0))/1000</f>
        <v>#N/A</v>
      </c>
      <c r="H11" s="323" t="e">
        <f>INDEX('Resumo Operacional'!$B$1:$N$147,MATCH('Resumo Gerencial'!H$9,'Resumo Operacional'!$B$1:$B$147,0),MATCH('Resumo Gerencial'!$D11,'Resumo Operacional'!$B$1:$N$1,0))/1000</f>
        <v>#N/A</v>
      </c>
      <c r="I11" s="323" t="e">
        <f>INDEX('Resumo Operacional'!$B$1:$N$147,MATCH('Resumo Gerencial'!I$9,'Resumo Operacional'!$B$1:$B$147,0),MATCH('Resumo Gerencial'!$D11,'Resumo Operacional'!$B$1:$N$1,0))/1000</f>
        <v>#N/A</v>
      </c>
      <c r="J11" s="323" t="e">
        <f>INDEX('Resumo Operacional'!$B$1:$N$147,MATCH('Resumo Gerencial'!J$9,'Resumo Operacional'!$B$1:$B$147,0),MATCH('Resumo Gerencial'!$D11,'Resumo Operacional'!$B$1:$N$1,0))/1000</f>
        <v>#N/A</v>
      </c>
      <c r="K11" s="323" t="e">
        <f>INDEX('Resumo Operacional'!$B$1:$N$147,MATCH('Resumo Gerencial'!K$9,'Resumo Operacional'!$B$1:$B$147,0),MATCH('Resumo Gerencial'!$D11,'Resumo Operacional'!$B$1:$N$1,0))/1000</f>
        <v>#N/A</v>
      </c>
      <c r="L11" s="323" t="e">
        <f>INDEX('Resumo Operacional'!$B$1:$N$147,MATCH('Resumo Gerencial'!L$9,'Resumo Operacional'!$B$1:$B$147,0),MATCH('Resumo Gerencial'!$D11,'Resumo Operacional'!$B$1:$N$1,0))/1000</f>
        <v>#N/A</v>
      </c>
      <c r="M11" s="323" t="e">
        <f>INDEX('Resumo Operacional'!$B$1:$N$147,MATCH('Resumo Gerencial'!M$9,'Resumo Operacional'!$B$1:$B$147,0),MATCH('Resumo Gerencial'!$D11,'Resumo Operacional'!$B$1:$N$1,0))/1000</f>
        <v>#N/A</v>
      </c>
      <c r="Q11" s="324" t="e">
        <f>J11-K11</f>
        <v>#N/A</v>
      </c>
      <c r="R11" s="324" t="e">
        <f>Q11</f>
        <v>#N/A</v>
      </c>
    </row>
    <row r="12" spans="3:18" s="28" customFormat="1" ht="15" customHeight="1" x14ac:dyDescent="0.3">
      <c r="D12" s="322">
        <f t="shared" si="0"/>
        <v>45658</v>
      </c>
      <c r="E12" s="323">
        <f>INDEX('Resumo Operacional'!$B$1:$N$147,MATCH('Resumo Gerencial'!E$10,'Resumo Operacional'!$B$1:$B$147,0),MATCH('Resumo Gerencial'!$D12,'Resumo Operacional'!$B$1:$N$1,0))</f>
        <v>89</v>
      </c>
      <c r="F12" s="323">
        <f>INDEX('Resumo Operacional'!$B$1:$N$147,MATCH('Resumo Gerencial'!F$10,'Resumo Operacional'!$B$1:$B$147,0),MATCH('Resumo Gerencial'!$D12,'Resumo Operacional'!$B$1:$N$1,0))</f>
        <v>88</v>
      </c>
      <c r="G12" s="323">
        <f>INDEX('Resumo Operacional'!$B$1:$N$147,MATCH('Resumo Gerencial'!G$9,'Resumo Operacional'!$B$1:$B$147,0),MATCH('Resumo Gerencial'!$D12,'Resumo Operacional'!$B$1:$N$1,0))/1000</f>
        <v>41.694199999999995</v>
      </c>
      <c r="H12" s="323">
        <f>INDEX('Resumo Operacional'!$B$1:$N$147,MATCH('Resumo Gerencial'!H$9,'Resumo Operacional'!$B$1:$B$147,0),MATCH('Resumo Gerencial'!$D12,'Resumo Operacional'!$B$1:$N$1,0))/1000</f>
        <v>34.215466818181817</v>
      </c>
      <c r="I12" s="323">
        <f>INDEX('Resumo Operacional'!$B$1:$N$147,MATCH('Resumo Gerencial'!I$9,'Resumo Operacional'!$B$1:$B$147,0),MATCH('Resumo Gerencial'!$D12,'Resumo Operacional'!$B$1:$N$1,0))/1000</f>
        <v>0</v>
      </c>
      <c r="J12" s="323">
        <f>INDEX('Resumo Operacional'!$B$1:$N$147,MATCH('Resumo Gerencial'!J$9,'Resumo Operacional'!$B$1:$B$147,0),MATCH('Resumo Gerencial'!$D12,'Resumo Operacional'!$B$1:$N$1,0))/1000</f>
        <v>30.370999999999999</v>
      </c>
      <c r="K12" s="323">
        <f>INDEX('Resumo Operacional'!$B$1:$N$147,MATCH('Resumo Gerencial'!K$9,'Resumo Operacional'!$B$1:$B$147,0),MATCH('Resumo Gerencial'!$D12,'Resumo Operacional'!$B$1:$N$1,0))/1000</f>
        <v>30.577000000000002</v>
      </c>
      <c r="L12" s="323">
        <f>INDEX('Resumo Operacional'!$B$1:$N$147,MATCH('Resumo Gerencial'!L$9,'Resumo Operacional'!$B$1:$B$147,0),MATCH('Resumo Gerencial'!$D12,'Resumo Operacional'!$B$1:$N$1,0))/1000</f>
        <v>26.286000000000001</v>
      </c>
      <c r="M12" s="323">
        <f>INDEX('Resumo Operacional'!$B$1:$N$147,MATCH('Resumo Gerencial'!M$9,'Resumo Operacional'!$B$1:$B$147,0),MATCH('Resumo Gerencial'!$D12,'Resumo Operacional'!$B$1:$N$1,0))/1000</f>
        <v>15.73</v>
      </c>
      <c r="Q12" s="324">
        <f>J12-K12</f>
        <v>-0.20600000000000307</v>
      </c>
      <c r="R12" s="325" t="e">
        <f>Q12+R11</f>
        <v>#N/A</v>
      </c>
    </row>
    <row r="13" spans="3:18" s="28" customFormat="1" ht="15" customHeight="1" x14ac:dyDescent="0.3">
      <c r="D13" s="322">
        <f t="shared" si="0"/>
        <v>45689</v>
      </c>
      <c r="E13" s="323">
        <f>INDEX('Resumo Operacional'!$B$1:$N$147,MATCH('Resumo Gerencial'!E$10,'Resumo Operacional'!$B$1:$B$147,0),MATCH('Resumo Gerencial'!$D13,'Resumo Operacional'!$B$1:$N$1,0))</f>
        <v>89</v>
      </c>
      <c r="F13" s="323">
        <f>INDEX('Resumo Operacional'!$B$1:$N$147,MATCH('Resumo Gerencial'!F$10,'Resumo Operacional'!$B$1:$B$147,0),MATCH('Resumo Gerencial'!$D13,'Resumo Operacional'!$B$1:$N$1,0))</f>
        <v>87</v>
      </c>
      <c r="G13" s="323">
        <f>INDEX('Resumo Operacional'!$B$1:$N$147,MATCH('Resumo Gerencial'!G$9,'Resumo Operacional'!$B$1:$B$147,0),MATCH('Resumo Gerencial'!$D13,'Resumo Operacional'!$B$1:$N$1,0))/1000</f>
        <v>44.011600000000001</v>
      </c>
      <c r="H13" s="323">
        <f>INDEX('Resumo Operacional'!$B$1:$N$147,MATCH('Resumo Gerencial'!H$9,'Resumo Operacional'!$B$1:$B$147,0),MATCH('Resumo Gerencial'!$D13,'Resumo Operacional'!$B$1:$N$1,0))/1000</f>
        <v>34.215466818181817</v>
      </c>
      <c r="I13" s="323">
        <f>INDEX('Resumo Operacional'!$B$1:$N$147,MATCH('Resumo Gerencial'!I$9,'Resumo Operacional'!$B$1:$B$147,0),MATCH('Resumo Gerencial'!$D13,'Resumo Operacional'!$B$1:$N$1,0))/1000</f>
        <v>0</v>
      </c>
      <c r="J13" s="323">
        <f>INDEX('Resumo Operacional'!$B$1:$N$147,MATCH('Resumo Gerencial'!J$9,'Resumo Operacional'!$B$1:$B$147,0),MATCH('Resumo Gerencial'!$D13,'Resumo Operacional'!$B$1:$N$1,0))/1000</f>
        <v>27.134</v>
      </c>
      <c r="K13" s="323">
        <f>INDEX('Resumo Operacional'!$B$1:$N$147,MATCH('Resumo Gerencial'!K$9,'Resumo Operacional'!$B$1:$B$147,0),MATCH('Resumo Gerencial'!$D13,'Resumo Operacional'!$B$1:$N$1,0))/1000</f>
        <v>30.984999999999999</v>
      </c>
      <c r="L13" s="323">
        <f>INDEX('Resumo Operacional'!$B$1:$N$147,MATCH('Resumo Gerencial'!L$9,'Resumo Operacional'!$B$1:$B$147,0),MATCH('Resumo Gerencial'!$D13,'Resumo Operacional'!$B$1:$N$1,0))/1000</f>
        <v>21.684000000000001</v>
      </c>
      <c r="M13" s="323">
        <f>INDEX('Resumo Operacional'!$B$1:$N$147,MATCH('Resumo Gerencial'!M$9,'Resumo Operacional'!$B$1:$B$147,0),MATCH('Resumo Gerencial'!$D13,'Resumo Operacional'!$B$1:$N$1,0))/1000</f>
        <v>24.739000000000001</v>
      </c>
      <c r="Q13" s="324">
        <f>J13-K13</f>
        <v>-3.8509999999999991</v>
      </c>
      <c r="R13" s="325" t="e">
        <f t="shared" ref="R13:R22" si="1">Q13+R12</f>
        <v>#N/A</v>
      </c>
    </row>
    <row r="14" spans="3:18" s="28" customFormat="1" ht="15" customHeight="1" x14ac:dyDescent="0.3">
      <c r="D14" s="322">
        <f t="shared" si="0"/>
        <v>45717</v>
      </c>
      <c r="E14" s="323">
        <f>INDEX('Resumo Operacional'!$B$1:$N$147,MATCH('Resumo Gerencial'!E$10,'Resumo Operacional'!$B$1:$B$147,0),MATCH('Resumo Gerencial'!$D14,'Resumo Operacional'!$B$1:$N$1,0))</f>
        <v>89</v>
      </c>
      <c r="F14" s="323">
        <f>INDEX('Resumo Operacional'!$B$1:$N$147,MATCH('Resumo Gerencial'!F$10,'Resumo Operacional'!$B$1:$B$147,0),MATCH('Resumo Gerencial'!$D14,'Resumo Operacional'!$B$1:$N$1,0))</f>
        <v>88</v>
      </c>
      <c r="G14" s="323">
        <f>INDEX('Resumo Operacional'!$B$1:$N$147,MATCH('Resumo Gerencial'!G$9,'Resumo Operacional'!$B$1:$B$147,0),MATCH('Resumo Gerencial'!$D14,'Resumo Operacional'!$B$1:$N$1,0))/1000</f>
        <v>48.079119999999996</v>
      </c>
      <c r="H14" s="323">
        <f>INDEX('Resumo Operacional'!$B$1:$N$147,MATCH('Resumo Gerencial'!H$9,'Resumo Operacional'!$B$1:$B$147,0),MATCH('Resumo Gerencial'!$D14,'Resumo Operacional'!$B$1:$N$1,0))/1000</f>
        <v>34.215466818181817</v>
      </c>
      <c r="I14" s="323">
        <f>INDEX('Resumo Operacional'!$B$1:$N$147,MATCH('Resumo Gerencial'!I$9,'Resumo Operacional'!$B$1:$B$147,0),MATCH('Resumo Gerencial'!$D14,'Resumo Operacional'!$B$1:$N$1,0))/1000</f>
        <v>0</v>
      </c>
      <c r="J14" s="323">
        <f>INDEX('Resumo Operacional'!$B$1:$N$147,MATCH('Resumo Gerencial'!J$9,'Resumo Operacional'!$B$1:$B$147,0),MATCH('Resumo Gerencial'!$D14,'Resumo Operacional'!$B$1:$N$1,0))/1000</f>
        <v>24.082000000000001</v>
      </c>
      <c r="K14" s="323">
        <f>INDEX('Resumo Operacional'!$B$1:$N$147,MATCH('Resumo Gerencial'!K$9,'Resumo Operacional'!$B$1:$B$147,0),MATCH('Resumo Gerencial'!$D14,'Resumo Operacional'!$B$1:$N$1,0))/1000</f>
        <v>28.84</v>
      </c>
      <c r="L14" s="323">
        <f>INDEX('Resumo Operacional'!$B$1:$N$147,MATCH('Resumo Gerencial'!L$9,'Resumo Operacional'!$B$1:$B$147,0),MATCH('Resumo Gerencial'!$D14,'Resumo Operacional'!$B$1:$N$1,0))/1000</f>
        <v>24.654</v>
      </c>
      <c r="M14" s="323">
        <f>INDEX('Resumo Operacional'!$B$1:$N$147,MATCH('Resumo Gerencial'!M$9,'Resumo Operacional'!$B$1:$B$147,0),MATCH('Resumo Gerencial'!$D14,'Resumo Operacional'!$B$1:$N$1,0))/1000</f>
        <v>28.925000000000001</v>
      </c>
      <c r="Q14" s="324">
        <f t="shared" ref="Q14:Q22" si="2">J14-K14</f>
        <v>-4.7579999999999991</v>
      </c>
      <c r="R14" s="325" t="e">
        <f t="shared" si="1"/>
        <v>#N/A</v>
      </c>
    </row>
    <row r="15" spans="3:18" s="28" customFormat="1" ht="15" customHeight="1" x14ac:dyDescent="0.3">
      <c r="D15" s="322">
        <f t="shared" si="0"/>
        <v>45748</v>
      </c>
      <c r="E15" s="323">
        <f>INDEX('Resumo Operacional'!$B$1:$N$147,MATCH('Resumo Gerencial'!E$10,'Resumo Operacional'!$B$1:$B$147,0),MATCH('Resumo Gerencial'!$D15,'Resumo Operacional'!$B$1:$N$1,0))</f>
        <v>89</v>
      </c>
      <c r="F15" s="323">
        <f>INDEX('Resumo Operacional'!$B$1:$N$147,MATCH('Resumo Gerencial'!F$10,'Resumo Operacional'!$B$1:$B$147,0),MATCH('Resumo Gerencial'!$D15,'Resumo Operacional'!$B$1:$N$1,0))</f>
        <v>87</v>
      </c>
      <c r="G15" s="323">
        <f>INDEX('Resumo Operacional'!$B$1:$N$147,MATCH('Resumo Gerencial'!G$9,'Resumo Operacional'!$B$1:$B$147,0),MATCH('Resumo Gerencial'!$D15,'Resumo Operacional'!$B$1:$N$1,0))/1000</f>
        <v>38.191679999999998</v>
      </c>
      <c r="H15" s="323">
        <f>INDEX('Resumo Operacional'!$B$1:$N$147,MATCH('Resumo Gerencial'!H$9,'Resumo Operacional'!$B$1:$B$147,0),MATCH('Resumo Gerencial'!$D15,'Resumo Operacional'!$B$1:$N$1,0))/1000</f>
        <v>34.215466818181817</v>
      </c>
      <c r="I15" s="323">
        <f>INDEX('Resumo Operacional'!$B$1:$N$147,MATCH('Resumo Gerencial'!I$9,'Resumo Operacional'!$B$1:$B$147,0),MATCH('Resumo Gerencial'!$D15,'Resumo Operacional'!$B$1:$N$1,0))/1000</f>
        <v>0</v>
      </c>
      <c r="J15" s="323">
        <f>INDEX('Resumo Operacional'!$B$1:$N$147,MATCH('Resumo Gerencial'!J$9,'Resumo Operacional'!$B$1:$B$147,0),MATCH('Resumo Gerencial'!$D15,'Resumo Operacional'!$B$1:$N$1,0))/1000</f>
        <v>21.262</v>
      </c>
      <c r="K15" s="323">
        <f>INDEX('Resumo Operacional'!$B$1:$N$147,MATCH('Resumo Gerencial'!K$9,'Resumo Operacional'!$B$1:$B$147,0),MATCH('Resumo Gerencial'!$D15,'Resumo Operacional'!$B$1:$N$1,0))/1000</f>
        <v>23.181000000000001</v>
      </c>
      <c r="L15" s="323">
        <f>INDEX('Resumo Operacional'!$B$1:$N$147,MATCH('Resumo Gerencial'!L$9,'Resumo Operacional'!$B$1:$B$147,0),MATCH('Resumo Gerencial'!$D15,'Resumo Operacional'!$B$1:$N$1,0))/1000</f>
        <v>24.606999999999999</v>
      </c>
      <c r="M15" s="323">
        <f>INDEX('Resumo Operacional'!$B$1:$N$147,MATCH('Resumo Gerencial'!M$9,'Resumo Operacional'!$B$1:$B$147,0),MATCH('Resumo Gerencial'!$D15,'Resumo Operacional'!$B$1:$N$1,0))/1000</f>
        <v>27.498999999999999</v>
      </c>
      <c r="Q15" s="324">
        <f t="shared" si="2"/>
        <v>-1.9190000000000005</v>
      </c>
      <c r="R15" s="325" t="e">
        <f t="shared" si="1"/>
        <v>#N/A</v>
      </c>
    </row>
    <row r="16" spans="3:18" s="28" customFormat="1" ht="15" customHeight="1" x14ac:dyDescent="0.3">
      <c r="D16" s="322">
        <f t="shared" si="0"/>
        <v>45778</v>
      </c>
      <c r="E16" s="323">
        <f>INDEX('Resumo Operacional'!$B$1:$N$147,MATCH('Resumo Gerencial'!E$10,'Resumo Operacional'!$B$1:$B$147,0),MATCH('Resumo Gerencial'!$D16,'Resumo Operacional'!$B$1:$N$1,0))</f>
        <v>89</v>
      </c>
      <c r="F16" s="323">
        <f>INDEX('Resumo Operacional'!$B$1:$N$147,MATCH('Resumo Gerencial'!F$10,'Resumo Operacional'!$B$1:$B$147,0),MATCH('Resumo Gerencial'!$D16,'Resumo Operacional'!$B$1:$N$1,0))</f>
        <v>86</v>
      </c>
      <c r="G16" s="323">
        <f>INDEX('Resumo Operacional'!$B$1:$N$147,MATCH('Resumo Gerencial'!G$9,'Resumo Operacional'!$B$1:$B$147,0),MATCH('Resumo Gerencial'!$D16,'Resumo Operacional'!$B$1:$N$1,0))/1000</f>
        <v>34.045679999999997</v>
      </c>
      <c r="H16" s="323">
        <f>INDEX('Resumo Operacional'!$B$1:$N$147,MATCH('Resumo Gerencial'!H$9,'Resumo Operacional'!$B$1:$B$147,0),MATCH('Resumo Gerencial'!$D16,'Resumo Operacional'!$B$1:$N$1,0))/1000</f>
        <v>34.215466818181817</v>
      </c>
      <c r="I16" s="323">
        <f>INDEX('Resumo Operacional'!$B$1:$N$147,MATCH('Resumo Gerencial'!I$9,'Resumo Operacional'!$B$1:$B$147,0),MATCH('Resumo Gerencial'!$D16,'Resumo Operacional'!$B$1:$N$1,0))/1000</f>
        <v>0</v>
      </c>
      <c r="J16" s="323">
        <f>INDEX('Resumo Operacional'!$B$1:$N$147,MATCH('Resumo Gerencial'!J$9,'Resumo Operacional'!$B$1:$B$147,0),MATCH('Resumo Gerencial'!$D16,'Resumo Operacional'!$B$1:$N$1,0))/1000</f>
        <v>15.711</v>
      </c>
      <c r="K16" s="323">
        <f>INDEX('Resumo Operacional'!$B$1:$N$147,MATCH('Resumo Gerencial'!K$9,'Resumo Operacional'!$B$1:$B$147,0),MATCH('Resumo Gerencial'!$D16,'Resumo Operacional'!$B$1:$N$1,0))/1000</f>
        <v>24.096</v>
      </c>
      <c r="L16" s="323">
        <f>INDEX('Resumo Operacional'!$B$1:$N$147,MATCH('Resumo Gerencial'!L$9,'Resumo Operacional'!$B$1:$B$147,0),MATCH('Resumo Gerencial'!$D16,'Resumo Operacional'!$B$1:$N$1,0))/1000</f>
        <v>21.395</v>
      </c>
      <c r="M16" s="323">
        <f>INDEX('Resumo Operacional'!$B$1:$N$147,MATCH('Resumo Gerencial'!M$9,'Resumo Operacional'!$B$1:$B$147,0),MATCH('Resumo Gerencial'!$D16,'Resumo Operacional'!$B$1:$N$1,0))/1000</f>
        <v>30.2</v>
      </c>
      <c r="Q16" s="324">
        <f t="shared" si="2"/>
        <v>-8.3849999999999998</v>
      </c>
      <c r="R16" s="325" t="e">
        <f t="shared" si="1"/>
        <v>#N/A</v>
      </c>
    </row>
    <row r="17" spans="4:18" s="28" customFormat="1" ht="15" customHeight="1" x14ac:dyDescent="0.3">
      <c r="D17" s="322">
        <f t="shared" si="0"/>
        <v>45809</v>
      </c>
      <c r="E17" s="323">
        <f>INDEX('Resumo Operacional'!$B$1:$N$147,MATCH('Resumo Gerencial'!E$10,'Resumo Operacional'!$B$1:$B$147,0),MATCH('Resumo Gerencial'!$D17,'Resumo Operacional'!$B$1:$N$1,0))</f>
        <v>89</v>
      </c>
      <c r="F17" s="323">
        <f>INDEX('Resumo Operacional'!$B$1:$N$147,MATCH('Resumo Gerencial'!F$10,'Resumo Operacional'!$B$1:$B$147,0),MATCH('Resumo Gerencial'!$D17,'Resumo Operacional'!$B$1:$N$1,0))</f>
        <v>86</v>
      </c>
      <c r="G17" s="323">
        <f>INDEX('Resumo Operacional'!$B$1:$N$147,MATCH('Resumo Gerencial'!G$9,'Resumo Operacional'!$B$1:$B$147,0),MATCH('Resumo Gerencial'!$D17,'Resumo Operacional'!$B$1:$N$1,0))/1000</f>
        <v>0</v>
      </c>
      <c r="H17" s="323">
        <f>INDEX('Resumo Operacional'!$B$1:$N$147,MATCH('Resumo Gerencial'!H$9,'Resumo Operacional'!$B$1:$B$147,0),MATCH('Resumo Gerencial'!$D17,'Resumo Operacional'!$B$1:$N$1,0))/1000</f>
        <v>34.215466818181817</v>
      </c>
      <c r="I17" s="323">
        <f>INDEX('Resumo Operacional'!$B$1:$N$147,MATCH('Resumo Gerencial'!I$9,'Resumo Operacional'!$B$1:$B$147,0),MATCH('Resumo Gerencial'!$D17,'Resumo Operacional'!$B$1:$N$1,0))/1000</f>
        <v>0</v>
      </c>
      <c r="J17" s="323">
        <f>INDEX('Resumo Operacional'!$B$1:$N$147,MATCH('Resumo Gerencial'!J$9,'Resumo Operacional'!$B$1:$B$147,0),MATCH('Resumo Gerencial'!$D17,'Resumo Operacional'!$B$1:$N$1,0))/1000</f>
        <v>34.673000000000002</v>
      </c>
      <c r="K17" s="323">
        <f>INDEX('Resumo Operacional'!$B$1:$N$147,MATCH('Resumo Gerencial'!K$9,'Resumo Operacional'!$B$1:$B$147,0),MATCH('Resumo Gerencial'!$D17,'Resumo Operacional'!$B$1:$N$1,0))/1000</f>
        <v>-4.71</v>
      </c>
      <c r="L17" s="323">
        <f>INDEX('Resumo Operacional'!$B$1:$N$147,MATCH('Resumo Gerencial'!L$9,'Resumo Operacional'!$B$1:$B$147,0),MATCH('Resumo Gerencial'!$D17,'Resumo Operacional'!$B$1:$N$1,0))/1000</f>
        <v>12.339</v>
      </c>
      <c r="M17" s="323">
        <f>INDEX('Resumo Operacional'!$B$1:$N$147,MATCH('Resumo Gerencial'!M$9,'Resumo Operacional'!$B$1:$B$147,0),MATCH('Resumo Gerencial'!$D17,'Resumo Operacional'!$B$1:$N$1,0))/1000</f>
        <v>13.151</v>
      </c>
      <c r="Q17" s="324">
        <f t="shared" si="2"/>
        <v>39.383000000000003</v>
      </c>
      <c r="R17" s="325" t="e">
        <f t="shared" si="1"/>
        <v>#N/A</v>
      </c>
    </row>
    <row r="18" spans="4:18" s="28" customFormat="1" ht="15" customHeight="1" x14ac:dyDescent="0.3">
      <c r="D18" s="322">
        <f t="shared" si="0"/>
        <v>45839</v>
      </c>
      <c r="E18" s="326">
        <f>INDEX('Resumo Operacional'!$B$1:$N$147,MATCH('Resumo Gerencial'!E$10,'Resumo Operacional'!$B$1:$B$147,0),MATCH('Resumo Gerencial'!$D18,'Resumo Operacional'!$B$1:$N$1,0))</f>
        <v>75</v>
      </c>
      <c r="F18" s="326">
        <f>INDEX('Resumo Operacional'!$B$1:$N$147,MATCH('Resumo Gerencial'!F$10,'Resumo Operacional'!$B$1:$B$147,0),MATCH('Resumo Gerencial'!$D18,'Resumo Operacional'!$B$1:$N$1,0))</f>
        <v>72</v>
      </c>
      <c r="G18" s="326">
        <f>INDEX('Resumo Operacional'!$B$1:$N$147,MATCH('Resumo Gerencial'!G$9,'Resumo Operacional'!$B$1:$B$147,0),MATCH('Resumo Gerencial'!$D18,'Resumo Operacional'!$B$1:$N$1,0))/1000</f>
        <v>21.253959999999999</v>
      </c>
      <c r="H18" s="326">
        <f>INDEX('Resumo Operacional'!$B$1:$N$147,MATCH('Resumo Gerencial'!H$9,'Resumo Operacional'!$B$1:$B$147,0),MATCH('Resumo Gerencial'!$D18,'Resumo Operacional'!$B$1:$N$1,0))/1000</f>
        <v>30.832301666666662</v>
      </c>
      <c r="I18" s="326">
        <f>INDEX('Resumo Operacional'!$B$1:$N$147,MATCH('Resumo Gerencial'!I$9,'Resumo Operacional'!$B$1:$B$147,0),MATCH('Resumo Gerencial'!$D18,'Resumo Operacional'!$B$1:$N$1,0))/1000</f>
        <v>0</v>
      </c>
      <c r="J18" s="326">
        <f>INDEX('Resumo Operacional'!$B$1:$N$147,MATCH('Resumo Gerencial'!J$9,'Resumo Operacional'!$B$1:$B$147,0),MATCH('Resumo Gerencial'!$D18,'Resumo Operacional'!$B$1:$N$1,0))/1000</f>
        <v>17.434999999999999</v>
      </c>
      <c r="K18" s="326">
        <f>INDEX('Resumo Operacional'!$B$1:$N$147,MATCH('Resumo Gerencial'!K$9,'Resumo Operacional'!$B$1:$B$147,0),MATCH('Resumo Gerencial'!$D18,'Resumo Operacional'!$B$1:$N$1,0))/1000</f>
        <v>29.349</v>
      </c>
      <c r="L18" s="326">
        <f>INDEX('Resumo Operacional'!$B$1:$N$147,MATCH('Resumo Gerencial'!L$9,'Resumo Operacional'!$B$1:$B$147,0),MATCH('Resumo Gerencial'!$D18,'Resumo Operacional'!$B$1:$N$1,0))/1000</f>
        <v>15.037000000000001</v>
      </c>
      <c r="M18" s="326">
        <f>INDEX('Resumo Operacional'!$B$1:$N$147,MATCH('Resumo Gerencial'!M$9,'Resumo Operacional'!$B$1:$B$147,0),MATCH('Resumo Gerencial'!$D18,'Resumo Operacional'!$B$1:$N$1,0))/1000</f>
        <v>27.463000000000001</v>
      </c>
      <c r="Q18" s="324">
        <f t="shared" si="2"/>
        <v>-11.914000000000001</v>
      </c>
      <c r="R18" s="325" t="e">
        <f t="shared" si="1"/>
        <v>#N/A</v>
      </c>
    </row>
    <row r="19" spans="4:18" s="28" customFormat="1" ht="15" customHeight="1" x14ac:dyDescent="0.3">
      <c r="D19" s="322">
        <f t="shared" si="0"/>
        <v>45870</v>
      </c>
      <c r="E19" s="326">
        <f>INDEX('Resumo Operacional'!$B$1:$N$147,MATCH('Resumo Gerencial'!E$10,'Resumo Operacional'!$B$1:$B$147,0),MATCH('Resumo Gerencial'!$D19,'Resumo Operacional'!$B$1:$N$1,0))</f>
        <v>71</v>
      </c>
      <c r="F19" s="326">
        <f>INDEX('Resumo Operacional'!$B$1:$N$147,MATCH('Resumo Gerencial'!F$10,'Resumo Operacional'!$B$1:$B$147,0),MATCH('Resumo Gerencial'!$D19,'Resumo Operacional'!$B$1:$N$1,0))</f>
        <v>69</v>
      </c>
      <c r="G19" s="326">
        <f>INDEX('Resumo Operacional'!$B$1:$N$147,MATCH('Resumo Gerencial'!G$9,'Resumo Operacional'!$B$1:$B$147,0),MATCH('Resumo Gerencial'!$D19,'Resumo Operacional'!$B$1:$N$1,0))/1000</f>
        <v>24.09947</v>
      </c>
      <c r="H19" s="326">
        <f>INDEX('Resumo Operacional'!$B$1:$N$147,MATCH('Resumo Gerencial'!H$9,'Resumo Operacional'!$B$1:$B$147,0),MATCH('Resumo Gerencial'!$D19,'Resumo Operacional'!$B$1:$N$1,0))/1000</f>
        <v>30.748942575757571</v>
      </c>
      <c r="I19" s="326">
        <f>INDEX('Resumo Operacional'!$B$1:$N$147,MATCH('Resumo Gerencial'!I$9,'Resumo Operacional'!$B$1:$B$147,0),MATCH('Resumo Gerencial'!$D19,'Resumo Operacional'!$B$1:$N$1,0))/1000</f>
        <v>0</v>
      </c>
      <c r="J19" s="326">
        <f>INDEX('Resumo Operacional'!$B$1:$N$147,MATCH('Resumo Gerencial'!J$9,'Resumo Operacional'!$B$1:$B$147,0),MATCH('Resumo Gerencial'!$D19,'Resumo Operacional'!$B$1:$N$1,0))/1000</f>
        <v>13.038</v>
      </c>
      <c r="K19" s="326">
        <f>INDEX('Resumo Operacional'!$B$1:$N$147,MATCH('Resumo Gerencial'!K$9,'Resumo Operacional'!$B$1:$B$147,0),MATCH('Resumo Gerencial'!$D19,'Resumo Operacional'!$B$1:$N$1,0))/1000</f>
        <v>31.661000000000001</v>
      </c>
      <c r="L19" s="326">
        <f>INDEX('Resumo Operacional'!$B$1:$N$147,MATCH('Resumo Gerencial'!L$9,'Resumo Operacional'!$B$1:$B$147,0),MATCH('Resumo Gerencial'!$D19,'Resumo Operacional'!$B$1:$N$1,0))/1000</f>
        <v>17.327999999999999</v>
      </c>
      <c r="M19" s="326">
        <f>INDEX('Resumo Operacional'!$B$1:$N$147,MATCH('Resumo Gerencial'!M$9,'Resumo Operacional'!$B$1:$B$147,0),MATCH('Resumo Gerencial'!$D19,'Resumo Operacional'!$B$1:$N$1,0))/1000</f>
        <v>41.795999999999999</v>
      </c>
      <c r="Q19" s="324">
        <f t="shared" si="2"/>
        <v>-18.623000000000001</v>
      </c>
      <c r="R19" s="325" t="e">
        <f t="shared" si="1"/>
        <v>#N/A</v>
      </c>
    </row>
    <row r="20" spans="4:18" s="28" customFormat="1" ht="15" customHeight="1" x14ac:dyDescent="0.3">
      <c r="D20" s="322">
        <f t="shared" si="0"/>
        <v>45901</v>
      </c>
      <c r="E20" s="326">
        <f>INDEX('Resumo Operacional'!$B$1:$N$147,MATCH('Resumo Gerencial'!E$10,'Resumo Operacional'!$B$1:$B$147,0),MATCH('Resumo Gerencial'!$D20,'Resumo Operacional'!$B$1:$N$1,0))</f>
        <v>86</v>
      </c>
      <c r="F20" s="326">
        <f>INDEX('Resumo Operacional'!$B$1:$N$147,MATCH('Resumo Gerencial'!F$10,'Resumo Operacional'!$B$1:$B$147,0),MATCH('Resumo Gerencial'!$D20,'Resumo Operacional'!$B$1:$N$1,0))</f>
        <v>84</v>
      </c>
      <c r="G20" s="326">
        <f>INDEX('Resumo Operacional'!$B$1:$N$147,MATCH('Resumo Gerencial'!G$9,'Resumo Operacional'!$B$1:$B$147,0),MATCH('Resumo Gerencial'!$D20,'Resumo Operacional'!$B$1:$N$1,0))/1000</f>
        <v>28.901190000000003</v>
      </c>
      <c r="H20" s="326">
        <f>INDEX('Resumo Operacional'!$B$1:$N$147,MATCH('Resumo Gerencial'!H$9,'Resumo Operacional'!$B$1:$B$147,0),MATCH('Resumo Gerencial'!$D20,'Resumo Operacional'!$B$1:$N$1,0))/1000</f>
        <v>33.695107727272735</v>
      </c>
      <c r="I20" s="326">
        <f>INDEX('Resumo Operacional'!$B$1:$N$147,MATCH('Resumo Gerencial'!I$9,'Resumo Operacional'!$B$1:$B$147,0),MATCH('Resumo Gerencial'!$D20,'Resumo Operacional'!$B$1:$N$1,0))/1000</f>
        <v>0</v>
      </c>
      <c r="J20" s="326">
        <f>INDEX('Resumo Operacional'!$B$1:$N$147,MATCH('Resumo Gerencial'!J$9,'Resumo Operacional'!$B$1:$B$147,0),MATCH('Resumo Gerencial'!$D20,'Resumo Operacional'!$B$1:$N$1,0))/1000</f>
        <v>24.32</v>
      </c>
      <c r="K20" s="326">
        <f>INDEX('Resumo Operacional'!$B$1:$N$147,MATCH('Resumo Gerencial'!K$9,'Resumo Operacional'!$B$1:$B$147,0),MATCH('Resumo Gerencial'!$D20,'Resumo Operacional'!$B$1:$N$1,0))/1000</f>
        <v>28.189</v>
      </c>
      <c r="L20" s="326">
        <f>INDEX('Resumo Operacional'!$B$1:$N$147,MATCH('Resumo Gerencial'!L$9,'Resumo Operacional'!$B$1:$B$147,0),MATCH('Resumo Gerencial'!$D20,'Resumo Operacional'!$B$1:$N$1,0))/1000</f>
        <v>22.436</v>
      </c>
      <c r="M20" s="326">
        <f>INDEX('Resumo Operacional'!$B$1:$N$147,MATCH('Resumo Gerencial'!M$9,'Resumo Operacional'!$B$1:$B$147,0),MATCH('Resumo Gerencial'!$D20,'Resumo Operacional'!$B$1:$N$1,0))/1000</f>
        <v>45.487000000000002</v>
      </c>
      <c r="Q20" s="324">
        <f t="shared" si="2"/>
        <v>-3.8689999999999998</v>
      </c>
      <c r="R20" s="325">
        <f>Q20</f>
        <v>-3.8689999999999998</v>
      </c>
    </row>
    <row r="21" spans="4:18" s="28" customFormat="1" ht="15" customHeight="1" x14ac:dyDescent="0.3">
      <c r="D21" s="322">
        <f>EDATE(D22,-1)</f>
        <v>45931</v>
      </c>
      <c r="E21" s="326">
        <f>INDEX('Resumo Operacional'!$B$1:$N$147,MATCH('Resumo Gerencial'!E$10,'Resumo Operacional'!$B$1:$B$147,0),MATCH('Resumo Gerencial'!$D21,'Resumo Operacional'!$B$1:$N$1,0))</f>
        <v>89</v>
      </c>
      <c r="F21" s="326">
        <f>INDEX('Resumo Operacional'!$B$1:$N$147,MATCH('Resumo Gerencial'!F$10,'Resumo Operacional'!$B$1:$B$147,0),MATCH('Resumo Gerencial'!$D21,'Resumo Operacional'!$B$1:$N$1,0))</f>
        <v>89</v>
      </c>
      <c r="G21" s="326">
        <f>INDEX('Resumo Operacional'!$B$1:$N$147,MATCH('Resumo Gerencial'!G$9,'Resumo Operacional'!$B$1:$B$147,0),MATCH('Resumo Gerencial'!$D21,'Resumo Operacional'!$B$1:$N$1,0))/1000</f>
        <v>39.890819999999998</v>
      </c>
      <c r="H21" s="326">
        <f>INDEX('Resumo Operacional'!$B$1:$N$147,MATCH('Resumo Gerencial'!H$9,'Resumo Operacional'!$B$1:$B$147,0),MATCH('Resumo Gerencial'!$D21,'Resumo Operacional'!$B$1:$N$1,0))/1000</f>
        <v>34.40517136363637</v>
      </c>
      <c r="I21" s="326">
        <f>INDEX('Resumo Operacional'!$B$1:$N$147,MATCH('Resumo Gerencial'!I$9,'Resumo Operacional'!$B$1:$B$147,0),MATCH('Resumo Gerencial'!$D21,'Resumo Operacional'!$B$1:$N$1,0))/1000</f>
        <v>0</v>
      </c>
      <c r="J21" s="326">
        <f>INDEX('Resumo Operacional'!$B$1:$N$147,MATCH('Resumo Gerencial'!J$9,'Resumo Operacional'!$B$1:$B$147,0),MATCH('Resumo Gerencial'!$D21,'Resumo Operacional'!$B$1:$N$1,0))/1000</f>
        <v>27.03</v>
      </c>
      <c r="K21" s="326">
        <f>INDEX('Resumo Operacional'!$B$1:$N$147,MATCH('Resumo Gerencial'!K$9,'Resumo Operacional'!$B$1:$B$147,0),MATCH('Resumo Gerencial'!$D21,'Resumo Operacional'!$B$1:$N$1,0))/1000</f>
        <v>54.116</v>
      </c>
      <c r="L21" s="326">
        <f>INDEX('Resumo Operacional'!$B$1:$N$147,MATCH('Resumo Gerencial'!L$9,'Resumo Operacional'!$B$1:$B$147,0),MATCH('Resumo Gerencial'!$D21,'Resumo Operacional'!$B$1:$N$1,0))/1000</f>
        <v>31.603000000000002</v>
      </c>
      <c r="M21" s="326">
        <f>INDEX('Resumo Operacional'!$B$1:$N$147,MATCH('Resumo Gerencial'!M$9,'Resumo Operacional'!$B$1:$B$147,0),MATCH('Resumo Gerencial'!$D21,'Resumo Operacional'!$B$1:$N$1,0))/1000</f>
        <v>68</v>
      </c>
      <c r="Q21" s="324">
        <f t="shared" si="2"/>
        <v>-27.085999999999999</v>
      </c>
      <c r="R21" s="325">
        <f t="shared" si="1"/>
        <v>-30.954999999999998</v>
      </c>
    </row>
    <row r="22" spans="4:18" s="28" customFormat="1" ht="15" customHeight="1" x14ac:dyDescent="0.3">
      <c r="D22" s="322">
        <f>MAX('Detalhe Por UC'!R:R)</f>
        <v>45962</v>
      </c>
      <c r="E22" s="326">
        <f>INDEX('Resumo Operacional'!$B$1:$N$147,MATCH('Resumo Gerencial'!E$10,'Resumo Operacional'!$B$1:$B$147,0),MATCH('Resumo Gerencial'!$D22,'Resumo Operacional'!$B$1:$N$1,0))</f>
        <v>90</v>
      </c>
      <c r="F22" s="326">
        <f>INDEX('Resumo Operacional'!$B$1:$N$147,MATCH('Resumo Gerencial'!F$10,'Resumo Operacional'!$B$1:$B$147,0),MATCH('Resumo Gerencial'!$D22,'Resumo Operacional'!$B$1:$N$1,0))</f>
        <v>90</v>
      </c>
      <c r="G22" s="326">
        <f>INDEX('Resumo Operacional'!$B$1:$N$147,MATCH('Resumo Gerencial'!G$9,'Resumo Operacional'!$B$1:$B$147,0),MATCH('Resumo Gerencial'!$D22,'Resumo Operacional'!$B$1:$N$1,0))/1000</f>
        <v>37.51361</v>
      </c>
      <c r="H22" s="326">
        <f>INDEX('Resumo Operacional'!$B$1:$N$147,MATCH('Resumo Gerencial'!H$9,'Resumo Operacional'!$B$1:$B$147,0),MATCH('Resumo Gerencial'!$D22,'Resumo Operacional'!$B$1:$N$1,0))/1000</f>
        <v>35.086057727272724</v>
      </c>
      <c r="I22" s="326">
        <f>INDEX('Resumo Operacional'!$B$1:$N$147,MATCH('Resumo Gerencial'!I$9,'Resumo Operacional'!$B$1:$B$147,0),MATCH('Resumo Gerencial'!$D22,'Resumo Operacional'!$B$1:$N$1,0))/1000</f>
        <v>0</v>
      </c>
      <c r="J22" s="326">
        <f>INDEX('Resumo Operacional'!$B$1:$N$147,MATCH('Resumo Gerencial'!J$9,'Resumo Operacional'!$B$1:$B$147,0),MATCH('Resumo Gerencial'!$D22,'Resumo Operacional'!$B$1:$N$1,0))/1000</f>
        <v>26.228000000000002</v>
      </c>
      <c r="K22" s="326">
        <f>INDEX('Resumo Operacional'!$B$1:$N$147,MATCH('Resumo Gerencial'!K$9,'Resumo Operacional'!$B$1:$B$147,0),MATCH('Resumo Gerencial'!$D22,'Resumo Operacional'!$B$1:$N$1,0))/1000</f>
        <v>29.01</v>
      </c>
      <c r="L22" s="326">
        <f>INDEX('Resumo Operacional'!$B$1:$N$147,MATCH('Resumo Gerencial'!L$9,'Resumo Operacional'!$B$1:$B$147,0),MATCH('Resumo Gerencial'!$D22,'Resumo Operacional'!$B$1:$N$1,0))/1000</f>
        <v>30.268000000000001</v>
      </c>
      <c r="M22" s="326">
        <f>INDEX('Resumo Operacional'!$B$1:$N$147,MATCH('Resumo Gerencial'!M$9,'Resumo Operacional'!$B$1:$B$147,0),MATCH('Resumo Gerencial'!$D22,'Resumo Operacional'!$B$1:$N$1,0))/1000</f>
        <v>39.125</v>
      </c>
      <c r="Q22" s="324">
        <f t="shared" si="2"/>
        <v>-2.782</v>
      </c>
      <c r="R22" s="325">
        <f t="shared" si="1"/>
        <v>-33.736999999999995</v>
      </c>
    </row>
    <row r="23" spans="4:18" s="28" customFormat="1" x14ac:dyDescent="0.3"/>
    <row r="24" spans="4:18" s="28" customFormat="1" ht="15.75" customHeight="1" x14ac:dyDescent="0.3"/>
    <row r="25" spans="4:18" s="28" customFormat="1" ht="15.75" customHeight="1" x14ac:dyDescent="0.3"/>
    <row r="26" spans="4:18" s="28" customFormat="1" ht="15.75" customHeight="1" x14ac:dyDescent="0.3"/>
    <row r="27" spans="4:18" s="28" customFormat="1" ht="15.75" customHeight="1" x14ac:dyDescent="0.3">
      <c r="D27" s="327"/>
      <c r="E27" s="327"/>
      <c r="F27" s="327"/>
      <c r="G27" s="327"/>
      <c r="H27" s="327"/>
      <c r="I27" s="327"/>
    </row>
    <row r="28" spans="4:18" s="28" customFormat="1" ht="15.75" customHeight="1" x14ac:dyDescent="0.3">
      <c r="D28" s="327"/>
      <c r="E28" s="327"/>
      <c r="F28" s="327"/>
      <c r="G28" s="327"/>
      <c r="H28" s="327"/>
      <c r="I28" s="327"/>
    </row>
    <row r="29" spans="4:18" s="28" customFormat="1" ht="15.75" customHeight="1" x14ac:dyDescent="0.3">
      <c r="D29" s="327"/>
      <c r="E29" s="327"/>
      <c r="F29" s="327"/>
      <c r="G29" s="327"/>
      <c r="H29" s="327"/>
      <c r="I29" s="327"/>
    </row>
    <row r="30" spans="4:18" s="28" customFormat="1" ht="15.75" customHeight="1" x14ac:dyDescent="0.3">
      <c r="D30" s="327"/>
      <c r="E30" s="327"/>
      <c r="F30" s="327"/>
      <c r="G30" s="327"/>
      <c r="H30" s="327"/>
      <c r="I30" s="327"/>
      <c r="P30" s="328"/>
    </row>
    <row r="31" spans="4:18" s="28" customFormat="1" ht="15.75" customHeight="1" x14ac:dyDescent="0.3">
      <c r="D31" s="327"/>
      <c r="E31" s="327"/>
      <c r="F31" s="327"/>
      <c r="G31" s="327"/>
      <c r="H31" s="327"/>
      <c r="I31" s="327"/>
      <c r="P31" s="328"/>
    </row>
    <row r="32" spans="4:18" s="28" customFormat="1" ht="15.75" customHeight="1" x14ac:dyDescent="0.3">
      <c r="D32" s="327"/>
      <c r="E32" s="327"/>
      <c r="F32" s="327"/>
      <c r="G32" s="327"/>
      <c r="H32" s="327"/>
      <c r="I32" s="327"/>
      <c r="P32" s="328"/>
    </row>
    <row r="33" spans="4:16" s="28" customFormat="1" ht="15.75" customHeight="1" x14ac:dyDescent="0.3">
      <c r="D33" s="327"/>
      <c r="E33" s="327"/>
      <c r="F33" s="327"/>
      <c r="G33" s="327"/>
      <c r="H33" s="327"/>
      <c r="I33" s="327"/>
    </row>
    <row r="34" spans="4:16" s="28" customFormat="1" ht="15.75" customHeight="1" x14ac:dyDescent="0.3">
      <c r="D34" s="327"/>
      <c r="E34" s="327"/>
      <c r="F34" s="327"/>
      <c r="G34" s="327"/>
      <c r="H34" s="327"/>
      <c r="I34" s="327"/>
    </row>
    <row r="35" spans="4:16" s="28" customFormat="1" ht="15.75" customHeight="1" x14ac:dyDescent="0.3">
      <c r="D35" s="327"/>
      <c r="E35" s="327"/>
      <c r="F35" s="327"/>
      <c r="G35" s="327"/>
      <c r="H35" s="327"/>
      <c r="I35" s="327"/>
    </row>
    <row r="36" spans="4:16" s="28" customFormat="1" ht="15.75" customHeight="1" x14ac:dyDescent="0.3">
      <c r="D36" s="327"/>
      <c r="E36" s="327"/>
      <c r="F36" s="327"/>
      <c r="G36" s="327"/>
      <c r="H36" s="327"/>
      <c r="I36" s="327"/>
    </row>
    <row r="37" spans="4:16" s="28" customFormat="1" ht="15.75" customHeight="1" x14ac:dyDescent="0.3">
      <c r="D37" s="327"/>
      <c r="E37" s="327"/>
      <c r="F37" s="327"/>
      <c r="G37" s="327"/>
      <c r="H37" s="327"/>
      <c r="I37" s="327"/>
    </row>
    <row r="38" spans="4:16" s="28" customFormat="1" x14ac:dyDescent="0.3">
      <c r="D38" s="327"/>
      <c r="E38" s="327"/>
      <c r="F38" s="327"/>
      <c r="G38" s="327"/>
      <c r="H38" s="327"/>
      <c r="I38" s="327"/>
    </row>
    <row r="39" spans="4:16" s="28" customFormat="1" ht="15" customHeight="1" x14ac:dyDescent="0.3">
      <c r="D39" s="327"/>
      <c r="E39" s="327"/>
      <c r="F39" s="327"/>
      <c r="G39" s="327"/>
      <c r="H39" s="327"/>
      <c r="I39" s="327"/>
    </row>
    <row r="40" spans="4:16" s="28" customFormat="1" ht="15" customHeight="1" x14ac:dyDescent="0.3">
      <c r="D40" s="327"/>
      <c r="E40" s="327"/>
      <c r="F40" s="327"/>
      <c r="G40" s="327"/>
      <c r="H40" s="327"/>
      <c r="I40" s="327"/>
    </row>
    <row r="41" spans="4:16" s="28" customFormat="1" ht="15" customHeight="1" x14ac:dyDescent="0.3">
      <c r="D41" s="327"/>
      <c r="E41" s="327"/>
      <c r="F41" s="327"/>
      <c r="G41" s="327"/>
      <c r="H41" s="327"/>
      <c r="I41" s="327"/>
    </row>
    <row r="42" spans="4:16" s="28" customFormat="1" ht="15" customHeight="1" x14ac:dyDescent="0.3">
      <c r="D42" s="327"/>
      <c r="E42" s="327"/>
      <c r="F42" s="327"/>
      <c r="G42" s="327"/>
      <c r="H42" s="327"/>
      <c r="I42" s="327"/>
    </row>
    <row r="43" spans="4:16" s="28" customFormat="1" ht="15" customHeight="1" x14ac:dyDescent="0.3">
      <c r="P43" s="16"/>
    </row>
    <row r="44" spans="4:16" s="28" customFormat="1" ht="15" customHeight="1" x14ac:dyDescent="0.3">
      <c r="P44" s="16"/>
    </row>
    <row r="45" spans="4:16" s="28" customFormat="1" ht="15" customHeight="1" x14ac:dyDescent="0.3">
      <c r="P45" s="16"/>
    </row>
    <row r="46" spans="4:16" s="28" customFormat="1" ht="15" customHeight="1" x14ac:dyDescent="0.3">
      <c r="P46" s="16"/>
    </row>
    <row r="47" spans="4:16" s="28" customFormat="1" ht="15" customHeight="1" x14ac:dyDescent="0.3">
      <c r="D47" s="329"/>
      <c r="E47" s="330"/>
      <c r="F47" s="330"/>
      <c r="G47" s="331"/>
      <c r="H47" s="332"/>
      <c r="I47" s="331"/>
      <c r="J47" s="332"/>
      <c r="K47" s="331"/>
      <c r="P47" s="16"/>
    </row>
    <row r="48" spans="4:16" s="28" customFormat="1" ht="15" customHeight="1" x14ac:dyDescent="0.3"/>
    <row r="49" spans="16:16" s="28" customFormat="1" ht="15" customHeight="1" x14ac:dyDescent="0.3"/>
    <row r="50" spans="16:16" s="28" customFormat="1" ht="15" customHeight="1" x14ac:dyDescent="0.3"/>
    <row r="51" spans="16:16" s="28" customFormat="1" ht="15" customHeight="1" x14ac:dyDescent="0.3"/>
    <row r="52" spans="16:16" s="28" customFormat="1" ht="15" customHeight="1" x14ac:dyDescent="0.3"/>
    <row r="53" spans="16:16" s="28" customFormat="1" x14ac:dyDescent="0.3"/>
    <row r="54" spans="16:16" s="28" customFormat="1" x14ac:dyDescent="0.3"/>
    <row r="55" spans="16:16" s="28" customFormat="1" x14ac:dyDescent="0.3"/>
    <row r="56" spans="16:16" s="28" customFormat="1" x14ac:dyDescent="0.3"/>
    <row r="57" spans="16:16" s="28" customFormat="1" x14ac:dyDescent="0.3"/>
    <row r="58" spans="16:16" s="28" customFormat="1" x14ac:dyDescent="0.3">
      <c r="P58" s="16"/>
    </row>
    <row r="59" spans="16:16" s="28" customFormat="1" x14ac:dyDescent="0.3">
      <c r="P59" s="16"/>
    </row>
    <row r="60" spans="16:16" s="28" customFormat="1" x14ac:dyDescent="0.3">
      <c r="P60" s="16"/>
    </row>
    <row r="61" spans="16:16" s="28" customFormat="1" x14ac:dyDescent="0.3">
      <c r="P61" s="16"/>
    </row>
    <row r="62" spans="16:16" s="28" customFormat="1" x14ac:dyDescent="0.3"/>
    <row r="63" spans="16:16" s="28" customFormat="1" x14ac:dyDescent="0.3"/>
    <row r="64" spans="16:16" s="28" customFormat="1" x14ac:dyDescent="0.3"/>
    <row r="65" spans="3:12" s="28" customFormat="1" x14ac:dyDescent="0.3"/>
    <row r="66" spans="3:12" s="28" customFormat="1" x14ac:dyDescent="0.3"/>
    <row r="67" spans="3:12" s="28" customFormat="1" x14ac:dyDescent="0.3"/>
    <row r="68" spans="3:12" s="28" customFormat="1" x14ac:dyDescent="0.3"/>
    <row r="69" spans="3:12" s="28" customFormat="1" x14ac:dyDescent="0.3"/>
    <row r="70" spans="3:12" s="28" customFormat="1" x14ac:dyDescent="0.3"/>
    <row r="71" spans="3:12" s="16" customFormat="1" x14ac:dyDescent="0.3">
      <c r="C71" s="317" t="s">
        <v>496</v>
      </c>
    </row>
    <row r="72" spans="3:12" s="16" customFormat="1" ht="10.5" customHeight="1" x14ac:dyDescent="0.3"/>
    <row r="73" spans="3:12" s="28" customFormat="1" ht="60" customHeight="1" x14ac:dyDescent="0.3">
      <c r="E73" s="320" t="s">
        <v>487</v>
      </c>
      <c r="F73" s="320" t="s">
        <v>378</v>
      </c>
      <c r="G73" s="320" t="s">
        <v>379</v>
      </c>
      <c r="H73" s="333" t="s">
        <v>440</v>
      </c>
      <c r="I73" s="333" t="s">
        <v>441</v>
      </c>
      <c r="J73" s="333" t="s">
        <v>442</v>
      </c>
      <c r="K73" s="333" t="s">
        <v>497</v>
      </c>
      <c r="L73" s="333" t="s">
        <v>498</v>
      </c>
    </row>
    <row r="74" spans="3:12" s="28" customFormat="1" x14ac:dyDescent="0.3">
      <c r="E74" s="322">
        <f t="shared" ref="E74:E83" si="3">EDATE(E75,-1)</f>
        <v>45627</v>
      </c>
      <c r="F74" s="334" t="e">
        <f>INDEX('Resumo Operacional'!$B$1:$N$147,MATCH('Resumo Gerencial'!F$73,'Resumo Operacional'!$B$1:$B$147,0),MATCH('Resumo Gerencial'!$E74,'Resumo Operacional'!$B$1:$N$1,0))</f>
        <v>#N/A</v>
      </c>
      <c r="G74" s="334" t="e">
        <f>INDEX('Resumo Operacional'!$B$1:$N$147,MATCH('Resumo Gerencial'!G$73,'Resumo Operacional'!$B$1:$B$147,0),MATCH('Resumo Gerencial'!$E74,'Resumo Operacional'!$B$1:$N$1,0))</f>
        <v>#N/A</v>
      </c>
      <c r="H74" s="335" t="e">
        <f>INDEX('Resumo Operacional'!$B$1:$N$147,MATCH('Resumo Gerencial'!H$73,'Resumo Operacional'!$B$1:$B$147,0),MATCH('Resumo Gerencial'!$E74,'Resumo Operacional'!$B$1:$N$1,0))</f>
        <v>#N/A</v>
      </c>
      <c r="I74" s="335" t="e">
        <f>INDEX('Resumo Operacional'!$B$1:$N$147,MATCH('Resumo Gerencial'!I$73,'Resumo Operacional'!$B$1:$B$147,0),MATCH('Resumo Gerencial'!$E74,'Resumo Operacional'!$B$1:$N$1,0))</f>
        <v>#N/A</v>
      </c>
      <c r="J74" s="335" t="e">
        <f>INDEX('Resumo Operacional'!$B$1:$N$147,MATCH('Resumo Gerencial'!J$73,'Resumo Operacional'!$B$1:$B$147,0),MATCH('Resumo Gerencial'!$E74,'Resumo Operacional'!$B$1:$N$1,0))</f>
        <v>#N/A</v>
      </c>
      <c r="K74" s="335" t="e">
        <f>INDEX('Resumo Operacional'!$B$1:$N$147,MATCH('Resumo Gerencial'!K$73,'Resumo Operacional'!$B$1:$B$147,0),MATCH('Resumo Gerencial'!$E74,'Resumo Operacional'!$B$1:$N$1,0))</f>
        <v>#N/A</v>
      </c>
      <c r="L74" s="335" t="e">
        <f>INDEX('Resumo Operacional'!$B$1:$N$147,MATCH('Resumo Gerencial'!L$73,'Resumo Operacional'!$B$1:$B$147,0),MATCH('Resumo Gerencial'!$E74,'Resumo Operacional'!$B$1:$N$1,0))</f>
        <v>#N/A</v>
      </c>
    </row>
    <row r="75" spans="3:12" s="28" customFormat="1" x14ac:dyDescent="0.3">
      <c r="E75" s="322">
        <f t="shared" si="3"/>
        <v>45658</v>
      </c>
      <c r="F75" s="334">
        <f>INDEX('Resumo Operacional'!$B$1:$N$147,MATCH('Resumo Gerencial'!F$73,'Resumo Operacional'!$B$1:$B$147,0),MATCH('Resumo Gerencial'!$E75,'Resumo Operacional'!$B$1:$N$1,0))</f>
        <v>89</v>
      </c>
      <c r="G75" s="334">
        <f>INDEX('Resumo Operacional'!$B$1:$N$147,MATCH('Resumo Gerencial'!G$73,'Resumo Operacional'!$B$1:$B$147,0),MATCH('Resumo Gerencial'!$E75,'Resumo Operacional'!$B$1:$N$1,0))</f>
        <v>88</v>
      </c>
      <c r="H75" s="335">
        <f>INDEX('Resumo Operacional'!$B$1:$N$147,MATCH('Resumo Gerencial'!H$73,'Resumo Operacional'!$B$1:$B$147,0),MATCH('Resumo Gerencial'!$E75,'Resumo Operacional'!$B$1:$N$1,0))</f>
        <v>20936.890000000003</v>
      </c>
      <c r="I75" s="335">
        <f>INDEX('Resumo Operacional'!$B$1:$N$147,MATCH('Resumo Gerencial'!I$73,'Resumo Operacional'!$B$1:$B$147,0),MATCH('Resumo Gerencial'!$E75,'Resumo Operacional'!$B$1:$N$1,0))</f>
        <v>20802.330010000005</v>
      </c>
      <c r="J75" s="335">
        <f>INDEX('Resumo Operacional'!$B$1:$N$147,MATCH('Resumo Gerencial'!J$73,'Resumo Operacional'!$B$1:$B$147,0),MATCH('Resumo Gerencial'!$E75,'Resumo Operacional'!$B$1:$N$1,0))</f>
        <v>19059.440000000002</v>
      </c>
      <c r="K75" s="335" t="e">
        <f>INDEX('Resumo Operacional'!$B$1:$N$147,MATCH('Resumo Gerencial'!K$73,'Resumo Operacional'!$B$1:$B$147,0),MATCH('Resumo Gerencial'!$E75,'Resumo Operacional'!$B$1:$N$1,0))</f>
        <v>#N/A</v>
      </c>
      <c r="L75" s="335" t="e">
        <f>INDEX('Resumo Operacional'!$B$1:$N$147,MATCH('Resumo Gerencial'!L$73,'Resumo Operacional'!$B$1:$B$147,0),MATCH('Resumo Gerencial'!$E75,'Resumo Operacional'!$B$1:$N$1,0))</f>
        <v>#N/A</v>
      </c>
    </row>
    <row r="76" spans="3:12" s="28" customFormat="1" x14ac:dyDescent="0.3">
      <c r="E76" s="322">
        <f t="shared" si="3"/>
        <v>45689</v>
      </c>
      <c r="F76" s="334">
        <f>INDEX('Resumo Operacional'!$B$1:$N$147,MATCH('Resumo Gerencial'!F$73,'Resumo Operacional'!$B$1:$B$147,0),MATCH('Resumo Gerencial'!$E76,'Resumo Operacional'!$B$1:$N$1,0))</f>
        <v>89</v>
      </c>
      <c r="G76" s="334">
        <f>INDEX('Resumo Operacional'!$B$1:$N$147,MATCH('Resumo Gerencial'!G$73,'Resumo Operacional'!$B$1:$B$147,0),MATCH('Resumo Gerencial'!$E76,'Resumo Operacional'!$B$1:$N$1,0))</f>
        <v>87</v>
      </c>
      <c r="H76" s="335">
        <f>INDEX('Resumo Operacional'!$B$1:$N$147,MATCH('Resumo Gerencial'!H$73,'Resumo Operacional'!$B$1:$B$147,0),MATCH('Resumo Gerencial'!$E76,'Resumo Operacional'!$B$1:$N$1,0))</f>
        <v>17146.649990000002</v>
      </c>
      <c r="I76" s="335">
        <f>INDEX('Resumo Operacional'!$B$1:$N$147,MATCH('Resumo Gerencial'!I$73,'Resumo Operacional'!$B$1:$B$147,0),MATCH('Resumo Gerencial'!$E76,'Resumo Operacional'!$B$1:$N$1,0))</f>
        <v>16660.840001000004</v>
      </c>
      <c r="J76" s="335">
        <f>INDEX('Resumo Operacional'!$B$1:$N$147,MATCH('Resumo Gerencial'!J$73,'Resumo Operacional'!$B$1:$B$147,0),MATCH('Resumo Gerencial'!$E76,'Resumo Operacional'!$B$1:$N$1,0))</f>
        <v>15301.890000000003</v>
      </c>
      <c r="K76" s="335" t="e">
        <f>INDEX('Resumo Operacional'!$B$1:$N$147,MATCH('Resumo Gerencial'!K$73,'Resumo Operacional'!$B$1:$B$147,0),MATCH('Resumo Gerencial'!$E76,'Resumo Operacional'!$B$1:$N$1,0))</f>
        <v>#N/A</v>
      </c>
      <c r="L76" s="335" t="e">
        <f>INDEX('Resumo Operacional'!$B$1:$N$147,MATCH('Resumo Gerencial'!L$73,'Resumo Operacional'!$B$1:$B$147,0),MATCH('Resumo Gerencial'!$E76,'Resumo Operacional'!$B$1:$N$1,0))</f>
        <v>#N/A</v>
      </c>
    </row>
    <row r="77" spans="3:12" s="28" customFormat="1" x14ac:dyDescent="0.3">
      <c r="E77" s="322">
        <f t="shared" si="3"/>
        <v>45717</v>
      </c>
      <c r="F77" s="334">
        <f>INDEX('Resumo Operacional'!$B$1:$N$147,MATCH('Resumo Gerencial'!F$73,'Resumo Operacional'!$B$1:$B$147,0),MATCH('Resumo Gerencial'!$E77,'Resumo Operacional'!$B$1:$N$1,0))</f>
        <v>89</v>
      </c>
      <c r="G77" s="334">
        <f>INDEX('Resumo Operacional'!$B$1:$N$147,MATCH('Resumo Gerencial'!G$73,'Resumo Operacional'!$B$1:$B$147,0),MATCH('Resumo Gerencial'!$E77,'Resumo Operacional'!$B$1:$N$1,0))</f>
        <v>88</v>
      </c>
      <c r="H77" s="335">
        <f>INDEX('Resumo Operacional'!$B$1:$N$147,MATCH('Resumo Gerencial'!H$73,'Resumo Operacional'!$B$1:$B$147,0),MATCH('Resumo Gerencial'!$E77,'Resumo Operacional'!$B$1:$N$1,0))</f>
        <v>19354.060000000001</v>
      </c>
      <c r="I77" s="335">
        <f>INDEX('Resumo Operacional'!$B$1:$N$147,MATCH('Resumo Gerencial'!I$73,'Resumo Operacional'!$B$1:$B$147,0),MATCH('Resumo Gerencial'!$E77,'Resumo Operacional'!$B$1:$N$1,0))</f>
        <v>18081.39</v>
      </c>
      <c r="J77" s="335">
        <f>INDEX('Resumo Operacional'!$B$1:$N$147,MATCH('Resumo Gerencial'!J$73,'Resumo Operacional'!$B$1:$B$147,0),MATCH('Resumo Gerencial'!$E77,'Resumo Operacional'!$B$1:$N$1,0))</f>
        <v>17030.229999999996</v>
      </c>
      <c r="K77" s="335" t="e">
        <f>INDEX('Resumo Operacional'!$B$1:$N$147,MATCH('Resumo Gerencial'!K$73,'Resumo Operacional'!$B$1:$B$147,0),MATCH('Resumo Gerencial'!$E77,'Resumo Operacional'!$B$1:$N$1,0))</f>
        <v>#N/A</v>
      </c>
      <c r="L77" s="335" t="e">
        <f>INDEX('Resumo Operacional'!$B$1:$N$147,MATCH('Resumo Gerencial'!L$73,'Resumo Operacional'!$B$1:$B$147,0),MATCH('Resumo Gerencial'!$E77,'Resumo Operacional'!$B$1:$N$1,0))</f>
        <v>#N/A</v>
      </c>
    </row>
    <row r="78" spans="3:12" s="28" customFormat="1" x14ac:dyDescent="0.3">
      <c r="E78" s="322">
        <f t="shared" si="3"/>
        <v>45748</v>
      </c>
      <c r="F78" s="334">
        <f>INDEX('Resumo Operacional'!$B$1:$N$147,MATCH('Resumo Gerencial'!F$73,'Resumo Operacional'!$B$1:$B$147,0),MATCH('Resumo Gerencial'!$E78,'Resumo Operacional'!$B$1:$N$1,0))</f>
        <v>89</v>
      </c>
      <c r="G78" s="334">
        <f>INDEX('Resumo Operacional'!$B$1:$N$147,MATCH('Resumo Gerencial'!G$73,'Resumo Operacional'!$B$1:$B$147,0),MATCH('Resumo Gerencial'!$E78,'Resumo Operacional'!$B$1:$N$1,0))</f>
        <v>87</v>
      </c>
      <c r="H78" s="335">
        <f>INDEX('Resumo Operacional'!$B$1:$N$147,MATCH('Resumo Gerencial'!H$73,'Resumo Operacional'!$B$1:$B$147,0),MATCH('Resumo Gerencial'!$E78,'Resumo Operacional'!$B$1:$N$1,0))</f>
        <v>19906.679999999997</v>
      </c>
      <c r="I78" s="335">
        <f>INDEX('Resumo Operacional'!$B$1:$N$147,MATCH('Resumo Gerencial'!I$73,'Resumo Operacional'!$B$1:$B$147,0),MATCH('Resumo Gerencial'!$E78,'Resumo Operacional'!$B$1:$N$1,0))</f>
        <v>19045.789999999997</v>
      </c>
      <c r="J78" s="335">
        <f>INDEX('Resumo Operacional'!$B$1:$N$147,MATCH('Resumo Gerencial'!J$73,'Resumo Operacional'!$B$1:$B$147,0),MATCH('Resumo Gerencial'!$E78,'Resumo Operacional'!$B$1:$N$1,0))</f>
        <v>16498.34414991803</v>
      </c>
      <c r="K78" s="335" t="e">
        <f>INDEX('Resumo Operacional'!$B$1:$N$147,MATCH('Resumo Gerencial'!K$73,'Resumo Operacional'!$B$1:$B$147,0),MATCH('Resumo Gerencial'!$E78,'Resumo Operacional'!$B$1:$N$1,0))</f>
        <v>#N/A</v>
      </c>
      <c r="L78" s="335" t="e">
        <f>INDEX('Resumo Operacional'!$B$1:$N$147,MATCH('Resumo Gerencial'!L$73,'Resumo Operacional'!$B$1:$B$147,0),MATCH('Resumo Gerencial'!$E78,'Resumo Operacional'!$B$1:$N$1,0))</f>
        <v>#N/A</v>
      </c>
    </row>
    <row r="79" spans="3:12" s="28" customFormat="1" x14ac:dyDescent="0.3">
      <c r="E79" s="322">
        <f t="shared" si="3"/>
        <v>45778</v>
      </c>
      <c r="F79" s="334">
        <f>INDEX('Resumo Operacional'!$B$1:$N$147,MATCH('Resumo Gerencial'!F$73,'Resumo Operacional'!$B$1:$B$147,0),MATCH('Resumo Gerencial'!$E79,'Resumo Operacional'!$B$1:$N$1,0))</f>
        <v>89</v>
      </c>
      <c r="G79" s="334">
        <f>INDEX('Resumo Operacional'!$B$1:$N$147,MATCH('Resumo Gerencial'!G$73,'Resumo Operacional'!$B$1:$B$147,0),MATCH('Resumo Gerencial'!$E79,'Resumo Operacional'!$B$1:$N$1,0))</f>
        <v>86</v>
      </c>
      <c r="H79" s="335">
        <f>INDEX('Resumo Operacional'!$B$1:$N$147,MATCH('Resumo Gerencial'!H$73,'Resumo Operacional'!$B$1:$B$147,0),MATCH('Resumo Gerencial'!$E79,'Resumo Operacional'!$B$1:$N$1,0))</f>
        <v>17599.98</v>
      </c>
      <c r="I79" s="335">
        <f>INDEX('Resumo Operacional'!$B$1:$N$147,MATCH('Resumo Gerencial'!I$73,'Resumo Operacional'!$B$1:$B$147,0),MATCH('Resumo Gerencial'!$E79,'Resumo Operacional'!$B$1:$N$1,0))</f>
        <v>16888.640011000003</v>
      </c>
      <c r="J79" s="335">
        <f>INDEX('Resumo Operacional'!$B$1:$N$147,MATCH('Resumo Gerencial'!J$73,'Resumo Operacional'!$B$1:$B$147,0),MATCH('Resumo Gerencial'!$E79,'Resumo Operacional'!$B$1:$N$1,0))</f>
        <v>13981.908999999998</v>
      </c>
      <c r="K79" s="335" t="e">
        <f>INDEX('Resumo Operacional'!$B$1:$N$147,MATCH('Resumo Gerencial'!K$73,'Resumo Operacional'!$B$1:$B$147,0),MATCH('Resumo Gerencial'!$E79,'Resumo Operacional'!$B$1:$N$1,0))</f>
        <v>#N/A</v>
      </c>
      <c r="L79" s="335" t="e">
        <f>INDEX('Resumo Operacional'!$B$1:$N$147,MATCH('Resumo Gerencial'!L$73,'Resumo Operacional'!$B$1:$B$147,0),MATCH('Resumo Gerencial'!$E79,'Resumo Operacional'!$B$1:$N$1,0))</f>
        <v>#N/A</v>
      </c>
    </row>
    <row r="80" spans="3:12" s="28" customFormat="1" x14ac:dyDescent="0.3">
      <c r="E80" s="322">
        <f t="shared" si="3"/>
        <v>45809</v>
      </c>
      <c r="F80" s="334">
        <f>INDEX('Resumo Operacional'!$B$1:$N$147,MATCH('Resumo Gerencial'!F$73,'Resumo Operacional'!$B$1:$B$147,0),MATCH('Resumo Gerencial'!$E80,'Resumo Operacional'!$B$1:$N$1,0))</f>
        <v>89</v>
      </c>
      <c r="G80" s="334">
        <f>INDEX('Resumo Operacional'!$B$1:$N$147,MATCH('Resumo Gerencial'!G$73,'Resumo Operacional'!$B$1:$B$147,0),MATCH('Resumo Gerencial'!$E80,'Resumo Operacional'!$B$1:$N$1,0))</f>
        <v>86</v>
      </c>
      <c r="H80" s="335">
        <f>INDEX('Resumo Operacional'!$B$1:$N$147,MATCH('Resumo Gerencial'!H$73,'Resumo Operacional'!$B$1:$B$147,0),MATCH('Resumo Gerencial'!$E80,'Resumo Operacional'!$B$1:$N$1,0))</f>
        <v>11005.809989000003</v>
      </c>
      <c r="I80" s="335">
        <f>INDEX('Resumo Operacional'!$B$1:$N$147,MATCH('Resumo Gerencial'!I$73,'Resumo Operacional'!$B$1:$B$147,0),MATCH('Resumo Gerencial'!$E80,'Resumo Operacional'!$B$1:$N$1,0))</f>
        <v>10122.440020099997</v>
      </c>
      <c r="J80" s="335">
        <f>INDEX('Resumo Operacional'!$B$1:$N$147,MATCH('Resumo Gerencial'!J$73,'Resumo Operacional'!$B$1:$B$147,0),MATCH('Resumo Gerencial'!$E80,'Resumo Operacional'!$B$1:$N$1,0))</f>
        <v>9532.5733333333337</v>
      </c>
      <c r="K80" s="335" t="e">
        <f>INDEX('Resumo Operacional'!$B$1:$N$147,MATCH('Resumo Gerencial'!K$73,'Resumo Operacional'!$B$1:$B$147,0),MATCH('Resumo Gerencial'!$E80,'Resumo Operacional'!$B$1:$N$1,0))</f>
        <v>#N/A</v>
      </c>
      <c r="L80" s="335" t="e">
        <f>INDEX('Resumo Operacional'!$B$1:$N$147,MATCH('Resumo Gerencial'!L$73,'Resumo Operacional'!$B$1:$B$147,0),MATCH('Resumo Gerencial'!$E80,'Resumo Operacional'!$B$1:$N$1,0))</f>
        <v>#N/A</v>
      </c>
    </row>
    <row r="81" spans="5:16" s="28" customFormat="1" x14ac:dyDescent="0.3">
      <c r="E81" s="322">
        <f t="shared" si="3"/>
        <v>45839</v>
      </c>
      <c r="F81" s="336">
        <f>INDEX('Resumo Operacional'!$B$1:$N$147,MATCH('Resumo Gerencial'!F$73,'Resumo Operacional'!$B$1:$B$147,0),MATCH('Resumo Gerencial'!$E81,'Resumo Operacional'!$B$1:$N$1,0))</f>
        <v>75</v>
      </c>
      <c r="G81" s="336">
        <f>INDEX('Resumo Operacional'!$B$1:$N$147,MATCH('Resumo Gerencial'!G$73,'Resumo Operacional'!$B$1:$B$147,0),MATCH('Resumo Gerencial'!$E81,'Resumo Operacional'!$B$1:$N$1,0))</f>
        <v>72</v>
      </c>
      <c r="H81" s="337">
        <f>INDEX('Resumo Operacional'!$B$1:$N$147,MATCH('Resumo Gerencial'!H$73,'Resumo Operacional'!$B$1:$B$147,0),MATCH('Resumo Gerencial'!$E81,'Resumo Operacional'!$B$1:$N$1,0))</f>
        <v>12430.760000000004</v>
      </c>
      <c r="I81" s="337">
        <f>INDEX('Resumo Operacional'!$B$1:$N$147,MATCH('Resumo Gerencial'!I$73,'Resumo Operacional'!$B$1:$B$147,0),MATCH('Resumo Gerencial'!$E81,'Resumo Operacional'!$B$1:$N$1,0))</f>
        <v>12329.950002000001</v>
      </c>
      <c r="J81" s="337">
        <f>INDEX('Resumo Operacional'!$B$1:$N$147,MATCH('Resumo Gerencial'!J$73,'Resumo Operacional'!$B$1:$B$147,0),MATCH('Resumo Gerencial'!$E81,'Resumo Operacional'!$B$1:$N$1,0))</f>
        <v>12206.86</v>
      </c>
      <c r="K81" s="335" t="e">
        <f>INDEX('Resumo Operacional'!$B$1:$N$147,MATCH('Resumo Gerencial'!K$73,'Resumo Operacional'!$B$1:$B$147,0),MATCH('Resumo Gerencial'!$E81,'Resumo Operacional'!$B$1:$N$1,0))</f>
        <v>#N/A</v>
      </c>
      <c r="L81" s="335" t="e">
        <f>INDEX('Resumo Operacional'!$B$1:$N$147,MATCH('Resumo Gerencial'!L$73,'Resumo Operacional'!$B$1:$B$147,0),MATCH('Resumo Gerencial'!$E81,'Resumo Operacional'!$B$1:$N$1,0))</f>
        <v>#N/A</v>
      </c>
    </row>
    <row r="82" spans="5:16" s="28" customFormat="1" x14ac:dyDescent="0.3">
      <c r="E82" s="322">
        <f t="shared" si="3"/>
        <v>45870</v>
      </c>
      <c r="F82" s="336">
        <f>INDEX('Resumo Operacional'!$B$1:$N$147,MATCH('Resumo Gerencial'!F$73,'Resumo Operacional'!$B$1:$B$147,0),MATCH('Resumo Gerencial'!$E82,'Resumo Operacional'!$B$1:$N$1,0))</f>
        <v>71</v>
      </c>
      <c r="G82" s="336">
        <f>INDEX('Resumo Operacional'!$B$1:$N$147,MATCH('Resumo Gerencial'!G$73,'Resumo Operacional'!$B$1:$B$147,0),MATCH('Resumo Gerencial'!$E82,'Resumo Operacional'!$B$1:$N$1,0))</f>
        <v>69</v>
      </c>
      <c r="H82" s="337">
        <f>INDEX('Resumo Operacional'!$B$1:$N$147,MATCH('Resumo Gerencial'!H$73,'Resumo Operacional'!$B$1:$B$147,0),MATCH('Resumo Gerencial'!$E82,'Resumo Operacional'!$B$1:$N$1,0))</f>
        <v>14630.569998999999</v>
      </c>
      <c r="I82" s="337">
        <f>INDEX('Resumo Operacional'!$B$1:$N$147,MATCH('Resumo Gerencial'!I$73,'Resumo Operacional'!$B$1:$B$147,0),MATCH('Resumo Gerencial'!$E82,'Resumo Operacional'!$B$1:$N$1,0))</f>
        <v>14414.940000299999</v>
      </c>
      <c r="J82" s="337">
        <f>INDEX('Resumo Operacional'!$B$1:$N$147,MATCH('Resumo Gerencial'!J$73,'Resumo Operacional'!$B$1:$B$147,0),MATCH('Resumo Gerencial'!$E82,'Resumo Operacional'!$B$1:$N$1,0))</f>
        <v>14030.099999999997</v>
      </c>
      <c r="K82" s="335" t="e">
        <f>INDEX('Resumo Operacional'!$B$1:$N$147,MATCH('Resumo Gerencial'!K$73,'Resumo Operacional'!$B$1:$B$147,0),MATCH('Resumo Gerencial'!$E82,'Resumo Operacional'!$B$1:$N$1,0))</f>
        <v>#N/A</v>
      </c>
      <c r="L82" s="335" t="e">
        <f>INDEX('Resumo Operacional'!$B$1:$N$147,MATCH('Resumo Gerencial'!L$73,'Resumo Operacional'!$B$1:$B$147,0),MATCH('Resumo Gerencial'!$E82,'Resumo Operacional'!$B$1:$N$1,0))</f>
        <v>#N/A</v>
      </c>
    </row>
    <row r="83" spans="5:16" s="28" customFormat="1" x14ac:dyDescent="0.3">
      <c r="E83" s="322">
        <f t="shared" si="3"/>
        <v>45901</v>
      </c>
      <c r="F83" s="336">
        <f>INDEX('Resumo Operacional'!$B$1:$N$147,MATCH('Resumo Gerencial'!F$73,'Resumo Operacional'!$B$1:$B$147,0),MATCH('Resumo Gerencial'!$E83,'Resumo Operacional'!$B$1:$N$1,0))</f>
        <v>86</v>
      </c>
      <c r="G83" s="336">
        <f>INDEX('Resumo Operacional'!$B$1:$N$147,MATCH('Resumo Gerencial'!G$73,'Resumo Operacional'!$B$1:$B$147,0),MATCH('Resumo Gerencial'!$E83,'Resumo Operacional'!$B$1:$N$1,0))</f>
        <v>84</v>
      </c>
      <c r="H83" s="337">
        <f>INDEX('Resumo Operacional'!$B$1:$N$147,MATCH('Resumo Gerencial'!H$73,'Resumo Operacional'!$B$1:$B$147,0),MATCH('Resumo Gerencial'!$E83,'Resumo Operacional'!$B$1:$N$1,0))</f>
        <v>18551.030000000002</v>
      </c>
      <c r="I83" s="337">
        <f>INDEX('Resumo Operacional'!$B$1:$N$147,MATCH('Resumo Gerencial'!I$73,'Resumo Operacional'!$B$1:$B$147,0),MATCH('Resumo Gerencial'!$E83,'Resumo Operacional'!$B$1:$N$1,0))</f>
        <v>18122.970000110792</v>
      </c>
      <c r="J83" s="337">
        <f>INDEX('Resumo Operacional'!$B$1:$N$147,MATCH('Resumo Gerencial'!J$73,'Resumo Operacional'!$B$1:$B$147,0),MATCH('Resumo Gerencial'!$E83,'Resumo Operacional'!$B$1:$N$1,0))</f>
        <v>17132.330526315785</v>
      </c>
      <c r="K83" s="338" t="e">
        <f>INDEX('Resumo Operacional'!$B$1:$N$147,MATCH('Resumo Gerencial'!K$73,'Resumo Operacional'!$B$1:$B$147,0),MATCH('Resumo Gerencial'!$E83,'Resumo Operacional'!$B$1:$N$1,0))</f>
        <v>#N/A</v>
      </c>
      <c r="L83" s="338" t="e">
        <f>INDEX('Resumo Operacional'!$B$1:$N$147,MATCH('Resumo Gerencial'!L$73,'Resumo Operacional'!$B$1:$B$147,0),MATCH('Resumo Gerencial'!$E83,'Resumo Operacional'!$B$1:$N$1,0))</f>
        <v>#N/A</v>
      </c>
    </row>
    <row r="84" spans="5:16" s="28" customFormat="1" x14ac:dyDescent="0.3">
      <c r="E84" s="322">
        <f>EDATE(E85,-1)</f>
        <v>45931</v>
      </c>
      <c r="F84" s="336">
        <f>INDEX('Resumo Operacional'!$B$1:$N$147,MATCH('Resumo Gerencial'!F$73,'Resumo Operacional'!$B$1:$B$147,0),MATCH('Resumo Gerencial'!$E84,'Resumo Operacional'!$B$1:$N$1,0))</f>
        <v>89</v>
      </c>
      <c r="G84" s="336">
        <f>INDEX('Resumo Operacional'!$B$1:$N$147,MATCH('Resumo Gerencial'!G$73,'Resumo Operacional'!$B$1:$B$147,0),MATCH('Resumo Gerencial'!$E84,'Resumo Operacional'!$B$1:$N$1,0))</f>
        <v>89</v>
      </c>
      <c r="H84" s="337">
        <f>INDEX('Resumo Operacional'!$B$1:$N$147,MATCH('Resumo Gerencial'!H$73,'Resumo Operacional'!$B$1:$B$147,0),MATCH('Resumo Gerencial'!$E84,'Resumo Operacional'!$B$1:$N$1,0))</f>
        <v>26142.509999999613</v>
      </c>
      <c r="I84" s="337">
        <f>INDEX('Resumo Operacional'!$B$1:$N$147,MATCH('Resumo Gerencial'!I$73,'Resumo Operacional'!$B$1:$B$147,0),MATCH('Resumo Gerencial'!$E84,'Resumo Operacional'!$B$1:$N$1,0))</f>
        <v>23846.760001210023</v>
      </c>
      <c r="J84" s="337">
        <f>INDEX('Resumo Operacional'!$B$1:$N$147,MATCH('Resumo Gerencial'!J$73,'Resumo Operacional'!$B$1:$B$147,0),MATCH('Resumo Gerencial'!$E84,'Resumo Operacional'!$B$1:$N$1,0))</f>
        <v>20371.610000000008</v>
      </c>
      <c r="K84" s="338" t="e">
        <f>INDEX('Resumo Operacional'!$B$1:$N$147,MATCH('Resumo Gerencial'!K$73,'Resumo Operacional'!$B$1:$B$147,0),MATCH('Resumo Gerencial'!$E84,'Resumo Operacional'!$B$1:$N$1,0))</f>
        <v>#N/A</v>
      </c>
      <c r="L84" s="338" t="e">
        <f>INDEX('Resumo Operacional'!$B$1:$N$147,MATCH('Resumo Gerencial'!L$73,'Resumo Operacional'!$B$1:$B$147,0),MATCH('Resumo Gerencial'!$E84,'Resumo Operacional'!$B$1:$N$1,0))</f>
        <v>#N/A</v>
      </c>
    </row>
    <row r="85" spans="5:16" s="28" customFormat="1" x14ac:dyDescent="0.3">
      <c r="E85" s="322">
        <f>MAX('Detalhe Por UC'!R:R)</f>
        <v>45962</v>
      </c>
      <c r="F85" s="336">
        <f>INDEX('Resumo Operacional'!$B$1:$N$147,MATCH('Resumo Gerencial'!F$73,'Resumo Operacional'!$B$1:$B$147,0),MATCH('Resumo Gerencial'!$E85,'Resumo Operacional'!$B$1:$N$1,0))</f>
        <v>90</v>
      </c>
      <c r="G85" s="336">
        <f>INDEX('Resumo Operacional'!$B$1:$N$147,MATCH('Resumo Gerencial'!G$73,'Resumo Operacional'!$B$1:$B$147,0),MATCH('Resumo Gerencial'!$E85,'Resumo Operacional'!$B$1:$N$1,0))</f>
        <v>90</v>
      </c>
      <c r="H85" s="337">
        <f>INDEX('Resumo Operacional'!$B$1:$N$147,MATCH('Resumo Gerencial'!H$73,'Resumo Operacional'!$B$1:$B$147,0),MATCH('Resumo Gerencial'!$E85,'Resumo Operacional'!$B$1:$N$1,0))</f>
        <v>28717.00999989991</v>
      </c>
      <c r="I85" s="337">
        <f>INDEX('Resumo Operacional'!$B$1:$N$147,MATCH('Resumo Gerencial'!I$73,'Resumo Operacional'!$B$1:$B$147,0),MATCH('Resumo Gerencial'!$E85,'Resumo Operacional'!$B$1:$N$1,0))</f>
        <v>0</v>
      </c>
      <c r="J85" s="337">
        <f>INDEX('Resumo Operacional'!$B$1:$N$147,MATCH('Resumo Gerencial'!J$73,'Resumo Operacional'!$B$1:$B$147,0),MATCH('Resumo Gerencial'!$E85,'Resumo Operacional'!$B$1:$N$1,0))</f>
        <v>0</v>
      </c>
      <c r="K85" s="335" t="e">
        <f>INDEX('Resumo Operacional'!$B$1:$N$147,MATCH('Resumo Gerencial'!K$73,'Resumo Operacional'!$B$1:$B$147,0),MATCH('Resumo Gerencial'!$E85,'Resumo Operacional'!$B$1:$N$1,0))</f>
        <v>#N/A</v>
      </c>
      <c r="L85" s="335" t="e">
        <f>INDEX('Resumo Operacional'!$B$1:$N$147,MATCH('Resumo Gerencial'!L$73,'Resumo Operacional'!$B$1:$B$147,0),MATCH('Resumo Gerencial'!$E85,'Resumo Operacional'!$B$1:$N$1,0))</f>
        <v>#N/A</v>
      </c>
    </row>
    <row r="86" spans="5:16" s="28" customFormat="1" x14ac:dyDescent="0.3"/>
    <row r="87" spans="5:16" s="28" customFormat="1" x14ac:dyDescent="0.3"/>
    <row r="88" spans="5:16" s="28" customFormat="1" x14ac:dyDescent="0.3"/>
    <row r="89" spans="5:16" s="28" customFormat="1" x14ac:dyDescent="0.3"/>
    <row r="90" spans="5:16" s="28" customFormat="1" x14ac:dyDescent="0.3"/>
    <row r="91" spans="5:16" s="28" customFormat="1" x14ac:dyDescent="0.3">
      <c r="P91" s="16"/>
    </row>
    <row r="92" spans="5:16" s="28" customFormat="1" x14ac:dyDescent="0.3">
      <c r="P92" s="16"/>
    </row>
    <row r="93" spans="5:16" s="28" customFormat="1" x14ac:dyDescent="0.3">
      <c r="P93" s="16"/>
    </row>
    <row r="94" spans="5:16" s="28" customFormat="1" x14ac:dyDescent="0.3">
      <c r="P94" s="16"/>
    </row>
    <row r="95" spans="5:16" s="28" customFormat="1" x14ac:dyDescent="0.3"/>
    <row r="96" spans="5:16" s="28" customFormat="1" x14ac:dyDescent="0.3"/>
    <row r="97" spans="3:13" s="28" customFormat="1" x14ac:dyDescent="0.3"/>
    <row r="98" spans="3:13" s="28" customFormat="1" x14ac:dyDescent="0.3"/>
    <row r="99" spans="3:13" s="28" customFormat="1" x14ac:dyDescent="0.3"/>
    <row r="100" spans="3:13" s="28" customFormat="1" x14ac:dyDescent="0.3"/>
    <row r="101" spans="3:13" s="28" customFormat="1" x14ac:dyDescent="0.3"/>
    <row r="102" spans="3:13" s="16" customFormat="1" x14ac:dyDescent="0.3">
      <c r="C102" s="317" t="s">
        <v>499</v>
      </c>
    </row>
    <row r="103" spans="3:13" s="16" customFormat="1" ht="8.1" customHeight="1" x14ac:dyDescent="0.3"/>
    <row r="104" spans="3:13" s="28" customFormat="1" ht="40.799999999999997" x14ac:dyDescent="0.3">
      <c r="D104" s="320" t="s">
        <v>487</v>
      </c>
      <c r="E104" s="339" t="s">
        <v>378</v>
      </c>
      <c r="F104" s="339" t="s">
        <v>379</v>
      </c>
      <c r="G104" s="340" t="s">
        <v>473</v>
      </c>
      <c r="H104" s="340" t="s">
        <v>472</v>
      </c>
      <c r="I104" s="340" t="s">
        <v>471</v>
      </c>
      <c r="J104" s="340" t="s">
        <v>474</v>
      </c>
      <c r="K104" s="340" t="s">
        <v>475</v>
      </c>
      <c r="L104" s="340" t="s">
        <v>476</v>
      </c>
      <c r="M104" s="16"/>
    </row>
    <row r="105" spans="3:13" s="28" customFormat="1" x14ac:dyDescent="0.3">
      <c r="D105" s="322">
        <f t="shared" ref="D105:D114" si="4">EDATE(D106,-1)</f>
        <v>45627</v>
      </c>
      <c r="E105" s="334" t="e">
        <f>INDEX('Resumo Operacional'!$B$1:$N$147,MATCH('Resumo Gerencial'!E$104,'Resumo Operacional'!$B$1:$B$147,0),MATCH('Resumo Gerencial'!$D105,'Resumo Operacional'!$B$1:$N$1,0))</f>
        <v>#N/A</v>
      </c>
      <c r="F105" s="334" t="e">
        <f>INDEX('Resumo Operacional'!$B$1:$N$147,MATCH('Resumo Gerencial'!F$104,'Resumo Operacional'!$B$1:$B$147,0),MATCH('Resumo Gerencial'!$D105,'Resumo Operacional'!$B$1:$N$1,0))</f>
        <v>#N/A</v>
      </c>
      <c r="G105" s="341" t="e">
        <f>INDEX('Resumo Operacional'!$B$1:$N$147,MATCH('Resumo Gerencial'!G$104,'Resumo Operacional'!$B$1:$B$147,0),MATCH('Resumo Gerencial'!$D105,'Resumo Operacional'!$B$1:$N$1,0))</f>
        <v>#N/A</v>
      </c>
      <c r="H105" s="341" t="e">
        <f>INDEX('Resumo Operacional'!$B$1:$N$147,MATCH('Resumo Gerencial'!H$104,'Resumo Operacional'!$B$1:$B$147,0),MATCH('Resumo Gerencial'!$D105,'Resumo Operacional'!$B$1:$N$1,0))</f>
        <v>#N/A</v>
      </c>
      <c r="I105" s="341" t="e">
        <f>INDEX('Resumo Operacional'!$B$1:$N$147,MATCH('Resumo Gerencial'!I$104,'Resumo Operacional'!$B$1:$B$147,0),MATCH('Resumo Gerencial'!$D105,'Resumo Operacional'!$B$1:$N$1,0))</f>
        <v>#N/A</v>
      </c>
      <c r="J105" s="342" t="e">
        <f>INDEX('Resumo Operacional'!$B$1:$N$147,MATCH('Resumo Gerencial'!J$104,'Resumo Operacional'!$B$1:$B$147,0),MATCH('Resumo Gerencial'!$D105,'Resumo Operacional'!$B$1:$N$1,0))</f>
        <v>#N/A</v>
      </c>
      <c r="K105" s="342" t="e">
        <f>INDEX('Resumo Operacional'!$B$1:$N$147,MATCH('Resumo Gerencial'!K$104,'Resumo Operacional'!$B$1:$B$147,0),MATCH('Resumo Gerencial'!$D105,'Resumo Operacional'!$B$1:$N$1,0))</f>
        <v>#N/A</v>
      </c>
      <c r="L105" s="343" t="e">
        <f>INDEX('Resumo Operacional'!$B$1:$N$147,MATCH('Resumo Gerencial'!L$104,'Resumo Operacional'!$B$1:$B$147,0),MATCH('Resumo Gerencial'!$D105,'Resumo Operacional'!$B$1:$N$1,0))</f>
        <v>#N/A</v>
      </c>
      <c r="M105" s="16"/>
    </row>
    <row r="106" spans="3:13" s="28" customFormat="1" x14ac:dyDescent="0.3">
      <c r="D106" s="322">
        <f t="shared" si="4"/>
        <v>45658</v>
      </c>
      <c r="E106" s="334">
        <f>INDEX('Resumo Operacional'!$B$1:$N$147,MATCH('Resumo Gerencial'!E$104,'Resumo Operacional'!$B$1:$B$147,0),MATCH('Resumo Gerencial'!$D106,'Resumo Operacional'!$B$1:$N$1,0))</f>
        <v>89</v>
      </c>
      <c r="F106" s="334">
        <f>INDEX('Resumo Operacional'!$B$1:$N$147,MATCH('Resumo Gerencial'!F$104,'Resumo Operacional'!$B$1:$B$147,0),MATCH('Resumo Gerencial'!$D106,'Resumo Operacional'!$B$1:$N$1,0))</f>
        <v>88</v>
      </c>
      <c r="G106" s="341">
        <f>INDEX('Resumo Operacional'!$B$1:$N$147,MATCH('Resumo Gerencial'!G$104,'Resumo Operacional'!$B$1:$B$147,0),MATCH('Resumo Gerencial'!$D106,'Resumo Operacional'!$B$1:$N$1,0))</f>
        <v>1.1162565601450105</v>
      </c>
      <c r="H106" s="341">
        <f>INDEX('Resumo Operacional'!$B$1:$N$147,MATCH('Resumo Gerencial'!H$104,'Resumo Operacional'!$B$1:$B$147,0),MATCH('Resumo Gerencial'!$D106,'Resumo Operacional'!$B$1:$N$1,0))</f>
        <v>1.0619991630525756</v>
      </c>
      <c r="I106" s="341">
        <f>INDEX('Resumo Operacional'!$B$1:$N$147,MATCH('Resumo Gerencial'!I$104,'Resumo Operacional'!$B$1:$B$147,0),MATCH('Resumo Gerencial'!$D106,'Resumo Operacional'!$B$1:$N$1,0))</f>
        <v>0.79649937228943135</v>
      </c>
      <c r="J106" s="342">
        <f>INDEX('Resumo Operacional'!$B$1:$N$147,MATCH('Resumo Gerencial'!J$104,'Resumo Operacional'!$B$1:$B$147,0),MATCH('Resumo Gerencial'!$D106,'Resumo Operacional'!$B$1:$N$1,0))</f>
        <v>0.25000000000000033</v>
      </c>
      <c r="K106" s="342">
        <f>INDEX('Resumo Operacional'!$B$1:$N$147,MATCH('Resumo Gerencial'!K$104,'Resumo Operacional'!$B$1:$B$147,0),MATCH('Resumo Gerencial'!$D106,'Resumo Operacional'!$B$1:$N$1,0))</f>
        <v>0.23784835873990628</v>
      </c>
      <c r="L106" s="343">
        <f>INDEX('Resumo Operacional'!$B$1:$N$147,MATCH('Resumo Gerencial'!L$104,'Resumo Operacional'!$B$1:$B$147,0),MATCH('Resumo Gerencial'!$D106,'Resumo Operacional'!$B$1:$N$1,0))</f>
        <v>0</v>
      </c>
      <c r="M106" s="16"/>
    </row>
    <row r="107" spans="3:13" s="28" customFormat="1" x14ac:dyDescent="0.3">
      <c r="D107" s="322">
        <f t="shared" si="4"/>
        <v>45689</v>
      </c>
      <c r="E107" s="334">
        <f>INDEX('Resumo Operacional'!$B$1:$N$147,MATCH('Resumo Gerencial'!E$104,'Resumo Operacional'!$B$1:$B$147,0),MATCH('Resumo Gerencial'!$D107,'Resumo Operacional'!$B$1:$N$1,0))</f>
        <v>89</v>
      </c>
      <c r="F107" s="334">
        <f>INDEX('Resumo Operacional'!$B$1:$N$147,MATCH('Resumo Gerencial'!F$104,'Resumo Operacional'!$B$1:$B$147,0),MATCH('Resumo Gerencial'!$D107,'Resumo Operacional'!$B$1:$N$1,0))</f>
        <v>87</v>
      </c>
      <c r="G107" s="341">
        <f>INDEX('Resumo Operacional'!$B$1:$N$147,MATCH('Resumo Gerencial'!G$104,'Resumo Operacional'!$B$1:$B$147,0),MATCH('Resumo Gerencial'!$D107,'Resumo Operacional'!$B$1:$N$1,0))</f>
        <v>1.1162582852259988</v>
      </c>
      <c r="H107" s="341">
        <f>INDEX('Resumo Operacional'!$B$1:$N$147,MATCH('Resumo Gerencial'!H$104,'Resumo Operacional'!$B$1:$B$147,0),MATCH('Resumo Gerencial'!$D107,'Resumo Operacional'!$B$1:$N$1,0))</f>
        <v>1.0460547430541918</v>
      </c>
      <c r="I107" s="341">
        <f>INDEX('Resumo Operacional'!$B$1:$N$147,MATCH('Resumo Gerencial'!I$104,'Resumo Operacional'!$B$1:$B$147,0),MATCH('Resumo Gerencial'!$D107,'Resumo Operacional'!$B$1:$N$1,0))</f>
        <v>0.78454105729064405</v>
      </c>
      <c r="J107" s="342">
        <f>INDEX('Resumo Operacional'!$B$1:$N$147,MATCH('Resumo Gerencial'!J$104,'Resumo Operacional'!$B$1:$B$147,0),MATCH('Resumo Gerencial'!$D107,'Resumo Operacional'!$B$1:$N$1,0))</f>
        <v>0.24999999999999978</v>
      </c>
      <c r="K107" s="342">
        <f>INDEX('Resumo Operacional'!$B$1:$N$147,MATCH('Resumo Gerencial'!K$104,'Resumo Operacional'!$B$1:$B$147,0),MATCH('Resumo Gerencial'!$D107,'Resumo Operacional'!$B$1:$N$1,0))</f>
        <v>0.23427703894766738</v>
      </c>
      <c r="L107" s="343">
        <f>INDEX('Resumo Operacional'!$B$1:$N$147,MATCH('Resumo Gerencial'!L$104,'Resumo Operacional'!$B$1:$B$147,0),MATCH('Resumo Gerencial'!$D107,'Resumo Operacional'!$B$1:$N$1,0))</f>
        <v>0</v>
      </c>
      <c r="M107" s="16"/>
    </row>
    <row r="108" spans="3:13" s="28" customFormat="1" x14ac:dyDescent="0.3">
      <c r="D108" s="322">
        <f t="shared" si="4"/>
        <v>45717</v>
      </c>
      <c r="E108" s="334">
        <f>INDEX('Resumo Operacional'!$B$1:$N$147,MATCH('Resumo Gerencial'!E$104,'Resumo Operacional'!$B$1:$B$147,0),MATCH('Resumo Gerencial'!$D108,'Resumo Operacional'!$B$1:$N$1,0))</f>
        <v>89</v>
      </c>
      <c r="F108" s="334">
        <f>INDEX('Resumo Operacional'!$B$1:$N$147,MATCH('Resumo Gerencial'!F$104,'Resumo Operacional'!$B$1:$B$147,0),MATCH('Resumo Gerencial'!$D108,'Resumo Operacional'!$B$1:$N$1,0))</f>
        <v>88</v>
      </c>
      <c r="G108" s="341">
        <f>INDEX('Resumo Operacional'!$B$1:$N$147,MATCH('Resumo Gerencial'!G$104,'Resumo Operacional'!$B$1:$B$147,0),MATCH('Resumo Gerencial'!$D108,'Resumo Operacional'!$B$1:$N$1,0))</f>
        <v>1.1162578055896837</v>
      </c>
      <c r="H108" s="341">
        <f>INDEX('Resumo Operacional'!$B$1:$N$147,MATCH('Resumo Gerencial'!H$104,'Resumo Operacional'!$B$1:$B$147,0),MATCH('Resumo Gerencial'!$D108,'Resumo Operacional'!$B$1:$N$1,0))</f>
        <v>1.0487008284421182</v>
      </c>
      <c r="I108" s="341">
        <f>INDEX('Resumo Operacional'!$B$1:$N$147,MATCH('Resumo Gerencial'!I$104,'Resumo Operacional'!$B$1:$B$147,0),MATCH('Resumo Gerencial'!$D108,'Resumo Operacional'!$B$1:$N$1,0))</f>
        <v>0.78652562133158832</v>
      </c>
      <c r="J108" s="342">
        <f>INDEX('Resumo Operacional'!$B$1:$N$147,MATCH('Resumo Gerencial'!J$104,'Resumo Operacional'!$B$1:$B$147,0),MATCH('Resumo Gerencial'!$D108,'Resumo Operacional'!$B$1:$N$1,0))</f>
        <v>0.25000000000000033</v>
      </c>
      <c r="K108" s="342">
        <f>INDEX('Resumo Operacional'!$B$1:$N$147,MATCH('Resumo Gerencial'!K$104,'Resumo Operacional'!$B$1:$B$147,0),MATCH('Resumo Gerencial'!$D108,'Resumo Operacional'!$B$1:$N$1,0))</f>
        <v>0.23486976377471425</v>
      </c>
      <c r="L108" s="343">
        <f>INDEX('Resumo Operacional'!$B$1:$N$147,MATCH('Resumo Gerencial'!L$104,'Resumo Operacional'!$B$1:$B$147,0),MATCH('Resumo Gerencial'!$D108,'Resumo Operacional'!$B$1:$N$1,0))</f>
        <v>0</v>
      </c>
      <c r="M108" s="16"/>
    </row>
    <row r="109" spans="3:13" s="28" customFormat="1" x14ac:dyDescent="0.3">
      <c r="D109" s="322">
        <f t="shared" si="4"/>
        <v>45748</v>
      </c>
      <c r="E109" s="334">
        <f>INDEX('Resumo Operacional'!$B$1:$N$147,MATCH('Resumo Gerencial'!E$104,'Resumo Operacional'!$B$1:$B$147,0),MATCH('Resumo Gerencial'!$D109,'Resumo Operacional'!$B$1:$N$1,0))</f>
        <v>89</v>
      </c>
      <c r="F109" s="334">
        <f>INDEX('Resumo Operacional'!$B$1:$N$147,MATCH('Resumo Gerencial'!F$104,'Resumo Operacional'!$B$1:$B$147,0),MATCH('Resumo Gerencial'!$D109,'Resumo Operacional'!$B$1:$N$1,0))</f>
        <v>87</v>
      </c>
      <c r="G109" s="341">
        <f>INDEX('Resumo Operacional'!$B$1:$N$147,MATCH('Resumo Gerencial'!G$104,'Resumo Operacional'!$B$1:$B$147,0),MATCH('Resumo Gerencial'!$D109,'Resumo Operacional'!$B$1:$N$1,0))</f>
        <v>1.1181547162283771</v>
      </c>
      <c r="H109" s="341">
        <f>INDEX('Resumo Operacional'!$B$1:$N$147,MATCH('Resumo Gerencial'!H$104,'Resumo Operacional'!$B$1:$B$147,0),MATCH('Resumo Gerencial'!$D109,'Resumo Operacional'!$B$1:$N$1,0))</f>
        <v>1.0295543599057182</v>
      </c>
      <c r="I109" s="341">
        <f>INDEX('Resumo Operacional'!$B$1:$N$147,MATCH('Resumo Gerencial'!I$104,'Resumo Operacional'!$B$1:$B$147,0),MATCH('Resumo Gerencial'!$D109,'Resumo Operacional'!$B$1:$N$1,0))</f>
        <v>0.77216576992928809</v>
      </c>
      <c r="J109" s="342">
        <f>INDEX('Resumo Operacional'!$B$1:$N$147,MATCH('Resumo Gerencial'!J$104,'Resumo Operacional'!$B$1:$B$147,0),MATCH('Resumo Gerencial'!$D109,'Resumo Operacional'!$B$1:$N$1,0))</f>
        <v>0.25000000000000056</v>
      </c>
      <c r="K109" s="342">
        <f>INDEX('Resumo Operacional'!$B$1:$N$147,MATCH('Resumo Gerencial'!K$104,'Resumo Operacional'!$B$1:$B$147,0),MATCH('Resumo Gerencial'!$D109,'Resumo Operacional'!$B$1:$N$1,0))</f>
        <v>0.23019049711172512</v>
      </c>
      <c r="L109" s="343">
        <f>INDEX('Resumo Operacional'!$B$1:$N$147,MATCH('Resumo Gerencial'!L$104,'Resumo Operacional'!$B$1:$B$147,0),MATCH('Resumo Gerencial'!$D109,'Resumo Operacional'!$B$1:$N$1,0))</f>
        <v>0</v>
      </c>
      <c r="M109" s="16"/>
    </row>
    <row r="110" spans="3:13" s="28" customFormat="1" x14ac:dyDescent="0.3">
      <c r="D110" s="322">
        <f t="shared" si="4"/>
        <v>45778</v>
      </c>
      <c r="E110" s="334">
        <f>INDEX('Resumo Operacional'!$B$1:$N$147,MATCH('Resumo Gerencial'!E$104,'Resumo Operacional'!$B$1:$B$147,0),MATCH('Resumo Gerencial'!$D110,'Resumo Operacional'!$B$1:$N$1,0))</f>
        <v>89</v>
      </c>
      <c r="F110" s="334">
        <f>INDEX('Resumo Operacional'!$B$1:$N$147,MATCH('Resumo Gerencial'!F$104,'Resumo Operacional'!$B$1:$B$147,0),MATCH('Resumo Gerencial'!$D110,'Resumo Operacional'!$B$1:$N$1,0))</f>
        <v>86</v>
      </c>
      <c r="G110" s="341">
        <f>INDEX('Resumo Operacional'!$B$1:$N$147,MATCH('Resumo Gerencial'!G$104,'Resumo Operacional'!$B$1:$B$147,0),MATCH('Resumo Gerencial'!$D110,'Resumo Operacional'!$B$1:$N$1,0))</f>
        <v>1.1305217467679871</v>
      </c>
      <c r="H110" s="341">
        <f>INDEX('Resumo Operacional'!$B$1:$N$147,MATCH('Resumo Gerencial'!H$104,'Resumo Operacional'!$B$1:$B$147,0),MATCH('Resumo Gerencial'!$D110,'Resumo Operacional'!$B$1:$N$1,0))</f>
        <v>1.0431770547792907</v>
      </c>
      <c r="I110" s="341">
        <f>INDEX('Resumo Operacional'!$B$1:$N$147,MATCH('Resumo Gerencial'!I$104,'Resumo Operacional'!$B$1:$B$147,0),MATCH('Resumo Gerencial'!$D110,'Resumo Operacional'!$B$1:$N$1,0))</f>
        <v>0.78238279108446818</v>
      </c>
      <c r="J110" s="342">
        <f>INDEX('Resumo Operacional'!$B$1:$N$147,MATCH('Resumo Gerencial'!J$104,'Resumo Operacional'!$B$1:$B$147,0),MATCH('Resumo Gerencial'!$D110,'Resumo Operacional'!$B$1:$N$1,0))</f>
        <v>0.24999999999999989</v>
      </c>
      <c r="K110" s="342">
        <f>INDEX('Resumo Operacional'!$B$1:$N$147,MATCH('Resumo Gerencial'!K$104,'Resumo Operacional'!$B$1:$B$147,0),MATCH('Resumo Gerencial'!$D110,'Resumo Operacional'!$B$1:$N$1,0))</f>
        <v>0.23068487133520343</v>
      </c>
      <c r="L110" s="343">
        <f>INDEX('Resumo Operacional'!$B$1:$N$147,MATCH('Resumo Gerencial'!L$104,'Resumo Operacional'!$B$1:$B$147,0),MATCH('Resumo Gerencial'!$D110,'Resumo Operacional'!$B$1:$N$1,0))</f>
        <v>0</v>
      </c>
      <c r="M110" s="16"/>
    </row>
    <row r="111" spans="3:13" s="28" customFormat="1" x14ac:dyDescent="0.3">
      <c r="D111" s="322">
        <f t="shared" si="4"/>
        <v>45809</v>
      </c>
      <c r="E111" s="334">
        <f>INDEX('Resumo Operacional'!$B$1:$N$147,MATCH('Resumo Gerencial'!E$104,'Resumo Operacional'!$B$1:$B$147,0),MATCH('Resumo Gerencial'!$D111,'Resumo Operacional'!$B$1:$N$1,0))</f>
        <v>89</v>
      </c>
      <c r="F111" s="334">
        <f>INDEX('Resumo Operacional'!$B$1:$N$147,MATCH('Resumo Gerencial'!F$104,'Resumo Operacional'!$B$1:$B$147,0),MATCH('Resumo Gerencial'!$D111,'Resumo Operacional'!$B$1:$N$1,0))</f>
        <v>86</v>
      </c>
      <c r="G111" s="341">
        <f>INDEX('Resumo Operacional'!$B$1:$N$147,MATCH('Resumo Gerencial'!G$104,'Resumo Operacional'!$B$1:$B$147,0),MATCH('Resumo Gerencial'!$D111,'Resumo Operacional'!$B$1:$N$1,0))</f>
        <v>1.1687351252953575</v>
      </c>
      <c r="H111" s="341">
        <f>INDEX('Resumo Operacional'!$B$1:$N$147,MATCH('Resumo Gerencial'!H$104,'Resumo Operacional'!$B$1:$B$147,0),MATCH('Resumo Gerencial'!$D111,'Resumo Operacional'!$B$1:$N$1,0))</f>
        <v>1.093818744090433</v>
      </c>
      <c r="I111" s="341">
        <f>INDEX('Resumo Operacional'!$B$1:$N$147,MATCH('Resumo Gerencial'!I$104,'Resumo Operacional'!$B$1:$B$147,0),MATCH('Resumo Gerencial'!$D111,'Resumo Operacional'!$B$1:$N$1,0))</f>
        <v>0.83430559160495099</v>
      </c>
      <c r="J111" s="342">
        <f>INDEX('Resumo Operacional'!$B$1:$N$147,MATCH('Resumo Gerencial'!J$104,'Resumo Operacional'!$B$1:$B$147,0),MATCH('Resumo Gerencial'!$D111,'Resumo Operacional'!$B$1:$N$1,0))</f>
        <v>0.23725425614394702</v>
      </c>
      <c r="K111" s="342">
        <f>INDEX('Resumo Operacional'!$B$1:$N$147,MATCH('Resumo Gerencial'!K$104,'Resumo Operacional'!$B$1:$B$147,0),MATCH('Resumo Gerencial'!$D111,'Resumo Operacional'!$B$1:$N$1,0))</f>
        <v>0.22204616501099772</v>
      </c>
      <c r="L111" s="343">
        <f>INDEX('Resumo Operacional'!$B$1:$N$147,MATCH('Resumo Gerencial'!L$104,'Resumo Operacional'!$B$1:$B$147,0),MATCH('Resumo Gerencial'!$D111,'Resumo Operacional'!$B$1:$N$1,0))</f>
        <v>0</v>
      </c>
      <c r="M111" s="16"/>
    </row>
    <row r="112" spans="3:13" s="28" customFormat="1" x14ac:dyDescent="0.3">
      <c r="D112" s="322">
        <f t="shared" si="4"/>
        <v>45839</v>
      </c>
      <c r="E112" s="334">
        <f>INDEX('Resumo Operacional'!$B$1:$N$147,MATCH('Resumo Gerencial'!E$104,'Resumo Operacional'!$B$1:$B$147,0),MATCH('Resumo Gerencial'!$D112,'Resumo Operacional'!$B$1:$N$1,0))</f>
        <v>75</v>
      </c>
      <c r="F112" s="334">
        <f>INDEX('Resumo Operacional'!$B$1:$N$147,MATCH('Resumo Gerencial'!F$104,'Resumo Operacional'!$B$1:$B$147,0),MATCH('Resumo Gerencial'!$D112,'Resumo Operacional'!$B$1:$N$1,0))</f>
        <v>72</v>
      </c>
      <c r="G112" s="341">
        <f>INDEX('Resumo Operacional'!$B$1:$N$147,MATCH('Resumo Gerencial'!G$104,'Resumo Operacional'!$B$1:$B$147,0),MATCH('Resumo Gerencial'!$D112,'Resumo Operacional'!$B$1:$N$1,0))</f>
        <v>1.1602242556258073</v>
      </c>
      <c r="H112" s="341">
        <f>INDEX('Resumo Operacional'!$B$1:$N$147,MATCH('Resumo Gerencial'!H$104,'Resumo Operacional'!$B$1:$B$147,0),MATCH('Resumo Gerencial'!$D112,'Resumo Operacional'!$B$1:$N$1,0))</f>
        <v>1.0793179531797015</v>
      </c>
      <c r="I112" s="341">
        <f>INDEX('Resumo Operacional'!$B$1:$N$147,MATCH('Resumo Gerencial'!I$104,'Resumo Operacional'!$B$1:$B$147,0),MATCH('Resumo Gerencial'!$D112,'Resumo Operacional'!$B$1:$N$1,0))</f>
        <v>0.83172241472027764</v>
      </c>
      <c r="J112" s="342">
        <f>INDEX('Resumo Operacional'!$B$1:$N$147,MATCH('Resumo Gerencial'!J$104,'Resumo Operacional'!$B$1:$B$147,0),MATCH('Resumo Gerencial'!$D112,'Resumo Operacional'!$B$1:$N$1,0))</f>
        <v>0.22940000000000027</v>
      </c>
      <c r="K112" s="342">
        <f>INDEX('Resumo Operacional'!$B$1:$N$147,MATCH('Resumo Gerencial'!K$104,'Resumo Operacional'!$B$1:$B$147,0),MATCH('Resumo Gerencial'!$D112,'Resumo Operacional'!$B$1:$N$1,0))</f>
        <v>0.21340317379063456</v>
      </c>
      <c r="L112" s="343">
        <f>INDEX('Resumo Operacional'!$B$1:$N$147,MATCH('Resumo Gerencial'!L$104,'Resumo Operacional'!$B$1:$B$147,0),MATCH('Resumo Gerencial'!$D112,'Resumo Operacional'!$B$1:$N$1,0))</f>
        <v>0</v>
      </c>
      <c r="M112" s="16"/>
    </row>
    <row r="113" spans="4:16" s="28" customFormat="1" x14ac:dyDescent="0.3">
      <c r="D113" s="322">
        <f t="shared" si="4"/>
        <v>45870</v>
      </c>
      <c r="E113" s="334">
        <f>INDEX('Resumo Operacional'!$B$1:$N$147,MATCH('Resumo Gerencial'!E$104,'Resumo Operacional'!$B$1:$B$147,0),MATCH('Resumo Gerencial'!$D113,'Resumo Operacional'!$B$1:$N$1,0))</f>
        <v>71</v>
      </c>
      <c r="F113" s="334">
        <f>INDEX('Resumo Operacional'!$B$1:$N$147,MATCH('Resumo Gerencial'!F$104,'Resumo Operacional'!$B$1:$B$147,0),MATCH('Resumo Gerencial'!$D113,'Resumo Operacional'!$B$1:$N$1,0))</f>
        <v>69</v>
      </c>
      <c r="G113" s="341">
        <f>INDEX('Resumo Operacional'!$B$1:$N$147,MATCH('Resumo Gerencial'!G$104,'Resumo Operacional'!$B$1:$B$147,0),MATCH('Resumo Gerencial'!$D113,'Resumo Operacional'!$B$1:$N$1,0))</f>
        <v>1.1700578197590359</v>
      </c>
      <c r="H113" s="341">
        <f>INDEX('Resumo Operacional'!$B$1:$N$147,MATCH('Resumo Gerencial'!H$104,'Resumo Operacional'!$B$1:$B$147,0),MATCH('Resumo Gerencial'!$D113,'Resumo Operacional'!$B$1:$N$1,0))</f>
        <v>1.0929220619502209</v>
      </c>
      <c r="I113" s="341">
        <f>INDEX('Resumo Operacional'!$B$1:$N$147,MATCH('Resumo Gerencial'!I$104,'Resumo Operacional'!$B$1:$B$147,0),MATCH('Resumo Gerencial'!$D113,'Resumo Operacional'!$B$1:$N$1,0))</f>
        <v>0.84596426386455581</v>
      </c>
      <c r="J113" s="342">
        <f>INDEX('Resumo Operacional'!$B$1:$N$147,MATCH('Resumo Gerencial'!J$104,'Resumo Operacional'!$B$1:$B$147,0),MATCH('Resumo Gerencial'!$D113,'Resumo Operacional'!$B$1:$N$1,0))</f>
        <v>0.22596103298069692</v>
      </c>
      <c r="K113" s="342">
        <f>INDEX('Resumo Operacional'!$B$1:$N$147,MATCH('Resumo Gerencial'!K$104,'Resumo Operacional'!$B$1:$B$147,0),MATCH('Resumo Gerencial'!$D113,'Resumo Operacional'!$B$1:$N$1,0))</f>
        <v>0.21106461058182924</v>
      </c>
      <c r="L113" s="343">
        <f>INDEX('Resumo Operacional'!$B$1:$N$147,MATCH('Resumo Gerencial'!L$104,'Resumo Operacional'!$B$1:$B$147,0),MATCH('Resumo Gerencial'!$D113,'Resumo Operacional'!$B$1:$N$1,0))</f>
        <v>0</v>
      </c>
      <c r="M113" s="16"/>
    </row>
    <row r="114" spans="4:16" s="28" customFormat="1" x14ac:dyDescent="0.3">
      <c r="D114" s="322">
        <f t="shared" si="4"/>
        <v>45901</v>
      </c>
      <c r="E114" s="336">
        <f>INDEX('Resumo Operacional'!$B$1:$N$147,MATCH('Resumo Gerencial'!E$104,'Resumo Operacional'!$B$1:$B$147,0),MATCH('Resumo Gerencial'!$D114,'Resumo Operacional'!$B$1:$N$1,0))</f>
        <v>86</v>
      </c>
      <c r="F114" s="336">
        <f>INDEX('Resumo Operacional'!$B$1:$N$147,MATCH('Resumo Gerencial'!F$104,'Resumo Operacional'!$B$1:$B$147,0),MATCH('Resumo Gerencial'!$D114,'Resumo Operacional'!$B$1:$N$1,0))</f>
        <v>84</v>
      </c>
      <c r="G114" s="344">
        <f>INDEX('Resumo Operacional'!$B$1:$N$147,MATCH('Resumo Gerencial'!G$104,'Resumo Operacional'!$B$1:$B$147,0),MATCH('Resumo Gerencial'!$D114,'Resumo Operacional'!$B$1:$N$1,0))</f>
        <v>1.201247204730082</v>
      </c>
      <c r="H114" s="344">
        <f>INDEX('Resumo Operacional'!$B$1:$N$147,MATCH('Resumo Gerencial'!H$104,'Resumo Operacional'!$B$1:$B$147,0),MATCH('Resumo Gerencial'!$D114,'Resumo Operacional'!$B$1:$N$1,0))</f>
        <v>1.1300714264370995</v>
      </c>
      <c r="I114" s="344">
        <f>INDEX('Resumo Operacional'!$B$1:$N$147,MATCH('Resumo Gerencial'!I$104,'Resumo Operacional'!$B$1:$B$147,0),MATCH('Resumo Gerencial'!$D114,'Resumo Operacional'!$B$1:$N$1,0))</f>
        <v>0.82655771940989398</v>
      </c>
      <c r="J114" s="345">
        <f>INDEX('Resumo Operacional'!$B$1:$N$147,MATCH('Resumo Gerencial'!J$104,'Resumo Operacional'!$B$1:$B$147,0),MATCH('Resumo Gerencial'!$D114,'Resumo Operacional'!$B$1:$N$1,0))</f>
        <v>0.26857922422136316</v>
      </c>
      <c r="K114" s="345">
        <f>INDEX('Resumo Operacional'!$B$1:$N$147,MATCH('Resumo Gerencial'!K$104,'Resumo Operacional'!$B$1:$B$147,0),MATCH('Resumo Gerencial'!$D114,'Resumo Operacional'!$B$1:$N$1,0))</f>
        <v>0.25266548453313942</v>
      </c>
      <c r="L114" s="346">
        <f>INDEX('Resumo Operacional'!$B$1:$N$147,MATCH('Resumo Gerencial'!L$104,'Resumo Operacional'!$B$1:$B$147,0),MATCH('Resumo Gerencial'!$D114,'Resumo Operacional'!$B$1:$N$1,0))</f>
        <v>0</v>
      </c>
      <c r="M114" s="16"/>
    </row>
    <row r="115" spans="4:16" s="28" customFormat="1" x14ac:dyDescent="0.3">
      <c r="D115" s="322">
        <f>EDATE(D116,-1)</f>
        <v>45931</v>
      </c>
      <c r="E115" s="336">
        <f>INDEX('Resumo Operacional'!$B$1:$N$147,MATCH('Resumo Gerencial'!E$104,'Resumo Operacional'!$B$1:$B$147,0),MATCH('Resumo Gerencial'!$D115,'Resumo Operacional'!$B$1:$N$1,0))</f>
        <v>89</v>
      </c>
      <c r="F115" s="336">
        <f>INDEX('Resumo Operacional'!$B$1:$N$147,MATCH('Resumo Gerencial'!F$104,'Resumo Operacional'!$B$1:$B$147,0),MATCH('Resumo Gerencial'!$D115,'Resumo Operacional'!$B$1:$N$1,0))</f>
        <v>89</v>
      </c>
      <c r="G115" s="344">
        <f>INDEX('Resumo Operacional'!$B$1:$N$147,MATCH('Resumo Gerencial'!G$104,'Resumo Operacional'!$B$1:$B$147,0),MATCH('Resumo Gerencial'!$D115,'Resumo Operacional'!$B$1:$N$1,0))</f>
        <v>1.208934406578847</v>
      </c>
      <c r="H115" s="344">
        <f>INDEX('Resumo Operacional'!$B$1:$N$147,MATCH('Resumo Gerencial'!H$104,'Resumo Operacional'!$B$1:$B$147,0),MATCH('Resumo Gerencial'!$D115,'Resumo Operacional'!$B$1:$N$1,0))</f>
        <v>1.1295939617296544</v>
      </c>
      <c r="I115" s="344">
        <f>INDEX('Resumo Operacional'!$B$1:$N$147,MATCH('Resumo Gerencial'!I$104,'Resumo Operacional'!$B$1:$B$147,0),MATCH('Resumo Gerencial'!$D115,'Resumo Operacional'!$B$1:$N$1,0))</f>
        <v>0.81366999029910914</v>
      </c>
      <c r="J115" s="345">
        <f>INDEX('Resumo Operacional'!$B$1:$N$147,MATCH('Resumo Gerencial'!J$104,'Resumo Operacional'!$B$1:$B$147,0),MATCH('Resumo Gerencial'!$D115,'Resumo Operacional'!$B$1:$N$1,0))</f>
        <v>0.27967923177173937</v>
      </c>
      <c r="K115" s="345">
        <f>INDEX('Resumo Operacional'!$B$1:$N$147,MATCH('Resumo Gerencial'!K$104,'Resumo Operacional'!$B$1:$B$147,0),MATCH('Resumo Gerencial'!$D115,'Resumo Operacional'!$B$1:$N$1,0))</f>
        <v>0.26132432802915739</v>
      </c>
      <c r="L115" s="346">
        <f>INDEX('Resumo Operacional'!$B$1:$N$147,MATCH('Resumo Gerencial'!L$104,'Resumo Operacional'!$B$1:$B$147,0),MATCH('Resumo Gerencial'!$D115,'Resumo Operacional'!$B$1:$N$1,0))</f>
        <v>0</v>
      </c>
      <c r="M115" s="347"/>
    </row>
    <row r="116" spans="4:16" s="28" customFormat="1" x14ac:dyDescent="0.3">
      <c r="D116" s="322">
        <f>MAX('Detalhe Por UC'!R:R)</f>
        <v>45962</v>
      </c>
      <c r="E116" s="336">
        <f>INDEX('Resumo Operacional'!$B$1:$N$147,MATCH('Resumo Gerencial'!E$104,'Resumo Operacional'!$B$1:$B$147,0),MATCH('Resumo Gerencial'!$D116,'Resumo Operacional'!$B$1:$N$1,0))</f>
        <v>90</v>
      </c>
      <c r="F116" s="336">
        <f>INDEX('Resumo Operacional'!$B$1:$N$147,MATCH('Resumo Gerencial'!F$104,'Resumo Operacional'!$B$1:$B$147,0),MATCH('Resumo Gerencial'!$D116,'Resumo Operacional'!$B$1:$N$1,0))</f>
        <v>90</v>
      </c>
      <c r="G116" s="344">
        <f>INDEX('Resumo Operacional'!$B$1:$N$147,MATCH('Resumo Gerencial'!G$104,'Resumo Operacional'!$B$1:$B$147,0),MATCH('Resumo Gerencial'!$D116,'Resumo Operacional'!$B$1:$N$1,0))</f>
        <v>1.2048392146563438</v>
      </c>
      <c r="H116" s="344">
        <f>INDEX('Resumo Operacional'!$B$1:$N$147,MATCH('Resumo Gerencial'!H$104,'Resumo Operacional'!$B$1:$B$147,0),MATCH('Resumo Gerencial'!$D116,'Resumo Operacional'!$B$1:$N$1,0))</f>
        <v>1.1295715795023065</v>
      </c>
      <c r="I116" s="344">
        <f>INDEX('Resumo Operacional'!$B$1:$N$147,MATCH('Resumo Gerencial'!I$104,'Resumo Operacional'!$B$1:$B$147,0),MATCH('Resumo Gerencial'!$D116,'Resumo Operacional'!$B$1:$N$1,0))</f>
        <v>0.89236154780682231</v>
      </c>
      <c r="J116" s="345">
        <f>INDEX('Resumo Operacional'!$B$1:$N$147,MATCH('Resumo Gerencial'!J$104,'Resumo Operacional'!$B$1:$B$147,0),MATCH('Resumo Gerencial'!$D116,'Resumo Operacional'!$B$1:$N$1,0))</f>
        <v>0.20999999999999985</v>
      </c>
      <c r="K116" s="345">
        <f>INDEX('Resumo Operacional'!$B$1:$N$147,MATCH('Resumo Gerencial'!K$104,'Resumo Operacional'!$B$1:$B$147,0),MATCH('Resumo Gerencial'!$D116,'Resumo Operacional'!$B$1:$N$1,0))</f>
        <v>0.19688106828689467</v>
      </c>
      <c r="L116" s="346">
        <f>INDEX('Resumo Operacional'!$B$1:$N$147,MATCH('Resumo Gerencial'!L$104,'Resumo Operacional'!$B$1:$B$147,0),MATCH('Resumo Gerencial'!$D116,'Resumo Operacional'!$B$1:$N$1,0))</f>
        <v>0</v>
      </c>
      <c r="M116" s="16"/>
    </row>
    <row r="117" spans="4:16" s="28" customFormat="1" ht="2.1" customHeight="1" x14ac:dyDescent="0.3">
      <c r="D117" s="348"/>
      <c r="E117" s="349"/>
      <c r="F117" s="349"/>
      <c r="G117" s="350"/>
      <c r="H117" s="351"/>
      <c r="I117" s="352"/>
      <c r="J117" s="353"/>
      <c r="K117" s="353"/>
      <c r="L117" s="354"/>
      <c r="M117" s="16"/>
    </row>
    <row r="118" spans="4:16" s="28" customFormat="1" ht="12.75" customHeight="1" x14ac:dyDescent="0.3">
      <c r="E118" s="355"/>
      <c r="F118" s="356"/>
      <c r="I118" s="357"/>
      <c r="J118" s="358"/>
      <c r="M118" s="16"/>
    </row>
    <row r="119" spans="4:16" s="28" customFormat="1" ht="12.75" customHeight="1" x14ac:dyDescent="0.3">
      <c r="E119" s="355"/>
      <c r="F119" s="356"/>
      <c r="I119" s="357"/>
      <c r="J119" s="358"/>
    </row>
    <row r="120" spans="4:16" s="28" customFormat="1" ht="12.75" customHeight="1" x14ac:dyDescent="0.3">
      <c r="E120" s="355"/>
      <c r="F120" s="356"/>
      <c r="I120" s="357"/>
      <c r="J120" s="358"/>
    </row>
    <row r="121" spans="4:16" s="28" customFormat="1" ht="12.75" customHeight="1" x14ac:dyDescent="0.3">
      <c r="E121" s="355"/>
      <c r="F121" s="356"/>
      <c r="I121" s="357"/>
      <c r="J121" s="358"/>
    </row>
    <row r="122" spans="4:16" s="28" customFormat="1" ht="12.75" customHeight="1" x14ac:dyDescent="0.3">
      <c r="E122" s="355"/>
      <c r="F122" s="356"/>
      <c r="I122" s="357"/>
      <c r="J122" s="358"/>
    </row>
    <row r="123" spans="4:16" s="28" customFormat="1" ht="12.75" customHeight="1" x14ac:dyDescent="0.3">
      <c r="E123" s="355"/>
      <c r="F123" s="356"/>
      <c r="I123" s="357"/>
      <c r="J123" s="358"/>
    </row>
    <row r="124" spans="4:16" s="28" customFormat="1" ht="12.75" customHeight="1" x14ac:dyDescent="0.3">
      <c r="E124" s="355"/>
      <c r="F124" s="356"/>
      <c r="I124" s="357"/>
      <c r="J124" s="358"/>
    </row>
    <row r="125" spans="4:16" s="28" customFormat="1" ht="12.75" customHeight="1" x14ac:dyDescent="0.3">
      <c r="E125" s="355"/>
      <c r="F125" s="356"/>
      <c r="I125" s="357"/>
      <c r="J125" s="358"/>
    </row>
    <row r="126" spans="4:16" s="28" customFormat="1" ht="12.75" customHeight="1" x14ac:dyDescent="0.3">
      <c r="E126" s="355"/>
      <c r="F126" s="356"/>
      <c r="I126" s="357"/>
      <c r="J126" s="358"/>
      <c r="P126" s="16"/>
    </row>
    <row r="127" spans="4:16" s="28" customFormat="1" ht="12.75" customHeight="1" x14ac:dyDescent="0.3">
      <c r="E127" s="355"/>
      <c r="F127" s="356"/>
      <c r="I127" s="357"/>
      <c r="J127" s="358"/>
      <c r="P127" s="16"/>
    </row>
    <row r="128" spans="4:16" s="28" customFormat="1" ht="12.75" customHeight="1" x14ac:dyDescent="0.3">
      <c r="E128" s="355"/>
      <c r="F128" s="356"/>
      <c r="I128" s="357"/>
      <c r="J128" s="358"/>
      <c r="P128" s="16"/>
    </row>
    <row r="129" spans="5:10" s="28" customFormat="1" ht="12.75" customHeight="1" x14ac:dyDescent="0.3">
      <c r="E129" s="355"/>
      <c r="F129" s="356"/>
      <c r="I129" s="357"/>
      <c r="J129" s="358"/>
    </row>
    <row r="130" spans="5:10" s="28" customFormat="1" ht="12.75" customHeight="1" x14ac:dyDescent="0.3">
      <c r="E130" s="355"/>
      <c r="F130" s="356"/>
      <c r="I130" s="357"/>
      <c r="J130" s="358"/>
    </row>
    <row r="131" spans="5:10" s="28" customFormat="1" ht="12.75" customHeight="1" x14ac:dyDescent="0.3">
      <c r="E131" s="355"/>
      <c r="F131" s="356"/>
      <c r="I131" s="357"/>
      <c r="J131" s="358"/>
    </row>
    <row r="132" spans="5:10" s="28" customFormat="1" ht="12.75" customHeight="1" x14ac:dyDescent="0.3">
      <c r="E132" s="355"/>
      <c r="F132" s="356"/>
      <c r="I132" s="357"/>
      <c r="J132" s="358"/>
    </row>
    <row r="133" spans="5:10" s="28" customFormat="1" ht="12.75" customHeight="1" x14ac:dyDescent="0.3">
      <c r="E133" s="355"/>
      <c r="F133" s="356"/>
      <c r="I133" s="357"/>
      <c r="J133" s="358"/>
    </row>
    <row r="134" spans="5:10" s="28" customFormat="1" ht="12.75" customHeight="1" x14ac:dyDescent="0.3">
      <c r="E134" s="355"/>
      <c r="F134" s="356"/>
      <c r="I134" s="357"/>
      <c r="J134" s="358"/>
    </row>
    <row r="135" spans="5:10" s="28" customFormat="1" ht="12.75" customHeight="1" x14ac:dyDescent="0.3">
      <c r="E135" s="355"/>
      <c r="F135" s="356"/>
      <c r="I135" s="357"/>
      <c r="J135" s="358"/>
    </row>
    <row r="136" spans="5:10" s="28" customFormat="1" ht="12.75" customHeight="1" x14ac:dyDescent="0.3">
      <c r="E136" s="355"/>
      <c r="F136" s="356"/>
      <c r="I136" s="357"/>
      <c r="J136" s="358"/>
    </row>
    <row r="137" spans="5:10" ht="12.75" customHeight="1" x14ac:dyDescent="0.3">
      <c r="E137" s="348"/>
      <c r="F137" s="348"/>
      <c r="G137" s="359"/>
      <c r="H137" s="360"/>
      <c r="I137" s="361"/>
      <c r="J137" s="362"/>
    </row>
  </sheetData>
  <pageMargins left="0.51181102362204722" right="0.51181102362204722" top="0.19685039370078741" bottom="0.19685039370078741" header="0.31496062992125984" footer="0.31496062992125984"/>
  <pageSetup paperSize="9" scale="76" orientation="portrait" r:id="rId1"/>
  <rowBreaks count="1" manualBreakCount="1">
    <brk id="68" min="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Infos Clientes</vt:lpstr>
      <vt:lpstr>Detalhe Por UC</vt:lpstr>
      <vt:lpstr>Resumo Operacional</vt:lpstr>
      <vt:lpstr>Resumo Gerencial</vt:lpstr>
      <vt:lpstr>'Resumo Gerencial'!Area_de_impressao</vt:lpstr>
      <vt:lpstr>'Resumo Operacional'!Area_de_impressao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Almeida</dc:creator>
  <cp:lastModifiedBy>Livia Almeida</cp:lastModifiedBy>
  <dcterms:created xsi:type="dcterms:W3CDTF">2025-12-04T18:35:15Z</dcterms:created>
  <dcterms:modified xsi:type="dcterms:W3CDTF">2025-12-04T18:44:47Z</dcterms:modified>
</cp:coreProperties>
</file>